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tables/table7.xml" ContentType="application/vnd.openxmlformats-officedocument.spreadsheetml.table+xml"/>
  <Override PartName="/xl/queryTables/queryTable6.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https://cawaterboards.sharepoint.com/ORPP/CC/Documents/AB1668_SB606/Variances+Provisions+SLAs/Variance_Request_Materials/"/>
    </mc:Choice>
  </mc:AlternateContent>
  <xr:revisionPtr revIDLastSave="144" documentId="8_{D6A02CA2-62CC-4344-86D0-78C31DDA0B78}" xr6:coauthVersionLast="47" xr6:coauthVersionMax="47" xr10:uidLastSave="{223694F8-728D-4055-9342-71BDC7B788F7}"/>
  <workbookProtection workbookAlgorithmName="SHA-512" workbookHashValue="HnY+P/ItDUrlT20xuvXE8BW8B7OMASwyN2mW5Yc48lZhWweCtttzLRBt/sWmdZ70Uz6o1s7SrrvAU1cUaeqmGg==" workbookSaltValue="H3VvbVD8YUfKEU95Ha5rGw==" workbookSpinCount="100000" lockStructure="1"/>
  <bookViews>
    <workbookView xWindow="28680" yWindow="-120" windowWidth="29040" windowHeight="15720" xr2:uid="{2443B4FA-7760-404E-BAA7-43FBE3E40E60}"/>
  </bookViews>
  <sheets>
    <sheet name="Abbreviations and Color Key" sheetId="109" r:id="rId1"/>
    <sheet name="Landing Page and Navigation" sheetId="138" r:id="rId2"/>
    <sheet name="README" sheetId="131" r:id="rId3"/>
    <sheet name="Preliminary Budget" sheetId="136" r:id="rId4"/>
    <sheet name="Indoor required certification" sheetId="134" r:id="rId5"/>
    <sheet name="Res-Indoor Variances" sheetId="77" r:id="rId6"/>
    <sheet name="Outdoor required certification" sheetId="128" r:id="rId7"/>
    <sheet name="Res-Outdoor Variances" sheetId="78" r:id="rId8"/>
    <sheet name="Emergency and Hi TDS Variances" sheetId="139" r:id="rId9"/>
    <sheet name="Residential Agriculture 1%" sheetId="82" r:id="rId10"/>
    <sheet name="CII Outdoor Variances" sheetId="126" state="hidden" r:id="rId11"/>
    <sheet name="Residential Outdoor Components" sheetId="127" r:id="rId12"/>
    <sheet name="Alternative Data or Methodology" sheetId="129" r:id="rId13"/>
    <sheet name="Crosswalk_API" sheetId="42" r:id="rId14"/>
    <sheet name="POP_API" sheetId="60" r:id="rId15"/>
    <sheet name="LAM_API" sheetId="45" r:id="rId16"/>
    <sheet name="CLIMATE_API" sheetId="123" r:id="rId17"/>
    <sheet name="SEASONAL_API" sheetId="122" r:id="rId18"/>
    <sheet name="Climate Zone" sheetId="59" r:id="rId19"/>
    <sheet name="POTABLE_NONPOTABLE_API" sheetId="114" r:id="rId20"/>
  </sheets>
  <definedNames>
    <definedName name="BASIN_LOOKUP_BASIN" localSheetId="10">#REF!</definedName>
    <definedName name="BASIN_LOOKUP_BASIN">#REF!</definedName>
    <definedName name="BASIN_LOOKUP_SUBBASIN" localSheetId="10">#REF!</definedName>
    <definedName name="BASIN_LOOKUP_SUBBASIN">#REF!</definedName>
    <definedName name="CLIMATE_ETO" localSheetId="10">CLIMATE_API[ETO_FINAL]</definedName>
    <definedName name="CLIMATE_ETO">CLIMATE_API[ETO_FINAL]</definedName>
    <definedName name="CLIMATE_ORG_ID_LIST" localSheetId="10">CLIMATE_API[DWR_ID]</definedName>
    <definedName name="CLIMATE_ORG_ID_LIST">CLIMATE_API[DWR_ID]</definedName>
    <definedName name="CLIMATE_PEFF" localSheetId="10">CLIMATE_API[PEFF_FINAL]</definedName>
    <definedName name="CLIMATE_PEFF">CLIMATE_API[PEFF_FINAL]</definedName>
    <definedName name="CLIMATE_TOTAL_PREC" localSheetId="10">CLIMATE_API[Total_Precipitation_inches]</definedName>
    <definedName name="CLIMATE_TOTAL_PREC">CLIMATE_API[Total_Precipitation_inches]</definedName>
    <definedName name="CONN_MAIN_CONN_VALUES" localSheetId="10">#REF!</definedName>
    <definedName name="CONN_MAIN_CONN_VALUES">#REF!</definedName>
    <definedName name="CONN_MAIN_MAIN_VALUES" localSheetId="10">#REF!</definedName>
    <definedName name="CONN_MAIN_MAIN_VALUES">#REF!</definedName>
    <definedName name="CONN_MAIN_PWSID_LIST" localSheetId="10">#REF!</definedName>
    <definedName name="CONN_MAIN_PWSID_LIST">#REF!</definedName>
    <definedName name="CONN_MAIN_RY_END_DATE" localSheetId="10">#REF!</definedName>
    <definedName name="CONN_MAIN_RY_END_DATE">#REF!</definedName>
    <definedName name="CONN_MAIN_RY_START_DATE" localSheetId="10">#REF!</definedName>
    <definedName name="CONN_MAIN_RY_START_DATE">#REF!</definedName>
    <definedName name="CW_COUNTY_LIST" localSheetId="10">Crosswalk_API!#REF!</definedName>
    <definedName name="CW_COUNTY_LIST">CW_API_TABLE[COUNTY]</definedName>
    <definedName name="CW_ORG_ID_LIST" localSheetId="10">Crosswalk_API!#REF!</definedName>
    <definedName name="CW_ORG_ID_LIST">CW_API_TABLE[ORG_ID]</definedName>
    <definedName name="CW_PWS_NAME_LIST" localSheetId="10">Crosswalk_API!#REF!</definedName>
    <definedName name="CW_PWS_NAME_LIST">CW_API_TABLE[PWS_NAME]</definedName>
    <definedName name="CW_PWSID_LIST" localSheetId="10">Crosswalk_API!#REF!</definedName>
    <definedName name="CW_PWSID_LIST">CW_API_TABLE[PWSID]</definedName>
    <definedName name="CW_PWSID_PWSNAME_JOINT" localSheetId="10">Crosswalk_API!$I$2:$I$527</definedName>
    <definedName name="CW_PWSID_PWSNAME_JOINT">Crosswalk_API!$I$2:$I$527</definedName>
    <definedName name="CW_SUPPLIER_NAME_LIST" localSheetId="10">Crosswalk_API!#REF!</definedName>
    <definedName name="CW_SUPPLIER_NAME_LIST">CW_API_TABLE[SUPPLIER_NAME]</definedName>
    <definedName name="CZ_ANIMAL_WATER" localSheetId="10">CZ_TABLE[N_DAYS_PER_WEEK_WATER]</definedName>
    <definedName name="CZ_ANIMAL_WATER">CZ_TABLE[N_DAYS_PER_WEEK_WATER]</definedName>
    <definedName name="CZ_ORG_ID_LIST" localSheetId="10">CZ_TABLE['[]</definedName>
    <definedName name="CZ_ORG_ID_LIST">CZ_TABLE['[]</definedName>
    <definedName name="CZ_TREE_WATER" localSheetId="10">CZ_TABLE[N_DAYS_PER_WEEK_WATER]</definedName>
    <definedName name="CZ_TREE_WATER">CZ_TABLE[N_DAYS_PER_WEEK_WATER]</definedName>
    <definedName name="DIM_DATA_DATE">'Preliminary Budget'!$B$19</definedName>
    <definedName name="ExternalData_1" localSheetId="13" hidden="1">Crosswalk_API!$A$1:$F$530</definedName>
    <definedName name="ExternalData_1" localSheetId="15" hidden="1">LAM_API!$A$1:$AJ$410</definedName>
    <definedName name="ExternalData_1" localSheetId="14" hidden="1">POP_API!$A$1:$J$530</definedName>
    <definedName name="ExternalData_1" localSheetId="19" hidden="1">POTABLE_NONPOTABLE_API!$A$1:$U$6313</definedName>
    <definedName name="ExternalData_2" localSheetId="17" hidden="1">SEASONAL_API!$A$1:$K$410</definedName>
    <definedName name="ExternalData_3" localSheetId="16" hidden="1">'CLIMATE_API'!$A$1:$K$410</definedName>
    <definedName name="FY_START_DATE">'Landing Page and Navigation'!$B$3</definedName>
    <definedName name="HAS_LAM_DATA">Crosswalk_API!$N$2</definedName>
    <definedName name="LAM_AG_SQFT" localSheetId="10">LAM_API_TABLE[AG_FINAL]</definedName>
    <definedName name="LAM_AG_SQFT">LAM_API_TABLE[AG_FINAL]</definedName>
    <definedName name="LAM_HCL" localSheetId="10">LAM_API_TABLE[HCL_FINAL]</definedName>
    <definedName name="LAM_HCL">LAM_API_TABLE[HCL_FINAL]</definedName>
    <definedName name="LAM_II_SQFT" localSheetId="10">LAM_API_TABLE[II_FINAL]</definedName>
    <definedName name="LAM_II_SQFT">LAM_API_TABLE[II_FINAL]</definedName>
    <definedName name="LAM_INI_SQFT" localSheetId="10">LAM_API_TABLE[INI_FINAL]</definedName>
    <definedName name="LAM_INI_SQFT">LAM_API_TABLE[INI_FINAL]</definedName>
    <definedName name="LAM_NEW_NOREC_SQFT">LAM_API_TABLE[NEW_RES_NOREC_FINAL]</definedName>
    <definedName name="LAM_NEW_REC_SQFT">LAM_API_TABLE[NEW_RES_REC_FINAL]</definedName>
    <definedName name="LAM_NEW_SQFT">LAM_API_TABLE[NEW_RES_FINAL]</definedName>
    <definedName name="LAM_ORG_ID_LIST" localSheetId="10">LAM_API_TABLE[DWR_ID]</definedName>
    <definedName name="LAM_ORG_ID_LIST">LAM_API_TABLE[DWR_ID]</definedName>
    <definedName name="LAM_POOL_SQFT" localSheetId="10">LAM_API_TABLE[POOL_FINAL]</definedName>
    <definedName name="LAM_POOL_SQFT">LAM_API_TABLE[POOL_FINAL]</definedName>
    <definedName name="LAM_SLA_NOREC_SQFT">LAM_API_TABLE[SLA_NOREC_FINAL]</definedName>
    <definedName name="LAM_SLA_REC_SQFT">LAM_API_TABLE[SLA_REC_FINAL]</definedName>
    <definedName name="NDAYS_YEAR">'Landing Page and Navigation'!$B$5</definedName>
    <definedName name="Net_ET0">'Res-Outdoor Variances'!$B$22</definedName>
    <definedName name="NP_SUM_TOTAL" localSheetId="10">POTABLE_NONPOTABLE_API[NONPOTABLE_SUM_TOTAL]</definedName>
    <definedName name="NP_SUM_TOTAL">POTABLE_NONPOTABLE_API[NONPOTABLE_SUM_TOTAL]</definedName>
    <definedName name="NPD_NONRES_DIM" localSheetId="10">POTABLE_NONPOTABLE_API[NONPOTABLE_DEMAND_NONRESIDENTIAL_METERED_IRRIGATION_GAL]</definedName>
    <definedName name="NPD_NONRES_DIM">POTABLE_NONPOTABLE_API[NONPOTABLE_DEMAND_NONRESIDENTIAL_METERED_IRRIGATION_GAL]</definedName>
    <definedName name="NPD_NONRES_NP" localSheetId="10">POTABLE_NONPOTABLE_API[NONPOTABLE_DEMAND_NONRESIDENTIAL_NONPOTABLE_WATER_GAL]</definedName>
    <definedName name="NPD_NONRES_NP">POTABLE_NONPOTABLE_API[NONPOTABLE_DEMAND_NONRESIDENTIAL_NONPOTABLE_WATER_GAL]</definedName>
    <definedName name="NPD_NONRES_RECYCL" localSheetId="10">POTABLE_NONPOTABLE_API[NONPOTABLE_DEMAND_NONRESIDENTIAL_RECYCLED_WATER_GAL]</definedName>
    <definedName name="NPD_NONRES_RECYCL">POTABLE_NONPOTABLE_API[NONPOTABLE_DEMAND_NONRESIDENTIAL_RECYCLED_WATER_GAL]</definedName>
    <definedName name="NPD_ORG_ID_LIST" localSheetId="10">POTABLE_NONPOTABLE_API[ORG_ID]</definedName>
    <definedName name="NPD_ORG_ID_LIST">POTABLE_NONPOTABLE_API[ORG_ID]</definedName>
    <definedName name="NPD_PWSID_LIST" localSheetId="10">POTABLE_NONPOTABLE_API[PWSID]</definedName>
    <definedName name="NPD_PWSID_LIST">POTABLE_NONPOTABLE_API[PWSID]</definedName>
    <definedName name="NPD_RES_DIM" localSheetId="10">POTABLE_NONPOTABLE_API[NONPOTABLE_DEMAND_RESIDENTIAL_METERED_LANDSCAPE_IRRIGATION_GAL]</definedName>
    <definedName name="NPD_RES_DIM">POTABLE_NONPOTABLE_API[NONPOTABLE_DEMAND_RESIDENTIAL_METERED_LANDSCAPE_IRRIGATION_GAL]</definedName>
    <definedName name="NPD_RES_NP" localSheetId="10">POTABLE_NONPOTABLE_API[NONPOTABLE_DEMAND_RESIDENTIAL_NONPOTABLE_WATER_GAL]</definedName>
    <definedName name="NPD_RES_NP">POTABLE_NONPOTABLE_API[NONPOTABLE_DEMAND_RESIDENTIAL_NONPOTABLE_WATER_GAL]</definedName>
    <definedName name="NPD_RES_RECYCL" localSheetId="10">POTABLE_NONPOTABLE_API[NONPOTABLE_DEMAND_RESIDENTIAL_RECYCLED_WATER_GAL]</definedName>
    <definedName name="NPD_RES_RECYCL">POTABLE_NONPOTABLE_API[NONPOTABLE_DEMAND_RESIDENTIAL_RECYCLED_WATER_GAL]</definedName>
    <definedName name="NUM_PWS">'Landing Page and Navigation'!$B$13</definedName>
    <definedName name="ORG_ID_REF">'Landing Page and Navigation'!$B$12</definedName>
    <definedName name="PD_NONRES_CI" localSheetId="10">POTABLE_NONPOTABLE_API[COMMERCIAL_INSTITUTIONAL_GAL]</definedName>
    <definedName name="PD_NONRES_CI">POTABLE_NONPOTABLE_API[COMMERCIAL_INSTITUTIONAL_GAL]</definedName>
    <definedName name="PD_NONRES_DIM" localSheetId="10">POTABLE_NONPOTABLE_API[NONRESIDENTIAL_METERED_IRRIGATION_GAL]</definedName>
    <definedName name="PD_NONRES_DIM">POTABLE_NONPOTABLE_API[NONRESIDENTIAL_METERED_IRRIGATION_GAL]</definedName>
    <definedName name="PD_NONRES_I" localSheetId="10">POTABLE_NONPOTABLE_API[INDUSTRIAL_GAL]</definedName>
    <definedName name="PD_NONRES_I">POTABLE_NONPOTABLE_API[INDUSTRIAL_GAL]</definedName>
    <definedName name="PD_NONRES_O" localSheetId="10">POTABLE_NONPOTABLE_API[OTHER_GAL]</definedName>
    <definedName name="PD_NONRES_O">POTABLE_NONPOTABLE_API[OTHER_GAL]</definedName>
    <definedName name="PD_ORG_ID_LIST" localSheetId="10">POTABLE_NONPOTABLE_API[ORG_ID]</definedName>
    <definedName name="PD_ORG_ID_LIST">POTABLE_NONPOTABLE_API[ORG_ID]</definedName>
    <definedName name="PD_PWSID_LIST" localSheetId="10">POTABLE_NONPOTABLE_API[PWSID]</definedName>
    <definedName name="PD_PWSID_LIST">POTABLE_NONPOTABLE_API[PWSID]</definedName>
    <definedName name="PD_RES_MF" localSheetId="10">POTABLE_NONPOTABLE_API[RESIDENTIAL_MULTIFAMILY_GAL]</definedName>
    <definedName name="PD_RES_MF">POTABLE_NONPOTABLE_API[RESIDENTIAL_MULTIFAMILY_GAL]</definedName>
    <definedName name="PD_RES_SF" localSheetId="10">POTABLE_NONPOTABLE_API[RESIDENTIAL_SINGLEFAMILY_GAL]</definedName>
    <definedName name="PD_RES_SF">POTABLE_NONPOTABLE_API[RESIDENTIAL_SINGLEFAMILY_GAL]</definedName>
    <definedName name="PD_SUM_DEL" localSheetId="10">POTABLE_NONPOTABLE_API[POTABLE_SUM_TOTAL_NOAG]</definedName>
    <definedName name="PD_SUM_DEL">POTABLE_NONPOTABLE_API[POTABLE_SUM_TOTAL_NOAG]</definedName>
    <definedName name="PM_CAT" localSheetId="10">#REF!</definedName>
    <definedName name="PM_CAT">#REF!</definedName>
    <definedName name="PM_PT" localSheetId="10">#REF!</definedName>
    <definedName name="PM_PT">#REF!</definedName>
    <definedName name="POP_ORG_ID_LIST" localSheetId="10">POP_API_TABLE[ORG_ID]</definedName>
    <definedName name="POP_ORG_ID_LIST">POP_API_TABLE[ORG_ID]</definedName>
    <definedName name="POP_PWSID_LIST" localSheetId="10">POP_API_TABLE[PWSID]</definedName>
    <definedName name="POP_PWSID_LIST">POP_API_TABLE[PWSID]</definedName>
    <definedName name="POP_VALUES" localSheetId="10">POP_API_TABLE[AVG_DAILY_CNT]</definedName>
    <definedName name="POP_VALUES">POP_API_TABLE[AVG_DAILY_CNT]</definedName>
    <definedName name="PRODSOLD_ORG_ID_LIST" localSheetId="10">#REF!</definedName>
    <definedName name="PRODSOLD_ORG_ID_LIST">#REF!</definedName>
    <definedName name="PRODSOLD_PROD" localSheetId="10">#REF!</definedName>
    <definedName name="PRODSOLD_PROD">#REF!</definedName>
    <definedName name="PRODSOLD_PROD_MINUS_SOLD" localSheetId="10">#REF!</definedName>
    <definedName name="PRODSOLD_PROD_MINUS_SOLD">#REF!</definedName>
    <definedName name="PRODSOLD_PWSID_LIST" localSheetId="10">#REF!</definedName>
    <definedName name="PRODSOLD_PWSID_LIST">#REF!</definedName>
    <definedName name="PRODSOLD_SOLD" localSheetId="10">#REF!</definedName>
    <definedName name="PRODSOLD_SOLD">#REF!</definedName>
    <definedName name="PWSID_VALID_LIST">_xlfn._xlws.FILTER(#REF!,#REF!="Yes")</definedName>
    <definedName name="REC_CW_ORG_ID_LIST">#REF!</definedName>
    <definedName name="REC_CW_PWS_NAME_RECEIVE">#REF!</definedName>
    <definedName name="REC_CW_PWSID_PROVIDE">#REF!</definedName>
    <definedName name="REC_CW_PWSID_RECEIVE">#REF!</definedName>
    <definedName name="RES_INDOOR_DATA_DATE">'Preliminary Budget'!$B$6</definedName>
    <definedName name="RES_OUTDOOR_DATA_DATE">'Preliminary Budget'!$B$12</definedName>
    <definedName name="RW_PWS_NAME_LIST" localSheetId="10">#REF!</definedName>
    <definedName name="RW_PWS_NAME_LIST">#REF!</definedName>
    <definedName name="RW_TABLE_PWSID_PWSNAME" localSheetId="10">#REF!</definedName>
    <definedName name="RW_TABLE_PWSID_PWSNAME">#REF!</definedName>
    <definedName name="SBX_ALLIANCE_MET_TARGET" localSheetId="10">#REF!</definedName>
    <definedName name="SBX_ALLIANCE_MET_TARGET">#REF!</definedName>
    <definedName name="SBX_INDIRECT_RECYCLED_WATER_GAL" localSheetId="10">#REF!</definedName>
    <definedName name="SBX_INDIRECT_RECYCLED_WATER_GAL">#REF!</definedName>
    <definedName name="SBX_ORG_ID_LIST" localSheetId="10">#REF!</definedName>
    <definedName name="SBX_ORG_ID_LIST">#REF!</definedName>
    <definedName name="SBX_PROCESS_GALLONS" localSheetId="10">#REF!</definedName>
    <definedName name="SBX_PROCESS_GALLONS">#REF!</definedName>
    <definedName name="SBX_RECYCLED_GALLONS" localSheetId="10">#REF!</definedName>
    <definedName name="SBX_RECYCLED_GALLONS">#REF!</definedName>
    <definedName name="SBX_REGIONAL_ALLIANCE_NAME" localSheetId="10">#REF!</definedName>
    <definedName name="SBX_REGIONAL_ALLIANCE_NAME">#REF!</definedName>
    <definedName name="SBX_TARGET_GPCD" localSheetId="10">#REF!</definedName>
    <definedName name="SBX_TARGET_GPCD">#REF!</definedName>
    <definedName name="SCONN_TABLE_CI_M" localSheetId="10">#REF!</definedName>
    <definedName name="SCONN_TABLE_CI_M">#REF!</definedName>
    <definedName name="SCONN_TABLE_CI_UM" localSheetId="10">#REF!</definedName>
    <definedName name="SCONN_TABLE_CI_UM">#REF!</definedName>
    <definedName name="SCONN_TABLE_I_M" localSheetId="10">#REF!</definedName>
    <definedName name="SCONN_TABLE_I_M">#REF!</definedName>
    <definedName name="SCONN_TABLE_I_UM" localSheetId="10">#REF!</definedName>
    <definedName name="SCONN_TABLE_I_UM">#REF!</definedName>
    <definedName name="SCONN_TABLE_ORG_ID" localSheetId="10">#REF!</definedName>
    <definedName name="SCONN_TABLE_ORG_ID">#REF!</definedName>
    <definedName name="SEASONAL_CROP_COEFF" localSheetId="10">SEASONAL_API[Seasonal_Kc]</definedName>
    <definedName name="SEASONAL_CROP_COEFF">SEASONAL_API[Seasonal_Kc]</definedName>
    <definedName name="SEASONAL_ETF" localSheetId="10">SEASONAL_API[Seasonal_ETF]</definedName>
    <definedName name="SEASONAL_ETF">SEASONAL_API[Seasonal_ETF]</definedName>
    <definedName name="SEASONAL_ETO" localSheetId="10">SEASONAL_API[Seasonal_Eto_inches]</definedName>
    <definedName name="SEASONAL_ETO">SEASONAL_API[Seasonal_Eto_inches]</definedName>
    <definedName name="SEASONAL_IE" localSheetId="10">SEASONAL_API[Seasonal_IE]</definedName>
    <definedName name="SEASONAL_IE">SEASONAL_API[Seasonal_IE]</definedName>
    <definedName name="SEASONAL_IRR_EFF" localSheetId="10">SEASONAL_API[Seasonal_IE]</definedName>
    <definedName name="SEASONAL_IRR_EFF">SEASONAL_API[Seasonal_IE]</definedName>
    <definedName name="SEASONAL_KC" localSheetId="10">SEASONAL_API[Seasonal_Kc]</definedName>
    <definedName name="SEASONAL_KC">SEASONAL_API[Seasonal_Kc]</definedName>
    <definedName name="SEASONAL_ORG_ID_LIST" localSheetId="10">SEASONAL_API[DWR_ID]</definedName>
    <definedName name="SEASONAL_ORG_ID_LIST">SEASONAL_API[DWR_ID]</definedName>
    <definedName name="SEASONAL_PEFF" localSheetId="10">SEASONAL_API[Seasonal_Peff_inches]</definedName>
    <definedName name="SEASONAL_PEFF">SEASONAL_API[Seasonal_Peff_inches]</definedName>
    <definedName name="SOURCE_GW_FACILITY_ID" localSheetId="10">#REF!</definedName>
    <definedName name="SOURCE_GW_FACILITY_ID">#REF!</definedName>
    <definedName name="SOURCE_GW_FACILITY_NAME" localSheetId="10">#REF!</definedName>
    <definedName name="SOURCE_GW_FACILITY_NAME">#REF!</definedName>
    <definedName name="SOURCE_GW_GALLONS_PROD" localSheetId="10">#REF!</definedName>
    <definedName name="SOURCE_GW_GALLONS_PROD">#REF!</definedName>
    <definedName name="SOURCE_GW_ORGID_LIST" localSheetId="10">#REF!</definedName>
    <definedName name="SOURCE_GW_ORGID_LIST">#REF!</definedName>
    <definedName name="SOURCE_GW_PWSID_ID_INDEX" localSheetId="10">#REF!</definedName>
    <definedName name="SOURCE_GW_PWSID_ID_INDEX">#REF!</definedName>
    <definedName name="SOURCE_GW_PWSID_LIST" localSheetId="10">#REF!</definedName>
    <definedName name="SOURCE_GW_PWSID_LIST">#REF!</definedName>
    <definedName name="SOURCE_GW_PWSID_NAME_LIST" localSheetId="10">#REF!</definedName>
    <definedName name="SOURCE_GW_PWSID_NAME_LIST">#REF!</definedName>
    <definedName name="SOURCE_SW_FACILITY_ID" localSheetId="10">#REF!</definedName>
    <definedName name="SOURCE_SW_FACILITY_ID">#REF!</definedName>
    <definedName name="SOURCE_SW_FACILITY_NAME" localSheetId="10">#REF!</definedName>
    <definedName name="SOURCE_SW_FACILITY_NAME">#REF!</definedName>
    <definedName name="SOURCE_SW_GALLONS_PROD" localSheetId="10">#REF!</definedName>
    <definedName name="SOURCE_SW_GALLONS_PROD">#REF!</definedName>
    <definedName name="SOURCE_SW_ORGID_LIST" localSheetId="10">#REF!</definedName>
    <definedName name="SOURCE_SW_ORGID_LIST">#REF!</definedName>
    <definedName name="SOURCE_SW_PWSID_ID_INDEX" localSheetId="10">#REF!</definedName>
    <definedName name="SOURCE_SW_PWSID_ID_INDEX">#REF!</definedName>
    <definedName name="SOURCE_SW_PWSID_LIST" localSheetId="10">#REF!</definedName>
    <definedName name="SOURCE_SW_PWSID_LIST">#REF!</definedName>
    <definedName name="SOURCE_SW_PWSID_NAME_LIST" localSheetId="10">#REF!</definedName>
    <definedName name="SOURCE_SW_PWSID_NAME_LIST">#REF!</definedName>
    <definedName name="VAR_CWIQS_FAC_NAME" localSheetId="10">#REF!</definedName>
    <definedName name="VAR_CWIQS_FAC_NAME">#REF!</definedName>
    <definedName name="VAR_CWIQS_FACILITYID" localSheetId="10">#REF!</definedName>
    <definedName name="VAR_CWIQS_FACILITYID">#REF!</definedName>
    <definedName name="VAR_CWIQS_GLOBALID" localSheetId="10">#REF!</definedName>
    <definedName name="VAR_CWIQS_GLOBALID">#REF!</definedName>
    <definedName name="VAR_CWIQS_WDID" localSheetId="10">#REF!</definedName>
    <definedName name="VAR_CWIQS_WDID">#REF!</definedName>
    <definedName name="VAR_FACILITIES_PROD_RECYCL" localSheetId="10">#REF!</definedName>
    <definedName name="VAR_FACILITIES_PROD_RECYCL">#REF!</definedName>
    <definedName name="VAR_FACILITIES_SITE_NAME" localSheetId="10">#REF!</definedName>
    <definedName name="VAR_FACILITIES_SITE_NAME">#REF!</definedName>
    <definedName name="WL_ORG_ID_LIST" localSheetId="10">#REF!</definedName>
    <definedName name="WL_ORG_ID_LIST">#REF!</definedName>
    <definedName name="WL_PWSID_LIST" localSheetId="10">#REF!</definedName>
    <definedName name="WL_PWSID_LIST">#REF!</definedName>
    <definedName name="WL_REAL_LOSS_AF" localSheetId="10">#REF!</definedName>
    <definedName name="WL_REAL_LOSS_AF">#REF!</definedName>
    <definedName name="WL_RY_END_DATE" localSheetId="10">#REF!</definedName>
    <definedName name="WL_RY_END_DATE">#REF!</definedName>
    <definedName name="WL_RY_START_DATE" localSheetId="10">#REF!</definedName>
    <definedName name="WL_RY_START_DATE">#REF!</definedName>
    <definedName name="WLC_PWSID_LIST">#REF!</definedName>
    <definedName name="WLC_STANDARD_TYPE">#REF!</definedName>
    <definedName name="WLS_NOTES" localSheetId="10">#REF!</definedName>
    <definedName name="WLS_NOTES">#REF!</definedName>
    <definedName name="WLS_ORG_ID_LIST" localSheetId="10">#REF!</definedName>
    <definedName name="WLS_ORG_ID_LIST">#REF!</definedName>
    <definedName name="WLS_PWSID_LIST" localSheetId="10">#REF!</definedName>
    <definedName name="WLS_PWSID_LIST">#REF!</definedName>
    <definedName name="WLS_STANDARD_TYPE" localSheetId="10">#REF!</definedName>
    <definedName name="WLS_STANDARD_TYPE">#REF!</definedName>
    <definedName name="WLS_VALUE" localSheetId="10">#REF!</definedName>
    <definedName name="WLS_VALUE">#REF!</definedName>
    <definedName name="WS_INCLUDE_API">CW_API_TABLE[WS_INCLUDED_YN]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2" i="114" l="1"/>
  <c r="V3" i="114"/>
  <c r="V4" i="114"/>
  <c r="V5" i="114"/>
  <c r="V6" i="114"/>
  <c r="V7" i="114"/>
  <c r="V8" i="114"/>
  <c r="V9" i="114"/>
  <c r="V10" i="114"/>
  <c r="V11" i="114"/>
  <c r="V12" i="114"/>
  <c r="V13" i="114"/>
  <c r="V14" i="114"/>
  <c r="V15" i="114"/>
  <c r="V16" i="114"/>
  <c r="V17" i="114"/>
  <c r="V18" i="114"/>
  <c r="V19" i="114"/>
  <c r="V20" i="114"/>
  <c r="V21" i="114"/>
  <c r="V22" i="114"/>
  <c r="V23" i="114"/>
  <c r="V24" i="114"/>
  <c r="V25" i="114"/>
  <c r="V26" i="114"/>
  <c r="V27" i="114"/>
  <c r="V28" i="114"/>
  <c r="V29" i="114"/>
  <c r="V30" i="114"/>
  <c r="V31" i="114"/>
  <c r="V32" i="114"/>
  <c r="V33" i="114"/>
  <c r="V34" i="114"/>
  <c r="V35" i="114"/>
  <c r="V36" i="114"/>
  <c r="V37" i="114"/>
  <c r="V38" i="114"/>
  <c r="V39" i="114"/>
  <c r="V40" i="114"/>
  <c r="V41" i="114"/>
  <c r="V42" i="114"/>
  <c r="V43" i="114"/>
  <c r="V44" i="114"/>
  <c r="V45" i="114"/>
  <c r="V46" i="114"/>
  <c r="V47" i="114"/>
  <c r="V48" i="114"/>
  <c r="V49" i="114"/>
  <c r="V50" i="114"/>
  <c r="V51" i="114"/>
  <c r="V52" i="114"/>
  <c r="V53" i="114"/>
  <c r="V54" i="114"/>
  <c r="V55" i="114"/>
  <c r="V56" i="114"/>
  <c r="V57" i="114"/>
  <c r="V58" i="114"/>
  <c r="V59" i="114"/>
  <c r="V60" i="114"/>
  <c r="V61" i="114"/>
  <c r="V62" i="114"/>
  <c r="V63" i="114"/>
  <c r="V64" i="114"/>
  <c r="V65" i="114"/>
  <c r="V66" i="114"/>
  <c r="V67" i="114"/>
  <c r="V68" i="114"/>
  <c r="V69" i="114"/>
  <c r="V70" i="114"/>
  <c r="V71" i="114"/>
  <c r="V72" i="114"/>
  <c r="V73" i="114"/>
  <c r="V74" i="114"/>
  <c r="V75" i="114"/>
  <c r="V76" i="114"/>
  <c r="V77" i="114"/>
  <c r="V78" i="114"/>
  <c r="V79" i="114"/>
  <c r="V80" i="114"/>
  <c r="V81" i="114"/>
  <c r="V82" i="114"/>
  <c r="V83" i="114"/>
  <c r="V84" i="114"/>
  <c r="V85" i="114"/>
  <c r="V86" i="114"/>
  <c r="V87" i="114"/>
  <c r="V88" i="114"/>
  <c r="V89" i="114"/>
  <c r="V90" i="114"/>
  <c r="V91" i="114"/>
  <c r="V92" i="114"/>
  <c r="V93" i="114"/>
  <c r="V94" i="114"/>
  <c r="V95" i="114"/>
  <c r="V96" i="114"/>
  <c r="V97" i="114"/>
  <c r="V98" i="114"/>
  <c r="V99" i="114"/>
  <c r="V100" i="114"/>
  <c r="V101" i="114"/>
  <c r="V102" i="114"/>
  <c r="V103" i="114"/>
  <c r="V104" i="114"/>
  <c r="V105" i="114"/>
  <c r="V106" i="114"/>
  <c r="V107" i="114"/>
  <c r="V108" i="114"/>
  <c r="V109" i="114"/>
  <c r="V110" i="114"/>
  <c r="V111" i="114"/>
  <c r="V112" i="114"/>
  <c r="V113" i="114"/>
  <c r="V114" i="114"/>
  <c r="V115" i="114"/>
  <c r="V116" i="114"/>
  <c r="V117" i="114"/>
  <c r="V118" i="114"/>
  <c r="V119" i="114"/>
  <c r="V120" i="114"/>
  <c r="V121" i="114"/>
  <c r="V122" i="114"/>
  <c r="V123" i="114"/>
  <c r="V124" i="114"/>
  <c r="V125" i="114"/>
  <c r="V126" i="114"/>
  <c r="V127" i="114"/>
  <c r="V128" i="114"/>
  <c r="V129" i="114"/>
  <c r="V130" i="114"/>
  <c r="V131" i="114"/>
  <c r="V132" i="114"/>
  <c r="V133" i="114"/>
  <c r="V134" i="114"/>
  <c r="V135" i="114"/>
  <c r="V136" i="114"/>
  <c r="V137" i="114"/>
  <c r="V138" i="114"/>
  <c r="V139" i="114"/>
  <c r="V140" i="114"/>
  <c r="V141" i="114"/>
  <c r="V142" i="114"/>
  <c r="V143" i="114"/>
  <c r="V144" i="114"/>
  <c r="V145" i="114"/>
  <c r="V146" i="114"/>
  <c r="V147" i="114"/>
  <c r="V148" i="114"/>
  <c r="V149" i="114"/>
  <c r="V150" i="114"/>
  <c r="V151" i="114"/>
  <c r="V152" i="114"/>
  <c r="V153" i="114"/>
  <c r="V154" i="114"/>
  <c r="V155" i="114"/>
  <c r="V156" i="114"/>
  <c r="V157" i="114"/>
  <c r="V158" i="114"/>
  <c r="V159" i="114"/>
  <c r="V160" i="114"/>
  <c r="V161" i="114"/>
  <c r="V162" i="114"/>
  <c r="V163" i="114"/>
  <c r="V164" i="114"/>
  <c r="V165" i="114"/>
  <c r="V166" i="114"/>
  <c r="V167" i="114"/>
  <c r="V168" i="114"/>
  <c r="V169" i="114"/>
  <c r="V170" i="114"/>
  <c r="V171" i="114"/>
  <c r="V172" i="114"/>
  <c r="V173" i="114"/>
  <c r="V174" i="114"/>
  <c r="V175" i="114"/>
  <c r="V176" i="114"/>
  <c r="V177" i="114"/>
  <c r="V178" i="114"/>
  <c r="V179" i="114"/>
  <c r="V180" i="114"/>
  <c r="V181" i="114"/>
  <c r="V182" i="114"/>
  <c r="V183" i="114"/>
  <c r="V184" i="114"/>
  <c r="V185" i="114"/>
  <c r="V186" i="114"/>
  <c r="V187" i="114"/>
  <c r="V188" i="114"/>
  <c r="V189" i="114"/>
  <c r="V190" i="114"/>
  <c r="V191" i="114"/>
  <c r="V192" i="114"/>
  <c r="V193" i="114"/>
  <c r="V194" i="114"/>
  <c r="V195" i="114"/>
  <c r="V196" i="114"/>
  <c r="V197" i="114"/>
  <c r="V198" i="114"/>
  <c r="V199" i="114"/>
  <c r="V200" i="114"/>
  <c r="V201" i="114"/>
  <c r="V202" i="114"/>
  <c r="V203" i="114"/>
  <c r="V204" i="114"/>
  <c r="V205" i="114"/>
  <c r="V206" i="114"/>
  <c r="V207" i="114"/>
  <c r="V208" i="114"/>
  <c r="V209" i="114"/>
  <c r="V210" i="114"/>
  <c r="V211" i="114"/>
  <c r="V212" i="114"/>
  <c r="V213" i="114"/>
  <c r="V214" i="114"/>
  <c r="V215" i="114"/>
  <c r="V216" i="114"/>
  <c r="V217" i="114"/>
  <c r="V218" i="114"/>
  <c r="V219" i="114"/>
  <c r="V220" i="114"/>
  <c r="V221" i="114"/>
  <c r="V222" i="114"/>
  <c r="V223" i="114"/>
  <c r="V224" i="114"/>
  <c r="V225" i="114"/>
  <c r="V226" i="114"/>
  <c r="V227" i="114"/>
  <c r="V228" i="114"/>
  <c r="V229" i="114"/>
  <c r="V230" i="114"/>
  <c r="V231" i="114"/>
  <c r="V232" i="114"/>
  <c r="V233" i="114"/>
  <c r="V234" i="114"/>
  <c r="V235" i="114"/>
  <c r="V236" i="114"/>
  <c r="V237" i="114"/>
  <c r="V238" i="114"/>
  <c r="V239" i="114"/>
  <c r="V240" i="114"/>
  <c r="V241" i="114"/>
  <c r="V242" i="114"/>
  <c r="V243" i="114"/>
  <c r="V244" i="114"/>
  <c r="V245" i="114"/>
  <c r="V246" i="114"/>
  <c r="V247" i="114"/>
  <c r="V248" i="114"/>
  <c r="V249" i="114"/>
  <c r="V250" i="114"/>
  <c r="V251" i="114"/>
  <c r="V252" i="114"/>
  <c r="V253" i="114"/>
  <c r="V254" i="114"/>
  <c r="V255" i="114"/>
  <c r="V256" i="114"/>
  <c r="V257" i="114"/>
  <c r="V258" i="114"/>
  <c r="V259" i="114"/>
  <c r="V260" i="114"/>
  <c r="V261" i="114"/>
  <c r="V262" i="114"/>
  <c r="V263" i="114"/>
  <c r="V264" i="114"/>
  <c r="V265" i="114"/>
  <c r="V266" i="114"/>
  <c r="V267" i="114"/>
  <c r="V268" i="114"/>
  <c r="V269" i="114"/>
  <c r="V270" i="114"/>
  <c r="V271" i="114"/>
  <c r="V272" i="114"/>
  <c r="V273" i="114"/>
  <c r="V274" i="114"/>
  <c r="V275" i="114"/>
  <c r="V276" i="114"/>
  <c r="V277" i="114"/>
  <c r="V278" i="114"/>
  <c r="V279" i="114"/>
  <c r="V280" i="114"/>
  <c r="V281" i="114"/>
  <c r="V282" i="114"/>
  <c r="V283" i="114"/>
  <c r="V284" i="114"/>
  <c r="V285" i="114"/>
  <c r="V286" i="114"/>
  <c r="V287" i="114"/>
  <c r="V288" i="114"/>
  <c r="V289" i="114"/>
  <c r="V290" i="114"/>
  <c r="V291" i="114"/>
  <c r="V292" i="114"/>
  <c r="V293" i="114"/>
  <c r="V294" i="114"/>
  <c r="V295" i="114"/>
  <c r="V296" i="114"/>
  <c r="V297" i="114"/>
  <c r="V298" i="114"/>
  <c r="V299" i="114"/>
  <c r="V300" i="114"/>
  <c r="V301" i="114"/>
  <c r="V302" i="114"/>
  <c r="V303" i="114"/>
  <c r="V304" i="114"/>
  <c r="V305" i="114"/>
  <c r="V306" i="114"/>
  <c r="V307" i="114"/>
  <c r="V308" i="114"/>
  <c r="V309" i="114"/>
  <c r="V310" i="114"/>
  <c r="V311" i="114"/>
  <c r="V312" i="114"/>
  <c r="V313" i="114"/>
  <c r="V314" i="114"/>
  <c r="V315" i="114"/>
  <c r="V316" i="114"/>
  <c r="V317" i="114"/>
  <c r="V318" i="114"/>
  <c r="V319" i="114"/>
  <c r="V320" i="114"/>
  <c r="V321" i="114"/>
  <c r="V322" i="114"/>
  <c r="V323" i="114"/>
  <c r="V324" i="114"/>
  <c r="V325" i="114"/>
  <c r="V326" i="114"/>
  <c r="V327" i="114"/>
  <c r="V328" i="114"/>
  <c r="V329" i="114"/>
  <c r="V330" i="114"/>
  <c r="V331" i="114"/>
  <c r="V332" i="114"/>
  <c r="V333" i="114"/>
  <c r="V334" i="114"/>
  <c r="V335" i="114"/>
  <c r="V336" i="114"/>
  <c r="V337" i="114"/>
  <c r="V338" i="114"/>
  <c r="V339" i="114"/>
  <c r="V340" i="114"/>
  <c r="V341" i="114"/>
  <c r="V342" i="114"/>
  <c r="V343" i="114"/>
  <c r="V344" i="114"/>
  <c r="V345" i="114"/>
  <c r="V346" i="114"/>
  <c r="V347" i="114"/>
  <c r="V348" i="114"/>
  <c r="V349" i="114"/>
  <c r="V350" i="114"/>
  <c r="V351" i="114"/>
  <c r="V352" i="114"/>
  <c r="V353" i="114"/>
  <c r="V354" i="114"/>
  <c r="V355" i="114"/>
  <c r="V356" i="114"/>
  <c r="V357" i="114"/>
  <c r="V358" i="114"/>
  <c r="V359" i="114"/>
  <c r="V360" i="114"/>
  <c r="V361" i="114"/>
  <c r="V362" i="114"/>
  <c r="V363" i="114"/>
  <c r="V364" i="114"/>
  <c r="V365" i="114"/>
  <c r="V366" i="114"/>
  <c r="V367" i="114"/>
  <c r="V368" i="114"/>
  <c r="V369" i="114"/>
  <c r="V370" i="114"/>
  <c r="V371" i="114"/>
  <c r="V372" i="114"/>
  <c r="V373" i="114"/>
  <c r="V374" i="114"/>
  <c r="V375" i="114"/>
  <c r="V376" i="114"/>
  <c r="V377" i="114"/>
  <c r="V378" i="114"/>
  <c r="V379" i="114"/>
  <c r="V380" i="114"/>
  <c r="V381" i="114"/>
  <c r="V382" i="114"/>
  <c r="V383" i="114"/>
  <c r="V384" i="114"/>
  <c r="V385" i="114"/>
  <c r="V386" i="114"/>
  <c r="V387" i="114"/>
  <c r="V388" i="114"/>
  <c r="V389" i="114"/>
  <c r="V390" i="114"/>
  <c r="V391" i="114"/>
  <c r="V392" i="114"/>
  <c r="V393" i="114"/>
  <c r="V394" i="114"/>
  <c r="V395" i="114"/>
  <c r="V396" i="114"/>
  <c r="V397" i="114"/>
  <c r="V398" i="114"/>
  <c r="V399" i="114"/>
  <c r="V400" i="114"/>
  <c r="V401" i="114"/>
  <c r="V402" i="114"/>
  <c r="V403" i="114"/>
  <c r="V404" i="114"/>
  <c r="V405" i="114"/>
  <c r="V406" i="114"/>
  <c r="V407" i="114"/>
  <c r="V408" i="114"/>
  <c r="V409" i="114"/>
  <c r="V410" i="114"/>
  <c r="V411" i="114"/>
  <c r="V412" i="114"/>
  <c r="V413" i="114"/>
  <c r="V414" i="114"/>
  <c r="V415" i="114"/>
  <c r="V416" i="114"/>
  <c r="V417" i="114"/>
  <c r="V418" i="114"/>
  <c r="V419" i="114"/>
  <c r="V420" i="114"/>
  <c r="V421" i="114"/>
  <c r="V422" i="114"/>
  <c r="V423" i="114"/>
  <c r="V424" i="114"/>
  <c r="V425" i="114"/>
  <c r="V426" i="114"/>
  <c r="V427" i="114"/>
  <c r="V428" i="114"/>
  <c r="V429" i="114"/>
  <c r="V430" i="114"/>
  <c r="V431" i="114"/>
  <c r="V432" i="114"/>
  <c r="V433" i="114"/>
  <c r="V434" i="114"/>
  <c r="V435" i="114"/>
  <c r="V436" i="114"/>
  <c r="V437" i="114"/>
  <c r="V438" i="114"/>
  <c r="V439" i="114"/>
  <c r="V440" i="114"/>
  <c r="V441" i="114"/>
  <c r="V442" i="114"/>
  <c r="V443" i="114"/>
  <c r="V444" i="114"/>
  <c r="V445" i="114"/>
  <c r="V446" i="114"/>
  <c r="V447" i="114"/>
  <c r="V448" i="114"/>
  <c r="V449" i="114"/>
  <c r="V450" i="114"/>
  <c r="V451" i="114"/>
  <c r="V452" i="114"/>
  <c r="V453" i="114"/>
  <c r="V454" i="114"/>
  <c r="V455" i="114"/>
  <c r="V456" i="114"/>
  <c r="V457" i="114"/>
  <c r="V458" i="114"/>
  <c r="V459" i="114"/>
  <c r="V460" i="114"/>
  <c r="V461" i="114"/>
  <c r="V462" i="114"/>
  <c r="V463" i="114"/>
  <c r="V464" i="114"/>
  <c r="V465" i="114"/>
  <c r="V466" i="114"/>
  <c r="V467" i="114"/>
  <c r="V468" i="114"/>
  <c r="V469" i="114"/>
  <c r="V470" i="114"/>
  <c r="V471" i="114"/>
  <c r="V472" i="114"/>
  <c r="V473" i="114"/>
  <c r="V474" i="114"/>
  <c r="V475" i="114"/>
  <c r="V476" i="114"/>
  <c r="V477" i="114"/>
  <c r="V478" i="114"/>
  <c r="V479" i="114"/>
  <c r="V480" i="114"/>
  <c r="V481" i="114"/>
  <c r="V482" i="114"/>
  <c r="V483" i="114"/>
  <c r="V484" i="114"/>
  <c r="V485" i="114"/>
  <c r="V486" i="114"/>
  <c r="V487" i="114"/>
  <c r="V488" i="114"/>
  <c r="V489" i="114"/>
  <c r="V490" i="114"/>
  <c r="V491" i="114"/>
  <c r="V492" i="114"/>
  <c r="V493" i="114"/>
  <c r="V494" i="114"/>
  <c r="V495" i="114"/>
  <c r="V496" i="114"/>
  <c r="V497" i="114"/>
  <c r="V498" i="114"/>
  <c r="V499" i="114"/>
  <c r="V500" i="114"/>
  <c r="V501" i="114"/>
  <c r="V502" i="114"/>
  <c r="V503" i="114"/>
  <c r="V504" i="114"/>
  <c r="V505" i="114"/>
  <c r="V506" i="114"/>
  <c r="V507" i="114"/>
  <c r="V508" i="114"/>
  <c r="V509" i="114"/>
  <c r="V510" i="114"/>
  <c r="V511" i="114"/>
  <c r="V512" i="114"/>
  <c r="V513" i="114"/>
  <c r="V514" i="114"/>
  <c r="V515" i="114"/>
  <c r="V516" i="114"/>
  <c r="V517" i="114"/>
  <c r="V518" i="114"/>
  <c r="V519" i="114"/>
  <c r="V520" i="114"/>
  <c r="V521" i="114"/>
  <c r="V522" i="114"/>
  <c r="V523" i="114"/>
  <c r="V524" i="114"/>
  <c r="V525" i="114"/>
  <c r="V526" i="114"/>
  <c r="V527" i="114"/>
  <c r="V528" i="114"/>
  <c r="V529" i="114"/>
  <c r="V530" i="114"/>
  <c r="V531" i="114"/>
  <c r="V532" i="114"/>
  <c r="V533" i="114"/>
  <c r="V534" i="114"/>
  <c r="V535" i="114"/>
  <c r="V536" i="114"/>
  <c r="V537" i="114"/>
  <c r="V538" i="114"/>
  <c r="V539" i="114"/>
  <c r="V540" i="114"/>
  <c r="V541" i="114"/>
  <c r="V542" i="114"/>
  <c r="V543" i="114"/>
  <c r="V544" i="114"/>
  <c r="V545" i="114"/>
  <c r="V546" i="114"/>
  <c r="V547" i="114"/>
  <c r="V548" i="114"/>
  <c r="V549" i="114"/>
  <c r="V550" i="114"/>
  <c r="V551" i="114"/>
  <c r="V552" i="114"/>
  <c r="V553" i="114"/>
  <c r="V554" i="114"/>
  <c r="V555" i="114"/>
  <c r="V556" i="114"/>
  <c r="V557" i="114"/>
  <c r="V558" i="114"/>
  <c r="V559" i="114"/>
  <c r="V560" i="114"/>
  <c r="V561" i="114"/>
  <c r="V562" i="114"/>
  <c r="V563" i="114"/>
  <c r="V564" i="114"/>
  <c r="V565" i="114"/>
  <c r="V566" i="114"/>
  <c r="V567" i="114"/>
  <c r="V568" i="114"/>
  <c r="V569" i="114"/>
  <c r="V570" i="114"/>
  <c r="V571" i="114"/>
  <c r="V572" i="114"/>
  <c r="V573" i="114"/>
  <c r="V574" i="114"/>
  <c r="V575" i="114"/>
  <c r="V576" i="114"/>
  <c r="V577" i="114"/>
  <c r="V578" i="114"/>
  <c r="V579" i="114"/>
  <c r="V580" i="114"/>
  <c r="V581" i="114"/>
  <c r="V582" i="114"/>
  <c r="V583" i="114"/>
  <c r="V584" i="114"/>
  <c r="V585" i="114"/>
  <c r="V586" i="114"/>
  <c r="V587" i="114"/>
  <c r="V588" i="114"/>
  <c r="V589" i="114"/>
  <c r="V590" i="114"/>
  <c r="V591" i="114"/>
  <c r="V592" i="114"/>
  <c r="V593" i="114"/>
  <c r="V594" i="114"/>
  <c r="V595" i="114"/>
  <c r="V596" i="114"/>
  <c r="V597" i="114"/>
  <c r="V598" i="114"/>
  <c r="V599" i="114"/>
  <c r="V600" i="114"/>
  <c r="V601" i="114"/>
  <c r="V602" i="114"/>
  <c r="V603" i="114"/>
  <c r="V604" i="114"/>
  <c r="V605" i="114"/>
  <c r="V606" i="114"/>
  <c r="V607" i="114"/>
  <c r="V608" i="114"/>
  <c r="V609" i="114"/>
  <c r="V610" i="114"/>
  <c r="V611" i="114"/>
  <c r="V612" i="114"/>
  <c r="V613" i="114"/>
  <c r="V614" i="114"/>
  <c r="V615" i="114"/>
  <c r="V616" i="114"/>
  <c r="V617" i="114"/>
  <c r="V618" i="114"/>
  <c r="V619" i="114"/>
  <c r="V620" i="114"/>
  <c r="V621" i="114"/>
  <c r="V622" i="114"/>
  <c r="V623" i="114"/>
  <c r="V624" i="114"/>
  <c r="V625" i="114"/>
  <c r="V626" i="114"/>
  <c r="V627" i="114"/>
  <c r="V628" i="114"/>
  <c r="V629" i="114"/>
  <c r="V630" i="114"/>
  <c r="V631" i="114"/>
  <c r="V632" i="114"/>
  <c r="V633" i="114"/>
  <c r="V634" i="114"/>
  <c r="V635" i="114"/>
  <c r="V636" i="114"/>
  <c r="V637" i="114"/>
  <c r="V638" i="114"/>
  <c r="V639" i="114"/>
  <c r="V640" i="114"/>
  <c r="V641" i="114"/>
  <c r="V642" i="114"/>
  <c r="V643" i="114"/>
  <c r="V644" i="114"/>
  <c r="V645" i="114"/>
  <c r="V646" i="114"/>
  <c r="V647" i="114"/>
  <c r="V648" i="114"/>
  <c r="V649" i="114"/>
  <c r="V650" i="114"/>
  <c r="V651" i="114"/>
  <c r="V652" i="114"/>
  <c r="V653" i="114"/>
  <c r="V654" i="114"/>
  <c r="V655" i="114"/>
  <c r="V656" i="114"/>
  <c r="V657" i="114"/>
  <c r="V658" i="114"/>
  <c r="V659" i="114"/>
  <c r="V660" i="114"/>
  <c r="V661" i="114"/>
  <c r="V662" i="114"/>
  <c r="V663" i="114"/>
  <c r="V664" i="114"/>
  <c r="V665" i="114"/>
  <c r="V666" i="114"/>
  <c r="V667" i="114"/>
  <c r="V668" i="114"/>
  <c r="V669" i="114"/>
  <c r="V670" i="114"/>
  <c r="V671" i="114"/>
  <c r="V672" i="114"/>
  <c r="V673" i="114"/>
  <c r="V674" i="114"/>
  <c r="V675" i="114"/>
  <c r="V676" i="114"/>
  <c r="V677" i="114"/>
  <c r="V678" i="114"/>
  <c r="V679" i="114"/>
  <c r="V680" i="114"/>
  <c r="V681" i="114"/>
  <c r="V682" i="114"/>
  <c r="V683" i="114"/>
  <c r="V684" i="114"/>
  <c r="V685" i="114"/>
  <c r="V686" i="114"/>
  <c r="V687" i="114"/>
  <c r="V688" i="114"/>
  <c r="V689" i="114"/>
  <c r="V690" i="114"/>
  <c r="V691" i="114"/>
  <c r="V692" i="114"/>
  <c r="V693" i="114"/>
  <c r="V694" i="114"/>
  <c r="V695" i="114"/>
  <c r="V696" i="114"/>
  <c r="V697" i="114"/>
  <c r="V698" i="114"/>
  <c r="V699" i="114"/>
  <c r="V700" i="114"/>
  <c r="V701" i="114"/>
  <c r="V702" i="114"/>
  <c r="V703" i="114"/>
  <c r="V704" i="114"/>
  <c r="V705" i="114"/>
  <c r="V706" i="114"/>
  <c r="V707" i="114"/>
  <c r="V708" i="114"/>
  <c r="V709" i="114"/>
  <c r="V710" i="114"/>
  <c r="V711" i="114"/>
  <c r="V712" i="114"/>
  <c r="V713" i="114"/>
  <c r="V714" i="114"/>
  <c r="V715" i="114"/>
  <c r="V716" i="114"/>
  <c r="V717" i="114"/>
  <c r="V718" i="114"/>
  <c r="V719" i="114"/>
  <c r="V720" i="114"/>
  <c r="V721" i="114"/>
  <c r="V722" i="114"/>
  <c r="V723" i="114"/>
  <c r="V724" i="114"/>
  <c r="V725" i="114"/>
  <c r="V726" i="114"/>
  <c r="V727" i="114"/>
  <c r="V728" i="114"/>
  <c r="V729" i="114"/>
  <c r="V730" i="114"/>
  <c r="V731" i="114"/>
  <c r="V732" i="114"/>
  <c r="V733" i="114"/>
  <c r="V734" i="114"/>
  <c r="V735" i="114"/>
  <c r="V736" i="114"/>
  <c r="V737" i="114"/>
  <c r="V738" i="114"/>
  <c r="V739" i="114"/>
  <c r="V740" i="114"/>
  <c r="V741" i="114"/>
  <c r="V742" i="114"/>
  <c r="V743" i="114"/>
  <c r="V744" i="114"/>
  <c r="V745" i="114"/>
  <c r="V746" i="114"/>
  <c r="V747" i="114"/>
  <c r="V748" i="114"/>
  <c r="V749" i="114"/>
  <c r="V750" i="114"/>
  <c r="V751" i="114"/>
  <c r="V752" i="114"/>
  <c r="V753" i="114"/>
  <c r="V754" i="114"/>
  <c r="V755" i="114"/>
  <c r="V756" i="114"/>
  <c r="V757" i="114"/>
  <c r="V758" i="114"/>
  <c r="V759" i="114"/>
  <c r="V760" i="114"/>
  <c r="V761" i="114"/>
  <c r="V762" i="114"/>
  <c r="V763" i="114"/>
  <c r="V764" i="114"/>
  <c r="V765" i="114"/>
  <c r="V766" i="114"/>
  <c r="V767" i="114"/>
  <c r="V768" i="114"/>
  <c r="V769" i="114"/>
  <c r="V770" i="114"/>
  <c r="V771" i="114"/>
  <c r="V772" i="114"/>
  <c r="V773" i="114"/>
  <c r="V774" i="114"/>
  <c r="V775" i="114"/>
  <c r="V776" i="114"/>
  <c r="V777" i="114"/>
  <c r="V778" i="114"/>
  <c r="V779" i="114"/>
  <c r="V780" i="114"/>
  <c r="V781" i="114"/>
  <c r="V782" i="114"/>
  <c r="V783" i="114"/>
  <c r="V784" i="114"/>
  <c r="V785" i="114"/>
  <c r="V786" i="114"/>
  <c r="V787" i="114"/>
  <c r="V788" i="114"/>
  <c r="V789" i="114"/>
  <c r="V790" i="114"/>
  <c r="V791" i="114"/>
  <c r="V792" i="114"/>
  <c r="V793" i="114"/>
  <c r="V794" i="114"/>
  <c r="V795" i="114"/>
  <c r="V796" i="114"/>
  <c r="V797" i="114"/>
  <c r="V798" i="114"/>
  <c r="V799" i="114"/>
  <c r="V800" i="114"/>
  <c r="V801" i="114"/>
  <c r="V802" i="114"/>
  <c r="V803" i="114"/>
  <c r="V804" i="114"/>
  <c r="V805" i="114"/>
  <c r="V806" i="114"/>
  <c r="V807" i="114"/>
  <c r="V808" i="114"/>
  <c r="V809" i="114"/>
  <c r="V810" i="114"/>
  <c r="V811" i="114"/>
  <c r="V812" i="114"/>
  <c r="V813" i="114"/>
  <c r="V814" i="114"/>
  <c r="V815" i="114"/>
  <c r="V816" i="114"/>
  <c r="V817" i="114"/>
  <c r="V818" i="114"/>
  <c r="V819" i="114"/>
  <c r="V820" i="114"/>
  <c r="V821" i="114"/>
  <c r="V822" i="114"/>
  <c r="V823" i="114"/>
  <c r="V824" i="114"/>
  <c r="V825" i="114"/>
  <c r="V826" i="114"/>
  <c r="V827" i="114"/>
  <c r="V828" i="114"/>
  <c r="V829" i="114"/>
  <c r="V830" i="114"/>
  <c r="V831" i="114"/>
  <c r="V832" i="114"/>
  <c r="V833" i="114"/>
  <c r="V834" i="114"/>
  <c r="V835" i="114"/>
  <c r="V836" i="114"/>
  <c r="V837" i="114"/>
  <c r="V838" i="114"/>
  <c r="V839" i="114"/>
  <c r="V840" i="114"/>
  <c r="V841" i="114"/>
  <c r="V842" i="114"/>
  <c r="V843" i="114"/>
  <c r="V844" i="114"/>
  <c r="V845" i="114"/>
  <c r="V846" i="114"/>
  <c r="V847" i="114"/>
  <c r="V848" i="114"/>
  <c r="V849" i="114"/>
  <c r="V850" i="114"/>
  <c r="V851" i="114"/>
  <c r="V852" i="114"/>
  <c r="V853" i="114"/>
  <c r="V854" i="114"/>
  <c r="V855" i="114"/>
  <c r="V856" i="114"/>
  <c r="V857" i="114"/>
  <c r="V858" i="114"/>
  <c r="V859" i="114"/>
  <c r="V860" i="114"/>
  <c r="V861" i="114"/>
  <c r="V862" i="114"/>
  <c r="V863" i="114"/>
  <c r="V864" i="114"/>
  <c r="V865" i="114"/>
  <c r="V866" i="114"/>
  <c r="V867" i="114"/>
  <c r="V868" i="114"/>
  <c r="V869" i="114"/>
  <c r="V870" i="114"/>
  <c r="V871" i="114"/>
  <c r="V872" i="114"/>
  <c r="V873" i="114"/>
  <c r="V874" i="114"/>
  <c r="V875" i="114"/>
  <c r="V876" i="114"/>
  <c r="V877" i="114"/>
  <c r="V878" i="114"/>
  <c r="V879" i="114"/>
  <c r="V880" i="114"/>
  <c r="V881" i="114"/>
  <c r="V882" i="114"/>
  <c r="V883" i="114"/>
  <c r="V884" i="114"/>
  <c r="V885" i="114"/>
  <c r="V886" i="114"/>
  <c r="V887" i="114"/>
  <c r="V888" i="114"/>
  <c r="V889" i="114"/>
  <c r="V890" i="114"/>
  <c r="V891" i="114"/>
  <c r="V892" i="114"/>
  <c r="V893" i="114"/>
  <c r="V894" i="114"/>
  <c r="V895" i="114"/>
  <c r="V896" i="114"/>
  <c r="V897" i="114"/>
  <c r="V898" i="114"/>
  <c r="V899" i="114"/>
  <c r="V900" i="114"/>
  <c r="V901" i="114"/>
  <c r="V902" i="114"/>
  <c r="V903" i="114"/>
  <c r="V904" i="114"/>
  <c r="V905" i="114"/>
  <c r="V906" i="114"/>
  <c r="V907" i="114"/>
  <c r="V908" i="114"/>
  <c r="V909" i="114"/>
  <c r="V910" i="114"/>
  <c r="V911" i="114"/>
  <c r="V912" i="114"/>
  <c r="V913" i="114"/>
  <c r="V914" i="114"/>
  <c r="V915" i="114"/>
  <c r="V916" i="114"/>
  <c r="V917" i="114"/>
  <c r="V918" i="114"/>
  <c r="V919" i="114"/>
  <c r="V920" i="114"/>
  <c r="V921" i="114"/>
  <c r="V922" i="114"/>
  <c r="V923" i="114"/>
  <c r="V924" i="114"/>
  <c r="V925" i="114"/>
  <c r="V926" i="114"/>
  <c r="V927" i="114"/>
  <c r="V928" i="114"/>
  <c r="V929" i="114"/>
  <c r="V930" i="114"/>
  <c r="V931" i="114"/>
  <c r="V932" i="114"/>
  <c r="V933" i="114"/>
  <c r="V934" i="114"/>
  <c r="V935" i="114"/>
  <c r="V936" i="114"/>
  <c r="V937" i="114"/>
  <c r="V938" i="114"/>
  <c r="V939" i="114"/>
  <c r="V940" i="114"/>
  <c r="V941" i="114"/>
  <c r="V942" i="114"/>
  <c r="V943" i="114"/>
  <c r="V944" i="114"/>
  <c r="V945" i="114"/>
  <c r="V946" i="114"/>
  <c r="V947" i="114"/>
  <c r="V948" i="114"/>
  <c r="V949" i="114"/>
  <c r="V950" i="114"/>
  <c r="V951" i="114"/>
  <c r="V952" i="114"/>
  <c r="V953" i="114"/>
  <c r="V954" i="114"/>
  <c r="V955" i="114"/>
  <c r="V956" i="114"/>
  <c r="V957" i="114"/>
  <c r="V958" i="114"/>
  <c r="V959" i="114"/>
  <c r="V960" i="114"/>
  <c r="V961" i="114"/>
  <c r="V962" i="114"/>
  <c r="V963" i="114"/>
  <c r="V964" i="114"/>
  <c r="V965" i="114"/>
  <c r="V966" i="114"/>
  <c r="V967" i="114"/>
  <c r="V968" i="114"/>
  <c r="V969" i="114"/>
  <c r="V970" i="114"/>
  <c r="V971" i="114"/>
  <c r="V972" i="114"/>
  <c r="V973" i="114"/>
  <c r="V974" i="114"/>
  <c r="V975" i="114"/>
  <c r="V976" i="114"/>
  <c r="V977" i="114"/>
  <c r="V978" i="114"/>
  <c r="V979" i="114"/>
  <c r="V980" i="114"/>
  <c r="V981" i="114"/>
  <c r="V982" i="114"/>
  <c r="V983" i="114"/>
  <c r="V984" i="114"/>
  <c r="V985" i="114"/>
  <c r="V986" i="114"/>
  <c r="V987" i="114"/>
  <c r="V988" i="114"/>
  <c r="V989" i="114"/>
  <c r="V990" i="114"/>
  <c r="V991" i="114"/>
  <c r="V992" i="114"/>
  <c r="V993" i="114"/>
  <c r="V994" i="114"/>
  <c r="V995" i="114"/>
  <c r="V996" i="114"/>
  <c r="V997" i="114"/>
  <c r="V998" i="114"/>
  <c r="V999" i="114"/>
  <c r="V1000" i="114"/>
  <c r="V1001" i="114"/>
  <c r="V1002" i="114"/>
  <c r="V1003" i="114"/>
  <c r="V1004" i="114"/>
  <c r="V1005" i="114"/>
  <c r="V1006" i="114"/>
  <c r="V1007" i="114"/>
  <c r="V1008" i="114"/>
  <c r="V1009" i="114"/>
  <c r="V1010" i="114"/>
  <c r="V1011" i="114"/>
  <c r="V1012" i="114"/>
  <c r="V1013" i="114"/>
  <c r="V1014" i="114"/>
  <c r="V1015" i="114"/>
  <c r="V1016" i="114"/>
  <c r="V1017" i="114"/>
  <c r="V1018" i="114"/>
  <c r="V1019" i="114"/>
  <c r="V1020" i="114"/>
  <c r="V1021" i="114"/>
  <c r="V1022" i="114"/>
  <c r="V1023" i="114"/>
  <c r="V1024" i="114"/>
  <c r="V1025" i="114"/>
  <c r="V1026" i="114"/>
  <c r="V1027" i="114"/>
  <c r="V1028" i="114"/>
  <c r="V1029" i="114"/>
  <c r="V1030" i="114"/>
  <c r="V1031" i="114"/>
  <c r="V1032" i="114"/>
  <c r="V1033" i="114"/>
  <c r="V1034" i="114"/>
  <c r="V1035" i="114"/>
  <c r="V1036" i="114"/>
  <c r="V1037" i="114"/>
  <c r="V1038" i="114"/>
  <c r="V1039" i="114"/>
  <c r="V1040" i="114"/>
  <c r="V1041" i="114"/>
  <c r="V1042" i="114"/>
  <c r="V1043" i="114"/>
  <c r="V1044" i="114"/>
  <c r="V1045" i="114"/>
  <c r="V1046" i="114"/>
  <c r="V1047" i="114"/>
  <c r="V1048" i="114"/>
  <c r="V1049" i="114"/>
  <c r="V1050" i="114"/>
  <c r="V1051" i="114"/>
  <c r="V1052" i="114"/>
  <c r="V1053" i="114"/>
  <c r="V1054" i="114"/>
  <c r="V1055" i="114"/>
  <c r="V1056" i="114"/>
  <c r="V1057" i="114"/>
  <c r="V1058" i="114"/>
  <c r="V1059" i="114"/>
  <c r="V1060" i="114"/>
  <c r="V1061" i="114"/>
  <c r="V1062" i="114"/>
  <c r="V1063" i="114"/>
  <c r="V1064" i="114"/>
  <c r="V1065" i="114"/>
  <c r="V1066" i="114"/>
  <c r="V1067" i="114"/>
  <c r="V1068" i="114"/>
  <c r="V1069" i="114"/>
  <c r="V1070" i="114"/>
  <c r="V1071" i="114"/>
  <c r="V1072" i="114"/>
  <c r="V1073" i="114"/>
  <c r="V1074" i="114"/>
  <c r="V1075" i="114"/>
  <c r="V1076" i="114"/>
  <c r="V1077" i="114"/>
  <c r="V1078" i="114"/>
  <c r="V1079" i="114"/>
  <c r="V1080" i="114"/>
  <c r="V1081" i="114"/>
  <c r="V1082" i="114"/>
  <c r="V1083" i="114"/>
  <c r="V1084" i="114"/>
  <c r="V1085" i="114"/>
  <c r="V1086" i="114"/>
  <c r="V1087" i="114"/>
  <c r="V1088" i="114"/>
  <c r="V1089" i="114"/>
  <c r="V1090" i="114"/>
  <c r="V1091" i="114"/>
  <c r="V1092" i="114"/>
  <c r="V1093" i="114"/>
  <c r="V1094" i="114"/>
  <c r="V1095" i="114"/>
  <c r="V1096" i="114"/>
  <c r="V1097" i="114"/>
  <c r="V1098" i="114"/>
  <c r="V1099" i="114"/>
  <c r="V1100" i="114"/>
  <c r="V1101" i="114"/>
  <c r="V1102" i="114"/>
  <c r="V1103" i="114"/>
  <c r="V1104" i="114"/>
  <c r="V1105" i="114"/>
  <c r="V1106" i="114"/>
  <c r="V1107" i="114"/>
  <c r="V1108" i="114"/>
  <c r="V1109" i="114"/>
  <c r="V1110" i="114"/>
  <c r="V1111" i="114"/>
  <c r="V1112" i="114"/>
  <c r="V1113" i="114"/>
  <c r="V1114" i="114"/>
  <c r="V1115" i="114"/>
  <c r="V1116" i="114"/>
  <c r="V1117" i="114"/>
  <c r="V1118" i="114"/>
  <c r="V1119" i="114"/>
  <c r="V1120" i="114"/>
  <c r="V1121" i="114"/>
  <c r="V1122" i="114"/>
  <c r="V1123" i="114"/>
  <c r="V1124" i="114"/>
  <c r="V1125" i="114"/>
  <c r="V1126" i="114"/>
  <c r="V1127" i="114"/>
  <c r="V1128" i="114"/>
  <c r="V1129" i="114"/>
  <c r="V1130" i="114"/>
  <c r="V1131" i="114"/>
  <c r="V1132" i="114"/>
  <c r="V1133" i="114"/>
  <c r="V1134" i="114"/>
  <c r="V1135" i="114"/>
  <c r="V1136" i="114"/>
  <c r="V1137" i="114"/>
  <c r="V1138" i="114"/>
  <c r="V1139" i="114"/>
  <c r="V1140" i="114"/>
  <c r="V1141" i="114"/>
  <c r="V1142" i="114"/>
  <c r="V1143" i="114"/>
  <c r="V1144" i="114"/>
  <c r="V1145" i="114"/>
  <c r="V1146" i="114"/>
  <c r="V1147" i="114"/>
  <c r="V1148" i="114"/>
  <c r="V1149" i="114"/>
  <c r="V1150" i="114"/>
  <c r="V1151" i="114"/>
  <c r="V1152" i="114"/>
  <c r="V1153" i="114"/>
  <c r="V1154" i="114"/>
  <c r="V1155" i="114"/>
  <c r="V1156" i="114"/>
  <c r="V1157" i="114"/>
  <c r="V1158" i="114"/>
  <c r="V1159" i="114"/>
  <c r="V1160" i="114"/>
  <c r="V1161" i="114"/>
  <c r="V1162" i="114"/>
  <c r="V1163" i="114"/>
  <c r="V1164" i="114"/>
  <c r="V1165" i="114"/>
  <c r="V1166" i="114"/>
  <c r="V1167" i="114"/>
  <c r="V1168" i="114"/>
  <c r="V1169" i="114"/>
  <c r="V1170" i="114"/>
  <c r="V1171" i="114"/>
  <c r="V1172" i="114"/>
  <c r="V1173" i="114"/>
  <c r="V1174" i="114"/>
  <c r="V1175" i="114"/>
  <c r="V1176" i="114"/>
  <c r="V1177" i="114"/>
  <c r="V1178" i="114"/>
  <c r="V1179" i="114"/>
  <c r="V1180" i="114"/>
  <c r="V1181" i="114"/>
  <c r="V1182" i="114"/>
  <c r="V1183" i="114"/>
  <c r="V1184" i="114"/>
  <c r="V1185" i="114"/>
  <c r="V1186" i="114"/>
  <c r="V1187" i="114"/>
  <c r="V1188" i="114"/>
  <c r="V1189" i="114"/>
  <c r="V1190" i="114"/>
  <c r="V1191" i="114"/>
  <c r="V1192" i="114"/>
  <c r="V1193" i="114"/>
  <c r="V1194" i="114"/>
  <c r="V1195" i="114"/>
  <c r="V1196" i="114"/>
  <c r="V1197" i="114"/>
  <c r="V1198" i="114"/>
  <c r="V1199" i="114"/>
  <c r="V1200" i="114"/>
  <c r="V1201" i="114"/>
  <c r="V1202" i="114"/>
  <c r="V1203" i="114"/>
  <c r="V1204" i="114"/>
  <c r="V1205" i="114"/>
  <c r="V1206" i="114"/>
  <c r="V1207" i="114"/>
  <c r="V1208" i="114"/>
  <c r="V1209" i="114"/>
  <c r="V1210" i="114"/>
  <c r="V1211" i="114"/>
  <c r="V1212" i="114"/>
  <c r="V1213" i="114"/>
  <c r="V1214" i="114"/>
  <c r="V1215" i="114"/>
  <c r="V1216" i="114"/>
  <c r="V1217" i="114"/>
  <c r="V1218" i="114"/>
  <c r="V1219" i="114"/>
  <c r="V1220" i="114"/>
  <c r="V1221" i="114"/>
  <c r="V1222" i="114"/>
  <c r="V1223" i="114"/>
  <c r="V1224" i="114"/>
  <c r="V1225" i="114"/>
  <c r="V1226" i="114"/>
  <c r="V1227" i="114"/>
  <c r="V1228" i="114"/>
  <c r="V1229" i="114"/>
  <c r="V1230" i="114"/>
  <c r="V1231" i="114"/>
  <c r="V1232" i="114"/>
  <c r="V1233" i="114"/>
  <c r="V1234" i="114"/>
  <c r="V1235" i="114"/>
  <c r="V1236" i="114"/>
  <c r="V1237" i="114"/>
  <c r="V1238" i="114"/>
  <c r="V1239" i="114"/>
  <c r="V1240" i="114"/>
  <c r="V1241" i="114"/>
  <c r="V1242" i="114"/>
  <c r="V1243" i="114"/>
  <c r="V1244" i="114"/>
  <c r="V1245" i="114"/>
  <c r="V1246" i="114"/>
  <c r="V1247" i="114"/>
  <c r="V1248" i="114"/>
  <c r="V1249" i="114"/>
  <c r="V1250" i="114"/>
  <c r="V1251" i="114"/>
  <c r="V1252" i="114"/>
  <c r="V1253" i="114"/>
  <c r="V1254" i="114"/>
  <c r="V1255" i="114"/>
  <c r="V1256" i="114"/>
  <c r="V1257" i="114"/>
  <c r="V1258" i="114"/>
  <c r="V1259" i="114"/>
  <c r="V1260" i="114"/>
  <c r="V1261" i="114"/>
  <c r="V1262" i="114"/>
  <c r="V1263" i="114"/>
  <c r="V1264" i="114"/>
  <c r="V1265" i="114"/>
  <c r="V1266" i="114"/>
  <c r="V1267" i="114"/>
  <c r="V1268" i="114"/>
  <c r="V1269" i="114"/>
  <c r="V1270" i="114"/>
  <c r="V1271" i="114"/>
  <c r="V1272" i="114"/>
  <c r="V1273" i="114"/>
  <c r="V1274" i="114"/>
  <c r="V1275" i="114"/>
  <c r="V1276" i="114"/>
  <c r="V1277" i="114"/>
  <c r="V1278" i="114"/>
  <c r="V1279" i="114"/>
  <c r="V1280" i="114"/>
  <c r="V1281" i="114"/>
  <c r="V1282" i="114"/>
  <c r="V1283" i="114"/>
  <c r="V1284" i="114"/>
  <c r="V1285" i="114"/>
  <c r="V1286" i="114"/>
  <c r="V1287" i="114"/>
  <c r="V1288" i="114"/>
  <c r="V1289" i="114"/>
  <c r="V1290" i="114"/>
  <c r="V1291" i="114"/>
  <c r="V1292" i="114"/>
  <c r="V1293" i="114"/>
  <c r="V1294" i="114"/>
  <c r="V1295" i="114"/>
  <c r="V1296" i="114"/>
  <c r="V1297" i="114"/>
  <c r="V1298" i="114"/>
  <c r="V1299" i="114"/>
  <c r="V1300" i="114"/>
  <c r="V1301" i="114"/>
  <c r="V1302" i="114"/>
  <c r="V1303" i="114"/>
  <c r="V1304" i="114"/>
  <c r="V1305" i="114"/>
  <c r="V1306" i="114"/>
  <c r="V1307" i="114"/>
  <c r="V1308" i="114"/>
  <c r="V1309" i="114"/>
  <c r="V1310" i="114"/>
  <c r="V1311" i="114"/>
  <c r="V1312" i="114"/>
  <c r="V1313" i="114"/>
  <c r="V1314" i="114"/>
  <c r="V1315" i="114"/>
  <c r="V1316" i="114"/>
  <c r="V1317" i="114"/>
  <c r="V1318" i="114"/>
  <c r="V1319" i="114"/>
  <c r="V1320" i="114"/>
  <c r="V1321" i="114"/>
  <c r="V1322" i="114"/>
  <c r="V1323" i="114"/>
  <c r="V1324" i="114"/>
  <c r="V1325" i="114"/>
  <c r="V1326" i="114"/>
  <c r="V1327" i="114"/>
  <c r="V1328" i="114"/>
  <c r="V1329" i="114"/>
  <c r="V1330" i="114"/>
  <c r="V1331" i="114"/>
  <c r="V1332" i="114"/>
  <c r="V1333" i="114"/>
  <c r="V1334" i="114"/>
  <c r="V1335" i="114"/>
  <c r="V1336" i="114"/>
  <c r="V1337" i="114"/>
  <c r="V1338" i="114"/>
  <c r="V1339" i="114"/>
  <c r="V1340" i="114"/>
  <c r="V1341" i="114"/>
  <c r="V1342" i="114"/>
  <c r="V1343" i="114"/>
  <c r="V1344" i="114"/>
  <c r="V1345" i="114"/>
  <c r="V1346" i="114"/>
  <c r="V1347" i="114"/>
  <c r="V1348" i="114"/>
  <c r="V1349" i="114"/>
  <c r="V1350" i="114"/>
  <c r="V1351" i="114"/>
  <c r="V1352" i="114"/>
  <c r="V1353" i="114"/>
  <c r="V1354" i="114"/>
  <c r="V1355" i="114"/>
  <c r="V1356" i="114"/>
  <c r="V1357" i="114"/>
  <c r="V1358" i="114"/>
  <c r="V1359" i="114"/>
  <c r="V1360" i="114"/>
  <c r="V1361" i="114"/>
  <c r="V1362" i="114"/>
  <c r="V1363" i="114"/>
  <c r="V1364" i="114"/>
  <c r="V1365" i="114"/>
  <c r="V1366" i="114"/>
  <c r="V1367" i="114"/>
  <c r="V1368" i="114"/>
  <c r="V1369" i="114"/>
  <c r="V1370" i="114"/>
  <c r="V1371" i="114"/>
  <c r="V1372" i="114"/>
  <c r="V1373" i="114"/>
  <c r="V1374" i="114"/>
  <c r="V1375" i="114"/>
  <c r="V1376" i="114"/>
  <c r="V1377" i="114"/>
  <c r="V1378" i="114"/>
  <c r="V1379" i="114"/>
  <c r="V1380" i="114"/>
  <c r="V1381" i="114"/>
  <c r="V1382" i="114"/>
  <c r="V1383" i="114"/>
  <c r="V1384" i="114"/>
  <c r="V1385" i="114"/>
  <c r="V1386" i="114"/>
  <c r="V1387" i="114"/>
  <c r="V1388" i="114"/>
  <c r="V1389" i="114"/>
  <c r="V1390" i="114"/>
  <c r="V1391" i="114"/>
  <c r="V1392" i="114"/>
  <c r="V1393" i="114"/>
  <c r="V1394" i="114"/>
  <c r="V1395" i="114"/>
  <c r="V1396" i="114"/>
  <c r="V1397" i="114"/>
  <c r="V1398" i="114"/>
  <c r="V1399" i="114"/>
  <c r="V1400" i="114"/>
  <c r="V1401" i="114"/>
  <c r="V1402" i="114"/>
  <c r="V1403" i="114"/>
  <c r="V1404" i="114"/>
  <c r="V1405" i="114"/>
  <c r="V1406" i="114"/>
  <c r="V1407" i="114"/>
  <c r="V1408" i="114"/>
  <c r="V1409" i="114"/>
  <c r="V1410" i="114"/>
  <c r="V1411" i="114"/>
  <c r="V1412" i="114"/>
  <c r="V1413" i="114"/>
  <c r="V1414" i="114"/>
  <c r="V1415" i="114"/>
  <c r="V1416" i="114"/>
  <c r="V1417" i="114"/>
  <c r="V1418" i="114"/>
  <c r="V1419" i="114"/>
  <c r="V1420" i="114"/>
  <c r="V1421" i="114"/>
  <c r="V1422" i="114"/>
  <c r="V1423" i="114"/>
  <c r="V1424" i="114"/>
  <c r="V1425" i="114"/>
  <c r="V1426" i="114"/>
  <c r="V1427" i="114"/>
  <c r="V1428" i="114"/>
  <c r="V1429" i="114"/>
  <c r="V1430" i="114"/>
  <c r="V1431" i="114"/>
  <c r="V1432" i="114"/>
  <c r="V1433" i="114"/>
  <c r="V1434" i="114"/>
  <c r="V1435" i="114"/>
  <c r="V1436" i="114"/>
  <c r="V1437" i="114"/>
  <c r="V1438" i="114"/>
  <c r="V1439" i="114"/>
  <c r="V1440" i="114"/>
  <c r="V1441" i="114"/>
  <c r="V1442" i="114"/>
  <c r="V1443" i="114"/>
  <c r="V1444" i="114"/>
  <c r="V1445" i="114"/>
  <c r="V1446" i="114"/>
  <c r="V1447" i="114"/>
  <c r="V1448" i="114"/>
  <c r="V1449" i="114"/>
  <c r="V1450" i="114"/>
  <c r="V1451" i="114"/>
  <c r="V1452" i="114"/>
  <c r="V1453" i="114"/>
  <c r="V1454" i="114"/>
  <c r="V1455" i="114"/>
  <c r="V1456" i="114"/>
  <c r="V1457" i="114"/>
  <c r="V1458" i="114"/>
  <c r="V1459" i="114"/>
  <c r="V1460" i="114"/>
  <c r="V1461" i="114"/>
  <c r="V1462" i="114"/>
  <c r="V1463" i="114"/>
  <c r="V1464" i="114"/>
  <c r="V1465" i="114"/>
  <c r="V1466" i="114"/>
  <c r="V1467" i="114"/>
  <c r="V1468" i="114"/>
  <c r="V1469" i="114"/>
  <c r="V1470" i="114"/>
  <c r="V1471" i="114"/>
  <c r="V1472" i="114"/>
  <c r="V1473" i="114"/>
  <c r="V1474" i="114"/>
  <c r="V1475" i="114"/>
  <c r="V1476" i="114"/>
  <c r="V1477" i="114"/>
  <c r="V1478" i="114"/>
  <c r="V1479" i="114"/>
  <c r="V1480" i="114"/>
  <c r="V1481" i="114"/>
  <c r="V1482" i="114"/>
  <c r="V1483" i="114"/>
  <c r="V1484" i="114"/>
  <c r="V1485" i="114"/>
  <c r="V1486" i="114"/>
  <c r="V1487" i="114"/>
  <c r="V1488" i="114"/>
  <c r="V1489" i="114"/>
  <c r="V1490" i="114"/>
  <c r="V1491" i="114"/>
  <c r="V1492" i="114"/>
  <c r="V1493" i="114"/>
  <c r="V1494" i="114"/>
  <c r="V1495" i="114"/>
  <c r="V1496" i="114"/>
  <c r="V1497" i="114"/>
  <c r="V1498" i="114"/>
  <c r="V1499" i="114"/>
  <c r="V1500" i="114"/>
  <c r="V1501" i="114"/>
  <c r="V1502" i="114"/>
  <c r="V1503" i="114"/>
  <c r="V1504" i="114"/>
  <c r="V1505" i="114"/>
  <c r="V1506" i="114"/>
  <c r="V1507" i="114"/>
  <c r="V1508" i="114"/>
  <c r="V1509" i="114"/>
  <c r="V1510" i="114"/>
  <c r="V1511" i="114"/>
  <c r="V1512" i="114"/>
  <c r="V1513" i="114"/>
  <c r="V1514" i="114"/>
  <c r="V1515" i="114"/>
  <c r="V1516" i="114"/>
  <c r="V1517" i="114"/>
  <c r="V1518" i="114"/>
  <c r="V1519" i="114"/>
  <c r="V1520" i="114"/>
  <c r="V1521" i="114"/>
  <c r="V1522" i="114"/>
  <c r="V1523" i="114"/>
  <c r="V1524" i="114"/>
  <c r="V1525" i="114"/>
  <c r="V1526" i="114"/>
  <c r="V1527" i="114"/>
  <c r="V1528" i="114"/>
  <c r="V1529" i="114"/>
  <c r="V1530" i="114"/>
  <c r="V1531" i="114"/>
  <c r="V1532" i="114"/>
  <c r="V1533" i="114"/>
  <c r="V1534" i="114"/>
  <c r="V1535" i="114"/>
  <c r="V1536" i="114"/>
  <c r="V1537" i="114"/>
  <c r="V1538" i="114"/>
  <c r="V1539" i="114"/>
  <c r="V1540" i="114"/>
  <c r="V1541" i="114"/>
  <c r="V1542" i="114"/>
  <c r="V1543" i="114"/>
  <c r="V1544" i="114"/>
  <c r="V1545" i="114"/>
  <c r="V1546" i="114"/>
  <c r="V1547" i="114"/>
  <c r="V1548" i="114"/>
  <c r="V1549" i="114"/>
  <c r="V1550" i="114"/>
  <c r="V1551" i="114"/>
  <c r="V1552" i="114"/>
  <c r="V1553" i="114"/>
  <c r="V1554" i="114"/>
  <c r="V1555" i="114"/>
  <c r="V1556" i="114"/>
  <c r="V1557" i="114"/>
  <c r="V1558" i="114"/>
  <c r="V1559" i="114"/>
  <c r="V1560" i="114"/>
  <c r="V1561" i="114"/>
  <c r="V1562" i="114"/>
  <c r="V1563" i="114"/>
  <c r="V1564" i="114"/>
  <c r="V1565" i="114"/>
  <c r="V1566" i="114"/>
  <c r="V1567" i="114"/>
  <c r="V1568" i="114"/>
  <c r="V1569" i="114"/>
  <c r="V1570" i="114"/>
  <c r="V1571" i="114"/>
  <c r="V1572" i="114"/>
  <c r="V1573" i="114"/>
  <c r="V1574" i="114"/>
  <c r="V1575" i="114"/>
  <c r="V1576" i="114"/>
  <c r="V1577" i="114"/>
  <c r="V1578" i="114"/>
  <c r="V1579" i="114"/>
  <c r="V1580" i="114"/>
  <c r="V1581" i="114"/>
  <c r="V1582" i="114"/>
  <c r="V1583" i="114"/>
  <c r="V1584" i="114"/>
  <c r="V1585" i="114"/>
  <c r="V1586" i="114"/>
  <c r="V1587" i="114"/>
  <c r="V1588" i="114"/>
  <c r="V1589" i="114"/>
  <c r="V1590" i="114"/>
  <c r="V1591" i="114"/>
  <c r="V1592" i="114"/>
  <c r="V1593" i="114"/>
  <c r="V1594" i="114"/>
  <c r="V1595" i="114"/>
  <c r="V1596" i="114"/>
  <c r="V1597" i="114"/>
  <c r="V1598" i="114"/>
  <c r="V1599" i="114"/>
  <c r="V1600" i="114"/>
  <c r="V1601" i="114"/>
  <c r="V1602" i="114"/>
  <c r="V1603" i="114"/>
  <c r="V1604" i="114"/>
  <c r="V1605" i="114"/>
  <c r="V1606" i="114"/>
  <c r="V1607" i="114"/>
  <c r="V1608" i="114"/>
  <c r="V1609" i="114"/>
  <c r="V1610" i="114"/>
  <c r="V1611" i="114"/>
  <c r="V1612" i="114"/>
  <c r="V1613" i="114"/>
  <c r="V1614" i="114"/>
  <c r="V1615" i="114"/>
  <c r="V1616" i="114"/>
  <c r="V1617" i="114"/>
  <c r="V1618" i="114"/>
  <c r="V1619" i="114"/>
  <c r="V1620" i="114"/>
  <c r="V1621" i="114"/>
  <c r="V1622" i="114"/>
  <c r="V1623" i="114"/>
  <c r="V1624" i="114"/>
  <c r="V1625" i="114"/>
  <c r="V1626" i="114"/>
  <c r="V1627" i="114"/>
  <c r="V1628" i="114"/>
  <c r="V1629" i="114"/>
  <c r="V1630" i="114"/>
  <c r="V1631" i="114"/>
  <c r="V1632" i="114"/>
  <c r="V1633" i="114"/>
  <c r="V1634" i="114"/>
  <c r="V1635" i="114"/>
  <c r="V1636" i="114"/>
  <c r="V1637" i="114"/>
  <c r="V1638" i="114"/>
  <c r="V1639" i="114"/>
  <c r="V1640" i="114"/>
  <c r="V1641" i="114"/>
  <c r="V1642" i="114"/>
  <c r="V1643" i="114"/>
  <c r="V1644" i="114"/>
  <c r="V1645" i="114"/>
  <c r="V1646" i="114"/>
  <c r="V1647" i="114"/>
  <c r="V1648" i="114"/>
  <c r="V1649" i="114"/>
  <c r="V1650" i="114"/>
  <c r="V1651" i="114"/>
  <c r="V1652" i="114"/>
  <c r="V1653" i="114"/>
  <c r="V1654" i="114"/>
  <c r="V1655" i="114"/>
  <c r="V1656" i="114"/>
  <c r="V1657" i="114"/>
  <c r="V1658" i="114"/>
  <c r="V1659" i="114"/>
  <c r="V1660" i="114"/>
  <c r="V1661" i="114"/>
  <c r="V1662" i="114"/>
  <c r="V1663" i="114"/>
  <c r="V1664" i="114"/>
  <c r="V1665" i="114"/>
  <c r="V1666" i="114"/>
  <c r="V1667" i="114"/>
  <c r="V1668" i="114"/>
  <c r="V1669" i="114"/>
  <c r="V1670" i="114"/>
  <c r="V1671" i="114"/>
  <c r="V1672" i="114"/>
  <c r="V1673" i="114"/>
  <c r="V1674" i="114"/>
  <c r="V1675" i="114"/>
  <c r="V1676" i="114"/>
  <c r="V1677" i="114"/>
  <c r="V1678" i="114"/>
  <c r="V1679" i="114"/>
  <c r="V1680" i="114"/>
  <c r="V1681" i="114"/>
  <c r="V1682" i="114"/>
  <c r="V1683" i="114"/>
  <c r="V1684" i="114"/>
  <c r="V1685" i="114"/>
  <c r="V1686" i="114"/>
  <c r="V1687" i="114"/>
  <c r="V1688" i="114"/>
  <c r="V1689" i="114"/>
  <c r="V1690" i="114"/>
  <c r="V1691" i="114"/>
  <c r="V1692" i="114"/>
  <c r="V1693" i="114"/>
  <c r="V1694" i="114"/>
  <c r="V1695" i="114"/>
  <c r="V1696" i="114"/>
  <c r="V1697" i="114"/>
  <c r="V1698" i="114"/>
  <c r="V1699" i="114"/>
  <c r="V1700" i="114"/>
  <c r="V1701" i="114"/>
  <c r="V1702" i="114"/>
  <c r="V1703" i="114"/>
  <c r="V1704" i="114"/>
  <c r="V1705" i="114"/>
  <c r="V1706" i="114"/>
  <c r="V1707" i="114"/>
  <c r="V1708" i="114"/>
  <c r="V1709" i="114"/>
  <c r="V1710" i="114"/>
  <c r="V1711" i="114"/>
  <c r="V1712" i="114"/>
  <c r="V1713" i="114"/>
  <c r="V1714" i="114"/>
  <c r="V1715" i="114"/>
  <c r="V1716" i="114"/>
  <c r="V1717" i="114"/>
  <c r="V1718" i="114"/>
  <c r="V1719" i="114"/>
  <c r="V1720" i="114"/>
  <c r="V1721" i="114"/>
  <c r="V1722" i="114"/>
  <c r="V1723" i="114"/>
  <c r="V1724" i="114"/>
  <c r="V1725" i="114"/>
  <c r="V1726" i="114"/>
  <c r="V1727" i="114"/>
  <c r="V1728" i="114"/>
  <c r="V1729" i="114"/>
  <c r="V1730" i="114"/>
  <c r="V1731" i="114"/>
  <c r="V1732" i="114"/>
  <c r="V1733" i="114"/>
  <c r="V1734" i="114"/>
  <c r="V1735" i="114"/>
  <c r="V1736" i="114"/>
  <c r="V1737" i="114"/>
  <c r="V1738" i="114"/>
  <c r="V1739" i="114"/>
  <c r="V1740" i="114"/>
  <c r="V1741" i="114"/>
  <c r="V1742" i="114"/>
  <c r="V1743" i="114"/>
  <c r="V1744" i="114"/>
  <c r="V1745" i="114"/>
  <c r="V1746" i="114"/>
  <c r="V1747" i="114"/>
  <c r="V1748" i="114"/>
  <c r="V1749" i="114"/>
  <c r="V1750" i="114"/>
  <c r="V1751" i="114"/>
  <c r="V1752" i="114"/>
  <c r="V1753" i="114"/>
  <c r="V1754" i="114"/>
  <c r="V1755" i="114"/>
  <c r="V1756" i="114"/>
  <c r="V1757" i="114"/>
  <c r="V1758" i="114"/>
  <c r="V1759" i="114"/>
  <c r="V1760" i="114"/>
  <c r="V1761" i="114"/>
  <c r="V1762" i="114"/>
  <c r="V1763" i="114"/>
  <c r="V1764" i="114"/>
  <c r="V1765" i="114"/>
  <c r="V1766" i="114"/>
  <c r="V1767" i="114"/>
  <c r="V1768" i="114"/>
  <c r="V1769" i="114"/>
  <c r="V1770" i="114"/>
  <c r="V1771" i="114"/>
  <c r="V1772" i="114"/>
  <c r="V1773" i="114"/>
  <c r="V1774" i="114"/>
  <c r="V1775" i="114"/>
  <c r="V1776" i="114"/>
  <c r="V1777" i="114"/>
  <c r="V1778" i="114"/>
  <c r="V1779" i="114"/>
  <c r="V1780" i="114"/>
  <c r="V1781" i="114"/>
  <c r="V1782" i="114"/>
  <c r="V1783" i="114"/>
  <c r="V1784" i="114"/>
  <c r="V1785" i="114"/>
  <c r="V1786" i="114"/>
  <c r="V1787" i="114"/>
  <c r="V1788" i="114"/>
  <c r="V1789" i="114"/>
  <c r="V1790" i="114"/>
  <c r="V1791" i="114"/>
  <c r="V1792" i="114"/>
  <c r="V1793" i="114"/>
  <c r="V1794" i="114"/>
  <c r="V1795" i="114"/>
  <c r="V1796" i="114"/>
  <c r="V1797" i="114"/>
  <c r="V1798" i="114"/>
  <c r="V1799" i="114"/>
  <c r="V1800" i="114"/>
  <c r="V1801" i="114"/>
  <c r="V1802" i="114"/>
  <c r="V1803" i="114"/>
  <c r="V1804" i="114"/>
  <c r="V1805" i="114"/>
  <c r="V1806" i="114"/>
  <c r="V1807" i="114"/>
  <c r="V1808" i="114"/>
  <c r="V1809" i="114"/>
  <c r="V1810" i="114"/>
  <c r="V1811" i="114"/>
  <c r="V1812" i="114"/>
  <c r="V1813" i="114"/>
  <c r="V1814" i="114"/>
  <c r="V1815" i="114"/>
  <c r="V1816" i="114"/>
  <c r="V1817" i="114"/>
  <c r="V1818" i="114"/>
  <c r="V1819" i="114"/>
  <c r="V1820" i="114"/>
  <c r="V1821" i="114"/>
  <c r="V1822" i="114"/>
  <c r="V1823" i="114"/>
  <c r="V1824" i="114"/>
  <c r="V1825" i="114"/>
  <c r="V1826" i="114"/>
  <c r="V1827" i="114"/>
  <c r="V1828" i="114"/>
  <c r="V1829" i="114"/>
  <c r="V1830" i="114"/>
  <c r="V1831" i="114"/>
  <c r="V1832" i="114"/>
  <c r="V1833" i="114"/>
  <c r="V1834" i="114"/>
  <c r="V1835" i="114"/>
  <c r="V1836" i="114"/>
  <c r="V1837" i="114"/>
  <c r="V1838" i="114"/>
  <c r="V1839" i="114"/>
  <c r="V1840" i="114"/>
  <c r="V1841" i="114"/>
  <c r="V1842" i="114"/>
  <c r="V1843" i="114"/>
  <c r="V1844" i="114"/>
  <c r="V1845" i="114"/>
  <c r="V1846" i="114"/>
  <c r="V1847" i="114"/>
  <c r="V1848" i="114"/>
  <c r="V1849" i="114"/>
  <c r="V1850" i="114"/>
  <c r="V1851" i="114"/>
  <c r="V1852" i="114"/>
  <c r="V1853" i="114"/>
  <c r="V1854" i="114"/>
  <c r="V1855" i="114"/>
  <c r="V1856" i="114"/>
  <c r="V1857" i="114"/>
  <c r="V1858" i="114"/>
  <c r="V1859" i="114"/>
  <c r="V1860" i="114"/>
  <c r="V1861" i="114"/>
  <c r="V1862" i="114"/>
  <c r="V1863" i="114"/>
  <c r="V1864" i="114"/>
  <c r="V1865" i="114"/>
  <c r="V1866" i="114"/>
  <c r="V1867" i="114"/>
  <c r="V1868" i="114"/>
  <c r="V1869" i="114"/>
  <c r="V1870" i="114"/>
  <c r="V1871" i="114"/>
  <c r="V1872" i="114"/>
  <c r="V1873" i="114"/>
  <c r="V1874" i="114"/>
  <c r="V1875" i="114"/>
  <c r="V1876" i="114"/>
  <c r="V1877" i="114"/>
  <c r="V1878" i="114"/>
  <c r="V1879" i="114"/>
  <c r="V1880" i="114"/>
  <c r="V1881" i="114"/>
  <c r="V1882" i="114"/>
  <c r="V1883" i="114"/>
  <c r="V1884" i="114"/>
  <c r="V1885" i="114"/>
  <c r="V1886" i="114"/>
  <c r="V1887" i="114"/>
  <c r="V1888" i="114"/>
  <c r="V1889" i="114"/>
  <c r="V1890" i="114"/>
  <c r="V1891" i="114"/>
  <c r="V1892" i="114"/>
  <c r="V1893" i="114"/>
  <c r="V1894" i="114"/>
  <c r="V1895" i="114"/>
  <c r="V1896" i="114"/>
  <c r="V1897" i="114"/>
  <c r="V1898" i="114"/>
  <c r="V1899" i="114"/>
  <c r="V1900" i="114"/>
  <c r="V1901" i="114"/>
  <c r="V1902" i="114"/>
  <c r="V1903" i="114"/>
  <c r="V1904" i="114"/>
  <c r="V1905" i="114"/>
  <c r="V1906" i="114"/>
  <c r="V1907" i="114"/>
  <c r="V1908" i="114"/>
  <c r="V1909" i="114"/>
  <c r="V1910" i="114"/>
  <c r="V1911" i="114"/>
  <c r="V1912" i="114"/>
  <c r="V1913" i="114"/>
  <c r="V1914" i="114"/>
  <c r="V1915" i="114"/>
  <c r="V1916" i="114"/>
  <c r="V1917" i="114"/>
  <c r="V1918" i="114"/>
  <c r="V1919" i="114"/>
  <c r="V1920" i="114"/>
  <c r="V1921" i="114"/>
  <c r="V1922" i="114"/>
  <c r="V1923" i="114"/>
  <c r="V1924" i="114"/>
  <c r="V1925" i="114"/>
  <c r="V1926" i="114"/>
  <c r="V1927" i="114"/>
  <c r="V1928" i="114"/>
  <c r="V1929" i="114"/>
  <c r="V1930" i="114"/>
  <c r="V1931" i="114"/>
  <c r="V1932" i="114"/>
  <c r="V1933" i="114"/>
  <c r="V1934" i="114"/>
  <c r="V1935" i="114"/>
  <c r="V1936" i="114"/>
  <c r="V1937" i="114"/>
  <c r="V1938" i="114"/>
  <c r="V1939" i="114"/>
  <c r="V1940" i="114"/>
  <c r="V1941" i="114"/>
  <c r="V1942" i="114"/>
  <c r="V1943" i="114"/>
  <c r="V1944" i="114"/>
  <c r="V1945" i="114"/>
  <c r="V1946" i="114"/>
  <c r="V1947" i="114"/>
  <c r="V1948" i="114"/>
  <c r="V1949" i="114"/>
  <c r="V1950" i="114"/>
  <c r="V1951" i="114"/>
  <c r="V1952" i="114"/>
  <c r="V1953" i="114"/>
  <c r="V1954" i="114"/>
  <c r="V1955" i="114"/>
  <c r="V1956" i="114"/>
  <c r="V1957" i="114"/>
  <c r="V1958" i="114"/>
  <c r="V1959" i="114"/>
  <c r="V1960" i="114"/>
  <c r="V1961" i="114"/>
  <c r="V1962" i="114"/>
  <c r="V1963" i="114"/>
  <c r="V1964" i="114"/>
  <c r="V1965" i="114"/>
  <c r="V1966" i="114"/>
  <c r="V1967" i="114"/>
  <c r="V1968" i="114"/>
  <c r="V1969" i="114"/>
  <c r="V1970" i="114"/>
  <c r="V1971" i="114"/>
  <c r="V1972" i="114"/>
  <c r="V1973" i="114"/>
  <c r="V1974" i="114"/>
  <c r="V1975" i="114"/>
  <c r="V1976" i="114"/>
  <c r="V1977" i="114"/>
  <c r="V1978" i="114"/>
  <c r="V1979" i="114"/>
  <c r="V1980" i="114"/>
  <c r="V1981" i="114"/>
  <c r="V1982" i="114"/>
  <c r="V1983" i="114"/>
  <c r="V1984" i="114"/>
  <c r="V1985" i="114"/>
  <c r="V1986" i="114"/>
  <c r="V1987" i="114"/>
  <c r="V1988" i="114"/>
  <c r="V1989" i="114"/>
  <c r="V1990" i="114"/>
  <c r="V1991" i="114"/>
  <c r="V1992" i="114"/>
  <c r="V1993" i="114"/>
  <c r="V1994" i="114"/>
  <c r="V1995" i="114"/>
  <c r="V1996" i="114"/>
  <c r="V1997" i="114"/>
  <c r="V1998" i="114"/>
  <c r="V1999" i="114"/>
  <c r="V2000" i="114"/>
  <c r="V2001" i="114"/>
  <c r="V2002" i="114"/>
  <c r="V2003" i="114"/>
  <c r="V2004" i="114"/>
  <c r="V2005" i="114"/>
  <c r="V2006" i="114"/>
  <c r="V2007" i="114"/>
  <c r="V2008" i="114"/>
  <c r="V2009" i="114"/>
  <c r="V2010" i="114"/>
  <c r="V2011" i="114"/>
  <c r="V2012" i="114"/>
  <c r="V2013" i="114"/>
  <c r="V2014" i="114"/>
  <c r="V2015" i="114"/>
  <c r="V2016" i="114"/>
  <c r="V2017" i="114"/>
  <c r="V2018" i="114"/>
  <c r="V2019" i="114"/>
  <c r="V2020" i="114"/>
  <c r="V2021" i="114"/>
  <c r="V2022" i="114"/>
  <c r="V2023" i="114"/>
  <c r="V2024" i="114"/>
  <c r="V2025" i="114"/>
  <c r="V2026" i="114"/>
  <c r="V2027" i="114"/>
  <c r="V2028" i="114"/>
  <c r="V2029" i="114"/>
  <c r="V2030" i="114"/>
  <c r="V2031" i="114"/>
  <c r="V2032" i="114"/>
  <c r="V2033" i="114"/>
  <c r="V2034" i="114"/>
  <c r="V2035" i="114"/>
  <c r="V2036" i="114"/>
  <c r="V2037" i="114"/>
  <c r="V2038" i="114"/>
  <c r="V2039" i="114"/>
  <c r="V2040" i="114"/>
  <c r="V2041" i="114"/>
  <c r="V2042" i="114"/>
  <c r="V2043" i="114"/>
  <c r="V2044" i="114"/>
  <c r="V2045" i="114"/>
  <c r="V2046" i="114"/>
  <c r="V2047" i="114"/>
  <c r="V2048" i="114"/>
  <c r="V2049" i="114"/>
  <c r="V2050" i="114"/>
  <c r="V2051" i="114"/>
  <c r="V2052" i="114"/>
  <c r="V2053" i="114"/>
  <c r="V2054" i="114"/>
  <c r="V2055" i="114"/>
  <c r="V2056" i="114"/>
  <c r="V2057" i="114"/>
  <c r="V2058" i="114"/>
  <c r="V2059" i="114"/>
  <c r="V2060" i="114"/>
  <c r="V2061" i="114"/>
  <c r="V2062" i="114"/>
  <c r="V2063" i="114"/>
  <c r="V2064" i="114"/>
  <c r="V2065" i="114"/>
  <c r="V2066" i="114"/>
  <c r="V2067" i="114"/>
  <c r="V2068" i="114"/>
  <c r="V2069" i="114"/>
  <c r="V2070" i="114"/>
  <c r="V2071" i="114"/>
  <c r="V2072" i="114"/>
  <c r="V2073" i="114"/>
  <c r="V2074" i="114"/>
  <c r="V2075" i="114"/>
  <c r="V2076" i="114"/>
  <c r="V2077" i="114"/>
  <c r="V2078" i="114"/>
  <c r="V2079" i="114"/>
  <c r="V2080" i="114"/>
  <c r="V2081" i="114"/>
  <c r="V2082" i="114"/>
  <c r="V2083" i="114"/>
  <c r="V2084" i="114"/>
  <c r="V2085" i="114"/>
  <c r="V2086" i="114"/>
  <c r="V2087" i="114"/>
  <c r="V2088" i="114"/>
  <c r="V2089" i="114"/>
  <c r="V2090" i="114"/>
  <c r="V2091" i="114"/>
  <c r="V2092" i="114"/>
  <c r="V2093" i="114"/>
  <c r="V2094" i="114"/>
  <c r="V2095" i="114"/>
  <c r="V2096" i="114"/>
  <c r="V2097" i="114"/>
  <c r="V2098" i="114"/>
  <c r="V2099" i="114"/>
  <c r="V2100" i="114"/>
  <c r="V2101" i="114"/>
  <c r="V2102" i="114"/>
  <c r="V2103" i="114"/>
  <c r="V2104" i="114"/>
  <c r="V2105" i="114"/>
  <c r="V2106" i="114"/>
  <c r="V2107" i="114"/>
  <c r="V2108" i="114"/>
  <c r="V2109" i="114"/>
  <c r="V2110" i="114"/>
  <c r="V2111" i="114"/>
  <c r="V2112" i="114"/>
  <c r="V2113" i="114"/>
  <c r="V2114" i="114"/>
  <c r="V2115" i="114"/>
  <c r="V2116" i="114"/>
  <c r="V2117" i="114"/>
  <c r="V2118" i="114"/>
  <c r="V2119" i="114"/>
  <c r="V2120" i="114"/>
  <c r="V2121" i="114"/>
  <c r="V2122" i="114"/>
  <c r="V2123" i="114"/>
  <c r="V2124" i="114"/>
  <c r="V2125" i="114"/>
  <c r="V2126" i="114"/>
  <c r="V2127" i="114"/>
  <c r="V2128" i="114"/>
  <c r="V2129" i="114"/>
  <c r="V2130" i="114"/>
  <c r="V2131" i="114"/>
  <c r="V2132" i="114"/>
  <c r="V2133" i="114"/>
  <c r="V2134" i="114"/>
  <c r="V2135" i="114"/>
  <c r="V2136" i="114"/>
  <c r="V2137" i="114"/>
  <c r="V2138" i="114"/>
  <c r="V2139" i="114"/>
  <c r="V2140" i="114"/>
  <c r="V2141" i="114"/>
  <c r="V2142" i="114"/>
  <c r="V2143" i="114"/>
  <c r="V2144" i="114"/>
  <c r="V2145" i="114"/>
  <c r="V2146" i="114"/>
  <c r="V2147" i="114"/>
  <c r="V2148" i="114"/>
  <c r="V2149" i="114"/>
  <c r="V2150" i="114"/>
  <c r="V2151" i="114"/>
  <c r="V2152" i="114"/>
  <c r="V2153" i="114"/>
  <c r="V2154" i="114"/>
  <c r="V2155" i="114"/>
  <c r="V2156" i="114"/>
  <c r="V2157" i="114"/>
  <c r="V2158" i="114"/>
  <c r="V2159" i="114"/>
  <c r="V2160" i="114"/>
  <c r="V2161" i="114"/>
  <c r="V2162" i="114"/>
  <c r="V2163" i="114"/>
  <c r="V2164" i="114"/>
  <c r="V2165" i="114"/>
  <c r="V2166" i="114"/>
  <c r="V2167" i="114"/>
  <c r="V2168" i="114"/>
  <c r="V2169" i="114"/>
  <c r="V2170" i="114"/>
  <c r="V2171" i="114"/>
  <c r="V2172" i="114"/>
  <c r="V2173" i="114"/>
  <c r="V2174" i="114"/>
  <c r="V2175" i="114"/>
  <c r="V2176" i="114"/>
  <c r="V2177" i="114"/>
  <c r="V2178" i="114"/>
  <c r="V2179" i="114"/>
  <c r="V2180" i="114"/>
  <c r="V2181" i="114"/>
  <c r="V2182" i="114"/>
  <c r="V2183" i="114"/>
  <c r="V2184" i="114"/>
  <c r="V2185" i="114"/>
  <c r="V2186" i="114"/>
  <c r="V2187" i="114"/>
  <c r="V2188" i="114"/>
  <c r="V2189" i="114"/>
  <c r="V2190" i="114"/>
  <c r="V2191" i="114"/>
  <c r="V2192" i="114"/>
  <c r="V2193" i="114"/>
  <c r="V2194" i="114"/>
  <c r="V2195" i="114"/>
  <c r="V2196" i="114"/>
  <c r="V2197" i="114"/>
  <c r="V2198" i="114"/>
  <c r="V2199" i="114"/>
  <c r="V2200" i="114"/>
  <c r="V2201" i="114"/>
  <c r="V2202" i="114"/>
  <c r="V2203" i="114"/>
  <c r="V2204" i="114"/>
  <c r="V2205" i="114"/>
  <c r="V2206" i="114"/>
  <c r="V2207" i="114"/>
  <c r="V2208" i="114"/>
  <c r="V2209" i="114"/>
  <c r="V2210" i="114"/>
  <c r="V2211" i="114"/>
  <c r="V2212" i="114"/>
  <c r="V2213" i="114"/>
  <c r="V2214" i="114"/>
  <c r="V2215" i="114"/>
  <c r="V2216" i="114"/>
  <c r="V2217" i="114"/>
  <c r="V2218" i="114"/>
  <c r="V2219" i="114"/>
  <c r="V2220" i="114"/>
  <c r="V2221" i="114"/>
  <c r="V2222" i="114"/>
  <c r="V2223" i="114"/>
  <c r="V2224" i="114"/>
  <c r="V2225" i="114"/>
  <c r="V2226" i="114"/>
  <c r="V2227" i="114"/>
  <c r="V2228" i="114"/>
  <c r="V2229" i="114"/>
  <c r="V2230" i="114"/>
  <c r="V2231" i="114"/>
  <c r="V2232" i="114"/>
  <c r="V2233" i="114"/>
  <c r="V2234" i="114"/>
  <c r="V2235" i="114"/>
  <c r="V2236" i="114"/>
  <c r="V2237" i="114"/>
  <c r="V2238" i="114"/>
  <c r="V2239" i="114"/>
  <c r="V2240" i="114"/>
  <c r="V2241" i="114"/>
  <c r="V2242" i="114"/>
  <c r="V2243" i="114"/>
  <c r="V2244" i="114"/>
  <c r="V2245" i="114"/>
  <c r="V2246" i="114"/>
  <c r="V2247" i="114"/>
  <c r="V2248" i="114"/>
  <c r="V2249" i="114"/>
  <c r="V2250" i="114"/>
  <c r="V2251" i="114"/>
  <c r="V2252" i="114"/>
  <c r="V2253" i="114"/>
  <c r="V2254" i="114"/>
  <c r="V2255" i="114"/>
  <c r="V2256" i="114"/>
  <c r="V2257" i="114"/>
  <c r="V2258" i="114"/>
  <c r="V2259" i="114"/>
  <c r="V2260" i="114"/>
  <c r="V2261" i="114"/>
  <c r="V2262" i="114"/>
  <c r="V2263" i="114"/>
  <c r="V2264" i="114"/>
  <c r="V2265" i="114"/>
  <c r="V2266" i="114"/>
  <c r="V2267" i="114"/>
  <c r="V2268" i="114"/>
  <c r="V2269" i="114"/>
  <c r="V2270" i="114"/>
  <c r="V2271" i="114"/>
  <c r="V2272" i="114"/>
  <c r="V2273" i="114"/>
  <c r="V2274" i="114"/>
  <c r="V2275" i="114"/>
  <c r="V2276" i="114"/>
  <c r="V2277" i="114"/>
  <c r="V2278" i="114"/>
  <c r="V2279" i="114"/>
  <c r="V2280" i="114"/>
  <c r="V2281" i="114"/>
  <c r="V2282" i="114"/>
  <c r="V2283" i="114"/>
  <c r="V2284" i="114"/>
  <c r="V2285" i="114"/>
  <c r="V2286" i="114"/>
  <c r="V2287" i="114"/>
  <c r="V2288" i="114"/>
  <c r="V2289" i="114"/>
  <c r="V2290" i="114"/>
  <c r="V2291" i="114"/>
  <c r="V2292" i="114"/>
  <c r="V2293" i="114"/>
  <c r="V2294" i="114"/>
  <c r="V2295" i="114"/>
  <c r="V2296" i="114"/>
  <c r="V2297" i="114"/>
  <c r="V2298" i="114"/>
  <c r="V2299" i="114"/>
  <c r="V2300" i="114"/>
  <c r="V2301" i="114"/>
  <c r="V2302" i="114"/>
  <c r="V2303" i="114"/>
  <c r="V2304" i="114"/>
  <c r="V2305" i="114"/>
  <c r="V2306" i="114"/>
  <c r="V2307" i="114"/>
  <c r="V2308" i="114"/>
  <c r="V2309" i="114"/>
  <c r="V2310" i="114"/>
  <c r="V2311" i="114"/>
  <c r="V2312" i="114"/>
  <c r="V2313" i="114"/>
  <c r="V2314" i="114"/>
  <c r="V2315" i="114"/>
  <c r="V2316" i="114"/>
  <c r="V2317" i="114"/>
  <c r="V2318" i="114"/>
  <c r="V2319" i="114"/>
  <c r="V2320" i="114"/>
  <c r="V2321" i="114"/>
  <c r="V2322" i="114"/>
  <c r="V2323" i="114"/>
  <c r="V2324" i="114"/>
  <c r="V2325" i="114"/>
  <c r="V2326" i="114"/>
  <c r="V2327" i="114"/>
  <c r="V2328" i="114"/>
  <c r="V2329" i="114"/>
  <c r="V2330" i="114"/>
  <c r="V2331" i="114"/>
  <c r="V2332" i="114"/>
  <c r="V2333" i="114"/>
  <c r="V2334" i="114"/>
  <c r="V2335" i="114"/>
  <c r="V2336" i="114"/>
  <c r="V2337" i="114"/>
  <c r="V2338" i="114"/>
  <c r="V2339" i="114"/>
  <c r="V2340" i="114"/>
  <c r="V2341" i="114"/>
  <c r="V2342" i="114"/>
  <c r="V2343" i="114"/>
  <c r="V2344" i="114"/>
  <c r="V2345" i="114"/>
  <c r="V2346" i="114"/>
  <c r="V2347" i="114"/>
  <c r="V2348" i="114"/>
  <c r="V2349" i="114"/>
  <c r="V2350" i="114"/>
  <c r="V2351" i="114"/>
  <c r="V2352" i="114"/>
  <c r="V2353" i="114"/>
  <c r="V2354" i="114"/>
  <c r="V2355" i="114"/>
  <c r="V2356" i="114"/>
  <c r="V2357" i="114"/>
  <c r="V2358" i="114"/>
  <c r="V2359" i="114"/>
  <c r="V2360" i="114"/>
  <c r="V2361" i="114"/>
  <c r="V2362" i="114"/>
  <c r="V2363" i="114"/>
  <c r="V2364" i="114"/>
  <c r="V2365" i="114"/>
  <c r="V2366" i="114"/>
  <c r="V2367" i="114"/>
  <c r="V2368" i="114"/>
  <c r="V2369" i="114"/>
  <c r="V2370" i="114"/>
  <c r="V2371" i="114"/>
  <c r="V2372" i="114"/>
  <c r="V2373" i="114"/>
  <c r="V2374" i="114"/>
  <c r="V2375" i="114"/>
  <c r="V2376" i="114"/>
  <c r="V2377" i="114"/>
  <c r="V2378" i="114"/>
  <c r="V2379" i="114"/>
  <c r="V2380" i="114"/>
  <c r="V2381" i="114"/>
  <c r="V2382" i="114"/>
  <c r="V2383" i="114"/>
  <c r="V2384" i="114"/>
  <c r="V2385" i="114"/>
  <c r="V2386" i="114"/>
  <c r="V2387" i="114"/>
  <c r="V2388" i="114"/>
  <c r="V2389" i="114"/>
  <c r="V2390" i="114"/>
  <c r="V2391" i="114"/>
  <c r="V2392" i="114"/>
  <c r="V2393" i="114"/>
  <c r="V2394" i="114"/>
  <c r="V2395" i="114"/>
  <c r="V2396" i="114"/>
  <c r="V2397" i="114"/>
  <c r="V2398" i="114"/>
  <c r="V2399" i="114"/>
  <c r="V2400" i="114"/>
  <c r="V2401" i="114"/>
  <c r="V2402" i="114"/>
  <c r="V2403" i="114"/>
  <c r="V2404" i="114"/>
  <c r="V2405" i="114"/>
  <c r="V2406" i="114"/>
  <c r="V2407" i="114"/>
  <c r="V2408" i="114"/>
  <c r="V2409" i="114"/>
  <c r="V2410" i="114"/>
  <c r="V2411" i="114"/>
  <c r="V2412" i="114"/>
  <c r="V2413" i="114"/>
  <c r="V2414" i="114"/>
  <c r="V2415" i="114"/>
  <c r="V2416" i="114"/>
  <c r="V2417" i="114"/>
  <c r="V2418" i="114"/>
  <c r="V2419" i="114"/>
  <c r="V2420" i="114"/>
  <c r="V2421" i="114"/>
  <c r="V2422" i="114"/>
  <c r="V2423" i="114"/>
  <c r="V2424" i="114"/>
  <c r="V2425" i="114"/>
  <c r="V2426" i="114"/>
  <c r="V2427" i="114"/>
  <c r="V2428" i="114"/>
  <c r="V2429" i="114"/>
  <c r="V2430" i="114"/>
  <c r="V2431" i="114"/>
  <c r="V2432" i="114"/>
  <c r="V2433" i="114"/>
  <c r="V2434" i="114"/>
  <c r="V2435" i="114"/>
  <c r="V2436" i="114"/>
  <c r="V2437" i="114"/>
  <c r="V2438" i="114"/>
  <c r="V2439" i="114"/>
  <c r="V2440" i="114"/>
  <c r="V2441" i="114"/>
  <c r="V2442" i="114"/>
  <c r="V2443" i="114"/>
  <c r="V2444" i="114"/>
  <c r="V2445" i="114"/>
  <c r="V2446" i="114"/>
  <c r="V2447" i="114"/>
  <c r="V2448" i="114"/>
  <c r="V2449" i="114"/>
  <c r="V2450" i="114"/>
  <c r="V2451" i="114"/>
  <c r="V2452" i="114"/>
  <c r="V2453" i="114"/>
  <c r="V2454" i="114"/>
  <c r="V2455" i="114"/>
  <c r="V2456" i="114"/>
  <c r="V2457" i="114"/>
  <c r="V2458" i="114"/>
  <c r="V2459" i="114"/>
  <c r="V2460" i="114"/>
  <c r="V2461" i="114"/>
  <c r="V2462" i="114"/>
  <c r="V2463" i="114"/>
  <c r="V2464" i="114"/>
  <c r="V2465" i="114"/>
  <c r="V2466" i="114"/>
  <c r="V2467" i="114"/>
  <c r="V2468" i="114"/>
  <c r="V2469" i="114"/>
  <c r="V2470" i="114"/>
  <c r="V2471" i="114"/>
  <c r="V2472" i="114"/>
  <c r="V2473" i="114"/>
  <c r="V2474" i="114"/>
  <c r="V2475" i="114"/>
  <c r="V2476" i="114"/>
  <c r="V2477" i="114"/>
  <c r="V2478" i="114"/>
  <c r="V2479" i="114"/>
  <c r="V2480" i="114"/>
  <c r="V2481" i="114"/>
  <c r="V2482" i="114"/>
  <c r="V2483" i="114"/>
  <c r="V2484" i="114"/>
  <c r="V2485" i="114"/>
  <c r="V2486" i="114"/>
  <c r="V2487" i="114"/>
  <c r="V2488" i="114"/>
  <c r="V2489" i="114"/>
  <c r="V2490" i="114"/>
  <c r="V2491" i="114"/>
  <c r="V2492" i="114"/>
  <c r="V2493" i="114"/>
  <c r="V2494" i="114"/>
  <c r="V2495" i="114"/>
  <c r="V2496" i="114"/>
  <c r="V2497" i="114"/>
  <c r="V2498" i="114"/>
  <c r="V2499" i="114"/>
  <c r="V2500" i="114"/>
  <c r="V2501" i="114"/>
  <c r="V2502" i="114"/>
  <c r="V2503" i="114"/>
  <c r="V2504" i="114"/>
  <c r="V2505" i="114"/>
  <c r="V2506" i="114"/>
  <c r="V2507" i="114"/>
  <c r="V2508" i="114"/>
  <c r="V2509" i="114"/>
  <c r="V2510" i="114"/>
  <c r="V2511" i="114"/>
  <c r="V2512" i="114"/>
  <c r="V2513" i="114"/>
  <c r="V2514" i="114"/>
  <c r="V2515" i="114"/>
  <c r="V2516" i="114"/>
  <c r="V2517" i="114"/>
  <c r="V2518" i="114"/>
  <c r="V2519" i="114"/>
  <c r="V2520" i="114"/>
  <c r="V2521" i="114"/>
  <c r="V2522" i="114"/>
  <c r="V2523" i="114"/>
  <c r="V2524" i="114"/>
  <c r="V2525" i="114"/>
  <c r="V2526" i="114"/>
  <c r="V2527" i="114"/>
  <c r="V2528" i="114"/>
  <c r="V2529" i="114"/>
  <c r="V2530" i="114"/>
  <c r="V2531" i="114"/>
  <c r="V2532" i="114"/>
  <c r="V2533" i="114"/>
  <c r="V2534" i="114"/>
  <c r="V2535" i="114"/>
  <c r="V2536" i="114"/>
  <c r="V2537" i="114"/>
  <c r="V2538" i="114"/>
  <c r="V2539" i="114"/>
  <c r="V2540" i="114"/>
  <c r="V2541" i="114"/>
  <c r="V2542" i="114"/>
  <c r="V2543" i="114"/>
  <c r="V2544" i="114"/>
  <c r="V2545" i="114"/>
  <c r="V2546" i="114"/>
  <c r="V2547" i="114"/>
  <c r="V2548" i="114"/>
  <c r="V2549" i="114"/>
  <c r="V2550" i="114"/>
  <c r="V2551" i="114"/>
  <c r="V2552" i="114"/>
  <c r="V2553" i="114"/>
  <c r="V2554" i="114"/>
  <c r="V2555" i="114"/>
  <c r="V2556" i="114"/>
  <c r="V2557" i="114"/>
  <c r="V2558" i="114"/>
  <c r="V2559" i="114"/>
  <c r="V2560" i="114"/>
  <c r="V2561" i="114"/>
  <c r="V2562" i="114"/>
  <c r="V2563" i="114"/>
  <c r="V2564" i="114"/>
  <c r="V2565" i="114"/>
  <c r="V2566" i="114"/>
  <c r="V2567" i="114"/>
  <c r="V2568" i="114"/>
  <c r="V2569" i="114"/>
  <c r="V2570" i="114"/>
  <c r="V2571" i="114"/>
  <c r="V2572" i="114"/>
  <c r="V2573" i="114"/>
  <c r="V2574" i="114"/>
  <c r="V2575" i="114"/>
  <c r="V2576" i="114"/>
  <c r="V2577" i="114"/>
  <c r="V2578" i="114"/>
  <c r="V2579" i="114"/>
  <c r="V2580" i="114"/>
  <c r="V2581" i="114"/>
  <c r="V2582" i="114"/>
  <c r="V2583" i="114"/>
  <c r="V2584" i="114"/>
  <c r="V2585" i="114"/>
  <c r="V2586" i="114"/>
  <c r="V2587" i="114"/>
  <c r="V2588" i="114"/>
  <c r="V2589" i="114"/>
  <c r="V2590" i="114"/>
  <c r="V2591" i="114"/>
  <c r="V2592" i="114"/>
  <c r="V2593" i="114"/>
  <c r="V2594" i="114"/>
  <c r="V2595" i="114"/>
  <c r="V2596" i="114"/>
  <c r="V2597" i="114"/>
  <c r="V2598" i="114"/>
  <c r="V2599" i="114"/>
  <c r="V2600" i="114"/>
  <c r="V2601" i="114"/>
  <c r="V2602" i="114"/>
  <c r="V2603" i="114"/>
  <c r="V2604" i="114"/>
  <c r="V2605" i="114"/>
  <c r="V2606" i="114"/>
  <c r="V2607" i="114"/>
  <c r="V2608" i="114"/>
  <c r="V2609" i="114"/>
  <c r="V2610" i="114"/>
  <c r="V2611" i="114"/>
  <c r="V2612" i="114"/>
  <c r="V2613" i="114"/>
  <c r="V2614" i="114"/>
  <c r="V2615" i="114"/>
  <c r="V2616" i="114"/>
  <c r="V2617" i="114"/>
  <c r="V2618" i="114"/>
  <c r="V2619" i="114"/>
  <c r="V2620" i="114"/>
  <c r="V2621" i="114"/>
  <c r="V2622" i="114"/>
  <c r="V2623" i="114"/>
  <c r="V2624" i="114"/>
  <c r="V2625" i="114"/>
  <c r="V2626" i="114"/>
  <c r="V2627" i="114"/>
  <c r="V2628" i="114"/>
  <c r="V2629" i="114"/>
  <c r="V2630" i="114"/>
  <c r="V2631" i="114"/>
  <c r="V2632" i="114"/>
  <c r="V2633" i="114"/>
  <c r="V2634" i="114"/>
  <c r="V2635" i="114"/>
  <c r="V2636" i="114"/>
  <c r="V2637" i="114"/>
  <c r="V2638" i="114"/>
  <c r="V2639" i="114"/>
  <c r="V2640" i="114"/>
  <c r="V2641" i="114"/>
  <c r="V2642" i="114"/>
  <c r="V2643" i="114"/>
  <c r="V2644" i="114"/>
  <c r="V2645" i="114"/>
  <c r="V2646" i="114"/>
  <c r="V2647" i="114"/>
  <c r="V2648" i="114"/>
  <c r="V2649" i="114"/>
  <c r="V2650" i="114"/>
  <c r="V2651" i="114"/>
  <c r="V2652" i="114"/>
  <c r="V2653" i="114"/>
  <c r="V2654" i="114"/>
  <c r="V2655" i="114"/>
  <c r="V2656" i="114"/>
  <c r="V2657" i="114"/>
  <c r="V2658" i="114"/>
  <c r="V2659" i="114"/>
  <c r="V2660" i="114"/>
  <c r="V2661" i="114"/>
  <c r="V2662" i="114"/>
  <c r="V2663" i="114"/>
  <c r="V2664" i="114"/>
  <c r="V2665" i="114"/>
  <c r="V2666" i="114"/>
  <c r="V2667" i="114"/>
  <c r="V2668" i="114"/>
  <c r="V2669" i="114"/>
  <c r="V2670" i="114"/>
  <c r="V2671" i="114"/>
  <c r="V2672" i="114"/>
  <c r="V2673" i="114"/>
  <c r="V2674" i="114"/>
  <c r="V2675" i="114"/>
  <c r="V2676" i="114"/>
  <c r="V2677" i="114"/>
  <c r="V2678" i="114"/>
  <c r="V2679" i="114"/>
  <c r="V2680" i="114"/>
  <c r="V2681" i="114"/>
  <c r="V2682" i="114"/>
  <c r="V2683" i="114"/>
  <c r="V2684" i="114"/>
  <c r="V2685" i="114"/>
  <c r="V2686" i="114"/>
  <c r="V2687" i="114"/>
  <c r="V2688" i="114"/>
  <c r="V2689" i="114"/>
  <c r="V2690" i="114"/>
  <c r="V2691" i="114"/>
  <c r="V2692" i="114"/>
  <c r="V2693" i="114"/>
  <c r="V2694" i="114"/>
  <c r="V2695" i="114"/>
  <c r="V2696" i="114"/>
  <c r="V2697" i="114"/>
  <c r="V2698" i="114"/>
  <c r="V2699" i="114"/>
  <c r="V2700" i="114"/>
  <c r="V2701" i="114"/>
  <c r="V2702" i="114"/>
  <c r="V2703" i="114"/>
  <c r="V2704" i="114"/>
  <c r="V2705" i="114"/>
  <c r="V2706" i="114"/>
  <c r="V2707" i="114"/>
  <c r="V2708" i="114"/>
  <c r="V2709" i="114"/>
  <c r="V2710" i="114"/>
  <c r="V2711" i="114"/>
  <c r="V2712" i="114"/>
  <c r="V2713" i="114"/>
  <c r="V2714" i="114"/>
  <c r="V2715" i="114"/>
  <c r="V2716" i="114"/>
  <c r="V2717" i="114"/>
  <c r="V2718" i="114"/>
  <c r="V2719" i="114"/>
  <c r="V2720" i="114"/>
  <c r="V2721" i="114"/>
  <c r="V2722" i="114"/>
  <c r="V2723" i="114"/>
  <c r="V2724" i="114"/>
  <c r="V2725" i="114"/>
  <c r="V2726" i="114"/>
  <c r="V2727" i="114"/>
  <c r="V2728" i="114"/>
  <c r="V2729" i="114"/>
  <c r="V2730" i="114"/>
  <c r="V2731" i="114"/>
  <c r="V2732" i="114"/>
  <c r="V2733" i="114"/>
  <c r="V2734" i="114"/>
  <c r="V2735" i="114"/>
  <c r="V2736" i="114"/>
  <c r="V2737" i="114"/>
  <c r="V2738" i="114"/>
  <c r="V2739" i="114"/>
  <c r="V2740" i="114"/>
  <c r="V2741" i="114"/>
  <c r="V2742" i="114"/>
  <c r="V2743" i="114"/>
  <c r="V2744" i="114"/>
  <c r="V2745" i="114"/>
  <c r="V2746" i="114"/>
  <c r="V2747" i="114"/>
  <c r="V2748" i="114"/>
  <c r="V2749" i="114"/>
  <c r="V2750" i="114"/>
  <c r="V2751" i="114"/>
  <c r="V2752" i="114"/>
  <c r="V2753" i="114"/>
  <c r="V2754" i="114"/>
  <c r="V2755" i="114"/>
  <c r="V2756" i="114"/>
  <c r="V2757" i="114"/>
  <c r="V2758" i="114"/>
  <c r="V2759" i="114"/>
  <c r="V2760" i="114"/>
  <c r="V2761" i="114"/>
  <c r="V2762" i="114"/>
  <c r="V2763" i="114"/>
  <c r="V2764" i="114"/>
  <c r="V2765" i="114"/>
  <c r="V2766" i="114"/>
  <c r="V2767" i="114"/>
  <c r="V2768" i="114"/>
  <c r="V2769" i="114"/>
  <c r="V2770" i="114"/>
  <c r="V2771" i="114"/>
  <c r="V2772" i="114"/>
  <c r="V2773" i="114"/>
  <c r="V2774" i="114"/>
  <c r="V2775" i="114"/>
  <c r="V2776" i="114"/>
  <c r="V2777" i="114"/>
  <c r="V2778" i="114"/>
  <c r="V2779" i="114"/>
  <c r="V2780" i="114"/>
  <c r="V2781" i="114"/>
  <c r="V2782" i="114"/>
  <c r="V2783" i="114"/>
  <c r="V2784" i="114"/>
  <c r="V2785" i="114"/>
  <c r="V2786" i="114"/>
  <c r="V2787" i="114"/>
  <c r="V2788" i="114"/>
  <c r="V2789" i="114"/>
  <c r="V2790" i="114"/>
  <c r="V2791" i="114"/>
  <c r="V2792" i="114"/>
  <c r="V2793" i="114"/>
  <c r="V2794" i="114"/>
  <c r="V2795" i="114"/>
  <c r="V2796" i="114"/>
  <c r="V2797" i="114"/>
  <c r="V2798" i="114"/>
  <c r="V2799" i="114"/>
  <c r="V2800" i="114"/>
  <c r="V2801" i="114"/>
  <c r="V2802" i="114"/>
  <c r="V2803" i="114"/>
  <c r="V2804" i="114"/>
  <c r="V2805" i="114"/>
  <c r="V2806" i="114"/>
  <c r="V2807" i="114"/>
  <c r="V2808" i="114"/>
  <c r="V2809" i="114"/>
  <c r="V2810" i="114"/>
  <c r="V2811" i="114"/>
  <c r="V2812" i="114"/>
  <c r="V2813" i="114"/>
  <c r="V2814" i="114"/>
  <c r="V2815" i="114"/>
  <c r="V2816" i="114"/>
  <c r="V2817" i="114"/>
  <c r="V2818" i="114"/>
  <c r="V2819" i="114"/>
  <c r="V2820" i="114"/>
  <c r="V2821" i="114"/>
  <c r="V2822" i="114"/>
  <c r="V2823" i="114"/>
  <c r="V2824" i="114"/>
  <c r="V2825" i="114"/>
  <c r="V2826" i="114"/>
  <c r="V2827" i="114"/>
  <c r="V2828" i="114"/>
  <c r="V2829" i="114"/>
  <c r="V2830" i="114"/>
  <c r="V2831" i="114"/>
  <c r="V2832" i="114"/>
  <c r="V2833" i="114"/>
  <c r="V2834" i="114"/>
  <c r="V2835" i="114"/>
  <c r="V2836" i="114"/>
  <c r="V2837" i="114"/>
  <c r="V2838" i="114"/>
  <c r="V2839" i="114"/>
  <c r="V2840" i="114"/>
  <c r="V2841" i="114"/>
  <c r="V2842" i="114"/>
  <c r="V2843" i="114"/>
  <c r="V2844" i="114"/>
  <c r="V2845" i="114"/>
  <c r="V2846" i="114"/>
  <c r="V2847" i="114"/>
  <c r="V2848" i="114"/>
  <c r="V2849" i="114"/>
  <c r="V2850" i="114"/>
  <c r="V2851" i="114"/>
  <c r="V2852" i="114"/>
  <c r="V2853" i="114"/>
  <c r="V2854" i="114"/>
  <c r="V2855" i="114"/>
  <c r="V2856" i="114"/>
  <c r="V2857" i="114"/>
  <c r="V2858" i="114"/>
  <c r="V2859" i="114"/>
  <c r="V2860" i="114"/>
  <c r="V2861" i="114"/>
  <c r="V2862" i="114"/>
  <c r="V2863" i="114"/>
  <c r="V2864" i="114"/>
  <c r="V2865" i="114"/>
  <c r="V2866" i="114"/>
  <c r="V2867" i="114"/>
  <c r="V2868" i="114"/>
  <c r="V2869" i="114"/>
  <c r="V2870" i="114"/>
  <c r="V2871" i="114"/>
  <c r="V2872" i="114"/>
  <c r="V2873" i="114"/>
  <c r="V2874" i="114"/>
  <c r="V2875" i="114"/>
  <c r="V2876" i="114"/>
  <c r="V2877" i="114"/>
  <c r="V2878" i="114"/>
  <c r="V2879" i="114"/>
  <c r="V2880" i="114"/>
  <c r="V2881" i="114"/>
  <c r="V2882" i="114"/>
  <c r="V2883" i="114"/>
  <c r="V2884" i="114"/>
  <c r="V2885" i="114"/>
  <c r="V2886" i="114"/>
  <c r="V2887" i="114"/>
  <c r="V2888" i="114"/>
  <c r="V2889" i="114"/>
  <c r="V2890" i="114"/>
  <c r="V2891" i="114"/>
  <c r="V2892" i="114"/>
  <c r="V2893" i="114"/>
  <c r="V2894" i="114"/>
  <c r="V2895" i="114"/>
  <c r="V2896" i="114"/>
  <c r="V2897" i="114"/>
  <c r="V2898" i="114"/>
  <c r="V2899" i="114"/>
  <c r="V2900" i="114"/>
  <c r="V2901" i="114"/>
  <c r="V2902" i="114"/>
  <c r="V2903" i="114"/>
  <c r="V2904" i="114"/>
  <c r="V2905" i="114"/>
  <c r="V2906" i="114"/>
  <c r="V2907" i="114"/>
  <c r="V2908" i="114"/>
  <c r="V2909" i="114"/>
  <c r="V2910" i="114"/>
  <c r="V2911" i="114"/>
  <c r="V2912" i="114"/>
  <c r="V2913" i="114"/>
  <c r="V2914" i="114"/>
  <c r="V2915" i="114"/>
  <c r="V2916" i="114"/>
  <c r="V2917" i="114"/>
  <c r="V2918" i="114"/>
  <c r="V2919" i="114"/>
  <c r="V2920" i="114"/>
  <c r="V2921" i="114"/>
  <c r="V2922" i="114"/>
  <c r="V2923" i="114"/>
  <c r="V2924" i="114"/>
  <c r="V2925" i="114"/>
  <c r="V2926" i="114"/>
  <c r="V2927" i="114"/>
  <c r="V2928" i="114"/>
  <c r="V2929" i="114"/>
  <c r="V2930" i="114"/>
  <c r="V2931" i="114"/>
  <c r="V2932" i="114"/>
  <c r="V2933" i="114"/>
  <c r="V2934" i="114"/>
  <c r="V2935" i="114"/>
  <c r="V2936" i="114"/>
  <c r="V2937" i="114"/>
  <c r="V2938" i="114"/>
  <c r="V2939" i="114"/>
  <c r="V2940" i="114"/>
  <c r="V2941" i="114"/>
  <c r="V2942" i="114"/>
  <c r="V2943" i="114"/>
  <c r="V2944" i="114"/>
  <c r="V2945" i="114"/>
  <c r="V2946" i="114"/>
  <c r="V2947" i="114"/>
  <c r="V2948" i="114"/>
  <c r="V2949" i="114"/>
  <c r="V2950" i="114"/>
  <c r="V2951" i="114"/>
  <c r="V2952" i="114"/>
  <c r="V2953" i="114"/>
  <c r="V2954" i="114"/>
  <c r="V2955" i="114"/>
  <c r="V2956" i="114"/>
  <c r="V2957" i="114"/>
  <c r="V2958" i="114"/>
  <c r="V2959" i="114"/>
  <c r="V2960" i="114"/>
  <c r="V2961" i="114"/>
  <c r="V2962" i="114"/>
  <c r="V2963" i="114"/>
  <c r="V2964" i="114"/>
  <c r="V2965" i="114"/>
  <c r="V2966" i="114"/>
  <c r="V2967" i="114"/>
  <c r="V2968" i="114"/>
  <c r="V2969" i="114"/>
  <c r="V2970" i="114"/>
  <c r="V2971" i="114"/>
  <c r="V2972" i="114"/>
  <c r="V2973" i="114"/>
  <c r="V2974" i="114"/>
  <c r="V2975" i="114"/>
  <c r="V2976" i="114"/>
  <c r="V2977" i="114"/>
  <c r="V2978" i="114"/>
  <c r="V2979" i="114"/>
  <c r="V2980" i="114"/>
  <c r="V2981" i="114"/>
  <c r="V2982" i="114"/>
  <c r="V2983" i="114"/>
  <c r="V2984" i="114"/>
  <c r="V2985" i="114"/>
  <c r="V2986" i="114"/>
  <c r="V2987" i="114"/>
  <c r="V2988" i="114"/>
  <c r="V2989" i="114"/>
  <c r="V2990" i="114"/>
  <c r="V2991" i="114"/>
  <c r="V2992" i="114"/>
  <c r="V2993" i="114"/>
  <c r="V2994" i="114"/>
  <c r="V2995" i="114"/>
  <c r="V2996" i="114"/>
  <c r="V2997" i="114"/>
  <c r="V2998" i="114"/>
  <c r="V2999" i="114"/>
  <c r="V3000" i="114"/>
  <c r="V3001" i="114"/>
  <c r="V3002" i="114"/>
  <c r="V3003" i="114"/>
  <c r="V3004" i="114"/>
  <c r="V3005" i="114"/>
  <c r="V3006" i="114"/>
  <c r="V3007" i="114"/>
  <c r="V3008" i="114"/>
  <c r="V3009" i="114"/>
  <c r="V3010" i="114"/>
  <c r="V3011" i="114"/>
  <c r="V3012" i="114"/>
  <c r="V3013" i="114"/>
  <c r="V3014" i="114"/>
  <c r="V3015" i="114"/>
  <c r="V3016" i="114"/>
  <c r="V3017" i="114"/>
  <c r="V3018" i="114"/>
  <c r="V3019" i="114"/>
  <c r="V3020" i="114"/>
  <c r="V3021" i="114"/>
  <c r="V3022" i="114"/>
  <c r="V3023" i="114"/>
  <c r="V3024" i="114"/>
  <c r="V3025" i="114"/>
  <c r="V3026" i="114"/>
  <c r="V3027" i="114"/>
  <c r="V3028" i="114"/>
  <c r="V3029" i="114"/>
  <c r="V3030" i="114"/>
  <c r="V3031" i="114"/>
  <c r="V3032" i="114"/>
  <c r="V3033" i="114"/>
  <c r="V3034" i="114"/>
  <c r="V3035" i="114"/>
  <c r="V3036" i="114"/>
  <c r="V3037" i="114"/>
  <c r="V3038" i="114"/>
  <c r="V3039" i="114"/>
  <c r="V3040" i="114"/>
  <c r="V3041" i="114"/>
  <c r="V3042" i="114"/>
  <c r="V3043" i="114"/>
  <c r="V3044" i="114"/>
  <c r="V3045" i="114"/>
  <c r="V3046" i="114"/>
  <c r="V3047" i="114"/>
  <c r="V3048" i="114"/>
  <c r="V3049" i="114"/>
  <c r="V3050" i="114"/>
  <c r="V3051" i="114"/>
  <c r="V3052" i="114"/>
  <c r="V3053" i="114"/>
  <c r="V3054" i="114"/>
  <c r="V3055" i="114"/>
  <c r="V3056" i="114"/>
  <c r="V3057" i="114"/>
  <c r="V3058" i="114"/>
  <c r="V3059" i="114"/>
  <c r="V3060" i="114"/>
  <c r="V3061" i="114"/>
  <c r="V3062" i="114"/>
  <c r="V3063" i="114"/>
  <c r="V3064" i="114"/>
  <c r="V3065" i="114"/>
  <c r="V3066" i="114"/>
  <c r="V3067" i="114"/>
  <c r="V3068" i="114"/>
  <c r="V3069" i="114"/>
  <c r="V3070" i="114"/>
  <c r="V3071" i="114"/>
  <c r="V3072" i="114"/>
  <c r="V3073" i="114"/>
  <c r="V3074" i="114"/>
  <c r="V3075" i="114"/>
  <c r="V3076" i="114"/>
  <c r="V3077" i="114"/>
  <c r="V3078" i="114"/>
  <c r="V3079" i="114"/>
  <c r="V3080" i="114"/>
  <c r="V3081" i="114"/>
  <c r="V3082" i="114"/>
  <c r="V3083" i="114"/>
  <c r="V3084" i="114"/>
  <c r="V3085" i="114"/>
  <c r="V3086" i="114"/>
  <c r="V3087" i="114"/>
  <c r="V3088" i="114"/>
  <c r="V3089" i="114"/>
  <c r="V3090" i="114"/>
  <c r="V3091" i="114"/>
  <c r="V3092" i="114"/>
  <c r="V3093" i="114"/>
  <c r="V3094" i="114"/>
  <c r="V3095" i="114"/>
  <c r="V3096" i="114"/>
  <c r="V3097" i="114"/>
  <c r="V3098" i="114"/>
  <c r="V3099" i="114"/>
  <c r="V3100" i="114"/>
  <c r="V3101" i="114"/>
  <c r="V3102" i="114"/>
  <c r="V3103" i="114"/>
  <c r="V3104" i="114"/>
  <c r="V3105" i="114"/>
  <c r="V3106" i="114"/>
  <c r="V3107" i="114"/>
  <c r="V3108" i="114"/>
  <c r="V3109" i="114"/>
  <c r="V3110" i="114"/>
  <c r="V3111" i="114"/>
  <c r="V3112" i="114"/>
  <c r="V3113" i="114"/>
  <c r="V3114" i="114"/>
  <c r="V3115" i="114"/>
  <c r="V3116" i="114"/>
  <c r="V3117" i="114"/>
  <c r="V3118" i="114"/>
  <c r="V3119" i="114"/>
  <c r="V3120" i="114"/>
  <c r="V3121" i="114"/>
  <c r="V3122" i="114"/>
  <c r="V3123" i="114"/>
  <c r="V3124" i="114"/>
  <c r="V3125" i="114"/>
  <c r="V3126" i="114"/>
  <c r="V3127" i="114"/>
  <c r="V3128" i="114"/>
  <c r="V3129" i="114"/>
  <c r="V3130" i="114"/>
  <c r="V3131" i="114"/>
  <c r="V3132" i="114"/>
  <c r="V3133" i="114"/>
  <c r="V3134" i="114"/>
  <c r="V3135" i="114"/>
  <c r="V3136" i="114"/>
  <c r="V3137" i="114"/>
  <c r="V3138" i="114"/>
  <c r="V3139" i="114"/>
  <c r="V3140" i="114"/>
  <c r="V3141" i="114"/>
  <c r="V3142" i="114"/>
  <c r="V3143" i="114"/>
  <c r="V3144" i="114"/>
  <c r="V3145" i="114"/>
  <c r="V3146" i="114"/>
  <c r="V3147" i="114"/>
  <c r="V3148" i="114"/>
  <c r="V3149" i="114"/>
  <c r="V3150" i="114"/>
  <c r="V3151" i="114"/>
  <c r="V3152" i="114"/>
  <c r="V3153" i="114"/>
  <c r="V3154" i="114"/>
  <c r="V3155" i="114"/>
  <c r="V3156" i="114"/>
  <c r="V3157" i="114"/>
  <c r="V3158" i="114"/>
  <c r="V3159" i="114"/>
  <c r="V3160" i="114"/>
  <c r="V3161" i="114"/>
  <c r="V3162" i="114"/>
  <c r="V3163" i="114"/>
  <c r="V3164" i="114"/>
  <c r="V3165" i="114"/>
  <c r="V3166" i="114"/>
  <c r="V3167" i="114"/>
  <c r="V3168" i="114"/>
  <c r="V3169" i="114"/>
  <c r="V3170" i="114"/>
  <c r="V3171" i="114"/>
  <c r="V3172" i="114"/>
  <c r="V3173" i="114"/>
  <c r="V3174" i="114"/>
  <c r="V3175" i="114"/>
  <c r="V3176" i="114"/>
  <c r="V3177" i="114"/>
  <c r="V3178" i="114"/>
  <c r="V3179" i="114"/>
  <c r="V3180" i="114"/>
  <c r="V3181" i="114"/>
  <c r="V3182" i="114"/>
  <c r="V3183" i="114"/>
  <c r="V3184" i="114"/>
  <c r="V3185" i="114"/>
  <c r="V3186" i="114"/>
  <c r="V3187" i="114"/>
  <c r="V3188" i="114"/>
  <c r="V3189" i="114"/>
  <c r="V3190" i="114"/>
  <c r="V3191" i="114"/>
  <c r="V3192" i="114"/>
  <c r="V3193" i="114"/>
  <c r="V3194" i="114"/>
  <c r="V3195" i="114"/>
  <c r="V3196" i="114"/>
  <c r="V3197" i="114"/>
  <c r="V3198" i="114"/>
  <c r="V3199" i="114"/>
  <c r="V3200" i="114"/>
  <c r="V3201" i="114"/>
  <c r="V3202" i="114"/>
  <c r="V3203" i="114"/>
  <c r="V3204" i="114"/>
  <c r="V3205" i="114"/>
  <c r="V3206" i="114"/>
  <c r="V3207" i="114"/>
  <c r="V3208" i="114"/>
  <c r="V3209" i="114"/>
  <c r="V3210" i="114"/>
  <c r="V3211" i="114"/>
  <c r="V3212" i="114"/>
  <c r="V3213" i="114"/>
  <c r="V3214" i="114"/>
  <c r="V3215" i="114"/>
  <c r="V3216" i="114"/>
  <c r="V3217" i="114"/>
  <c r="V3218" i="114"/>
  <c r="V3219" i="114"/>
  <c r="V3220" i="114"/>
  <c r="V3221" i="114"/>
  <c r="V3222" i="114"/>
  <c r="V3223" i="114"/>
  <c r="V3224" i="114"/>
  <c r="V3225" i="114"/>
  <c r="V3226" i="114"/>
  <c r="V3227" i="114"/>
  <c r="V3228" i="114"/>
  <c r="V3229" i="114"/>
  <c r="V3230" i="114"/>
  <c r="V3231" i="114"/>
  <c r="V3232" i="114"/>
  <c r="V3233" i="114"/>
  <c r="V3234" i="114"/>
  <c r="V3235" i="114"/>
  <c r="V3236" i="114"/>
  <c r="V3237" i="114"/>
  <c r="V3238" i="114"/>
  <c r="V3239" i="114"/>
  <c r="V3240" i="114"/>
  <c r="V3241" i="114"/>
  <c r="V3242" i="114"/>
  <c r="V3243" i="114"/>
  <c r="V3244" i="114"/>
  <c r="V3245" i="114"/>
  <c r="V3246" i="114"/>
  <c r="V3247" i="114"/>
  <c r="V3248" i="114"/>
  <c r="V3249" i="114"/>
  <c r="V3250" i="114"/>
  <c r="V3251" i="114"/>
  <c r="V3252" i="114"/>
  <c r="V3253" i="114"/>
  <c r="V3254" i="114"/>
  <c r="V3255" i="114"/>
  <c r="V3256" i="114"/>
  <c r="V3257" i="114"/>
  <c r="V3258" i="114"/>
  <c r="V3259" i="114"/>
  <c r="V3260" i="114"/>
  <c r="V3261" i="114"/>
  <c r="V3262" i="114"/>
  <c r="V3263" i="114"/>
  <c r="V3264" i="114"/>
  <c r="V3265" i="114"/>
  <c r="V3266" i="114"/>
  <c r="V3267" i="114"/>
  <c r="V3268" i="114"/>
  <c r="V3269" i="114"/>
  <c r="V3270" i="114"/>
  <c r="V3271" i="114"/>
  <c r="V3272" i="114"/>
  <c r="V3273" i="114"/>
  <c r="V3274" i="114"/>
  <c r="V3275" i="114"/>
  <c r="V3276" i="114"/>
  <c r="V3277" i="114"/>
  <c r="V3278" i="114"/>
  <c r="V3279" i="114"/>
  <c r="V3280" i="114"/>
  <c r="V3281" i="114"/>
  <c r="V3282" i="114"/>
  <c r="V3283" i="114"/>
  <c r="V3284" i="114"/>
  <c r="V3285" i="114"/>
  <c r="V3286" i="114"/>
  <c r="V3287" i="114"/>
  <c r="V3288" i="114"/>
  <c r="V3289" i="114"/>
  <c r="V3290" i="114"/>
  <c r="V3291" i="114"/>
  <c r="V3292" i="114"/>
  <c r="V3293" i="114"/>
  <c r="V3294" i="114"/>
  <c r="V3295" i="114"/>
  <c r="V3296" i="114"/>
  <c r="V3297" i="114"/>
  <c r="V3298" i="114"/>
  <c r="V3299" i="114"/>
  <c r="V3300" i="114"/>
  <c r="V3301" i="114"/>
  <c r="V3302" i="114"/>
  <c r="V3303" i="114"/>
  <c r="V3304" i="114"/>
  <c r="V3305" i="114"/>
  <c r="V3306" i="114"/>
  <c r="V3307" i="114"/>
  <c r="V3308" i="114"/>
  <c r="V3309" i="114"/>
  <c r="V3310" i="114"/>
  <c r="V3311" i="114"/>
  <c r="V3312" i="114"/>
  <c r="V3313" i="114"/>
  <c r="V3314" i="114"/>
  <c r="V3315" i="114"/>
  <c r="V3316" i="114"/>
  <c r="V3317" i="114"/>
  <c r="V3318" i="114"/>
  <c r="V3319" i="114"/>
  <c r="V3320" i="114"/>
  <c r="V3321" i="114"/>
  <c r="V3322" i="114"/>
  <c r="V3323" i="114"/>
  <c r="V3324" i="114"/>
  <c r="V3325" i="114"/>
  <c r="V3326" i="114"/>
  <c r="V3327" i="114"/>
  <c r="V3328" i="114"/>
  <c r="V3329" i="114"/>
  <c r="V3330" i="114"/>
  <c r="V3331" i="114"/>
  <c r="V3332" i="114"/>
  <c r="V3333" i="114"/>
  <c r="V3334" i="114"/>
  <c r="V3335" i="114"/>
  <c r="V3336" i="114"/>
  <c r="V3337" i="114"/>
  <c r="V3338" i="114"/>
  <c r="V3339" i="114"/>
  <c r="V3340" i="114"/>
  <c r="V3341" i="114"/>
  <c r="V3342" i="114"/>
  <c r="V3343" i="114"/>
  <c r="V3344" i="114"/>
  <c r="V3345" i="114"/>
  <c r="V3346" i="114"/>
  <c r="V3347" i="114"/>
  <c r="V3348" i="114"/>
  <c r="V3349" i="114"/>
  <c r="V3350" i="114"/>
  <c r="V3351" i="114"/>
  <c r="V3352" i="114"/>
  <c r="V3353" i="114"/>
  <c r="V3354" i="114"/>
  <c r="V3355" i="114"/>
  <c r="V3356" i="114"/>
  <c r="V3357" i="114"/>
  <c r="V3358" i="114"/>
  <c r="V3359" i="114"/>
  <c r="V3360" i="114"/>
  <c r="V3361" i="114"/>
  <c r="V3362" i="114"/>
  <c r="V3363" i="114"/>
  <c r="V3364" i="114"/>
  <c r="V3365" i="114"/>
  <c r="V3366" i="114"/>
  <c r="V3367" i="114"/>
  <c r="V3368" i="114"/>
  <c r="V3369" i="114"/>
  <c r="V3370" i="114"/>
  <c r="V3371" i="114"/>
  <c r="V3372" i="114"/>
  <c r="V3373" i="114"/>
  <c r="V3374" i="114"/>
  <c r="V3375" i="114"/>
  <c r="V3376" i="114"/>
  <c r="V3377" i="114"/>
  <c r="V3378" i="114"/>
  <c r="V3379" i="114"/>
  <c r="V3380" i="114"/>
  <c r="V3381" i="114"/>
  <c r="V3382" i="114"/>
  <c r="V3383" i="114"/>
  <c r="V3384" i="114"/>
  <c r="V3385" i="114"/>
  <c r="V3386" i="114"/>
  <c r="V3387" i="114"/>
  <c r="V3388" i="114"/>
  <c r="V3389" i="114"/>
  <c r="V3390" i="114"/>
  <c r="V3391" i="114"/>
  <c r="V3392" i="114"/>
  <c r="V3393" i="114"/>
  <c r="V3394" i="114"/>
  <c r="V3395" i="114"/>
  <c r="V3396" i="114"/>
  <c r="V3397" i="114"/>
  <c r="V3398" i="114"/>
  <c r="V3399" i="114"/>
  <c r="V3400" i="114"/>
  <c r="V3401" i="114"/>
  <c r="V3402" i="114"/>
  <c r="V3403" i="114"/>
  <c r="V3404" i="114"/>
  <c r="V3405" i="114"/>
  <c r="V3406" i="114"/>
  <c r="V3407" i="114"/>
  <c r="V3408" i="114"/>
  <c r="V3409" i="114"/>
  <c r="V3410" i="114"/>
  <c r="V3411" i="114"/>
  <c r="V3412" i="114"/>
  <c r="V3413" i="114"/>
  <c r="V3414" i="114"/>
  <c r="V3415" i="114"/>
  <c r="V3416" i="114"/>
  <c r="V3417" i="114"/>
  <c r="V3418" i="114"/>
  <c r="V3419" i="114"/>
  <c r="V3420" i="114"/>
  <c r="V3421" i="114"/>
  <c r="V3422" i="114"/>
  <c r="V3423" i="114"/>
  <c r="V3424" i="114"/>
  <c r="V3425" i="114"/>
  <c r="V3426" i="114"/>
  <c r="V3427" i="114"/>
  <c r="V3428" i="114"/>
  <c r="V3429" i="114"/>
  <c r="V3430" i="114"/>
  <c r="V3431" i="114"/>
  <c r="V3432" i="114"/>
  <c r="V3433" i="114"/>
  <c r="V3434" i="114"/>
  <c r="V3435" i="114"/>
  <c r="V3436" i="114"/>
  <c r="V3437" i="114"/>
  <c r="V3438" i="114"/>
  <c r="V3439" i="114"/>
  <c r="V3440" i="114"/>
  <c r="V3441" i="114"/>
  <c r="V3442" i="114"/>
  <c r="V3443" i="114"/>
  <c r="V3444" i="114"/>
  <c r="V3445" i="114"/>
  <c r="V3446" i="114"/>
  <c r="V3447" i="114"/>
  <c r="V3448" i="114"/>
  <c r="V3449" i="114"/>
  <c r="V3450" i="114"/>
  <c r="V3451" i="114"/>
  <c r="V3452" i="114"/>
  <c r="V3453" i="114"/>
  <c r="V3454" i="114"/>
  <c r="V3455" i="114"/>
  <c r="V3456" i="114"/>
  <c r="V3457" i="114"/>
  <c r="V3458" i="114"/>
  <c r="V3459" i="114"/>
  <c r="V3460" i="114"/>
  <c r="V3461" i="114"/>
  <c r="V3462" i="114"/>
  <c r="V3463" i="114"/>
  <c r="V3464" i="114"/>
  <c r="V3465" i="114"/>
  <c r="V3466" i="114"/>
  <c r="V3467" i="114"/>
  <c r="V3468" i="114"/>
  <c r="V3469" i="114"/>
  <c r="V3470" i="114"/>
  <c r="V3471" i="114"/>
  <c r="V3472" i="114"/>
  <c r="V3473" i="114"/>
  <c r="V3474" i="114"/>
  <c r="V3475" i="114"/>
  <c r="V3476" i="114"/>
  <c r="V3477" i="114"/>
  <c r="V3478" i="114"/>
  <c r="V3479" i="114"/>
  <c r="V3480" i="114"/>
  <c r="V3481" i="114"/>
  <c r="V3482" i="114"/>
  <c r="V3483" i="114"/>
  <c r="V3484" i="114"/>
  <c r="V3485" i="114"/>
  <c r="V3486" i="114"/>
  <c r="V3487" i="114"/>
  <c r="V3488" i="114"/>
  <c r="V3489" i="114"/>
  <c r="V3490" i="114"/>
  <c r="V3491" i="114"/>
  <c r="V3492" i="114"/>
  <c r="V3493" i="114"/>
  <c r="V3494" i="114"/>
  <c r="V3495" i="114"/>
  <c r="V3496" i="114"/>
  <c r="V3497" i="114"/>
  <c r="V3498" i="114"/>
  <c r="V3499" i="114"/>
  <c r="V3500" i="114"/>
  <c r="V3501" i="114"/>
  <c r="V3502" i="114"/>
  <c r="V3503" i="114"/>
  <c r="V3504" i="114"/>
  <c r="V3505" i="114"/>
  <c r="V3506" i="114"/>
  <c r="V3507" i="114"/>
  <c r="V3508" i="114"/>
  <c r="V3509" i="114"/>
  <c r="V3510" i="114"/>
  <c r="V3511" i="114"/>
  <c r="V3512" i="114"/>
  <c r="V3513" i="114"/>
  <c r="V3514" i="114"/>
  <c r="V3515" i="114"/>
  <c r="V3516" i="114"/>
  <c r="V3517" i="114"/>
  <c r="V3518" i="114"/>
  <c r="V3519" i="114"/>
  <c r="V3520" i="114"/>
  <c r="V3521" i="114"/>
  <c r="V3522" i="114"/>
  <c r="V3523" i="114"/>
  <c r="V3524" i="114"/>
  <c r="V3525" i="114"/>
  <c r="V3526" i="114"/>
  <c r="V3527" i="114"/>
  <c r="V3528" i="114"/>
  <c r="V3529" i="114"/>
  <c r="V3530" i="114"/>
  <c r="V3531" i="114"/>
  <c r="V3532" i="114"/>
  <c r="V3533" i="114"/>
  <c r="V3534" i="114"/>
  <c r="V3535" i="114"/>
  <c r="V3536" i="114"/>
  <c r="V3537" i="114"/>
  <c r="V3538" i="114"/>
  <c r="V3539" i="114"/>
  <c r="V3540" i="114"/>
  <c r="V3541" i="114"/>
  <c r="V3542" i="114"/>
  <c r="V3543" i="114"/>
  <c r="V3544" i="114"/>
  <c r="V3545" i="114"/>
  <c r="V3546" i="114"/>
  <c r="V3547" i="114"/>
  <c r="V3548" i="114"/>
  <c r="V3549" i="114"/>
  <c r="V3550" i="114"/>
  <c r="V3551" i="114"/>
  <c r="V3552" i="114"/>
  <c r="V3553" i="114"/>
  <c r="V3554" i="114"/>
  <c r="V3555" i="114"/>
  <c r="V3556" i="114"/>
  <c r="V3557" i="114"/>
  <c r="V3558" i="114"/>
  <c r="V3559" i="114"/>
  <c r="V3560" i="114"/>
  <c r="V3561" i="114"/>
  <c r="V3562" i="114"/>
  <c r="V3563" i="114"/>
  <c r="V3564" i="114"/>
  <c r="V3565" i="114"/>
  <c r="V3566" i="114"/>
  <c r="V3567" i="114"/>
  <c r="V3568" i="114"/>
  <c r="V3569" i="114"/>
  <c r="V3570" i="114"/>
  <c r="V3571" i="114"/>
  <c r="V3572" i="114"/>
  <c r="V3573" i="114"/>
  <c r="V3574" i="114"/>
  <c r="V3575" i="114"/>
  <c r="V3576" i="114"/>
  <c r="V3577" i="114"/>
  <c r="V3578" i="114"/>
  <c r="V3579" i="114"/>
  <c r="V3580" i="114"/>
  <c r="V3581" i="114"/>
  <c r="V3582" i="114"/>
  <c r="V3583" i="114"/>
  <c r="V3584" i="114"/>
  <c r="V3585" i="114"/>
  <c r="V3586" i="114"/>
  <c r="V3587" i="114"/>
  <c r="V3588" i="114"/>
  <c r="V3589" i="114"/>
  <c r="V3590" i="114"/>
  <c r="V3591" i="114"/>
  <c r="V3592" i="114"/>
  <c r="V3593" i="114"/>
  <c r="V3594" i="114"/>
  <c r="V3595" i="114"/>
  <c r="V3596" i="114"/>
  <c r="V3597" i="114"/>
  <c r="V3598" i="114"/>
  <c r="V3599" i="114"/>
  <c r="V3600" i="114"/>
  <c r="V3601" i="114"/>
  <c r="V3602" i="114"/>
  <c r="V3603" i="114"/>
  <c r="V3604" i="114"/>
  <c r="V3605" i="114"/>
  <c r="V3606" i="114"/>
  <c r="V3607" i="114"/>
  <c r="V3608" i="114"/>
  <c r="V3609" i="114"/>
  <c r="V3610" i="114"/>
  <c r="V3611" i="114"/>
  <c r="V3612" i="114"/>
  <c r="V3613" i="114"/>
  <c r="V3614" i="114"/>
  <c r="V3615" i="114"/>
  <c r="V3616" i="114"/>
  <c r="V3617" i="114"/>
  <c r="V3618" i="114"/>
  <c r="V3619" i="114"/>
  <c r="V3620" i="114"/>
  <c r="V3621" i="114"/>
  <c r="V3622" i="114"/>
  <c r="V3623" i="114"/>
  <c r="V3624" i="114"/>
  <c r="V3625" i="114"/>
  <c r="V3626" i="114"/>
  <c r="V3627" i="114"/>
  <c r="V3628" i="114"/>
  <c r="V3629" i="114"/>
  <c r="V3630" i="114"/>
  <c r="V3631" i="114"/>
  <c r="V3632" i="114"/>
  <c r="V3633" i="114"/>
  <c r="V3634" i="114"/>
  <c r="V3635" i="114"/>
  <c r="V3636" i="114"/>
  <c r="V3637" i="114"/>
  <c r="V3638" i="114"/>
  <c r="V3639" i="114"/>
  <c r="V3640" i="114"/>
  <c r="V3641" i="114"/>
  <c r="V3642" i="114"/>
  <c r="V3643" i="114"/>
  <c r="V3644" i="114"/>
  <c r="V3645" i="114"/>
  <c r="V3646" i="114"/>
  <c r="V3647" i="114"/>
  <c r="V3648" i="114"/>
  <c r="V3649" i="114"/>
  <c r="V3650" i="114"/>
  <c r="V3651" i="114"/>
  <c r="V3652" i="114"/>
  <c r="V3653" i="114"/>
  <c r="V3654" i="114"/>
  <c r="V3655" i="114"/>
  <c r="V3656" i="114"/>
  <c r="V3657" i="114"/>
  <c r="V3658" i="114"/>
  <c r="V3659" i="114"/>
  <c r="V3660" i="114"/>
  <c r="V3661" i="114"/>
  <c r="V3662" i="114"/>
  <c r="V3663" i="114"/>
  <c r="V3664" i="114"/>
  <c r="V3665" i="114"/>
  <c r="V3666" i="114"/>
  <c r="V3667" i="114"/>
  <c r="V3668" i="114"/>
  <c r="V3669" i="114"/>
  <c r="V3670" i="114"/>
  <c r="V3671" i="114"/>
  <c r="V3672" i="114"/>
  <c r="V3673" i="114"/>
  <c r="V3674" i="114"/>
  <c r="V3675" i="114"/>
  <c r="V3676" i="114"/>
  <c r="V3677" i="114"/>
  <c r="V3678" i="114"/>
  <c r="V3679" i="114"/>
  <c r="V3680" i="114"/>
  <c r="V3681" i="114"/>
  <c r="V3682" i="114"/>
  <c r="V3683" i="114"/>
  <c r="V3684" i="114"/>
  <c r="V3685" i="114"/>
  <c r="V3686" i="114"/>
  <c r="V3687" i="114"/>
  <c r="V3688" i="114"/>
  <c r="V3689" i="114"/>
  <c r="V3690" i="114"/>
  <c r="V3691" i="114"/>
  <c r="V3692" i="114"/>
  <c r="V3693" i="114"/>
  <c r="V3694" i="114"/>
  <c r="V3695" i="114"/>
  <c r="V3696" i="114"/>
  <c r="V3697" i="114"/>
  <c r="V3698" i="114"/>
  <c r="V3699" i="114"/>
  <c r="V3700" i="114"/>
  <c r="V3701" i="114"/>
  <c r="V3702" i="114"/>
  <c r="V3703" i="114"/>
  <c r="V3704" i="114"/>
  <c r="V3705" i="114"/>
  <c r="V3706" i="114"/>
  <c r="V3707" i="114"/>
  <c r="V3708" i="114"/>
  <c r="V3709" i="114"/>
  <c r="V3710" i="114"/>
  <c r="V3711" i="114"/>
  <c r="V3712" i="114"/>
  <c r="V3713" i="114"/>
  <c r="V3714" i="114"/>
  <c r="V3715" i="114"/>
  <c r="V3716" i="114"/>
  <c r="V3717" i="114"/>
  <c r="V3718" i="114"/>
  <c r="V3719" i="114"/>
  <c r="V3720" i="114"/>
  <c r="V3721" i="114"/>
  <c r="V3722" i="114"/>
  <c r="V3723" i="114"/>
  <c r="V3724" i="114"/>
  <c r="V3725" i="114"/>
  <c r="V3726" i="114"/>
  <c r="V3727" i="114"/>
  <c r="V3728" i="114"/>
  <c r="V3729" i="114"/>
  <c r="V3730" i="114"/>
  <c r="V3731" i="114"/>
  <c r="V3732" i="114"/>
  <c r="V3733" i="114"/>
  <c r="V3734" i="114"/>
  <c r="V3735" i="114"/>
  <c r="V3736" i="114"/>
  <c r="V3737" i="114"/>
  <c r="V3738" i="114"/>
  <c r="V3739" i="114"/>
  <c r="V3740" i="114"/>
  <c r="V3741" i="114"/>
  <c r="V3742" i="114"/>
  <c r="V3743" i="114"/>
  <c r="V3744" i="114"/>
  <c r="V3745" i="114"/>
  <c r="V3746" i="114"/>
  <c r="V3747" i="114"/>
  <c r="V3748" i="114"/>
  <c r="V3749" i="114"/>
  <c r="V3750" i="114"/>
  <c r="V3751" i="114"/>
  <c r="V3752" i="114"/>
  <c r="V3753" i="114"/>
  <c r="V3754" i="114"/>
  <c r="V3755" i="114"/>
  <c r="V3756" i="114"/>
  <c r="V3757" i="114"/>
  <c r="V3758" i="114"/>
  <c r="V3759" i="114"/>
  <c r="V3760" i="114"/>
  <c r="V3761" i="114"/>
  <c r="V3762" i="114"/>
  <c r="V3763" i="114"/>
  <c r="V3764" i="114"/>
  <c r="V3765" i="114"/>
  <c r="V3766" i="114"/>
  <c r="V3767" i="114"/>
  <c r="V3768" i="114"/>
  <c r="V3769" i="114"/>
  <c r="V3770" i="114"/>
  <c r="V3771" i="114"/>
  <c r="V3772" i="114"/>
  <c r="V3773" i="114"/>
  <c r="V3774" i="114"/>
  <c r="V3775" i="114"/>
  <c r="V3776" i="114"/>
  <c r="V3777" i="114"/>
  <c r="V3778" i="114"/>
  <c r="V3779" i="114"/>
  <c r="V3780" i="114"/>
  <c r="V3781" i="114"/>
  <c r="V3782" i="114"/>
  <c r="V3783" i="114"/>
  <c r="V3784" i="114"/>
  <c r="V3785" i="114"/>
  <c r="V3786" i="114"/>
  <c r="V3787" i="114"/>
  <c r="V3788" i="114"/>
  <c r="V3789" i="114"/>
  <c r="V3790" i="114"/>
  <c r="V3791" i="114"/>
  <c r="V3792" i="114"/>
  <c r="V3793" i="114"/>
  <c r="V3794" i="114"/>
  <c r="V3795" i="114"/>
  <c r="V3796" i="114"/>
  <c r="V3797" i="114"/>
  <c r="V3798" i="114"/>
  <c r="V3799" i="114"/>
  <c r="V3800" i="114"/>
  <c r="V3801" i="114"/>
  <c r="V3802" i="114"/>
  <c r="V3803" i="114"/>
  <c r="V3804" i="114"/>
  <c r="V3805" i="114"/>
  <c r="V3806" i="114"/>
  <c r="V3807" i="114"/>
  <c r="V3808" i="114"/>
  <c r="V3809" i="114"/>
  <c r="V3810" i="114"/>
  <c r="V3811" i="114"/>
  <c r="V3812" i="114"/>
  <c r="V3813" i="114"/>
  <c r="V3814" i="114"/>
  <c r="V3815" i="114"/>
  <c r="V3816" i="114"/>
  <c r="V3817" i="114"/>
  <c r="V3818" i="114"/>
  <c r="V3819" i="114"/>
  <c r="V3820" i="114"/>
  <c r="V3821" i="114"/>
  <c r="V3822" i="114"/>
  <c r="V3823" i="114"/>
  <c r="V3824" i="114"/>
  <c r="V3825" i="114"/>
  <c r="V3826" i="114"/>
  <c r="V3827" i="114"/>
  <c r="V3828" i="114"/>
  <c r="V3829" i="114"/>
  <c r="V3830" i="114"/>
  <c r="V3831" i="114"/>
  <c r="V3832" i="114"/>
  <c r="V3833" i="114"/>
  <c r="V3834" i="114"/>
  <c r="V3835" i="114"/>
  <c r="V3836" i="114"/>
  <c r="V3837" i="114"/>
  <c r="V3838" i="114"/>
  <c r="V3839" i="114"/>
  <c r="V3840" i="114"/>
  <c r="V3841" i="114"/>
  <c r="V3842" i="114"/>
  <c r="V3843" i="114"/>
  <c r="V3844" i="114"/>
  <c r="V3845" i="114"/>
  <c r="V3846" i="114"/>
  <c r="V3847" i="114"/>
  <c r="V3848" i="114"/>
  <c r="V3849" i="114"/>
  <c r="V3850" i="114"/>
  <c r="V3851" i="114"/>
  <c r="V3852" i="114"/>
  <c r="V3853" i="114"/>
  <c r="V3854" i="114"/>
  <c r="V3855" i="114"/>
  <c r="V3856" i="114"/>
  <c r="V3857" i="114"/>
  <c r="V3858" i="114"/>
  <c r="V3859" i="114"/>
  <c r="V3860" i="114"/>
  <c r="V3861" i="114"/>
  <c r="V3862" i="114"/>
  <c r="V3863" i="114"/>
  <c r="V3864" i="114"/>
  <c r="V3865" i="114"/>
  <c r="V3866" i="114"/>
  <c r="V3867" i="114"/>
  <c r="V3868" i="114"/>
  <c r="V3869" i="114"/>
  <c r="V3870" i="114"/>
  <c r="V3871" i="114"/>
  <c r="V3872" i="114"/>
  <c r="V3873" i="114"/>
  <c r="V3874" i="114"/>
  <c r="V3875" i="114"/>
  <c r="V3876" i="114"/>
  <c r="V3877" i="114"/>
  <c r="V3878" i="114"/>
  <c r="V3879" i="114"/>
  <c r="V3880" i="114"/>
  <c r="V3881" i="114"/>
  <c r="V3882" i="114"/>
  <c r="V3883" i="114"/>
  <c r="V3884" i="114"/>
  <c r="V3885" i="114"/>
  <c r="V3886" i="114"/>
  <c r="V3887" i="114"/>
  <c r="V3888" i="114"/>
  <c r="V3889" i="114"/>
  <c r="V3890" i="114"/>
  <c r="V3891" i="114"/>
  <c r="V3892" i="114"/>
  <c r="V3893" i="114"/>
  <c r="V3894" i="114"/>
  <c r="V3895" i="114"/>
  <c r="V3896" i="114"/>
  <c r="V3897" i="114"/>
  <c r="V3898" i="114"/>
  <c r="V3899" i="114"/>
  <c r="V3900" i="114"/>
  <c r="V3901" i="114"/>
  <c r="V3902" i="114"/>
  <c r="V3903" i="114"/>
  <c r="V3904" i="114"/>
  <c r="V3905" i="114"/>
  <c r="V3906" i="114"/>
  <c r="V3907" i="114"/>
  <c r="V3908" i="114"/>
  <c r="V3909" i="114"/>
  <c r="V3910" i="114"/>
  <c r="V3911" i="114"/>
  <c r="V3912" i="114"/>
  <c r="V3913" i="114"/>
  <c r="V3914" i="114"/>
  <c r="V3915" i="114"/>
  <c r="V3916" i="114"/>
  <c r="V3917" i="114"/>
  <c r="V3918" i="114"/>
  <c r="V3919" i="114"/>
  <c r="V3920" i="114"/>
  <c r="V3921" i="114"/>
  <c r="V3922" i="114"/>
  <c r="V3923" i="114"/>
  <c r="V3924" i="114"/>
  <c r="V3925" i="114"/>
  <c r="V3926" i="114"/>
  <c r="V3927" i="114"/>
  <c r="V3928" i="114"/>
  <c r="V3929" i="114"/>
  <c r="V3930" i="114"/>
  <c r="V3931" i="114"/>
  <c r="V3932" i="114"/>
  <c r="V3933" i="114"/>
  <c r="V3934" i="114"/>
  <c r="V3935" i="114"/>
  <c r="V3936" i="114"/>
  <c r="V3937" i="114"/>
  <c r="V3938" i="114"/>
  <c r="V3939" i="114"/>
  <c r="V3940" i="114"/>
  <c r="V3941" i="114"/>
  <c r="V3942" i="114"/>
  <c r="V3943" i="114"/>
  <c r="V3944" i="114"/>
  <c r="V3945" i="114"/>
  <c r="V3946" i="114"/>
  <c r="V3947" i="114"/>
  <c r="V3948" i="114"/>
  <c r="V3949" i="114"/>
  <c r="V3950" i="114"/>
  <c r="V3951" i="114"/>
  <c r="V3952" i="114"/>
  <c r="V3953" i="114"/>
  <c r="V3954" i="114"/>
  <c r="V3955" i="114"/>
  <c r="V3956" i="114"/>
  <c r="V3957" i="114"/>
  <c r="V3958" i="114"/>
  <c r="V3959" i="114"/>
  <c r="V3960" i="114"/>
  <c r="V3961" i="114"/>
  <c r="V3962" i="114"/>
  <c r="V3963" i="114"/>
  <c r="V3964" i="114"/>
  <c r="V3965" i="114"/>
  <c r="V3966" i="114"/>
  <c r="V3967" i="114"/>
  <c r="V3968" i="114"/>
  <c r="V3969" i="114"/>
  <c r="V3970" i="114"/>
  <c r="V3971" i="114"/>
  <c r="V3972" i="114"/>
  <c r="V3973" i="114"/>
  <c r="V3974" i="114"/>
  <c r="V3975" i="114"/>
  <c r="V3976" i="114"/>
  <c r="V3977" i="114"/>
  <c r="V3978" i="114"/>
  <c r="V3979" i="114"/>
  <c r="V3980" i="114"/>
  <c r="V3981" i="114"/>
  <c r="V3982" i="114"/>
  <c r="V3983" i="114"/>
  <c r="V3984" i="114"/>
  <c r="V3985" i="114"/>
  <c r="V3986" i="114"/>
  <c r="V3987" i="114"/>
  <c r="V3988" i="114"/>
  <c r="V3989" i="114"/>
  <c r="V3990" i="114"/>
  <c r="V3991" i="114"/>
  <c r="V3992" i="114"/>
  <c r="V3993" i="114"/>
  <c r="V3994" i="114"/>
  <c r="V3995" i="114"/>
  <c r="V3996" i="114"/>
  <c r="V3997" i="114"/>
  <c r="V3998" i="114"/>
  <c r="V3999" i="114"/>
  <c r="V4000" i="114"/>
  <c r="V4001" i="114"/>
  <c r="V4002" i="114"/>
  <c r="V4003" i="114"/>
  <c r="V4004" i="114"/>
  <c r="V4005" i="114"/>
  <c r="V4006" i="114"/>
  <c r="V4007" i="114"/>
  <c r="V4008" i="114"/>
  <c r="V4009" i="114"/>
  <c r="V4010" i="114"/>
  <c r="V4011" i="114"/>
  <c r="V4012" i="114"/>
  <c r="V4013" i="114"/>
  <c r="V4014" i="114"/>
  <c r="V4015" i="114"/>
  <c r="V4016" i="114"/>
  <c r="V4017" i="114"/>
  <c r="V4018" i="114"/>
  <c r="V4019" i="114"/>
  <c r="V4020" i="114"/>
  <c r="V4021" i="114"/>
  <c r="V4022" i="114"/>
  <c r="V4023" i="114"/>
  <c r="V4024" i="114"/>
  <c r="V4025" i="114"/>
  <c r="V4026" i="114"/>
  <c r="V4027" i="114"/>
  <c r="V4028" i="114"/>
  <c r="V4029" i="114"/>
  <c r="V4030" i="114"/>
  <c r="V4031" i="114"/>
  <c r="V4032" i="114"/>
  <c r="V4033" i="114"/>
  <c r="V4034" i="114"/>
  <c r="V4035" i="114"/>
  <c r="V4036" i="114"/>
  <c r="V4037" i="114"/>
  <c r="V4038" i="114"/>
  <c r="V4039" i="114"/>
  <c r="V4040" i="114"/>
  <c r="V4041" i="114"/>
  <c r="V4042" i="114"/>
  <c r="V4043" i="114"/>
  <c r="V4044" i="114"/>
  <c r="V4045" i="114"/>
  <c r="V4046" i="114"/>
  <c r="V4047" i="114"/>
  <c r="V4048" i="114"/>
  <c r="V4049" i="114"/>
  <c r="V4050" i="114"/>
  <c r="V4051" i="114"/>
  <c r="V4052" i="114"/>
  <c r="V4053" i="114"/>
  <c r="V4054" i="114"/>
  <c r="V4055" i="114"/>
  <c r="V4056" i="114"/>
  <c r="V4057" i="114"/>
  <c r="V4058" i="114"/>
  <c r="V4059" i="114"/>
  <c r="V4060" i="114"/>
  <c r="V4061" i="114"/>
  <c r="V4062" i="114"/>
  <c r="V4063" i="114"/>
  <c r="V4064" i="114"/>
  <c r="V4065" i="114"/>
  <c r="V4066" i="114"/>
  <c r="V4067" i="114"/>
  <c r="V4068" i="114"/>
  <c r="V4069" i="114"/>
  <c r="V4070" i="114"/>
  <c r="V4071" i="114"/>
  <c r="V4072" i="114"/>
  <c r="V4073" i="114"/>
  <c r="V4074" i="114"/>
  <c r="V4075" i="114"/>
  <c r="V4076" i="114"/>
  <c r="V4077" i="114"/>
  <c r="V4078" i="114"/>
  <c r="V4079" i="114"/>
  <c r="V4080" i="114"/>
  <c r="V4081" i="114"/>
  <c r="V4082" i="114"/>
  <c r="V4083" i="114"/>
  <c r="V4084" i="114"/>
  <c r="V4085" i="114"/>
  <c r="V4086" i="114"/>
  <c r="V4087" i="114"/>
  <c r="V4088" i="114"/>
  <c r="V4089" i="114"/>
  <c r="V4090" i="114"/>
  <c r="V4091" i="114"/>
  <c r="V4092" i="114"/>
  <c r="V4093" i="114"/>
  <c r="V4094" i="114"/>
  <c r="V4095" i="114"/>
  <c r="V4096" i="114"/>
  <c r="V4097" i="114"/>
  <c r="V4098" i="114"/>
  <c r="V4099" i="114"/>
  <c r="V4100" i="114"/>
  <c r="V4101" i="114"/>
  <c r="V4102" i="114"/>
  <c r="V4103" i="114"/>
  <c r="V4104" i="114"/>
  <c r="V4105" i="114"/>
  <c r="V4106" i="114"/>
  <c r="V4107" i="114"/>
  <c r="V4108" i="114"/>
  <c r="V4109" i="114"/>
  <c r="V4110" i="114"/>
  <c r="V4111" i="114"/>
  <c r="V4112" i="114"/>
  <c r="V4113" i="114"/>
  <c r="V4114" i="114"/>
  <c r="V4115" i="114"/>
  <c r="V4116" i="114"/>
  <c r="V4117" i="114"/>
  <c r="V4118" i="114"/>
  <c r="V4119" i="114"/>
  <c r="V4120" i="114"/>
  <c r="V4121" i="114"/>
  <c r="V4122" i="114"/>
  <c r="V4123" i="114"/>
  <c r="V4124" i="114"/>
  <c r="V4125" i="114"/>
  <c r="V4126" i="114"/>
  <c r="V4127" i="114"/>
  <c r="V4128" i="114"/>
  <c r="V4129" i="114"/>
  <c r="V4130" i="114"/>
  <c r="V4131" i="114"/>
  <c r="V4132" i="114"/>
  <c r="V4133" i="114"/>
  <c r="V4134" i="114"/>
  <c r="V4135" i="114"/>
  <c r="V4136" i="114"/>
  <c r="V4137" i="114"/>
  <c r="V4138" i="114"/>
  <c r="V4139" i="114"/>
  <c r="V4140" i="114"/>
  <c r="V4141" i="114"/>
  <c r="V4142" i="114"/>
  <c r="V4143" i="114"/>
  <c r="V4144" i="114"/>
  <c r="V4145" i="114"/>
  <c r="V4146" i="114"/>
  <c r="V4147" i="114"/>
  <c r="V4148" i="114"/>
  <c r="V4149" i="114"/>
  <c r="V4150" i="114"/>
  <c r="V4151" i="114"/>
  <c r="V4152" i="114"/>
  <c r="V4153" i="114"/>
  <c r="V4154" i="114"/>
  <c r="V4155" i="114"/>
  <c r="V4156" i="114"/>
  <c r="V4157" i="114"/>
  <c r="V4158" i="114"/>
  <c r="V4159" i="114"/>
  <c r="V4160" i="114"/>
  <c r="V4161" i="114"/>
  <c r="V4162" i="114"/>
  <c r="V4163" i="114"/>
  <c r="V4164" i="114"/>
  <c r="V4165" i="114"/>
  <c r="V4166" i="114"/>
  <c r="V4167" i="114"/>
  <c r="V4168" i="114"/>
  <c r="V4169" i="114"/>
  <c r="V4170" i="114"/>
  <c r="V4171" i="114"/>
  <c r="V4172" i="114"/>
  <c r="V4173" i="114"/>
  <c r="V4174" i="114"/>
  <c r="V4175" i="114"/>
  <c r="V4176" i="114"/>
  <c r="V4177" i="114"/>
  <c r="V4178" i="114"/>
  <c r="V4179" i="114"/>
  <c r="V4180" i="114"/>
  <c r="V4181" i="114"/>
  <c r="V4182" i="114"/>
  <c r="V4183" i="114"/>
  <c r="V4184" i="114"/>
  <c r="V4185" i="114"/>
  <c r="V4186" i="114"/>
  <c r="V4187" i="114"/>
  <c r="V4188" i="114"/>
  <c r="V4189" i="114"/>
  <c r="V4190" i="114"/>
  <c r="V4191" i="114"/>
  <c r="V4192" i="114"/>
  <c r="V4193" i="114"/>
  <c r="V4194" i="114"/>
  <c r="V4195" i="114"/>
  <c r="V4196" i="114"/>
  <c r="V4197" i="114"/>
  <c r="V4198" i="114"/>
  <c r="V4199" i="114"/>
  <c r="V4200" i="114"/>
  <c r="V4201" i="114"/>
  <c r="V4202" i="114"/>
  <c r="V4203" i="114"/>
  <c r="V4204" i="114"/>
  <c r="V4205" i="114"/>
  <c r="V4206" i="114"/>
  <c r="V4207" i="114"/>
  <c r="V4208" i="114"/>
  <c r="V4209" i="114"/>
  <c r="V4210" i="114"/>
  <c r="V4211" i="114"/>
  <c r="V4212" i="114"/>
  <c r="V4213" i="114"/>
  <c r="V4214" i="114"/>
  <c r="V4215" i="114"/>
  <c r="V4216" i="114"/>
  <c r="V4217" i="114"/>
  <c r="V4218" i="114"/>
  <c r="V4219" i="114"/>
  <c r="V4220" i="114"/>
  <c r="V4221" i="114"/>
  <c r="V4222" i="114"/>
  <c r="V4223" i="114"/>
  <c r="V4224" i="114"/>
  <c r="V4225" i="114"/>
  <c r="V4226" i="114"/>
  <c r="V4227" i="114"/>
  <c r="V4228" i="114"/>
  <c r="V4229" i="114"/>
  <c r="V4230" i="114"/>
  <c r="V4231" i="114"/>
  <c r="V4232" i="114"/>
  <c r="V4233" i="114"/>
  <c r="V4234" i="114"/>
  <c r="V4235" i="114"/>
  <c r="V4236" i="114"/>
  <c r="V4237" i="114"/>
  <c r="V4238" i="114"/>
  <c r="V4239" i="114"/>
  <c r="V4240" i="114"/>
  <c r="V4241" i="114"/>
  <c r="V4242" i="114"/>
  <c r="V4243" i="114"/>
  <c r="V4244" i="114"/>
  <c r="V4245" i="114"/>
  <c r="V4246" i="114"/>
  <c r="V4247" i="114"/>
  <c r="V4248" i="114"/>
  <c r="V4249" i="114"/>
  <c r="V4250" i="114"/>
  <c r="V4251" i="114"/>
  <c r="V4252" i="114"/>
  <c r="V4253" i="114"/>
  <c r="V4254" i="114"/>
  <c r="V4255" i="114"/>
  <c r="V4256" i="114"/>
  <c r="V4257" i="114"/>
  <c r="V4258" i="114"/>
  <c r="V4259" i="114"/>
  <c r="V4260" i="114"/>
  <c r="V4261" i="114"/>
  <c r="V4262" i="114"/>
  <c r="V4263" i="114"/>
  <c r="V4264" i="114"/>
  <c r="V4265" i="114"/>
  <c r="V4266" i="114"/>
  <c r="V4267" i="114"/>
  <c r="V4268" i="114"/>
  <c r="V4269" i="114"/>
  <c r="V4270" i="114"/>
  <c r="V4271" i="114"/>
  <c r="V4272" i="114"/>
  <c r="V4273" i="114"/>
  <c r="V4274" i="114"/>
  <c r="V4275" i="114"/>
  <c r="V4276" i="114"/>
  <c r="V4277" i="114"/>
  <c r="V4278" i="114"/>
  <c r="V4279" i="114"/>
  <c r="V4280" i="114"/>
  <c r="V4281" i="114"/>
  <c r="V4282" i="114"/>
  <c r="V4283" i="114"/>
  <c r="V4284" i="114"/>
  <c r="V4285" i="114"/>
  <c r="V4286" i="114"/>
  <c r="V4287" i="114"/>
  <c r="V4288" i="114"/>
  <c r="V4289" i="114"/>
  <c r="V4290" i="114"/>
  <c r="V4291" i="114"/>
  <c r="V4292" i="114"/>
  <c r="V4293" i="114"/>
  <c r="V4294" i="114"/>
  <c r="V4295" i="114"/>
  <c r="V4296" i="114"/>
  <c r="V4297" i="114"/>
  <c r="V4298" i="114"/>
  <c r="V4299" i="114"/>
  <c r="V4300" i="114"/>
  <c r="V4301" i="114"/>
  <c r="V4302" i="114"/>
  <c r="V4303" i="114"/>
  <c r="V4304" i="114"/>
  <c r="V4305" i="114"/>
  <c r="V4306" i="114"/>
  <c r="V4307" i="114"/>
  <c r="V4308" i="114"/>
  <c r="V4309" i="114"/>
  <c r="V4310" i="114"/>
  <c r="V4311" i="114"/>
  <c r="V4312" i="114"/>
  <c r="V4313" i="114"/>
  <c r="V4314" i="114"/>
  <c r="V4315" i="114"/>
  <c r="V4316" i="114"/>
  <c r="V4317" i="114"/>
  <c r="V4318" i="114"/>
  <c r="V4319" i="114"/>
  <c r="V4320" i="114"/>
  <c r="V4321" i="114"/>
  <c r="V4322" i="114"/>
  <c r="V4323" i="114"/>
  <c r="V4324" i="114"/>
  <c r="V4325" i="114"/>
  <c r="V4326" i="114"/>
  <c r="V4327" i="114"/>
  <c r="V4328" i="114"/>
  <c r="V4329" i="114"/>
  <c r="V4330" i="114"/>
  <c r="V4331" i="114"/>
  <c r="V4332" i="114"/>
  <c r="V4333" i="114"/>
  <c r="V4334" i="114"/>
  <c r="V4335" i="114"/>
  <c r="V4336" i="114"/>
  <c r="V4337" i="114"/>
  <c r="V4338" i="114"/>
  <c r="V4339" i="114"/>
  <c r="V4340" i="114"/>
  <c r="V4341" i="114"/>
  <c r="V4342" i="114"/>
  <c r="V4343" i="114"/>
  <c r="V4344" i="114"/>
  <c r="V4345" i="114"/>
  <c r="V4346" i="114"/>
  <c r="V4347" i="114"/>
  <c r="V4348" i="114"/>
  <c r="V4349" i="114"/>
  <c r="V4350" i="114"/>
  <c r="V4351" i="114"/>
  <c r="V4352" i="114"/>
  <c r="V4353" i="114"/>
  <c r="V4354" i="114"/>
  <c r="V4355" i="114"/>
  <c r="V4356" i="114"/>
  <c r="V4357" i="114"/>
  <c r="V4358" i="114"/>
  <c r="V4359" i="114"/>
  <c r="V4360" i="114"/>
  <c r="V4361" i="114"/>
  <c r="V4362" i="114"/>
  <c r="V4363" i="114"/>
  <c r="V4364" i="114"/>
  <c r="V4365" i="114"/>
  <c r="V4366" i="114"/>
  <c r="V4367" i="114"/>
  <c r="V4368" i="114"/>
  <c r="V4369" i="114"/>
  <c r="V4370" i="114"/>
  <c r="V4371" i="114"/>
  <c r="V4372" i="114"/>
  <c r="V4373" i="114"/>
  <c r="V4374" i="114"/>
  <c r="V4375" i="114"/>
  <c r="V4376" i="114"/>
  <c r="V4377" i="114"/>
  <c r="V4378" i="114"/>
  <c r="V4379" i="114"/>
  <c r="V4380" i="114"/>
  <c r="V4381" i="114"/>
  <c r="V4382" i="114"/>
  <c r="V4383" i="114"/>
  <c r="V4384" i="114"/>
  <c r="V4385" i="114"/>
  <c r="V4386" i="114"/>
  <c r="V4387" i="114"/>
  <c r="V4388" i="114"/>
  <c r="V4389" i="114"/>
  <c r="V4390" i="114"/>
  <c r="V4391" i="114"/>
  <c r="V4392" i="114"/>
  <c r="V4393" i="114"/>
  <c r="V4394" i="114"/>
  <c r="V4395" i="114"/>
  <c r="V4396" i="114"/>
  <c r="V4397" i="114"/>
  <c r="V4398" i="114"/>
  <c r="V4399" i="114"/>
  <c r="V4400" i="114"/>
  <c r="V4401" i="114"/>
  <c r="V4402" i="114"/>
  <c r="V4403" i="114"/>
  <c r="V4404" i="114"/>
  <c r="V4405" i="114"/>
  <c r="V4406" i="114"/>
  <c r="V4407" i="114"/>
  <c r="V4408" i="114"/>
  <c r="V4409" i="114"/>
  <c r="V4410" i="114"/>
  <c r="V4411" i="114"/>
  <c r="V4412" i="114"/>
  <c r="V4413" i="114"/>
  <c r="V4414" i="114"/>
  <c r="V4415" i="114"/>
  <c r="V4416" i="114"/>
  <c r="V4417" i="114"/>
  <c r="V4418" i="114"/>
  <c r="V4419" i="114"/>
  <c r="V4420" i="114"/>
  <c r="V4421" i="114"/>
  <c r="V4422" i="114"/>
  <c r="V4423" i="114"/>
  <c r="V4424" i="114"/>
  <c r="V4425" i="114"/>
  <c r="V4426" i="114"/>
  <c r="V4427" i="114"/>
  <c r="V4428" i="114"/>
  <c r="V4429" i="114"/>
  <c r="V4430" i="114"/>
  <c r="V4431" i="114"/>
  <c r="V4432" i="114"/>
  <c r="V4433" i="114"/>
  <c r="V4434" i="114"/>
  <c r="V4435" i="114"/>
  <c r="V4436" i="114"/>
  <c r="V4437" i="114"/>
  <c r="V4438" i="114"/>
  <c r="V4439" i="114"/>
  <c r="V4440" i="114"/>
  <c r="V4441" i="114"/>
  <c r="V4442" i="114"/>
  <c r="V4443" i="114"/>
  <c r="V4444" i="114"/>
  <c r="V4445" i="114"/>
  <c r="V4446" i="114"/>
  <c r="V4447" i="114"/>
  <c r="V4448" i="114"/>
  <c r="V4449" i="114"/>
  <c r="V4450" i="114"/>
  <c r="V4451" i="114"/>
  <c r="V4452" i="114"/>
  <c r="V4453" i="114"/>
  <c r="V4454" i="114"/>
  <c r="V4455" i="114"/>
  <c r="V4456" i="114"/>
  <c r="V4457" i="114"/>
  <c r="V4458" i="114"/>
  <c r="V4459" i="114"/>
  <c r="V4460" i="114"/>
  <c r="V4461" i="114"/>
  <c r="V4462" i="114"/>
  <c r="V4463" i="114"/>
  <c r="V4464" i="114"/>
  <c r="V4465" i="114"/>
  <c r="V4466" i="114"/>
  <c r="V4467" i="114"/>
  <c r="V4468" i="114"/>
  <c r="V4469" i="114"/>
  <c r="V4470" i="114"/>
  <c r="V4471" i="114"/>
  <c r="V4472" i="114"/>
  <c r="V4473" i="114"/>
  <c r="V4474" i="114"/>
  <c r="V4475" i="114"/>
  <c r="V4476" i="114"/>
  <c r="V4477" i="114"/>
  <c r="V4478" i="114"/>
  <c r="V4479" i="114"/>
  <c r="V4480" i="114"/>
  <c r="V4481" i="114"/>
  <c r="V4482" i="114"/>
  <c r="V4483" i="114"/>
  <c r="V4484" i="114"/>
  <c r="V4485" i="114"/>
  <c r="V4486" i="114"/>
  <c r="V4487" i="114"/>
  <c r="V4488" i="114"/>
  <c r="V4489" i="114"/>
  <c r="V4490" i="114"/>
  <c r="V4491" i="114"/>
  <c r="V4492" i="114"/>
  <c r="V4493" i="114"/>
  <c r="V4494" i="114"/>
  <c r="V4495" i="114"/>
  <c r="V4496" i="114"/>
  <c r="V4497" i="114"/>
  <c r="V4498" i="114"/>
  <c r="V4499" i="114"/>
  <c r="V4500" i="114"/>
  <c r="V4501" i="114"/>
  <c r="V4502" i="114"/>
  <c r="V4503" i="114"/>
  <c r="V4504" i="114"/>
  <c r="V4505" i="114"/>
  <c r="V4506" i="114"/>
  <c r="V4507" i="114"/>
  <c r="V4508" i="114"/>
  <c r="V4509" i="114"/>
  <c r="V4510" i="114"/>
  <c r="V4511" i="114"/>
  <c r="V4512" i="114"/>
  <c r="V4513" i="114"/>
  <c r="V4514" i="114"/>
  <c r="V4515" i="114"/>
  <c r="V4516" i="114"/>
  <c r="V4517" i="114"/>
  <c r="V4518" i="114"/>
  <c r="V4519" i="114"/>
  <c r="V4520" i="114"/>
  <c r="V4521" i="114"/>
  <c r="V4522" i="114"/>
  <c r="V4523" i="114"/>
  <c r="V4524" i="114"/>
  <c r="V4525" i="114"/>
  <c r="V4526" i="114"/>
  <c r="V4527" i="114"/>
  <c r="V4528" i="114"/>
  <c r="V4529" i="114"/>
  <c r="V4530" i="114"/>
  <c r="V4531" i="114"/>
  <c r="V4532" i="114"/>
  <c r="V4533" i="114"/>
  <c r="V4534" i="114"/>
  <c r="V4535" i="114"/>
  <c r="V4536" i="114"/>
  <c r="V4537" i="114"/>
  <c r="V4538" i="114"/>
  <c r="V4539" i="114"/>
  <c r="V4540" i="114"/>
  <c r="V4541" i="114"/>
  <c r="V4542" i="114"/>
  <c r="V4543" i="114"/>
  <c r="V4544" i="114"/>
  <c r="V4545" i="114"/>
  <c r="V4546" i="114"/>
  <c r="V4547" i="114"/>
  <c r="V4548" i="114"/>
  <c r="V4549" i="114"/>
  <c r="V4550" i="114"/>
  <c r="V4551" i="114"/>
  <c r="V4552" i="114"/>
  <c r="V4553" i="114"/>
  <c r="V4554" i="114"/>
  <c r="V4555" i="114"/>
  <c r="V4556" i="114"/>
  <c r="V4557" i="114"/>
  <c r="V4558" i="114"/>
  <c r="V4559" i="114"/>
  <c r="V4560" i="114"/>
  <c r="V4561" i="114"/>
  <c r="V4562" i="114"/>
  <c r="V4563" i="114"/>
  <c r="V4564" i="114"/>
  <c r="V4565" i="114"/>
  <c r="V4566" i="114"/>
  <c r="V4567" i="114"/>
  <c r="V4568" i="114"/>
  <c r="V4569" i="114"/>
  <c r="V4570" i="114"/>
  <c r="V4571" i="114"/>
  <c r="V4572" i="114"/>
  <c r="V4573" i="114"/>
  <c r="V4574" i="114"/>
  <c r="V4575" i="114"/>
  <c r="V4576" i="114"/>
  <c r="V4577" i="114"/>
  <c r="V4578" i="114"/>
  <c r="V4579" i="114"/>
  <c r="V4580" i="114"/>
  <c r="V4581" i="114"/>
  <c r="V4582" i="114"/>
  <c r="V4583" i="114"/>
  <c r="V4584" i="114"/>
  <c r="V4585" i="114"/>
  <c r="V4586" i="114"/>
  <c r="V4587" i="114"/>
  <c r="V4588" i="114"/>
  <c r="V4589" i="114"/>
  <c r="V4590" i="114"/>
  <c r="V4591" i="114"/>
  <c r="V4592" i="114"/>
  <c r="V4593" i="114"/>
  <c r="V4594" i="114"/>
  <c r="V4595" i="114"/>
  <c r="V4596" i="114"/>
  <c r="V4597" i="114"/>
  <c r="V4598" i="114"/>
  <c r="V4599" i="114"/>
  <c r="V4600" i="114"/>
  <c r="V4601" i="114"/>
  <c r="V4602" i="114"/>
  <c r="V4603" i="114"/>
  <c r="V4604" i="114"/>
  <c r="V4605" i="114"/>
  <c r="V4606" i="114"/>
  <c r="V4607" i="114"/>
  <c r="V4608" i="114"/>
  <c r="V4609" i="114"/>
  <c r="V4610" i="114"/>
  <c r="V4611" i="114"/>
  <c r="V4612" i="114"/>
  <c r="V4613" i="114"/>
  <c r="V4614" i="114"/>
  <c r="V4615" i="114"/>
  <c r="V4616" i="114"/>
  <c r="V4617" i="114"/>
  <c r="V4618" i="114"/>
  <c r="V4619" i="114"/>
  <c r="V4620" i="114"/>
  <c r="V4621" i="114"/>
  <c r="V4622" i="114"/>
  <c r="V4623" i="114"/>
  <c r="V4624" i="114"/>
  <c r="V4625" i="114"/>
  <c r="V4626" i="114"/>
  <c r="V4627" i="114"/>
  <c r="V4628" i="114"/>
  <c r="V4629" i="114"/>
  <c r="V4630" i="114"/>
  <c r="V4631" i="114"/>
  <c r="V4632" i="114"/>
  <c r="V4633" i="114"/>
  <c r="V4634" i="114"/>
  <c r="V4635" i="114"/>
  <c r="V4636" i="114"/>
  <c r="V4637" i="114"/>
  <c r="V4638" i="114"/>
  <c r="V4639" i="114"/>
  <c r="V4640" i="114"/>
  <c r="V4641" i="114"/>
  <c r="V4642" i="114"/>
  <c r="V4643" i="114"/>
  <c r="V4644" i="114"/>
  <c r="V4645" i="114"/>
  <c r="V4646" i="114"/>
  <c r="V4647" i="114"/>
  <c r="V4648" i="114"/>
  <c r="V4649" i="114"/>
  <c r="V4650" i="114"/>
  <c r="V4651" i="114"/>
  <c r="V4652" i="114"/>
  <c r="V4653" i="114"/>
  <c r="V4654" i="114"/>
  <c r="V4655" i="114"/>
  <c r="V4656" i="114"/>
  <c r="V4657" i="114"/>
  <c r="V4658" i="114"/>
  <c r="V4659" i="114"/>
  <c r="V4660" i="114"/>
  <c r="V4661" i="114"/>
  <c r="V4662" i="114"/>
  <c r="V4663" i="114"/>
  <c r="V4664" i="114"/>
  <c r="V4665" i="114"/>
  <c r="V4666" i="114"/>
  <c r="V4667" i="114"/>
  <c r="V4668" i="114"/>
  <c r="V4669" i="114"/>
  <c r="V4670" i="114"/>
  <c r="V4671" i="114"/>
  <c r="V4672" i="114"/>
  <c r="V4673" i="114"/>
  <c r="V4674" i="114"/>
  <c r="V4675" i="114"/>
  <c r="V4676" i="114"/>
  <c r="V4677" i="114"/>
  <c r="V4678" i="114"/>
  <c r="V4679" i="114"/>
  <c r="V4680" i="114"/>
  <c r="V4681" i="114"/>
  <c r="V4682" i="114"/>
  <c r="V4683" i="114"/>
  <c r="V4684" i="114"/>
  <c r="V4685" i="114"/>
  <c r="V4686" i="114"/>
  <c r="V4687" i="114"/>
  <c r="V4688" i="114"/>
  <c r="V4689" i="114"/>
  <c r="V4690" i="114"/>
  <c r="V4691" i="114"/>
  <c r="V4692" i="114"/>
  <c r="V4693" i="114"/>
  <c r="V4694" i="114"/>
  <c r="V4695" i="114"/>
  <c r="V4696" i="114"/>
  <c r="V4697" i="114"/>
  <c r="V4698" i="114"/>
  <c r="V4699" i="114"/>
  <c r="V4700" i="114"/>
  <c r="V4701" i="114"/>
  <c r="V4702" i="114"/>
  <c r="V4703" i="114"/>
  <c r="V4704" i="114"/>
  <c r="V4705" i="114"/>
  <c r="V4706" i="114"/>
  <c r="V4707" i="114"/>
  <c r="V4708" i="114"/>
  <c r="V4709" i="114"/>
  <c r="V4710" i="114"/>
  <c r="V4711" i="114"/>
  <c r="V4712" i="114"/>
  <c r="V4713" i="114"/>
  <c r="V4714" i="114"/>
  <c r="V4715" i="114"/>
  <c r="V4716" i="114"/>
  <c r="V4717" i="114"/>
  <c r="V4718" i="114"/>
  <c r="V4719" i="114"/>
  <c r="V4720" i="114"/>
  <c r="V4721" i="114"/>
  <c r="V4722" i="114"/>
  <c r="V4723" i="114"/>
  <c r="V4724" i="114"/>
  <c r="V4725" i="114"/>
  <c r="V4726" i="114"/>
  <c r="V4727" i="114"/>
  <c r="V4728" i="114"/>
  <c r="V4729" i="114"/>
  <c r="V4730" i="114"/>
  <c r="V4731" i="114"/>
  <c r="V4732" i="114"/>
  <c r="V4733" i="114"/>
  <c r="V4734" i="114"/>
  <c r="V4735" i="114"/>
  <c r="V4736" i="114"/>
  <c r="V4737" i="114"/>
  <c r="V4738" i="114"/>
  <c r="V4739" i="114"/>
  <c r="V4740" i="114"/>
  <c r="V4741" i="114"/>
  <c r="V4742" i="114"/>
  <c r="V4743" i="114"/>
  <c r="V4744" i="114"/>
  <c r="V4745" i="114"/>
  <c r="V4746" i="114"/>
  <c r="V4747" i="114"/>
  <c r="V4748" i="114"/>
  <c r="V4749" i="114"/>
  <c r="V4750" i="114"/>
  <c r="V4751" i="114"/>
  <c r="V4752" i="114"/>
  <c r="V4753" i="114"/>
  <c r="V4754" i="114"/>
  <c r="V4755" i="114"/>
  <c r="V4756" i="114"/>
  <c r="V4757" i="114"/>
  <c r="V4758" i="114"/>
  <c r="V4759" i="114"/>
  <c r="V4760" i="114"/>
  <c r="V4761" i="114"/>
  <c r="V4762" i="114"/>
  <c r="V4763" i="114"/>
  <c r="V4764" i="114"/>
  <c r="V4765" i="114"/>
  <c r="V4766" i="114"/>
  <c r="V4767" i="114"/>
  <c r="V4768" i="114"/>
  <c r="V4769" i="114"/>
  <c r="V4770" i="114"/>
  <c r="V4771" i="114"/>
  <c r="V4772" i="114"/>
  <c r="V4773" i="114"/>
  <c r="V4774" i="114"/>
  <c r="V4775" i="114"/>
  <c r="V4776" i="114"/>
  <c r="V4777" i="114"/>
  <c r="V4778" i="114"/>
  <c r="V4779" i="114"/>
  <c r="V4780" i="114"/>
  <c r="V4781" i="114"/>
  <c r="V4782" i="114"/>
  <c r="V4783" i="114"/>
  <c r="V4784" i="114"/>
  <c r="V4785" i="114"/>
  <c r="V4786" i="114"/>
  <c r="V4787" i="114"/>
  <c r="V4788" i="114"/>
  <c r="V4789" i="114"/>
  <c r="V4790" i="114"/>
  <c r="V4791" i="114"/>
  <c r="V4792" i="114"/>
  <c r="V4793" i="114"/>
  <c r="V4794" i="114"/>
  <c r="V4795" i="114"/>
  <c r="V4796" i="114"/>
  <c r="V4797" i="114"/>
  <c r="V4798" i="114"/>
  <c r="V4799" i="114"/>
  <c r="V4800" i="114"/>
  <c r="V4801" i="114"/>
  <c r="V4802" i="114"/>
  <c r="V4803" i="114"/>
  <c r="V4804" i="114"/>
  <c r="V4805" i="114"/>
  <c r="V4806" i="114"/>
  <c r="V4807" i="114"/>
  <c r="V4808" i="114"/>
  <c r="V4809" i="114"/>
  <c r="V4810" i="114"/>
  <c r="V4811" i="114"/>
  <c r="V4812" i="114"/>
  <c r="V4813" i="114"/>
  <c r="V4814" i="114"/>
  <c r="V4815" i="114"/>
  <c r="V4816" i="114"/>
  <c r="V4817" i="114"/>
  <c r="V4818" i="114"/>
  <c r="V4819" i="114"/>
  <c r="V4820" i="114"/>
  <c r="V4821" i="114"/>
  <c r="V4822" i="114"/>
  <c r="V4823" i="114"/>
  <c r="V4824" i="114"/>
  <c r="V4825" i="114"/>
  <c r="V4826" i="114"/>
  <c r="V4827" i="114"/>
  <c r="V4828" i="114"/>
  <c r="V4829" i="114"/>
  <c r="V4830" i="114"/>
  <c r="V4831" i="114"/>
  <c r="V4832" i="114"/>
  <c r="V4833" i="114"/>
  <c r="V4834" i="114"/>
  <c r="V4835" i="114"/>
  <c r="V4836" i="114"/>
  <c r="V4837" i="114"/>
  <c r="V4838" i="114"/>
  <c r="V4839" i="114"/>
  <c r="V4840" i="114"/>
  <c r="V4841" i="114"/>
  <c r="V4842" i="114"/>
  <c r="V4843" i="114"/>
  <c r="V4844" i="114"/>
  <c r="V4845" i="114"/>
  <c r="V4846" i="114"/>
  <c r="V4847" i="114"/>
  <c r="V4848" i="114"/>
  <c r="V4849" i="114"/>
  <c r="V4850" i="114"/>
  <c r="V4851" i="114"/>
  <c r="V4852" i="114"/>
  <c r="V4853" i="114"/>
  <c r="V4854" i="114"/>
  <c r="V4855" i="114"/>
  <c r="V4856" i="114"/>
  <c r="V4857" i="114"/>
  <c r="V4858" i="114"/>
  <c r="V4859" i="114"/>
  <c r="V4860" i="114"/>
  <c r="V4861" i="114"/>
  <c r="V4862" i="114"/>
  <c r="V4863" i="114"/>
  <c r="V4864" i="114"/>
  <c r="V4865" i="114"/>
  <c r="V4866" i="114"/>
  <c r="V4867" i="114"/>
  <c r="V4868" i="114"/>
  <c r="V4869" i="114"/>
  <c r="V4870" i="114"/>
  <c r="V4871" i="114"/>
  <c r="V4872" i="114"/>
  <c r="V4873" i="114"/>
  <c r="V4874" i="114"/>
  <c r="V4875" i="114"/>
  <c r="V4876" i="114"/>
  <c r="V4877" i="114"/>
  <c r="V4878" i="114"/>
  <c r="V4879" i="114"/>
  <c r="V4880" i="114"/>
  <c r="V4881" i="114"/>
  <c r="V4882" i="114"/>
  <c r="V4883" i="114"/>
  <c r="V4884" i="114"/>
  <c r="V4885" i="114"/>
  <c r="V4886" i="114"/>
  <c r="V4887" i="114"/>
  <c r="V4888" i="114"/>
  <c r="V4889" i="114"/>
  <c r="V4890" i="114"/>
  <c r="V4891" i="114"/>
  <c r="V4892" i="114"/>
  <c r="V4893" i="114"/>
  <c r="V4894" i="114"/>
  <c r="V4895" i="114"/>
  <c r="V4896" i="114"/>
  <c r="V4897" i="114"/>
  <c r="V4898" i="114"/>
  <c r="V4899" i="114"/>
  <c r="V4900" i="114"/>
  <c r="V4901" i="114"/>
  <c r="V4902" i="114"/>
  <c r="V4903" i="114"/>
  <c r="V4904" i="114"/>
  <c r="V4905" i="114"/>
  <c r="V4906" i="114"/>
  <c r="V4907" i="114"/>
  <c r="V4908" i="114"/>
  <c r="V4909" i="114"/>
  <c r="V4910" i="114"/>
  <c r="V4911" i="114"/>
  <c r="V4912" i="114"/>
  <c r="V4913" i="114"/>
  <c r="V4914" i="114"/>
  <c r="V4915" i="114"/>
  <c r="V4916" i="114"/>
  <c r="V4917" i="114"/>
  <c r="V4918" i="114"/>
  <c r="V4919" i="114"/>
  <c r="V4920" i="114"/>
  <c r="V4921" i="114"/>
  <c r="V4922" i="114"/>
  <c r="V4923" i="114"/>
  <c r="V4924" i="114"/>
  <c r="V4925" i="114"/>
  <c r="V4926" i="114"/>
  <c r="V4927" i="114"/>
  <c r="V4928" i="114"/>
  <c r="V4929" i="114"/>
  <c r="V4930" i="114"/>
  <c r="V4931" i="114"/>
  <c r="V4932" i="114"/>
  <c r="V4933" i="114"/>
  <c r="V4934" i="114"/>
  <c r="V4935" i="114"/>
  <c r="V4936" i="114"/>
  <c r="V4937" i="114"/>
  <c r="V4938" i="114"/>
  <c r="V4939" i="114"/>
  <c r="V4940" i="114"/>
  <c r="V4941" i="114"/>
  <c r="V4942" i="114"/>
  <c r="V4943" i="114"/>
  <c r="V4944" i="114"/>
  <c r="V4945" i="114"/>
  <c r="V4946" i="114"/>
  <c r="V4947" i="114"/>
  <c r="V4948" i="114"/>
  <c r="V4949" i="114"/>
  <c r="V4950" i="114"/>
  <c r="V4951" i="114"/>
  <c r="V4952" i="114"/>
  <c r="V4953" i="114"/>
  <c r="V4954" i="114"/>
  <c r="V4955" i="114"/>
  <c r="V4956" i="114"/>
  <c r="V4957" i="114"/>
  <c r="V4958" i="114"/>
  <c r="V4959" i="114"/>
  <c r="V4960" i="114"/>
  <c r="V4961" i="114"/>
  <c r="V4962" i="114"/>
  <c r="V4963" i="114"/>
  <c r="V4964" i="114"/>
  <c r="V4965" i="114"/>
  <c r="V4966" i="114"/>
  <c r="V4967" i="114"/>
  <c r="V4968" i="114"/>
  <c r="V4969" i="114"/>
  <c r="V4970" i="114"/>
  <c r="V4971" i="114"/>
  <c r="V4972" i="114"/>
  <c r="V4973" i="114"/>
  <c r="V4974" i="114"/>
  <c r="V4975" i="114"/>
  <c r="V4976" i="114"/>
  <c r="V4977" i="114"/>
  <c r="V4978" i="114"/>
  <c r="V4979" i="114"/>
  <c r="V4980" i="114"/>
  <c r="V4981" i="114"/>
  <c r="V4982" i="114"/>
  <c r="V4983" i="114"/>
  <c r="V4984" i="114"/>
  <c r="V4985" i="114"/>
  <c r="V4986" i="114"/>
  <c r="V4987" i="114"/>
  <c r="V4988" i="114"/>
  <c r="V4989" i="114"/>
  <c r="V4990" i="114"/>
  <c r="V4991" i="114"/>
  <c r="V4992" i="114"/>
  <c r="V4993" i="114"/>
  <c r="V4994" i="114"/>
  <c r="V4995" i="114"/>
  <c r="V4996" i="114"/>
  <c r="V4997" i="114"/>
  <c r="V4998" i="114"/>
  <c r="V4999" i="114"/>
  <c r="V5000" i="114"/>
  <c r="V5001" i="114"/>
  <c r="V5002" i="114"/>
  <c r="V5003" i="114"/>
  <c r="V5004" i="114"/>
  <c r="V5005" i="114"/>
  <c r="V5006" i="114"/>
  <c r="V5007" i="114"/>
  <c r="V5008" i="114"/>
  <c r="V5009" i="114"/>
  <c r="V5010" i="114"/>
  <c r="V5011" i="114"/>
  <c r="V5012" i="114"/>
  <c r="V5013" i="114"/>
  <c r="V5014" i="114"/>
  <c r="V5015" i="114"/>
  <c r="V5016" i="114"/>
  <c r="V5017" i="114"/>
  <c r="V5018" i="114"/>
  <c r="V5019" i="114"/>
  <c r="V5020" i="114"/>
  <c r="V5021" i="114"/>
  <c r="V5022" i="114"/>
  <c r="V5023" i="114"/>
  <c r="V5024" i="114"/>
  <c r="V5025" i="114"/>
  <c r="V5026" i="114"/>
  <c r="V5027" i="114"/>
  <c r="V5028" i="114"/>
  <c r="V5029" i="114"/>
  <c r="V5030" i="114"/>
  <c r="V5031" i="114"/>
  <c r="V5032" i="114"/>
  <c r="V5033" i="114"/>
  <c r="V5034" i="114"/>
  <c r="V5035" i="114"/>
  <c r="V5036" i="114"/>
  <c r="V5037" i="114"/>
  <c r="V5038" i="114"/>
  <c r="V5039" i="114"/>
  <c r="V5040" i="114"/>
  <c r="V5041" i="114"/>
  <c r="V5042" i="114"/>
  <c r="V5043" i="114"/>
  <c r="V5044" i="114"/>
  <c r="V5045" i="114"/>
  <c r="V5046" i="114"/>
  <c r="V5047" i="114"/>
  <c r="V5048" i="114"/>
  <c r="V5049" i="114"/>
  <c r="V5050" i="114"/>
  <c r="V5051" i="114"/>
  <c r="V5052" i="114"/>
  <c r="V5053" i="114"/>
  <c r="V5054" i="114"/>
  <c r="V5055" i="114"/>
  <c r="V5056" i="114"/>
  <c r="V5057" i="114"/>
  <c r="V5058" i="114"/>
  <c r="V5059" i="114"/>
  <c r="V5060" i="114"/>
  <c r="V5061" i="114"/>
  <c r="V5062" i="114"/>
  <c r="V5063" i="114"/>
  <c r="V5064" i="114"/>
  <c r="V5065" i="114"/>
  <c r="V5066" i="114"/>
  <c r="V5067" i="114"/>
  <c r="V5068" i="114"/>
  <c r="V5069" i="114"/>
  <c r="V5070" i="114"/>
  <c r="V5071" i="114"/>
  <c r="V5072" i="114"/>
  <c r="V5073" i="114"/>
  <c r="V5074" i="114"/>
  <c r="V5075" i="114"/>
  <c r="V5076" i="114"/>
  <c r="V5077" i="114"/>
  <c r="V5078" i="114"/>
  <c r="V5079" i="114"/>
  <c r="V5080" i="114"/>
  <c r="V5081" i="114"/>
  <c r="V5082" i="114"/>
  <c r="V5083" i="114"/>
  <c r="V5084" i="114"/>
  <c r="V5085" i="114"/>
  <c r="V5086" i="114"/>
  <c r="V5087" i="114"/>
  <c r="V5088" i="114"/>
  <c r="V5089" i="114"/>
  <c r="V5090" i="114"/>
  <c r="V5091" i="114"/>
  <c r="V5092" i="114"/>
  <c r="V5093" i="114"/>
  <c r="V5094" i="114"/>
  <c r="V5095" i="114"/>
  <c r="V5096" i="114"/>
  <c r="V5097" i="114"/>
  <c r="V5098" i="114"/>
  <c r="V5099" i="114"/>
  <c r="V5100" i="114"/>
  <c r="V5101" i="114"/>
  <c r="V5102" i="114"/>
  <c r="V5103" i="114"/>
  <c r="V5104" i="114"/>
  <c r="V5105" i="114"/>
  <c r="V5106" i="114"/>
  <c r="V5107" i="114"/>
  <c r="V5108" i="114"/>
  <c r="V5109" i="114"/>
  <c r="V5110" i="114"/>
  <c r="V5111" i="114"/>
  <c r="V5112" i="114"/>
  <c r="V5113" i="114"/>
  <c r="V5114" i="114"/>
  <c r="V5115" i="114"/>
  <c r="V5116" i="114"/>
  <c r="V5117" i="114"/>
  <c r="V5118" i="114"/>
  <c r="V5119" i="114"/>
  <c r="V5120" i="114"/>
  <c r="V5121" i="114"/>
  <c r="V5122" i="114"/>
  <c r="V5123" i="114"/>
  <c r="V5124" i="114"/>
  <c r="V5125" i="114"/>
  <c r="V5126" i="114"/>
  <c r="V5127" i="114"/>
  <c r="V5128" i="114"/>
  <c r="V5129" i="114"/>
  <c r="V5130" i="114"/>
  <c r="V5131" i="114"/>
  <c r="V5132" i="114"/>
  <c r="V5133" i="114"/>
  <c r="V5134" i="114"/>
  <c r="V5135" i="114"/>
  <c r="V5136" i="114"/>
  <c r="V5137" i="114"/>
  <c r="V5138" i="114"/>
  <c r="V5139" i="114"/>
  <c r="V5140" i="114"/>
  <c r="V5141" i="114"/>
  <c r="V5142" i="114"/>
  <c r="V5143" i="114"/>
  <c r="V5144" i="114"/>
  <c r="V5145" i="114"/>
  <c r="V5146" i="114"/>
  <c r="V5147" i="114"/>
  <c r="V5148" i="114"/>
  <c r="V5149" i="114"/>
  <c r="V5150" i="114"/>
  <c r="V5151" i="114"/>
  <c r="V5152" i="114"/>
  <c r="V5153" i="114"/>
  <c r="V5154" i="114"/>
  <c r="V5155" i="114"/>
  <c r="V5156" i="114"/>
  <c r="V5157" i="114"/>
  <c r="V5158" i="114"/>
  <c r="V5159" i="114"/>
  <c r="V5160" i="114"/>
  <c r="V5161" i="114"/>
  <c r="V5162" i="114"/>
  <c r="V5163" i="114"/>
  <c r="V5164" i="114"/>
  <c r="V5165" i="114"/>
  <c r="V5166" i="114"/>
  <c r="V5167" i="114"/>
  <c r="V5168" i="114"/>
  <c r="V5169" i="114"/>
  <c r="V5170" i="114"/>
  <c r="V5171" i="114"/>
  <c r="V5172" i="114"/>
  <c r="V5173" i="114"/>
  <c r="V5174" i="114"/>
  <c r="V5175" i="114"/>
  <c r="V5176" i="114"/>
  <c r="V5177" i="114"/>
  <c r="V5178" i="114"/>
  <c r="V5179" i="114"/>
  <c r="V5180" i="114"/>
  <c r="V5181" i="114"/>
  <c r="V5182" i="114"/>
  <c r="V5183" i="114"/>
  <c r="V5184" i="114"/>
  <c r="V5185" i="114"/>
  <c r="V5186" i="114"/>
  <c r="V5187" i="114"/>
  <c r="V5188" i="114"/>
  <c r="V5189" i="114"/>
  <c r="V5190" i="114"/>
  <c r="V5191" i="114"/>
  <c r="V5192" i="114"/>
  <c r="V5193" i="114"/>
  <c r="V5194" i="114"/>
  <c r="V5195" i="114"/>
  <c r="V5196" i="114"/>
  <c r="V5197" i="114"/>
  <c r="V5198" i="114"/>
  <c r="V5199" i="114"/>
  <c r="V5200" i="114"/>
  <c r="V5201" i="114"/>
  <c r="V5202" i="114"/>
  <c r="V5203" i="114"/>
  <c r="V5204" i="114"/>
  <c r="V5205" i="114"/>
  <c r="V5206" i="114"/>
  <c r="V5207" i="114"/>
  <c r="V5208" i="114"/>
  <c r="V5209" i="114"/>
  <c r="V5210" i="114"/>
  <c r="V5211" i="114"/>
  <c r="V5212" i="114"/>
  <c r="V5213" i="114"/>
  <c r="V5214" i="114"/>
  <c r="V5215" i="114"/>
  <c r="V5216" i="114"/>
  <c r="V5217" i="114"/>
  <c r="V5218" i="114"/>
  <c r="V5219" i="114"/>
  <c r="V5220" i="114"/>
  <c r="V5221" i="114"/>
  <c r="V5222" i="114"/>
  <c r="V5223" i="114"/>
  <c r="V5224" i="114"/>
  <c r="V5225" i="114"/>
  <c r="V5226" i="114"/>
  <c r="V5227" i="114"/>
  <c r="V5228" i="114"/>
  <c r="V5229" i="114"/>
  <c r="V5230" i="114"/>
  <c r="V5231" i="114"/>
  <c r="V5232" i="114"/>
  <c r="V5233" i="114"/>
  <c r="V5234" i="114"/>
  <c r="V5235" i="114"/>
  <c r="V5236" i="114"/>
  <c r="V5237" i="114"/>
  <c r="V5238" i="114"/>
  <c r="V5239" i="114"/>
  <c r="V5240" i="114"/>
  <c r="V5241" i="114"/>
  <c r="V5242" i="114"/>
  <c r="V5243" i="114"/>
  <c r="V5244" i="114"/>
  <c r="V5245" i="114"/>
  <c r="V5246" i="114"/>
  <c r="V5247" i="114"/>
  <c r="V5248" i="114"/>
  <c r="V5249" i="114"/>
  <c r="V5250" i="114"/>
  <c r="V5251" i="114"/>
  <c r="V5252" i="114"/>
  <c r="V5253" i="114"/>
  <c r="V5254" i="114"/>
  <c r="V5255" i="114"/>
  <c r="V5256" i="114"/>
  <c r="V5257" i="114"/>
  <c r="V5258" i="114"/>
  <c r="V5259" i="114"/>
  <c r="V5260" i="114"/>
  <c r="V5261" i="114"/>
  <c r="V5262" i="114"/>
  <c r="V5263" i="114"/>
  <c r="V5264" i="114"/>
  <c r="V5265" i="114"/>
  <c r="V5266" i="114"/>
  <c r="V5267" i="114"/>
  <c r="V5268" i="114"/>
  <c r="V5269" i="114"/>
  <c r="V5270" i="114"/>
  <c r="V5271" i="114"/>
  <c r="V5272" i="114"/>
  <c r="V5273" i="114"/>
  <c r="V5274" i="114"/>
  <c r="V5275" i="114"/>
  <c r="V5276" i="114"/>
  <c r="V5277" i="114"/>
  <c r="V5278" i="114"/>
  <c r="V5279" i="114"/>
  <c r="V5280" i="114"/>
  <c r="V5281" i="114"/>
  <c r="V5282" i="114"/>
  <c r="V5283" i="114"/>
  <c r="V5284" i="114"/>
  <c r="V5285" i="114"/>
  <c r="V5286" i="114"/>
  <c r="V5287" i="114"/>
  <c r="V5288" i="114"/>
  <c r="V5289" i="114"/>
  <c r="V5290" i="114"/>
  <c r="V5291" i="114"/>
  <c r="V5292" i="114"/>
  <c r="V5293" i="114"/>
  <c r="V5294" i="114"/>
  <c r="V5295" i="114"/>
  <c r="V5296" i="114"/>
  <c r="V5297" i="114"/>
  <c r="V5298" i="114"/>
  <c r="V5299" i="114"/>
  <c r="V5300" i="114"/>
  <c r="V5301" i="114"/>
  <c r="V5302" i="114"/>
  <c r="V5303" i="114"/>
  <c r="V5304" i="114"/>
  <c r="V5305" i="114"/>
  <c r="V5306" i="114"/>
  <c r="V5307" i="114"/>
  <c r="V5308" i="114"/>
  <c r="V5309" i="114"/>
  <c r="V5310" i="114"/>
  <c r="V5311" i="114"/>
  <c r="V5312" i="114"/>
  <c r="V5313" i="114"/>
  <c r="V5314" i="114"/>
  <c r="V5315" i="114"/>
  <c r="V5316" i="114"/>
  <c r="V5317" i="114"/>
  <c r="V5318" i="114"/>
  <c r="V5319" i="114"/>
  <c r="V5320" i="114"/>
  <c r="V5321" i="114"/>
  <c r="V5322" i="114"/>
  <c r="V5323" i="114"/>
  <c r="V5324" i="114"/>
  <c r="V5325" i="114"/>
  <c r="V5326" i="114"/>
  <c r="V5327" i="114"/>
  <c r="V5328" i="114"/>
  <c r="V5329" i="114"/>
  <c r="V5330" i="114"/>
  <c r="V5331" i="114"/>
  <c r="V5332" i="114"/>
  <c r="V5333" i="114"/>
  <c r="V5334" i="114"/>
  <c r="V5335" i="114"/>
  <c r="V5336" i="114"/>
  <c r="V5337" i="114"/>
  <c r="V5338" i="114"/>
  <c r="V5339" i="114"/>
  <c r="V5340" i="114"/>
  <c r="V5341" i="114"/>
  <c r="V5342" i="114"/>
  <c r="V5343" i="114"/>
  <c r="V5344" i="114"/>
  <c r="V5345" i="114"/>
  <c r="V5346" i="114"/>
  <c r="V5347" i="114"/>
  <c r="V5348" i="114"/>
  <c r="V5349" i="114"/>
  <c r="V5350" i="114"/>
  <c r="V5351" i="114"/>
  <c r="V5352" i="114"/>
  <c r="V5353" i="114"/>
  <c r="V5354" i="114"/>
  <c r="V5355" i="114"/>
  <c r="V5356" i="114"/>
  <c r="V5357" i="114"/>
  <c r="V5358" i="114"/>
  <c r="V5359" i="114"/>
  <c r="V5360" i="114"/>
  <c r="V5361" i="114"/>
  <c r="V5362" i="114"/>
  <c r="V5363" i="114"/>
  <c r="V5364" i="114"/>
  <c r="V5365" i="114"/>
  <c r="V5366" i="114"/>
  <c r="V5367" i="114"/>
  <c r="V5368" i="114"/>
  <c r="V5369" i="114"/>
  <c r="V5370" i="114"/>
  <c r="V5371" i="114"/>
  <c r="V5372" i="114"/>
  <c r="V5373" i="114"/>
  <c r="V5374" i="114"/>
  <c r="V5375" i="114"/>
  <c r="V5376" i="114"/>
  <c r="V5377" i="114"/>
  <c r="V5378" i="114"/>
  <c r="V5379" i="114"/>
  <c r="V5380" i="114"/>
  <c r="V5381" i="114"/>
  <c r="V5382" i="114"/>
  <c r="V5383" i="114"/>
  <c r="V5384" i="114"/>
  <c r="V5385" i="114"/>
  <c r="V5386" i="114"/>
  <c r="V5387" i="114"/>
  <c r="V5388" i="114"/>
  <c r="V5389" i="114"/>
  <c r="V5390" i="114"/>
  <c r="V5391" i="114"/>
  <c r="V5392" i="114"/>
  <c r="V5393" i="114"/>
  <c r="V5394" i="114"/>
  <c r="V5395" i="114"/>
  <c r="V5396" i="114"/>
  <c r="V5397" i="114"/>
  <c r="V5398" i="114"/>
  <c r="V5399" i="114"/>
  <c r="V5400" i="114"/>
  <c r="V5401" i="114"/>
  <c r="V5402" i="114"/>
  <c r="V5403" i="114"/>
  <c r="V5404" i="114"/>
  <c r="V5405" i="114"/>
  <c r="V5406" i="114"/>
  <c r="V5407" i="114"/>
  <c r="V5408" i="114"/>
  <c r="V5409" i="114"/>
  <c r="V5410" i="114"/>
  <c r="V5411" i="114"/>
  <c r="V5412" i="114"/>
  <c r="V5413" i="114"/>
  <c r="V5414" i="114"/>
  <c r="V5415" i="114"/>
  <c r="V5416" i="114"/>
  <c r="V5417" i="114"/>
  <c r="V5418" i="114"/>
  <c r="V5419" i="114"/>
  <c r="V5420" i="114"/>
  <c r="V5421" i="114"/>
  <c r="V5422" i="114"/>
  <c r="V5423" i="114"/>
  <c r="V5424" i="114"/>
  <c r="V5425" i="114"/>
  <c r="V5426" i="114"/>
  <c r="V5427" i="114"/>
  <c r="V5428" i="114"/>
  <c r="V5429" i="114"/>
  <c r="V5430" i="114"/>
  <c r="V5431" i="114"/>
  <c r="V5432" i="114"/>
  <c r="V5433" i="114"/>
  <c r="V5434" i="114"/>
  <c r="V5435" i="114"/>
  <c r="V5436" i="114"/>
  <c r="V5437" i="114"/>
  <c r="V5438" i="114"/>
  <c r="V5439" i="114"/>
  <c r="V5440" i="114"/>
  <c r="V5441" i="114"/>
  <c r="V5442" i="114"/>
  <c r="V5443" i="114"/>
  <c r="V5444" i="114"/>
  <c r="V5445" i="114"/>
  <c r="V5446" i="114"/>
  <c r="V5447" i="114"/>
  <c r="V5448" i="114"/>
  <c r="V5449" i="114"/>
  <c r="V5450" i="114"/>
  <c r="V5451" i="114"/>
  <c r="V5452" i="114"/>
  <c r="V5453" i="114"/>
  <c r="V5454" i="114"/>
  <c r="V5455" i="114"/>
  <c r="V5456" i="114"/>
  <c r="V5457" i="114"/>
  <c r="V5458" i="114"/>
  <c r="V5459" i="114"/>
  <c r="V5460" i="114"/>
  <c r="V5461" i="114"/>
  <c r="V5462" i="114"/>
  <c r="V5463" i="114"/>
  <c r="V5464" i="114"/>
  <c r="V5465" i="114"/>
  <c r="V5466" i="114"/>
  <c r="V5467" i="114"/>
  <c r="V5468" i="114"/>
  <c r="V5469" i="114"/>
  <c r="V5470" i="114"/>
  <c r="V5471" i="114"/>
  <c r="V5472" i="114"/>
  <c r="V5473" i="114"/>
  <c r="V5474" i="114"/>
  <c r="V5475" i="114"/>
  <c r="V5476" i="114"/>
  <c r="V5477" i="114"/>
  <c r="V5478" i="114"/>
  <c r="V5479" i="114"/>
  <c r="V5480" i="114"/>
  <c r="V5481" i="114"/>
  <c r="V5482" i="114"/>
  <c r="V5483" i="114"/>
  <c r="V5484" i="114"/>
  <c r="V5485" i="114"/>
  <c r="V5486" i="114"/>
  <c r="V5487" i="114"/>
  <c r="V5488" i="114"/>
  <c r="V5489" i="114"/>
  <c r="V5490" i="114"/>
  <c r="V5491" i="114"/>
  <c r="V5492" i="114"/>
  <c r="V5493" i="114"/>
  <c r="V5494" i="114"/>
  <c r="V5495" i="114"/>
  <c r="V5496" i="114"/>
  <c r="V5497" i="114"/>
  <c r="V5498" i="114"/>
  <c r="V5499" i="114"/>
  <c r="V5500" i="114"/>
  <c r="V5501" i="114"/>
  <c r="V5502" i="114"/>
  <c r="V5503" i="114"/>
  <c r="V5504" i="114"/>
  <c r="V5505" i="114"/>
  <c r="V5506" i="114"/>
  <c r="V5507" i="114"/>
  <c r="V5508" i="114"/>
  <c r="V5509" i="114"/>
  <c r="V5510" i="114"/>
  <c r="V5511" i="114"/>
  <c r="V5512" i="114"/>
  <c r="V5513" i="114"/>
  <c r="V5514" i="114"/>
  <c r="V5515" i="114"/>
  <c r="V5516" i="114"/>
  <c r="V5517" i="114"/>
  <c r="V5518" i="114"/>
  <c r="V5519" i="114"/>
  <c r="V5520" i="114"/>
  <c r="V5521" i="114"/>
  <c r="V5522" i="114"/>
  <c r="V5523" i="114"/>
  <c r="V5524" i="114"/>
  <c r="V5525" i="114"/>
  <c r="V5526" i="114"/>
  <c r="V5527" i="114"/>
  <c r="V5528" i="114"/>
  <c r="V5529" i="114"/>
  <c r="V5530" i="114"/>
  <c r="V5531" i="114"/>
  <c r="V5532" i="114"/>
  <c r="V5533" i="114"/>
  <c r="V5534" i="114"/>
  <c r="V5535" i="114"/>
  <c r="V5536" i="114"/>
  <c r="V5537" i="114"/>
  <c r="V5538" i="114"/>
  <c r="V5539" i="114"/>
  <c r="V5540" i="114"/>
  <c r="V5541" i="114"/>
  <c r="V5542" i="114"/>
  <c r="V5543" i="114"/>
  <c r="V5544" i="114"/>
  <c r="V5545" i="114"/>
  <c r="V5546" i="114"/>
  <c r="V5547" i="114"/>
  <c r="V5548" i="114"/>
  <c r="V5549" i="114"/>
  <c r="V5550" i="114"/>
  <c r="V5551" i="114"/>
  <c r="V5552" i="114"/>
  <c r="V5553" i="114"/>
  <c r="V5554" i="114"/>
  <c r="V5555" i="114"/>
  <c r="V5556" i="114"/>
  <c r="V5557" i="114"/>
  <c r="V5558" i="114"/>
  <c r="V5559" i="114"/>
  <c r="V5560" i="114"/>
  <c r="V5561" i="114"/>
  <c r="V5562" i="114"/>
  <c r="V5563" i="114"/>
  <c r="V5564" i="114"/>
  <c r="V5565" i="114"/>
  <c r="V5566" i="114"/>
  <c r="V5567" i="114"/>
  <c r="V5568" i="114"/>
  <c r="V5569" i="114"/>
  <c r="V5570" i="114"/>
  <c r="V5571" i="114"/>
  <c r="V5572" i="114"/>
  <c r="V5573" i="114"/>
  <c r="V5574" i="114"/>
  <c r="V5575" i="114"/>
  <c r="V5576" i="114"/>
  <c r="V5577" i="114"/>
  <c r="V5578" i="114"/>
  <c r="V5579" i="114"/>
  <c r="V5580" i="114"/>
  <c r="V5581" i="114"/>
  <c r="V5582" i="114"/>
  <c r="V5583" i="114"/>
  <c r="V5584" i="114"/>
  <c r="V5585" i="114"/>
  <c r="V5586" i="114"/>
  <c r="V5587" i="114"/>
  <c r="V5588" i="114"/>
  <c r="V5589" i="114"/>
  <c r="V5590" i="114"/>
  <c r="V5591" i="114"/>
  <c r="V5592" i="114"/>
  <c r="V5593" i="114"/>
  <c r="V5594" i="114"/>
  <c r="V5595" i="114"/>
  <c r="V5596" i="114"/>
  <c r="V5597" i="114"/>
  <c r="V5598" i="114"/>
  <c r="V5599" i="114"/>
  <c r="V5600" i="114"/>
  <c r="V5601" i="114"/>
  <c r="V5602" i="114"/>
  <c r="V5603" i="114"/>
  <c r="V5604" i="114"/>
  <c r="V5605" i="114"/>
  <c r="V5606" i="114"/>
  <c r="V5607" i="114"/>
  <c r="V5608" i="114"/>
  <c r="V5609" i="114"/>
  <c r="V5610" i="114"/>
  <c r="V5611" i="114"/>
  <c r="V5612" i="114"/>
  <c r="V5613" i="114"/>
  <c r="V5614" i="114"/>
  <c r="V5615" i="114"/>
  <c r="V5616" i="114"/>
  <c r="V5617" i="114"/>
  <c r="V5618" i="114"/>
  <c r="V5619" i="114"/>
  <c r="V5620" i="114"/>
  <c r="V5621" i="114"/>
  <c r="V5622" i="114"/>
  <c r="V5623" i="114"/>
  <c r="V5624" i="114"/>
  <c r="V5625" i="114"/>
  <c r="V5626" i="114"/>
  <c r="V5627" i="114"/>
  <c r="V5628" i="114"/>
  <c r="V5629" i="114"/>
  <c r="V5630" i="114"/>
  <c r="V5631" i="114"/>
  <c r="V5632" i="114"/>
  <c r="V5633" i="114"/>
  <c r="V5634" i="114"/>
  <c r="V5635" i="114"/>
  <c r="V5636" i="114"/>
  <c r="V5637" i="114"/>
  <c r="V5638" i="114"/>
  <c r="V5639" i="114"/>
  <c r="V5640" i="114"/>
  <c r="V5641" i="114"/>
  <c r="V5642" i="114"/>
  <c r="V5643" i="114"/>
  <c r="V5644" i="114"/>
  <c r="V5645" i="114"/>
  <c r="V5646" i="114"/>
  <c r="V5647" i="114"/>
  <c r="V5648" i="114"/>
  <c r="V5649" i="114"/>
  <c r="V5650" i="114"/>
  <c r="V5651" i="114"/>
  <c r="V5652" i="114"/>
  <c r="V5653" i="114"/>
  <c r="V5654" i="114"/>
  <c r="V5655" i="114"/>
  <c r="V5656" i="114"/>
  <c r="V5657" i="114"/>
  <c r="V5658" i="114"/>
  <c r="V5659" i="114"/>
  <c r="V5660" i="114"/>
  <c r="V5661" i="114"/>
  <c r="V5662" i="114"/>
  <c r="V5663" i="114"/>
  <c r="V5664" i="114"/>
  <c r="V5665" i="114"/>
  <c r="V5666" i="114"/>
  <c r="V5667" i="114"/>
  <c r="V5668" i="114"/>
  <c r="V5669" i="114"/>
  <c r="V5670" i="114"/>
  <c r="V5671" i="114"/>
  <c r="V5672" i="114"/>
  <c r="V5673" i="114"/>
  <c r="V5674" i="114"/>
  <c r="V5675" i="114"/>
  <c r="V5676" i="114"/>
  <c r="V5677" i="114"/>
  <c r="V5678" i="114"/>
  <c r="V5679" i="114"/>
  <c r="V5680" i="114"/>
  <c r="V5681" i="114"/>
  <c r="V5682" i="114"/>
  <c r="V5683" i="114"/>
  <c r="V5684" i="114"/>
  <c r="V5685" i="114"/>
  <c r="V5686" i="114"/>
  <c r="V5687" i="114"/>
  <c r="V5688" i="114"/>
  <c r="V5689" i="114"/>
  <c r="V5690" i="114"/>
  <c r="V5691" i="114"/>
  <c r="V5692" i="114"/>
  <c r="V5693" i="114"/>
  <c r="V5694" i="114"/>
  <c r="V5695" i="114"/>
  <c r="V5696" i="114"/>
  <c r="V5697" i="114"/>
  <c r="V5698" i="114"/>
  <c r="V5699" i="114"/>
  <c r="V5700" i="114"/>
  <c r="V5701" i="114"/>
  <c r="V5702" i="114"/>
  <c r="V5703" i="114"/>
  <c r="V5704" i="114"/>
  <c r="V5705" i="114"/>
  <c r="V5706" i="114"/>
  <c r="V5707" i="114"/>
  <c r="V5708" i="114"/>
  <c r="V5709" i="114"/>
  <c r="V5710" i="114"/>
  <c r="V5711" i="114"/>
  <c r="V5712" i="114"/>
  <c r="V5713" i="114"/>
  <c r="V5714" i="114"/>
  <c r="V5715" i="114"/>
  <c r="V5716" i="114"/>
  <c r="V5717" i="114"/>
  <c r="V5718" i="114"/>
  <c r="V5719" i="114"/>
  <c r="V5720" i="114"/>
  <c r="V5721" i="114"/>
  <c r="V5722" i="114"/>
  <c r="V5723" i="114"/>
  <c r="V5724" i="114"/>
  <c r="V5725" i="114"/>
  <c r="V5726" i="114"/>
  <c r="V5727" i="114"/>
  <c r="V5728" i="114"/>
  <c r="V5729" i="114"/>
  <c r="V5730" i="114"/>
  <c r="V5731" i="114"/>
  <c r="V5732" i="114"/>
  <c r="V5733" i="114"/>
  <c r="V5734" i="114"/>
  <c r="V5735" i="114"/>
  <c r="V5736" i="114"/>
  <c r="V5737" i="114"/>
  <c r="V5738" i="114"/>
  <c r="V5739" i="114"/>
  <c r="V5740" i="114"/>
  <c r="V5741" i="114"/>
  <c r="V5742" i="114"/>
  <c r="V5743" i="114"/>
  <c r="V5744" i="114"/>
  <c r="V5745" i="114"/>
  <c r="V5746" i="114"/>
  <c r="V5747" i="114"/>
  <c r="V5748" i="114"/>
  <c r="V5749" i="114"/>
  <c r="V5750" i="114"/>
  <c r="V5751" i="114"/>
  <c r="V5752" i="114"/>
  <c r="V5753" i="114"/>
  <c r="V5754" i="114"/>
  <c r="V5755" i="114"/>
  <c r="V5756" i="114"/>
  <c r="V5757" i="114"/>
  <c r="V5758" i="114"/>
  <c r="V5759" i="114"/>
  <c r="V5760" i="114"/>
  <c r="V5761" i="114"/>
  <c r="V5762" i="114"/>
  <c r="V5763" i="114"/>
  <c r="V5764" i="114"/>
  <c r="V5765" i="114"/>
  <c r="V5766" i="114"/>
  <c r="V5767" i="114"/>
  <c r="V5768" i="114"/>
  <c r="V5769" i="114"/>
  <c r="V5770" i="114"/>
  <c r="V5771" i="114"/>
  <c r="V5772" i="114"/>
  <c r="V5773" i="114"/>
  <c r="V5774" i="114"/>
  <c r="V5775" i="114"/>
  <c r="V5776" i="114"/>
  <c r="V5777" i="114"/>
  <c r="V5778" i="114"/>
  <c r="V5779" i="114"/>
  <c r="V5780" i="114"/>
  <c r="V5781" i="114"/>
  <c r="V5782" i="114"/>
  <c r="V5783" i="114"/>
  <c r="V5784" i="114"/>
  <c r="V5785" i="114"/>
  <c r="V5786" i="114"/>
  <c r="V5787" i="114"/>
  <c r="V5788" i="114"/>
  <c r="V5789" i="114"/>
  <c r="V5790" i="114"/>
  <c r="V5791" i="114"/>
  <c r="V5792" i="114"/>
  <c r="V5793" i="114"/>
  <c r="V5794" i="114"/>
  <c r="V5795" i="114"/>
  <c r="V5796" i="114"/>
  <c r="V5797" i="114"/>
  <c r="V5798" i="114"/>
  <c r="V5799" i="114"/>
  <c r="V5800" i="114"/>
  <c r="V5801" i="114"/>
  <c r="V5802" i="114"/>
  <c r="V5803" i="114"/>
  <c r="V5804" i="114"/>
  <c r="V5805" i="114"/>
  <c r="V5806" i="114"/>
  <c r="V5807" i="114"/>
  <c r="V5808" i="114"/>
  <c r="V5809" i="114"/>
  <c r="V5810" i="114"/>
  <c r="V5811" i="114"/>
  <c r="V5812" i="114"/>
  <c r="V5813" i="114"/>
  <c r="V5814" i="114"/>
  <c r="V5815" i="114"/>
  <c r="V5816" i="114"/>
  <c r="V5817" i="114"/>
  <c r="V5818" i="114"/>
  <c r="V5819" i="114"/>
  <c r="V5820" i="114"/>
  <c r="V5821" i="114"/>
  <c r="V5822" i="114"/>
  <c r="V5823" i="114"/>
  <c r="V5824" i="114"/>
  <c r="V5825" i="114"/>
  <c r="V5826" i="114"/>
  <c r="V5827" i="114"/>
  <c r="V5828" i="114"/>
  <c r="V5829" i="114"/>
  <c r="V5830" i="114"/>
  <c r="V5831" i="114"/>
  <c r="V5832" i="114"/>
  <c r="V5833" i="114"/>
  <c r="V5834" i="114"/>
  <c r="V5835" i="114"/>
  <c r="V5836" i="114"/>
  <c r="V5837" i="114"/>
  <c r="V5838" i="114"/>
  <c r="V5839" i="114"/>
  <c r="V5840" i="114"/>
  <c r="V5841" i="114"/>
  <c r="V5842" i="114"/>
  <c r="V5843" i="114"/>
  <c r="V5844" i="114"/>
  <c r="V5845" i="114"/>
  <c r="V5846" i="114"/>
  <c r="V5847" i="114"/>
  <c r="V5848" i="114"/>
  <c r="V5849" i="114"/>
  <c r="V5850" i="114"/>
  <c r="V5851" i="114"/>
  <c r="V5852" i="114"/>
  <c r="V5853" i="114"/>
  <c r="V5854" i="114"/>
  <c r="V5855" i="114"/>
  <c r="V5856" i="114"/>
  <c r="V5857" i="114"/>
  <c r="V5858" i="114"/>
  <c r="V5859" i="114"/>
  <c r="V5860" i="114"/>
  <c r="V5861" i="114"/>
  <c r="V5862" i="114"/>
  <c r="V5863" i="114"/>
  <c r="V5864" i="114"/>
  <c r="V5865" i="114"/>
  <c r="V5866" i="114"/>
  <c r="V5867" i="114"/>
  <c r="V5868" i="114"/>
  <c r="V5869" i="114"/>
  <c r="V5870" i="114"/>
  <c r="V5871" i="114"/>
  <c r="V5872" i="114"/>
  <c r="V5873" i="114"/>
  <c r="V5874" i="114"/>
  <c r="V5875" i="114"/>
  <c r="V5876" i="114"/>
  <c r="V5877" i="114"/>
  <c r="V5878" i="114"/>
  <c r="V5879" i="114"/>
  <c r="V5880" i="114"/>
  <c r="V5881" i="114"/>
  <c r="V5882" i="114"/>
  <c r="V5883" i="114"/>
  <c r="V5884" i="114"/>
  <c r="V5885" i="114"/>
  <c r="V5886" i="114"/>
  <c r="V5887" i="114"/>
  <c r="V5888" i="114"/>
  <c r="V5889" i="114"/>
  <c r="V5890" i="114"/>
  <c r="V5891" i="114"/>
  <c r="V5892" i="114"/>
  <c r="V5893" i="114"/>
  <c r="V5894" i="114"/>
  <c r="V5895" i="114"/>
  <c r="V5896" i="114"/>
  <c r="V5897" i="114"/>
  <c r="V5898" i="114"/>
  <c r="V5899" i="114"/>
  <c r="V5900" i="114"/>
  <c r="V5901" i="114"/>
  <c r="V5902" i="114"/>
  <c r="V5903" i="114"/>
  <c r="V5904" i="114"/>
  <c r="V5905" i="114"/>
  <c r="V5906" i="114"/>
  <c r="V5907" i="114"/>
  <c r="V5908" i="114"/>
  <c r="V5909" i="114"/>
  <c r="V5910" i="114"/>
  <c r="V5911" i="114"/>
  <c r="V5912" i="114"/>
  <c r="V5913" i="114"/>
  <c r="V5914" i="114"/>
  <c r="V5915" i="114"/>
  <c r="V5916" i="114"/>
  <c r="V5917" i="114"/>
  <c r="V5918" i="114"/>
  <c r="V5919" i="114"/>
  <c r="V5920" i="114"/>
  <c r="V5921" i="114"/>
  <c r="V5922" i="114"/>
  <c r="V5923" i="114"/>
  <c r="V5924" i="114"/>
  <c r="V5925" i="114"/>
  <c r="V5926" i="114"/>
  <c r="V5927" i="114"/>
  <c r="V5928" i="114"/>
  <c r="V5929" i="114"/>
  <c r="V5930" i="114"/>
  <c r="V5931" i="114"/>
  <c r="V5932" i="114"/>
  <c r="V5933" i="114"/>
  <c r="V5934" i="114"/>
  <c r="V5935" i="114"/>
  <c r="V5936" i="114"/>
  <c r="V5937" i="114"/>
  <c r="V5938" i="114"/>
  <c r="V5939" i="114"/>
  <c r="V5940" i="114"/>
  <c r="V5941" i="114"/>
  <c r="V5942" i="114"/>
  <c r="V5943" i="114"/>
  <c r="V5944" i="114"/>
  <c r="V5945" i="114"/>
  <c r="V5946" i="114"/>
  <c r="V5947" i="114"/>
  <c r="V5948" i="114"/>
  <c r="V5949" i="114"/>
  <c r="V5950" i="114"/>
  <c r="V5951" i="114"/>
  <c r="V5952" i="114"/>
  <c r="V5953" i="114"/>
  <c r="V5954" i="114"/>
  <c r="V5955" i="114"/>
  <c r="V5956" i="114"/>
  <c r="V5957" i="114"/>
  <c r="V5958" i="114"/>
  <c r="V5959" i="114"/>
  <c r="V5960" i="114"/>
  <c r="V5961" i="114"/>
  <c r="V5962" i="114"/>
  <c r="V5963" i="114"/>
  <c r="V5964" i="114"/>
  <c r="V5965" i="114"/>
  <c r="V5966" i="114"/>
  <c r="V5967" i="114"/>
  <c r="V5968" i="114"/>
  <c r="V5969" i="114"/>
  <c r="V5970" i="114"/>
  <c r="V5971" i="114"/>
  <c r="V5972" i="114"/>
  <c r="V5973" i="114"/>
  <c r="V5974" i="114"/>
  <c r="V5975" i="114"/>
  <c r="V5976" i="114"/>
  <c r="V5977" i="114"/>
  <c r="V5978" i="114"/>
  <c r="V5979" i="114"/>
  <c r="V5980" i="114"/>
  <c r="V5981" i="114"/>
  <c r="V5982" i="114"/>
  <c r="V5983" i="114"/>
  <c r="V5984" i="114"/>
  <c r="V5985" i="114"/>
  <c r="V5986" i="114"/>
  <c r="V5987" i="114"/>
  <c r="V5988" i="114"/>
  <c r="V5989" i="114"/>
  <c r="V5990" i="114"/>
  <c r="V5991" i="114"/>
  <c r="V5992" i="114"/>
  <c r="V5993" i="114"/>
  <c r="V5994" i="114"/>
  <c r="V5995" i="114"/>
  <c r="V5996" i="114"/>
  <c r="V5997" i="114"/>
  <c r="V5998" i="114"/>
  <c r="V5999" i="114"/>
  <c r="V6000" i="114"/>
  <c r="V6001" i="114"/>
  <c r="V6002" i="114"/>
  <c r="V6003" i="114"/>
  <c r="V6004" i="114"/>
  <c r="V6005" i="114"/>
  <c r="V6006" i="114"/>
  <c r="V6007" i="114"/>
  <c r="V6008" i="114"/>
  <c r="V6009" i="114"/>
  <c r="V6010" i="114"/>
  <c r="V6011" i="114"/>
  <c r="V6012" i="114"/>
  <c r="V6013" i="114"/>
  <c r="V6014" i="114"/>
  <c r="V6015" i="114"/>
  <c r="V6016" i="114"/>
  <c r="V6017" i="114"/>
  <c r="V6018" i="114"/>
  <c r="V6019" i="114"/>
  <c r="V6020" i="114"/>
  <c r="V6021" i="114"/>
  <c r="V6022" i="114"/>
  <c r="V6023" i="114"/>
  <c r="V6024" i="114"/>
  <c r="V6025" i="114"/>
  <c r="V6026" i="114"/>
  <c r="V6027" i="114"/>
  <c r="V6028" i="114"/>
  <c r="V6029" i="114"/>
  <c r="V6030" i="114"/>
  <c r="V6031" i="114"/>
  <c r="V6032" i="114"/>
  <c r="V6033" i="114"/>
  <c r="V6034" i="114"/>
  <c r="V6035" i="114"/>
  <c r="V6036" i="114"/>
  <c r="V6037" i="114"/>
  <c r="V6038" i="114"/>
  <c r="V6039" i="114"/>
  <c r="V6040" i="114"/>
  <c r="V6041" i="114"/>
  <c r="V6042" i="114"/>
  <c r="V6043" i="114"/>
  <c r="V6044" i="114"/>
  <c r="V6045" i="114"/>
  <c r="V6046" i="114"/>
  <c r="V6047" i="114"/>
  <c r="V6048" i="114"/>
  <c r="V6049" i="114"/>
  <c r="V6050" i="114"/>
  <c r="V6051" i="114"/>
  <c r="V6052" i="114"/>
  <c r="V6053" i="114"/>
  <c r="V6054" i="114"/>
  <c r="V6055" i="114"/>
  <c r="V6056" i="114"/>
  <c r="V6057" i="114"/>
  <c r="V6058" i="114"/>
  <c r="V6059" i="114"/>
  <c r="V6060" i="114"/>
  <c r="V6061" i="114"/>
  <c r="V6062" i="114"/>
  <c r="V6063" i="114"/>
  <c r="V6064" i="114"/>
  <c r="V6065" i="114"/>
  <c r="V6066" i="114"/>
  <c r="V6067" i="114"/>
  <c r="V6068" i="114"/>
  <c r="V6069" i="114"/>
  <c r="V6070" i="114"/>
  <c r="V6071" i="114"/>
  <c r="V6072" i="114"/>
  <c r="V6073" i="114"/>
  <c r="V6074" i="114"/>
  <c r="V6075" i="114"/>
  <c r="V6076" i="114"/>
  <c r="V6077" i="114"/>
  <c r="V6078" i="114"/>
  <c r="V6079" i="114"/>
  <c r="V6080" i="114"/>
  <c r="V6081" i="114"/>
  <c r="V6082" i="114"/>
  <c r="V6083" i="114"/>
  <c r="V6084" i="114"/>
  <c r="V6085" i="114"/>
  <c r="V6086" i="114"/>
  <c r="V6087" i="114"/>
  <c r="V6088" i="114"/>
  <c r="V6089" i="114"/>
  <c r="V6090" i="114"/>
  <c r="V6091" i="114"/>
  <c r="V6092" i="114"/>
  <c r="V6093" i="114"/>
  <c r="V6094" i="114"/>
  <c r="V6095" i="114"/>
  <c r="V6096" i="114"/>
  <c r="V6097" i="114"/>
  <c r="V6098" i="114"/>
  <c r="V6099" i="114"/>
  <c r="V6100" i="114"/>
  <c r="V6101" i="114"/>
  <c r="V6102" i="114"/>
  <c r="V6103" i="114"/>
  <c r="V6104" i="114"/>
  <c r="V6105" i="114"/>
  <c r="V6106" i="114"/>
  <c r="V6107" i="114"/>
  <c r="V6108" i="114"/>
  <c r="V6109" i="114"/>
  <c r="V6110" i="114"/>
  <c r="V6111" i="114"/>
  <c r="V6112" i="114"/>
  <c r="V6113" i="114"/>
  <c r="V6114" i="114"/>
  <c r="V6115" i="114"/>
  <c r="V6116" i="114"/>
  <c r="V6117" i="114"/>
  <c r="V6118" i="114"/>
  <c r="V6119" i="114"/>
  <c r="V6120" i="114"/>
  <c r="V6121" i="114"/>
  <c r="V6122" i="114"/>
  <c r="V6123" i="114"/>
  <c r="V6124" i="114"/>
  <c r="V6125" i="114"/>
  <c r="V6126" i="114"/>
  <c r="V6127" i="114"/>
  <c r="V6128" i="114"/>
  <c r="V6129" i="114"/>
  <c r="V6130" i="114"/>
  <c r="V6131" i="114"/>
  <c r="V6132" i="114"/>
  <c r="V6133" i="114"/>
  <c r="V6134" i="114"/>
  <c r="V6135" i="114"/>
  <c r="V6136" i="114"/>
  <c r="V6137" i="114"/>
  <c r="V6138" i="114"/>
  <c r="V6139" i="114"/>
  <c r="V6140" i="114"/>
  <c r="V6141" i="114"/>
  <c r="V6142" i="114"/>
  <c r="V6143" i="114"/>
  <c r="V6144" i="114"/>
  <c r="V6145" i="114"/>
  <c r="V6146" i="114"/>
  <c r="V6147" i="114"/>
  <c r="V6148" i="114"/>
  <c r="V6149" i="114"/>
  <c r="V6150" i="114"/>
  <c r="V6151" i="114"/>
  <c r="V6152" i="114"/>
  <c r="V6153" i="114"/>
  <c r="V6154" i="114"/>
  <c r="V6155" i="114"/>
  <c r="V6156" i="114"/>
  <c r="V6157" i="114"/>
  <c r="V6158" i="114"/>
  <c r="V6159" i="114"/>
  <c r="V6160" i="114"/>
  <c r="V6161" i="114"/>
  <c r="V6162" i="114"/>
  <c r="V6163" i="114"/>
  <c r="V6164" i="114"/>
  <c r="V6165" i="114"/>
  <c r="V6166" i="114"/>
  <c r="V6167" i="114"/>
  <c r="V6168" i="114"/>
  <c r="V6169" i="114"/>
  <c r="V6170" i="114"/>
  <c r="V6171" i="114"/>
  <c r="V6172" i="114"/>
  <c r="V6173" i="114"/>
  <c r="V6174" i="114"/>
  <c r="V6175" i="114"/>
  <c r="V6176" i="114"/>
  <c r="V6177" i="114"/>
  <c r="V6178" i="114"/>
  <c r="V6179" i="114"/>
  <c r="V6180" i="114"/>
  <c r="V6181" i="114"/>
  <c r="V6182" i="114"/>
  <c r="V6183" i="114"/>
  <c r="V6184" i="114"/>
  <c r="V6185" i="114"/>
  <c r="V6186" i="114"/>
  <c r="V6187" i="114"/>
  <c r="V6188" i="114"/>
  <c r="V6189" i="114"/>
  <c r="V6190" i="114"/>
  <c r="V6191" i="114"/>
  <c r="V6192" i="114"/>
  <c r="V6193" i="114"/>
  <c r="V6194" i="114"/>
  <c r="V6195" i="114"/>
  <c r="V6196" i="114"/>
  <c r="V6197" i="114"/>
  <c r="V6198" i="114"/>
  <c r="V6199" i="114"/>
  <c r="V6200" i="114"/>
  <c r="V6201" i="114"/>
  <c r="V6202" i="114"/>
  <c r="V6203" i="114"/>
  <c r="V6204" i="114"/>
  <c r="V6205" i="114"/>
  <c r="V6206" i="114"/>
  <c r="V6207" i="114"/>
  <c r="V6208" i="114"/>
  <c r="V6209" i="114"/>
  <c r="V6210" i="114"/>
  <c r="V6211" i="114"/>
  <c r="V6212" i="114"/>
  <c r="V6213" i="114"/>
  <c r="V6214" i="114"/>
  <c r="V6215" i="114"/>
  <c r="V6216" i="114"/>
  <c r="V6217" i="114"/>
  <c r="V6218" i="114"/>
  <c r="V6219" i="114"/>
  <c r="V6220" i="114"/>
  <c r="V6221" i="114"/>
  <c r="V6222" i="114"/>
  <c r="V6223" i="114"/>
  <c r="V6224" i="114"/>
  <c r="V6225" i="114"/>
  <c r="V6226" i="114"/>
  <c r="V6227" i="114"/>
  <c r="V6228" i="114"/>
  <c r="V6229" i="114"/>
  <c r="V6230" i="114"/>
  <c r="V6231" i="114"/>
  <c r="V6232" i="114"/>
  <c r="V6233" i="114"/>
  <c r="V6234" i="114"/>
  <c r="V6235" i="114"/>
  <c r="V6236" i="114"/>
  <c r="V6237" i="114"/>
  <c r="V6238" i="114"/>
  <c r="V6239" i="114"/>
  <c r="V6240" i="114"/>
  <c r="V6241" i="114"/>
  <c r="V6242" i="114"/>
  <c r="V6243" i="114"/>
  <c r="V6244" i="114"/>
  <c r="V6245" i="114"/>
  <c r="V6246" i="114"/>
  <c r="V6247" i="114"/>
  <c r="V6248" i="114"/>
  <c r="V6249" i="114"/>
  <c r="V6250" i="114"/>
  <c r="V6251" i="114"/>
  <c r="V6252" i="114"/>
  <c r="V6253" i="114"/>
  <c r="V6254" i="114"/>
  <c r="V6255" i="114"/>
  <c r="V6256" i="114"/>
  <c r="V6257" i="114"/>
  <c r="V6258" i="114"/>
  <c r="V6259" i="114"/>
  <c r="V6260" i="114"/>
  <c r="V6261" i="114"/>
  <c r="V6262" i="114"/>
  <c r="V6263" i="114"/>
  <c r="V6264" i="114"/>
  <c r="V6265" i="114"/>
  <c r="V6266" i="114"/>
  <c r="V6267" i="114"/>
  <c r="V6268" i="114"/>
  <c r="V6269" i="114"/>
  <c r="V6270" i="114"/>
  <c r="V6271" i="114"/>
  <c r="V6272" i="114"/>
  <c r="V6273" i="114"/>
  <c r="V6274" i="114"/>
  <c r="V6275" i="114"/>
  <c r="V6276" i="114"/>
  <c r="V6277" i="114"/>
  <c r="V6278" i="114"/>
  <c r="V6279" i="114"/>
  <c r="V6280" i="114"/>
  <c r="V6281" i="114"/>
  <c r="V6282" i="114"/>
  <c r="V6283" i="114"/>
  <c r="V6284" i="114"/>
  <c r="V6285" i="114"/>
  <c r="V6286" i="114"/>
  <c r="V6287" i="114"/>
  <c r="V6288" i="114"/>
  <c r="V6289" i="114"/>
  <c r="V6290" i="114"/>
  <c r="V6291" i="114"/>
  <c r="V6292" i="114"/>
  <c r="V6293" i="114"/>
  <c r="V6294" i="114"/>
  <c r="V6295" i="114"/>
  <c r="V6296" i="114"/>
  <c r="V6297" i="114"/>
  <c r="V6298" i="114"/>
  <c r="V6299" i="114"/>
  <c r="V6300" i="114"/>
  <c r="V6301" i="114"/>
  <c r="V6302" i="114"/>
  <c r="V6303" i="114"/>
  <c r="V6304" i="114"/>
  <c r="V6305" i="114"/>
  <c r="V6306" i="114"/>
  <c r="V6307" i="114"/>
  <c r="V6308" i="114"/>
  <c r="V6309" i="114"/>
  <c r="V6310" i="114"/>
  <c r="V6311" i="114"/>
  <c r="V6312" i="114"/>
  <c r="V6313" i="114"/>
  <c r="W2" i="114"/>
  <c r="W3" i="114"/>
  <c r="W4" i="114"/>
  <c r="W5" i="114"/>
  <c r="W6" i="114"/>
  <c r="W7" i="114"/>
  <c r="W8" i="114"/>
  <c r="W9" i="114"/>
  <c r="W10" i="114"/>
  <c r="W11" i="114"/>
  <c r="W12" i="114"/>
  <c r="W13" i="114"/>
  <c r="W14" i="114"/>
  <c r="W15" i="114"/>
  <c r="W16" i="114"/>
  <c r="W17" i="114"/>
  <c r="W18" i="114"/>
  <c r="W19" i="114"/>
  <c r="W20" i="114"/>
  <c r="W21" i="114"/>
  <c r="W22" i="114"/>
  <c r="W23" i="114"/>
  <c r="W24" i="114"/>
  <c r="W25" i="114"/>
  <c r="W26" i="114"/>
  <c r="W27" i="114"/>
  <c r="W28" i="114"/>
  <c r="W29" i="114"/>
  <c r="W30" i="114"/>
  <c r="W31" i="114"/>
  <c r="W32" i="114"/>
  <c r="W33" i="114"/>
  <c r="W34" i="114"/>
  <c r="W35" i="114"/>
  <c r="W36" i="114"/>
  <c r="W37" i="114"/>
  <c r="W38" i="114"/>
  <c r="W39" i="114"/>
  <c r="W40" i="114"/>
  <c r="W41" i="114"/>
  <c r="W42" i="114"/>
  <c r="W43" i="114"/>
  <c r="W44" i="114"/>
  <c r="W45" i="114"/>
  <c r="W46" i="114"/>
  <c r="W47" i="114"/>
  <c r="W48" i="114"/>
  <c r="W49" i="114"/>
  <c r="W50" i="114"/>
  <c r="W51" i="114"/>
  <c r="W52" i="114"/>
  <c r="W53" i="114"/>
  <c r="W54" i="114"/>
  <c r="W55" i="114"/>
  <c r="W56" i="114"/>
  <c r="W57" i="114"/>
  <c r="W58" i="114"/>
  <c r="W59" i="114"/>
  <c r="W60" i="114"/>
  <c r="W61" i="114"/>
  <c r="W62" i="114"/>
  <c r="W63" i="114"/>
  <c r="W64" i="114"/>
  <c r="W65" i="114"/>
  <c r="W66" i="114"/>
  <c r="W67" i="114"/>
  <c r="W68" i="114"/>
  <c r="W69" i="114"/>
  <c r="W70" i="114"/>
  <c r="W71" i="114"/>
  <c r="W72" i="114"/>
  <c r="W73" i="114"/>
  <c r="W74" i="114"/>
  <c r="W75" i="114"/>
  <c r="W76" i="114"/>
  <c r="W77" i="114"/>
  <c r="W78" i="114"/>
  <c r="W79" i="114"/>
  <c r="W80" i="114"/>
  <c r="W81" i="114"/>
  <c r="W82" i="114"/>
  <c r="W83" i="114"/>
  <c r="W84" i="114"/>
  <c r="W85" i="114"/>
  <c r="W86" i="114"/>
  <c r="W87" i="114"/>
  <c r="W88" i="114"/>
  <c r="W89" i="114"/>
  <c r="W90" i="114"/>
  <c r="W91" i="114"/>
  <c r="W92" i="114"/>
  <c r="W93" i="114"/>
  <c r="W94" i="114"/>
  <c r="W95" i="114"/>
  <c r="W96" i="114"/>
  <c r="W97" i="114"/>
  <c r="W98" i="114"/>
  <c r="W99" i="114"/>
  <c r="W100" i="114"/>
  <c r="W101" i="114"/>
  <c r="W102" i="114"/>
  <c r="W103" i="114"/>
  <c r="W104" i="114"/>
  <c r="W105" i="114"/>
  <c r="W106" i="114"/>
  <c r="W107" i="114"/>
  <c r="W108" i="114"/>
  <c r="W109" i="114"/>
  <c r="W110" i="114"/>
  <c r="W111" i="114"/>
  <c r="W112" i="114"/>
  <c r="W113" i="114"/>
  <c r="W114" i="114"/>
  <c r="W115" i="114"/>
  <c r="W116" i="114"/>
  <c r="W117" i="114"/>
  <c r="W118" i="114"/>
  <c r="W119" i="114"/>
  <c r="W120" i="114"/>
  <c r="W121" i="114"/>
  <c r="W122" i="114"/>
  <c r="W123" i="114"/>
  <c r="W124" i="114"/>
  <c r="W125" i="114"/>
  <c r="W126" i="114"/>
  <c r="W127" i="114"/>
  <c r="W128" i="114"/>
  <c r="W129" i="114"/>
  <c r="W130" i="114"/>
  <c r="W131" i="114"/>
  <c r="W132" i="114"/>
  <c r="W133" i="114"/>
  <c r="W134" i="114"/>
  <c r="W135" i="114"/>
  <c r="W136" i="114"/>
  <c r="W137" i="114"/>
  <c r="W138" i="114"/>
  <c r="W139" i="114"/>
  <c r="W140" i="114"/>
  <c r="W141" i="114"/>
  <c r="W142" i="114"/>
  <c r="W143" i="114"/>
  <c r="W144" i="114"/>
  <c r="W145" i="114"/>
  <c r="W146" i="114"/>
  <c r="W147" i="114"/>
  <c r="W148" i="114"/>
  <c r="W149" i="114"/>
  <c r="W150" i="114"/>
  <c r="W151" i="114"/>
  <c r="W152" i="114"/>
  <c r="W153" i="114"/>
  <c r="W154" i="114"/>
  <c r="W155" i="114"/>
  <c r="W156" i="114"/>
  <c r="W157" i="114"/>
  <c r="W158" i="114"/>
  <c r="W159" i="114"/>
  <c r="W160" i="114"/>
  <c r="W161" i="114"/>
  <c r="W162" i="114"/>
  <c r="W163" i="114"/>
  <c r="W164" i="114"/>
  <c r="W165" i="114"/>
  <c r="W166" i="114"/>
  <c r="W167" i="114"/>
  <c r="W168" i="114"/>
  <c r="W169" i="114"/>
  <c r="W170" i="114"/>
  <c r="W171" i="114"/>
  <c r="W172" i="114"/>
  <c r="W173" i="114"/>
  <c r="W174" i="114"/>
  <c r="W175" i="114"/>
  <c r="W176" i="114"/>
  <c r="W177" i="114"/>
  <c r="W178" i="114"/>
  <c r="W179" i="114"/>
  <c r="W180" i="114"/>
  <c r="W181" i="114"/>
  <c r="W182" i="114"/>
  <c r="W183" i="114"/>
  <c r="W184" i="114"/>
  <c r="W185" i="114"/>
  <c r="W186" i="114"/>
  <c r="W187" i="114"/>
  <c r="W188" i="114"/>
  <c r="W189" i="114"/>
  <c r="W190" i="114"/>
  <c r="W191" i="114"/>
  <c r="W192" i="114"/>
  <c r="W193" i="114"/>
  <c r="W194" i="114"/>
  <c r="W195" i="114"/>
  <c r="W196" i="114"/>
  <c r="W197" i="114"/>
  <c r="W198" i="114"/>
  <c r="W199" i="114"/>
  <c r="W200" i="114"/>
  <c r="W201" i="114"/>
  <c r="W202" i="114"/>
  <c r="W203" i="114"/>
  <c r="W204" i="114"/>
  <c r="W205" i="114"/>
  <c r="W206" i="114"/>
  <c r="W207" i="114"/>
  <c r="W208" i="114"/>
  <c r="W209" i="114"/>
  <c r="W210" i="114"/>
  <c r="W211" i="114"/>
  <c r="W212" i="114"/>
  <c r="W213" i="114"/>
  <c r="W214" i="114"/>
  <c r="W215" i="114"/>
  <c r="W216" i="114"/>
  <c r="W217" i="114"/>
  <c r="W218" i="114"/>
  <c r="W219" i="114"/>
  <c r="W220" i="114"/>
  <c r="W221" i="114"/>
  <c r="W222" i="114"/>
  <c r="W223" i="114"/>
  <c r="W224" i="114"/>
  <c r="W225" i="114"/>
  <c r="W226" i="114"/>
  <c r="W227" i="114"/>
  <c r="W228" i="114"/>
  <c r="W229" i="114"/>
  <c r="W230" i="114"/>
  <c r="W231" i="114"/>
  <c r="W232" i="114"/>
  <c r="W233" i="114"/>
  <c r="W234" i="114"/>
  <c r="W235" i="114"/>
  <c r="W236" i="114"/>
  <c r="W237" i="114"/>
  <c r="W238" i="114"/>
  <c r="W239" i="114"/>
  <c r="W240" i="114"/>
  <c r="W241" i="114"/>
  <c r="W242" i="114"/>
  <c r="W243" i="114"/>
  <c r="W244" i="114"/>
  <c r="W245" i="114"/>
  <c r="W246" i="114"/>
  <c r="W247" i="114"/>
  <c r="W248" i="114"/>
  <c r="W249" i="114"/>
  <c r="W250" i="114"/>
  <c r="W251" i="114"/>
  <c r="W252" i="114"/>
  <c r="W253" i="114"/>
  <c r="W254" i="114"/>
  <c r="W255" i="114"/>
  <c r="W256" i="114"/>
  <c r="W257" i="114"/>
  <c r="W258" i="114"/>
  <c r="W259" i="114"/>
  <c r="W260" i="114"/>
  <c r="W261" i="114"/>
  <c r="W262" i="114"/>
  <c r="W263" i="114"/>
  <c r="W264" i="114"/>
  <c r="W265" i="114"/>
  <c r="W266" i="114"/>
  <c r="W267" i="114"/>
  <c r="W268" i="114"/>
  <c r="W269" i="114"/>
  <c r="W270" i="114"/>
  <c r="W271" i="114"/>
  <c r="W272" i="114"/>
  <c r="W273" i="114"/>
  <c r="W274" i="114"/>
  <c r="W275" i="114"/>
  <c r="W276" i="114"/>
  <c r="W277" i="114"/>
  <c r="W278" i="114"/>
  <c r="W279" i="114"/>
  <c r="W280" i="114"/>
  <c r="W281" i="114"/>
  <c r="W282" i="114"/>
  <c r="W283" i="114"/>
  <c r="W284" i="114"/>
  <c r="W285" i="114"/>
  <c r="W286" i="114"/>
  <c r="W287" i="114"/>
  <c r="W288" i="114"/>
  <c r="W289" i="114"/>
  <c r="W290" i="114"/>
  <c r="W291" i="114"/>
  <c r="W292" i="114"/>
  <c r="W293" i="114"/>
  <c r="W294" i="114"/>
  <c r="W295" i="114"/>
  <c r="W296" i="114"/>
  <c r="W297" i="114"/>
  <c r="W298" i="114"/>
  <c r="W299" i="114"/>
  <c r="W300" i="114"/>
  <c r="W301" i="114"/>
  <c r="W302" i="114"/>
  <c r="W303" i="114"/>
  <c r="W304" i="114"/>
  <c r="W305" i="114"/>
  <c r="W306" i="114"/>
  <c r="W307" i="114"/>
  <c r="W308" i="114"/>
  <c r="W309" i="114"/>
  <c r="W310" i="114"/>
  <c r="W311" i="114"/>
  <c r="W312" i="114"/>
  <c r="W313" i="114"/>
  <c r="W314" i="114"/>
  <c r="W315" i="114"/>
  <c r="W316" i="114"/>
  <c r="W317" i="114"/>
  <c r="W318" i="114"/>
  <c r="W319" i="114"/>
  <c r="W320" i="114"/>
  <c r="W321" i="114"/>
  <c r="W322" i="114"/>
  <c r="W323" i="114"/>
  <c r="W324" i="114"/>
  <c r="W325" i="114"/>
  <c r="W326" i="114"/>
  <c r="W327" i="114"/>
  <c r="W328" i="114"/>
  <c r="W329" i="114"/>
  <c r="W330" i="114"/>
  <c r="W331" i="114"/>
  <c r="W332" i="114"/>
  <c r="W333" i="114"/>
  <c r="W334" i="114"/>
  <c r="W335" i="114"/>
  <c r="W336" i="114"/>
  <c r="W337" i="114"/>
  <c r="W338" i="114"/>
  <c r="W339" i="114"/>
  <c r="W340" i="114"/>
  <c r="W341" i="114"/>
  <c r="W342" i="114"/>
  <c r="W343" i="114"/>
  <c r="W344" i="114"/>
  <c r="W345" i="114"/>
  <c r="W346" i="114"/>
  <c r="W347" i="114"/>
  <c r="W348" i="114"/>
  <c r="W349" i="114"/>
  <c r="W350" i="114"/>
  <c r="W351" i="114"/>
  <c r="W352" i="114"/>
  <c r="W353" i="114"/>
  <c r="W354" i="114"/>
  <c r="W355" i="114"/>
  <c r="W356" i="114"/>
  <c r="W357" i="114"/>
  <c r="W358" i="114"/>
  <c r="W359" i="114"/>
  <c r="W360" i="114"/>
  <c r="W361" i="114"/>
  <c r="W362" i="114"/>
  <c r="W363" i="114"/>
  <c r="W364" i="114"/>
  <c r="W365" i="114"/>
  <c r="W366" i="114"/>
  <c r="W367" i="114"/>
  <c r="W368" i="114"/>
  <c r="W369" i="114"/>
  <c r="W370" i="114"/>
  <c r="W371" i="114"/>
  <c r="W372" i="114"/>
  <c r="W373" i="114"/>
  <c r="W374" i="114"/>
  <c r="W375" i="114"/>
  <c r="W376" i="114"/>
  <c r="W377" i="114"/>
  <c r="W378" i="114"/>
  <c r="W379" i="114"/>
  <c r="W380" i="114"/>
  <c r="W381" i="114"/>
  <c r="W382" i="114"/>
  <c r="W383" i="114"/>
  <c r="W384" i="114"/>
  <c r="W385" i="114"/>
  <c r="W386" i="114"/>
  <c r="W387" i="114"/>
  <c r="W388" i="114"/>
  <c r="W389" i="114"/>
  <c r="W390" i="114"/>
  <c r="W391" i="114"/>
  <c r="W392" i="114"/>
  <c r="W393" i="114"/>
  <c r="W394" i="114"/>
  <c r="W395" i="114"/>
  <c r="W396" i="114"/>
  <c r="W397" i="114"/>
  <c r="W398" i="114"/>
  <c r="W399" i="114"/>
  <c r="W400" i="114"/>
  <c r="W401" i="114"/>
  <c r="W402" i="114"/>
  <c r="W403" i="114"/>
  <c r="W404" i="114"/>
  <c r="W405" i="114"/>
  <c r="W406" i="114"/>
  <c r="W407" i="114"/>
  <c r="W408" i="114"/>
  <c r="W409" i="114"/>
  <c r="W410" i="114"/>
  <c r="W411" i="114"/>
  <c r="W412" i="114"/>
  <c r="W413" i="114"/>
  <c r="W414" i="114"/>
  <c r="W415" i="114"/>
  <c r="W416" i="114"/>
  <c r="W417" i="114"/>
  <c r="W418" i="114"/>
  <c r="W419" i="114"/>
  <c r="W420" i="114"/>
  <c r="W421" i="114"/>
  <c r="W422" i="114"/>
  <c r="W423" i="114"/>
  <c r="W424" i="114"/>
  <c r="W425" i="114"/>
  <c r="W426" i="114"/>
  <c r="W427" i="114"/>
  <c r="W428" i="114"/>
  <c r="W429" i="114"/>
  <c r="W430" i="114"/>
  <c r="W431" i="114"/>
  <c r="W432" i="114"/>
  <c r="W433" i="114"/>
  <c r="W434" i="114"/>
  <c r="W435" i="114"/>
  <c r="W436" i="114"/>
  <c r="W437" i="114"/>
  <c r="W438" i="114"/>
  <c r="W439" i="114"/>
  <c r="W440" i="114"/>
  <c r="W441" i="114"/>
  <c r="W442" i="114"/>
  <c r="W443" i="114"/>
  <c r="W444" i="114"/>
  <c r="W445" i="114"/>
  <c r="W446" i="114"/>
  <c r="W447" i="114"/>
  <c r="W448" i="114"/>
  <c r="W449" i="114"/>
  <c r="W450" i="114"/>
  <c r="W451" i="114"/>
  <c r="W452" i="114"/>
  <c r="W453" i="114"/>
  <c r="W454" i="114"/>
  <c r="W455" i="114"/>
  <c r="W456" i="114"/>
  <c r="W457" i="114"/>
  <c r="W458" i="114"/>
  <c r="W459" i="114"/>
  <c r="W460" i="114"/>
  <c r="W461" i="114"/>
  <c r="W462" i="114"/>
  <c r="W463" i="114"/>
  <c r="W464" i="114"/>
  <c r="W465" i="114"/>
  <c r="W466" i="114"/>
  <c r="W467" i="114"/>
  <c r="W468" i="114"/>
  <c r="W469" i="114"/>
  <c r="W470" i="114"/>
  <c r="W471" i="114"/>
  <c r="W472" i="114"/>
  <c r="W473" i="114"/>
  <c r="W474" i="114"/>
  <c r="W475" i="114"/>
  <c r="W476" i="114"/>
  <c r="W477" i="114"/>
  <c r="W478" i="114"/>
  <c r="W479" i="114"/>
  <c r="W480" i="114"/>
  <c r="W481" i="114"/>
  <c r="W482" i="114"/>
  <c r="W483" i="114"/>
  <c r="W484" i="114"/>
  <c r="W485" i="114"/>
  <c r="W486" i="114"/>
  <c r="W487" i="114"/>
  <c r="W488" i="114"/>
  <c r="W489" i="114"/>
  <c r="W490" i="114"/>
  <c r="W491" i="114"/>
  <c r="W492" i="114"/>
  <c r="W493" i="114"/>
  <c r="W494" i="114"/>
  <c r="W495" i="114"/>
  <c r="W496" i="114"/>
  <c r="W497" i="114"/>
  <c r="W498" i="114"/>
  <c r="W499" i="114"/>
  <c r="W500" i="114"/>
  <c r="W501" i="114"/>
  <c r="W502" i="114"/>
  <c r="W503" i="114"/>
  <c r="W504" i="114"/>
  <c r="W505" i="114"/>
  <c r="W506" i="114"/>
  <c r="W507" i="114"/>
  <c r="W508" i="114"/>
  <c r="W509" i="114"/>
  <c r="W510" i="114"/>
  <c r="W511" i="114"/>
  <c r="W512" i="114"/>
  <c r="W513" i="114"/>
  <c r="W514" i="114"/>
  <c r="W515" i="114"/>
  <c r="W516" i="114"/>
  <c r="W517" i="114"/>
  <c r="W518" i="114"/>
  <c r="W519" i="114"/>
  <c r="W520" i="114"/>
  <c r="W521" i="114"/>
  <c r="W522" i="114"/>
  <c r="W523" i="114"/>
  <c r="W524" i="114"/>
  <c r="W525" i="114"/>
  <c r="W526" i="114"/>
  <c r="W527" i="114"/>
  <c r="W528" i="114"/>
  <c r="W529" i="114"/>
  <c r="W530" i="114"/>
  <c r="W531" i="114"/>
  <c r="W532" i="114"/>
  <c r="W533" i="114"/>
  <c r="W534" i="114"/>
  <c r="W535" i="114"/>
  <c r="W536" i="114"/>
  <c r="W537" i="114"/>
  <c r="W538" i="114"/>
  <c r="W539" i="114"/>
  <c r="W540" i="114"/>
  <c r="W541" i="114"/>
  <c r="W542" i="114"/>
  <c r="W543" i="114"/>
  <c r="W544" i="114"/>
  <c r="W545" i="114"/>
  <c r="W546" i="114"/>
  <c r="W547" i="114"/>
  <c r="W548" i="114"/>
  <c r="W549" i="114"/>
  <c r="W550" i="114"/>
  <c r="W551" i="114"/>
  <c r="W552" i="114"/>
  <c r="W553" i="114"/>
  <c r="W554" i="114"/>
  <c r="W555" i="114"/>
  <c r="W556" i="114"/>
  <c r="W557" i="114"/>
  <c r="W558" i="114"/>
  <c r="W559" i="114"/>
  <c r="W560" i="114"/>
  <c r="W561" i="114"/>
  <c r="W562" i="114"/>
  <c r="W563" i="114"/>
  <c r="W564" i="114"/>
  <c r="W565" i="114"/>
  <c r="W566" i="114"/>
  <c r="W567" i="114"/>
  <c r="W568" i="114"/>
  <c r="W569" i="114"/>
  <c r="W570" i="114"/>
  <c r="W571" i="114"/>
  <c r="W572" i="114"/>
  <c r="W573" i="114"/>
  <c r="W574" i="114"/>
  <c r="W575" i="114"/>
  <c r="W576" i="114"/>
  <c r="W577" i="114"/>
  <c r="W578" i="114"/>
  <c r="W579" i="114"/>
  <c r="W580" i="114"/>
  <c r="W581" i="114"/>
  <c r="W582" i="114"/>
  <c r="W583" i="114"/>
  <c r="W584" i="114"/>
  <c r="W585" i="114"/>
  <c r="W586" i="114"/>
  <c r="W587" i="114"/>
  <c r="W588" i="114"/>
  <c r="W589" i="114"/>
  <c r="W590" i="114"/>
  <c r="W591" i="114"/>
  <c r="W592" i="114"/>
  <c r="W593" i="114"/>
  <c r="W594" i="114"/>
  <c r="W595" i="114"/>
  <c r="W596" i="114"/>
  <c r="W597" i="114"/>
  <c r="W598" i="114"/>
  <c r="W599" i="114"/>
  <c r="W600" i="114"/>
  <c r="W601" i="114"/>
  <c r="W602" i="114"/>
  <c r="W603" i="114"/>
  <c r="W604" i="114"/>
  <c r="W605" i="114"/>
  <c r="W606" i="114"/>
  <c r="W607" i="114"/>
  <c r="W608" i="114"/>
  <c r="W609" i="114"/>
  <c r="W610" i="114"/>
  <c r="W611" i="114"/>
  <c r="W612" i="114"/>
  <c r="W613" i="114"/>
  <c r="W614" i="114"/>
  <c r="W615" i="114"/>
  <c r="W616" i="114"/>
  <c r="W617" i="114"/>
  <c r="W618" i="114"/>
  <c r="W619" i="114"/>
  <c r="W620" i="114"/>
  <c r="W621" i="114"/>
  <c r="W622" i="114"/>
  <c r="W623" i="114"/>
  <c r="W624" i="114"/>
  <c r="W625" i="114"/>
  <c r="W626" i="114"/>
  <c r="W627" i="114"/>
  <c r="W628" i="114"/>
  <c r="W629" i="114"/>
  <c r="W630" i="114"/>
  <c r="W631" i="114"/>
  <c r="W632" i="114"/>
  <c r="W633" i="114"/>
  <c r="W634" i="114"/>
  <c r="W635" i="114"/>
  <c r="W636" i="114"/>
  <c r="W637" i="114"/>
  <c r="W638" i="114"/>
  <c r="W639" i="114"/>
  <c r="W640" i="114"/>
  <c r="W641" i="114"/>
  <c r="W642" i="114"/>
  <c r="W643" i="114"/>
  <c r="W644" i="114"/>
  <c r="W645" i="114"/>
  <c r="W646" i="114"/>
  <c r="W647" i="114"/>
  <c r="W648" i="114"/>
  <c r="W649" i="114"/>
  <c r="W650" i="114"/>
  <c r="W651" i="114"/>
  <c r="W652" i="114"/>
  <c r="W653" i="114"/>
  <c r="W654" i="114"/>
  <c r="W655" i="114"/>
  <c r="W656" i="114"/>
  <c r="W657" i="114"/>
  <c r="W658" i="114"/>
  <c r="W659" i="114"/>
  <c r="W660" i="114"/>
  <c r="W661" i="114"/>
  <c r="W662" i="114"/>
  <c r="W663" i="114"/>
  <c r="W664" i="114"/>
  <c r="W665" i="114"/>
  <c r="W666" i="114"/>
  <c r="W667" i="114"/>
  <c r="W668" i="114"/>
  <c r="W669" i="114"/>
  <c r="W670" i="114"/>
  <c r="W671" i="114"/>
  <c r="W672" i="114"/>
  <c r="W673" i="114"/>
  <c r="W674" i="114"/>
  <c r="W675" i="114"/>
  <c r="W676" i="114"/>
  <c r="W677" i="114"/>
  <c r="W678" i="114"/>
  <c r="W679" i="114"/>
  <c r="W680" i="114"/>
  <c r="W681" i="114"/>
  <c r="W682" i="114"/>
  <c r="W683" i="114"/>
  <c r="W684" i="114"/>
  <c r="W685" i="114"/>
  <c r="W686" i="114"/>
  <c r="W687" i="114"/>
  <c r="W688" i="114"/>
  <c r="W689" i="114"/>
  <c r="W690" i="114"/>
  <c r="W691" i="114"/>
  <c r="W692" i="114"/>
  <c r="W693" i="114"/>
  <c r="W694" i="114"/>
  <c r="W695" i="114"/>
  <c r="W696" i="114"/>
  <c r="W697" i="114"/>
  <c r="W698" i="114"/>
  <c r="W699" i="114"/>
  <c r="W700" i="114"/>
  <c r="W701" i="114"/>
  <c r="W702" i="114"/>
  <c r="W703" i="114"/>
  <c r="W704" i="114"/>
  <c r="W705" i="114"/>
  <c r="W706" i="114"/>
  <c r="W707" i="114"/>
  <c r="W708" i="114"/>
  <c r="W709" i="114"/>
  <c r="W710" i="114"/>
  <c r="W711" i="114"/>
  <c r="W712" i="114"/>
  <c r="W713" i="114"/>
  <c r="W714" i="114"/>
  <c r="W715" i="114"/>
  <c r="W716" i="114"/>
  <c r="W717" i="114"/>
  <c r="W718" i="114"/>
  <c r="W719" i="114"/>
  <c r="W720" i="114"/>
  <c r="W721" i="114"/>
  <c r="W722" i="114"/>
  <c r="W723" i="114"/>
  <c r="W724" i="114"/>
  <c r="W725" i="114"/>
  <c r="W726" i="114"/>
  <c r="W727" i="114"/>
  <c r="W728" i="114"/>
  <c r="W729" i="114"/>
  <c r="W730" i="114"/>
  <c r="W731" i="114"/>
  <c r="W732" i="114"/>
  <c r="W733" i="114"/>
  <c r="W734" i="114"/>
  <c r="W735" i="114"/>
  <c r="W736" i="114"/>
  <c r="W737" i="114"/>
  <c r="W738" i="114"/>
  <c r="W739" i="114"/>
  <c r="W740" i="114"/>
  <c r="W741" i="114"/>
  <c r="W742" i="114"/>
  <c r="W743" i="114"/>
  <c r="W744" i="114"/>
  <c r="W745" i="114"/>
  <c r="W746" i="114"/>
  <c r="W747" i="114"/>
  <c r="W748" i="114"/>
  <c r="W749" i="114"/>
  <c r="W750" i="114"/>
  <c r="W751" i="114"/>
  <c r="W752" i="114"/>
  <c r="W753" i="114"/>
  <c r="W754" i="114"/>
  <c r="W755" i="114"/>
  <c r="W756" i="114"/>
  <c r="W757" i="114"/>
  <c r="W758" i="114"/>
  <c r="W759" i="114"/>
  <c r="W760" i="114"/>
  <c r="W761" i="114"/>
  <c r="W762" i="114"/>
  <c r="W763" i="114"/>
  <c r="W764" i="114"/>
  <c r="W765" i="114"/>
  <c r="W766" i="114"/>
  <c r="W767" i="114"/>
  <c r="W768" i="114"/>
  <c r="W769" i="114"/>
  <c r="W770" i="114"/>
  <c r="W771" i="114"/>
  <c r="W772" i="114"/>
  <c r="W773" i="114"/>
  <c r="W774" i="114"/>
  <c r="W775" i="114"/>
  <c r="W776" i="114"/>
  <c r="W777" i="114"/>
  <c r="W778" i="114"/>
  <c r="W779" i="114"/>
  <c r="W780" i="114"/>
  <c r="W781" i="114"/>
  <c r="W782" i="114"/>
  <c r="W783" i="114"/>
  <c r="W784" i="114"/>
  <c r="W785" i="114"/>
  <c r="W786" i="114"/>
  <c r="W787" i="114"/>
  <c r="W788" i="114"/>
  <c r="W789" i="114"/>
  <c r="W790" i="114"/>
  <c r="W791" i="114"/>
  <c r="W792" i="114"/>
  <c r="W793" i="114"/>
  <c r="W794" i="114"/>
  <c r="W795" i="114"/>
  <c r="W796" i="114"/>
  <c r="W797" i="114"/>
  <c r="W798" i="114"/>
  <c r="W799" i="114"/>
  <c r="W800" i="114"/>
  <c r="W801" i="114"/>
  <c r="W802" i="114"/>
  <c r="W803" i="114"/>
  <c r="W804" i="114"/>
  <c r="W805" i="114"/>
  <c r="W806" i="114"/>
  <c r="W807" i="114"/>
  <c r="W808" i="114"/>
  <c r="W809" i="114"/>
  <c r="W810" i="114"/>
  <c r="W811" i="114"/>
  <c r="W812" i="114"/>
  <c r="W813" i="114"/>
  <c r="W814" i="114"/>
  <c r="W815" i="114"/>
  <c r="W816" i="114"/>
  <c r="W817" i="114"/>
  <c r="W818" i="114"/>
  <c r="W819" i="114"/>
  <c r="W820" i="114"/>
  <c r="W821" i="114"/>
  <c r="W822" i="114"/>
  <c r="W823" i="114"/>
  <c r="W824" i="114"/>
  <c r="W825" i="114"/>
  <c r="W826" i="114"/>
  <c r="W827" i="114"/>
  <c r="W828" i="114"/>
  <c r="W829" i="114"/>
  <c r="W830" i="114"/>
  <c r="W831" i="114"/>
  <c r="W832" i="114"/>
  <c r="W833" i="114"/>
  <c r="W834" i="114"/>
  <c r="W835" i="114"/>
  <c r="W836" i="114"/>
  <c r="W837" i="114"/>
  <c r="W838" i="114"/>
  <c r="W839" i="114"/>
  <c r="W840" i="114"/>
  <c r="W841" i="114"/>
  <c r="W842" i="114"/>
  <c r="W843" i="114"/>
  <c r="W844" i="114"/>
  <c r="W845" i="114"/>
  <c r="W846" i="114"/>
  <c r="W847" i="114"/>
  <c r="W848" i="114"/>
  <c r="W849" i="114"/>
  <c r="W850" i="114"/>
  <c r="W851" i="114"/>
  <c r="W852" i="114"/>
  <c r="W853" i="114"/>
  <c r="W854" i="114"/>
  <c r="W855" i="114"/>
  <c r="W856" i="114"/>
  <c r="W857" i="114"/>
  <c r="W858" i="114"/>
  <c r="W859" i="114"/>
  <c r="W860" i="114"/>
  <c r="W861" i="114"/>
  <c r="W862" i="114"/>
  <c r="W863" i="114"/>
  <c r="W864" i="114"/>
  <c r="W865" i="114"/>
  <c r="W866" i="114"/>
  <c r="W867" i="114"/>
  <c r="W868" i="114"/>
  <c r="W869" i="114"/>
  <c r="W870" i="114"/>
  <c r="W871" i="114"/>
  <c r="W872" i="114"/>
  <c r="W873" i="114"/>
  <c r="W874" i="114"/>
  <c r="W875" i="114"/>
  <c r="W876" i="114"/>
  <c r="W877" i="114"/>
  <c r="W878" i="114"/>
  <c r="W879" i="114"/>
  <c r="W880" i="114"/>
  <c r="W881" i="114"/>
  <c r="W882" i="114"/>
  <c r="W883" i="114"/>
  <c r="W884" i="114"/>
  <c r="W885" i="114"/>
  <c r="W886" i="114"/>
  <c r="W887" i="114"/>
  <c r="W888" i="114"/>
  <c r="W889" i="114"/>
  <c r="W890" i="114"/>
  <c r="W891" i="114"/>
  <c r="W892" i="114"/>
  <c r="W893" i="114"/>
  <c r="W894" i="114"/>
  <c r="W895" i="114"/>
  <c r="W896" i="114"/>
  <c r="W897" i="114"/>
  <c r="W898" i="114"/>
  <c r="W899" i="114"/>
  <c r="W900" i="114"/>
  <c r="W901" i="114"/>
  <c r="W902" i="114"/>
  <c r="W903" i="114"/>
  <c r="W904" i="114"/>
  <c r="W905" i="114"/>
  <c r="W906" i="114"/>
  <c r="W907" i="114"/>
  <c r="W908" i="114"/>
  <c r="W909" i="114"/>
  <c r="W910" i="114"/>
  <c r="W911" i="114"/>
  <c r="W912" i="114"/>
  <c r="W913" i="114"/>
  <c r="W914" i="114"/>
  <c r="W915" i="114"/>
  <c r="W916" i="114"/>
  <c r="W917" i="114"/>
  <c r="W918" i="114"/>
  <c r="W919" i="114"/>
  <c r="W920" i="114"/>
  <c r="W921" i="114"/>
  <c r="W922" i="114"/>
  <c r="W923" i="114"/>
  <c r="W924" i="114"/>
  <c r="W925" i="114"/>
  <c r="W926" i="114"/>
  <c r="W927" i="114"/>
  <c r="W928" i="114"/>
  <c r="W929" i="114"/>
  <c r="W930" i="114"/>
  <c r="W931" i="114"/>
  <c r="W932" i="114"/>
  <c r="W933" i="114"/>
  <c r="W934" i="114"/>
  <c r="W935" i="114"/>
  <c r="W936" i="114"/>
  <c r="W937" i="114"/>
  <c r="W938" i="114"/>
  <c r="W939" i="114"/>
  <c r="W940" i="114"/>
  <c r="W941" i="114"/>
  <c r="W942" i="114"/>
  <c r="W943" i="114"/>
  <c r="W944" i="114"/>
  <c r="W945" i="114"/>
  <c r="W946" i="114"/>
  <c r="W947" i="114"/>
  <c r="W948" i="114"/>
  <c r="W949" i="114"/>
  <c r="W950" i="114"/>
  <c r="W951" i="114"/>
  <c r="W952" i="114"/>
  <c r="W953" i="114"/>
  <c r="W954" i="114"/>
  <c r="W955" i="114"/>
  <c r="W956" i="114"/>
  <c r="W957" i="114"/>
  <c r="W958" i="114"/>
  <c r="W959" i="114"/>
  <c r="W960" i="114"/>
  <c r="W961" i="114"/>
  <c r="W962" i="114"/>
  <c r="W963" i="114"/>
  <c r="W964" i="114"/>
  <c r="W965" i="114"/>
  <c r="W966" i="114"/>
  <c r="W967" i="114"/>
  <c r="W968" i="114"/>
  <c r="W969" i="114"/>
  <c r="W970" i="114"/>
  <c r="W971" i="114"/>
  <c r="W972" i="114"/>
  <c r="W973" i="114"/>
  <c r="W974" i="114"/>
  <c r="W975" i="114"/>
  <c r="W976" i="114"/>
  <c r="W977" i="114"/>
  <c r="W978" i="114"/>
  <c r="W979" i="114"/>
  <c r="W980" i="114"/>
  <c r="W981" i="114"/>
  <c r="W982" i="114"/>
  <c r="W983" i="114"/>
  <c r="W984" i="114"/>
  <c r="W985" i="114"/>
  <c r="W986" i="114"/>
  <c r="W987" i="114"/>
  <c r="W988" i="114"/>
  <c r="W989" i="114"/>
  <c r="W990" i="114"/>
  <c r="W991" i="114"/>
  <c r="W992" i="114"/>
  <c r="W993" i="114"/>
  <c r="W994" i="114"/>
  <c r="W995" i="114"/>
  <c r="W996" i="114"/>
  <c r="W997" i="114"/>
  <c r="W998" i="114"/>
  <c r="W999" i="114"/>
  <c r="W1000" i="114"/>
  <c r="W1001" i="114"/>
  <c r="W1002" i="114"/>
  <c r="W1003" i="114"/>
  <c r="W1004" i="114"/>
  <c r="W1005" i="114"/>
  <c r="W1006" i="114"/>
  <c r="W1007" i="114"/>
  <c r="W1008" i="114"/>
  <c r="W1009" i="114"/>
  <c r="W1010" i="114"/>
  <c r="W1011" i="114"/>
  <c r="W1012" i="114"/>
  <c r="W1013" i="114"/>
  <c r="W1014" i="114"/>
  <c r="W1015" i="114"/>
  <c r="W1016" i="114"/>
  <c r="W1017" i="114"/>
  <c r="W1018" i="114"/>
  <c r="W1019" i="114"/>
  <c r="W1020" i="114"/>
  <c r="W1021" i="114"/>
  <c r="W1022" i="114"/>
  <c r="W1023" i="114"/>
  <c r="W1024" i="114"/>
  <c r="W1025" i="114"/>
  <c r="W1026" i="114"/>
  <c r="W1027" i="114"/>
  <c r="W1028" i="114"/>
  <c r="W1029" i="114"/>
  <c r="W1030" i="114"/>
  <c r="W1031" i="114"/>
  <c r="W1032" i="114"/>
  <c r="W1033" i="114"/>
  <c r="W1034" i="114"/>
  <c r="W1035" i="114"/>
  <c r="W1036" i="114"/>
  <c r="W1037" i="114"/>
  <c r="W1038" i="114"/>
  <c r="W1039" i="114"/>
  <c r="W1040" i="114"/>
  <c r="W1041" i="114"/>
  <c r="W1042" i="114"/>
  <c r="W1043" i="114"/>
  <c r="W1044" i="114"/>
  <c r="W1045" i="114"/>
  <c r="W1046" i="114"/>
  <c r="W1047" i="114"/>
  <c r="W1048" i="114"/>
  <c r="W1049" i="114"/>
  <c r="W1050" i="114"/>
  <c r="W1051" i="114"/>
  <c r="W1052" i="114"/>
  <c r="W1053" i="114"/>
  <c r="W1054" i="114"/>
  <c r="W1055" i="114"/>
  <c r="W1056" i="114"/>
  <c r="W1057" i="114"/>
  <c r="W1058" i="114"/>
  <c r="W1059" i="114"/>
  <c r="W1060" i="114"/>
  <c r="W1061" i="114"/>
  <c r="W1062" i="114"/>
  <c r="W1063" i="114"/>
  <c r="W1064" i="114"/>
  <c r="W1065" i="114"/>
  <c r="W1066" i="114"/>
  <c r="W1067" i="114"/>
  <c r="W1068" i="114"/>
  <c r="W1069" i="114"/>
  <c r="W1070" i="114"/>
  <c r="W1071" i="114"/>
  <c r="W1072" i="114"/>
  <c r="W1073" i="114"/>
  <c r="W1074" i="114"/>
  <c r="W1075" i="114"/>
  <c r="W1076" i="114"/>
  <c r="W1077" i="114"/>
  <c r="W1078" i="114"/>
  <c r="W1079" i="114"/>
  <c r="W1080" i="114"/>
  <c r="W1081" i="114"/>
  <c r="W1082" i="114"/>
  <c r="W1083" i="114"/>
  <c r="W1084" i="114"/>
  <c r="W1085" i="114"/>
  <c r="W1086" i="114"/>
  <c r="W1087" i="114"/>
  <c r="W1088" i="114"/>
  <c r="W1089" i="114"/>
  <c r="W1090" i="114"/>
  <c r="W1091" i="114"/>
  <c r="W1092" i="114"/>
  <c r="W1093" i="114"/>
  <c r="W1094" i="114"/>
  <c r="W1095" i="114"/>
  <c r="W1096" i="114"/>
  <c r="W1097" i="114"/>
  <c r="W1098" i="114"/>
  <c r="W1099" i="114"/>
  <c r="W1100" i="114"/>
  <c r="W1101" i="114"/>
  <c r="W1102" i="114"/>
  <c r="W1103" i="114"/>
  <c r="W1104" i="114"/>
  <c r="W1105" i="114"/>
  <c r="W1106" i="114"/>
  <c r="W1107" i="114"/>
  <c r="W1108" i="114"/>
  <c r="W1109" i="114"/>
  <c r="W1110" i="114"/>
  <c r="W1111" i="114"/>
  <c r="W1112" i="114"/>
  <c r="W1113" i="114"/>
  <c r="W1114" i="114"/>
  <c r="W1115" i="114"/>
  <c r="W1116" i="114"/>
  <c r="W1117" i="114"/>
  <c r="W1118" i="114"/>
  <c r="W1119" i="114"/>
  <c r="W1120" i="114"/>
  <c r="W1121" i="114"/>
  <c r="W1122" i="114"/>
  <c r="W1123" i="114"/>
  <c r="W1124" i="114"/>
  <c r="W1125" i="114"/>
  <c r="W1126" i="114"/>
  <c r="W1127" i="114"/>
  <c r="W1128" i="114"/>
  <c r="W1129" i="114"/>
  <c r="W1130" i="114"/>
  <c r="W1131" i="114"/>
  <c r="W1132" i="114"/>
  <c r="W1133" i="114"/>
  <c r="W1134" i="114"/>
  <c r="W1135" i="114"/>
  <c r="W1136" i="114"/>
  <c r="W1137" i="114"/>
  <c r="W1138" i="114"/>
  <c r="W1139" i="114"/>
  <c r="W1140" i="114"/>
  <c r="W1141" i="114"/>
  <c r="W1142" i="114"/>
  <c r="W1143" i="114"/>
  <c r="W1144" i="114"/>
  <c r="W1145" i="114"/>
  <c r="W1146" i="114"/>
  <c r="W1147" i="114"/>
  <c r="W1148" i="114"/>
  <c r="W1149" i="114"/>
  <c r="W1150" i="114"/>
  <c r="W1151" i="114"/>
  <c r="W1152" i="114"/>
  <c r="W1153" i="114"/>
  <c r="W1154" i="114"/>
  <c r="W1155" i="114"/>
  <c r="W1156" i="114"/>
  <c r="W1157" i="114"/>
  <c r="W1158" i="114"/>
  <c r="W1159" i="114"/>
  <c r="W1160" i="114"/>
  <c r="W1161" i="114"/>
  <c r="W1162" i="114"/>
  <c r="W1163" i="114"/>
  <c r="W1164" i="114"/>
  <c r="W1165" i="114"/>
  <c r="W1166" i="114"/>
  <c r="W1167" i="114"/>
  <c r="W1168" i="114"/>
  <c r="W1169" i="114"/>
  <c r="W1170" i="114"/>
  <c r="W1171" i="114"/>
  <c r="W1172" i="114"/>
  <c r="W1173" i="114"/>
  <c r="W1174" i="114"/>
  <c r="W1175" i="114"/>
  <c r="W1176" i="114"/>
  <c r="W1177" i="114"/>
  <c r="W1178" i="114"/>
  <c r="W1179" i="114"/>
  <c r="W1180" i="114"/>
  <c r="W1181" i="114"/>
  <c r="W1182" i="114"/>
  <c r="W1183" i="114"/>
  <c r="W1184" i="114"/>
  <c r="W1185" i="114"/>
  <c r="W1186" i="114"/>
  <c r="W1187" i="114"/>
  <c r="W1188" i="114"/>
  <c r="W1189" i="114"/>
  <c r="W1190" i="114"/>
  <c r="W1191" i="114"/>
  <c r="W1192" i="114"/>
  <c r="W1193" i="114"/>
  <c r="W1194" i="114"/>
  <c r="W1195" i="114"/>
  <c r="W1196" i="114"/>
  <c r="W1197" i="114"/>
  <c r="W1198" i="114"/>
  <c r="W1199" i="114"/>
  <c r="W1200" i="114"/>
  <c r="W1201" i="114"/>
  <c r="W1202" i="114"/>
  <c r="W1203" i="114"/>
  <c r="W1204" i="114"/>
  <c r="W1205" i="114"/>
  <c r="W1206" i="114"/>
  <c r="W1207" i="114"/>
  <c r="W1208" i="114"/>
  <c r="W1209" i="114"/>
  <c r="W1210" i="114"/>
  <c r="W1211" i="114"/>
  <c r="W1212" i="114"/>
  <c r="W1213" i="114"/>
  <c r="W1214" i="114"/>
  <c r="W1215" i="114"/>
  <c r="W1216" i="114"/>
  <c r="W1217" i="114"/>
  <c r="W1218" i="114"/>
  <c r="W1219" i="114"/>
  <c r="W1220" i="114"/>
  <c r="W1221" i="114"/>
  <c r="W1222" i="114"/>
  <c r="W1223" i="114"/>
  <c r="W1224" i="114"/>
  <c r="W1225" i="114"/>
  <c r="W1226" i="114"/>
  <c r="W1227" i="114"/>
  <c r="W1228" i="114"/>
  <c r="W1229" i="114"/>
  <c r="W1230" i="114"/>
  <c r="W1231" i="114"/>
  <c r="W1232" i="114"/>
  <c r="W1233" i="114"/>
  <c r="W1234" i="114"/>
  <c r="W1235" i="114"/>
  <c r="W1236" i="114"/>
  <c r="W1237" i="114"/>
  <c r="W1238" i="114"/>
  <c r="W1239" i="114"/>
  <c r="W1240" i="114"/>
  <c r="W1241" i="114"/>
  <c r="W1242" i="114"/>
  <c r="W1243" i="114"/>
  <c r="W1244" i="114"/>
  <c r="W1245" i="114"/>
  <c r="W1246" i="114"/>
  <c r="W1247" i="114"/>
  <c r="W1248" i="114"/>
  <c r="W1249" i="114"/>
  <c r="W1250" i="114"/>
  <c r="W1251" i="114"/>
  <c r="W1252" i="114"/>
  <c r="W1253" i="114"/>
  <c r="W1254" i="114"/>
  <c r="W1255" i="114"/>
  <c r="W1256" i="114"/>
  <c r="W1257" i="114"/>
  <c r="W1258" i="114"/>
  <c r="W1259" i="114"/>
  <c r="W1260" i="114"/>
  <c r="W1261" i="114"/>
  <c r="W1262" i="114"/>
  <c r="W1263" i="114"/>
  <c r="W1264" i="114"/>
  <c r="W1265" i="114"/>
  <c r="W1266" i="114"/>
  <c r="W1267" i="114"/>
  <c r="W1268" i="114"/>
  <c r="W1269" i="114"/>
  <c r="W1270" i="114"/>
  <c r="W1271" i="114"/>
  <c r="W1272" i="114"/>
  <c r="W1273" i="114"/>
  <c r="W1274" i="114"/>
  <c r="W1275" i="114"/>
  <c r="W1276" i="114"/>
  <c r="W1277" i="114"/>
  <c r="W1278" i="114"/>
  <c r="W1279" i="114"/>
  <c r="W1280" i="114"/>
  <c r="W1281" i="114"/>
  <c r="W1282" i="114"/>
  <c r="W1283" i="114"/>
  <c r="W1284" i="114"/>
  <c r="W1285" i="114"/>
  <c r="W1286" i="114"/>
  <c r="W1287" i="114"/>
  <c r="W1288" i="114"/>
  <c r="W1289" i="114"/>
  <c r="W1290" i="114"/>
  <c r="W1291" i="114"/>
  <c r="W1292" i="114"/>
  <c r="W1293" i="114"/>
  <c r="W1294" i="114"/>
  <c r="W1295" i="114"/>
  <c r="W1296" i="114"/>
  <c r="W1297" i="114"/>
  <c r="W1298" i="114"/>
  <c r="W1299" i="114"/>
  <c r="W1300" i="114"/>
  <c r="W1301" i="114"/>
  <c r="W1302" i="114"/>
  <c r="W1303" i="114"/>
  <c r="W1304" i="114"/>
  <c r="W1305" i="114"/>
  <c r="W1306" i="114"/>
  <c r="W1307" i="114"/>
  <c r="W1308" i="114"/>
  <c r="W1309" i="114"/>
  <c r="W1310" i="114"/>
  <c r="W1311" i="114"/>
  <c r="W1312" i="114"/>
  <c r="W1313" i="114"/>
  <c r="W1314" i="114"/>
  <c r="W1315" i="114"/>
  <c r="W1316" i="114"/>
  <c r="W1317" i="114"/>
  <c r="W1318" i="114"/>
  <c r="W1319" i="114"/>
  <c r="W1320" i="114"/>
  <c r="W1321" i="114"/>
  <c r="W1322" i="114"/>
  <c r="W1323" i="114"/>
  <c r="W1324" i="114"/>
  <c r="W1325" i="114"/>
  <c r="W1326" i="114"/>
  <c r="W1327" i="114"/>
  <c r="W1328" i="114"/>
  <c r="W1329" i="114"/>
  <c r="W1330" i="114"/>
  <c r="W1331" i="114"/>
  <c r="W1332" i="114"/>
  <c r="W1333" i="114"/>
  <c r="W1334" i="114"/>
  <c r="W1335" i="114"/>
  <c r="W1336" i="114"/>
  <c r="W1337" i="114"/>
  <c r="W1338" i="114"/>
  <c r="W1339" i="114"/>
  <c r="W1340" i="114"/>
  <c r="W1341" i="114"/>
  <c r="W1342" i="114"/>
  <c r="W1343" i="114"/>
  <c r="W1344" i="114"/>
  <c r="W1345" i="114"/>
  <c r="W1346" i="114"/>
  <c r="W1347" i="114"/>
  <c r="W1348" i="114"/>
  <c r="W1349" i="114"/>
  <c r="W1350" i="114"/>
  <c r="W1351" i="114"/>
  <c r="W1352" i="114"/>
  <c r="W1353" i="114"/>
  <c r="W1354" i="114"/>
  <c r="W1355" i="114"/>
  <c r="W1356" i="114"/>
  <c r="W1357" i="114"/>
  <c r="W1358" i="114"/>
  <c r="W1359" i="114"/>
  <c r="W1360" i="114"/>
  <c r="W1361" i="114"/>
  <c r="W1362" i="114"/>
  <c r="W1363" i="114"/>
  <c r="W1364" i="114"/>
  <c r="W1365" i="114"/>
  <c r="W1366" i="114"/>
  <c r="W1367" i="114"/>
  <c r="W1368" i="114"/>
  <c r="W1369" i="114"/>
  <c r="W1370" i="114"/>
  <c r="W1371" i="114"/>
  <c r="W1372" i="114"/>
  <c r="W1373" i="114"/>
  <c r="W1374" i="114"/>
  <c r="W1375" i="114"/>
  <c r="W1376" i="114"/>
  <c r="W1377" i="114"/>
  <c r="W1378" i="114"/>
  <c r="W1379" i="114"/>
  <c r="W1380" i="114"/>
  <c r="W1381" i="114"/>
  <c r="W1382" i="114"/>
  <c r="W1383" i="114"/>
  <c r="W1384" i="114"/>
  <c r="W1385" i="114"/>
  <c r="W1386" i="114"/>
  <c r="W1387" i="114"/>
  <c r="W1388" i="114"/>
  <c r="W1389" i="114"/>
  <c r="W1390" i="114"/>
  <c r="W1391" i="114"/>
  <c r="W1392" i="114"/>
  <c r="W1393" i="114"/>
  <c r="W1394" i="114"/>
  <c r="W1395" i="114"/>
  <c r="W1396" i="114"/>
  <c r="W1397" i="114"/>
  <c r="W1398" i="114"/>
  <c r="W1399" i="114"/>
  <c r="W1400" i="114"/>
  <c r="W1401" i="114"/>
  <c r="W1402" i="114"/>
  <c r="W1403" i="114"/>
  <c r="W1404" i="114"/>
  <c r="W1405" i="114"/>
  <c r="W1406" i="114"/>
  <c r="W1407" i="114"/>
  <c r="W1408" i="114"/>
  <c r="W1409" i="114"/>
  <c r="W1410" i="114"/>
  <c r="W1411" i="114"/>
  <c r="W1412" i="114"/>
  <c r="W1413" i="114"/>
  <c r="W1414" i="114"/>
  <c r="W1415" i="114"/>
  <c r="W1416" i="114"/>
  <c r="W1417" i="114"/>
  <c r="W1418" i="114"/>
  <c r="W1419" i="114"/>
  <c r="W1420" i="114"/>
  <c r="W1421" i="114"/>
  <c r="W1422" i="114"/>
  <c r="W1423" i="114"/>
  <c r="W1424" i="114"/>
  <c r="W1425" i="114"/>
  <c r="W1426" i="114"/>
  <c r="W1427" i="114"/>
  <c r="W1428" i="114"/>
  <c r="W1429" i="114"/>
  <c r="W1430" i="114"/>
  <c r="W1431" i="114"/>
  <c r="W1432" i="114"/>
  <c r="W1433" i="114"/>
  <c r="W1434" i="114"/>
  <c r="W1435" i="114"/>
  <c r="W1436" i="114"/>
  <c r="W1437" i="114"/>
  <c r="W1438" i="114"/>
  <c r="W1439" i="114"/>
  <c r="W1440" i="114"/>
  <c r="W1441" i="114"/>
  <c r="W1442" i="114"/>
  <c r="W1443" i="114"/>
  <c r="W1444" i="114"/>
  <c r="W1445" i="114"/>
  <c r="W1446" i="114"/>
  <c r="W1447" i="114"/>
  <c r="W1448" i="114"/>
  <c r="W1449" i="114"/>
  <c r="W1450" i="114"/>
  <c r="W1451" i="114"/>
  <c r="W1452" i="114"/>
  <c r="W1453" i="114"/>
  <c r="W1454" i="114"/>
  <c r="W1455" i="114"/>
  <c r="W1456" i="114"/>
  <c r="W1457" i="114"/>
  <c r="W1458" i="114"/>
  <c r="W1459" i="114"/>
  <c r="W1460" i="114"/>
  <c r="W1461" i="114"/>
  <c r="W1462" i="114"/>
  <c r="W1463" i="114"/>
  <c r="W1464" i="114"/>
  <c r="W1465" i="114"/>
  <c r="W1466" i="114"/>
  <c r="W1467" i="114"/>
  <c r="W1468" i="114"/>
  <c r="W1469" i="114"/>
  <c r="W1470" i="114"/>
  <c r="W1471" i="114"/>
  <c r="W1472" i="114"/>
  <c r="W1473" i="114"/>
  <c r="W1474" i="114"/>
  <c r="W1475" i="114"/>
  <c r="W1476" i="114"/>
  <c r="W1477" i="114"/>
  <c r="W1478" i="114"/>
  <c r="W1479" i="114"/>
  <c r="W1480" i="114"/>
  <c r="W1481" i="114"/>
  <c r="W1482" i="114"/>
  <c r="W1483" i="114"/>
  <c r="W1484" i="114"/>
  <c r="W1485" i="114"/>
  <c r="W1486" i="114"/>
  <c r="W1487" i="114"/>
  <c r="W1488" i="114"/>
  <c r="W1489" i="114"/>
  <c r="W1490" i="114"/>
  <c r="W1491" i="114"/>
  <c r="W1492" i="114"/>
  <c r="W1493" i="114"/>
  <c r="W1494" i="114"/>
  <c r="W1495" i="114"/>
  <c r="W1496" i="114"/>
  <c r="W1497" i="114"/>
  <c r="W1498" i="114"/>
  <c r="W1499" i="114"/>
  <c r="W1500" i="114"/>
  <c r="W1501" i="114"/>
  <c r="W1502" i="114"/>
  <c r="W1503" i="114"/>
  <c r="W1504" i="114"/>
  <c r="W1505" i="114"/>
  <c r="W1506" i="114"/>
  <c r="W1507" i="114"/>
  <c r="W1508" i="114"/>
  <c r="W1509" i="114"/>
  <c r="W1510" i="114"/>
  <c r="W1511" i="114"/>
  <c r="W1512" i="114"/>
  <c r="W1513" i="114"/>
  <c r="W1514" i="114"/>
  <c r="W1515" i="114"/>
  <c r="W1516" i="114"/>
  <c r="W1517" i="114"/>
  <c r="W1518" i="114"/>
  <c r="W1519" i="114"/>
  <c r="W1520" i="114"/>
  <c r="W1521" i="114"/>
  <c r="W1522" i="114"/>
  <c r="W1523" i="114"/>
  <c r="W1524" i="114"/>
  <c r="W1525" i="114"/>
  <c r="W1526" i="114"/>
  <c r="W1527" i="114"/>
  <c r="W1528" i="114"/>
  <c r="W1529" i="114"/>
  <c r="W1530" i="114"/>
  <c r="W1531" i="114"/>
  <c r="W1532" i="114"/>
  <c r="W1533" i="114"/>
  <c r="W1534" i="114"/>
  <c r="W1535" i="114"/>
  <c r="W1536" i="114"/>
  <c r="W1537" i="114"/>
  <c r="W1538" i="114"/>
  <c r="W1539" i="114"/>
  <c r="W1540" i="114"/>
  <c r="W1541" i="114"/>
  <c r="W1542" i="114"/>
  <c r="W1543" i="114"/>
  <c r="W1544" i="114"/>
  <c r="W1545" i="114"/>
  <c r="W1546" i="114"/>
  <c r="W1547" i="114"/>
  <c r="W1548" i="114"/>
  <c r="W1549" i="114"/>
  <c r="W1550" i="114"/>
  <c r="W1551" i="114"/>
  <c r="W1552" i="114"/>
  <c r="W1553" i="114"/>
  <c r="W1554" i="114"/>
  <c r="W1555" i="114"/>
  <c r="W1556" i="114"/>
  <c r="W1557" i="114"/>
  <c r="W1558" i="114"/>
  <c r="W1559" i="114"/>
  <c r="W1560" i="114"/>
  <c r="W1561" i="114"/>
  <c r="W1562" i="114"/>
  <c r="W1563" i="114"/>
  <c r="W1564" i="114"/>
  <c r="W1565" i="114"/>
  <c r="W1566" i="114"/>
  <c r="W1567" i="114"/>
  <c r="W1568" i="114"/>
  <c r="W1569" i="114"/>
  <c r="W1570" i="114"/>
  <c r="W1571" i="114"/>
  <c r="W1572" i="114"/>
  <c r="W1573" i="114"/>
  <c r="W1574" i="114"/>
  <c r="W1575" i="114"/>
  <c r="W1576" i="114"/>
  <c r="W1577" i="114"/>
  <c r="W1578" i="114"/>
  <c r="W1579" i="114"/>
  <c r="W1580" i="114"/>
  <c r="W1581" i="114"/>
  <c r="W1582" i="114"/>
  <c r="W1583" i="114"/>
  <c r="W1584" i="114"/>
  <c r="W1585" i="114"/>
  <c r="W1586" i="114"/>
  <c r="W1587" i="114"/>
  <c r="W1588" i="114"/>
  <c r="W1589" i="114"/>
  <c r="W1590" i="114"/>
  <c r="W1591" i="114"/>
  <c r="W1592" i="114"/>
  <c r="W1593" i="114"/>
  <c r="W1594" i="114"/>
  <c r="W1595" i="114"/>
  <c r="W1596" i="114"/>
  <c r="W1597" i="114"/>
  <c r="W1598" i="114"/>
  <c r="W1599" i="114"/>
  <c r="W1600" i="114"/>
  <c r="W1601" i="114"/>
  <c r="W1602" i="114"/>
  <c r="W1603" i="114"/>
  <c r="W1604" i="114"/>
  <c r="W1605" i="114"/>
  <c r="W1606" i="114"/>
  <c r="W1607" i="114"/>
  <c r="W1608" i="114"/>
  <c r="W1609" i="114"/>
  <c r="W1610" i="114"/>
  <c r="W1611" i="114"/>
  <c r="W1612" i="114"/>
  <c r="W1613" i="114"/>
  <c r="W1614" i="114"/>
  <c r="W1615" i="114"/>
  <c r="W1616" i="114"/>
  <c r="W1617" i="114"/>
  <c r="W1618" i="114"/>
  <c r="W1619" i="114"/>
  <c r="W1620" i="114"/>
  <c r="W1621" i="114"/>
  <c r="W1622" i="114"/>
  <c r="W1623" i="114"/>
  <c r="W1624" i="114"/>
  <c r="W1625" i="114"/>
  <c r="W1626" i="114"/>
  <c r="W1627" i="114"/>
  <c r="W1628" i="114"/>
  <c r="W1629" i="114"/>
  <c r="W1630" i="114"/>
  <c r="W1631" i="114"/>
  <c r="W1632" i="114"/>
  <c r="W1633" i="114"/>
  <c r="W1634" i="114"/>
  <c r="W1635" i="114"/>
  <c r="W1636" i="114"/>
  <c r="W1637" i="114"/>
  <c r="W1638" i="114"/>
  <c r="W1639" i="114"/>
  <c r="W1640" i="114"/>
  <c r="W1641" i="114"/>
  <c r="W1642" i="114"/>
  <c r="W1643" i="114"/>
  <c r="W1644" i="114"/>
  <c r="W1645" i="114"/>
  <c r="W1646" i="114"/>
  <c r="W1647" i="114"/>
  <c r="W1648" i="114"/>
  <c r="W1649" i="114"/>
  <c r="W1650" i="114"/>
  <c r="W1651" i="114"/>
  <c r="W1652" i="114"/>
  <c r="W1653" i="114"/>
  <c r="W1654" i="114"/>
  <c r="W1655" i="114"/>
  <c r="W1656" i="114"/>
  <c r="W1657" i="114"/>
  <c r="W1658" i="114"/>
  <c r="W1659" i="114"/>
  <c r="W1660" i="114"/>
  <c r="W1661" i="114"/>
  <c r="W1662" i="114"/>
  <c r="W1663" i="114"/>
  <c r="W1664" i="114"/>
  <c r="W1665" i="114"/>
  <c r="W1666" i="114"/>
  <c r="W1667" i="114"/>
  <c r="W1668" i="114"/>
  <c r="W1669" i="114"/>
  <c r="W1670" i="114"/>
  <c r="W1671" i="114"/>
  <c r="W1672" i="114"/>
  <c r="W1673" i="114"/>
  <c r="W1674" i="114"/>
  <c r="W1675" i="114"/>
  <c r="W1676" i="114"/>
  <c r="W1677" i="114"/>
  <c r="W1678" i="114"/>
  <c r="W1679" i="114"/>
  <c r="W1680" i="114"/>
  <c r="W1681" i="114"/>
  <c r="W1682" i="114"/>
  <c r="W1683" i="114"/>
  <c r="W1684" i="114"/>
  <c r="W1685" i="114"/>
  <c r="W1686" i="114"/>
  <c r="W1687" i="114"/>
  <c r="W1688" i="114"/>
  <c r="W1689" i="114"/>
  <c r="W1690" i="114"/>
  <c r="W1691" i="114"/>
  <c r="W1692" i="114"/>
  <c r="W1693" i="114"/>
  <c r="W1694" i="114"/>
  <c r="W1695" i="114"/>
  <c r="W1696" i="114"/>
  <c r="W1697" i="114"/>
  <c r="W1698" i="114"/>
  <c r="W1699" i="114"/>
  <c r="W1700" i="114"/>
  <c r="W1701" i="114"/>
  <c r="W1702" i="114"/>
  <c r="W1703" i="114"/>
  <c r="W1704" i="114"/>
  <c r="W1705" i="114"/>
  <c r="W1706" i="114"/>
  <c r="W1707" i="114"/>
  <c r="W1708" i="114"/>
  <c r="W1709" i="114"/>
  <c r="W1710" i="114"/>
  <c r="W1711" i="114"/>
  <c r="W1712" i="114"/>
  <c r="W1713" i="114"/>
  <c r="W1714" i="114"/>
  <c r="W1715" i="114"/>
  <c r="W1716" i="114"/>
  <c r="W1717" i="114"/>
  <c r="W1718" i="114"/>
  <c r="W1719" i="114"/>
  <c r="W1720" i="114"/>
  <c r="W1721" i="114"/>
  <c r="W1722" i="114"/>
  <c r="W1723" i="114"/>
  <c r="W1724" i="114"/>
  <c r="W1725" i="114"/>
  <c r="W1726" i="114"/>
  <c r="W1727" i="114"/>
  <c r="W1728" i="114"/>
  <c r="W1729" i="114"/>
  <c r="W1730" i="114"/>
  <c r="W1731" i="114"/>
  <c r="W1732" i="114"/>
  <c r="W1733" i="114"/>
  <c r="W1734" i="114"/>
  <c r="W1735" i="114"/>
  <c r="W1736" i="114"/>
  <c r="W1737" i="114"/>
  <c r="W1738" i="114"/>
  <c r="W1739" i="114"/>
  <c r="W1740" i="114"/>
  <c r="W1741" i="114"/>
  <c r="W1742" i="114"/>
  <c r="W1743" i="114"/>
  <c r="W1744" i="114"/>
  <c r="W1745" i="114"/>
  <c r="W1746" i="114"/>
  <c r="W1747" i="114"/>
  <c r="W1748" i="114"/>
  <c r="W1749" i="114"/>
  <c r="W1750" i="114"/>
  <c r="W1751" i="114"/>
  <c r="W1752" i="114"/>
  <c r="W1753" i="114"/>
  <c r="W1754" i="114"/>
  <c r="W1755" i="114"/>
  <c r="W1756" i="114"/>
  <c r="W1757" i="114"/>
  <c r="W1758" i="114"/>
  <c r="W1759" i="114"/>
  <c r="W1760" i="114"/>
  <c r="W1761" i="114"/>
  <c r="W1762" i="114"/>
  <c r="W1763" i="114"/>
  <c r="W1764" i="114"/>
  <c r="W1765" i="114"/>
  <c r="W1766" i="114"/>
  <c r="W1767" i="114"/>
  <c r="W1768" i="114"/>
  <c r="W1769" i="114"/>
  <c r="W1770" i="114"/>
  <c r="W1771" i="114"/>
  <c r="W1772" i="114"/>
  <c r="W1773" i="114"/>
  <c r="W1774" i="114"/>
  <c r="W1775" i="114"/>
  <c r="W1776" i="114"/>
  <c r="W1777" i="114"/>
  <c r="W1778" i="114"/>
  <c r="W1779" i="114"/>
  <c r="W1780" i="114"/>
  <c r="W1781" i="114"/>
  <c r="W1782" i="114"/>
  <c r="W1783" i="114"/>
  <c r="W1784" i="114"/>
  <c r="W1785" i="114"/>
  <c r="W1786" i="114"/>
  <c r="W1787" i="114"/>
  <c r="W1788" i="114"/>
  <c r="W1789" i="114"/>
  <c r="W1790" i="114"/>
  <c r="W1791" i="114"/>
  <c r="W1792" i="114"/>
  <c r="W1793" i="114"/>
  <c r="W1794" i="114"/>
  <c r="W1795" i="114"/>
  <c r="W1796" i="114"/>
  <c r="W1797" i="114"/>
  <c r="W1798" i="114"/>
  <c r="W1799" i="114"/>
  <c r="W1800" i="114"/>
  <c r="W1801" i="114"/>
  <c r="W1802" i="114"/>
  <c r="W1803" i="114"/>
  <c r="W1804" i="114"/>
  <c r="W1805" i="114"/>
  <c r="W1806" i="114"/>
  <c r="W1807" i="114"/>
  <c r="W1808" i="114"/>
  <c r="W1809" i="114"/>
  <c r="W1810" i="114"/>
  <c r="W1811" i="114"/>
  <c r="W1812" i="114"/>
  <c r="W1813" i="114"/>
  <c r="W1814" i="114"/>
  <c r="W1815" i="114"/>
  <c r="W1816" i="114"/>
  <c r="W1817" i="114"/>
  <c r="W1818" i="114"/>
  <c r="W1819" i="114"/>
  <c r="W1820" i="114"/>
  <c r="W1821" i="114"/>
  <c r="W1822" i="114"/>
  <c r="W1823" i="114"/>
  <c r="W1824" i="114"/>
  <c r="W1825" i="114"/>
  <c r="W1826" i="114"/>
  <c r="W1827" i="114"/>
  <c r="W1828" i="114"/>
  <c r="W1829" i="114"/>
  <c r="W1830" i="114"/>
  <c r="W1831" i="114"/>
  <c r="W1832" i="114"/>
  <c r="W1833" i="114"/>
  <c r="W1834" i="114"/>
  <c r="W1835" i="114"/>
  <c r="W1836" i="114"/>
  <c r="W1837" i="114"/>
  <c r="W1838" i="114"/>
  <c r="W1839" i="114"/>
  <c r="W1840" i="114"/>
  <c r="W1841" i="114"/>
  <c r="W1842" i="114"/>
  <c r="W1843" i="114"/>
  <c r="W1844" i="114"/>
  <c r="W1845" i="114"/>
  <c r="W1846" i="114"/>
  <c r="W1847" i="114"/>
  <c r="W1848" i="114"/>
  <c r="W1849" i="114"/>
  <c r="W1850" i="114"/>
  <c r="W1851" i="114"/>
  <c r="W1852" i="114"/>
  <c r="W1853" i="114"/>
  <c r="W1854" i="114"/>
  <c r="W1855" i="114"/>
  <c r="W1856" i="114"/>
  <c r="W1857" i="114"/>
  <c r="W1858" i="114"/>
  <c r="W1859" i="114"/>
  <c r="W1860" i="114"/>
  <c r="W1861" i="114"/>
  <c r="W1862" i="114"/>
  <c r="W1863" i="114"/>
  <c r="W1864" i="114"/>
  <c r="W1865" i="114"/>
  <c r="W1866" i="114"/>
  <c r="W1867" i="114"/>
  <c r="W1868" i="114"/>
  <c r="W1869" i="114"/>
  <c r="W1870" i="114"/>
  <c r="W1871" i="114"/>
  <c r="W1872" i="114"/>
  <c r="W1873" i="114"/>
  <c r="W1874" i="114"/>
  <c r="W1875" i="114"/>
  <c r="W1876" i="114"/>
  <c r="W1877" i="114"/>
  <c r="W1878" i="114"/>
  <c r="W1879" i="114"/>
  <c r="W1880" i="114"/>
  <c r="W1881" i="114"/>
  <c r="W1882" i="114"/>
  <c r="W1883" i="114"/>
  <c r="W1884" i="114"/>
  <c r="W1885" i="114"/>
  <c r="W1886" i="114"/>
  <c r="W1887" i="114"/>
  <c r="W1888" i="114"/>
  <c r="W1889" i="114"/>
  <c r="W1890" i="114"/>
  <c r="W1891" i="114"/>
  <c r="W1892" i="114"/>
  <c r="W1893" i="114"/>
  <c r="W1894" i="114"/>
  <c r="W1895" i="114"/>
  <c r="W1896" i="114"/>
  <c r="W1897" i="114"/>
  <c r="W1898" i="114"/>
  <c r="W1899" i="114"/>
  <c r="W1900" i="114"/>
  <c r="W1901" i="114"/>
  <c r="W1902" i="114"/>
  <c r="W1903" i="114"/>
  <c r="W1904" i="114"/>
  <c r="W1905" i="114"/>
  <c r="W1906" i="114"/>
  <c r="W1907" i="114"/>
  <c r="W1908" i="114"/>
  <c r="W1909" i="114"/>
  <c r="W1910" i="114"/>
  <c r="W1911" i="114"/>
  <c r="W1912" i="114"/>
  <c r="W1913" i="114"/>
  <c r="W1914" i="114"/>
  <c r="W1915" i="114"/>
  <c r="W1916" i="114"/>
  <c r="W1917" i="114"/>
  <c r="W1918" i="114"/>
  <c r="W1919" i="114"/>
  <c r="W1920" i="114"/>
  <c r="W1921" i="114"/>
  <c r="W1922" i="114"/>
  <c r="W1923" i="114"/>
  <c r="W1924" i="114"/>
  <c r="W1925" i="114"/>
  <c r="W1926" i="114"/>
  <c r="W1927" i="114"/>
  <c r="W1928" i="114"/>
  <c r="W1929" i="114"/>
  <c r="W1930" i="114"/>
  <c r="W1931" i="114"/>
  <c r="W1932" i="114"/>
  <c r="W1933" i="114"/>
  <c r="W1934" i="114"/>
  <c r="W1935" i="114"/>
  <c r="W1936" i="114"/>
  <c r="W1937" i="114"/>
  <c r="W1938" i="114"/>
  <c r="W1939" i="114"/>
  <c r="W1940" i="114"/>
  <c r="W1941" i="114"/>
  <c r="W1942" i="114"/>
  <c r="W1943" i="114"/>
  <c r="W1944" i="114"/>
  <c r="W1945" i="114"/>
  <c r="W1946" i="114"/>
  <c r="W1947" i="114"/>
  <c r="W1948" i="114"/>
  <c r="W1949" i="114"/>
  <c r="W1950" i="114"/>
  <c r="W1951" i="114"/>
  <c r="W1952" i="114"/>
  <c r="W1953" i="114"/>
  <c r="W1954" i="114"/>
  <c r="W1955" i="114"/>
  <c r="W1956" i="114"/>
  <c r="W1957" i="114"/>
  <c r="W1958" i="114"/>
  <c r="W1959" i="114"/>
  <c r="W1960" i="114"/>
  <c r="W1961" i="114"/>
  <c r="W1962" i="114"/>
  <c r="W1963" i="114"/>
  <c r="W1964" i="114"/>
  <c r="W1965" i="114"/>
  <c r="W1966" i="114"/>
  <c r="W1967" i="114"/>
  <c r="W1968" i="114"/>
  <c r="W1969" i="114"/>
  <c r="W1970" i="114"/>
  <c r="W1971" i="114"/>
  <c r="W1972" i="114"/>
  <c r="W1973" i="114"/>
  <c r="W1974" i="114"/>
  <c r="W1975" i="114"/>
  <c r="W1976" i="114"/>
  <c r="W1977" i="114"/>
  <c r="W1978" i="114"/>
  <c r="W1979" i="114"/>
  <c r="W1980" i="114"/>
  <c r="W1981" i="114"/>
  <c r="W1982" i="114"/>
  <c r="W1983" i="114"/>
  <c r="W1984" i="114"/>
  <c r="W1985" i="114"/>
  <c r="W1986" i="114"/>
  <c r="W1987" i="114"/>
  <c r="W1988" i="114"/>
  <c r="W1989" i="114"/>
  <c r="W1990" i="114"/>
  <c r="W1991" i="114"/>
  <c r="W1992" i="114"/>
  <c r="W1993" i="114"/>
  <c r="W1994" i="114"/>
  <c r="W1995" i="114"/>
  <c r="W1996" i="114"/>
  <c r="W1997" i="114"/>
  <c r="W1998" i="114"/>
  <c r="W1999" i="114"/>
  <c r="W2000" i="114"/>
  <c r="W2001" i="114"/>
  <c r="W2002" i="114"/>
  <c r="W2003" i="114"/>
  <c r="W2004" i="114"/>
  <c r="W2005" i="114"/>
  <c r="W2006" i="114"/>
  <c r="W2007" i="114"/>
  <c r="W2008" i="114"/>
  <c r="W2009" i="114"/>
  <c r="W2010" i="114"/>
  <c r="W2011" i="114"/>
  <c r="W2012" i="114"/>
  <c r="W2013" i="114"/>
  <c r="W2014" i="114"/>
  <c r="W2015" i="114"/>
  <c r="W2016" i="114"/>
  <c r="W2017" i="114"/>
  <c r="W2018" i="114"/>
  <c r="W2019" i="114"/>
  <c r="W2020" i="114"/>
  <c r="W2021" i="114"/>
  <c r="W2022" i="114"/>
  <c r="W2023" i="114"/>
  <c r="W2024" i="114"/>
  <c r="W2025" i="114"/>
  <c r="W2026" i="114"/>
  <c r="W2027" i="114"/>
  <c r="W2028" i="114"/>
  <c r="W2029" i="114"/>
  <c r="W2030" i="114"/>
  <c r="W2031" i="114"/>
  <c r="W2032" i="114"/>
  <c r="W2033" i="114"/>
  <c r="W2034" i="114"/>
  <c r="W2035" i="114"/>
  <c r="W2036" i="114"/>
  <c r="W2037" i="114"/>
  <c r="W2038" i="114"/>
  <c r="W2039" i="114"/>
  <c r="W2040" i="114"/>
  <c r="W2041" i="114"/>
  <c r="W2042" i="114"/>
  <c r="W2043" i="114"/>
  <c r="W2044" i="114"/>
  <c r="W2045" i="114"/>
  <c r="W2046" i="114"/>
  <c r="W2047" i="114"/>
  <c r="W2048" i="114"/>
  <c r="W2049" i="114"/>
  <c r="W2050" i="114"/>
  <c r="W2051" i="114"/>
  <c r="W2052" i="114"/>
  <c r="W2053" i="114"/>
  <c r="W2054" i="114"/>
  <c r="W2055" i="114"/>
  <c r="W2056" i="114"/>
  <c r="W2057" i="114"/>
  <c r="W2058" i="114"/>
  <c r="W2059" i="114"/>
  <c r="W2060" i="114"/>
  <c r="W2061" i="114"/>
  <c r="W2062" i="114"/>
  <c r="W2063" i="114"/>
  <c r="W2064" i="114"/>
  <c r="W2065" i="114"/>
  <c r="W2066" i="114"/>
  <c r="W2067" i="114"/>
  <c r="W2068" i="114"/>
  <c r="W2069" i="114"/>
  <c r="W2070" i="114"/>
  <c r="W2071" i="114"/>
  <c r="W2072" i="114"/>
  <c r="W2073" i="114"/>
  <c r="W2074" i="114"/>
  <c r="W2075" i="114"/>
  <c r="W2076" i="114"/>
  <c r="W2077" i="114"/>
  <c r="W2078" i="114"/>
  <c r="W2079" i="114"/>
  <c r="W2080" i="114"/>
  <c r="W2081" i="114"/>
  <c r="W2082" i="114"/>
  <c r="W2083" i="114"/>
  <c r="W2084" i="114"/>
  <c r="W2085" i="114"/>
  <c r="W2086" i="114"/>
  <c r="W2087" i="114"/>
  <c r="W2088" i="114"/>
  <c r="W2089" i="114"/>
  <c r="W2090" i="114"/>
  <c r="W2091" i="114"/>
  <c r="W2092" i="114"/>
  <c r="W2093" i="114"/>
  <c r="W2094" i="114"/>
  <c r="W2095" i="114"/>
  <c r="W2096" i="114"/>
  <c r="W2097" i="114"/>
  <c r="W2098" i="114"/>
  <c r="W2099" i="114"/>
  <c r="W2100" i="114"/>
  <c r="W2101" i="114"/>
  <c r="W2102" i="114"/>
  <c r="W2103" i="114"/>
  <c r="W2104" i="114"/>
  <c r="W2105" i="114"/>
  <c r="W2106" i="114"/>
  <c r="W2107" i="114"/>
  <c r="W2108" i="114"/>
  <c r="W2109" i="114"/>
  <c r="W2110" i="114"/>
  <c r="W2111" i="114"/>
  <c r="W2112" i="114"/>
  <c r="W2113" i="114"/>
  <c r="W2114" i="114"/>
  <c r="W2115" i="114"/>
  <c r="W2116" i="114"/>
  <c r="W2117" i="114"/>
  <c r="W2118" i="114"/>
  <c r="W2119" i="114"/>
  <c r="W2120" i="114"/>
  <c r="W2121" i="114"/>
  <c r="W2122" i="114"/>
  <c r="W2123" i="114"/>
  <c r="W2124" i="114"/>
  <c r="W2125" i="114"/>
  <c r="W2126" i="114"/>
  <c r="W2127" i="114"/>
  <c r="W2128" i="114"/>
  <c r="W2129" i="114"/>
  <c r="W2130" i="114"/>
  <c r="W2131" i="114"/>
  <c r="W2132" i="114"/>
  <c r="W2133" i="114"/>
  <c r="W2134" i="114"/>
  <c r="W2135" i="114"/>
  <c r="W2136" i="114"/>
  <c r="W2137" i="114"/>
  <c r="W2138" i="114"/>
  <c r="W2139" i="114"/>
  <c r="W2140" i="114"/>
  <c r="W2141" i="114"/>
  <c r="W2142" i="114"/>
  <c r="W2143" i="114"/>
  <c r="W2144" i="114"/>
  <c r="W2145" i="114"/>
  <c r="W2146" i="114"/>
  <c r="W2147" i="114"/>
  <c r="W2148" i="114"/>
  <c r="W2149" i="114"/>
  <c r="W2150" i="114"/>
  <c r="W2151" i="114"/>
  <c r="W2152" i="114"/>
  <c r="W2153" i="114"/>
  <c r="W2154" i="114"/>
  <c r="W2155" i="114"/>
  <c r="W2156" i="114"/>
  <c r="W2157" i="114"/>
  <c r="W2158" i="114"/>
  <c r="W2159" i="114"/>
  <c r="W2160" i="114"/>
  <c r="W2161" i="114"/>
  <c r="W2162" i="114"/>
  <c r="W2163" i="114"/>
  <c r="W2164" i="114"/>
  <c r="W2165" i="114"/>
  <c r="W2166" i="114"/>
  <c r="W2167" i="114"/>
  <c r="W2168" i="114"/>
  <c r="W2169" i="114"/>
  <c r="W2170" i="114"/>
  <c r="W2171" i="114"/>
  <c r="W2172" i="114"/>
  <c r="W2173" i="114"/>
  <c r="W2174" i="114"/>
  <c r="W2175" i="114"/>
  <c r="W2176" i="114"/>
  <c r="W2177" i="114"/>
  <c r="W2178" i="114"/>
  <c r="W2179" i="114"/>
  <c r="W2180" i="114"/>
  <c r="W2181" i="114"/>
  <c r="W2182" i="114"/>
  <c r="W2183" i="114"/>
  <c r="W2184" i="114"/>
  <c r="W2185" i="114"/>
  <c r="W2186" i="114"/>
  <c r="W2187" i="114"/>
  <c r="W2188" i="114"/>
  <c r="W2189" i="114"/>
  <c r="W2190" i="114"/>
  <c r="W2191" i="114"/>
  <c r="W2192" i="114"/>
  <c r="W2193" i="114"/>
  <c r="W2194" i="114"/>
  <c r="W2195" i="114"/>
  <c r="W2196" i="114"/>
  <c r="W2197" i="114"/>
  <c r="W2198" i="114"/>
  <c r="W2199" i="114"/>
  <c r="W2200" i="114"/>
  <c r="W2201" i="114"/>
  <c r="W2202" i="114"/>
  <c r="W2203" i="114"/>
  <c r="W2204" i="114"/>
  <c r="W2205" i="114"/>
  <c r="W2206" i="114"/>
  <c r="W2207" i="114"/>
  <c r="W2208" i="114"/>
  <c r="W2209" i="114"/>
  <c r="W2210" i="114"/>
  <c r="W2211" i="114"/>
  <c r="W2212" i="114"/>
  <c r="W2213" i="114"/>
  <c r="W2214" i="114"/>
  <c r="W2215" i="114"/>
  <c r="W2216" i="114"/>
  <c r="W2217" i="114"/>
  <c r="W2218" i="114"/>
  <c r="W2219" i="114"/>
  <c r="W2220" i="114"/>
  <c r="W2221" i="114"/>
  <c r="W2222" i="114"/>
  <c r="W2223" i="114"/>
  <c r="W2224" i="114"/>
  <c r="W2225" i="114"/>
  <c r="W2226" i="114"/>
  <c r="W2227" i="114"/>
  <c r="W2228" i="114"/>
  <c r="W2229" i="114"/>
  <c r="W2230" i="114"/>
  <c r="W2231" i="114"/>
  <c r="W2232" i="114"/>
  <c r="W2233" i="114"/>
  <c r="W2234" i="114"/>
  <c r="W2235" i="114"/>
  <c r="W2236" i="114"/>
  <c r="W2237" i="114"/>
  <c r="W2238" i="114"/>
  <c r="W2239" i="114"/>
  <c r="W2240" i="114"/>
  <c r="W2241" i="114"/>
  <c r="W2242" i="114"/>
  <c r="W2243" i="114"/>
  <c r="W2244" i="114"/>
  <c r="W2245" i="114"/>
  <c r="W2246" i="114"/>
  <c r="W2247" i="114"/>
  <c r="W2248" i="114"/>
  <c r="W2249" i="114"/>
  <c r="W2250" i="114"/>
  <c r="W2251" i="114"/>
  <c r="W2252" i="114"/>
  <c r="W2253" i="114"/>
  <c r="W2254" i="114"/>
  <c r="W2255" i="114"/>
  <c r="W2256" i="114"/>
  <c r="W2257" i="114"/>
  <c r="W2258" i="114"/>
  <c r="W2259" i="114"/>
  <c r="W2260" i="114"/>
  <c r="W2261" i="114"/>
  <c r="W2262" i="114"/>
  <c r="W2263" i="114"/>
  <c r="W2264" i="114"/>
  <c r="W2265" i="114"/>
  <c r="W2266" i="114"/>
  <c r="W2267" i="114"/>
  <c r="W2268" i="114"/>
  <c r="W2269" i="114"/>
  <c r="W2270" i="114"/>
  <c r="W2271" i="114"/>
  <c r="W2272" i="114"/>
  <c r="W2273" i="114"/>
  <c r="W2274" i="114"/>
  <c r="W2275" i="114"/>
  <c r="W2276" i="114"/>
  <c r="W2277" i="114"/>
  <c r="W2278" i="114"/>
  <c r="W2279" i="114"/>
  <c r="W2280" i="114"/>
  <c r="W2281" i="114"/>
  <c r="W2282" i="114"/>
  <c r="W2283" i="114"/>
  <c r="W2284" i="114"/>
  <c r="W2285" i="114"/>
  <c r="W2286" i="114"/>
  <c r="W2287" i="114"/>
  <c r="W2288" i="114"/>
  <c r="W2289" i="114"/>
  <c r="W2290" i="114"/>
  <c r="W2291" i="114"/>
  <c r="W2292" i="114"/>
  <c r="W2293" i="114"/>
  <c r="W2294" i="114"/>
  <c r="W2295" i="114"/>
  <c r="W2296" i="114"/>
  <c r="W2297" i="114"/>
  <c r="W2298" i="114"/>
  <c r="W2299" i="114"/>
  <c r="W2300" i="114"/>
  <c r="W2301" i="114"/>
  <c r="W2302" i="114"/>
  <c r="W2303" i="114"/>
  <c r="W2304" i="114"/>
  <c r="W2305" i="114"/>
  <c r="W2306" i="114"/>
  <c r="W2307" i="114"/>
  <c r="W2308" i="114"/>
  <c r="W2309" i="114"/>
  <c r="W2310" i="114"/>
  <c r="W2311" i="114"/>
  <c r="W2312" i="114"/>
  <c r="W2313" i="114"/>
  <c r="W2314" i="114"/>
  <c r="W2315" i="114"/>
  <c r="W2316" i="114"/>
  <c r="W2317" i="114"/>
  <c r="W2318" i="114"/>
  <c r="W2319" i="114"/>
  <c r="W2320" i="114"/>
  <c r="W2321" i="114"/>
  <c r="W2322" i="114"/>
  <c r="W2323" i="114"/>
  <c r="W2324" i="114"/>
  <c r="W2325" i="114"/>
  <c r="W2326" i="114"/>
  <c r="W2327" i="114"/>
  <c r="W2328" i="114"/>
  <c r="W2329" i="114"/>
  <c r="W2330" i="114"/>
  <c r="W2331" i="114"/>
  <c r="W2332" i="114"/>
  <c r="W2333" i="114"/>
  <c r="W2334" i="114"/>
  <c r="W2335" i="114"/>
  <c r="W2336" i="114"/>
  <c r="W2337" i="114"/>
  <c r="W2338" i="114"/>
  <c r="W2339" i="114"/>
  <c r="W2340" i="114"/>
  <c r="W2341" i="114"/>
  <c r="W2342" i="114"/>
  <c r="W2343" i="114"/>
  <c r="W2344" i="114"/>
  <c r="W2345" i="114"/>
  <c r="W2346" i="114"/>
  <c r="W2347" i="114"/>
  <c r="W2348" i="114"/>
  <c r="W2349" i="114"/>
  <c r="W2350" i="114"/>
  <c r="W2351" i="114"/>
  <c r="W2352" i="114"/>
  <c r="W2353" i="114"/>
  <c r="W2354" i="114"/>
  <c r="W2355" i="114"/>
  <c r="W2356" i="114"/>
  <c r="W2357" i="114"/>
  <c r="W2358" i="114"/>
  <c r="W2359" i="114"/>
  <c r="W2360" i="114"/>
  <c r="W2361" i="114"/>
  <c r="W2362" i="114"/>
  <c r="W2363" i="114"/>
  <c r="W2364" i="114"/>
  <c r="W2365" i="114"/>
  <c r="W2366" i="114"/>
  <c r="W2367" i="114"/>
  <c r="W2368" i="114"/>
  <c r="W2369" i="114"/>
  <c r="W2370" i="114"/>
  <c r="W2371" i="114"/>
  <c r="W2372" i="114"/>
  <c r="W2373" i="114"/>
  <c r="W2374" i="114"/>
  <c r="W2375" i="114"/>
  <c r="W2376" i="114"/>
  <c r="W2377" i="114"/>
  <c r="W2378" i="114"/>
  <c r="W2379" i="114"/>
  <c r="W2380" i="114"/>
  <c r="W2381" i="114"/>
  <c r="W2382" i="114"/>
  <c r="W2383" i="114"/>
  <c r="W2384" i="114"/>
  <c r="W2385" i="114"/>
  <c r="W2386" i="114"/>
  <c r="W2387" i="114"/>
  <c r="W2388" i="114"/>
  <c r="W2389" i="114"/>
  <c r="W2390" i="114"/>
  <c r="W2391" i="114"/>
  <c r="W2392" i="114"/>
  <c r="W2393" i="114"/>
  <c r="W2394" i="114"/>
  <c r="W2395" i="114"/>
  <c r="W2396" i="114"/>
  <c r="W2397" i="114"/>
  <c r="W2398" i="114"/>
  <c r="W2399" i="114"/>
  <c r="W2400" i="114"/>
  <c r="W2401" i="114"/>
  <c r="W2402" i="114"/>
  <c r="W2403" i="114"/>
  <c r="W2404" i="114"/>
  <c r="W2405" i="114"/>
  <c r="W2406" i="114"/>
  <c r="W2407" i="114"/>
  <c r="W2408" i="114"/>
  <c r="W2409" i="114"/>
  <c r="W2410" i="114"/>
  <c r="W2411" i="114"/>
  <c r="W2412" i="114"/>
  <c r="W2413" i="114"/>
  <c r="W2414" i="114"/>
  <c r="W2415" i="114"/>
  <c r="W2416" i="114"/>
  <c r="W2417" i="114"/>
  <c r="W2418" i="114"/>
  <c r="W2419" i="114"/>
  <c r="W2420" i="114"/>
  <c r="W2421" i="114"/>
  <c r="W2422" i="114"/>
  <c r="W2423" i="114"/>
  <c r="W2424" i="114"/>
  <c r="W2425" i="114"/>
  <c r="W2426" i="114"/>
  <c r="W2427" i="114"/>
  <c r="W2428" i="114"/>
  <c r="W2429" i="114"/>
  <c r="W2430" i="114"/>
  <c r="W2431" i="114"/>
  <c r="W2432" i="114"/>
  <c r="W2433" i="114"/>
  <c r="W2434" i="114"/>
  <c r="W2435" i="114"/>
  <c r="W2436" i="114"/>
  <c r="W2437" i="114"/>
  <c r="W2438" i="114"/>
  <c r="W2439" i="114"/>
  <c r="W2440" i="114"/>
  <c r="W2441" i="114"/>
  <c r="W2442" i="114"/>
  <c r="W2443" i="114"/>
  <c r="W2444" i="114"/>
  <c r="W2445" i="114"/>
  <c r="W2446" i="114"/>
  <c r="W2447" i="114"/>
  <c r="W2448" i="114"/>
  <c r="W2449" i="114"/>
  <c r="W2450" i="114"/>
  <c r="W2451" i="114"/>
  <c r="W2452" i="114"/>
  <c r="W2453" i="114"/>
  <c r="W2454" i="114"/>
  <c r="W2455" i="114"/>
  <c r="W2456" i="114"/>
  <c r="W2457" i="114"/>
  <c r="W2458" i="114"/>
  <c r="W2459" i="114"/>
  <c r="W2460" i="114"/>
  <c r="W2461" i="114"/>
  <c r="W2462" i="114"/>
  <c r="W2463" i="114"/>
  <c r="W2464" i="114"/>
  <c r="W2465" i="114"/>
  <c r="W2466" i="114"/>
  <c r="W2467" i="114"/>
  <c r="W2468" i="114"/>
  <c r="W2469" i="114"/>
  <c r="W2470" i="114"/>
  <c r="W2471" i="114"/>
  <c r="W2472" i="114"/>
  <c r="W2473" i="114"/>
  <c r="W2474" i="114"/>
  <c r="W2475" i="114"/>
  <c r="W2476" i="114"/>
  <c r="W2477" i="114"/>
  <c r="W2478" i="114"/>
  <c r="W2479" i="114"/>
  <c r="W2480" i="114"/>
  <c r="W2481" i="114"/>
  <c r="W2482" i="114"/>
  <c r="W2483" i="114"/>
  <c r="W2484" i="114"/>
  <c r="W2485" i="114"/>
  <c r="W2486" i="114"/>
  <c r="W2487" i="114"/>
  <c r="W2488" i="114"/>
  <c r="W2489" i="114"/>
  <c r="W2490" i="114"/>
  <c r="W2491" i="114"/>
  <c r="W2492" i="114"/>
  <c r="W2493" i="114"/>
  <c r="W2494" i="114"/>
  <c r="W2495" i="114"/>
  <c r="W2496" i="114"/>
  <c r="W2497" i="114"/>
  <c r="W2498" i="114"/>
  <c r="W2499" i="114"/>
  <c r="W2500" i="114"/>
  <c r="W2501" i="114"/>
  <c r="W2502" i="114"/>
  <c r="W2503" i="114"/>
  <c r="W2504" i="114"/>
  <c r="W2505" i="114"/>
  <c r="W2506" i="114"/>
  <c r="W2507" i="114"/>
  <c r="W2508" i="114"/>
  <c r="W2509" i="114"/>
  <c r="W2510" i="114"/>
  <c r="W2511" i="114"/>
  <c r="W2512" i="114"/>
  <c r="W2513" i="114"/>
  <c r="W2514" i="114"/>
  <c r="W2515" i="114"/>
  <c r="W2516" i="114"/>
  <c r="W2517" i="114"/>
  <c r="W2518" i="114"/>
  <c r="W2519" i="114"/>
  <c r="W2520" i="114"/>
  <c r="W2521" i="114"/>
  <c r="W2522" i="114"/>
  <c r="W2523" i="114"/>
  <c r="W2524" i="114"/>
  <c r="W2525" i="114"/>
  <c r="W2526" i="114"/>
  <c r="W2527" i="114"/>
  <c r="W2528" i="114"/>
  <c r="W2529" i="114"/>
  <c r="W2530" i="114"/>
  <c r="W2531" i="114"/>
  <c r="W2532" i="114"/>
  <c r="W2533" i="114"/>
  <c r="W2534" i="114"/>
  <c r="W2535" i="114"/>
  <c r="W2536" i="114"/>
  <c r="W2537" i="114"/>
  <c r="W2538" i="114"/>
  <c r="W2539" i="114"/>
  <c r="W2540" i="114"/>
  <c r="W2541" i="114"/>
  <c r="W2542" i="114"/>
  <c r="W2543" i="114"/>
  <c r="W2544" i="114"/>
  <c r="W2545" i="114"/>
  <c r="W2546" i="114"/>
  <c r="W2547" i="114"/>
  <c r="W2548" i="114"/>
  <c r="W2549" i="114"/>
  <c r="W2550" i="114"/>
  <c r="W2551" i="114"/>
  <c r="W2552" i="114"/>
  <c r="W2553" i="114"/>
  <c r="W2554" i="114"/>
  <c r="W2555" i="114"/>
  <c r="W2556" i="114"/>
  <c r="W2557" i="114"/>
  <c r="W2558" i="114"/>
  <c r="W2559" i="114"/>
  <c r="W2560" i="114"/>
  <c r="W2561" i="114"/>
  <c r="W2562" i="114"/>
  <c r="W2563" i="114"/>
  <c r="W2564" i="114"/>
  <c r="W2565" i="114"/>
  <c r="W2566" i="114"/>
  <c r="W2567" i="114"/>
  <c r="W2568" i="114"/>
  <c r="W2569" i="114"/>
  <c r="W2570" i="114"/>
  <c r="W2571" i="114"/>
  <c r="W2572" i="114"/>
  <c r="W2573" i="114"/>
  <c r="W2574" i="114"/>
  <c r="W2575" i="114"/>
  <c r="W2576" i="114"/>
  <c r="W2577" i="114"/>
  <c r="W2578" i="114"/>
  <c r="W2579" i="114"/>
  <c r="W2580" i="114"/>
  <c r="W2581" i="114"/>
  <c r="W2582" i="114"/>
  <c r="W2583" i="114"/>
  <c r="W2584" i="114"/>
  <c r="W2585" i="114"/>
  <c r="W2586" i="114"/>
  <c r="W2587" i="114"/>
  <c r="W2588" i="114"/>
  <c r="W2589" i="114"/>
  <c r="W2590" i="114"/>
  <c r="W2591" i="114"/>
  <c r="W2592" i="114"/>
  <c r="W2593" i="114"/>
  <c r="W2594" i="114"/>
  <c r="W2595" i="114"/>
  <c r="W2596" i="114"/>
  <c r="W2597" i="114"/>
  <c r="W2598" i="114"/>
  <c r="W2599" i="114"/>
  <c r="W2600" i="114"/>
  <c r="W2601" i="114"/>
  <c r="W2602" i="114"/>
  <c r="W2603" i="114"/>
  <c r="W2604" i="114"/>
  <c r="W2605" i="114"/>
  <c r="W2606" i="114"/>
  <c r="W2607" i="114"/>
  <c r="W2608" i="114"/>
  <c r="W2609" i="114"/>
  <c r="W2610" i="114"/>
  <c r="W2611" i="114"/>
  <c r="W2612" i="114"/>
  <c r="W2613" i="114"/>
  <c r="W2614" i="114"/>
  <c r="W2615" i="114"/>
  <c r="W2616" i="114"/>
  <c r="W2617" i="114"/>
  <c r="W2618" i="114"/>
  <c r="W2619" i="114"/>
  <c r="W2620" i="114"/>
  <c r="W2621" i="114"/>
  <c r="W2622" i="114"/>
  <c r="W2623" i="114"/>
  <c r="W2624" i="114"/>
  <c r="W2625" i="114"/>
  <c r="W2626" i="114"/>
  <c r="W2627" i="114"/>
  <c r="W2628" i="114"/>
  <c r="W2629" i="114"/>
  <c r="W2630" i="114"/>
  <c r="W2631" i="114"/>
  <c r="W2632" i="114"/>
  <c r="W2633" i="114"/>
  <c r="W2634" i="114"/>
  <c r="W2635" i="114"/>
  <c r="W2636" i="114"/>
  <c r="W2637" i="114"/>
  <c r="W2638" i="114"/>
  <c r="W2639" i="114"/>
  <c r="W2640" i="114"/>
  <c r="W2641" i="114"/>
  <c r="W2642" i="114"/>
  <c r="W2643" i="114"/>
  <c r="W2644" i="114"/>
  <c r="W2645" i="114"/>
  <c r="W2646" i="114"/>
  <c r="W2647" i="114"/>
  <c r="W2648" i="114"/>
  <c r="W2649" i="114"/>
  <c r="W2650" i="114"/>
  <c r="W2651" i="114"/>
  <c r="W2652" i="114"/>
  <c r="W2653" i="114"/>
  <c r="W2654" i="114"/>
  <c r="W2655" i="114"/>
  <c r="W2656" i="114"/>
  <c r="W2657" i="114"/>
  <c r="W2658" i="114"/>
  <c r="W2659" i="114"/>
  <c r="W2660" i="114"/>
  <c r="W2661" i="114"/>
  <c r="W2662" i="114"/>
  <c r="W2663" i="114"/>
  <c r="W2664" i="114"/>
  <c r="W2665" i="114"/>
  <c r="W2666" i="114"/>
  <c r="W2667" i="114"/>
  <c r="W2668" i="114"/>
  <c r="W2669" i="114"/>
  <c r="W2670" i="114"/>
  <c r="W2671" i="114"/>
  <c r="W2672" i="114"/>
  <c r="W2673" i="114"/>
  <c r="W2674" i="114"/>
  <c r="W2675" i="114"/>
  <c r="W2676" i="114"/>
  <c r="W2677" i="114"/>
  <c r="W2678" i="114"/>
  <c r="W2679" i="114"/>
  <c r="W2680" i="114"/>
  <c r="W2681" i="114"/>
  <c r="W2682" i="114"/>
  <c r="W2683" i="114"/>
  <c r="W2684" i="114"/>
  <c r="W2685" i="114"/>
  <c r="W2686" i="114"/>
  <c r="W2687" i="114"/>
  <c r="W2688" i="114"/>
  <c r="W2689" i="114"/>
  <c r="W2690" i="114"/>
  <c r="W2691" i="114"/>
  <c r="W2692" i="114"/>
  <c r="W2693" i="114"/>
  <c r="W2694" i="114"/>
  <c r="W2695" i="114"/>
  <c r="W2696" i="114"/>
  <c r="W2697" i="114"/>
  <c r="W2698" i="114"/>
  <c r="W2699" i="114"/>
  <c r="W2700" i="114"/>
  <c r="W2701" i="114"/>
  <c r="W2702" i="114"/>
  <c r="W2703" i="114"/>
  <c r="W2704" i="114"/>
  <c r="W2705" i="114"/>
  <c r="W2706" i="114"/>
  <c r="W2707" i="114"/>
  <c r="W2708" i="114"/>
  <c r="W2709" i="114"/>
  <c r="W2710" i="114"/>
  <c r="W2711" i="114"/>
  <c r="W2712" i="114"/>
  <c r="W2713" i="114"/>
  <c r="W2714" i="114"/>
  <c r="W2715" i="114"/>
  <c r="W2716" i="114"/>
  <c r="W2717" i="114"/>
  <c r="W2718" i="114"/>
  <c r="W2719" i="114"/>
  <c r="W2720" i="114"/>
  <c r="W2721" i="114"/>
  <c r="W2722" i="114"/>
  <c r="W2723" i="114"/>
  <c r="W2724" i="114"/>
  <c r="W2725" i="114"/>
  <c r="W2726" i="114"/>
  <c r="W2727" i="114"/>
  <c r="W2728" i="114"/>
  <c r="W2729" i="114"/>
  <c r="W2730" i="114"/>
  <c r="W2731" i="114"/>
  <c r="W2732" i="114"/>
  <c r="W2733" i="114"/>
  <c r="W2734" i="114"/>
  <c r="W2735" i="114"/>
  <c r="W2736" i="114"/>
  <c r="W2737" i="114"/>
  <c r="W2738" i="114"/>
  <c r="W2739" i="114"/>
  <c r="W2740" i="114"/>
  <c r="W2741" i="114"/>
  <c r="W2742" i="114"/>
  <c r="W2743" i="114"/>
  <c r="W2744" i="114"/>
  <c r="W2745" i="114"/>
  <c r="W2746" i="114"/>
  <c r="W2747" i="114"/>
  <c r="W2748" i="114"/>
  <c r="W2749" i="114"/>
  <c r="W2750" i="114"/>
  <c r="W2751" i="114"/>
  <c r="W2752" i="114"/>
  <c r="W2753" i="114"/>
  <c r="W2754" i="114"/>
  <c r="W2755" i="114"/>
  <c r="W2756" i="114"/>
  <c r="W2757" i="114"/>
  <c r="W2758" i="114"/>
  <c r="W2759" i="114"/>
  <c r="W2760" i="114"/>
  <c r="W2761" i="114"/>
  <c r="W2762" i="114"/>
  <c r="W2763" i="114"/>
  <c r="W2764" i="114"/>
  <c r="W2765" i="114"/>
  <c r="W2766" i="114"/>
  <c r="W2767" i="114"/>
  <c r="W2768" i="114"/>
  <c r="W2769" i="114"/>
  <c r="W2770" i="114"/>
  <c r="W2771" i="114"/>
  <c r="W2772" i="114"/>
  <c r="W2773" i="114"/>
  <c r="W2774" i="114"/>
  <c r="W2775" i="114"/>
  <c r="W2776" i="114"/>
  <c r="W2777" i="114"/>
  <c r="W2778" i="114"/>
  <c r="W2779" i="114"/>
  <c r="W2780" i="114"/>
  <c r="W2781" i="114"/>
  <c r="W2782" i="114"/>
  <c r="W2783" i="114"/>
  <c r="W2784" i="114"/>
  <c r="W2785" i="114"/>
  <c r="W2786" i="114"/>
  <c r="W2787" i="114"/>
  <c r="W2788" i="114"/>
  <c r="W2789" i="114"/>
  <c r="W2790" i="114"/>
  <c r="W2791" i="114"/>
  <c r="W2792" i="114"/>
  <c r="W2793" i="114"/>
  <c r="W2794" i="114"/>
  <c r="W2795" i="114"/>
  <c r="W2796" i="114"/>
  <c r="W2797" i="114"/>
  <c r="W2798" i="114"/>
  <c r="W2799" i="114"/>
  <c r="W2800" i="114"/>
  <c r="W2801" i="114"/>
  <c r="W2802" i="114"/>
  <c r="W2803" i="114"/>
  <c r="W2804" i="114"/>
  <c r="W2805" i="114"/>
  <c r="W2806" i="114"/>
  <c r="W2807" i="114"/>
  <c r="W2808" i="114"/>
  <c r="W2809" i="114"/>
  <c r="W2810" i="114"/>
  <c r="W2811" i="114"/>
  <c r="W2812" i="114"/>
  <c r="W2813" i="114"/>
  <c r="W2814" i="114"/>
  <c r="W2815" i="114"/>
  <c r="W2816" i="114"/>
  <c r="W2817" i="114"/>
  <c r="W2818" i="114"/>
  <c r="W2819" i="114"/>
  <c r="W2820" i="114"/>
  <c r="W2821" i="114"/>
  <c r="W2822" i="114"/>
  <c r="W2823" i="114"/>
  <c r="W2824" i="114"/>
  <c r="W2825" i="114"/>
  <c r="W2826" i="114"/>
  <c r="W2827" i="114"/>
  <c r="W2828" i="114"/>
  <c r="W2829" i="114"/>
  <c r="W2830" i="114"/>
  <c r="W2831" i="114"/>
  <c r="W2832" i="114"/>
  <c r="W2833" i="114"/>
  <c r="W2834" i="114"/>
  <c r="W2835" i="114"/>
  <c r="W2836" i="114"/>
  <c r="W2837" i="114"/>
  <c r="W2838" i="114"/>
  <c r="W2839" i="114"/>
  <c r="W2840" i="114"/>
  <c r="W2841" i="114"/>
  <c r="W2842" i="114"/>
  <c r="W2843" i="114"/>
  <c r="W2844" i="114"/>
  <c r="W2845" i="114"/>
  <c r="W2846" i="114"/>
  <c r="W2847" i="114"/>
  <c r="W2848" i="114"/>
  <c r="W2849" i="114"/>
  <c r="W2850" i="114"/>
  <c r="W2851" i="114"/>
  <c r="W2852" i="114"/>
  <c r="W2853" i="114"/>
  <c r="W2854" i="114"/>
  <c r="W2855" i="114"/>
  <c r="W2856" i="114"/>
  <c r="W2857" i="114"/>
  <c r="W2858" i="114"/>
  <c r="W2859" i="114"/>
  <c r="W2860" i="114"/>
  <c r="W2861" i="114"/>
  <c r="W2862" i="114"/>
  <c r="W2863" i="114"/>
  <c r="W2864" i="114"/>
  <c r="W2865" i="114"/>
  <c r="W2866" i="114"/>
  <c r="W2867" i="114"/>
  <c r="W2868" i="114"/>
  <c r="W2869" i="114"/>
  <c r="W2870" i="114"/>
  <c r="W2871" i="114"/>
  <c r="W2872" i="114"/>
  <c r="W2873" i="114"/>
  <c r="W2874" i="114"/>
  <c r="W2875" i="114"/>
  <c r="W2876" i="114"/>
  <c r="W2877" i="114"/>
  <c r="W2878" i="114"/>
  <c r="W2879" i="114"/>
  <c r="W2880" i="114"/>
  <c r="W2881" i="114"/>
  <c r="W2882" i="114"/>
  <c r="W2883" i="114"/>
  <c r="W2884" i="114"/>
  <c r="W2885" i="114"/>
  <c r="W2886" i="114"/>
  <c r="W2887" i="114"/>
  <c r="W2888" i="114"/>
  <c r="W2889" i="114"/>
  <c r="W2890" i="114"/>
  <c r="W2891" i="114"/>
  <c r="W2892" i="114"/>
  <c r="W2893" i="114"/>
  <c r="W2894" i="114"/>
  <c r="W2895" i="114"/>
  <c r="W2896" i="114"/>
  <c r="W2897" i="114"/>
  <c r="W2898" i="114"/>
  <c r="W2899" i="114"/>
  <c r="W2900" i="114"/>
  <c r="W2901" i="114"/>
  <c r="W2902" i="114"/>
  <c r="W2903" i="114"/>
  <c r="W2904" i="114"/>
  <c r="W2905" i="114"/>
  <c r="W2906" i="114"/>
  <c r="W2907" i="114"/>
  <c r="W2908" i="114"/>
  <c r="W2909" i="114"/>
  <c r="W2910" i="114"/>
  <c r="W2911" i="114"/>
  <c r="W2912" i="114"/>
  <c r="W2913" i="114"/>
  <c r="W2914" i="114"/>
  <c r="W2915" i="114"/>
  <c r="W2916" i="114"/>
  <c r="W2917" i="114"/>
  <c r="W2918" i="114"/>
  <c r="W2919" i="114"/>
  <c r="W2920" i="114"/>
  <c r="W2921" i="114"/>
  <c r="W2922" i="114"/>
  <c r="W2923" i="114"/>
  <c r="W2924" i="114"/>
  <c r="W2925" i="114"/>
  <c r="W2926" i="114"/>
  <c r="W2927" i="114"/>
  <c r="W2928" i="114"/>
  <c r="W2929" i="114"/>
  <c r="W2930" i="114"/>
  <c r="W2931" i="114"/>
  <c r="W2932" i="114"/>
  <c r="W2933" i="114"/>
  <c r="W2934" i="114"/>
  <c r="W2935" i="114"/>
  <c r="W2936" i="114"/>
  <c r="W2937" i="114"/>
  <c r="W2938" i="114"/>
  <c r="W2939" i="114"/>
  <c r="W2940" i="114"/>
  <c r="W2941" i="114"/>
  <c r="W2942" i="114"/>
  <c r="W2943" i="114"/>
  <c r="W2944" i="114"/>
  <c r="W2945" i="114"/>
  <c r="W2946" i="114"/>
  <c r="W2947" i="114"/>
  <c r="W2948" i="114"/>
  <c r="W2949" i="114"/>
  <c r="W2950" i="114"/>
  <c r="W2951" i="114"/>
  <c r="W2952" i="114"/>
  <c r="W2953" i="114"/>
  <c r="W2954" i="114"/>
  <c r="W2955" i="114"/>
  <c r="W2956" i="114"/>
  <c r="W2957" i="114"/>
  <c r="W2958" i="114"/>
  <c r="W2959" i="114"/>
  <c r="W2960" i="114"/>
  <c r="W2961" i="114"/>
  <c r="W2962" i="114"/>
  <c r="W2963" i="114"/>
  <c r="W2964" i="114"/>
  <c r="W2965" i="114"/>
  <c r="W2966" i="114"/>
  <c r="W2967" i="114"/>
  <c r="W2968" i="114"/>
  <c r="W2969" i="114"/>
  <c r="W2970" i="114"/>
  <c r="W2971" i="114"/>
  <c r="W2972" i="114"/>
  <c r="W2973" i="114"/>
  <c r="W2974" i="114"/>
  <c r="W2975" i="114"/>
  <c r="W2976" i="114"/>
  <c r="W2977" i="114"/>
  <c r="W2978" i="114"/>
  <c r="W2979" i="114"/>
  <c r="W2980" i="114"/>
  <c r="W2981" i="114"/>
  <c r="W2982" i="114"/>
  <c r="W2983" i="114"/>
  <c r="W2984" i="114"/>
  <c r="W2985" i="114"/>
  <c r="W2986" i="114"/>
  <c r="W2987" i="114"/>
  <c r="W2988" i="114"/>
  <c r="W2989" i="114"/>
  <c r="W2990" i="114"/>
  <c r="W2991" i="114"/>
  <c r="W2992" i="114"/>
  <c r="W2993" i="114"/>
  <c r="W2994" i="114"/>
  <c r="W2995" i="114"/>
  <c r="W2996" i="114"/>
  <c r="W2997" i="114"/>
  <c r="W2998" i="114"/>
  <c r="W2999" i="114"/>
  <c r="W3000" i="114"/>
  <c r="W3001" i="114"/>
  <c r="W3002" i="114"/>
  <c r="W3003" i="114"/>
  <c r="W3004" i="114"/>
  <c r="W3005" i="114"/>
  <c r="W3006" i="114"/>
  <c r="W3007" i="114"/>
  <c r="W3008" i="114"/>
  <c r="W3009" i="114"/>
  <c r="W3010" i="114"/>
  <c r="W3011" i="114"/>
  <c r="W3012" i="114"/>
  <c r="W3013" i="114"/>
  <c r="W3014" i="114"/>
  <c r="W3015" i="114"/>
  <c r="W3016" i="114"/>
  <c r="W3017" i="114"/>
  <c r="W3018" i="114"/>
  <c r="W3019" i="114"/>
  <c r="W3020" i="114"/>
  <c r="W3021" i="114"/>
  <c r="W3022" i="114"/>
  <c r="W3023" i="114"/>
  <c r="W3024" i="114"/>
  <c r="W3025" i="114"/>
  <c r="W3026" i="114"/>
  <c r="W3027" i="114"/>
  <c r="W3028" i="114"/>
  <c r="W3029" i="114"/>
  <c r="W3030" i="114"/>
  <c r="W3031" i="114"/>
  <c r="W3032" i="114"/>
  <c r="W3033" i="114"/>
  <c r="W3034" i="114"/>
  <c r="W3035" i="114"/>
  <c r="W3036" i="114"/>
  <c r="W3037" i="114"/>
  <c r="W3038" i="114"/>
  <c r="W3039" i="114"/>
  <c r="W3040" i="114"/>
  <c r="W3041" i="114"/>
  <c r="W3042" i="114"/>
  <c r="W3043" i="114"/>
  <c r="W3044" i="114"/>
  <c r="W3045" i="114"/>
  <c r="W3046" i="114"/>
  <c r="W3047" i="114"/>
  <c r="W3048" i="114"/>
  <c r="W3049" i="114"/>
  <c r="W3050" i="114"/>
  <c r="W3051" i="114"/>
  <c r="W3052" i="114"/>
  <c r="W3053" i="114"/>
  <c r="W3054" i="114"/>
  <c r="W3055" i="114"/>
  <c r="W3056" i="114"/>
  <c r="W3057" i="114"/>
  <c r="W3058" i="114"/>
  <c r="W3059" i="114"/>
  <c r="W3060" i="114"/>
  <c r="W3061" i="114"/>
  <c r="W3062" i="114"/>
  <c r="W3063" i="114"/>
  <c r="W3064" i="114"/>
  <c r="W3065" i="114"/>
  <c r="W3066" i="114"/>
  <c r="W3067" i="114"/>
  <c r="W3068" i="114"/>
  <c r="W3069" i="114"/>
  <c r="W3070" i="114"/>
  <c r="W3071" i="114"/>
  <c r="W3072" i="114"/>
  <c r="W3073" i="114"/>
  <c r="W3074" i="114"/>
  <c r="W3075" i="114"/>
  <c r="W3076" i="114"/>
  <c r="W3077" i="114"/>
  <c r="W3078" i="114"/>
  <c r="W3079" i="114"/>
  <c r="W3080" i="114"/>
  <c r="W3081" i="114"/>
  <c r="W3082" i="114"/>
  <c r="W3083" i="114"/>
  <c r="W3084" i="114"/>
  <c r="W3085" i="114"/>
  <c r="W3086" i="114"/>
  <c r="W3087" i="114"/>
  <c r="W3088" i="114"/>
  <c r="W3089" i="114"/>
  <c r="W3090" i="114"/>
  <c r="W3091" i="114"/>
  <c r="W3092" i="114"/>
  <c r="W3093" i="114"/>
  <c r="W3094" i="114"/>
  <c r="W3095" i="114"/>
  <c r="W3096" i="114"/>
  <c r="W3097" i="114"/>
  <c r="W3098" i="114"/>
  <c r="W3099" i="114"/>
  <c r="W3100" i="114"/>
  <c r="W3101" i="114"/>
  <c r="W3102" i="114"/>
  <c r="W3103" i="114"/>
  <c r="W3104" i="114"/>
  <c r="W3105" i="114"/>
  <c r="W3106" i="114"/>
  <c r="W3107" i="114"/>
  <c r="W3108" i="114"/>
  <c r="W3109" i="114"/>
  <c r="W3110" i="114"/>
  <c r="W3111" i="114"/>
  <c r="W3112" i="114"/>
  <c r="W3113" i="114"/>
  <c r="W3114" i="114"/>
  <c r="W3115" i="114"/>
  <c r="W3116" i="114"/>
  <c r="W3117" i="114"/>
  <c r="W3118" i="114"/>
  <c r="W3119" i="114"/>
  <c r="W3120" i="114"/>
  <c r="W3121" i="114"/>
  <c r="W3122" i="114"/>
  <c r="W3123" i="114"/>
  <c r="W3124" i="114"/>
  <c r="W3125" i="114"/>
  <c r="W3126" i="114"/>
  <c r="W3127" i="114"/>
  <c r="W3128" i="114"/>
  <c r="W3129" i="114"/>
  <c r="W3130" i="114"/>
  <c r="W3131" i="114"/>
  <c r="W3132" i="114"/>
  <c r="W3133" i="114"/>
  <c r="W3134" i="114"/>
  <c r="W3135" i="114"/>
  <c r="W3136" i="114"/>
  <c r="W3137" i="114"/>
  <c r="W3138" i="114"/>
  <c r="W3139" i="114"/>
  <c r="W3140" i="114"/>
  <c r="W3141" i="114"/>
  <c r="W3142" i="114"/>
  <c r="W3143" i="114"/>
  <c r="W3144" i="114"/>
  <c r="W3145" i="114"/>
  <c r="W3146" i="114"/>
  <c r="W3147" i="114"/>
  <c r="W3148" i="114"/>
  <c r="W3149" i="114"/>
  <c r="W3150" i="114"/>
  <c r="W3151" i="114"/>
  <c r="W3152" i="114"/>
  <c r="W3153" i="114"/>
  <c r="W3154" i="114"/>
  <c r="W3155" i="114"/>
  <c r="W3156" i="114"/>
  <c r="W3157" i="114"/>
  <c r="W3158" i="114"/>
  <c r="W3159" i="114"/>
  <c r="W3160" i="114"/>
  <c r="W3161" i="114"/>
  <c r="W3162" i="114"/>
  <c r="W3163" i="114"/>
  <c r="W3164" i="114"/>
  <c r="W3165" i="114"/>
  <c r="W3166" i="114"/>
  <c r="W3167" i="114"/>
  <c r="W3168" i="114"/>
  <c r="W3169" i="114"/>
  <c r="W3170" i="114"/>
  <c r="W3171" i="114"/>
  <c r="W3172" i="114"/>
  <c r="W3173" i="114"/>
  <c r="W3174" i="114"/>
  <c r="W3175" i="114"/>
  <c r="W3176" i="114"/>
  <c r="W3177" i="114"/>
  <c r="W3178" i="114"/>
  <c r="W3179" i="114"/>
  <c r="W3180" i="114"/>
  <c r="W3181" i="114"/>
  <c r="W3182" i="114"/>
  <c r="W3183" i="114"/>
  <c r="W3184" i="114"/>
  <c r="W3185" i="114"/>
  <c r="W3186" i="114"/>
  <c r="W3187" i="114"/>
  <c r="W3188" i="114"/>
  <c r="W3189" i="114"/>
  <c r="W3190" i="114"/>
  <c r="W3191" i="114"/>
  <c r="W3192" i="114"/>
  <c r="W3193" i="114"/>
  <c r="W3194" i="114"/>
  <c r="W3195" i="114"/>
  <c r="W3196" i="114"/>
  <c r="W3197" i="114"/>
  <c r="W3198" i="114"/>
  <c r="W3199" i="114"/>
  <c r="W3200" i="114"/>
  <c r="W3201" i="114"/>
  <c r="W3202" i="114"/>
  <c r="W3203" i="114"/>
  <c r="W3204" i="114"/>
  <c r="W3205" i="114"/>
  <c r="W3206" i="114"/>
  <c r="W3207" i="114"/>
  <c r="W3208" i="114"/>
  <c r="W3209" i="114"/>
  <c r="W3210" i="114"/>
  <c r="W3211" i="114"/>
  <c r="W3212" i="114"/>
  <c r="W3213" i="114"/>
  <c r="W3214" i="114"/>
  <c r="W3215" i="114"/>
  <c r="W3216" i="114"/>
  <c r="W3217" i="114"/>
  <c r="W3218" i="114"/>
  <c r="W3219" i="114"/>
  <c r="W3220" i="114"/>
  <c r="W3221" i="114"/>
  <c r="W3222" i="114"/>
  <c r="W3223" i="114"/>
  <c r="W3224" i="114"/>
  <c r="W3225" i="114"/>
  <c r="W3226" i="114"/>
  <c r="W3227" i="114"/>
  <c r="W3228" i="114"/>
  <c r="W3229" i="114"/>
  <c r="W3230" i="114"/>
  <c r="W3231" i="114"/>
  <c r="W3232" i="114"/>
  <c r="W3233" i="114"/>
  <c r="W3234" i="114"/>
  <c r="W3235" i="114"/>
  <c r="W3236" i="114"/>
  <c r="W3237" i="114"/>
  <c r="W3238" i="114"/>
  <c r="W3239" i="114"/>
  <c r="W3240" i="114"/>
  <c r="W3241" i="114"/>
  <c r="W3242" i="114"/>
  <c r="W3243" i="114"/>
  <c r="W3244" i="114"/>
  <c r="W3245" i="114"/>
  <c r="W3246" i="114"/>
  <c r="W3247" i="114"/>
  <c r="W3248" i="114"/>
  <c r="W3249" i="114"/>
  <c r="W3250" i="114"/>
  <c r="W3251" i="114"/>
  <c r="W3252" i="114"/>
  <c r="W3253" i="114"/>
  <c r="W3254" i="114"/>
  <c r="W3255" i="114"/>
  <c r="W3256" i="114"/>
  <c r="W3257" i="114"/>
  <c r="W3258" i="114"/>
  <c r="W3259" i="114"/>
  <c r="W3260" i="114"/>
  <c r="W3261" i="114"/>
  <c r="W3262" i="114"/>
  <c r="W3263" i="114"/>
  <c r="W3264" i="114"/>
  <c r="W3265" i="114"/>
  <c r="W3266" i="114"/>
  <c r="W3267" i="114"/>
  <c r="W3268" i="114"/>
  <c r="W3269" i="114"/>
  <c r="W3270" i="114"/>
  <c r="W3271" i="114"/>
  <c r="W3272" i="114"/>
  <c r="W3273" i="114"/>
  <c r="W3274" i="114"/>
  <c r="W3275" i="114"/>
  <c r="W3276" i="114"/>
  <c r="W3277" i="114"/>
  <c r="W3278" i="114"/>
  <c r="W3279" i="114"/>
  <c r="W3280" i="114"/>
  <c r="W3281" i="114"/>
  <c r="W3282" i="114"/>
  <c r="W3283" i="114"/>
  <c r="W3284" i="114"/>
  <c r="W3285" i="114"/>
  <c r="W3286" i="114"/>
  <c r="W3287" i="114"/>
  <c r="W3288" i="114"/>
  <c r="W3289" i="114"/>
  <c r="W3290" i="114"/>
  <c r="W3291" i="114"/>
  <c r="W3292" i="114"/>
  <c r="W3293" i="114"/>
  <c r="W3294" i="114"/>
  <c r="W3295" i="114"/>
  <c r="W3296" i="114"/>
  <c r="W3297" i="114"/>
  <c r="W3298" i="114"/>
  <c r="W3299" i="114"/>
  <c r="W3300" i="114"/>
  <c r="W3301" i="114"/>
  <c r="W3302" i="114"/>
  <c r="W3303" i="114"/>
  <c r="W3304" i="114"/>
  <c r="W3305" i="114"/>
  <c r="W3306" i="114"/>
  <c r="W3307" i="114"/>
  <c r="W3308" i="114"/>
  <c r="W3309" i="114"/>
  <c r="W3310" i="114"/>
  <c r="W3311" i="114"/>
  <c r="W3312" i="114"/>
  <c r="W3313" i="114"/>
  <c r="W3314" i="114"/>
  <c r="W3315" i="114"/>
  <c r="W3316" i="114"/>
  <c r="W3317" i="114"/>
  <c r="W3318" i="114"/>
  <c r="W3319" i="114"/>
  <c r="W3320" i="114"/>
  <c r="W3321" i="114"/>
  <c r="W3322" i="114"/>
  <c r="W3323" i="114"/>
  <c r="W3324" i="114"/>
  <c r="W3325" i="114"/>
  <c r="W3326" i="114"/>
  <c r="W3327" i="114"/>
  <c r="W3328" i="114"/>
  <c r="W3329" i="114"/>
  <c r="W3330" i="114"/>
  <c r="W3331" i="114"/>
  <c r="W3332" i="114"/>
  <c r="W3333" i="114"/>
  <c r="W3334" i="114"/>
  <c r="W3335" i="114"/>
  <c r="W3336" i="114"/>
  <c r="W3337" i="114"/>
  <c r="W3338" i="114"/>
  <c r="W3339" i="114"/>
  <c r="W3340" i="114"/>
  <c r="W3341" i="114"/>
  <c r="W3342" i="114"/>
  <c r="W3343" i="114"/>
  <c r="W3344" i="114"/>
  <c r="W3345" i="114"/>
  <c r="W3346" i="114"/>
  <c r="W3347" i="114"/>
  <c r="W3348" i="114"/>
  <c r="W3349" i="114"/>
  <c r="W3350" i="114"/>
  <c r="W3351" i="114"/>
  <c r="W3352" i="114"/>
  <c r="W3353" i="114"/>
  <c r="W3354" i="114"/>
  <c r="W3355" i="114"/>
  <c r="W3356" i="114"/>
  <c r="W3357" i="114"/>
  <c r="W3358" i="114"/>
  <c r="W3359" i="114"/>
  <c r="W3360" i="114"/>
  <c r="W3361" i="114"/>
  <c r="W3362" i="114"/>
  <c r="W3363" i="114"/>
  <c r="W3364" i="114"/>
  <c r="W3365" i="114"/>
  <c r="W3366" i="114"/>
  <c r="W3367" i="114"/>
  <c r="W3368" i="114"/>
  <c r="W3369" i="114"/>
  <c r="W3370" i="114"/>
  <c r="W3371" i="114"/>
  <c r="W3372" i="114"/>
  <c r="W3373" i="114"/>
  <c r="W3374" i="114"/>
  <c r="W3375" i="114"/>
  <c r="W3376" i="114"/>
  <c r="W3377" i="114"/>
  <c r="W3378" i="114"/>
  <c r="W3379" i="114"/>
  <c r="W3380" i="114"/>
  <c r="W3381" i="114"/>
  <c r="W3382" i="114"/>
  <c r="W3383" i="114"/>
  <c r="W3384" i="114"/>
  <c r="W3385" i="114"/>
  <c r="W3386" i="114"/>
  <c r="W3387" i="114"/>
  <c r="W3388" i="114"/>
  <c r="W3389" i="114"/>
  <c r="W3390" i="114"/>
  <c r="W3391" i="114"/>
  <c r="W3392" i="114"/>
  <c r="W3393" i="114"/>
  <c r="W3394" i="114"/>
  <c r="W3395" i="114"/>
  <c r="W3396" i="114"/>
  <c r="W3397" i="114"/>
  <c r="W3398" i="114"/>
  <c r="W3399" i="114"/>
  <c r="W3400" i="114"/>
  <c r="W3401" i="114"/>
  <c r="W3402" i="114"/>
  <c r="W3403" i="114"/>
  <c r="W3404" i="114"/>
  <c r="W3405" i="114"/>
  <c r="W3406" i="114"/>
  <c r="W3407" i="114"/>
  <c r="W3408" i="114"/>
  <c r="W3409" i="114"/>
  <c r="W3410" i="114"/>
  <c r="W3411" i="114"/>
  <c r="W3412" i="114"/>
  <c r="W3413" i="114"/>
  <c r="W3414" i="114"/>
  <c r="W3415" i="114"/>
  <c r="W3416" i="114"/>
  <c r="W3417" i="114"/>
  <c r="W3418" i="114"/>
  <c r="W3419" i="114"/>
  <c r="W3420" i="114"/>
  <c r="W3421" i="114"/>
  <c r="W3422" i="114"/>
  <c r="W3423" i="114"/>
  <c r="W3424" i="114"/>
  <c r="W3425" i="114"/>
  <c r="W3426" i="114"/>
  <c r="W3427" i="114"/>
  <c r="W3428" i="114"/>
  <c r="W3429" i="114"/>
  <c r="W3430" i="114"/>
  <c r="W3431" i="114"/>
  <c r="W3432" i="114"/>
  <c r="W3433" i="114"/>
  <c r="W3434" i="114"/>
  <c r="W3435" i="114"/>
  <c r="W3436" i="114"/>
  <c r="W3437" i="114"/>
  <c r="W3438" i="114"/>
  <c r="W3439" i="114"/>
  <c r="W3440" i="114"/>
  <c r="W3441" i="114"/>
  <c r="W3442" i="114"/>
  <c r="W3443" i="114"/>
  <c r="W3444" i="114"/>
  <c r="W3445" i="114"/>
  <c r="W3446" i="114"/>
  <c r="W3447" i="114"/>
  <c r="W3448" i="114"/>
  <c r="W3449" i="114"/>
  <c r="W3450" i="114"/>
  <c r="W3451" i="114"/>
  <c r="W3452" i="114"/>
  <c r="W3453" i="114"/>
  <c r="W3454" i="114"/>
  <c r="W3455" i="114"/>
  <c r="W3456" i="114"/>
  <c r="W3457" i="114"/>
  <c r="W3458" i="114"/>
  <c r="W3459" i="114"/>
  <c r="W3460" i="114"/>
  <c r="W3461" i="114"/>
  <c r="W3462" i="114"/>
  <c r="W3463" i="114"/>
  <c r="W3464" i="114"/>
  <c r="W3465" i="114"/>
  <c r="W3466" i="114"/>
  <c r="W3467" i="114"/>
  <c r="W3468" i="114"/>
  <c r="W3469" i="114"/>
  <c r="W3470" i="114"/>
  <c r="W3471" i="114"/>
  <c r="W3472" i="114"/>
  <c r="W3473" i="114"/>
  <c r="W3474" i="114"/>
  <c r="W3475" i="114"/>
  <c r="W3476" i="114"/>
  <c r="W3477" i="114"/>
  <c r="W3478" i="114"/>
  <c r="W3479" i="114"/>
  <c r="W3480" i="114"/>
  <c r="W3481" i="114"/>
  <c r="W3482" i="114"/>
  <c r="W3483" i="114"/>
  <c r="W3484" i="114"/>
  <c r="W3485" i="114"/>
  <c r="W3486" i="114"/>
  <c r="W3487" i="114"/>
  <c r="W3488" i="114"/>
  <c r="W3489" i="114"/>
  <c r="W3490" i="114"/>
  <c r="W3491" i="114"/>
  <c r="W3492" i="114"/>
  <c r="W3493" i="114"/>
  <c r="W3494" i="114"/>
  <c r="W3495" i="114"/>
  <c r="W3496" i="114"/>
  <c r="W3497" i="114"/>
  <c r="W3498" i="114"/>
  <c r="W3499" i="114"/>
  <c r="W3500" i="114"/>
  <c r="W3501" i="114"/>
  <c r="W3502" i="114"/>
  <c r="W3503" i="114"/>
  <c r="W3504" i="114"/>
  <c r="W3505" i="114"/>
  <c r="W3506" i="114"/>
  <c r="W3507" i="114"/>
  <c r="W3508" i="114"/>
  <c r="W3509" i="114"/>
  <c r="W3510" i="114"/>
  <c r="W3511" i="114"/>
  <c r="W3512" i="114"/>
  <c r="W3513" i="114"/>
  <c r="W3514" i="114"/>
  <c r="W3515" i="114"/>
  <c r="W3516" i="114"/>
  <c r="W3517" i="114"/>
  <c r="W3518" i="114"/>
  <c r="W3519" i="114"/>
  <c r="W3520" i="114"/>
  <c r="W3521" i="114"/>
  <c r="W3522" i="114"/>
  <c r="W3523" i="114"/>
  <c r="W3524" i="114"/>
  <c r="W3525" i="114"/>
  <c r="W3526" i="114"/>
  <c r="W3527" i="114"/>
  <c r="W3528" i="114"/>
  <c r="W3529" i="114"/>
  <c r="W3530" i="114"/>
  <c r="W3531" i="114"/>
  <c r="W3532" i="114"/>
  <c r="W3533" i="114"/>
  <c r="W3534" i="114"/>
  <c r="W3535" i="114"/>
  <c r="W3536" i="114"/>
  <c r="W3537" i="114"/>
  <c r="W3538" i="114"/>
  <c r="W3539" i="114"/>
  <c r="W3540" i="114"/>
  <c r="W3541" i="114"/>
  <c r="W3542" i="114"/>
  <c r="W3543" i="114"/>
  <c r="W3544" i="114"/>
  <c r="W3545" i="114"/>
  <c r="W3546" i="114"/>
  <c r="W3547" i="114"/>
  <c r="W3548" i="114"/>
  <c r="W3549" i="114"/>
  <c r="W3550" i="114"/>
  <c r="W3551" i="114"/>
  <c r="W3552" i="114"/>
  <c r="W3553" i="114"/>
  <c r="W3554" i="114"/>
  <c r="W3555" i="114"/>
  <c r="W3556" i="114"/>
  <c r="W3557" i="114"/>
  <c r="W3558" i="114"/>
  <c r="W3559" i="114"/>
  <c r="W3560" i="114"/>
  <c r="W3561" i="114"/>
  <c r="W3562" i="114"/>
  <c r="W3563" i="114"/>
  <c r="W3564" i="114"/>
  <c r="W3565" i="114"/>
  <c r="W3566" i="114"/>
  <c r="W3567" i="114"/>
  <c r="W3568" i="114"/>
  <c r="W3569" i="114"/>
  <c r="W3570" i="114"/>
  <c r="W3571" i="114"/>
  <c r="W3572" i="114"/>
  <c r="W3573" i="114"/>
  <c r="W3574" i="114"/>
  <c r="W3575" i="114"/>
  <c r="W3576" i="114"/>
  <c r="W3577" i="114"/>
  <c r="W3578" i="114"/>
  <c r="W3579" i="114"/>
  <c r="W3580" i="114"/>
  <c r="W3581" i="114"/>
  <c r="W3582" i="114"/>
  <c r="W3583" i="114"/>
  <c r="W3584" i="114"/>
  <c r="W3585" i="114"/>
  <c r="W3586" i="114"/>
  <c r="W3587" i="114"/>
  <c r="W3588" i="114"/>
  <c r="W3589" i="114"/>
  <c r="W3590" i="114"/>
  <c r="W3591" i="114"/>
  <c r="W3592" i="114"/>
  <c r="W3593" i="114"/>
  <c r="W3594" i="114"/>
  <c r="W3595" i="114"/>
  <c r="W3596" i="114"/>
  <c r="W3597" i="114"/>
  <c r="W3598" i="114"/>
  <c r="W3599" i="114"/>
  <c r="W3600" i="114"/>
  <c r="W3601" i="114"/>
  <c r="W3602" i="114"/>
  <c r="W3603" i="114"/>
  <c r="W3604" i="114"/>
  <c r="W3605" i="114"/>
  <c r="W3606" i="114"/>
  <c r="W3607" i="114"/>
  <c r="W3608" i="114"/>
  <c r="W3609" i="114"/>
  <c r="W3610" i="114"/>
  <c r="W3611" i="114"/>
  <c r="W3612" i="114"/>
  <c r="W3613" i="114"/>
  <c r="W3614" i="114"/>
  <c r="W3615" i="114"/>
  <c r="W3616" i="114"/>
  <c r="W3617" i="114"/>
  <c r="W3618" i="114"/>
  <c r="W3619" i="114"/>
  <c r="W3620" i="114"/>
  <c r="W3621" i="114"/>
  <c r="W3622" i="114"/>
  <c r="W3623" i="114"/>
  <c r="W3624" i="114"/>
  <c r="W3625" i="114"/>
  <c r="W3626" i="114"/>
  <c r="W3627" i="114"/>
  <c r="W3628" i="114"/>
  <c r="W3629" i="114"/>
  <c r="W3630" i="114"/>
  <c r="W3631" i="114"/>
  <c r="W3632" i="114"/>
  <c r="W3633" i="114"/>
  <c r="W3634" i="114"/>
  <c r="W3635" i="114"/>
  <c r="W3636" i="114"/>
  <c r="W3637" i="114"/>
  <c r="W3638" i="114"/>
  <c r="W3639" i="114"/>
  <c r="W3640" i="114"/>
  <c r="W3641" i="114"/>
  <c r="W3642" i="114"/>
  <c r="W3643" i="114"/>
  <c r="W3644" i="114"/>
  <c r="W3645" i="114"/>
  <c r="W3646" i="114"/>
  <c r="W3647" i="114"/>
  <c r="W3648" i="114"/>
  <c r="W3649" i="114"/>
  <c r="W3650" i="114"/>
  <c r="W3651" i="114"/>
  <c r="W3652" i="114"/>
  <c r="W3653" i="114"/>
  <c r="W3654" i="114"/>
  <c r="W3655" i="114"/>
  <c r="W3656" i="114"/>
  <c r="W3657" i="114"/>
  <c r="W3658" i="114"/>
  <c r="W3659" i="114"/>
  <c r="W3660" i="114"/>
  <c r="W3661" i="114"/>
  <c r="W3662" i="114"/>
  <c r="W3663" i="114"/>
  <c r="W3664" i="114"/>
  <c r="W3665" i="114"/>
  <c r="W3666" i="114"/>
  <c r="W3667" i="114"/>
  <c r="W3668" i="114"/>
  <c r="W3669" i="114"/>
  <c r="W3670" i="114"/>
  <c r="W3671" i="114"/>
  <c r="W3672" i="114"/>
  <c r="W3673" i="114"/>
  <c r="W3674" i="114"/>
  <c r="W3675" i="114"/>
  <c r="W3676" i="114"/>
  <c r="W3677" i="114"/>
  <c r="W3678" i="114"/>
  <c r="W3679" i="114"/>
  <c r="W3680" i="114"/>
  <c r="W3681" i="114"/>
  <c r="W3682" i="114"/>
  <c r="W3683" i="114"/>
  <c r="W3684" i="114"/>
  <c r="W3685" i="114"/>
  <c r="W3686" i="114"/>
  <c r="W3687" i="114"/>
  <c r="W3688" i="114"/>
  <c r="W3689" i="114"/>
  <c r="W3690" i="114"/>
  <c r="W3691" i="114"/>
  <c r="W3692" i="114"/>
  <c r="W3693" i="114"/>
  <c r="W3694" i="114"/>
  <c r="W3695" i="114"/>
  <c r="W3696" i="114"/>
  <c r="W3697" i="114"/>
  <c r="W3698" i="114"/>
  <c r="W3699" i="114"/>
  <c r="W3700" i="114"/>
  <c r="W3701" i="114"/>
  <c r="W3702" i="114"/>
  <c r="W3703" i="114"/>
  <c r="W3704" i="114"/>
  <c r="W3705" i="114"/>
  <c r="W3706" i="114"/>
  <c r="W3707" i="114"/>
  <c r="W3708" i="114"/>
  <c r="W3709" i="114"/>
  <c r="W3710" i="114"/>
  <c r="W3711" i="114"/>
  <c r="W3712" i="114"/>
  <c r="W3713" i="114"/>
  <c r="W3714" i="114"/>
  <c r="W3715" i="114"/>
  <c r="W3716" i="114"/>
  <c r="W3717" i="114"/>
  <c r="W3718" i="114"/>
  <c r="W3719" i="114"/>
  <c r="W3720" i="114"/>
  <c r="W3721" i="114"/>
  <c r="W3722" i="114"/>
  <c r="W3723" i="114"/>
  <c r="W3724" i="114"/>
  <c r="W3725" i="114"/>
  <c r="W3726" i="114"/>
  <c r="W3727" i="114"/>
  <c r="W3728" i="114"/>
  <c r="W3729" i="114"/>
  <c r="W3730" i="114"/>
  <c r="W3731" i="114"/>
  <c r="W3732" i="114"/>
  <c r="W3733" i="114"/>
  <c r="W3734" i="114"/>
  <c r="W3735" i="114"/>
  <c r="W3736" i="114"/>
  <c r="W3737" i="114"/>
  <c r="W3738" i="114"/>
  <c r="W3739" i="114"/>
  <c r="W3740" i="114"/>
  <c r="W3741" i="114"/>
  <c r="W3742" i="114"/>
  <c r="W3743" i="114"/>
  <c r="W3744" i="114"/>
  <c r="W3745" i="114"/>
  <c r="W3746" i="114"/>
  <c r="W3747" i="114"/>
  <c r="W3748" i="114"/>
  <c r="W3749" i="114"/>
  <c r="W3750" i="114"/>
  <c r="W3751" i="114"/>
  <c r="W3752" i="114"/>
  <c r="W3753" i="114"/>
  <c r="W3754" i="114"/>
  <c r="W3755" i="114"/>
  <c r="W3756" i="114"/>
  <c r="W3757" i="114"/>
  <c r="W3758" i="114"/>
  <c r="W3759" i="114"/>
  <c r="W3760" i="114"/>
  <c r="W3761" i="114"/>
  <c r="W3762" i="114"/>
  <c r="W3763" i="114"/>
  <c r="W3764" i="114"/>
  <c r="W3765" i="114"/>
  <c r="W3766" i="114"/>
  <c r="W3767" i="114"/>
  <c r="W3768" i="114"/>
  <c r="W3769" i="114"/>
  <c r="W3770" i="114"/>
  <c r="W3771" i="114"/>
  <c r="W3772" i="114"/>
  <c r="W3773" i="114"/>
  <c r="W3774" i="114"/>
  <c r="W3775" i="114"/>
  <c r="W3776" i="114"/>
  <c r="W3777" i="114"/>
  <c r="W3778" i="114"/>
  <c r="W3779" i="114"/>
  <c r="W3780" i="114"/>
  <c r="W3781" i="114"/>
  <c r="W3782" i="114"/>
  <c r="W3783" i="114"/>
  <c r="W3784" i="114"/>
  <c r="W3785" i="114"/>
  <c r="W3786" i="114"/>
  <c r="W3787" i="114"/>
  <c r="W3788" i="114"/>
  <c r="W3789" i="114"/>
  <c r="W3790" i="114"/>
  <c r="W3791" i="114"/>
  <c r="W3792" i="114"/>
  <c r="W3793" i="114"/>
  <c r="W3794" i="114"/>
  <c r="W3795" i="114"/>
  <c r="W3796" i="114"/>
  <c r="W3797" i="114"/>
  <c r="W3798" i="114"/>
  <c r="W3799" i="114"/>
  <c r="W3800" i="114"/>
  <c r="W3801" i="114"/>
  <c r="W3802" i="114"/>
  <c r="W3803" i="114"/>
  <c r="W3804" i="114"/>
  <c r="W3805" i="114"/>
  <c r="W3806" i="114"/>
  <c r="W3807" i="114"/>
  <c r="W3808" i="114"/>
  <c r="W3809" i="114"/>
  <c r="W3810" i="114"/>
  <c r="W3811" i="114"/>
  <c r="W3812" i="114"/>
  <c r="W3813" i="114"/>
  <c r="W3814" i="114"/>
  <c r="W3815" i="114"/>
  <c r="W3816" i="114"/>
  <c r="W3817" i="114"/>
  <c r="W3818" i="114"/>
  <c r="W3819" i="114"/>
  <c r="W3820" i="114"/>
  <c r="W3821" i="114"/>
  <c r="W3822" i="114"/>
  <c r="W3823" i="114"/>
  <c r="W3824" i="114"/>
  <c r="W3825" i="114"/>
  <c r="W3826" i="114"/>
  <c r="W3827" i="114"/>
  <c r="W3828" i="114"/>
  <c r="W3829" i="114"/>
  <c r="W3830" i="114"/>
  <c r="W3831" i="114"/>
  <c r="W3832" i="114"/>
  <c r="W3833" i="114"/>
  <c r="W3834" i="114"/>
  <c r="W3835" i="114"/>
  <c r="W3836" i="114"/>
  <c r="W3837" i="114"/>
  <c r="W3838" i="114"/>
  <c r="W3839" i="114"/>
  <c r="W3840" i="114"/>
  <c r="W3841" i="114"/>
  <c r="W3842" i="114"/>
  <c r="W3843" i="114"/>
  <c r="W3844" i="114"/>
  <c r="W3845" i="114"/>
  <c r="W3846" i="114"/>
  <c r="W3847" i="114"/>
  <c r="W3848" i="114"/>
  <c r="W3849" i="114"/>
  <c r="W3850" i="114"/>
  <c r="W3851" i="114"/>
  <c r="W3852" i="114"/>
  <c r="W3853" i="114"/>
  <c r="W3854" i="114"/>
  <c r="W3855" i="114"/>
  <c r="W3856" i="114"/>
  <c r="W3857" i="114"/>
  <c r="W3858" i="114"/>
  <c r="W3859" i="114"/>
  <c r="W3860" i="114"/>
  <c r="W3861" i="114"/>
  <c r="W3862" i="114"/>
  <c r="W3863" i="114"/>
  <c r="W3864" i="114"/>
  <c r="W3865" i="114"/>
  <c r="W3866" i="114"/>
  <c r="W3867" i="114"/>
  <c r="W3868" i="114"/>
  <c r="W3869" i="114"/>
  <c r="W3870" i="114"/>
  <c r="W3871" i="114"/>
  <c r="W3872" i="114"/>
  <c r="W3873" i="114"/>
  <c r="W3874" i="114"/>
  <c r="W3875" i="114"/>
  <c r="W3876" i="114"/>
  <c r="W3877" i="114"/>
  <c r="W3878" i="114"/>
  <c r="W3879" i="114"/>
  <c r="W3880" i="114"/>
  <c r="W3881" i="114"/>
  <c r="W3882" i="114"/>
  <c r="W3883" i="114"/>
  <c r="W3884" i="114"/>
  <c r="W3885" i="114"/>
  <c r="W3886" i="114"/>
  <c r="W3887" i="114"/>
  <c r="W3888" i="114"/>
  <c r="W3889" i="114"/>
  <c r="W3890" i="114"/>
  <c r="W3891" i="114"/>
  <c r="W3892" i="114"/>
  <c r="W3893" i="114"/>
  <c r="W3894" i="114"/>
  <c r="W3895" i="114"/>
  <c r="W3896" i="114"/>
  <c r="W3897" i="114"/>
  <c r="W3898" i="114"/>
  <c r="W3899" i="114"/>
  <c r="W3900" i="114"/>
  <c r="W3901" i="114"/>
  <c r="W3902" i="114"/>
  <c r="W3903" i="114"/>
  <c r="W3904" i="114"/>
  <c r="W3905" i="114"/>
  <c r="W3906" i="114"/>
  <c r="W3907" i="114"/>
  <c r="W3908" i="114"/>
  <c r="W3909" i="114"/>
  <c r="W3910" i="114"/>
  <c r="W3911" i="114"/>
  <c r="W3912" i="114"/>
  <c r="W3913" i="114"/>
  <c r="W3914" i="114"/>
  <c r="W3915" i="114"/>
  <c r="W3916" i="114"/>
  <c r="W3917" i="114"/>
  <c r="W3918" i="114"/>
  <c r="W3919" i="114"/>
  <c r="W3920" i="114"/>
  <c r="W3921" i="114"/>
  <c r="W3922" i="114"/>
  <c r="W3923" i="114"/>
  <c r="W3924" i="114"/>
  <c r="W3925" i="114"/>
  <c r="W3926" i="114"/>
  <c r="W3927" i="114"/>
  <c r="W3928" i="114"/>
  <c r="W3929" i="114"/>
  <c r="W3930" i="114"/>
  <c r="W3931" i="114"/>
  <c r="W3932" i="114"/>
  <c r="W3933" i="114"/>
  <c r="W3934" i="114"/>
  <c r="W3935" i="114"/>
  <c r="W3936" i="114"/>
  <c r="W3937" i="114"/>
  <c r="W3938" i="114"/>
  <c r="W3939" i="114"/>
  <c r="W3940" i="114"/>
  <c r="W3941" i="114"/>
  <c r="W3942" i="114"/>
  <c r="W3943" i="114"/>
  <c r="W3944" i="114"/>
  <c r="W3945" i="114"/>
  <c r="W3946" i="114"/>
  <c r="W3947" i="114"/>
  <c r="W3948" i="114"/>
  <c r="W3949" i="114"/>
  <c r="W3950" i="114"/>
  <c r="W3951" i="114"/>
  <c r="W3952" i="114"/>
  <c r="W3953" i="114"/>
  <c r="W3954" i="114"/>
  <c r="W3955" i="114"/>
  <c r="W3956" i="114"/>
  <c r="W3957" i="114"/>
  <c r="W3958" i="114"/>
  <c r="W3959" i="114"/>
  <c r="W3960" i="114"/>
  <c r="W3961" i="114"/>
  <c r="W3962" i="114"/>
  <c r="W3963" i="114"/>
  <c r="W3964" i="114"/>
  <c r="W3965" i="114"/>
  <c r="W3966" i="114"/>
  <c r="W3967" i="114"/>
  <c r="W3968" i="114"/>
  <c r="W3969" i="114"/>
  <c r="W3970" i="114"/>
  <c r="W3971" i="114"/>
  <c r="W3972" i="114"/>
  <c r="W3973" i="114"/>
  <c r="W3974" i="114"/>
  <c r="W3975" i="114"/>
  <c r="W3976" i="114"/>
  <c r="W3977" i="114"/>
  <c r="W3978" i="114"/>
  <c r="W3979" i="114"/>
  <c r="W3980" i="114"/>
  <c r="W3981" i="114"/>
  <c r="W3982" i="114"/>
  <c r="W3983" i="114"/>
  <c r="W3984" i="114"/>
  <c r="W3985" i="114"/>
  <c r="W3986" i="114"/>
  <c r="W3987" i="114"/>
  <c r="W3988" i="114"/>
  <c r="W3989" i="114"/>
  <c r="W3990" i="114"/>
  <c r="W3991" i="114"/>
  <c r="W3992" i="114"/>
  <c r="W3993" i="114"/>
  <c r="W3994" i="114"/>
  <c r="W3995" i="114"/>
  <c r="W3996" i="114"/>
  <c r="W3997" i="114"/>
  <c r="W3998" i="114"/>
  <c r="W3999" i="114"/>
  <c r="W4000" i="114"/>
  <c r="W4001" i="114"/>
  <c r="W4002" i="114"/>
  <c r="W4003" i="114"/>
  <c r="W4004" i="114"/>
  <c r="W4005" i="114"/>
  <c r="W4006" i="114"/>
  <c r="W4007" i="114"/>
  <c r="W4008" i="114"/>
  <c r="W4009" i="114"/>
  <c r="W4010" i="114"/>
  <c r="W4011" i="114"/>
  <c r="W4012" i="114"/>
  <c r="W4013" i="114"/>
  <c r="W4014" i="114"/>
  <c r="W4015" i="114"/>
  <c r="W4016" i="114"/>
  <c r="W4017" i="114"/>
  <c r="W4018" i="114"/>
  <c r="W4019" i="114"/>
  <c r="W4020" i="114"/>
  <c r="W4021" i="114"/>
  <c r="W4022" i="114"/>
  <c r="W4023" i="114"/>
  <c r="W4024" i="114"/>
  <c r="W4025" i="114"/>
  <c r="W4026" i="114"/>
  <c r="W4027" i="114"/>
  <c r="W4028" i="114"/>
  <c r="W4029" i="114"/>
  <c r="W4030" i="114"/>
  <c r="W4031" i="114"/>
  <c r="W4032" i="114"/>
  <c r="W4033" i="114"/>
  <c r="W4034" i="114"/>
  <c r="W4035" i="114"/>
  <c r="W4036" i="114"/>
  <c r="W4037" i="114"/>
  <c r="W4038" i="114"/>
  <c r="W4039" i="114"/>
  <c r="W4040" i="114"/>
  <c r="W4041" i="114"/>
  <c r="W4042" i="114"/>
  <c r="W4043" i="114"/>
  <c r="W4044" i="114"/>
  <c r="W4045" i="114"/>
  <c r="W4046" i="114"/>
  <c r="W4047" i="114"/>
  <c r="W4048" i="114"/>
  <c r="W4049" i="114"/>
  <c r="W4050" i="114"/>
  <c r="W4051" i="114"/>
  <c r="W4052" i="114"/>
  <c r="W4053" i="114"/>
  <c r="W4054" i="114"/>
  <c r="W4055" i="114"/>
  <c r="W4056" i="114"/>
  <c r="W4057" i="114"/>
  <c r="W4058" i="114"/>
  <c r="W4059" i="114"/>
  <c r="W4060" i="114"/>
  <c r="W4061" i="114"/>
  <c r="W4062" i="114"/>
  <c r="W4063" i="114"/>
  <c r="W4064" i="114"/>
  <c r="W4065" i="114"/>
  <c r="W4066" i="114"/>
  <c r="W4067" i="114"/>
  <c r="W4068" i="114"/>
  <c r="W4069" i="114"/>
  <c r="W4070" i="114"/>
  <c r="W4071" i="114"/>
  <c r="W4072" i="114"/>
  <c r="W4073" i="114"/>
  <c r="W4074" i="114"/>
  <c r="W4075" i="114"/>
  <c r="W4076" i="114"/>
  <c r="W4077" i="114"/>
  <c r="W4078" i="114"/>
  <c r="W4079" i="114"/>
  <c r="W4080" i="114"/>
  <c r="W4081" i="114"/>
  <c r="W4082" i="114"/>
  <c r="W4083" i="114"/>
  <c r="W4084" i="114"/>
  <c r="W4085" i="114"/>
  <c r="W4086" i="114"/>
  <c r="W4087" i="114"/>
  <c r="W4088" i="114"/>
  <c r="W4089" i="114"/>
  <c r="W4090" i="114"/>
  <c r="W4091" i="114"/>
  <c r="W4092" i="114"/>
  <c r="W4093" i="114"/>
  <c r="W4094" i="114"/>
  <c r="W4095" i="114"/>
  <c r="W4096" i="114"/>
  <c r="W4097" i="114"/>
  <c r="W4098" i="114"/>
  <c r="W4099" i="114"/>
  <c r="W4100" i="114"/>
  <c r="W4101" i="114"/>
  <c r="W4102" i="114"/>
  <c r="W4103" i="114"/>
  <c r="W4104" i="114"/>
  <c r="W4105" i="114"/>
  <c r="W4106" i="114"/>
  <c r="W4107" i="114"/>
  <c r="W4108" i="114"/>
  <c r="W4109" i="114"/>
  <c r="W4110" i="114"/>
  <c r="W4111" i="114"/>
  <c r="W4112" i="114"/>
  <c r="W4113" i="114"/>
  <c r="W4114" i="114"/>
  <c r="W4115" i="114"/>
  <c r="W4116" i="114"/>
  <c r="W4117" i="114"/>
  <c r="W4118" i="114"/>
  <c r="W4119" i="114"/>
  <c r="W4120" i="114"/>
  <c r="W4121" i="114"/>
  <c r="W4122" i="114"/>
  <c r="W4123" i="114"/>
  <c r="W4124" i="114"/>
  <c r="W4125" i="114"/>
  <c r="W4126" i="114"/>
  <c r="W4127" i="114"/>
  <c r="W4128" i="114"/>
  <c r="W4129" i="114"/>
  <c r="W4130" i="114"/>
  <c r="W4131" i="114"/>
  <c r="W4132" i="114"/>
  <c r="W4133" i="114"/>
  <c r="W4134" i="114"/>
  <c r="W4135" i="114"/>
  <c r="W4136" i="114"/>
  <c r="W4137" i="114"/>
  <c r="W4138" i="114"/>
  <c r="W4139" i="114"/>
  <c r="W4140" i="114"/>
  <c r="W4141" i="114"/>
  <c r="W4142" i="114"/>
  <c r="W4143" i="114"/>
  <c r="W4144" i="114"/>
  <c r="W4145" i="114"/>
  <c r="W4146" i="114"/>
  <c r="W4147" i="114"/>
  <c r="W4148" i="114"/>
  <c r="W4149" i="114"/>
  <c r="W4150" i="114"/>
  <c r="W4151" i="114"/>
  <c r="W4152" i="114"/>
  <c r="W4153" i="114"/>
  <c r="W4154" i="114"/>
  <c r="W4155" i="114"/>
  <c r="W4156" i="114"/>
  <c r="W4157" i="114"/>
  <c r="W4158" i="114"/>
  <c r="W4159" i="114"/>
  <c r="W4160" i="114"/>
  <c r="W4161" i="114"/>
  <c r="W4162" i="114"/>
  <c r="W4163" i="114"/>
  <c r="W4164" i="114"/>
  <c r="W4165" i="114"/>
  <c r="W4166" i="114"/>
  <c r="W4167" i="114"/>
  <c r="W4168" i="114"/>
  <c r="W4169" i="114"/>
  <c r="W4170" i="114"/>
  <c r="W4171" i="114"/>
  <c r="W4172" i="114"/>
  <c r="W4173" i="114"/>
  <c r="W4174" i="114"/>
  <c r="W4175" i="114"/>
  <c r="W4176" i="114"/>
  <c r="W4177" i="114"/>
  <c r="W4178" i="114"/>
  <c r="W4179" i="114"/>
  <c r="W4180" i="114"/>
  <c r="W4181" i="114"/>
  <c r="W4182" i="114"/>
  <c r="W4183" i="114"/>
  <c r="W4184" i="114"/>
  <c r="W4185" i="114"/>
  <c r="W4186" i="114"/>
  <c r="W4187" i="114"/>
  <c r="W4188" i="114"/>
  <c r="W4189" i="114"/>
  <c r="W4190" i="114"/>
  <c r="W4191" i="114"/>
  <c r="W4192" i="114"/>
  <c r="W4193" i="114"/>
  <c r="W4194" i="114"/>
  <c r="W4195" i="114"/>
  <c r="W4196" i="114"/>
  <c r="W4197" i="114"/>
  <c r="W4198" i="114"/>
  <c r="W4199" i="114"/>
  <c r="W4200" i="114"/>
  <c r="W4201" i="114"/>
  <c r="W4202" i="114"/>
  <c r="W4203" i="114"/>
  <c r="W4204" i="114"/>
  <c r="W4205" i="114"/>
  <c r="W4206" i="114"/>
  <c r="W4207" i="114"/>
  <c r="W4208" i="114"/>
  <c r="W4209" i="114"/>
  <c r="W4210" i="114"/>
  <c r="W4211" i="114"/>
  <c r="W4212" i="114"/>
  <c r="W4213" i="114"/>
  <c r="W4214" i="114"/>
  <c r="W4215" i="114"/>
  <c r="W4216" i="114"/>
  <c r="W4217" i="114"/>
  <c r="W4218" i="114"/>
  <c r="W4219" i="114"/>
  <c r="W4220" i="114"/>
  <c r="W4221" i="114"/>
  <c r="W4222" i="114"/>
  <c r="W4223" i="114"/>
  <c r="W4224" i="114"/>
  <c r="W4225" i="114"/>
  <c r="W4226" i="114"/>
  <c r="W4227" i="114"/>
  <c r="W4228" i="114"/>
  <c r="W4229" i="114"/>
  <c r="W4230" i="114"/>
  <c r="W4231" i="114"/>
  <c r="W4232" i="114"/>
  <c r="W4233" i="114"/>
  <c r="W4234" i="114"/>
  <c r="W4235" i="114"/>
  <c r="W4236" i="114"/>
  <c r="W4237" i="114"/>
  <c r="W4238" i="114"/>
  <c r="W4239" i="114"/>
  <c r="W4240" i="114"/>
  <c r="W4241" i="114"/>
  <c r="W4242" i="114"/>
  <c r="W4243" i="114"/>
  <c r="W4244" i="114"/>
  <c r="W4245" i="114"/>
  <c r="W4246" i="114"/>
  <c r="W4247" i="114"/>
  <c r="W4248" i="114"/>
  <c r="W4249" i="114"/>
  <c r="W4250" i="114"/>
  <c r="W4251" i="114"/>
  <c r="W4252" i="114"/>
  <c r="W4253" i="114"/>
  <c r="W4254" i="114"/>
  <c r="W4255" i="114"/>
  <c r="W4256" i="114"/>
  <c r="W4257" i="114"/>
  <c r="W4258" i="114"/>
  <c r="W4259" i="114"/>
  <c r="W4260" i="114"/>
  <c r="W4261" i="114"/>
  <c r="W4262" i="114"/>
  <c r="W4263" i="114"/>
  <c r="W4264" i="114"/>
  <c r="W4265" i="114"/>
  <c r="W4266" i="114"/>
  <c r="W4267" i="114"/>
  <c r="W4268" i="114"/>
  <c r="W4269" i="114"/>
  <c r="W4270" i="114"/>
  <c r="W4271" i="114"/>
  <c r="W4272" i="114"/>
  <c r="W4273" i="114"/>
  <c r="W4274" i="114"/>
  <c r="W4275" i="114"/>
  <c r="W4276" i="114"/>
  <c r="W4277" i="114"/>
  <c r="W4278" i="114"/>
  <c r="W4279" i="114"/>
  <c r="W4280" i="114"/>
  <c r="W4281" i="114"/>
  <c r="W4282" i="114"/>
  <c r="W4283" i="114"/>
  <c r="W4284" i="114"/>
  <c r="W4285" i="114"/>
  <c r="W4286" i="114"/>
  <c r="W4287" i="114"/>
  <c r="W4288" i="114"/>
  <c r="W4289" i="114"/>
  <c r="W4290" i="114"/>
  <c r="W4291" i="114"/>
  <c r="W4292" i="114"/>
  <c r="W4293" i="114"/>
  <c r="W4294" i="114"/>
  <c r="W4295" i="114"/>
  <c r="W4296" i="114"/>
  <c r="W4297" i="114"/>
  <c r="W4298" i="114"/>
  <c r="W4299" i="114"/>
  <c r="W4300" i="114"/>
  <c r="W4301" i="114"/>
  <c r="W4302" i="114"/>
  <c r="W4303" i="114"/>
  <c r="W4304" i="114"/>
  <c r="W4305" i="114"/>
  <c r="W4306" i="114"/>
  <c r="W4307" i="114"/>
  <c r="W4308" i="114"/>
  <c r="W4309" i="114"/>
  <c r="W4310" i="114"/>
  <c r="W4311" i="114"/>
  <c r="W4312" i="114"/>
  <c r="W4313" i="114"/>
  <c r="W4314" i="114"/>
  <c r="W4315" i="114"/>
  <c r="W4316" i="114"/>
  <c r="W4317" i="114"/>
  <c r="W4318" i="114"/>
  <c r="W4319" i="114"/>
  <c r="W4320" i="114"/>
  <c r="W4321" i="114"/>
  <c r="W4322" i="114"/>
  <c r="W4323" i="114"/>
  <c r="W4324" i="114"/>
  <c r="W4325" i="114"/>
  <c r="W4326" i="114"/>
  <c r="W4327" i="114"/>
  <c r="W4328" i="114"/>
  <c r="W4329" i="114"/>
  <c r="W4330" i="114"/>
  <c r="W4331" i="114"/>
  <c r="W4332" i="114"/>
  <c r="W4333" i="114"/>
  <c r="W4334" i="114"/>
  <c r="W4335" i="114"/>
  <c r="W4336" i="114"/>
  <c r="W4337" i="114"/>
  <c r="W4338" i="114"/>
  <c r="W4339" i="114"/>
  <c r="W4340" i="114"/>
  <c r="W4341" i="114"/>
  <c r="W4342" i="114"/>
  <c r="W4343" i="114"/>
  <c r="W4344" i="114"/>
  <c r="W4345" i="114"/>
  <c r="W4346" i="114"/>
  <c r="W4347" i="114"/>
  <c r="W4348" i="114"/>
  <c r="W4349" i="114"/>
  <c r="W4350" i="114"/>
  <c r="W4351" i="114"/>
  <c r="W4352" i="114"/>
  <c r="W4353" i="114"/>
  <c r="W4354" i="114"/>
  <c r="W4355" i="114"/>
  <c r="W4356" i="114"/>
  <c r="W4357" i="114"/>
  <c r="W4358" i="114"/>
  <c r="W4359" i="114"/>
  <c r="W4360" i="114"/>
  <c r="W4361" i="114"/>
  <c r="W4362" i="114"/>
  <c r="W4363" i="114"/>
  <c r="W4364" i="114"/>
  <c r="W4365" i="114"/>
  <c r="W4366" i="114"/>
  <c r="W4367" i="114"/>
  <c r="W4368" i="114"/>
  <c r="W4369" i="114"/>
  <c r="W4370" i="114"/>
  <c r="W4371" i="114"/>
  <c r="W4372" i="114"/>
  <c r="W4373" i="114"/>
  <c r="W4374" i="114"/>
  <c r="W4375" i="114"/>
  <c r="W4376" i="114"/>
  <c r="W4377" i="114"/>
  <c r="W4378" i="114"/>
  <c r="W4379" i="114"/>
  <c r="W4380" i="114"/>
  <c r="W4381" i="114"/>
  <c r="W4382" i="114"/>
  <c r="W4383" i="114"/>
  <c r="W4384" i="114"/>
  <c r="W4385" i="114"/>
  <c r="W4386" i="114"/>
  <c r="W4387" i="114"/>
  <c r="W4388" i="114"/>
  <c r="W4389" i="114"/>
  <c r="W4390" i="114"/>
  <c r="W4391" i="114"/>
  <c r="W4392" i="114"/>
  <c r="W4393" i="114"/>
  <c r="W4394" i="114"/>
  <c r="W4395" i="114"/>
  <c r="W4396" i="114"/>
  <c r="W4397" i="114"/>
  <c r="W4398" i="114"/>
  <c r="W4399" i="114"/>
  <c r="W4400" i="114"/>
  <c r="W4401" i="114"/>
  <c r="W4402" i="114"/>
  <c r="W4403" i="114"/>
  <c r="W4404" i="114"/>
  <c r="W4405" i="114"/>
  <c r="W4406" i="114"/>
  <c r="W4407" i="114"/>
  <c r="W4408" i="114"/>
  <c r="W4409" i="114"/>
  <c r="W4410" i="114"/>
  <c r="W4411" i="114"/>
  <c r="W4412" i="114"/>
  <c r="W4413" i="114"/>
  <c r="W4414" i="114"/>
  <c r="W4415" i="114"/>
  <c r="W4416" i="114"/>
  <c r="W4417" i="114"/>
  <c r="W4418" i="114"/>
  <c r="W4419" i="114"/>
  <c r="W4420" i="114"/>
  <c r="W4421" i="114"/>
  <c r="W4422" i="114"/>
  <c r="W4423" i="114"/>
  <c r="W4424" i="114"/>
  <c r="W4425" i="114"/>
  <c r="W4426" i="114"/>
  <c r="W4427" i="114"/>
  <c r="W4428" i="114"/>
  <c r="W4429" i="114"/>
  <c r="W4430" i="114"/>
  <c r="W4431" i="114"/>
  <c r="W4432" i="114"/>
  <c r="W4433" i="114"/>
  <c r="W4434" i="114"/>
  <c r="W4435" i="114"/>
  <c r="W4436" i="114"/>
  <c r="W4437" i="114"/>
  <c r="W4438" i="114"/>
  <c r="W4439" i="114"/>
  <c r="W4440" i="114"/>
  <c r="W4441" i="114"/>
  <c r="W4442" i="114"/>
  <c r="W4443" i="114"/>
  <c r="W4444" i="114"/>
  <c r="W4445" i="114"/>
  <c r="W4446" i="114"/>
  <c r="W4447" i="114"/>
  <c r="W4448" i="114"/>
  <c r="W4449" i="114"/>
  <c r="W4450" i="114"/>
  <c r="W4451" i="114"/>
  <c r="W4452" i="114"/>
  <c r="W4453" i="114"/>
  <c r="W4454" i="114"/>
  <c r="W4455" i="114"/>
  <c r="W4456" i="114"/>
  <c r="W4457" i="114"/>
  <c r="W4458" i="114"/>
  <c r="W4459" i="114"/>
  <c r="W4460" i="114"/>
  <c r="W4461" i="114"/>
  <c r="W4462" i="114"/>
  <c r="W4463" i="114"/>
  <c r="W4464" i="114"/>
  <c r="W4465" i="114"/>
  <c r="W4466" i="114"/>
  <c r="W4467" i="114"/>
  <c r="W4468" i="114"/>
  <c r="W4469" i="114"/>
  <c r="W4470" i="114"/>
  <c r="W4471" i="114"/>
  <c r="W4472" i="114"/>
  <c r="W4473" i="114"/>
  <c r="W4474" i="114"/>
  <c r="W4475" i="114"/>
  <c r="W4476" i="114"/>
  <c r="W4477" i="114"/>
  <c r="W4478" i="114"/>
  <c r="W4479" i="114"/>
  <c r="W4480" i="114"/>
  <c r="W4481" i="114"/>
  <c r="W4482" i="114"/>
  <c r="W4483" i="114"/>
  <c r="W4484" i="114"/>
  <c r="W4485" i="114"/>
  <c r="W4486" i="114"/>
  <c r="W4487" i="114"/>
  <c r="W4488" i="114"/>
  <c r="W4489" i="114"/>
  <c r="W4490" i="114"/>
  <c r="W4491" i="114"/>
  <c r="W4492" i="114"/>
  <c r="W4493" i="114"/>
  <c r="W4494" i="114"/>
  <c r="W4495" i="114"/>
  <c r="W4496" i="114"/>
  <c r="W4497" i="114"/>
  <c r="W4498" i="114"/>
  <c r="W4499" i="114"/>
  <c r="W4500" i="114"/>
  <c r="W4501" i="114"/>
  <c r="W4502" i="114"/>
  <c r="W4503" i="114"/>
  <c r="W4504" i="114"/>
  <c r="W4505" i="114"/>
  <c r="W4506" i="114"/>
  <c r="W4507" i="114"/>
  <c r="W4508" i="114"/>
  <c r="W4509" i="114"/>
  <c r="W4510" i="114"/>
  <c r="W4511" i="114"/>
  <c r="W4512" i="114"/>
  <c r="W4513" i="114"/>
  <c r="W4514" i="114"/>
  <c r="W4515" i="114"/>
  <c r="W4516" i="114"/>
  <c r="W4517" i="114"/>
  <c r="W4518" i="114"/>
  <c r="W4519" i="114"/>
  <c r="W4520" i="114"/>
  <c r="W4521" i="114"/>
  <c r="W4522" i="114"/>
  <c r="W4523" i="114"/>
  <c r="W4524" i="114"/>
  <c r="W4525" i="114"/>
  <c r="W4526" i="114"/>
  <c r="W4527" i="114"/>
  <c r="W4528" i="114"/>
  <c r="W4529" i="114"/>
  <c r="W4530" i="114"/>
  <c r="W4531" i="114"/>
  <c r="W4532" i="114"/>
  <c r="W4533" i="114"/>
  <c r="W4534" i="114"/>
  <c r="W4535" i="114"/>
  <c r="W4536" i="114"/>
  <c r="W4537" i="114"/>
  <c r="W4538" i="114"/>
  <c r="W4539" i="114"/>
  <c r="W4540" i="114"/>
  <c r="W4541" i="114"/>
  <c r="W4542" i="114"/>
  <c r="W4543" i="114"/>
  <c r="W4544" i="114"/>
  <c r="W4545" i="114"/>
  <c r="W4546" i="114"/>
  <c r="W4547" i="114"/>
  <c r="W4548" i="114"/>
  <c r="W4549" i="114"/>
  <c r="W4550" i="114"/>
  <c r="W4551" i="114"/>
  <c r="W4552" i="114"/>
  <c r="W4553" i="114"/>
  <c r="W4554" i="114"/>
  <c r="W4555" i="114"/>
  <c r="W4556" i="114"/>
  <c r="W4557" i="114"/>
  <c r="W4558" i="114"/>
  <c r="W4559" i="114"/>
  <c r="W4560" i="114"/>
  <c r="W4561" i="114"/>
  <c r="W4562" i="114"/>
  <c r="W4563" i="114"/>
  <c r="W4564" i="114"/>
  <c r="W4565" i="114"/>
  <c r="W4566" i="114"/>
  <c r="W4567" i="114"/>
  <c r="W4568" i="114"/>
  <c r="W4569" i="114"/>
  <c r="W4570" i="114"/>
  <c r="W4571" i="114"/>
  <c r="W4572" i="114"/>
  <c r="W4573" i="114"/>
  <c r="W4574" i="114"/>
  <c r="W4575" i="114"/>
  <c r="W4576" i="114"/>
  <c r="W4577" i="114"/>
  <c r="W4578" i="114"/>
  <c r="W4579" i="114"/>
  <c r="W4580" i="114"/>
  <c r="W4581" i="114"/>
  <c r="W4582" i="114"/>
  <c r="W4583" i="114"/>
  <c r="W4584" i="114"/>
  <c r="W4585" i="114"/>
  <c r="W4586" i="114"/>
  <c r="W4587" i="114"/>
  <c r="W4588" i="114"/>
  <c r="W4589" i="114"/>
  <c r="W4590" i="114"/>
  <c r="W4591" i="114"/>
  <c r="W4592" i="114"/>
  <c r="W4593" i="114"/>
  <c r="W4594" i="114"/>
  <c r="W4595" i="114"/>
  <c r="W4596" i="114"/>
  <c r="W4597" i="114"/>
  <c r="W4598" i="114"/>
  <c r="W4599" i="114"/>
  <c r="W4600" i="114"/>
  <c r="W4601" i="114"/>
  <c r="W4602" i="114"/>
  <c r="W4603" i="114"/>
  <c r="W4604" i="114"/>
  <c r="W4605" i="114"/>
  <c r="W4606" i="114"/>
  <c r="W4607" i="114"/>
  <c r="W4608" i="114"/>
  <c r="W4609" i="114"/>
  <c r="W4610" i="114"/>
  <c r="W4611" i="114"/>
  <c r="W4612" i="114"/>
  <c r="W4613" i="114"/>
  <c r="W4614" i="114"/>
  <c r="W4615" i="114"/>
  <c r="W4616" i="114"/>
  <c r="W4617" i="114"/>
  <c r="W4618" i="114"/>
  <c r="W4619" i="114"/>
  <c r="W4620" i="114"/>
  <c r="W4621" i="114"/>
  <c r="W4622" i="114"/>
  <c r="W4623" i="114"/>
  <c r="W4624" i="114"/>
  <c r="W4625" i="114"/>
  <c r="W4626" i="114"/>
  <c r="W4627" i="114"/>
  <c r="W4628" i="114"/>
  <c r="W4629" i="114"/>
  <c r="W4630" i="114"/>
  <c r="W4631" i="114"/>
  <c r="W4632" i="114"/>
  <c r="W4633" i="114"/>
  <c r="W4634" i="114"/>
  <c r="W4635" i="114"/>
  <c r="W4636" i="114"/>
  <c r="W4637" i="114"/>
  <c r="W4638" i="114"/>
  <c r="W4639" i="114"/>
  <c r="W4640" i="114"/>
  <c r="W4641" i="114"/>
  <c r="W4642" i="114"/>
  <c r="W4643" i="114"/>
  <c r="W4644" i="114"/>
  <c r="W4645" i="114"/>
  <c r="W4646" i="114"/>
  <c r="W4647" i="114"/>
  <c r="W4648" i="114"/>
  <c r="W4649" i="114"/>
  <c r="W4650" i="114"/>
  <c r="W4651" i="114"/>
  <c r="W4652" i="114"/>
  <c r="W4653" i="114"/>
  <c r="W4654" i="114"/>
  <c r="W4655" i="114"/>
  <c r="W4656" i="114"/>
  <c r="W4657" i="114"/>
  <c r="W4658" i="114"/>
  <c r="W4659" i="114"/>
  <c r="W4660" i="114"/>
  <c r="W4661" i="114"/>
  <c r="W4662" i="114"/>
  <c r="W4663" i="114"/>
  <c r="W4664" i="114"/>
  <c r="W4665" i="114"/>
  <c r="W4666" i="114"/>
  <c r="W4667" i="114"/>
  <c r="W4668" i="114"/>
  <c r="W4669" i="114"/>
  <c r="W4670" i="114"/>
  <c r="W4671" i="114"/>
  <c r="W4672" i="114"/>
  <c r="W4673" i="114"/>
  <c r="W4674" i="114"/>
  <c r="W4675" i="114"/>
  <c r="W4676" i="114"/>
  <c r="W4677" i="114"/>
  <c r="W4678" i="114"/>
  <c r="W4679" i="114"/>
  <c r="W4680" i="114"/>
  <c r="W4681" i="114"/>
  <c r="W4682" i="114"/>
  <c r="W4683" i="114"/>
  <c r="W4684" i="114"/>
  <c r="W4685" i="114"/>
  <c r="W4686" i="114"/>
  <c r="W4687" i="114"/>
  <c r="W4688" i="114"/>
  <c r="W4689" i="114"/>
  <c r="W4690" i="114"/>
  <c r="W4691" i="114"/>
  <c r="W4692" i="114"/>
  <c r="W4693" i="114"/>
  <c r="W4694" i="114"/>
  <c r="W4695" i="114"/>
  <c r="W4696" i="114"/>
  <c r="W4697" i="114"/>
  <c r="W4698" i="114"/>
  <c r="W4699" i="114"/>
  <c r="W4700" i="114"/>
  <c r="W4701" i="114"/>
  <c r="W4702" i="114"/>
  <c r="W4703" i="114"/>
  <c r="W4704" i="114"/>
  <c r="W4705" i="114"/>
  <c r="W4706" i="114"/>
  <c r="W4707" i="114"/>
  <c r="W4708" i="114"/>
  <c r="W4709" i="114"/>
  <c r="W4710" i="114"/>
  <c r="W4711" i="114"/>
  <c r="W4712" i="114"/>
  <c r="W4713" i="114"/>
  <c r="W4714" i="114"/>
  <c r="W4715" i="114"/>
  <c r="W4716" i="114"/>
  <c r="W4717" i="114"/>
  <c r="W4718" i="114"/>
  <c r="W4719" i="114"/>
  <c r="W4720" i="114"/>
  <c r="W4721" i="114"/>
  <c r="W4722" i="114"/>
  <c r="W4723" i="114"/>
  <c r="W4724" i="114"/>
  <c r="W4725" i="114"/>
  <c r="W4726" i="114"/>
  <c r="W4727" i="114"/>
  <c r="W4728" i="114"/>
  <c r="W4729" i="114"/>
  <c r="W4730" i="114"/>
  <c r="W4731" i="114"/>
  <c r="W4732" i="114"/>
  <c r="W4733" i="114"/>
  <c r="W4734" i="114"/>
  <c r="W4735" i="114"/>
  <c r="W4736" i="114"/>
  <c r="W4737" i="114"/>
  <c r="W4738" i="114"/>
  <c r="W4739" i="114"/>
  <c r="W4740" i="114"/>
  <c r="W4741" i="114"/>
  <c r="W4742" i="114"/>
  <c r="W4743" i="114"/>
  <c r="W4744" i="114"/>
  <c r="W4745" i="114"/>
  <c r="W4746" i="114"/>
  <c r="W4747" i="114"/>
  <c r="W4748" i="114"/>
  <c r="W4749" i="114"/>
  <c r="W4750" i="114"/>
  <c r="W4751" i="114"/>
  <c r="W4752" i="114"/>
  <c r="W4753" i="114"/>
  <c r="W4754" i="114"/>
  <c r="W4755" i="114"/>
  <c r="W4756" i="114"/>
  <c r="W4757" i="114"/>
  <c r="W4758" i="114"/>
  <c r="W4759" i="114"/>
  <c r="W4760" i="114"/>
  <c r="W4761" i="114"/>
  <c r="W4762" i="114"/>
  <c r="W4763" i="114"/>
  <c r="W4764" i="114"/>
  <c r="W4765" i="114"/>
  <c r="W4766" i="114"/>
  <c r="W4767" i="114"/>
  <c r="W4768" i="114"/>
  <c r="W4769" i="114"/>
  <c r="W4770" i="114"/>
  <c r="W4771" i="114"/>
  <c r="W4772" i="114"/>
  <c r="W4773" i="114"/>
  <c r="W4774" i="114"/>
  <c r="W4775" i="114"/>
  <c r="W4776" i="114"/>
  <c r="W4777" i="114"/>
  <c r="W4778" i="114"/>
  <c r="W4779" i="114"/>
  <c r="W4780" i="114"/>
  <c r="W4781" i="114"/>
  <c r="W4782" i="114"/>
  <c r="W4783" i="114"/>
  <c r="W4784" i="114"/>
  <c r="W4785" i="114"/>
  <c r="W4786" i="114"/>
  <c r="W4787" i="114"/>
  <c r="W4788" i="114"/>
  <c r="W4789" i="114"/>
  <c r="W4790" i="114"/>
  <c r="W4791" i="114"/>
  <c r="W4792" i="114"/>
  <c r="W4793" i="114"/>
  <c r="W4794" i="114"/>
  <c r="W4795" i="114"/>
  <c r="W4796" i="114"/>
  <c r="W4797" i="114"/>
  <c r="W4798" i="114"/>
  <c r="W4799" i="114"/>
  <c r="W4800" i="114"/>
  <c r="W4801" i="114"/>
  <c r="W4802" i="114"/>
  <c r="W4803" i="114"/>
  <c r="W4804" i="114"/>
  <c r="W4805" i="114"/>
  <c r="W4806" i="114"/>
  <c r="W4807" i="114"/>
  <c r="W4808" i="114"/>
  <c r="W4809" i="114"/>
  <c r="W4810" i="114"/>
  <c r="W4811" i="114"/>
  <c r="W4812" i="114"/>
  <c r="W4813" i="114"/>
  <c r="W4814" i="114"/>
  <c r="W4815" i="114"/>
  <c r="W4816" i="114"/>
  <c r="W4817" i="114"/>
  <c r="W4818" i="114"/>
  <c r="W4819" i="114"/>
  <c r="W4820" i="114"/>
  <c r="W4821" i="114"/>
  <c r="W4822" i="114"/>
  <c r="W4823" i="114"/>
  <c r="W4824" i="114"/>
  <c r="W4825" i="114"/>
  <c r="W4826" i="114"/>
  <c r="W4827" i="114"/>
  <c r="W4828" i="114"/>
  <c r="W4829" i="114"/>
  <c r="W4830" i="114"/>
  <c r="W4831" i="114"/>
  <c r="W4832" i="114"/>
  <c r="W4833" i="114"/>
  <c r="W4834" i="114"/>
  <c r="W4835" i="114"/>
  <c r="W4836" i="114"/>
  <c r="W4837" i="114"/>
  <c r="W4838" i="114"/>
  <c r="W4839" i="114"/>
  <c r="W4840" i="114"/>
  <c r="W4841" i="114"/>
  <c r="W4842" i="114"/>
  <c r="W4843" i="114"/>
  <c r="W4844" i="114"/>
  <c r="W4845" i="114"/>
  <c r="W4846" i="114"/>
  <c r="W4847" i="114"/>
  <c r="W4848" i="114"/>
  <c r="W4849" i="114"/>
  <c r="W4850" i="114"/>
  <c r="W4851" i="114"/>
  <c r="W4852" i="114"/>
  <c r="W4853" i="114"/>
  <c r="W4854" i="114"/>
  <c r="W4855" i="114"/>
  <c r="W4856" i="114"/>
  <c r="W4857" i="114"/>
  <c r="W4858" i="114"/>
  <c r="W4859" i="114"/>
  <c r="W4860" i="114"/>
  <c r="W4861" i="114"/>
  <c r="W4862" i="114"/>
  <c r="W4863" i="114"/>
  <c r="W4864" i="114"/>
  <c r="W4865" i="114"/>
  <c r="W4866" i="114"/>
  <c r="W4867" i="114"/>
  <c r="W4868" i="114"/>
  <c r="W4869" i="114"/>
  <c r="W4870" i="114"/>
  <c r="W4871" i="114"/>
  <c r="W4872" i="114"/>
  <c r="W4873" i="114"/>
  <c r="W4874" i="114"/>
  <c r="W4875" i="114"/>
  <c r="W4876" i="114"/>
  <c r="W4877" i="114"/>
  <c r="W4878" i="114"/>
  <c r="W4879" i="114"/>
  <c r="W4880" i="114"/>
  <c r="W4881" i="114"/>
  <c r="W4882" i="114"/>
  <c r="W4883" i="114"/>
  <c r="W4884" i="114"/>
  <c r="W4885" i="114"/>
  <c r="W4886" i="114"/>
  <c r="W4887" i="114"/>
  <c r="W4888" i="114"/>
  <c r="W4889" i="114"/>
  <c r="W4890" i="114"/>
  <c r="W4891" i="114"/>
  <c r="W4892" i="114"/>
  <c r="W4893" i="114"/>
  <c r="W4894" i="114"/>
  <c r="W4895" i="114"/>
  <c r="W4896" i="114"/>
  <c r="W4897" i="114"/>
  <c r="W4898" i="114"/>
  <c r="W4899" i="114"/>
  <c r="W4900" i="114"/>
  <c r="W4901" i="114"/>
  <c r="W4902" i="114"/>
  <c r="W4903" i="114"/>
  <c r="W4904" i="114"/>
  <c r="W4905" i="114"/>
  <c r="W4906" i="114"/>
  <c r="W4907" i="114"/>
  <c r="W4908" i="114"/>
  <c r="W4909" i="114"/>
  <c r="W4910" i="114"/>
  <c r="W4911" i="114"/>
  <c r="W4912" i="114"/>
  <c r="W4913" i="114"/>
  <c r="W4914" i="114"/>
  <c r="W4915" i="114"/>
  <c r="W4916" i="114"/>
  <c r="W4917" i="114"/>
  <c r="W4918" i="114"/>
  <c r="W4919" i="114"/>
  <c r="W4920" i="114"/>
  <c r="W4921" i="114"/>
  <c r="W4922" i="114"/>
  <c r="W4923" i="114"/>
  <c r="W4924" i="114"/>
  <c r="W4925" i="114"/>
  <c r="W4926" i="114"/>
  <c r="W4927" i="114"/>
  <c r="W4928" i="114"/>
  <c r="W4929" i="114"/>
  <c r="W4930" i="114"/>
  <c r="W4931" i="114"/>
  <c r="W4932" i="114"/>
  <c r="W4933" i="114"/>
  <c r="W4934" i="114"/>
  <c r="W4935" i="114"/>
  <c r="W4936" i="114"/>
  <c r="W4937" i="114"/>
  <c r="W4938" i="114"/>
  <c r="W4939" i="114"/>
  <c r="W4940" i="114"/>
  <c r="W4941" i="114"/>
  <c r="W4942" i="114"/>
  <c r="W4943" i="114"/>
  <c r="W4944" i="114"/>
  <c r="W4945" i="114"/>
  <c r="W4946" i="114"/>
  <c r="W4947" i="114"/>
  <c r="W4948" i="114"/>
  <c r="W4949" i="114"/>
  <c r="W4950" i="114"/>
  <c r="W4951" i="114"/>
  <c r="W4952" i="114"/>
  <c r="W4953" i="114"/>
  <c r="W4954" i="114"/>
  <c r="W4955" i="114"/>
  <c r="W4956" i="114"/>
  <c r="W4957" i="114"/>
  <c r="W4958" i="114"/>
  <c r="W4959" i="114"/>
  <c r="W4960" i="114"/>
  <c r="W4961" i="114"/>
  <c r="W4962" i="114"/>
  <c r="W4963" i="114"/>
  <c r="W4964" i="114"/>
  <c r="W4965" i="114"/>
  <c r="W4966" i="114"/>
  <c r="W4967" i="114"/>
  <c r="W4968" i="114"/>
  <c r="W4969" i="114"/>
  <c r="W4970" i="114"/>
  <c r="W4971" i="114"/>
  <c r="W4972" i="114"/>
  <c r="W4973" i="114"/>
  <c r="W4974" i="114"/>
  <c r="W4975" i="114"/>
  <c r="W4976" i="114"/>
  <c r="W4977" i="114"/>
  <c r="W4978" i="114"/>
  <c r="W4979" i="114"/>
  <c r="W4980" i="114"/>
  <c r="W4981" i="114"/>
  <c r="W4982" i="114"/>
  <c r="W4983" i="114"/>
  <c r="W4984" i="114"/>
  <c r="W4985" i="114"/>
  <c r="W4986" i="114"/>
  <c r="W4987" i="114"/>
  <c r="W4988" i="114"/>
  <c r="W4989" i="114"/>
  <c r="W4990" i="114"/>
  <c r="W4991" i="114"/>
  <c r="W4992" i="114"/>
  <c r="W4993" i="114"/>
  <c r="W4994" i="114"/>
  <c r="W4995" i="114"/>
  <c r="W4996" i="114"/>
  <c r="W4997" i="114"/>
  <c r="W4998" i="114"/>
  <c r="W4999" i="114"/>
  <c r="W5000" i="114"/>
  <c r="W5001" i="114"/>
  <c r="W5002" i="114"/>
  <c r="W5003" i="114"/>
  <c r="W5004" i="114"/>
  <c r="W5005" i="114"/>
  <c r="W5006" i="114"/>
  <c r="W5007" i="114"/>
  <c r="W5008" i="114"/>
  <c r="W5009" i="114"/>
  <c r="W5010" i="114"/>
  <c r="W5011" i="114"/>
  <c r="W5012" i="114"/>
  <c r="W5013" i="114"/>
  <c r="W5014" i="114"/>
  <c r="W5015" i="114"/>
  <c r="W5016" i="114"/>
  <c r="W5017" i="114"/>
  <c r="W5018" i="114"/>
  <c r="W5019" i="114"/>
  <c r="W5020" i="114"/>
  <c r="W5021" i="114"/>
  <c r="W5022" i="114"/>
  <c r="W5023" i="114"/>
  <c r="W5024" i="114"/>
  <c r="W5025" i="114"/>
  <c r="W5026" i="114"/>
  <c r="W5027" i="114"/>
  <c r="W5028" i="114"/>
  <c r="W5029" i="114"/>
  <c r="W5030" i="114"/>
  <c r="W5031" i="114"/>
  <c r="W5032" i="114"/>
  <c r="W5033" i="114"/>
  <c r="W5034" i="114"/>
  <c r="W5035" i="114"/>
  <c r="W5036" i="114"/>
  <c r="W5037" i="114"/>
  <c r="W5038" i="114"/>
  <c r="W5039" i="114"/>
  <c r="W5040" i="114"/>
  <c r="W5041" i="114"/>
  <c r="W5042" i="114"/>
  <c r="W5043" i="114"/>
  <c r="W5044" i="114"/>
  <c r="W5045" i="114"/>
  <c r="W5046" i="114"/>
  <c r="W5047" i="114"/>
  <c r="W5048" i="114"/>
  <c r="W5049" i="114"/>
  <c r="W5050" i="114"/>
  <c r="W5051" i="114"/>
  <c r="W5052" i="114"/>
  <c r="W5053" i="114"/>
  <c r="W5054" i="114"/>
  <c r="W5055" i="114"/>
  <c r="W5056" i="114"/>
  <c r="W5057" i="114"/>
  <c r="W5058" i="114"/>
  <c r="W5059" i="114"/>
  <c r="W5060" i="114"/>
  <c r="W5061" i="114"/>
  <c r="W5062" i="114"/>
  <c r="W5063" i="114"/>
  <c r="W5064" i="114"/>
  <c r="W5065" i="114"/>
  <c r="W5066" i="114"/>
  <c r="W5067" i="114"/>
  <c r="W5068" i="114"/>
  <c r="W5069" i="114"/>
  <c r="W5070" i="114"/>
  <c r="W5071" i="114"/>
  <c r="W5072" i="114"/>
  <c r="W5073" i="114"/>
  <c r="W5074" i="114"/>
  <c r="W5075" i="114"/>
  <c r="W5076" i="114"/>
  <c r="W5077" i="114"/>
  <c r="W5078" i="114"/>
  <c r="W5079" i="114"/>
  <c r="W5080" i="114"/>
  <c r="W5081" i="114"/>
  <c r="W5082" i="114"/>
  <c r="W5083" i="114"/>
  <c r="W5084" i="114"/>
  <c r="W5085" i="114"/>
  <c r="W5086" i="114"/>
  <c r="W5087" i="114"/>
  <c r="W5088" i="114"/>
  <c r="W5089" i="114"/>
  <c r="W5090" i="114"/>
  <c r="W5091" i="114"/>
  <c r="W5092" i="114"/>
  <c r="W5093" i="114"/>
  <c r="W5094" i="114"/>
  <c r="W5095" i="114"/>
  <c r="W5096" i="114"/>
  <c r="W5097" i="114"/>
  <c r="W5098" i="114"/>
  <c r="W5099" i="114"/>
  <c r="W5100" i="114"/>
  <c r="W5101" i="114"/>
  <c r="W5102" i="114"/>
  <c r="W5103" i="114"/>
  <c r="W5104" i="114"/>
  <c r="W5105" i="114"/>
  <c r="W5106" i="114"/>
  <c r="W5107" i="114"/>
  <c r="W5108" i="114"/>
  <c r="W5109" i="114"/>
  <c r="W5110" i="114"/>
  <c r="W5111" i="114"/>
  <c r="W5112" i="114"/>
  <c r="W5113" i="114"/>
  <c r="W5114" i="114"/>
  <c r="W5115" i="114"/>
  <c r="W5116" i="114"/>
  <c r="W5117" i="114"/>
  <c r="W5118" i="114"/>
  <c r="W5119" i="114"/>
  <c r="W5120" i="114"/>
  <c r="W5121" i="114"/>
  <c r="W5122" i="114"/>
  <c r="W5123" i="114"/>
  <c r="W5124" i="114"/>
  <c r="W5125" i="114"/>
  <c r="W5126" i="114"/>
  <c r="W5127" i="114"/>
  <c r="W5128" i="114"/>
  <c r="W5129" i="114"/>
  <c r="W5130" i="114"/>
  <c r="W5131" i="114"/>
  <c r="W5132" i="114"/>
  <c r="W5133" i="114"/>
  <c r="W5134" i="114"/>
  <c r="W5135" i="114"/>
  <c r="W5136" i="114"/>
  <c r="W5137" i="114"/>
  <c r="W5138" i="114"/>
  <c r="W5139" i="114"/>
  <c r="W5140" i="114"/>
  <c r="W5141" i="114"/>
  <c r="W5142" i="114"/>
  <c r="W5143" i="114"/>
  <c r="W5144" i="114"/>
  <c r="W5145" i="114"/>
  <c r="W5146" i="114"/>
  <c r="W5147" i="114"/>
  <c r="W5148" i="114"/>
  <c r="W5149" i="114"/>
  <c r="W5150" i="114"/>
  <c r="W5151" i="114"/>
  <c r="W5152" i="114"/>
  <c r="W5153" i="114"/>
  <c r="W5154" i="114"/>
  <c r="W5155" i="114"/>
  <c r="W5156" i="114"/>
  <c r="W5157" i="114"/>
  <c r="W5158" i="114"/>
  <c r="W5159" i="114"/>
  <c r="W5160" i="114"/>
  <c r="W5161" i="114"/>
  <c r="W5162" i="114"/>
  <c r="W5163" i="114"/>
  <c r="W5164" i="114"/>
  <c r="W5165" i="114"/>
  <c r="W5166" i="114"/>
  <c r="W5167" i="114"/>
  <c r="W5168" i="114"/>
  <c r="W5169" i="114"/>
  <c r="W5170" i="114"/>
  <c r="W5171" i="114"/>
  <c r="W5172" i="114"/>
  <c r="W5173" i="114"/>
  <c r="W5174" i="114"/>
  <c r="W5175" i="114"/>
  <c r="W5176" i="114"/>
  <c r="W5177" i="114"/>
  <c r="W5178" i="114"/>
  <c r="W5179" i="114"/>
  <c r="W5180" i="114"/>
  <c r="W5181" i="114"/>
  <c r="W5182" i="114"/>
  <c r="W5183" i="114"/>
  <c r="W5184" i="114"/>
  <c r="W5185" i="114"/>
  <c r="W5186" i="114"/>
  <c r="W5187" i="114"/>
  <c r="W5188" i="114"/>
  <c r="W5189" i="114"/>
  <c r="W5190" i="114"/>
  <c r="W5191" i="114"/>
  <c r="W5192" i="114"/>
  <c r="W5193" i="114"/>
  <c r="W5194" i="114"/>
  <c r="W5195" i="114"/>
  <c r="W5196" i="114"/>
  <c r="W5197" i="114"/>
  <c r="W5198" i="114"/>
  <c r="W5199" i="114"/>
  <c r="W5200" i="114"/>
  <c r="W5201" i="114"/>
  <c r="W5202" i="114"/>
  <c r="W5203" i="114"/>
  <c r="W5204" i="114"/>
  <c r="W5205" i="114"/>
  <c r="W5206" i="114"/>
  <c r="W5207" i="114"/>
  <c r="W5208" i="114"/>
  <c r="W5209" i="114"/>
  <c r="W5210" i="114"/>
  <c r="W5211" i="114"/>
  <c r="W5212" i="114"/>
  <c r="W5213" i="114"/>
  <c r="W5214" i="114"/>
  <c r="W5215" i="114"/>
  <c r="W5216" i="114"/>
  <c r="W5217" i="114"/>
  <c r="W5218" i="114"/>
  <c r="W5219" i="114"/>
  <c r="W5220" i="114"/>
  <c r="W5221" i="114"/>
  <c r="W5222" i="114"/>
  <c r="W5223" i="114"/>
  <c r="W5224" i="114"/>
  <c r="W5225" i="114"/>
  <c r="W5226" i="114"/>
  <c r="W5227" i="114"/>
  <c r="W5228" i="114"/>
  <c r="W5229" i="114"/>
  <c r="W5230" i="114"/>
  <c r="W5231" i="114"/>
  <c r="W5232" i="114"/>
  <c r="W5233" i="114"/>
  <c r="W5234" i="114"/>
  <c r="W5235" i="114"/>
  <c r="W5236" i="114"/>
  <c r="W5237" i="114"/>
  <c r="W5238" i="114"/>
  <c r="W5239" i="114"/>
  <c r="W5240" i="114"/>
  <c r="W5241" i="114"/>
  <c r="W5242" i="114"/>
  <c r="W5243" i="114"/>
  <c r="W5244" i="114"/>
  <c r="W5245" i="114"/>
  <c r="W5246" i="114"/>
  <c r="W5247" i="114"/>
  <c r="W5248" i="114"/>
  <c r="W5249" i="114"/>
  <c r="W5250" i="114"/>
  <c r="W5251" i="114"/>
  <c r="W5252" i="114"/>
  <c r="W5253" i="114"/>
  <c r="W5254" i="114"/>
  <c r="W5255" i="114"/>
  <c r="W5256" i="114"/>
  <c r="W5257" i="114"/>
  <c r="W5258" i="114"/>
  <c r="W5259" i="114"/>
  <c r="W5260" i="114"/>
  <c r="W5261" i="114"/>
  <c r="W5262" i="114"/>
  <c r="W5263" i="114"/>
  <c r="W5264" i="114"/>
  <c r="W5265" i="114"/>
  <c r="W5266" i="114"/>
  <c r="W5267" i="114"/>
  <c r="W5268" i="114"/>
  <c r="W5269" i="114"/>
  <c r="W5270" i="114"/>
  <c r="W5271" i="114"/>
  <c r="W5272" i="114"/>
  <c r="W5273" i="114"/>
  <c r="W5274" i="114"/>
  <c r="W5275" i="114"/>
  <c r="W5276" i="114"/>
  <c r="W5277" i="114"/>
  <c r="W5278" i="114"/>
  <c r="W5279" i="114"/>
  <c r="W5280" i="114"/>
  <c r="W5281" i="114"/>
  <c r="W5282" i="114"/>
  <c r="W5283" i="114"/>
  <c r="W5284" i="114"/>
  <c r="W5285" i="114"/>
  <c r="W5286" i="114"/>
  <c r="W5287" i="114"/>
  <c r="W5288" i="114"/>
  <c r="W5289" i="114"/>
  <c r="W5290" i="114"/>
  <c r="W5291" i="114"/>
  <c r="W5292" i="114"/>
  <c r="W5293" i="114"/>
  <c r="W5294" i="114"/>
  <c r="W5295" i="114"/>
  <c r="W5296" i="114"/>
  <c r="W5297" i="114"/>
  <c r="W5298" i="114"/>
  <c r="W5299" i="114"/>
  <c r="W5300" i="114"/>
  <c r="W5301" i="114"/>
  <c r="W5302" i="114"/>
  <c r="W5303" i="114"/>
  <c r="W5304" i="114"/>
  <c r="W5305" i="114"/>
  <c r="W5306" i="114"/>
  <c r="W5307" i="114"/>
  <c r="W5308" i="114"/>
  <c r="W5309" i="114"/>
  <c r="W5310" i="114"/>
  <c r="W5311" i="114"/>
  <c r="W5312" i="114"/>
  <c r="W5313" i="114"/>
  <c r="W5314" i="114"/>
  <c r="W5315" i="114"/>
  <c r="W5316" i="114"/>
  <c r="W5317" i="114"/>
  <c r="W5318" i="114"/>
  <c r="W5319" i="114"/>
  <c r="W5320" i="114"/>
  <c r="W5321" i="114"/>
  <c r="W5322" i="114"/>
  <c r="W5323" i="114"/>
  <c r="W5324" i="114"/>
  <c r="W5325" i="114"/>
  <c r="W5326" i="114"/>
  <c r="W5327" i="114"/>
  <c r="W5328" i="114"/>
  <c r="W5329" i="114"/>
  <c r="W5330" i="114"/>
  <c r="W5331" i="114"/>
  <c r="W5332" i="114"/>
  <c r="W5333" i="114"/>
  <c r="W5334" i="114"/>
  <c r="W5335" i="114"/>
  <c r="W5336" i="114"/>
  <c r="W5337" i="114"/>
  <c r="W5338" i="114"/>
  <c r="W5339" i="114"/>
  <c r="W5340" i="114"/>
  <c r="W5341" i="114"/>
  <c r="W5342" i="114"/>
  <c r="W5343" i="114"/>
  <c r="W5344" i="114"/>
  <c r="W5345" i="114"/>
  <c r="W5346" i="114"/>
  <c r="W5347" i="114"/>
  <c r="W5348" i="114"/>
  <c r="W5349" i="114"/>
  <c r="W5350" i="114"/>
  <c r="W5351" i="114"/>
  <c r="W5352" i="114"/>
  <c r="W5353" i="114"/>
  <c r="W5354" i="114"/>
  <c r="W5355" i="114"/>
  <c r="W5356" i="114"/>
  <c r="W5357" i="114"/>
  <c r="W5358" i="114"/>
  <c r="W5359" i="114"/>
  <c r="W5360" i="114"/>
  <c r="W5361" i="114"/>
  <c r="W5362" i="114"/>
  <c r="W5363" i="114"/>
  <c r="W5364" i="114"/>
  <c r="W5365" i="114"/>
  <c r="W5366" i="114"/>
  <c r="W5367" i="114"/>
  <c r="W5368" i="114"/>
  <c r="W5369" i="114"/>
  <c r="W5370" i="114"/>
  <c r="W5371" i="114"/>
  <c r="W5372" i="114"/>
  <c r="W5373" i="114"/>
  <c r="W5374" i="114"/>
  <c r="W5375" i="114"/>
  <c r="W5376" i="114"/>
  <c r="W5377" i="114"/>
  <c r="W5378" i="114"/>
  <c r="W5379" i="114"/>
  <c r="W5380" i="114"/>
  <c r="W5381" i="114"/>
  <c r="W5382" i="114"/>
  <c r="W5383" i="114"/>
  <c r="W5384" i="114"/>
  <c r="W5385" i="114"/>
  <c r="W5386" i="114"/>
  <c r="W5387" i="114"/>
  <c r="W5388" i="114"/>
  <c r="W5389" i="114"/>
  <c r="W5390" i="114"/>
  <c r="W5391" i="114"/>
  <c r="W5392" i="114"/>
  <c r="W5393" i="114"/>
  <c r="W5394" i="114"/>
  <c r="W5395" i="114"/>
  <c r="W5396" i="114"/>
  <c r="W5397" i="114"/>
  <c r="W5398" i="114"/>
  <c r="W5399" i="114"/>
  <c r="W5400" i="114"/>
  <c r="W5401" i="114"/>
  <c r="W5402" i="114"/>
  <c r="W5403" i="114"/>
  <c r="W5404" i="114"/>
  <c r="W5405" i="114"/>
  <c r="W5406" i="114"/>
  <c r="W5407" i="114"/>
  <c r="W5408" i="114"/>
  <c r="W5409" i="114"/>
  <c r="W5410" i="114"/>
  <c r="W5411" i="114"/>
  <c r="W5412" i="114"/>
  <c r="W5413" i="114"/>
  <c r="W5414" i="114"/>
  <c r="W5415" i="114"/>
  <c r="W5416" i="114"/>
  <c r="W5417" i="114"/>
  <c r="W5418" i="114"/>
  <c r="W5419" i="114"/>
  <c r="W5420" i="114"/>
  <c r="W5421" i="114"/>
  <c r="W5422" i="114"/>
  <c r="W5423" i="114"/>
  <c r="W5424" i="114"/>
  <c r="W5425" i="114"/>
  <c r="W5426" i="114"/>
  <c r="W5427" i="114"/>
  <c r="W5428" i="114"/>
  <c r="W5429" i="114"/>
  <c r="W5430" i="114"/>
  <c r="W5431" i="114"/>
  <c r="W5432" i="114"/>
  <c r="W5433" i="114"/>
  <c r="W5434" i="114"/>
  <c r="W5435" i="114"/>
  <c r="W5436" i="114"/>
  <c r="W5437" i="114"/>
  <c r="W5438" i="114"/>
  <c r="W5439" i="114"/>
  <c r="W5440" i="114"/>
  <c r="W5441" i="114"/>
  <c r="W5442" i="114"/>
  <c r="W5443" i="114"/>
  <c r="W5444" i="114"/>
  <c r="W5445" i="114"/>
  <c r="W5446" i="114"/>
  <c r="W5447" i="114"/>
  <c r="W5448" i="114"/>
  <c r="W5449" i="114"/>
  <c r="W5450" i="114"/>
  <c r="W5451" i="114"/>
  <c r="W5452" i="114"/>
  <c r="W5453" i="114"/>
  <c r="W5454" i="114"/>
  <c r="W5455" i="114"/>
  <c r="W5456" i="114"/>
  <c r="W5457" i="114"/>
  <c r="W5458" i="114"/>
  <c r="W5459" i="114"/>
  <c r="W5460" i="114"/>
  <c r="W5461" i="114"/>
  <c r="W5462" i="114"/>
  <c r="W5463" i="114"/>
  <c r="W5464" i="114"/>
  <c r="W5465" i="114"/>
  <c r="W5466" i="114"/>
  <c r="W5467" i="114"/>
  <c r="W5468" i="114"/>
  <c r="W5469" i="114"/>
  <c r="W5470" i="114"/>
  <c r="W5471" i="114"/>
  <c r="W5472" i="114"/>
  <c r="W5473" i="114"/>
  <c r="W5474" i="114"/>
  <c r="W5475" i="114"/>
  <c r="W5476" i="114"/>
  <c r="W5477" i="114"/>
  <c r="W5478" i="114"/>
  <c r="W5479" i="114"/>
  <c r="W5480" i="114"/>
  <c r="W5481" i="114"/>
  <c r="W5482" i="114"/>
  <c r="W5483" i="114"/>
  <c r="W5484" i="114"/>
  <c r="W5485" i="114"/>
  <c r="W5486" i="114"/>
  <c r="W5487" i="114"/>
  <c r="W5488" i="114"/>
  <c r="W5489" i="114"/>
  <c r="W5490" i="114"/>
  <c r="W5491" i="114"/>
  <c r="W5492" i="114"/>
  <c r="W5493" i="114"/>
  <c r="W5494" i="114"/>
  <c r="W5495" i="114"/>
  <c r="W5496" i="114"/>
  <c r="W5497" i="114"/>
  <c r="W5498" i="114"/>
  <c r="W5499" i="114"/>
  <c r="W5500" i="114"/>
  <c r="W5501" i="114"/>
  <c r="W5502" i="114"/>
  <c r="W5503" i="114"/>
  <c r="W5504" i="114"/>
  <c r="W5505" i="114"/>
  <c r="W5506" i="114"/>
  <c r="W5507" i="114"/>
  <c r="W5508" i="114"/>
  <c r="W5509" i="114"/>
  <c r="W5510" i="114"/>
  <c r="W5511" i="114"/>
  <c r="W5512" i="114"/>
  <c r="W5513" i="114"/>
  <c r="W5514" i="114"/>
  <c r="W5515" i="114"/>
  <c r="W5516" i="114"/>
  <c r="W5517" i="114"/>
  <c r="W5518" i="114"/>
  <c r="W5519" i="114"/>
  <c r="W5520" i="114"/>
  <c r="W5521" i="114"/>
  <c r="W5522" i="114"/>
  <c r="W5523" i="114"/>
  <c r="W5524" i="114"/>
  <c r="W5525" i="114"/>
  <c r="W5526" i="114"/>
  <c r="W5527" i="114"/>
  <c r="W5528" i="114"/>
  <c r="W5529" i="114"/>
  <c r="W5530" i="114"/>
  <c r="W5531" i="114"/>
  <c r="W5532" i="114"/>
  <c r="W5533" i="114"/>
  <c r="W5534" i="114"/>
  <c r="W5535" i="114"/>
  <c r="W5536" i="114"/>
  <c r="W5537" i="114"/>
  <c r="W5538" i="114"/>
  <c r="W5539" i="114"/>
  <c r="W5540" i="114"/>
  <c r="W5541" i="114"/>
  <c r="W5542" i="114"/>
  <c r="W5543" i="114"/>
  <c r="W5544" i="114"/>
  <c r="W5545" i="114"/>
  <c r="W5546" i="114"/>
  <c r="W5547" i="114"/>
  <c r="W5548" i="114"/>
  <c r="W5549" i="114"/>
  <c r="W5550" i="114"/>
  <c r="W5551" i="114"/>
  <c r="W5552" i="114"/>
  <c r="W5553" i="114"/>
  <c r="W5554" i="114"/>
  <c r="W5555" i="114"/>
  <c r="W5556" i="114"/>
  <c r="W5557" i="114"/>
  <c r="W5558" i="114"/>
  <c r="W5559" i="114"/>
  <c r="W5560" i="114"/>
  <c r="W5561" i="114"/>
  <c r="W5562" i="114"/>
  <c r="W5563" i="114"/>
  <c r="W5564" i="114"/>
  <c r="W5565" i="114"/>
  <c r="W5566" i="114"/>
  <c r="W5567" i="114"/>
  <c r="W5568" i="114"/>
  <c r="W5569" i="114"/>
  <c r="W5570" i="114"/>
  <c r="W5571" i="114"/>
  <c r="W5572" i="114"/>
  <c r="W5573" i="114"/>
  <c r="W5574" i="114"/>
  <c r="W5575" i="114"/>
  <c r="W5576" i="114"/>
  <c r="W5577" i="114"/>
  <c r="W5578" i="114"/>
  <c r="W5579" i="114"/>
  <c r="W5580" i="114"/>
  <c r="W5581" i="114"/>
  <c r="W5582" i="114"/>
  <c r="W5583" i="114"/>
  <c r="W5584" i="114"/>
  <c r="W5585" i="114"/>
  <c r="W5586" i="114"/>
  <c r="W5587" i="114"/>
  <c r="W5588" i="114"/>
  <c r="W5589" i="114"/>
  <c r="W5590" i="114"/>
  <c r="W5591" i="114"/>
  <c r="W5592" i="114"/>
  <c r="W5593" i="114"/>
  <c r="W5594" i="114"/>
  <c r="W5595" i="114"/>
  <c r="W5596" i="114"/>
  <c r="W5597" i="114"/>
  <c r="W5598" i="114"/>
  <c r="W5599" i="114"/>
  <c r="W5600" i="114"/>
  <c r="W5601" i="114"/>
  <c r="W5602" i="114"/>
  <c r="W5603" i="114"/>
  <c r="W5604" i="114"/>
  <c r="W5605" i="114"/>
  <c r="W5606" i="114"/>
  <c r="W5607" i="114"/>
  <c r="W5608" i="114"/>
  <c r="W5609" i="114"/>
  <c r="W5610" i="114"/>
  <c r="W5611" i="114"/>
  <c r="W5612" i="114"/>
  <c r="W5613" i="114"/>
  <c r="W5614" i="114"/>
  <c r="W5615" i="114"/>
  <c r="W5616" i="114"/>
  <c r="W5617" i="114"/>
  <c r="W5618" i="114"/>
  <c r="W5619" i="114"/>
  <c r="W5620" i="114"/>
  <c r="W5621" i="114"/>
  <c r="W5622" i="114"/>
  <c r="W5623" i="114"/>
  <c r="W5624" i="114"/>
  <c r="W5625" i="114"/>
  <c r="W5626" i="114"/>
  <c r="W5627" i="114"/>
  <c r="W5628" i="114"/>
  <c r="W5629" i="114"/>
  <c r="W5630" i="114"/>
  <c r="W5631" i="114"/>
  <c r="W5632" i="114"/>
  <c r="W5633" i="114"/>
  <c r="W5634" i="114"/>
  <c r="W5635" i="114"/>
  <c r="W5636" i="114"/>
  <c r="W5637" i="114"/>
  <c r="W5638" i="114"/>
  <c r="W5639" i="114"/>
  <c r="W5640" i="114"/>
  <c r="W5641" i="114"/>
  <c r="W5642" i="114"/>
  <c r="W5643" i="114"/>
  <c r="W5644" i="114"/>
  <c r="W5645" i="114"/>
  <c r="W5646" i="114"/>
  <c r="W5647" i="114"/>
  <c r="W5648" i="114"/>
  <c r="W5649" i="114"/>
  <c r="W5650" i="114"/>
  <c r="W5651" i="114"/>
  <c r="W5652" i="114"/>
  <c r="W5653" i="114"/>
  <c r="W5654" i="114"/>
  <c r="W5655" i="114"/>
  <c r="W5656" i="114"/>
  <c r="W5657" i="114"/>
  <c r="W5658" i="114"/>
  <c r="W5659" i="114"/>
  <c r="W5660" i="114"/>
  <c r="W5661" i="114"/>
  <c r="W5662" i="114"/>
  <c r="W5663" i="114"/>
  <c r="W5664" i="114"/>
  <c r="W5665" i="114"/>
  <c r="W5666" i="114"/>
  <c r="W5667" i="114"/>
  <c r="W5668" i="114"/>
  <c r="W5669" i="114"/>
  <c r="W5670" i="114"/>
  <c r="W5671" i="114"/>
  <c r="W5672" i="114"/>
  <c r="W5673" i="114"/>
  <c r="W5674" i="114"/>
  <c r="W5675" i="114"/>
  <c r="W5676" i="114"/>
  <c r="W5677" i="114"/>
  <c r="W5678" i="114"/>
  <c r="W5679" i="114"/>
  <c r="W5680" i="114"/>
  <c r="W5681" i="114"/>
  <c r="W5682" i="114"/>
  <c r="W5683" i="114"/>
  <c r="W5684" i="114"/>
  <c r="W5685" i="114"/>
  <c r="W5686" i="114"/>
  <c r="W5687" i="114"/>
  <c r="W5688" i="114"/>
  <c r="W5689" i="114"/>
  <c r="W5690" i="114"/>
  <c r="W5691" i="114"/>
  <c r="W5692" i="114"/>
  <c r="W5693" i="114"/>
  <c r="W5694" i="114"/>
  <c r="W5695" i="114"/>
  <c r="W5696" i="114"/>
  <c r="W5697" i="114"/>
  <c r="W5698" i="114"/>
  <c r="W5699" i="114"/>
  <c r="W5700" i="114"/>
  <c r="W5701" i="114"/>
  <c r="W5702" i="114"/>
  <c r="W5703" i="114"/>
  <c r="W5704" i="114"/>
  <c r="W5705" i="114"/>
  <c r="W5706" i="114"/>
  <c r="W5707" i="114"/>
  <c r="W5708" i="114"/>
  <c r="W5709" i="114"/>
  <c r="W5710" i="114"/>
  <c r="W5711" i="114"/>
  <c r="W5712" i="114"/>
  <c r="W5713" i="114"/>
  <c r="W5714" i="114"/>
  <c r="W5715" i="114"/>
  <c r="W5716" i="114"/>
  <c r="W5717" i="114"/>
  <c r="W5718" i="114"/>
  <c r="W5719" i="114"/>
  <c r="W5720" i="114"/>
  <c r="W5721" i="114"/>
  <c r="W5722" i="114"/>
  <c r="W5723" i="114"/>
  <c r="W5724" i="114"/>
  <c r="W5725" i="114"/>
  <c r="W5726" i="114"/>
  <c r="W5727" i="114"/>
  <c r="W5728" i="114"/>
  <c r="W5729" i="114"/>
  <c r="W5730" i="114"/>
  <c r="W5731" i="114"/>
  <c r="W5732" i="114"/>
  <c r="W5733" i="114"/>
  <c r="W5734" i="114"/>
  <c r="W5735" i="114"/>
  <c r="W5736" i="114"/>
  <c r="W5737" i="114"/>
  <c r="W5738" i="114"/>
  <c r="W5739" i="114"/>
  <c r="W5740" i="114"/>
  <c r="W5741" i="114"/>
  <c r="W5742" i="114"/>
  <c r="W5743" i="114"/>
  <c r="W5744" i="114"/>
  <c r="W5745" i="114"/>
  <c r="W5746" i="114"/>
  <c r="W5747" i="114"/>
  <c r="W5748" i="114"/>
  <c r="W5749" i="114"/>
  <c r="W5750" i="114"/>
  <c r="W5751" i="114"/>
  <c r="W5752" i="114"/>
  <c r="W5753" i="114"/>
  <c r="W5754" i="114"/>
  <c r="W5755" i="114"/>
  <c r="W5756" i="114"/>
  <c r="W5757" i="114"/>
  <c r="W5758" i="114"/>
  <c r="W5759" i="114"/>
  <c r="W5760" i="114"/>
  <c r="W5761" i="114"/>
  <c r="W5762" i="114"/>
  <c r="W5763" i="114"/>
  <c r="W5764" i="114"/>
  <c r="W5765" i="114"/>
  <c r="W5766" i="114"/>
  <c r="W5767" i="114"/>
  <c r="W5768" i="114"/>
  <c r="W5769" i="114"/>
  <c r="W5770" i="114"/>
  <c r="W5771" i="114"/>
  <c r="W5772" i="114"/>
  <c r="W5773" i="114"/>
  <c r="W5774" i="114"/>
  <c r="W5775" i="114"/>
  <c r="W5776" i="114"/>
  <c r="W5777" i="114"/>
  <c r="W5778" i="114"/>
  <c r="W5779" i="114"/>
  <c r="W5780" i="114"/>
  <c r="W5781" i="114"/>
  <c r="W5782" i="114"/>
  <c r="W5783" i="114"/>
  <c r="W5784" i="114"/>
  <c r="W5785" i="114"/>
  <c r="W5786" i="114"/>
  <c r="W5787" i="114"/>
  <c r="W5788" i="114"/>
  <c r="W5789" i="114"/>
  <c r="W5790" i="114"/>
  <c r="W5791" i="114"/>
  <c r="W5792" i="114"/>
  <c r="W5793" i="114"/>
  <c r="W5794" i="114"/>
  <c r="W5795" i="114"/>
  <c r="W5796" i="114"/>
  <c r="W5797" i="114"/>
  <c r="W5798" i="114"/>
  <c r="W5799" i="114"/>
  <c r="W5800" i="114"/>
  <c r="W5801" i="114"/>
  <c r="W5802" i="114"/>
  <c r="W5803" i="114"/>
  <c r="W5804" i="114"/>
  <c r="W5805" i="114"/>
  <c r="W5806" i="114"/>
  <c r="W5807" i="114"/>
  <c r="W5808" i="114"/>
  <c r="W5809" i="114"/>
  <c r="W5810" i="114"/>
  <c r="W5811" i="114"/>
  <c r="W5812" i="114"/>
  <c r="W5813" i="114"/>
  <c r="W5814" i="114"/>
  <c r="W5815" i="114"/>
  <c r="W5816" i="114"/>
  <c r="W5817" i="114"/>
  <c r="W5818" i="114"/>
  <c r="W5819" i="114"/>
  <c r="W5820" i="114"/>
  <c r="W5821" i="114"/>
  <c r="W5822" i="114"/>
  <c r="W5823" i="114"/>
  <c r="W5824" i="114"/>
  <c r="W5825" i="114"/>
  <c r="W5826" i="114"/>
  <c r="W5827" i="114"/>
  <c r="W5828" i="114"/>
  <c r="W5829" i="114"/>
  <c r="W5830" i="114"/>
  <c r="W5831" i="114"/>
  <c r="W5832" i="114"/>
  <c r="W5833" i="114"/>
  <c r="W5834" i="114"/>
  <c r="W5835" i="114"/>
  <c r="W5836" i="114"/>
  <c r="W5837" i="114"/>
  <c r="W5838" i="114"/>
  <c r="W5839" i="114"/>
  <c r="W5840" i="114"/>
  <c r="W5841" i="114"/>
  <c r="W5842" i="114"/>
  <c r="W5843" i="114"/>
  <c r="W5844" i="114"/>
  <c r="W5845" i="114"/>
  <c r="W5846" i="114"/>
  <c r="W5847" i="114"/>
  <c r="W5848" i="114"/>
  <c r="W5849" i="114"/>
  <c r="W5850" i="114"/>
  <c r="W5851" i="114"/>
  <c r="W5852" i="114"/>
  <c r="W5853" i="114"/>
  <c r="W5854" i="114"/>
  <c r="W5855" i="114"/>
  <c r="W5856" i="114"/>
  <c r="W5857" i="114"/>
  <c r="W5858" i="114"/>
  <c r="W5859" i="114"/>
  <c r="W5860" i="114"/>
  <c r="W5861" i="114"/>
  <c r="W5862" i="114"/>
  <c r="W5863" i="114"/>
  <c r="W5864" i="114"/>
  <c r="W5865" i="114"/>
  <c r="W5866" i="114"/>
  <c r="W5867" i="114"/>
  <c r="W5868" i="114"/>
  <c r="W5869" i="114"/>
  <c r="W5870" i="114"/>
  <c r="W5871" i="114"/>
  <c r="W5872" i="114"/>
  <c r="W5873" i="114"/>
  <c r="W5874" i="114"/>
  <c r="W5875" i="114"/>
  <c r="W5876" i="114"/>
  <c r="W5877" i="114"/>
  <c r="W5878" i="114"/>
  <c r="W5879" i="114"/>
  <c r="W5880" i="114"/>
  <c r="W5881" i="114"/>
  <c r="W5882" i="114"/>
  <c r="W5883" i="114"/>
  <c r="W5884" i="114"/>
  <c r="W5885" i="114"/>
  <c r="W5886" i="114"/>
  <c r="W5887" i="114"/>
  <c r="W5888" i="114"/>
  <c r="W5889" i="114"/>
  <c r="W5890" i="114"/>
  <c r="W5891" i="114"/>
  <c r="W5892" i="114"/>
  <c r="W5893" i="114"/>
  <c r="W5894" i="114"/>
  <c r="W5895" i="114"/>
  <c r="W5896" i="114"/>
  <c r="W5897" i="114"/>
  <c r="W5898" i="114"/>
  <c r="W5899" i="114"/>
  <c r="W5900" i="114"/>
  <c r="W5901" i="114"/>
  <c r="W5902" i="114"/>
  <c r="W5903" i="114"/>
  <c r="W5904" i="114"/>
  <c r="W5905" i="114"/>
  <c r="W5906" i="114"/>
  <c r="W5907" i="114"/>
  <c r="W5908" i="114"/>
  <c r="W5909" i="114"/>
  <c r="W5910" i="114"/>
  <c r="W5911" i="114"/>
  <c r="W5912" i="114"/>
  <c r="W5913" i="114"/>
  <c r="W5914" i="114"/>
  <c r="W5915" i="114"/>
  <c r="W5916" i="114"/>
  <c r="W5917" i="114"/>
  <c r="W5918" i="114"/>
  <c r="W5919" i="114"/>
  <c r="W5920" i="114"/>
  <c r="W5921" i="114"/>
  <c r="W5922" i="114"/>
  <c r="W5923" i="114"/>
  <c r="W5924" i="114"/>
  <c r="W5925" i="114"/>
  <c r="W5926" i="114"/>
  <c r="W5927" i="114"/>
  <c r="W5928" i="114"/>
  <c r="W5929" i="114"/>
  <c r="W5930" i="114"/>
  <c r="W5931" i="114"/>
  <c r="W5932" i="114"/>
  <c r="W5933" i="114"/>
  <c r="W5934" i="114"/>
  <c r="W5935" i="114"/>
  <c r="W5936" i="114"/>
  <c r="W5937" i="114"/>
  <c r="W5938" i="114"/>
  <c r="W5939" i="114"/>
  <c r="W5940" i="114"/>
  <c r="W5941" i="114"/>
  <c r="W5942" i="114"/>
  <c r="W5943" i="114"/>
  <c r="W5944" i="114"/>
  <c r="W5945" i="114"/>
  <c r="W5946" i="114"/>
  <c r="W5947" i="114"/>
  <c r="W5948" i="114"/>
  <c r="W5949" i="114"/>
  <c r="W5950" i="114"/>
  <c r="W5951" i="114"/>
  <c r="W5952" i="114"/>
  <c r="W5953" i="114"/>
  <c r="W5954" i="114"/>
  <c r="W5955" i="114"/>
  <c r="W5956" i="114"/>
  <c r="W5957" i="114"/>
  <c r="W5958" i="114"/>
  <c r="W5959" i="114"/>
  <c r="W5960" i="114"/>
  <c r="W5961" i="114"/>
  <c r="W5962" i="114"/>
  <c r="W5963" i="114"/>
  <c r="W5964" i="114"/>
  <c r="W5965" i="114"/>
  <c r="W5966" i="114"/>
  <c r="W5967" i="114"/>
  <c r="W5968" i="114"/>
  <c r="W5969" i="114"/>
  <c r="W5970" i="114"/>
  <c r="W5971" i="114"/>
  <c r="W5972" i="114"/>
  <c r="W5973" i="114"/>
  <c r="W5974" i="114"/>
  <c r="W5975" i="114"/>
  <c r="W5976" i="114"/>
  <c r="W5977" i="114"/>
  <c r="W5978" i="114"/>
  <c r="W5979" i="114"/>
  <c r="W5980" i="114"/>
  <c r="W5981" i="114"/>
  <c r="W5982" i="114"/>
  <c r="W5983" i="114"/>
  <c r="W5984" i="114"/>
  <c r="W5985" i="114"/>
  <c r="W5986" i="114"/>
  <c r="W5987" i="114"/>
  <c r="W5988" i="114"/>
  <c r="W5989" i="114"/>
  <c r="W5990" i="114"/>
  <c r="W5991" i="114"/>
  <c r="W5992" i="114"/>
  <c r="W5993" i="114"/>
  <c r="W5994" i="114"/>
  <c r="W5995" i="114"/>
  <c r="W5996" i="114"/>
  <c r="W5997" i="114"/>
  <c r="W5998" i="114"/>
  <c r="W5999" i="114"/>
  <c r="W6000" i="114"/>
  <c r="W6001" i="114"/>
  <c r="W6002" i="114"/>
  <c r="W6003" i="114"/>
  <c r="W6004" i="114"/>
  <c r="W6005" i="114"/>
  <c r="W6006" i="114"/>
  <c r="W6007" i="114"/>
  <c r="W6008" i="114"/>
  <c r="W6009" i="114"/>
  <c r="W6010" i="114"/>
  <c r="W6011" i="114"/>
  <c r="W6012" i="114"/>
  <c r="W6013" i="114"/>
  <c r="W6014" i="114"/>
  <c r="W6015" i="114"/>
  <c r="W6016" i="114"/>
  <c r="W6017" i="114"/>
  <c r="W6018" i="114"/>
  <c r="W6019" i="114"/>
  <c r="W6020" i="114"/>
  <c r="W6021" i="114"/>
  <c r="W6022" i="114"/>
  <c r="W6023" i="114"/>
  <c r="W6024" i="114"/>
  <c r="W6025" i="114"/>
  <c r="W6026" i="114"/>
  <c r="W6027" i="114"/>
  <c r="W6028" i="114"/>
  <c r="W6029" i="114"/>
  <c r="W6030" i="114"/>
  <c r="W6031" i="114"/>
  <c r="W6032" i="114"/>
  <c r="W6033" i="114"/>
  <c r="W6034" i="114"/>
  <c r="W6035" i="114"/>
  <c r="W6036" i="114"/>
  <c r="W6037" i="114"/>
  <c r="W6038" i="114"/>
  <c r="W6039" i="114"/>
  <c r="W6040" i="114"/>
  <c r="W6041" i="114"/>
  <c r="W6042" i="114"/>
  <c r="W6043" i="114"/>
  <c r="W6044" i="114"/>
  <c r="W6045" i="114"/>
  <c r="W6046" i="114"/>
  <c r="W6047" i="114"/>
  <c r="W6048" i="114"/>
  <c r="W6049" i="114"/>
  <c r="W6050" i="114"/>
  <c r="W6051" i="114"/>
  <c r="W6052" i="114"/>
  <c r="W6053" i="114"/>
  <c r="W6054" i="114"/>
  <c r="W6055" i="114"/>
  <c r="W6056" i="114"/>
  <c r="W6057" i="114"/>
  <c r="W6058" i="114"/>
  <c r="W6059" i="114"/>
  <c r="W6060" i="114"/>
  <c r="W6061" i="114"/>
  <c r="W6062" i="114"/>
  <c r="W6063" i="114"/>
  <c r="W6064" i="114"/>
  <c r="W6065" i="114"/>
  <c r="W6066" i="114"/>
  <c r="W6067" i="114"/>
  <c r="W6068" i="114"/>
  <c r="W6069" i="114"/>
  <c r="W6070" i="114"/>
  <c r="W6071" i="114"/>
  <c r="W6072" i="114"/>
  <c r="W6073" i="114"/>
  <c r="W6074" i="114"/>
  <c r="W6075" i="114"/>
  <c r="W6076" i="114"/>
  <c r="W6077" i="114"/>
  <c r="W6078" i="114"/>
  <c r="W6079" i="114"/>
  <c r="W6080" i="114"/>
  <c r="W6081" i="114"/>
  <c r="W6082" i="114"/>
  <c r="W6083" i="114"/>
  <c r="W6084" i="114"/>
  <c r="W6085" i="114"/>
  <c r="W6086" i="114"/>
  <c r="W6087" i="114"/>
  <c r="W6088" i="114"/>
  <c r="W6089" i="114"/>
  <c r="W6090" i="114"/>
  <c r="W6091" i="114"/>
  <c r="W6092" i="114"/>
  <c r="W6093" i="114"/>
  <c r="W6094" i="114"/>
  <c r="W6095" i="114"/>
  <c r="W6096" i="114"/>
  <c r="W6097" i="114"/>
  <c r="W6098" i="114"/>
  <c r="W6099" i="114"/>
  <c r="W6100" i="114"/>
  <c r="W6101" i="114"/>
  <c r="W6102" i="114"/>
  <c r="W6103" i="114"/>
  <c r="W6104" i="114"/>
  <c r="W6105" i="114"/>
  <c r="W6106" i="114"/>
  <c r="W6107" i="114"/>
  <c r="W6108" i="114"/>
  <c r="W6109" i="114"/>
  <c r="W6110" i="114"/>
  <c r="W6111" i="114"/>
  <c r="W6112" i="114"/>
  <c r="W6113" i="114"/>
  <c r="W6114" i="114"/>
  <c r="W6115" i="114"/>
  <c r="W6116" i="114"/>
  <c r="W6117" i="114"/>
  <c r="W6118" i="114"/>
  <c r="W6119" i="114"/>
  <c r="W6120" i="114"/>
  <c r="W6121" i="114"/>
  <c r="W6122" i="114"/>
  <c r="W6123" i="114"/>
  <c r="W6124" i="114"/>
  <c r="W6125" i="114"/>
  <c r="W6126" i="114"/>
  <c r="W6127" i="114"/>
  <c r="W6128" i="114"/>
  <c r="W6129" i="114"/>
  <c r="W6130" i="114"/>
  <c r="W6131" i="114"/>
  <c r="W6132" i="114"/>
  <c r="W6133" i="114"/>
  <c r="W6134" i="114"/>
  <c r="W6135" i="114"/>
  <c r="W6136" i="114"/>
  <c r="W6137" i="114"/>
  <c r="W6138" i="114"/>
  <c r="W6139" i="114"/>
  <c r="W6140" i="114"/>
  <c r="W6141" i="114"/>
  <c r="W6142" i="114"/>
  <c r="W6143" i="114"/>
  <c r="W6144" i="114"/>
  <c r="W6145" i="114"/>
  <c r="W6146" i="114"/>
  <c r="W6147" i="114"/>
  <c r="W6148" i="114"/>
  <c r="W6149" i="114"/>
  <c r="W6150" i="114"/>
  <c r="W6151" i="114"/>
  <c r="W6152" i="114"/>
  <c r="W6153" i="114"/>
  <c r="W6154" i="114"/>
  <c r="W6155" i="114"/>
  <c r="W6156" i="114"/>
  <c r="W6157" i="114"/>
  <c r="W6158" i="114"/>
  <c r="W6159" i="114"/>
  <c r="W6160" i="114"/>
  <c r="W6161" i="114"/>
  <c r="W6162" i="114"/>
  <c r="W6163" i="114"/>
  <c r="W6164" i="114"/>
  <c r="W6165" i="114"/>
  <c r="W6166" i="114"/>
  <c r="W6167" i="114"/>
  <c r="W6168" i="114"/>
  <c r="W6169" i="114"/>
  <c r="W6170" i="114"/>
  <c r="W6171" i="114"/>
  <c r="W6172" i="114"/>
  <c r="W6173" i="114"/>
  <c r="W6174" i="114"/>
  <c r="W6175" i="114"/>
  <c r="W6176" i="114"/>
  <c r="W6177" i="114"/>
  <c r="W6178" i="114"/>
  <c r="W6179" i="114"/>
  <c r="W6180" i="114"/>
  <c r="W6181" i="114"/>
  <c r="W6182" i="114"/>
  <c r="W6183" i="114"/>
  <c r="W6184" i="114"/>
  <c r="W6185" i="114"/>
  <c r="W6186" i="114"/>
  <c r="W6187" i="114"/>
  <c r="W6188" i="114"/>
  <c r="W6189" i="114"/>
  <c r="W6190" i="114"/>
  <c r="W6191" i="114"/>
  <c r="W6192" i="114"/>
  <c r="W6193" i="114"/>
  <c r="W6194" i="114"/>
  <c r="W6195" i="114"/>
  <c r="W6196" i="114"/>
  <c r="W6197" i="114"/>
  <c r="W6198" i="114"/>
  <c r="W6199" i="114"/>
  <c r="W6200" i="114"/>
  <c r="W6201" i="114"/>
  <c r="W6202" i="114"/>
  <c r="W6203" i="114"/>
  <c r="W6204" i="114"/>
  <c r="W6205" i="114"/>
  <c r="W6206" i="114"/>
  <c r="W6207" i="114"/>
  <c r="W6208" i="114"/>
  <c r="W6209" i="114"/>
  <c r="W6210" i="114"/>
  <c r="W6211" i="114"/>
  <c r="W6212" i="114"/>
  <c r="W6213" i="114"/>
  <c r="W6214" i="114"/>
  <c r="W6215" i="114"/>
  <c r="W6216" i="114"/>
  <c r="W6217" i="114"/>
  <c r="W6218" i="114"/>
  <c r="W6219" i="114"/>
  <c r="W6220" i="114"/>
  <c r="W6221" i="114"/>
  <c r="W6222" i="114"/>
  <c r="W6223" i="114"/>
  <c r="W6224" i="114"/>
  <c r="W6225" i="114"/>
  <c r="W6226" i="114"/>
  <c r="W6227" i="114"/>
  <c r="W6228" i="114"/>
  <c r="W6229" i="114"/>
  <c r="W6230" i="114"/>
  <c r="W6231" i="114"/>
  <c r="W6232" i="114"/>
  <c r="W6233" i="114"/>
  <c r="W6234" i="114"/>
  <c r="W6235" i="114"/>
  <c r="W6236" i="114"/>
  <c r="W6237" i="114"/>
  <c r="W6238" i="114"/>
  <c r="W6239" i="114"/>
  <c r="W6240" i="114"/>
  <c r="W6241" i="114"/>
  <c r="W6242" i="114"/>
  <c r="W6243" i="114"/>
  <c r="W6244" i="114"/>
  <c r="W6245" i="114"/>
  <c r="W6246" i="114"/>
  <c r="W6247" i="114"/>
  <c r="W6248" i="114"/>
  <c r="W6249" i="114"/>
  <c r="W6250" i="114"/>
  <c r="W6251" i="114"/>
  <c r="W6252" i="114"/>
  <c r="W6253" i="114"/>
  <c r="W6254" i="114"/>
  <c r="W6255" i="114"/>
  <c r="W6256" i="114"/>
  <c r="W6257" i="114"/>
  <c r="W6258" i="114"/>
  <c r="W6259" i="114"/>
  <c r="W6260" i="114"/>
  <c r="W6261" i="114"/>
  <c r="W6262" i="114"/>
  <c r="W6263" i="114"/>
  <c r="W6264" i="114"/>
  <c r="W6265" i="114"/>
  <c r="W6266" i="114"/>
  <c r="W6267" i="114"/>
  <c r="W6268" i="114"/>
  <c r="W6269" i="114"/>
  <c r="W6270" i="114"/>
  <c r="W6271" i="114"/>
  <c r="W6272" i="114"/>
  <c r="W6273" i="114"/>
  <c r="W6274" i="114"/>
  <c r="W6275" i="114"/>
  <c r="W6276" i="114"/>
  <c r="W6277" i="114"/>
  <c r="W6278" i="114"/>
  <c r="W6279" i="114"/>
  <c r="W6280" i="114"/>
  <c r="W6281" i="114"/>
  <c r="W6282" i="114"/>
  <c r="W6283" i="114"/>
  <c r="W6284" i="114"/>
  <c r="W6285" i="114"/>
  <c r="W6286" i="114"/>
  <c r="W6287" i="114"/>
  <c r="W6288" i="114"/>
  <c r="W6289" i="114"/>
  <c r="W6290" i="114"/>
  <c r="W6291" i="114"/>
  <c r="W6292" i="114"/>
  <c r="W6293" i="114"/>
  <c r="W6294" i="114"/>
  <c r="W6295" i="114"/>
  <c r="W6296" i="114"/>
  <c r="W6297" i="114"/>
  <c r="W6298" i="114"/>
  <c r="W6299" i="114"/>
  <c r="W6300" i="114"/>
  <c r="W6301" i="114"/>
  <c r="W6302" i="114"/>
  <c r="W6303" i="114"/>
  <c r="W6304" i="114"/>
  <c r="W6305" i="114"/>
  <c r="W6306" i="114"/>
  <c r="W6307" i="114"/>
  <c r="W6308" i="114"/>
  <c r="W6309" i="114"/>
  <c r="W6310" i="114"/>
  <c r="W6311" i="114"/>
  <c r="W6312" i="114"/>
  <c r="W6313" i="114"/>
  <c r="X2" i="114"/>
  <c r="X3" i="114"/>
  <c r="X4" i="114"/>
  <c r="X5" i="114"/>
  <c r="X6" i="114"/>
  <c r="X7" i="114"/>
  <c r="X8" i="114"/>
  <c r="X9" i="114"/>
  <c r="X10" i="114"/>
  <c r="X11" i="114"/>
  <c r="X12" i="114"/>
  <c r="X13" i="114"/>
  <c r="X14" i="114"/>
  <c r="X15" i="114"/>
  <c r="X16" i="114"/>
  <c r="X17" i="114"/>
  <c r="X18" i="114"/>
  <c r="X19" i="114"/>
  <c r="X20" i="114"/>
  <c r="X21" i="114"/>
  <c r="X22" i="114"/>
  <c r="X23" i="114"/>
  <c r="X24" i="114"/>
  <c r="X25" i="114"/>
  <c r="X26" i="114"/>
  <c r="X27" i="114"/>
  <c r="X28" i="114"/>
  <c r="X29" i="114"/>
  <c r="X30" i="114"/>
  <c r="X31" i="114"/>
  <c r="X32" i="114"/>
  <c r="X33" i="114"/>
  <c r="X34" i="114"/>
  <c r="X35" i="114"/>
  <c r="X36" i="114"/>
  <c r="X37" i="114"/>
  <c r="X38" i="114"/>
  <c r="X39" i="114"/>
  <c r="X40" i="114"/>
  <c r="X41" i="114"/>
  <c r="X42" i="114"/>
  <c r="X43" i="114"/>
  <c r="X44" i="114"/>
  <c r="X45" i="114"/>
  <c r="X46" i="114"/>
  <c r="X47" i="114"/>
  <c r="X48" i="114"/>
  <c r="X49" i="114"/>
  <c r="X50" i="114"/>
  <c r="X51" i="114"/>
  <c r="X52" i="114"/>
  <c r="X53" i="114"/>
  <c r="X54" i="114"/>
  <c r="X55" i="114"/>
  <c r="X56" i="114"/>
  <c r="X57" i="114"/>
  <c r="X58" i="114"/>
  <c r="X59" i="114"/>
  <c r="X60" i="114"/>
  <c r="X61" i="114"/>
  <c r="X62" i="114"/>
  <c r="X63" i="114"/>
  <c r="X64" i="114"/>
  <c r="X65" i="114"/>
  <c r="X66" i="114"/>
  <c r="X67" i="114"/>
  <c r="X68" i="114"/>
  <c r="X69" i="114"/>
  <c r="X70" i="114"/>
  <c r="X71" i="114"/>
  <c r="X72" i="114"/>
  <c r="X73" i="114"/>
  <c r="X74" i="114"/>
  <c r="X75" i="114"/>
  <c r="X76" i="114"/>
  <c r="X77" i="114"/>
  <c r="X78" i="114"/>
  <c r="X79" i="114"/>
  <c r="X80" i="114"/>
  <c r="X81" i="114"/>
  <c r="X82" i="114"/>
  <c r="X83" i="114"/>
  <c r="X84" i="114"/>
  <c r="X85" i="114"/>
  <c r="X86" i="114"/>
  <c r="X87" i="114"/>
  <c r="X88" i="114"/>
  <c r="X89" i="114"/>
  <c r="X90" i="114"/>
  <c r="X91" i="114"/>
  <c r="X92" i="114"/>
  <c r="X93" i="114"/>
  <c r="X94" i="114"/>
  <c r="X95" i="114"/>
  <c r="X96" i="114"/>
  <c r="X97" i="114"/>
  <c r="X98" i="114"/>
  <c r="X99" i="114"/>
  <c r="X100" i="114"/>
  <c r="X101" i="114"/>
  <c r="X102" i="114"/>
  <c r="X103" i="114"/>
  <c r="X104" i="114"/>
  <c r="X105" i="114"/>
  <c r="X106" i="114"/>
  <c r="X107" i="114"/>
  <c r="X108" i="114"/>
  <c r="X109" i="114"/>
  <c r="X110" i="114"/>
  <c r="X111" i="114"/>
  <c r="X112" i="114"/>
  <c r="X113" i="114"/>
  <c r="X114" i="114"/>
  <c r="X115" i="114"/>
  <c r="X116" i="114"/>
  <c r="X117" i="114"/>
  <c r="X118" i="114"/>
  <c r="X119" i="114"/>
  <c r="X120" i="114"/>
  <c r="X121" i="114"/>
  <c r="X122" i="114"/>
  <c r="X123" i="114"/>
  <c r="X124" i="114"/>
  <c r="X125" i="114"/>
  <c r="X126" i="114"/>
  <c r="X127" i="114"/>
  <c r="X128" i="114"/>
  <c r="X129" i="114"/>
  <c r="X130" i="114"/>
  <c r="X131" i="114"/>
  <c r="X132" i="114"/>
  <c r="X133" i="114"/>
  <c r="X134" i="114"/>
  <c r="X135" i="114"/>
  <c r="X136" i="114"/>
  <c r="X137" i="114"/>
  <c r="X138" i="114"/>
  <c r="X139" i="114"/>
  <c r="X140" i="114"/>
  <c r="X141" i="114"/>
  <c r="X142" i="114"/>
  <c r="X143" i="114"/>
  <c r="X144" i="114"/>
  <c r="X145" i="114"/>
  <c r="X146" i="114"/>
  <c r="X147" i="114"/>
  <c r="X148" i="114"/>
  <c r="X149" i="114"/>
  <c r="X150" i="114"/>
  <c r="X151" i="114"/>
  <c r="X152" i="114"/>
  <c r="X153" i="114"/>
  <c r="X154" i="114"/>
  <c r="X155" i="114"/>
  <c r="X156" i="114"/>
  <c r="X157" i="114"/>
  <c r="X158" i="114"/>
  <c r="X159" i="114"/>
  <c r="X160" i="114"/>
  <c r="X161" i="114"/>
  <c r="X162" i="114"/>
  <c r="X163" i="114"/>
  <c r="X164" i="114"/>
  <c r="X165" i="114"/>
  <c r="X166" i="114"/>
  <c r="X167" i="114"/>
  <c r="X168" i="114"/>
  <c r="X169" i="114"/>
  <c r="X170" i="114"/>
  <c r="X171" i="114"/>
  <c r="X172" i="114"/>
  <c r="X173" i="114"/>
  <c r="X174" i="114"/>
  <c r="X175" i="114"/>
  <c r="X176" i="114"/>
  <c r="X177" i="114"/>
  <c r="X178" i="114"/>
  <c r="X179" i="114"/>
  <c r="X180" i="114"/>
  <c r="X181" i="114"/>
  <c r="X182" i="114"/>
  <c r="X183" i="114"/>
  <c r="X184" i="114"/>
  <c r="X185" i="114"/>
  <c r="X186" i="114"/>
  <c r="X187" i="114"/>
  <c r="X188" i="114"/>
  <c r="X189" i="114"/>
  <c r="X190" i="114"/>
  <c r="X191" i="114"/>
  <c r="X192" i="114"/>
  <c r="X193" i="114"/>
  <c r="X194" i="114"/>
  <c r="X195" i="114"/>
  <c r="X196" i="114"/>
  <c r="X197" i="114"/>
  <c r="X198" i="114"/>
  <c r="X199" i="114"/>
  <c r="X200" i="114"/>
  <c r="X201" i="114"/>
  <c r="X202" i="114"/>
  <c r="X203" i="114"/>
  <c r="X204" i="114"/>
  <c r="X205" i="114"/>
  <c r="X206" i="114"/>
  <c r="X207" i="114"/>
  <c r="X208" i="114"/>
  <c r="X209" i="114"/>
  <c r="X210" i="114"/>
  <c r="X211" i="114"/>
  <c r="X212" i="114"/>
  <c r="X213" i="114"/>
  <c r="X214" i="114"/>
  <c r="X215" i="114"/>
  <c r="X216" i="114"/>
  <c r="X217" i="114"/>
  <c r="X218" i="114"/>
  <c r="X219" i="114"/>
  <c r="X220" i="114"/>
  <c r="X221" i="114"/>
  <c r="X222" i="114"/>
  <c r="X223" i="114"/>
  <c r="X224" i="114"/>
  <c r="X225" i="114"/>
  <c r="X226" i="114"/>
  <c r="X227" i="114"/>
  <c r="X228" i="114"/>
  <c r="X229" i="114"/>
  <c r="X230" i="114"/>
  <c r="X231" i="114"/>
  <c r="X232" i="114"/>
  <c r="X233" i="114"/>
  <c r="X234" i="114"/>
  <c r="X235" i="114"/>
  <c r="X236" i="114"/>
  <c r="X237" i="114"/>
  <c r="X238" i="114"/>
  <c r="X239" i="114"/>
  <c r="X240" i="114"/>
  <c r="X241" i="114"/>
  <c r="X242" i="114"/>
  <c r="X243" i="114"/>
  <c r="X244" i="114"/>
  <c r="X245" i="114"/>
  <c r="X246" i="114"/>
  <c r="X247" i="114"/>
  <c r="X248" i="114"/>
  <c r="X249" i="114"/>
  <c r="X250" i="114"/>
  <c r="X251" i="114"/>
  <c r="X252" i="114"/>
  <c r="X253" i="114"/>
  <c r="X254" i="114"/>
  <c r="X255" i="114"/>
  <c r="X256" i="114"/>
  <c r="X257" i="114"/>
  <c r="X258" i="114"/>
  <c r="X259" i="114"/>
  <c r="X260" i="114"/>
  <c r="X261" i="114"/>
  <c r="X262" i="114"/>
  <c r="X263" i="114"/>
  <c r="X264" i="114"/>
  <c r="X265" i="114"/>
  <c r="X266" i="114"/>
  <c r="X267" i="114"/>
  <c r="X268" i="114"/>
  <c r="X269" i="114"/>
  <c r="X270" i="114"/>
  <c r="X271" i="114"/>
  <c r="X272" i="114"/>
  <c r="X273" i="114"/>
  <c r="X274" i="114"/>
  <c r="X275" i="114"/>
  <c r="X276" i="114"/>
  <c r="X277" i="114"/>
  <c r="X278" i="114"/>
  <c r="X279" i="114"/>
  <c r="X280" i="114"/>
  <c r="X281" i="114"/>
  <c r="X282" i="114"/>
  <c r="X283" i="114"/>
  <c r="X284" i="114"/>
  <c r="X285" i="114"/>
  <c r="X286" i="114"/>
  <c r="X287" i="114"/>
  <c r="X288" i="114"/>
  <c r="X289" i="114"/>
  <c r="X290" i="114"/>
  <c r="X291" i="114"/>
  <c r="X292" i="114"/>
  <c r="X293" i="114"/>
  <c r="X294" i="114"/>
  <c r="X295" i="114"/>
  <c r="X296" i="114"/>
  <c r="X297" i="114"/>
  <c r="X298" i="114"/>
  <c r="X299" i="114"/>
  <c r="X300" i="114"/>
  <c r="X301" i="114"/>
  <c r="X302" i="114"/>
  <c r="X303" i="114"/>
  <c r="X304" i="114"/>
  <c r="X305" i="114"/>
  <c r="X306" i="114"/>
  <c r="X307" i="114"/>
  <c r="X308" i="114"/>
  <c r="X309" i="114"/>
  <c r="X310" i="114"/>
  <c r="X311" i="114"/>
  <c r="X312" i="114"/>
  <c r="X313" i="114"/>
  <c r="X314" i="114"/>
  <c r="X315" i="114"/>
  <c r="X316" i="114"/>
  <c r="X317" i="114"/>
  <c r="X318" i="114"/>
  <c r="X319" i="114"/>
  <c r="X320" i="114"/>
  <c r="X321" i="114"/>
  <c r="X322" i="114"/>
  <c r="X323" i="114"/>
  <c r="X324" i="114"/>
  <c r="X325" i="114"/>
  <c r="X326" i="114"/>
  <c r="X327" i="114"/>
  <c r="X328" i="114"/>
  <c r="X329" i="114"/>
  <c r="X330" i="114"/>
  <c r="X331" i="114"/>
  <c r="X332" i="114"/>
  <c r="X333" i="114"/>
  <c r="X334" i="114"/>
  <c r="X335" i="114"/>
  <c r="X336" i="114"/>
  <c r="X337" i="114"/>
  <c r="X338" i="114"/>
  <c r="X339" i="114"/>
  <c r="X340" i="114"/>
  <c r="X341" i="114"/>
  <c r="X342" i="114"/>
  <c r="X343" i="114"/>
  <c r="X344" i="114"/>
  <c r="X345" i="114"/>
  <c r="X346" i="114"/>
  <c r="X347" i="114"/>
  <c r="X348" i="114"/>
  <c r="X349" i="114"/>
  <c r="X350" i="114"/>
  <c r="X351" i="114"/>
  <c r="X352" i="114"/>
  <c r="X353" i="114"/>
  <c r="X354" i="114"/>
  <c r="X355" i="114"/>
  <c r="X356" i="114"/>
  <c r="X357" i="114"/>
  <c r="X358" i="114"/>
  <c r="X359" i="114"/>
  <c r="X360" i="114"/>
  <c r="X361" i="114"/>
  <c r="X362" i="114"/>
  <c r="X363" i="114"/>
  <c r="X364" i="114"/>
  <c r="X365" i="114"/>
  <c r="X366" i="114"/>
  <c r="X367" i="114"/>
  <c r="X368" i="114"/>
  <c r="X369" i="114"/>
  <c r="X370" i="114"/>
  <c r="X371" i="114"/>
  <c r="X372" i="114"/>
  <c r="X373" i="114"/>
  <c r="X374" i="114"/>
  <c r="X375" i="114"/>
  <c r="X376" i="114"/>
  <c r="X377" i="114"/>
  <c r="X378" i="114"/>
  <c r="X379" i="114"/>
  <c r="X380" i="114"/>
  <c r="X381" i="114"/>
  <c r="X382" i="114"/>
  <c r="X383" i="114"/>
  <c r="X384" i="114"/>
  <c r="X385" i="114"/>
  <c r="X386" i="114"/>
  <c r="X387" i="114"/>
  <c r="X388" i="114"/>
  <c r="X389" i="114"/>
  <c r="X390" i="114"/>
  <c r="X391" i="114"/>
  <c r="X392" i="114"/>
  <c r="X393" i="114"/>
  <c r="X394" i="114"/>
  <c r="X395" i="114"/>
  <c r="X396" i="114"/>
  <c r="X397" i="114"/>
  <c r="X398" i="114"/>
  <c r="X399" i="114"/>
  <c r="X400" i="114"/>
  <c r="X401" i="114"/>
  <c r="X402" i="114"/>
  <c r="X403" i="114"/>
  <c r="X404" i="114"/>
  <c r="X405" i="114"/>
  <c r="X406" i="114"/>
  <c r="X407" i="114"/>
  <c r="X408" i="114"/>
  <c r="X409" i="114"/>
  <c r="X410" i="114"/>
  <c r="X411" i="114"/>
  <c r="X412" i="114"/>
  <c r="X413" i="114"/>
  <c r="X414" i="114"/>
  <c r="X415" i="114"/>
  <c r="X416" i="114"/>
  <c r="X417" i="114"/>
  <c r="X418" i="114"/>
  <c r="X419" i="114"/>
  <c r="X420" i="114"/>
  <c r="X421" i="114"/>
  <c r="X422" i="114"/>
  <c r="X423" i="114"/>
  <c r="X424" i="114"/>
  <c r="X425" i="114"/>
  <c r="X426" i="114"/>
  <c r="X427" i="114"/>
  <c r="X428" i="114"/>
  <c r="X429" i="114"/>
  <c r="X430" i="114"/>
  <c r="X431" i="114"/>
  <c r="X432" i="114"/>
  <c r="X433" i="114"/>
  <c r="X434" i="114"/>
  <c r="X435" i="114"/>
  <c r="X436" i="114"/>
  <c r="X437" i="114"/>
  <c r="X438" i="114"/>
  <c r="X439" i="114"/>
  <c r="X440" i="114"/>
  <c r="X441" i="114"/>
  <c r="X442" i="114"/>
  <c r="X443" i="114"/>
  <c r="X444" i="114"/>
  <c r="X445" i="114"/>
  <c r="X446" i="114"/>
  <c r="X447" i="114"/>
  <c r="X448" i="114"/>
  <c r="X449" i="114"/>
  <c r="X450" i="114"/>
  <c r="X451" i="114"/>
  <c r="X452" i="114"/>
  <c r="X453" i="114"/>
  <c r="X454" i="114"/>
  <c r="X455" i="114"/>
  <c r="X456" i="114"/>
  <c r="X457" i="114"/>
  <c r="X458" i="114"/>
  <c r="X459" i="114"/>
  <c r="X460" i="114"/>
  <c r="X461" i="114"/>
  <c r="X462" i="114"/>
  <c r="X463" i="114"/>
  <c r="X464" i="114"/>
  <c r="X465" i="114"/>
  <c r="X466" i="114"/>
  <c r="X467" i="114"/>
  <c r="X468" i="114"/>
  <c r="X469" i="114"/>
  <c r="X470" i="114"/>
  <c r="X471" i="114"/>
  <c r="X472" i="114"/>
  <c r="X473" i="114"/>
  <c r="X474" i="114"/>
  <c r="X475" i="114"/>
  <c r="X476" i="114"/>
  <c r="X477" i="114"/>
  <c r="X478" i="114"/>
  <c r="X479" i="114"/>
  <c r="X480" i="114"/>
  <c r="X481" i="114"/>
  <c r="X482" i="114"/>
  <c r="X483" i="114"/>
  <c r="X484" i="114"/>
  <c r="X485" i="114"/>
  <c r="X486" i="114"/>
  <c r="X487" i="114"/>
  <c r="X488" i="114"/>
  <c r="X489" i="114"/>
  <c r="X490" i="114"/>
  <c r="X491" i="114"/>
  <c r="X492" i="114"/>
  <c r="X493" i="114"/>
  <c r="X494" i="114"/>
  <c r="X495" i="114"/>
  <c r="X496" i="114"/>
  <c r="X497" i="114"/>
  <c r="X498" i="114"/>
  <c r="X499" i="114"/>
  <c r="X500" i="114"/>
  <c r="X501" i="114"/>
  <c r="X502" i="114"/>
  <c r="X503" i="114"/>
  <c r="X504" i="114"/>
  <c r="X505" i="114"/>
  <c r="X506" i="114"/>
  <c r="X507" i="114"/>
  <c r="X508" i="114"/>
  <c r="X509" i="114"/>
  <c r="X510" i="114"/>
  <c r="X511" i="114"/>
  <c r="X512" i="114"/>
  <c r="X513" i="114"/>
  <c r="X514" i="114"/>
  <c r="X515" i="114"/>
  <c r="X516" i="114"/>
  <c r="X517" i="114"/>
  <c r="X518" i="114"/>
  <c r="X519" i="114"/>
  <c r="X520" i="114"/>
  <c r="X521" i="114"/>
  <c r="X522" i="114"/>
  <c r="X523" i="114"/>
  <c r="X524" i="114"/>
  <c r="X525" i="114"/>
  <c r="X526" i="114"/>
  <c r="X527" i="114"/>
  <c r="X528" i="114"/>
  <c r="X529" i="114"/>
  <c r="X530" i="114"/>
  <c r="X531" i="114"/>
  <c r="X532" i="114"/>
  <c r="X533" i="114"/>
  <c r="X534" i="114"/>
  <c r="X535" i="114"/>
  <c r="X536" i="114"/>
  <c r="X537" i="114"/>
  <c r="X538" i="114"/>
  <c r="X539" i="114"/>
  <c r="X540" i="114"/>
  <c r="X541" i="114"/>
  <c r="X542" i="114"/>
  <c r="X543" i="114"/>
  <c r="X544" i="114"/>
  <c r="X545" i="114"/>
  <c r="X546" i="114"/>
  <c r="X547" i="114"/>
  <c r="X548" i="114"/>
  <c r="X549" i="114"/>
  <c r="X550" i="114"/>
  <c r="X551" i="114"/>
  <c r="X552" i="114"/>
  <c r="X553" i="114"/>
  <c r="X554" i="114"/>
  <c r="X555" i="114"/>
  <c r="X556" i="114"/>
  <c r="X557" i="114"/>
  <c r="X558" i="114"/>
  <c r="X559" i="114"/>
  <c r="X560" i="114"/>
  <c r="X561" i="114"/>
  <c r="X562" i="114"/>
  <c r="X563" i="114"/>
  <c r="X564" i="114"/>
  <c r="X565" i="114"/>
  <c r="X566" i="114"/>
  <c r="X567" i="114"/>
  <c r="X568" i="114"/>
  <c r="X569" i="114"/>
  <c r="X570" i="114"/>
  <c r="X571" i="114"/>
  <c r="X572" i="114"/>
  <c r="X573" i="114"/>
  <c r="X574" i="114"/>
  <c r="X575" i="114"/>
  <c r="X576" i="114"/>
  <c r="X577" i="114"/>
  <c r="X578" i="114"/>
  <c r="X579" i="114"/>
  <c r="X580" i="114"/>
  <c r="X581" i="114"/>
  <c r="X582" i="114"/>
  <c r="X583" i="114"/>
  <c r="X584" i="114"/>
  <c r="X585" i="114"/>
  <c r="X586" i="114"/>
  <c r="X587" i="114"/>
  <c r="X588" i="114"/>
  <c r="X589" i="114"/>
  <c r="X590" i="114"/>
  <c r="X591" i="114"/>
  <c r="X592" i="114"/>
  <c r="X593" i="114"/>
  <c r="X594" i="114"/>
  <c r="X595" i="114"/>
  <c r="X596" i="114"/>
  <c r="X597" i="114"/>
  <c r="X598" i="114"/>
  <c r="X599" i="114"/>
  <c r="X600" i="114"/>
  <c r="X601" i="114"/>
  <c r="X602" i="114"/>
  <c r="X603" i="114"/>
  <c r="X604" i="114"/>
  <c r="X605" i="114"/>
  <c r="X606" i="114"/>
  <c r="X607" i="114"/>
  <c r="X608" i="114"/>
  <c r="X609" i="114"/>
  <c r="X610" i="114"/>
  <c r="X611" i="114"/>
  <c r="X612" i="114"/>
  <c r="X613" i="114"/>
  <c r="X614" i="114"/>
  <c r="X615" i="114"/>
  <c r="X616" i="114"/>
  <c r="X617" i="114"/>
  <c r="X618" i="114"/>
  <c r="X619" i="114"/>
  <c r="X620" i="114"/>
  <c r="X621" i="114"/>
  <c r="X622" i="114"/>
  <c r="X623" i="114"/>
  <c r="X624" i="114"/>
  <c r="X625" i="114"/>
  <c r="X626" i="114"/>
  <c r="X627" i="114"/>
  <c r="X628" i="114"/>
  <c r="X629" i="114"/>
  <c r="X630" i="114"/>
  <c r="X631" i="114"/>
  <c r="X632" i="114"/>
  <c r="X633" i="114"/>
  <c r="X634" i="114"/>
  <c r="X635" i="114"/>
  <c r="X636" i="114"/>
  <c r="X637" i="114"/>
  <c r="X638" i="114"/>
  <c r="X639" i="114"/>
  <c r="X640" i="114"/>
  <c r="X641" i="114"/>
  <c r="X642" i="114"/>
  <c r="X643" i="114"/>
  <c r="X644" i="114"/>
  <c r="X645" i="114"/>
  <c r="X646" i="114"/>
  <c r="X647" i="114"/>
  <c r="X648" i="114"/>
  <c r="X649" i="114"/>
  <c r="X650" i="114"/>
  <c r="X651" i="114"/>
  <c r="X652" i="114"/>
  <c r="X653" i="114"/>
  <c r="X654" i="114"/>
  <c r="X655" i="114"/>
  <c r="X656" i="114"/>
  <c r="X657" i="114"/>
  <c r="X658" i="114"/>
  <c r="X659" i="114"/>
  <c r="X660" i="114"/>
  <c r="X661" i="114"/>
  <c r="X662" i="114"/>
  <c r="X663" i="114"/>
  <c r="X664" i="114"/>
  <c r="X665" i="114"/>
  <c r="X666" i="114"/>
  <c r="X667" i="114"/>
  <c r="X668" i="114"/>
  <c r="X669" i="114"/>
  <c r="X670" i="114"/>
  <c r="X671" i="114"/>
  <c r="X672" i="114"/>
  <c r="X673" i="114"/>
  <c r="X674" i="114"/>
  <c r="X675" i="114"/>
  <c r="X676" i="114"/>
  <c r="X677" i="114"/>
  <c r="X678" i="114"/>
  <c r="X679" i="114"/>
  <c r="X680" i="114"/>
  <c r="X681" i="114"/>
  <c r="X682" i="114"/>
  <c r="X683" i="114"/>
  <c r="X684" i="114"/>
  <c r="X685" i="114"/>
  <c r="X686" i="114"/>
  <c r="X687" i="114"/>
  <c r="X688" i="114"/>
  <c r="X689" i="114"/>
  <c r="X690" i="114"/>
  <c r="X691" i="114"/>
  <c r="X692" i="114"/>
  <c r="X693" i="114"/>
  <c r="X694" i="114"/>
  <c r="X695" i="114"/>
  <c r="X696" i="114"/>
  <c r="X697" i="114"/>
  <c r="X698" i="114"/>
  <c r="X699" i="114"/>
  <c r="X700" i="114"/>
  <c r="X701" i="114"/>
  <c r="X702" i="114"/>
  <c r="X703" i="114"/>
  <c r="X704" i="114"/>
  <c r="X705" i="114"/>
  <c r="X706" i="114"/>
  <c r="X707" i="114"/>
  <c r="X708" i="114"/>
  <c r="X709" i="114"/>
  <c r="X710" i="114"/>
  <c r="X711" i="114"/>
  <c r="X712" i="114"/>
  <c r="X713" i="114"/>
  <c r="X714" i="114"/>
  <c r="X715" i="114"/>
  <c r="X716" i="114"/>
  <c r="X717" i="114"/>
  <c r="X718" i="114"/>
  <c r="X719" i="114"/>
  <c r="X720" i="114"/>
  <c r="X721" i="114"/>
  <c r="X722" i="114"/>
  <c r="X723" i="114"/>
  <c r="X724" i="114"/>
  <c r="X725" i="114"/>
  <c r="X726" i="114"/>
  <c r="X727" i="114"/>
  <c r="X728" i="114"/>
  <c r="X729" i="114"/>
  <c r="X730" i="114"/>
  <c r="X731" i="114"/>
  <c r="X732" i="114"/>
  <c r="X733" i="114"/>
  <c r="X734" i="114"/>
  <c r="X735" i="114"/>
  <c r="X736" i="114"/>
  <c r="X737" i="114"/>
  <c r="X738" i="114"/>
  <c r="X739" i="114"/>
  <c r="X740" i="114"/>
  <c r="X741" i="114"/>
  <c r="X742" i="114"/>
  <c r="X743" i="114"/>
  <c r="X744" i="114"/>
  <c r="X745" i="114"/>
  <c r="X746" i="114"/>
  <c r="X747" i="114"/>
  <c r="X748" i="114"/>
  <c r="X749" i="114"/>
  <c r="X750" i="114"/>
  <c r="X751" i="114"/>
  <c r="X752" i="114"/>
  <c r="X753" i="114"/>
  <c r="X754" i="114"/>
  <c r="X755" i="114"/>
  <c r="X756" i="114"/>
  <c r="X757" i="114"/>
  <c r="X758" i="114"/>
  <c r="X759" i="114"/>
  <c r="X760" i="114"/>
  <c r="X761" i="114"/>
  <c r="X762" i="114"/>
  <c r="X763" i="114"/>
  <c r="X764" i="114"/>
  <c r="X765" i="114"/>
  <c r="X766" i="114"/>
  <c r="X767" i="114"/>
  <c r="X768" i="114"/>
  <c r="X769" i="114"/>
  <c r="X770" i="114"/>
  <c r="X771" i="114"/>
  <c r="X772" i="114"/>
  <c r="X773" i="114"/>
  <c r="X774" i="114"/>
  <c r="X775" i="114"/>
  <c r="X776" i="114"/>
  <c r="X777" i="114"/>
  <c r="X778" i="114"/>
  <c r="X779" i="114"/>
  <c r="X780" i="114"/>
  <c r="X781" i="114"/>
  <c r="X782" i="114"/>
  <c r="X783" i="114"/>
  <c r="X784" i="114"/>
  <c r="X785" i="114"/>
  <c r="X786" i="114"/>
  <c r="X787" i="114"/>
  <c r="X788" i="114"/>
  <c r="X789" i="114"/>
  <c r="X790" i="114"/>
  <c r="X791" i="114"/>
  <c r="X792" i="114"/>
  <c r="X793" i="114"/>
  <c r="X794" i="114"/>
  <c r="X795" i="114"/>
  <c r="X796" i="114"/>
  <c r="X797" i="114"/>
  <c r="X798" i="114"/>
  <c r="X799" i="114"/>
  <c r="X800" i="114"/>
  <c r="X801" i="114"/>
  <c r="X802" i="114"/>
  <c r="X803" i="114"/>
  <c r="X804" i="114"/>
  <c r="X805" i="114"/>
  <c r="X806" i="114"/>
  <c r="X807" i="114"/>
  <c r="X808" i="114"/>
  <c r="X809" i="114"/>
  <c r="X810" i="114"/>
  <c r="X811" i="114"/>
  <c r="X812" i="114"/>
  <c r="X813" i="114"/>
  <c r="X814" i="114"/>
  <c r="X815" i="114"/>
  <c r="X816" i="114"/>
  <c r="X817" i="114"/>
  <c r="X818" i="114"/>
  <c r="X819" i="114"/>
  <c r="X820" i="114"/>
  <c r="X821" i="114"/>
  <c r="X822" i="114"/>
  <c r="X823" i="114"/>
  <c r="X824" i="114"/>
  <c r="X825" i="114"/>
  <c r="X826" i="114"/>
  <c r="X827" i="114"/>
  <c r="X828" i="114"/>
  <c r="X829" i="114"/>
  <c r="X830" i="114"/>
  <c r="X831" i="114"/>
  <c r="X832" i="114"/>
  <c r="X833" i="114"/>
  <c r="X834" i="114"/>
  <c r="X835" i="114"/>
  <c r="X836" i="114"/>
  <c r="X837" i="114"/>
  <c r="X838" i="114"/>
  <c r="X839" i="114"/>
  <c r="X840" i="114"/>
  <c r="X841" i="114"/>
  <c r="X842" i="114"/>
  <c r="X843" i="114"/>
  <c r="X844" i="114"/>
  <c r="X845" i="114"/>
  <c r="X846" i="114"/>
  <c r="X847" i="114"/>
  <c r="X848" i="114"/>
  <c r="X849" i="114"/>
  <c r="X850" i="114"/>
  <c r="X851" i="114"/>
  <c r="X852" i="114"/>
  <c r="X853" i="114"/>
  <c r="X854" i="114"/>
  <c r="X855" i="114"/>
  <c r="X856" i="114"/>
  <c r="X857" i="114"/>
  <c r="X858" i="114"/>
  <c r="X859" i="114"/>
  <c r="X860" i="114"/>
  <c r="X861" i="114"/>
  <c r="X862" i="114"/>
  <c r="X863" i="114"/>
  <c r="X864" i="114"/>
  <c r="X865" i="114"/>
  <c r="X866" i="114"/>
  <c r="X867" i="114"/>
  <c r="X868" i="114"/>
  <c r="X869" i="114"/>
  <c r="X870" i="114"/>
  <c r="X871" i="114"/>
  <c r="X872" i="114"/>
  <c r="X873" i="114"/>
  <c r="X874" i="114"/>
  <c r="X875" i="114"/>
  <c r="X876" i="114"/>
  <c r="X877" i="114"/>
  <c r="X878" i="114"/>
  <c r="X879" i="114"/>
  <c r="X880" i="114"/>
  <c r="X881" i="114"/>
  <c r="X882" i="114"/>
  <c r="X883" i="114"/>
  <c r="X884" i="114"/>
  <c r="X885" i="114"/>
  <c r="X886" i="114"/>
  <c r="X887" i="114"/>
  <c r="X888" i="114"/>
  <c r="X889" i="114"/>
  <c r="X890" i="114"/>
  <c r="X891" i="114"/>
  <c r="X892" i="114"/>
  <c r="X893" i="114"/>
  <c r="X894" i="114"/>
  <c r="X895" i="114"/>
  <c r="X896" i="114"/>
  <c r="X897" i="114"/>
  <c r="X898" i="114"/>
  <c r="X899" i="114"/>
  <c r="X900" i="114"/>
  <c r="X901" i="114"/>
  <c r="X902" i="114"/>
  <c r="X903" i="114"/>
  <c r="X904" i="114"/>
  <c r="X905" i="114"/>
  <c r="X906" i="114"/>
  <c r="X907" i="114"/>
  <c r="X908" i="114"/>
  <c r="X909" i="114"/>
  <c r="X910" i="114"/>
  <c r="X911" i="114"/>
  <c r="X912" i="114"/>
  <c r="X913" i="114"/>
  <c r="X914" i="114"/>
  <c r="X915" i="114"/>
  <c r="X916" i="114"/>
  <c r="X917" i="114"/>
  <c r="X918" i="114"/>
  <c r="X919" i="114"/>
  <c r="X920" i="114"/>
  <c r="X921" i="114"/>
  <c r="X922" i="114"/>
  <c r="X923" i="114"/>
  <c r="X924" i="114"/>
  <c r="X925" i="114"/>
  <c r="X926" i="114"/>
  <c r="X927" i="114"/>
  <c r="X928" i="114"/>
  <c r="X929" i="114"/>
  <c r="X930" i="114"/>
  <c r="X931" i="114"/>
  <c r="X932" i="114"/>
  <c r="X933" i="114"/>
  <c r="X934" i="114"/>
  <c r="X935" i="114"/>
  <c r="X936" i="114"/>
  <c r="X937" i="114"/>
  <c r="X938" i="114"/>
  <c r="X939" i="114"/>
  <c r="X940" i="114"/>
  <c r="X941" i="114"/>
  <c r="X942" i="114"/>
  <c r="X943" i="114"/>
  <c r="X944" i="114"/>
  <c r="X945" i="114"/>
  <c r="X946" i="114"/>
  <c r="X947" i="114"/>
  <c r="X948" i="114"/>
  <c r="X949" i="114"/>
  <c r="X950" i="114"/>
  <c r="X951" i="114"/>
  <c r="X952" i="114"/>
  <c r="X953" i="114"/>
  <c r="X954" i="114"/>
  <c r="X955" i="114"/>
  <c r="X956" i="114"/>
  <c r="X957" i="114"/>
  <c r="X958" i="114"/>
  <c r="X959" i="114"/>
  <c r="X960" i="114"/>
  <c r="X961" i="114"/>
  <c r="X962" i="114"/>
  <c r="X963" i="114"/>
  <c r="X964" i="114"/>
  <c r="X965" i="114"/>
  <c r="X966" i="114"/>
  <c r="X967" i="114"/>
  <c r="X968" i="114"/>
  <c r="X969" i="114"/>
  <c r="X970" i="114"/>
  <c r="X971" i="114"/>
  <c r="X972" i="114"/>
  <c r="X973" i="114"/>
  <c r="X974" i="114"/>
  <c r="X975" i="114"/>
  <c r="X976" i="114"/>
  <c r="X977" i="114"/>
  <c r="X978" i="114"/>
  <c r="X979" i="114"/>
  <c r="X980" i="114"/>
  <c r="X981" i="114"/>
  <c r="X982" i="114"/>
  <c r="X983" i="114"/>
  <c r="X984" i="114"/>
  <c r="X985" i="114"/>
  <c r="X986" i="114"/>
  <c r="X987" i="114"/>
  <c r="X988" i="114"/>
  <c r="X989" i="114"/>
  <c r="X990" i="114"/>
  <c r="X991" i="114"/>
  <c r="X992" i="114"/>
  <c r="X993" i="114"/>
  <c r="X994" i="114"/>
  <c r="X995" i="114"/>
  <c r="X996" i="114"/>
  <c r="X997" i="114"/>
  <c r="X998" i="114"/>
  <c r="X999" i="114"/>
  <c r="X1000" i="114"/>
  <c r="X1001" i="114"/>
  <c r="X1002" i="114"/>
  <c r="X1003" i="114"/>
  <c r="X1004" i="114"/>
  <c r="X1005" i="114"/>
  <c r="X1006" i="114"/>
  <c r="X1007" i="114"/>
  <c r="X1008" i="114"/>
  <c r="X1009" i="114"/>
  <c r="X1010" i="114"/>
  <c r="X1011" i="114"/>
  <c r="X1012" i="114"/>
  <c r="X1013" i="114"/>
  <c r="X1014" i="114"/>
  <c r="X1015" i="114"/>
  <c r="X1016" i="114"/>
  <c r="X1017" i="114"/>
  <c r="X1018" i="114"/>
  <c r="X1019" i="114"/>
  <c r="X1020" i="114"/>
  <c r="X1021" i="114"/>
  <c r="X1022" i="114"/>
  <c r="X1023" i="114"/>
  <c r="X1024" i="114"/>
  <c r="X1025" i="114"/>
  <c r="X1026" i="114"/>
  <c r="X1027" i="114"/>
  <c r="X1028" i="114"/>
  <c r="X1029" i="114"/>
  <c r="X1030" i="114"/>
  <c r="X1031" i="114"/>
  <c r="X1032" i="114"/>
  <c r="X1033" i="114"/>
  <c r="X1034" i="114"/>
  <c r="X1035" i="114"/>
  <c r="X1036" i="114"/>
  <c r="X1037" i="114"/>
  <c r="X1038" i="114"/>
  <c r="X1039" i="114"/>
  <c r="X1040" i="114"/>
  <c r="X1041" i="114"/>
  <c r="X1042" i="114"/>
  <c r="X1043" i="114"/>
  <c r="X1044" i="114"/>
  <c r="X1045" i="114"/>
  <c r="X1046" i="114"/>
  <c r="X1047" i="114"/>
  <c r="X1048" i="114"/>
  <c r="X1049" i="114"/>
  <c r="X1050" i="114"/>
  <c r="X1051" i="114"/>
  <c r="X1052" i="114"/>
  <c r="X1053" i="114"/>
  <c r="X1054" i="114"/>
  <c r="X1055" i="114"/>
  <c r="X1056" i="114"/>
  <c r="X1057" i="114"/>
  <c r="X1058" i="114"/>
  <c r="X1059" i="114"/>
  <c r="X1060" i="114"/>
  <c r="X1061" i="114"/>
  <c r="X1062" i="114"/>
  <c r="X1063" i="114"/>
  <c r="X1064" i="114"/>
  <c r="X1065" i="114"/>
  <c r="X1066" i="114"/>
  <c r="X1067" i="114"/>
  <c r="X1068" i="114"/>
  <c r="X1069" i="114"/>
  <c r="X1070" i="114"/>
  <c r="X1071" i="114"/>
  <c r="X1072" i="114"/>
  <c r="X1073" i="114"/>
  <c r="X1074" i="114"/>
  <c r="X1075" i="114"/>
  <c r="X1076" i="114"/>
  <c r="X1077" i="114"/>
  <c r="X1078" i="114"/>
  <c r="X1079" i="114"/>
  <c r="X1080" i="114"/>
  <c r="X1081" i="114"/>
  <c r="X1082" i="114"/>
  <c r="X1083" i="114"/>
  <c r="X1084" i="114"/>
  <c r="X1085" i="114"/>
  <c r="X1086" i="114"/>
  <c r="X1087" i="114"/>
  <c r="X1088" i="114"/>
  <c r="X1089" i="114"/>
  <c r="X1090" i="114"/>
  <c r="X1091" i="114"/>
  <c r="X1092" i="114"/>
  <c r="X1093" i="114"/>
  <c r="X1094" i="114"/>
  <c r="X1095" i="114"/>
  <c r="X1096" i="114"/>
  <c r="X1097" i="114"/>
  <c r="X1098" i="114"/>
  <c r="X1099" i="114"/>
  <c r="X1100" i="114"/>
  <c r="X1101" i="114"/>
  <c r="X1102" i="114"/>
  <c r="X1103" i="114"/>
  <c r="X1104" i="114"/>
  <c r="X1105" i="114"/>
  <c r="X1106" i="114"/>
  <c r="X1107" i="114"/>
  <c r="X1108" i="114"/>
  <c r="X1109" i="114"/>
  <c r="X1110" i="114"/>
  <c r="X1111" i="114"/>
  <c r="X1112" i="114"/>
  <c r="X1113" i="114"/>
  <c r="X1114" i="114"/>
  <c r="X1115" i="114"/>
  <c r="X1116" i="114"/>
  <c r="X1117" i="114"/>
  <c r="X1118" i="114"/>
  <c r="X1119" i="114"/>
  <c r="X1120" i="114"/>
  <c r="X1121" i="114"/>
  <c r="X1122" i="114"/>
  <c r="X1123" i="114"/>
  <c r="X1124" i="114"/>
  <c r="X1125" i="114"/>
  <c r="X1126" i="114"/>
  <c r="X1127" i="114"/>
  <c r="X1128" i="114"/>
  <c r="X1129" i="114"/>
  <c r="X1130" i="114"/>
  <c r="X1131" i="114"/>
  <c r="X1132" i="114"/>
  <c r="X1133" i="114"/>
  <c r="X1134" i="114"/>
  <c r="X1135" i="114"/>
  <c r="X1136" i="114"/>
  <c r="X1137" i="114"/>
  <c r="X1138" i="114"/>
  <c r="X1139" i="114"/>
  <c r="X1140" i="114"/>
  <c r="X1141" i="114"/>
  <c r="X1142" i="114"/>
  <c r="X1143" i="114"/>
  <c r="X1144" i="114"/>
  <c r="X1145" i="114"/>
  <c r="X1146" i="114"/>
  <c r="X1147" i="114"/>
  <c r="X1148" i="114"/>
  <c r="X1149" i="114"/>
  <c r="X1150" i="114"/>
  <c r="X1151" i="114"/>
  <c r="X1152" i="114"/>
  <c r="X1153" i="114"/>
  <c r="X1154" i="114"/>
  <c r="X1155" i="114"/>
  <c r="X1156" i="114"/>
  <c r="X1157" i="114"/>
  <c r="X1158" i="114"/>
  <c r="X1159" i="114"/>
  <c r="X1160" i="114"/>
  <c r="X1161" i="114"/>
  <c r="X1162" i="114"/>
  <c r="X1163" i="114"/>
  <c r="X1164" i="114"/>
  <c r="X1165" i="114"/>
  <c r="X1166" i="114"/>
  <c r="X1167" i="114"/>
  <c r="X1168" i="114"/>
  <c r="X1169" i="114"/>
  <c r="X1170" i="114"/>
  <c r="X1171" i="114"/>
  <c r="X1172" i="114"/>
  <c r="X1173" i="114"/>
  <c r="X1174" i="114"/>
  <c r="X1175" i="114"/>
  <c r="X1176" i="114"/>
  <c r="X1177" i="114"/>
  <c r="X1178" i="114"/>
  <c r="X1179" i="114"/>
  <c r="X1180" i="114"/>
  <c r="X1181" i="114"/>
  <c r="X1182" i="114"/>
  <c r="X1183" i="114"/>
  <c r="X1184" i="114"/>
  <c r="X1185" i="114"/>
  <c r="X1186" i="114"/>
  <c r="X1187" i="114"/>
  <c r="X1188" i="114"/>
  <c r="X1189" i="114"/>
  <c r="X1190" i="114"/>
  <c r="X1191" i="114"/>
  <c r="X1192" i="114"/>
  <c r="X1193" i="114"/>
  <c r="X1194" i="114"/>
  <c r="X1195" i="114"/>
  <c r="X1196" i="114"/>
  <c r="X1197" i="114"/>
  <c r="X1198" i="114"/>
  <c r="X1199" i="114"/>
  <c r="X1200" i="114"/>
  <c r="X1201" i="114"/>
  <c r="X1202" i="114"/>
  <c r="X1203" i="114"/>
  <c r="X1204" i="114"/>
  <c r="X1205" i="114"/>
  <c r="X1206" i="114"/>
  <c r="X1207" i="114"/>
  <c r="X1208" i="114"/>
  <c r="X1209" i="114"/>
  <c r="X1210" i="114"/>
  <c r="X1211" i="114"/>
  <c r="X1212" i="114"/>
  <c r="X1213" i="114"/>
  <c r="X1214" i="114"/>
  <c r="X1215" i="114"/>
  <c r="X1216" i="114"/>
  <c r="X1217" i="114"/>
  <c r="X1218" i="114"/>
  <c r="X1219" i="114"/>
  <c r="X1220" i="114"/>
  <c r="X1221" i="114"/>
  <c r="X1222" i="114"/>
  <c r="X1223" i="114"/>
  <c r="X1224" i="114"/>
  <c r="X1225" i="114"/>
  <c r="X1226" i="114"/>
  <c r="X1227" i="114"/>
  <c r="X1228" i="114"/>
  <c r="X1229" i="114"/>
  <c r="X1230" i="114"/>
  <c r="X1231" i="114"/>
  <c r="X1232" i="114"/>
  <c r="X1233" i="114"/>
  <c r="X1234" i="114"/>
  <c r="X1235" i="114"/>
  <c r="X1236" i="114"/>
  <c r="X1237" i="114"/>
  <c r="X1238" i="114"/>
  <c r="X1239" i="114"/>
  <c r="X1240" i="114"/>
  <c r="X1241" i="114"/>
  <c r="X1242" i="114"/>
  <c r="X1243" i="114"/>
  <c r="X1244" i="114"/>
  <c r="X1245" i="114"/>
  <c r="X1246" i="114"/>
  <c r="X1247" i="114"/>
  <c r="X1248" i="114"/>
  <c r="X1249" i="114"/>
  <c r="X1250" i="114"/>
  <c r="X1251" i="114"/>
  <c r="X1252" i="114"/>
  <c r="X1253" i="114"/>
  <c r="X1254" i="114"/>
  <c r="X1255" i="114"/>
  <c r="X1256" i="114"/>
  <c r="X1257" i="114"/>
  <c r="X1258" i="114"/>
  <c r="X1259" i="114"/>
  <c r="X1260" i="114"/>
  <c r="X1261" i="114"/>
  <c r="X1262" i="114"/>
  <c r="X1263" i="114"/>
  <c r="X1264" i="114"/>
  <c r="X1265" i="114"/>
  <c r="X1266" i="114"/>
  <c r="X1267" i="114"/>
  <c r="X1268" i="114"/>
  <c r="X1269" i="114"/>
  <c r="X1270" i="114"/>
  <c r="X1271" i="114"/>
  <c r="X1272" i="114"/>
  <c r="X1273" i="114"/>
  <c r="X1274" i="114"/>
  <c r="X1275" i="114"/>
  <c r="X1276" i="114"/>
  <c r="X1277" i="114"/>
  <c r="X1278" i="114"/>
  <c r="X1279" i="114"/>
  <c r="X1280" i="114"/>
  <c r="X1281" i="114"/>
  <c r="X1282" i="114"/>
  <c r="X1283" i="114"/>
  <c r="X1284" i="114"/>
  <c r="X1285" i="114"/>
  <c r="X1286" i="114"/>
  <c r="X1287" i="114"/>
  <c r="X1288" i="114"/>
  <c r="X1289" i="114"/>
  <c r="X1290" i="114"/>
  <c r="X1291" i="114"/>
  <c r="X1292" i="114"/>
  <c r="X1293" i="114"/>
  <c r="X1294" i="114"/>
  <c r="X1295" i="114"/>
  <c r="X1296" i="114"/>
  <c r="X1297" i="114"/>
  <c r="X1298" i="114"/>
  <c r="X1299" i="114"/>
  <c r="X1300" i="114"/>
  <c r="X1301" i="114"/>
  <c r="X1302" i="114"/>
  <c r="X1303" i="114"/>
  <c r="X1304" i="114"/>
  <c r="X1305" i="114"/>
  <c r="X1306" i="114"/>
  <c r="X1307" i="114"/>
  <c r="X1308" i="114"/>
  <c r="X1309" i="114"/>
  <c r="X1310" i="114"/>
  <c r="X1311" i="114"/>
  <c r="X1312" i="114"/>
  <c r="X1313" i="114"/>
  <c r="X1314" i="114"/>
  <c r="X1315" i="114"/>
  <c r="X1316" i="114"/>
  <c r="X1317" i="114"/>
  <c r="X1318" i="114"/>
  <c r="X1319" i="114"/>
  <c r="X1320" i="114"/>
  <c r="X1321" i="114"/>
  <c r="X1322" i="114"/>
  <c r="X1323" i="114"/>
  <c r="X1324" i="114"/>
  <c r="X1325" i="114"/>
  <c r="X1326" i="114"/>
  <c r="X1327" i="114"/>
  <c r="X1328" i="114"/>
  <c r="X1329" i="114"/>
  <c r="X1330" i="114"/>
  <c r="X1331" i="114"/>
  <c r="X1332" i="114"/>
  <c r="X1333" i="114"/>
  <c r="X1334" i="114"/>
  <c r="X1335" i="114"/>
  <c r="X1336" i="114"/>
  <c r="X1337" i="114"/>
  <c r="X1338" i="114"/>
  <c r="X1339" i="114"/>
  <c r="X1340" i="114"/>
  <c r="X1341" i="114"/>
  <c r="X1342" i="114"/>
  <c r="X1343" i="114"/>
  <c r="X1344" i="114"/>
  <c r="X1345" i="114"/>
  <c r="X1346" i="114"/>
  <c r="X1347" i="114"/>
  <c r="X1348" i="114"/>
  <c r="X1349" i="114"/>
  <c r="X1350" i="114"/>
  <c r="X1351" i="114"/>
  <c r="X1352" i="114"/>
  <c r="X1353" i="114"/>
  <c r="X1354" i="114"/>
  <c r="X1355" i="114"/>
  <c r="X1356" i="114"/>
  <c r="X1357" i="114"/>
  <c r="X1358" i="114"/>
  <c r="X1359" i="114"/>
  <c r="X1360" i="114"/>
  <c r="X1361" i="114"/>
  <c r="X1362" i="114"/>
  <c r="X1363" i="114"/>
  <c r="X1364" i="114"/>
  <c r="X1365" i="114"/>
  <c r="X1366" i="114"/>
  <c r="X1367" i="114"/>
  <c r="X1368" i="114"/>
  <c r="X1369" i="114"/>
  <c r="X1370" i="114"/>
  <c r="X1371" i="114"/>
  <c r="X1372" i="114"/>
  <c r="X1373" i="114"/>
  <c r="X1374" i="114"/>
  <c r="X1375" i="114"/>
  <c r="X1376" i="114"/>
  <c r="X1377" i="114"/>
  <c r="X1378" i="114"/>
  <c r="X1379" i="114"/>
  <c r="X1380" i="114"/>
  <c r="X1381" i="114"/>
  <c r="X1382" i="114"/>
  <c r="X1383" i="114"/>
  <c r="X1384" i="114"/>
  <c r="X1385" i="114"/>
  <c r="X1386" i="114"/>
  <c r="X1387" i="114"/>
  <c r="X1388" i="114"/>
  <c r="X1389" i="114"/>
  <c r="X1390" i="114"/>
  <c r="X1391" i="114"/>
  <c r="X1392" i="114"/>
  <c r="X1393" i="114"/>
  <c r="X1394" i="114"/>
  <c r="X1395" i="114"/>
  <c r="X1396" i="114"/>
  <c r="X1397" i="114"/>
  <c r="X1398" i="114"/>
  <c r="X1399" i="114"/>
  <c r="X1400" i="114"/>
  <c r="X1401" i="114"/>
  <c r="X1402" i="114"/>
  <c r="X1403" i="114"/>
  <c r="X1404" i="114"/>
  <c r="X1405" i="114"/>
  <c r="X1406" i="114"/>
  <c r="X1407" i="114"/>
  <c r="X1408" i="114"/>
  <c r="X1409" i="114"/>
  <c r="X1410" i="114"/>
  <c r="X1411" i="114"/>
  <c r="X1412" i="114"/>
  <c r="X1413" i="114"/>
  <c r="X1414" i="114"/>
  <c r="X1415" i="114"/>
  <c r="X1416" i="114"/>
  <c r="X1417" i="114"/>
  <c r="X1418" i="114"/>
  <c r="X1419" i="114"/>
  <c r="X1420" i="114"/>
  <c r="X1421" i="114"/>
  <c r="X1422" i="114"/>
  <c r="X1423" i="114"/>
  <c r="X1424" i="114"/>
  <c r="X1425" i="114"/>
  <c r="X1426" i="114"/>
  <c r="X1427" i="114"/>
  <c r="X1428" i="114"/>
  <c r="X1429" i="114"/>
  <c r="X1430" i="114"/>
  <c r="X1431" i="114"/>
  <c r="X1432" i="114"/>
  <c r="X1433" i="114"/>
  <c r="X1434" i="114"/>
  <c r="X1435" i="114"/>
  <c r="X1436" i="114"/>
  <c r="X1437" i="114"/>
  <c r="X1438" i="114"/>
  <c r="X1439" i="114"/>
  <c r="X1440" i="114"/>
  <c r="X1441" i="114"/>
  <c r="X1442" i="114"/>
  <c r="X1443" i="114"/>
  <c r="X1444" i="114"/>
  <c r="X1445" i="114"/>
  <c r="X1446" i="114"/>
  <c r="X1447" i="114"/>
  <c r="X1448" i="114"/>
  <c r="X1449" i="114"/>
  <c r="X1450" i="114"/>
  <c r="X1451" i="114"/>
  <c r="X1452" i="114"/>
  <c r="X1453" i="114"/>
  <c r="X1454" i="114"/>
  <c r="X1455" i="114"/>
  <c r="X1456" i="114"/>
  <c r="X1457" i="114"/>
  <c r="X1458" i="114"/>
  <c r="X1459" i="114"/>
  <c r="X1460" i="114"/>
  <c r="X1461" i="114"/>
  <c r="X1462" i="114"/>
  <c r="X1463" i="114"/>
  <c r="X1464" i="114"/>
  <c r="X1465" i="114"/>
  <c r="X1466" i="114"/>
  <c r="X1467" i="114"/>
  <c r="X1468" i="114"/>
  <c r="X1469" i="114"/>
  <c r="X1470" i="114"/>
  <c r="X1471" i="114"/>
  <c r="X1472" i="114"/>
  <c r="X1473" i="114"/>
  <c r="X1474" i="114"/>
  <c r="X1475" i="114"/>
  <c r="X1476" i="114"/>
  <c r="X1477" i="114"/>
  <c r="X1478" i="114"/>
  <c r="X1479" i="114"/>
  <c r="X1480" i="114"/>
  <c r="X1481" i="114"/>
  <c r="X1482" i="114"/>
  <c r="X1483" i="114"/>
  <c r="X1484" i="114"/>
  <c r="X1485" i="114"/>
  <c r="X1486" i="114"/>
  <c r="X1487" i="114"/>
  <c r="X1488" i="114"/>
  <c r="X1489" i="114"/>
  <c r="X1490" i="114"/>
  <c r="X1491" i="114"/>
  <c r="X1492" i="114"/>
  <c r="X1493" i="114"/>
  <c r="X1494" i="114"/>
  <c r="X1495" i="114"/>
  <c r="X1496" i="114"/>
  <c r="X1497" i="114"/>
  <c r="X1498" i="114"/>
  <c r="X1499" i="114"/>
  <c r="X1500" i="114"/>
  <c r="X1501" i="114"/>
  <c r="X1502" i="114"/>
  <c r="X1503" i="114"/>
  <c r="X1504" i="114"/>
  <c r="X1505" i="114"/>
  <c r="X1506" i="114"/>
  <c r="X1507" i="114"/>
  <c r="X1508" i="114"/>
  <c r="X1509" i="114"/>
  <c r="X1510" i="114"/>
  <c r="X1511" i="114"/>
  <c r="X1512" i="114"/>
  <c r="X1513" i="114"/>
  <c r="X1514" i="114"/>
  <c r="X1515" i="114"/>
  <c r="X1516" i="114"/>
  <c r="X1517" i="114"/>
  <c r="X1518" i="114"/>
  <c r="X1519" i="114"/>
  <c r="X1520" i="114"/>
  <c r="X1521" i="114"/>
  <c r="X1522" i="114"/>
  <c r="X1523" i="114"/>
  <c r="X1524" i="114"/>
  <c r="X1525" i="114"/>
  <c r="X1526" i="114"/>
  <c r="X1527" i="114"/>
  <c r="X1528" i="114"/>
  <c r="X1529" i="114"/>
  <c r="X1530" i="114"/>
  <c r="X1531" i="114"/>
  <c r="X1532" i="114"/>
  <c r="X1533" i="114"/>
  <c r="X1534" i="114"/>
  <c r="X1535" i="114"/>
  <c r="X1536" i="114"/>
  <c r="X1537" i="114"/>
  <c r="X1538" i="114"/>
  <c r="X1539" i="114"/>
  <c r="X1540" i="114"/>
  <c r="X1541" i="114"/>
  <c r="X1542" i="114"/>
  <c r="X1543" i="114"/>
  <c r="X1544" i="114"/>
  <c r="X1545" i="114"/>
  <c r="X1546" i="114"/>
  <c r="X1547" i="114"/>
  <c r="X1548" i="114"/>
  <c r="X1549" i="114"/>
  <c r="X1550" i="114"/>
  <c r="X1551" i="114"/>
  <c r="X1552" i="114"/>
  <c r="X1553" i="114"/>
  <c r="X1554" i="114"/>
  <c r="X1555" i="114"/>
  <c r="X1556" i="114"/>
  <c r="X1557" i="114"/>
  <c r="X1558" i="114"/>
  <c r="X1559" i="114"/>
  <c r="X1560" i="114"/>
  <c r="X1561" i="114"/>
  <c r="X1562" i="114"/>
  <c r="X1563" i="114"/>
  <c r="X1564" i="114"/>
  <c r="X1565" i="114"/>
  <c r="X1566" i="114"/>
  <c r="X1567" i="114"/>
  <c r="X1568" i="114"/>
  <c r="X1569" i="114"/>
  <c r="X1570" i="114"/>
  <c r="X1571" i="114"/>
  <c r="X1572" i="114"/>
  <c r="X1573" i="114"/>
  <c r="X1574" i="114"/>
  <c r="X1575" i="114"/>
  <c r="X1576" i="114"/>
  <c r="X1577" i="114"/>
  <c r="X1578" i="114"/>
  <c r="X1579" i="114"/>
  <c r="X1580" i="114"/>
  <c r="X1581" i="114"/>
  <c r="X1582" i="114"/>
  <c r="X1583" i="114"/>
  <c r="X1584" i="114"/>
  <c r="X1585" i="114"/>
  <c r="X1586" i="114"/>
  <c r="X1587" i="114"/>
  <c r="X1588" i="114"/>
  <c r="X1589" i="114"/>
  <c r="X1590" i="114"/>
  <c r="X1591" i="114"/>
  <c r="X1592" i="114"/>
  <c r="X1593" i="114"/>
  <c r="X1594" i="114"/>
  <c r="X1595" i="114"/>
  <c r="X1596" i="114"/>
  <c r="X1597" i="114"/>
  <c r="X1598" i="114"/>
  <c r="X1599" i="114"/>
  <c r="X1600" i="114"/>
  <c r="X1601" i="114"/>
  <c r="X1602" i="114"/>
  <c r="X1603" i="114"/>
  <c r="X1604" i="114"/>
  <c r="X1605" i="114"/>
  <c r="X1606" i="114"/>
  <c r="X1607" i="114"/>
  <c r="X1608" i="114"/>
  <c r="X1609" i="114"/>
  <c r="X1610" i="114"/>
  <c r="X1611" i="114"/>
  <c r="X1612" i="114"/>
  <c r="X1613" i="114"/>
  <c r="X1614" i="114"/>
  <c r="X1615" i="114"/>
  <c r="X1616" i="114"/>
  <c r="X1617" i="114"/>
  <c r="X1618" i="114"/>
  <c r="X1619" i="114"/>
  <c r="X1620" i="114"/>
  <c r="X1621" i="114"/>
  <c r="X1622" i="114"/>
  <c r="X1623" i="114"/>
  <c r="X1624" i="114"/>
  <c r="X1625" i="114"/>
  <c r="X1626" i="114"/>
  <c r="X1627" i="114"/>
  <c r="X1628" i="114"/>
  <c r="X1629" i="114"/>
  <c r="X1630" i="114"/>
  <c r="X1631" i="114"/>
  <c r="X1632" i="114"/>
  <c r="X1633" i="114"/>
  <c r="X1634" i="114"/>
  <c r="X1635" i="114"/>
  <c r="X1636" i="114"/>
  <c r="X1637" i="114"/>
  <c r="X1638" i="114"/>
  <c r="X1639" i="114"/>
  <c r="X1640" i="114"/>
  <c r="X1641" i="114"/>
  <c r="X1642" i="114"/>
  <c r="X1643" i="114"/>
  <c r="X1644" i="114"/>
  <c r="X1645" i="114"/>
  <c r="X1646" i="114"/>
  <c r="X1647" i="114"/>
  <c r="X1648" i="114"/>
  <c r="X1649" i="114"/>
  <c r="X1650" i="114"/>
  <c r="X1651" i="114"/>
  <c r="X1652" i="114"/>
  <c r="X1653" i="114"/>
  <c r="X1654" i="114"/>
  <c r="X1655" i="114"/>
  <c r="X1656" i="114"/>
  <c r="X1657" i="114"/>
  <c r="X1658" i="114"/>
  <c r="X1659" i="114"/>
  <c r="X1660" i="114"/>
  <c r="X1661" i="114"/>
  <c r="X1662" i="114"/>
  <c r="X1663" i="114"/>
  <c r="X1664" i="114"/>
  <c r="X1665" i="114"/>
  <c r="X1666" i="114"/>
  <c r="X1667" i="114"/>
  <c r="X1668" i="114"/>
  <c r="X1669" i="114"/>
  <c r="X1670" i="114"/>
  <c r="X1671" i="114"/>
  <c r="X1672" i="114"/>
  <c r="X1673" i="114"/>
  <c r="X1674" i="114"/>
  <c r="X1675" i="114"/>
  <c r="X1676" i="114"/>
  <c r="X1677" i="114"/>
  <c r="X1678" i="114"/>
  <c r="X1679" i="114"/>
  <c r="X1680" i="114"/>
  <c r="X1681" i="114"/>
  <c r="X1682" i="114"/>
  <c r="X1683" i="114"/>
  <c r="X1684" i="114"/>
  <c r="X1685" i="114"/>
  <c r="X1686" i="114"/>
  <c r="X1687" i="114"/>
  <c r="X1688" i="114"/>
  <c r="X1689" i="114"/>
  <c r="X1690" i="114"/>
  <c r="X1691" i="114"/>
  <c r="X1692" i="114"/>
  <c r="X1693" i="114"/>
  <c r="X1694" i="114"/>
  <c r="X1695" i="114"/>
  <c r="X1696" i="114"/>
  <c r="X1697" i="114"/>
  <c r="X1698" i="114"/>
  <c r="X1699" i="114"/>
  <c r="X1700" i="114"/>
  <c r="X1701" i="114"/>
  <c r="X1702" i="114"/>
  <c r="X1703" i="114"/>
  <c r="X1704" i="114"/>
  <c r="X1705" i="114"/>
  <c r="X1706" i="114"/>
  <c r="X1707" i="114"/>
  <c r="X1708" i="114"/>
  <c r="X1709" i="114"/>
  <c r="X1710" i="114"/>
  <c r="X1711" i="114"/>
  <c r="X1712" i="114"/>
  <c r="X1713" i="114"/>
  <c r="X1714" i="114"/>
  <c r="X1715" i="114"/>
  <c r="X1716" i="114"/>
  <c r="X1717" i="114"/>
  <c r="X1718" i="114"/>
  <c r="X1719" i="114"/>
  <c r="X1720" i="114"/>
  <c r="X1721" i="114"/>
  <c r="X1722" i="114"/>
  <c r="X1723" i="114"/>
  <c r="X1724" i="114"/>
  <c r="X1725" i="114"/>
  <c r="X1726" i="114"/>
  <c r="X1727" i="114"/>
  <c r="X1728" i="114"/>
  <c r="X1729" i="114"/>
  <c r="X1730" i="114"/>
  <c r="X1731" i="114"/>
  <c r="X1732" i="114"/>
  <c r="X1733" i="114"/>
  <c r="X1734" i="114"/>
  <c r="X1735" i="114"/>
  <c r="X1736" i="114"/>
  <c r="X1737" i="114"/>
  <c r="X1738" i="114"/>
  <c r="X1739" i="114"/>
  <c r="X1740" i="114"/>
  <c r="X1741" i="114"/>
  <c r="X1742" i="114"/>
  <c r="X1743" i="114"/>
  <c r="X1744" i="114"/>
  <c r="X1745" i="114"/>
  <c r="X1746" i="114"/>
  <c r="X1747" i="114"/>
  <c r="X1748" i="114"/>
  <c r="X1749" i="114"/>
  <c r="X1750" i="114"/>
  <c r="X1751" i="114"/>
  <c r="X1752" i="114"/>
  <c r="X1753" i="114"/>
  <c r="X1754" i="114"/>
  <c r="X1755" i="114"/>
  <c r="X1756" i="114"/>
  <c r="X1757" i="114"/>
  <c r="X1758" i="114"/>
  <c r="X1759" i="114"/>
  <c r="X1760" i="114"/>
  <c r="X1761" i="114"/>
  <c r="X1762" i="114"/>
  <c r="X1763" i="114"/>
  <c r="X1764" i="114"/>
  <c r="X1765" i="114"/>
  <c r="X1766" i="114"/>
  <c r="X1767" i="114"/>
  <c r="X1768" i="114"/>
  <c r="X1769" i="114"/>
  <c r="X1770" i="114"/>
  <c r="X1771" i="114"/>
  <c r="X1772" i="114"/>
  <c r="X1773" i="114"/>
  <c r="X1774" i="114"/>
  <c r="X1775" i="114"/>
  <c r="X1776" i="114"/>
  <c r="X1777" i="114"/>
  <c r="X1778" i="114"/>
  <c r="X1779" i="114"/>
  <c r="X1780" i="114"/>
  <c r="X1781" i="114"/>
  <c r="X1782" i="114"/>
  <c r="X1783" i="114"/>
  <c r="X1784" i="114"/>
  <c r="X1785" i="114"/>
  <c r="X1786" i="114"/>
  <c r="X1787" i="114"/>
  <c r="X1788" i="114"/>
  <c r="X1789" i="114"/>
  <c r="X1790" i="114"/>
  <c r="X1791" i="114"/>
  <c r="X1792" i="114"/>
  <c r="X1793" i="114"/>
  <c r="X1794" i="114"/>
  <c r="X1795" i="114"/>
  <c r="X1796" i="114"/>
  <c r="X1797" i="114"/>
  <c r="X1798" i="114"/>
  <c r="X1799" i="114"/>
  <c r="X1800" i="114"/>
  <c r="X1801" i="114"/>
  <c r="X1802" i="114"/>
  <c r="X1803" i="114"/>
  <c r="X1804" i="114"/>
  <c r="X1805" i="114"/>
  <c r="X1806" i="114"/>
  <c r="X1807" i="114"/>
  <c r="X1808" i="114"/>
  <c r="X1809" i="114"/>
  <c r="X1810" i="114"/>
  <c r="X1811" i="114"/>
  <c r="X1812" i="114"/>
  <c r="X1813" i="114"/>
  <c r="X1814" i="114"/>
  <c r="X1815" i="114"/>
  <c r="X1816" i="114"/>
  <c r="X1817" i="114"/>
  <c r="X1818" i="114"/>
  <c r="X1819" i="114"/>
  <c r="X1820" i="114"/>
  <c r="X1821" i="114"/>
  <c r="X1822" i="114"/>
  <c r="X1823" i="114"/>
  <c r="X1824" i="114"/>
  <c r="X1825" i="114"/>
  <c r="X1826" i="114"/>
  <c r="X1827" i="114"/>
  <c r="X1828" i="114"/>
  <c r="X1829" i="114"/>
  <c r="X1830" i="114"/>
  <c r="X1831" i="114"/>
  <c r="X1832" i="114"/>
  <c r="X1833" i="114"/>
  <c r="X1834" i="114"/>
  <c r="X1835" i="114"/>
  <c r="X1836" i="114"/>
  <c r="X1837" i="114"/>
  <c r="X1838" i="114"/>
  <c r="X1839" i="114"/>
  <c r="X1840" i="114"/>
  <c r="X1841" i="114"/>
  <c r="X1842" i="114"/>
  <c r="X1843" i="114"/>
  <c r="X1844" i="114"/>
  <c r="X1845" i="114"/>
  <c r="X1846" i="114"/>
  <c r="X1847" i="114"/>
  <c r="X1848" i="114"/>
  <c r="X1849" i="114"/>
  <c r="X1850" i="114"/>
  <c r="X1851" i="114"/>
  <c r="X1852" i="114"/>
  <c r="X1853" i="114"/>
  <c r="X1854" i="114"/>
  <c r="X1855" i="114"/>
  <c r="X1856" i="114"/>
  <c r="X1857" i="114"/>
  <c r="X1858" i="114"/>
  <c r="X1859" i="114"/>
  <c r="X1860" i="114"/>
  <c r="X1861" i="114"/>
  <c r="X1862" i="114"/>
  <c r="X1863" i="114"/>
  <c r="X1864" i="114"/>
  <c r="X1865" i="114"/>
  <c r="X1866" i="114"/>
  <c r="X1867" i="114"/>
  <c r="X1868" i="114"/>
  <c r="X1869" i="114"/>
  <c r="X1870" i="114"/>
  <c r="X1871" i="114"/>
  <c r="X1872" i="114"/>
  <c r="X1873" i="114"/>
  <c r="X1874" i="114"/>
  <c r="X1875" i="114"/>
  <c r="X1876" i="114"/>
  <c r="X1877" i="114"/>
  <c r="X1878" i="114"/>
  <c r="X1879" i="114"/>
  <c r="X1880" i="114"/>
  <c r="X1881" i="114"/>
  <c r="X1882" i="114"/>
  <c r="X1883" i="114"/>
  <c r="X1884" i="114"/>
  <c r="X1885" i="114"/>
  <c r="X1886" i="114"/>
  <c r="X1887" i="114"/>
  <c r="X1888" i="114"/>
  <c r="X1889" i="114"/>
  <c r="X1890" i="114"/>
  <c r="X1891" i="114"/>
  <c r="X1892" i="114"/>
  <c r="X1893" i="114"/>
  <c r="X1894" i="114"/>
  <c r="X1895" i="114"/>
  <c r="X1896" i="114"/>
  <c r="X1897" i="114"/>
  <c r="X1898" i="114"/>
  <c r="X1899" i="114"/>
  <c r="X1900" i="114"/>
  <c r="X1901" i="114"/>
  <c r="X1902" i="114"/>
  <c r="X1903" i="114"/>
  <c r="X1904" i="114"/>
  <c r="X1905" i="114"/>
  <c r="X1906" i="114"/>
  <c r="X1907" i="114"/>
  <c r="X1908" i="114"/>
  <c r="X1909" i="114"/>
  <c r="X1910" i="114"/>
  <c r="X1911" i="114"/>
  <c r="X1912" i="114"/>
  <c r="X1913" i="114"/>
  <c r="X1914" i="114"/>
  <c r="X1915" i="114"/>
  <c r="X1916" i="114"/>
  <c r="X1917" i="114"/>
  <c r="X1918" i="114"/>
  <c r="X1919" i="114"/>
  <c r="X1920" i="114"/>
  <c r="X1921" i="114"/>
  <c r="X1922" i="114"/>
  <c r="X1923" i="114"/>
  <c r="X1924" i="114"/>
  <c r="X1925" i="114"/>
  <c r="X1926" i="114"/>
  <c r="X1927" i="114"/>
  <c r="X1928" i="114"/>
  <c r="X1929" i="114"/>
  <c r="X1930" i="114"/>
  <c r="X1931" i="114"/>
  <c r="X1932" i="114"/>
  <c r="X1933" i="114"/>
  <c r="X1934" i="114"/>
  <c r="X1935" i="114"/>
  <c r="X1936" i="114"/>
  <c r="X1937" i="114"/>
  <c r="X1938" i="114"/>
  <c r="X1939" i="114"/>
  <c r="X1940" i="114"/>
  <c r="X1941" i="114"/>
  <c r="X1942" i="114"/>
  <c r="X1943" i="114"/>
  <c r="X1944" i="114"/>
  <c r="X1945" i="114"/>
  <c r="X1946" i="114"/>
  <c r="X1947" i="114"/>
  <c r="X1948" i="114"/>
  <c r="X1949" i="114"/>
  <c r="X1950" i="114"/>
  <c r="X1951" i="114"/>
  <c r="X1952" i="114"/>
  <c r="X1953" i="114"/>
  <c r="X1954" i="114"/>
  <c r="X1955" i="114"/>
  <c r="X1956" i="114"/>
  <c r="X1957" i="114"/>
  <c r="X1958" i="114"/>
  <c r="X1959" i="114"/>
  <c r="X1960" i="114"/>
  <c r="X1961" i="114"/>
  <c r="X1962" i="114"/>
  <c r="X1963" i="114"/>
  <c r="X1964" i="114"/>
  <c r="X1965" i="114"/>
  <c r="X1966" i="114"/>
  <c r="X1967" i="114"/>
  <c r="X1968" i="114"/>
  <c r="X1969" i="114"/>
  <c r="X1970" i="114"/>
  <c r="X1971" i="114"/>
  <c r="X1972" i="114"/>
  <c r="X1973" i="114"/>
  <c r="X1974" i="114"/>
  <c r="X1975" i="114"/>
  <c r="X1976" i="114"/>
  <c r="X1977" i="114"/>
  <c r="X1978" i="114"/>
  <c r="X1979" i="114"/>
  <c r="X1980" i="114"/>
  <c r="X1981" i="114"/>
  <c r="X1982" i="114"/>
  <c r="X1983" i="114"/>
  <c r="X1984" i="114"/>
  <c r="X1985" i="114"/>
  <c r="X1986" i="114"/>
  <c r="X1987" i="114"/>
  <c r="X1988" i="114"/>
  <c r="X1989" i="114"/>
  <c r="X1990" i="114"/>
  <c r="X1991" i="114"/>
  <c r="X1992" i="114"/>
  <c r="X1993" i="114"/>
  <c r="X1994" i="114"/>
  <c r="X1995" i="114"/>
  <c r="X1996" i="114"/>
  <c r="X1997" i="114"/>
  <c r="X1998" i="114"/>
  <c r="X1999" i="114"/>
  <c r="X2000" i="114"/>
  <c r="X2001" i="114"/>
  <c r="X2002" i="114"/>
  <c r="X2003" i="114"/>
  <c r="X2004" i="114"/>
  <c r="X2005" i="114"/>
  <c r="X2006" i="114"/>
  <c r="X2007" i="114"/>
  <c r="X2008" i="114"/>
  <c r="X2009" i="114"/>
  <c r="X2010" i="114"/>
  <c r="X2011" i="114"/>
  <c r="X2012" i="114"/>
  <c r="X2013" i="114"/>
  <c r="X2014" i="114"/>
  <c r="X2015" i="114"/>
  <c r="X2016" i="114"/>
  <c r="X2017" i="114"/>
  <c r="X2018" i="114"/>
  <c r="X2019" i="114"/>
  <c r="X2020" i="114"/>
  <c r="X2021" i="114"/>
  <c r="X2022" i="114"/>
  <c r="X2023" i="114"/>
  <c r="X2024" i="114"/>
  <c r="X2025" i="114"/>
  <c r="X2026" i="114"/>
  <c r="X2027" i="114"/>
  <c r="X2028" i="114"/>
  <c r="X2029" i="114"/>
  <c r="X2030" i="114"/>
  <c r="X2031" i="114"/>
  <c r="X2032" i="114"/>
  <c r="X2033" i="114"/>
  <c r="X2034" i="114"/>
  <c r="X2035" i="114"/>
  <c r="X2036" i="114"/>
  <c r="X2037" i="114"/>
  <c r="X2038" i="114"/>
  <c r="X2039" i="114"/>
  <c r="X2040" i="114"/>
  <c r="X2041" i="114"/>
  <c r="X2042" i="114"/>
  <c r="X2043" i="114"/>
  <c r="X2044" i="114"/>
  <c r="X2045" i="114"/>
  <c r="X2046" i="114"/>
  <c r="X2047" i="114"/>
  <c r="X2048" i="114"/>
  <c r="X2049" i="114"/>
  <c r="X2050" i="114"/>
  <c r="X2051" i="114"/>
  <c r="X2052" i="114"/>
  <c r="X2053" i="114"/>
  <c r="X2054" i="114"/>
  <c r="X2055" i="114"/>
  <c r="X2056" i="114"/>
  <c r="X2057" i="114"/>
  <c r="X2058" i="114"/>
  <c r="X2059" i="114"/>
  <c r="X2060" i="114"/>
  <c r="X2061" i="114"/>
  <c r="X2062" i="114"/>
  <c r="X2063" i="114"/>
  <c r="X2064" i="114"/>
  <c r="X2065" i="114"/>
  <c r="X2066" i="114"/>
  <c r="X2067" i="114"/>
  <c r="X2068" i="114"/>
  <c r="X2069" i="114"/>
  <c r="X2070" i="114"/>
  <c r="X2071" i="114"/>
  <c r="X2072" i="114"/>
  <c r="X2073" i="114"/>
  <c r="X2074" i="114"/>
  <c r="X2075" i="114"/>
  <c r="X2076" i="114"/>
  <c r="X2077" i="114"/>
  <c r="X2078" i="114"/>
  <c r="X2079" i="114"/>
  <c r="X2080" i="114"/>
  <c r="X2081" i="114"/>
  <c r="X2082" i="114"/>
  <c r="X2083" i="114"/>
  <c r="X2084" i="114"/>
  <c r="X2085" i="114"/>
  <c r="X2086" i="114"/>
  <c r="X2087" i="114"/>
  <c r="X2088" i="114"/>
  <c r="X2089" i="114"/>
  <c r="X2090" i="114"/>
  <c r="X2091" i="114"/>
  <c r="X2092" i="114"/>
  <c r="X2093" i="114"/>
  <c r="X2094" i="114"/>
  <c r="X2095" i="114"/>
  <c r="X2096" i="114"/>
  <c r="X2097" i="114"/>
  <c r="X2098" i="114"/>
  <c r="X2099" i="114"/>
  <c r="X2100" i="114"/>
  <c r="X2101" i="114"/>
  <c r="X2102" i="114"/>
  <c r="X2103" i="114"/>
  <c r="X2104" i="114"/>
  <c r="X2105" i="114"/>
  <c r="X2106" i="114"/>
  <c r="X2107" i="114"/>
  <c r="X2108" i="114"/>
  <c r="X2109" i="114"/>
  <c r="X2110" i="114"/>
  <c r="X2111" i="114"/>
  <c r="X2112" i="114"/>
  <c r="X2113" i="114"/>
  <c r="X2114" i="114"/>
  <c r="X2115" i="114"/>
  <c r="X2116" i="114"/>
  <c r="X2117" i="114"/>
  <c r="X2118" i="114"/>
  <c r="X2119" i="114"/>
  <c r="X2120" i="114"/>
  <c r="X2121" i="114"/>
  <c r="X2122" i="114"/>
  <c r="X2123" i="114"/>
  <c r="X2124" i="114"/>
  <c r="X2125" i="114"/>
  <c r="X2126" i="114"/>
  <c r="X2127" i="114"/>
  <c r="X2128" i="114"/>
  <c r="X2129" i="114"/>
  <c r="X2130" i="114"/>
  <c r="X2131" i="114"/>
  <c r="X2132" i="114"/>
  <c r="X2133" i="114"/>
  <c r="X2134" i="114"/>
  <c r="X2135" i="114"/>
  <c r="X2136" i="114"/>
  <c r="X2137" i="114"/>
  <c r="X2138" i="114"/>
  <c r="X2139" i="114"/>
  <c r="X2140" i="114"/>
  <c r="X2141" i="114"/>
  <c r="X2142" i="114"/>
  <c r="X2143" i="114"/>
  <c r="X2144" i="114"/>
  <c r="X2145" i="114"/>
  <c r="X2146" i="114"/>
  <c r="X2147" i="114"/>
  <c r="X2148" i="114"/>
  <c r="X2149" i="114"/>
  <c r="X2150" i="114"/>
  <c r="X2151" i="114"/>
  <c r="X2152" i="114"/>
  <c r="X2153" i="114"/>
  <c r="X2154" i="114"/>
  <c r="X2155" i="114"/>
  <c r="X2156" i="114"/>
  <c r="X2157" i="114"/>
  <c r="X2158" i="114"/>
  <c r="X2159" i="114"/>
  <c r="X2160" i="114"/>
  <c r="X2161" i="114"/>
  <c r="X2162" i="114"/>
  <c r="X2163" i="114"/>
  <c r="X2164" i="114"/>
  <c r="X2165" i="114"/>
  <c r="X2166" i="114"/>
  <c r="X2167" i="114"/>
  <c r="X2168" i="114"/>
  <c r="X2169" i="114"/>
  <c r="X2170" i="114"/>
  <c r="X2171" i="114"/>
  <c r="X2172" i="114"/>
  <c r="X2173" i="114"/>
  <c r="X2174" i="114"/>
  <c r="X2175" i="114"/>
  <c r="X2176" i="114"/>
  <c r="X2177" i="114"/>
  <c r="X2178" i="114"/>
  <c r="X2179" i="114"/>
  <c r="X2180" i="114"/>
  <c r="X2181" i="114"/>
  <c r="X2182" i="114"/>
  <c r="X2183" i="114"/>
  <c r="X2184" i="114"/>
  <c r="X2185" i="114"/>
  <c r="X2186" i="114"/>
  <c r="X2187" i="114"/>
  <c r="X2188" i="114"/>
  <c r="X2189" i="114"/>
  <c r="X2190" i="114"/>
  <c r="X2191" i="114"/>
  <c r="X2192" i="114"/>
  <c r="X2193" i="114"/>
  <c r="X2194" i="114"/>
  <c r="X2195" i="114"/>
  <c r="X2196" i="114"/>
  <c r="X2197" i="114"/>
  <c r="X2198" i="114"/>
  <c r="X2199" i="114"/>
  <c r="X2200" i="114"/>
  <c r="X2201" i="114"/>
  <c r="X2202" i="114"/>
  <c r="X2203" i="114"/>
  <c r="X2204" i="114"/>
  <c r="X2205" i="114"/>
  <c r="X2206" i="114"/>
  <c r="X2207" i="114"/>
  <c r="X2208" i="114"/>
  <c r="X2209" i="114"/>
  <c r="X2210" i="114"/>
  <c r="X2211" i="114"/>
  <c r="X2212" i="114"/>
  <c r="X2213" i="114"/>
  <c r="X2214" i="114"/>
  <c r="X2215" i="114"/>
  <c r="X2216" i="114"/>
  <c r="X2217" i="114"/>
  <c r="X2218" i="114"/>
  <c r="X2219" i="114"/>
  <c r="X2220" i="114"/>
  <c r="X2221" i="114"/>
  <c r="X2222" i="114"/>
  <c r="X2223" i="114"/>
  <c r="X2224" i="114"/>
  <c r="X2225" i="114"/>
  <c r="X2226" i="114"/>
  <c r="X2227" i="114"/>
  <c r="X2228" i="114"/>
  <c r="X2229" i="114"/>
  <c r="X2230" i="114"/>
  <c r="X2231" i="114"/>
  <c r="X2232" i="114"/>
  <c r="X2233" i="114"/>
  <c r="X2234" i="114"/>
  <c r="X2235" i="114"/>
  <c r="X2236" i="114"/>
  <c r="X2237" i="114"/>
  <c r="X2238" i="114"/>
  <c r="X2239" i="114"/>
  <c r="X2240" i="114"/>
  <c r="X2241" i="114"/>
  <c r="X2242" i="114"/>
  <c r="X2243" i="114"/>
  <c r="X2244" i="114"/>
  <c r="X2245" i="114"/>
  <c r="X2246" i="114"/>
  <c r="X2247" i="114"/>
  <c r="X2248" i="114"/>
  <c r="X2249" i="114"/>
  <c r="X2250" i="114"/>
  <c r="X2251" i="114"/>
  <c r="X2252" i="114"/>
  <c r="X2253" i="114"/>
  <c r="X2254" i="114"/>
  <c r="X2255" i="114"/>
  <c r="X2256" i="114"/>
  <c r="X2257" i="114"/>
  <c r="X2258" i="114"/>
  <c r="X2259" i="114"/>
  <c r="X2260" i="114"/>
  <c r="X2261" i="114"/>
  <c r="X2262" i="114"/>
  <c r="X2263" i="114"/>
  <c r="X2264" i="114"/>
  <c r="X2265" i="114"/>
  <c r="X2266" i="114"/>
  <c r="X2267" i="114"/>
  <c r="X2268" i="114"/>
  <c r="X2269" i="114"/>
  <c r="X2270" i="114"/>
  <c r="X2271" i="114"/>
  <c r="X2272" i="114"/>
  <c r="X2273" i="114"/>
  <c r="X2274" i="114"/>
  <c r="X2275" i="114"/>
  <c r="X2276" i="114"/>
  <c r="X2277" i="114"/>
  <c r="X2278" i="114"/>
  <c r="X2279" i="114"/>
  <c r="X2280" i="114"/>
  <c r="X2281" i="114"/>
  <c r="X2282" i="114"/>
  <c r="X2283" i="114"/>
  <c r="X2284" i="114"/>
  <c r="X2285" i="114"/>
  <c r="X2286" i="114"/>
  <c r="X2287" i="114"/>
  <c r="X2288" i="114"/>
  <c r="X2289" i="114"/>
  <c r="X2290" i="114"/>
  <c r="X2291" i="114"/>
  <c r="X2292" i="114"/>
  <c r="X2293" i="114"/>
  <c r="X2294" i="114"/>
  <c r="X2295" i="114"/>
  <c r="X2296" i="114"/>
  <c r="X2297" i="114"/>
  <c r="X2298" i="114"/>
  <c r="X2299" i="114"/>
  <c r="X2300" i="114"/>
  <c r="X2301" i="114"/>
  <c r="X2302" i="114"/>
  <c r="X2303" i="114"/>
  <c r="X2304" i="114"/>
  <c r="X2305" i="114"/>
  <c r="X2306" i="114"/>
  <c r="X2307" i="114"/>
  <c r="X2308" i="114"/>
  <c r="X2309" i="114"/>
  <c r="X2310" i="114"/>
  <c r="X2311" i="114"/>
  <c r="X2312" i="114"/>
  <c r="X2313" i="114"/>
  <c r="X2314" i="114"/>
  <c r="X2315" i="114"/>
  <c r="X2316" i="114"/>
  <c r="X2317" i="114"/>
  <c r="X2318" i="114"/>
  <c r="X2319" i="114"/>
  <c r="X2320" i="114"/>
  <c r="X2321" i="114"/>
  <c r="X2322" i="114"/>
  <c r="X2323" i="114"/>
  <c r="X2324" i="114"/>
  <c r="X2325" i="114"/>
  <c r="X2326" i="114"/>
  <c r="X2327" i="114"/>
  <c r="X2328" i="114"/>
  <c r="X2329" i="114"/>
  <c r="X2330" i="114"/>
  <c r="X2331" i="114"/>
  <c r="X2332" i="114"/>
  <c r="X2333" i="114"/>
  <c r="X2334" i="114"/>
  <c r="X2335" i="114"/>
  <c r="X2336" i="114"/>
  <c r="X2337" i="114"/>
  <c r="X2338" i="114"/>
  <c r="X2339" i="114"/>
  <c r="X2340" i="114"/>
  <c r="X2341" i="114"/>
  <c r="X2342" i="114"/>
  <c r="X2343" i="114"/>
  <c r="X2344" i="114"/>
  <c r="X2345" i="114"/>
  <c r="X2346" i="114"/>
  <c r="X2347" i="114"/>
  <c r="X2348" i="114"/>
  <c r="X2349" i="114"/>
  <c r="X2350" i="114"/>
  <c r="X2351" i="114"/>
  <c r="X2352" i="114"/>
  <c r="X2353" i="114"/>
  <c r="X2354" i="114"/>
  <c r="X2355" i="114"/>
  <c r="X2356" i="114"/>
  <c r="X2357" i="114"/>
  <c r="X2358" i="114"/>
  <c r="X2359" i="114"/>
  <c r="X2360" i="114"/>
  <c r="X2361" i="114"/>
  <c r="X2362" i="114"/>
  <c r="X2363" i="114"/>
  <c r="X2364" i="114"/>
  <c r="X2365" i="114"/>
  <c r="X2366" i="114"/>
  <c r="X2367" i="114"/>
  <c r="X2368" i="114"/>
  <c r="X2369" i="114"/>
  <c r="X2370" i="114"/>
  <c r="X2371" i="114"/>
  <c r="X2372" i="114"/>
  <c r="X2373" i="114"/>
  <c r="X2374" i="114"/>
  <c r="X2375" i="114"/>
  <c r="X2376" i="114"/>
  <c r="X2377" i="114"/>
  <c r="X2378" i="114"/>
  <c r="X2379" i="114"/>
  <c r="X2380" i="114"/>
  <c r="X2381" i="114"/>
  <c r="X2382" i="114"/>
  <c r="X2383" i="114"/>
  <c r="X2384" i="114"/>
  <c r="X2385" i="114"/>
  <c r="X2386" i="114"/>
  <c r="X2387" i="114"/>
  <c r="X2388" i="114"/>
  <c r="X2389" i="114"/>
  <c r="X2390" i="114"/>
  <c r="X2391" i="114"/>
  <c r="X2392" i="114"/>
  <c r="X2393" i="114"/>
  <c r="X2394" i="114"/>
  <c r="X2395" i="114"/>
  <c r="X2396" i="114"/>
  <c r="X2397" i="114"/>
  <c r="X2398" i="114"/>
  <c r="X2399" i="114"/>
  <c r="X2400" i="114"/>
  <c r="X2401" i="114"/>
  <c r="X2402" i="114"/>
  <c r="X2403" i="114"/>
  <c r="X2404" i="114"/>
  <c r="X2405" i="114"/>
  <c r="X2406" i="114"/>
  <c r="X2407" i="114"/>
  <c r="X2408" i="114"/>
  <c r="X2409" i="114"/>
  <c r="X2410" i="114"/>
  <c r="X2411" i="114"/>
  <c r="X2412" i="114"/>
  <c r="X2413" i="114"/>
  <c r="X2414" i="114"/>
  <c r="X2415" i="114"/>
  <c r="X2416" i="114"/>
  <c r="X2417" i="114"/>
  <c r="X2418" i="114"/>
  <c r="X2419" i="114"/>
  <c r="X2420" i="114"/>
  <c r="X2421" i="114"/>
  <c r="X2422" i="114"/>
  <c r="X2423" i="114"/>
  <c r="X2424" i="114"/>
  <c r="X2425" i="114"/>
  <c r="X2426" i="114"/>
  <c r="X2427" i="114"/>
  <c r="X2428" i="114"/>
  <c r="X2429" i="114"/>
  <c r="X2430" i="114"/>
  <c r="X2431" i="114"/>
  <c r="X2432" i="114"/>
  <c r="X2433" i="114"/>
  <c r="X2434" i="114"/>
  <c r="X2435" i="114"/>
  <c r="X2436" i="114"/>
  <c r="X2437" i="114"/>
  <c r="X2438" i="114"/>
  <c r="X2439" i="114"/>
  <c r="X2440" i="114"/>
  <c r="X2441" i="114"/>
  <c r="X2442" i="114"/>
  <c r="X2443" i="114"/>
  <c r="X2444" i="114"/>
  <c r="X2445" i="114"/>
  <c r="X2446" i="114"/>
  <c r="X2447" i="114"/>
  <c r="X2448" i="114"/>
  <c r="X2449" i="114"/>
  <c r="X2450" i="114"/>
  <c r="X2451" i="114"/>
  <c r="X2452" i="114"/>
  <c r="X2453" i="114"/>
  <c r="X2454" i="114"/>
  <c r="X2455" i="114"/>
  <c r="X2456" i="114"/>
  <c r="X2457" i="114"/>
  <c r="X2458" i="114"/>
  <c r="X2459" i="114"/>
  <c r="X2460" i="114"/>
  <c r="X2461" i="114"/>
  <c r="X2462" i="114"/>
  <c r="X2463" i="114"/>
  <c r="X2464" i="114"/>
  <c r="X2465" i="114"/>
  <c r="X2466" i="114"/>
  <c r="X2467" i="114"/>
  <c r="X2468" i="114"/>
  <c r="X2469" i="114"/>
  <c r="X2470" i="114"/>
  <c r="X2471" i="114"/>
  <c r="X2472" i="114"/>
  <c r="X2473" i="114"/>
  <c r="X2474" i="114"/>
  <c r="X2475" i="114"/>
  <c r="X2476" i="114"/>
  <c r="X2477" i="114"/>
  <c r="X2478" i="114"/>
  <c r="X2479" i="114"/>
  <c r="X2480" i="114"/>
  <c r="X2481" i="114"/>
  <c r="X2482" i="114"/>
  <c r="X2483" i="114"/>
  <c r="X2484" i="114"/>
  <c r="X2485" i="114"/>
  <c r="X2486" i="114"/>
  <c r="X2487" i="114"/>
  <c r="X2488" i="114"/>
  <c r="X2489" i="114"/>
  <c r="X2490" i="114"/>
  <c r="X2491" i="114"/>
  <c r="X2492" i="114"/>
  <c r="X2493" i="114"/>
  <c r="X2494" i="114"/>
  <c r="X2495" i="114"/>
  <c r="X2496" i="114"/>
  <c r="X2497" i="114"/>
  <c r="X2498" i="114"/>
  <c r="X2499" i="114"/>
  <c r="X2500" i="114"/>
  <c r="X2501" i="114"/>
  <c r="X2502" i="114"/>
  <c r="X2503" i="114"/>
  <c r="X2504" i="114"/>
  <c r="X2505" i="114"/>
  <c r="X2506" i="114"/>
  <c r="X2507" i="114"/>
  <c r="X2508" i="114"/>
  <c r="X2509" i="114"/>
  <c r="X2510" i="114"/>
  <c r="X2511" i="114"/>
  <c r="X2512" i="114"/>
  <c r="X2513" i="114"/>
  <c r="X2514" i="114"/>
  <c r="X2515" i="114"/>
  <c r="X2516" i="114"/>
  <c r="X2517" i="114"/>
  <c r="X2518" i="114"/>
  <c r="X2519" i="114"/>
  <c r="X2520" i="114"/>
  <c r="X2521" i="114"/>
  <c r="X2522" i="114"/>
  <c r="X2523" i="114"/>
  <c r="X2524" i="114"/>
  <c r="X2525" i="114"/>
  <c r="X2526" i="114"/>
  <c r="X2527" i="114"/>
  <c r="X2528" i="114"/>
  <c r="X2529" i="114"/>
  <c r="X2530" i="114"/>
  <c r="X2531" i="114"/>
  <c r="X2532" i="114"/>
  <c r="X2533" i="114"/>
  <c r="X2534" i="114"/>
  <c r="X2535" i="114"/>
  <c r="X2536" i="114"/>
  <c r="X2537" i="114"/>
  <c r="X2538" i="114"/>
  <c r="X2539" i="114"/>
  <c r="X2540" i="114"/>
  <c r="X2541" i="114"/>
  <c r="X2542" i="114"/>
  <c r="X2543" i="114"/>
  <c r="X2544" i="114"/>
  <c r="X2545" i="114"/>
  <c r="X2546" i="114"/>
  <c r="X2547" i="114"/>
  <c r="X2548" i="114"/>
  <c r="X2549" i="114"/>
  <c r="X2550" i="114"/>
  <c r="X2551" i="114"/>
  <c r="X2552" i="114"/>
  <c r="X2553" i="114"/>
  <c r="X2554" i="114"/>
  <c r="X2555" i="114"/>
  <c r="X2556" i="114"/>
  <c r="X2557" i="114"/>
  <c r="X2558" i="114"/>
  <c r="X2559" i="114"/>
  <c r="X2560" i="114"/>
  <c r="X2561" i="114"/>
  <c r="X2562" i="114"/>
  <c r="X2563" i="114"/>
  <c r="X2564" i="114"/>
  <c r="X2565" i="114"/>
  <c r="X2566" i="114"/>
  <c r="X2567" i="114"/>
  <c r="X2568" i="114"/>
  <c r="X2569" i="114"/>
  <c r="X2570" i="114"/>
  <c r="X2571" i="114"/>
  <c r="X2572" i="114"/>
  <c r="X2573" i="114"/>
  <c r="X2574" i="114"/>
  <c r="X2575" i="114"/>
  <c r="X2576" i="114"/>
  <c r="X2577" i="114"/>
  <c r="X2578" i="114"/>
  <c r="X2579" i="114"/>
  <c r="X2580" i="114"/>
  <c r="X2581" i="114"/>
  <c r="X2582" i="114"/>
  <c r="X2583" i="114"/>
  <c r="X2584" i="114"/>
  <c r="X2585" i="114"/>
  <c r="X2586" i="114"/>
  <c r="X2587" i="114"/>
  <c r="X2588" i="114"/>
  <c r="X2589" i="114"/>
  <c r="X2590" i="114"/>
  <c r="X2591" i="114"/>
  <c r="X2592" i="114"/>
  <c r="X2593" i="114"/>
  <c r="X2594" i="114"/>
  <c r="X2595" i="114"/>
  <c r="X2596" i="114"/>
  <c r="X2597" i="114"/>
  <c r="X2598" i="114"/>
  <c r="X2599" i="114"/>
  <c r="X2600" i="114"/>
  <c r="X2601" i="114"/>
  <c r="X2602" i="114"/>
  <c r="X2603" i="114"/>
  <c r="X2604" i="114"/>
  <c r="X2605" i="114"/>
  <c r="X2606" i="114"/>
  <c r="X2607" i="114"/>
  <c r="X2608" i="114"/>
  <c r="X2609" i="114"/>
  <c r="X2610" i="114"/>
  <c r="X2611" i="114"/>
  <c r="X2612" i="114"/>
  <c r="X2613" i="114"/>
  <c r="X2614" i="114"/>
  <c r="X2615" i="114"/>
  <c r="X2616" i="114"/>
  <c r="X2617" i="114"/>
  <c r="X2618" i="114"/>
  <c r="X2619" i="114"/>
  <c r="X2620" i="114"/>
  <c r="X2621" i="114"/>
  <c r="X2622" i="114"/>
  <c r="X2623" i="114"/>
  <c r="X2624" i="114"/>
  <c r="X2625" i="114"/>
  <c r="X2626" i="114"/>
  <c r="X2627" i="114"/>
  <c r="X2628" i="114"/>
  <c r="X2629" i="114"/>
  <c r="X2630" i="114"/>
  <c r="X2631" i="114"/>
  <c r="X2632" i="114"/>
  <c r="X2633" i="114"/>
  <c r="X2634" i="114"/>
  <c r="X2635" i="114"/>
  <c r="X2636" i="114"/>
  <c r="X2637" i="114"/>
  <c r="X2638" i="114"/>
  <c r="X2639" i="114"/>
  <c r="X2640" i="114"/>
  <c r="X2641" i="114"/>
  <c r="X2642" i="114"/>
  <c r="X2643" i="114"/>
  <c r="X2644" i="114"/>
  <c r="X2645" i="114"/>
  <c r="X2646" i="114"/>
  <c r="X2647" i="114"/>
  <c r="X2648" i="114"/>
  <c r="X2649" i="114"/>
  <c r="X2650" i="114"/>
  <c r="X2651" i="114"/>
  <c r="X2652" i="114"/>
  <c r="X2653" i="114"/>
  <c r="X2654" i="114"/>
  <c r="X2655" i="114"/>
  <c r="X2656" i="114"/>
  <c r="X2657" i="114"/>
  <c r="X2658" i="114"/>
  <c r="X2659" i="114"/>
  <c r="X2660" i="114"/>
  <c r="X2661" i="114"/>
  <c r="X2662" i="114"/>
  <c r="X2663" i="114"/>
  <c r="X2664" i="114"/>
  <c r="X2665" i="114"/>
  <c r="X2666" i="114"/>
  <c r="X2667" i="114"/>
  <c r="X2668" i="114"/>
  <c r="X2669" i="114"/>
  <c r="X2670" i="114"/>
  <c r="X2671" i="114"/>
  <c r="X2672" i="114"/>
  <c r="X2673" i="114"/>
  <c r="X2674" i="114"/>
  <c r="X2675" i="114"/>
  <c r="X2676" i="114"/>
  <c r="X2677" i="114"/>
  <c r="X2678" i="114"/>
  <c r="X2679" i="114"/>
  <c r="X2680" i="114"/>
  <c r="X2681" i="114"/>
  <c r="X2682" i="114"/>
  <c r="X2683" i="114"/>
  <c r="X2684" i="114"/>
  <c r="X2685" i="114"/>
  <c r="X2686" i="114"/>
  <c r="X2687" i="114"/>
  <c r="X2688" i="114"/>
  <c r="X2689" i="114"/>
  <c r="X2690" i="114"/>
  <c r="X2691" i="114"/>
  <c r="X2692" i="114"/>
  <c r="X2693" i="114"/>
  <c r="X2694" i="114"/>
  <c r="X2695" i="114"/>
  <c r="X2696" i="114"/>
  <c r="X2697" i="114"/>
  <c r="X2698" i="114"/>
  <c r="X2699" i="114"/>
  <c r="X2700" i="114"/>
  <c r="X2701" i="114"/>
  <c r="X2702" i="114"/>
  <c r="X2703" i="114"/>
  <c r="X2704" i="114"/>
  <c r="X2705" i="114"/>
  <c r="X2706" i="114"/>
  <c r="X2707" i="114"/>
  <c r="X2708" i="114"/>
  <c r="X2709" i="114"/>
  <c r="X2710" i="114"/>
  <c r="X2711" i="114"/>
  <c r="X2712" i="114"/>
  <c r="X2713" i="114"/>
  <c r="X2714" i="114"/>
  <c r="X2715" i="114"/>
  <c r="X2716" i="114"/>
  <c r="X2717" i="114"/>
  <c r="X2718" i="114"/>
  <c r="X2719" i="114"/>
  <c r="X2720" i="114"/>
  <c r="X2721" i="114"/>
  <c r="X2722" i="114"/>
  <c r="X2723" i="114"/>
  <c r="X2724" i="114"/>
  <c r="X2725" i="114"/>
  <c r="X2726" i="114"/>
  <c r="X2727" i="114"/>
  <c r="X2728" i="114"/>
  <c r="X2729" i="114"/>
  <c r="X2730" i="114"/>
  <c r="X2731" i="114"/>
  <c r="X2732" i="114"/>
  <c r="X2733" i="114"/>
  <c r="X2734" i="114"/>
  <c r="X2735" i="114"/>
  <c r="X2736" i="114"/>
  <c r="X2737" i="114"/>
  <c r="X2738" i="114"/>
  <c r="X2739" i="114"/>
  <c r="X2740" i="114"/>
  <c r="X2741" i="114"/>
  <c r="X2742" i="114"/>
  <c r="X2743" i="114"/>
  <c r="X2744" i="114"/>
  <c r="X2745" i="114"/>
  <c r="X2746" i="114"/>
  <c r="X2747" i="114"/>
  <c r="X2748" i="114"/>
  <c r="X2749" i="114"/>
  <c r="X2750" i="114"/>
  <c r="X2751" i="114"/>
  <c r="X2752" i="114"/>
  <c r="X2753" i="114"/>
  <c r="X2754" i="114"/>
  <c r="X2755" i="114"/>
  <c r="X2756" i="114"/>
  <c r="X2757" i="114"/>
  <c r="X2758" i="114"/>
  <c r="X2759" i="114"/>
  <c r="X2760" i="114"/>
  <c r="X2761" i="114"/>
  <c r="X2762" i="114"/>
  <c r="X2763" i="114"/>
  <c r="X2764" i="114"/>
  <c r="X2765" i="114"/>
  <c r="X2766" i="114"/>
  <c r="X2767" i="114"/>
  <c r="X2768" i="114"/>
  <c r="X2769" i="114"/>
  <c r="X2770" i="114"/>
  <c r="X2771" i="114"/>
  <c r="X2772" i="114"/>
  <c r="X2773" i="114"/>
  <c r="X2774" i="114"/>
  <c r="X2775" i="114"/>
  <c r="X2776" i="114"/>
  <c r="X2777" i="114"/>
  <c r="X2778" i="114"/>
  <c r="X2779" i="114"/>
  <c r="X2780" i="114"/>
  <c r="X2781" i="114"/>
  <c r="X2782" i="114"/>
  <c r="X2783" i="114"/>
  <c r="X2784" i="114"/>
  <c r="X2785" i="114"/>
  <c r="X2786" i="114"/>
  <c r="X2787" i="114"/>
  <c r="X2788" i="114"/>
  <c r="X2789" i="114"/>
  <c r="X2790" i="114"/>
  <c r="X2791" i="114"/>
  <c r="X2792" i="114"/>
  <c r="X2793" i="114"/>
  <c r="X2794" i="114"/>
  <c r="X2795" i="114"/>
  <c r="X2796" i="114"/>
  <c r="X2797" i="114"/>
  <c r="X2798" i="114"/>
  <c r="X2799" i="114"/>
  <c r="X2800" i="114"/>
  <c r="X2801" i="114"/>
  <c r="X2802" i="114"/>
  <c r="X2803" i="114"/>
  <c r="X2804" i="114"/>
  <c r="X2805" i="114"/>
  <c r="X2806" i="114"/>
  <c r="X2807" i="114"/>
  <c r="X2808" i="114"/>
  <c r="X2809" i="114"/>
  <c r="X2810" i="114"/>
  <c r="X2811" i="114"/>
  <c r="X2812" i="114"/>
  <c r="X2813" i="114"/>
  <c r="X2814" i="114"/>
  <c r="X2815" i="114"/>
  <c r="X2816" i="114"/>
  <c r="X2817" i="114"/>
  <c r="X2818" i="114"/>
  <c r="X2819" i="114"/>
  <c r="X2820" i="114"/>
  <c r="X2821" i="114"/>
  <c r="X2822" i="114"/>
  <c r="X2823" i="114"/>
  <c r="X2824" i="114"/>
  <c r="X2825" i="114"/>
  <c r="X2826" i="114"/>
  <c r="X2827" i="114"/>
  <c r="X2828" i="114"/>
  <c r="X2829" i="114"/>
  <c r="X2830" i="114"/>
  <c r="X2831" i="114"/>
  <c r="X2832" i="114"/>
  <c r="X2833" i="114"/>
  <c r="X2834" i="114"/>
  <c r="X2835" i="114"/>
  <c r="X2836" i="114"/>
  <c r="X2837" i="114"/>
  <c r="X2838" i="114"/>
  <c r="X2839" i="114"/>
  <c r="X2840" i="114"/>
  <c r="X2841" i="114"/>
  <c r="X2842" i="114"/>
  <c r="X2843" i="114"/>
  <c r="X2844" i="114"/>
  <c r="X2845" i="114"/>
  <c r="X2846" i="114"/>
  <c r="X2847" i="114"/>
  <c r="X2848" i="114"/>
  <c r="X2849" i="114"/>
  <c r="X2850" i="114"/>
  <c r="X2851" i="114"/>
  <c r="X2852" i="114"/>
  <c r="X2853" i="114"/>
  <c r="X2854" i="114"/>
  <c r="X2855" i="114"/>
  <c r="X2856" i="114"/>
  <c r="X2857" i="114"/>
  <c r="X2858" i="114"/>
  <c r="X2859" i="114"/>
  <c r="X2860" i="114"/>
  <c r="X2861" i="114"/>
  <c r="X2862" i="114"/>
  <c r="X2863" i="114"/>
  <c r="X2864" i="114"/>
  <c r="X2865" i="114"/>
  <c r="X2866" i="114"/>
  <c r="X2867" i="114"/>
  <c r="X2868" i="114"/>
  <c r="X2869" i="114"/>
  <c r="X2870" i="114"/>
  <c r="X2871" i="114"/>
  <c r="X2872" i="114"/>
  <c r="X2873" i="114"/>
  <c r="X2874" i="114"/>
  <c r="X2875" i="114"/>
  <c r="X2876" i="114"/>
  <c r="X2877" i="114"/>
  <c r="X2878" i="114"/>
  <c r="X2879" i="114"/>
  <c r="X2880" i="114"/>
  <c r="X2881" i="114"/>
  <c r="X2882" i="114"/>
  <c r="X2883" i="114"/>
  <c r="X2884" i="114"/>
  <c r="X2885" i="114"/>
  <c r="X2886" i="114"/>
  <c r="X2887" i="114"/>
  <c r="X2888" i="114"/>
  <c r="X2889" i="114"/>
  <c r="X2890" i="114"/>
  <c r="X2891" i="114"/>
  <c r="X2892" i="114"/>
  <c r="X2893" i="114"/>
  <c r="X2894" i="114"/>
  <c r="X2895" i="114"/>
  <c r="X2896" i="114"/>
  <c r="X2897" i="114"/>
  <c r="X2898" i="114"/>
  <c r="X2899" i="114"/>
  <c r="X2900" i="114"/>
  <c r="X2901" i="114"/>
  <c r="X2902" i="114"/>
  <c r="X2903" i="114"/>
  <c r="X2904" i="114"/>
  <c r="X2905" i="114"/>
  <c r="X2906" i="114"/>
  <c r="X2907" i="114"/>
  <c r="X2908" i="114"/>
  <c r="X2909" i="114"/>
  <c r="X2910" i="114"/>
  <c r="X2911" i="114"/>
  <c r="X2912" i="114"/>
  <c r="X2913" i="114"/>
  <c r="X2914" i="114"/>
  <c r="X2915" i="114"/>
  <c r="X2916" i="114"/>
  <c r="X2917" i="114"/>
  <c r="X2918" i="114"/>
  <c r="X2919" i="114"/>
  <c r="X2920" i="114"/>
  <c r="X2921" i="114"/>
  <c r="X2922" i="114"/>
  <c r="X2923" i="114"/>
  <c r="X2924" i="114"/>
  <c r="X2925" i="114"/>
  <c r="X2926" i="114"/>
  <c r="X2927" i="114"/>
  <c r="X2928" i="114"/>
  <c r="X2929" i="114"/>
  <c r="X2930" i="114"/>
  <c r="X2931" i="114"/>
  <c r="X2932" i="114"/>
  <c r="X2933" i="114"/>
  <c r="X2934" i="114"/>
  <c r="X2935" i="114"/>
  <c r="X2936" i="114"/>
  <c r="X2937" i="114"/>
  <c r="X2938" i="114"/>
  <c r="X2939" i="114"/>
  <c r="X2940" i="114"/>
  <c r="X2941" i="114"/>
  <c r="X2942" i="114"/>
  <c r="X2943" i="114"/>
  <c r="X2944" i="114"/>
  <c r="X2945" i="114"/>
  <c r="X2946" i="114"/>
  <c r="X2947" i="114"/>
  <c r="X2948" i="114"/>
  <c r="X2949" i="114"/>
  <c r="X2950" i="114"/>
  <c r="X2951" i="114"/>
  <c r="X2952" i="114"/>
  <c r="X2953" i="114"/>
  <c r="X2954" i="114"/>
  <c r="X2955" i="114"/>
  <c r="X2956" i="114"/>
  <c r="X2957" i="114"/>
  <c r="X2958" i="114"/>
  <c r="X2959" i="114"/>
  <c r="X2960" i="114"/>
  <c r="X2961" i="114"/>
  <c r="X2962" i="114"/>
  <c r="X2963" i="114"/>
  <c r="X2964" i="114"/>
  <c r="X2965" i="114"/>
  <c r="X2966" i="114"/>
  <c r="X2967" i="114"/>
  <c r="X2968" i="114"/>
  <c r="X2969" i="114"/>
  <c r="X2970" i="114"/>
  <c r="X2971" i="114"/>
  <c r="X2972" i="114"/>
  <c r="X2973" i="114"/>
  <c r="X2974" i="114"/>
  <c r="X2975" i="114"/>
  <c r="X2976" i="114"/>
  <c r="X2977" i="114"/>
  <c r="X2978" i="114"/>
  <c r="X2979" i="114"/>
  <c r="X2980" i="114"/>
  <c r="X2981" i="114"/>
  <c r="X2982" i="114"/>
  <c r="X2983" i="114"/>
  <c r="X2984" i="114"/>
  <c r="X2985" i="114"/>
  <c r="X2986" i="114"/>
  <c r="X2987" i="114"/>
  <c r="X2988" i="114"/>
  <c r="X2989" i="114"/>
  <c r="X2990" i="114"/>
  <c r="X2991" i="114"/>
  <c r="X2992" i="114"/>
  <c r="X2993" i="114"/>
  <c r="X2994" i="114"/>
  <c r="X2995" i="114"/>
  <c r="X2996" i="114"/>
  <c r="X2997" i="114"/>
  <c r="X2998" i="114"/>
  <c r="X2999" i="114"/>
  <c r="X3000" i="114"/>
  <c r="X3001" i="114"/>
  <c r="X3002" i="114"/>
  <c r="X3003" i="114"/>
  <c r="X3004" i="114"/>
  <c r="X3005" i="114"/>
  <c r="X3006" i="114"/>
  <c r="X3007" i="114"/>
  <c r="X3008" i="114"/>
  <c r="X3009" i="114"/>
  <c r="X3010" i="114"/>
  <c r="X3011" i="114"/>
  <c r="X3012" i="114"/>
  <c r="X3013" i="114"/>
  <c r="X3014" i="114"/>
  <c r="X3015" i="114"/>
  <c r="X3016" i="114"/>
  <c r="X3017" i="114"/>
  <c r="X3018" i="114"/>
  <c r="X3019" i="114"/>
  <c r="X3020" i="114"/>
  <c r="X3021" i="114"/>
  <c r="X3022" i="114"/>
  <c r="X3023" i="114"/>
  <c r="X3024" i="114"/>
  <c r="X3025" i="114"/>
  <c r="X3026" i="114"/>
  <c r="X3027" i="114"/>
  <c r="X3028" i="114"/>
  <c r="X3029" i="114"/>
  <c r="X3030" i="114"/>
  <c r="X3031" i="114"/>
  <c r="X3032" i="114"/>
  <c r="X3033" i="114"/>
  <c r="X3034" i="114"/>
  <c r="X3035" i="114"/>
  <c r="X3036" i="114"/>
  <c r="X3037" i="114"/>
  <c r="X3038" i="114"/>
  <c r="X3039" i="114"/>
  <c r="X3040" i="114"/>
  <c r="X3041" i="114"/>
  <c r="X3042" i="114"/>
  <c r="X3043" i="114"/>
  <c r="X3044" i="114"/>
  <c r="X3045" i="114"/>
  <c r="X3046" i="114"/>
  <c r="X3047" i="114"/>
  <c r="X3048" i="114"/>
  <c r="X3049" i="114"/>
  <c r="X3050" i="114"/>
  <c r="X3051" i="114"/>
  <c r="X3052" i="114"/>
  <c r="X3053" i="114"/>
  <c r="X3054" i="114"/>
  <c r="X3055" i="114"/>
  <c r="X3056" i="114"/>
  <c r="X3057" i="114"/>
  <c r="X3058" i="114"/>
  <c r="X3059" i="114"/>
  <c r="X3060" i="114"/>
  <c r="X3061" i="114"/>
  <c r="X3062" i="114"/>
  <c r="X3063" i="114"/>
  <c r="X3064" i="114"/>
  <c r="X3065" i="114"/>
  <c r="X3066" i="114"/>
  <c r="X3067" i="114"/>
  <c r="X3068" i="114"/>
  <c r="X3069" i="114"/>
  <c r="X3070" i="114"/>
  <c r="X3071" i="114"/>
  <c r="X3072" i="114"/>
  <c r="X3073" i="114"/>
  <c r="X3074" i="114"/>
  <c r="X3075" i="114"/>
  <c r="X3076" i="114"/>
  <c r="X3077" i="114"/>
  <c r="X3078" i="114"/>
  <c r="X3079" i="114"/>
  <c r="X3080" i="114"/>
  <c r="X3081" i="114"/>
  <c r="X3082" i="114"/>
  <c r="X3083" i="114"/>
  <c r="X3084" i="114"/>
  <c r="X3085" i="114"/>
  <c r="X3086" i="114"/>
  <c r="X3087" i="114"/>
  <c r="X3088" i="114"/>
  <c r="X3089" i="114"/>
  <c r="X3090" i="114"/>
  <c r="X3091" i="114"/>
  <c r="X3092" i="114"/>
  <c r="X3093" i="114"/>
  <c r="X3094" i="114"/>
  <c r="X3095" i="114"/>
  <c r="X3096" i="114"/>
  <c r="X3097" i="114"/>
  <c r="X3098" i="114"/>
  <c r="X3099" i="114"/>
  <c r="X3100" i="114"/>
  <c r="X3101" i="114"/>
  <c r="X3102" i="114"/>
  <c r="X3103" i="114"/>
  <c r="X3104" i="114"/>
  <c r="X3105" i="114"/>
  <c r="X3106" i="114"/>
  <c r="X3107" i="114"/>
  <c r="X3108" i="114"/>
  <c r="X3109" i="114"/>
  <c r="X3110" i="114"/>
  <c r="X3111" i="114"/>
  <c r="X3112" i="114"/>
  <c r="X3113" i="114"/>
  <c r="X3114" i="114"/>
  <c r="X3115" i="114"/>
  <c r="X3116" i="114"/>
  <c r="X3117" i="114"/>
  <c r="X3118" i="114"/>
  <c r="X3119" i="114"/>
  <c r="X3120" i="114"/>
  <c r="X3121" i="114"/>
  <c r="X3122" i="114"/>
  <c r="X3123" i="114"/>
  <c r="X3124" i="114"/>
  <c r="X3125" i="114"/>
  <c r="X3126" i="114"/>
  <c r="X3127" i="114"/>
  <c r="X3128" i="114"/>
  <c r="X3129" i="114"/>
  <c r="X3130" i="114"/>
  <c r="X3131" i="114"/>
  <c r="X3132" i="114"/>
  <c r="X3133" i="114"/>
  <c r="X3134" i="114"/>
  <c r="X3135" i="114"/>
  <c r="X3136" i="114"/>
  <c r="X3137" i="114"/>
  <c r="X3138" i="114"/>
  <c r="X3139" i="114"/>
  <c r="X3140" i="114"/>
  <c r="X3141" i="114"/>
  <c r="X3142" i="114"/>
  <c r="X3143" i="114"/>
  <c r="X3144" i="114"/>
  <c r="X3145" i="114"/>
  <c r="X3146" i="114"/>
  <c r="X3147" i="114"/>
  <c r="X3148" i="114"/>
  <c r="X3149" i="114"/>
  <c r="X3150" i="114"/>
  <c r="X3151" i="114"/>
  <c r="X3152" i="114"/>
  <c r="X3153" i="114"/>
  <c r="X3154" i="114"/>
  <c r="X3155" i="114"/>
  <c r="X3156" i="114"/>
  <c r="X3157" i="114"/>
  <c r="X3158" i="114"/>
  <c r="X3159" i="114"/>
  <c r="X3160" i="114"/>
  <c r="X3161" i="114"/>
  <c r="X3162" i="114"/>
  <c r="X3163" i="114"/>
  <c r="X3164" i="114"/>
  <c r="X3165" i="114"/>
  <c r="X3166" i="114"/>
  <c r="X3167" i="114"/>
  <c r="X3168" i="114"/>
  <c r="X3169" i="114"/>
  <c r="X3170" i="114"/>
  <c r="X3171" i="114"/>
  <c r="X3172" i="114"/>
  <c r="X3173" i="114"/>
  <c r="X3174" i="114"/>
  <c r="X3175" i="114"/>
  <c r="X3176" i="114"/>
  <c r="X3177" i="114"/>
  <c r="X3178" i="114"/>
  <c r="X3179" i="114"/>
  <c r="X3180" i="114"/>
  <c r="X3181" i="114"/>
  <c r="X3182" i="114"/>
  <c r="X3183" i="114"/>
  <c r="X3184" i="114"/>
  <c r="X3185" i="114"/>
  <c r="X3186" i="114"/>
  <c r="X3187" i="114"/>
  <c r="X3188" i="114"/>
  <c r="X3189" i="114"/>
  <c r="X3190" i="114"/>
  <c r="X3191" i="114"/>
  <c r="X3192" i="114"/>
  <c r="X3193" i="114"/>
  <c r="X3194" i="114"/>
  <c r="X3195" i="114"/>
  <c r="X3196" i="114"/>
  <c r="X3197" i="114"/>
  <c r="X3198" i="114"/>
  <c r="X3199" i="114"/>
  <c r="X3200" i="114"/>
  <c r="X3201" i="114"/>
  <c r="X3202" i="114"/>
  <c r="X3203" i="114"/>
  <c r="X3204" i="114"/>
  <c r="X3205" i="114"/>
  <c r="X3206" i="114"/>
  <c r="X3207" i="114"/>
  <c r="X3208" i="114"/>
  <c r="X3209" i="114"/>
  <c r="X3210" i="114"/>
  <c r="X3211" i="114"/>
  <c r="X3212" i="114"/>
  <c r="X3213" i="114"/>
  <c r="X3214" i="114"/>
  <c r="X3215" i="114"/>
  <c r="X3216" i="114"/>
  <c r="X3217" i="114"/>
  <c r="X3218" i="114"/>
  <c r="X3219" i="114"/>
  <c r="X3220" i="114"/>
  <c r="X3221" i="114"/>
  <c r="X3222" i="114"/>
  <c r="X3223" i="114"/>
  <c r="X3224" i="114"/>
  <c r="X3225" i="114"/>
  <c r="X3226" i="114"/>
  <c r="X3227" i="114"/>
  <c r="X3228" i="114"/>
  <c r="X3229" i="114"/>
  <c r="X3230" i="114"/>
  <c r="X3231" i="114"/>
  <c r="X3232" i="114"/>
  <c r="X3233" i="114"/>
  <c r="X3234" i="114"/>
  <c r="X3235" i="114"/>
  <c r="X3236" i="114"/>
  <c r="X3237" i="114"/>
  <c r="X3238" i="114"/>
  <c r="X3239" i="114"/>
  <c r="X3240" i="114"/>
  <c r="X3241" i="114"/>
  <c r="X3242" i="114"/>
  <c r="X3243" i="114"/>
  <c r="X3244" i="114"/>
  <c r="X3245" i="114"/>
  <c r="X3246" i="114"/>
  <c r="X3247" i="114"/>
  <c r="X3248" i="114"/>
  <c r="X3249" i="114"/>
  <c r="X3250" i="114"/>
  <c r="X3251" i="114"/>
  <c r="X3252" i="114"/>
  <c r="X3253" i="114"/>
  <c r="X3254" i="114"/>
  <c r="X3255" i="114"/>
  <c r="X3256" i="114"/>
  <c r="X3257" i="114"/>
  <c r="X3258" i="114"/>
  <c r="X3259" i="114"/>
  <c r="X3260" i="114"/>
  <c r="X3261" i="114"/>
  <c r="X3262" i="114"/>
  <c r="X3263" i="114"/>
  <c r="X3264" i="114"/>
  <c r="X3265" i="114"/>
  <c r="X3266" i="114"/>
  <c r="X3267" i="114"/>
  <c r="X3268" i="114"/>
  <c r="X3269" i="114"/>
  <c r="X3270" i="114"/>
  <c r="X3271" i="114"/>
  <c r="X3272" i="114"/>
  <c r="X3273" i="114"/>
  <c r="X3274" i="114"/>
  <c r="X3275" i="114"/>
  <c r="X3276" i="114"/>
  <c r="X3277" i="114"/>
  <c r="X3278" i="114"/>
  <c r="X3279" i="114"/>
  <c r="X3280" i="114"/>
  <c r="X3281" i="114"/>
  <c r="X3282" i="114"/>
  <c r="X3283" i="114"/>
  <c r="X3284" i="114"/>
  <c r="X3285" i="114"/>
  <c r="X3286" i="114"/>
  <c r="X3287" i="114"/>
  <c r="X3288" i="114"/>
  <c r="X3289" i="114"/>
  <c r="X3290" i="114"/>
  <c r="X3291" i="114"/>
  <c r="X3292" i="114"/>
  <c r="X3293" i="114"/>
  <c r="X3294" i="114"/>
  <c r="X3295" i="114"/>
  <c r="X3296" i="114"/>
  <c r="X3297" i="114"/>
  <c r="X3298" i="114"/>
  <c r="X3299" i="114"/>
  <c r="X3300" i="114"/>
  <c r="X3301" i="114"/>
  <c r="X3302" i="114"/>
  <c r="X3303" i="114"/>
  <c r="X3304" i="114"/>
  <c r="X3305" i="114"/>
  <c r="X3306" i="114"/>
  <c r="X3307" i="114"/>
  <c r="X3308" i="114"/>
  <c r="X3309" i="114"/>
  <c r="X3310" i="114"/>
  <c r="X3311" i="114"/>
  <c r="X3312" i="114"/>
  <c r="X3313" i="114"/>
  <c r="X3314" i="114"/>
  <c r="X3315" i="114"/>
  <c r="X3316" i="114"/>
  <c r="X3317" i="114"/>
  <c r="X3318" i="114"/>
  <c r="X3319" i="114"/>
  <c r="X3320" i="114"/>
  <c r="X3321" i="114"/>
  <c r="X3322" i="114"/>
  <c r="X3323" i="114"/>
  <c r="X3324" i="114"/>
  <c r="X3325" i="114"/>
  <c r="X3326" i="114"/>
  <c r="X3327" i="114"/>
  <c r="X3328" i="114"/>
  <c r="X3329" i="114"/>
  <c r="X3330" i="114"/>
  <c r="X3331" i="114"/>
  <c r="X3332" i="114"/>
  <c r="X3333" i="114"/>
  <c r="X3334" i="114"/>
  <c r="X3335" i="114"/>
  <c r="X3336" i="114"/>
  <c r="X3337" i="114"/>
  <c r="X3338" i="114"/>
  <c r="X3339" i="114"/>
  <c r="X3340" i="114"/>
  <c r="X3341" i="114"/>
  <c r="X3342" i="114"/>
  <c r="X3343" i="114"/>
  <c r="X3344" i="114"/>
  <c r="X3345" i="114"/>
  <c r="X3346" i="114"/>
  <c r="X3347" i="114"/>
  <c r="X3348" i="114"/>
  <c r="X3349" i="114"/>
  <c r="X3350" i="114"/>
  <c r="X3351" i="114"/>
  <c r="X3352" i="114"/>
  <c r="X3353" i="114"/>
  <c r="X3354" i="114"/>
  <c r="X3355" i="114"/>
  <c r="X3356" i="114"/>
  <c r="X3357" i="114"/>
  <c r="X3358" i="114"/>
  <c r="X3359" i="114"/>
  <c r="X3360" i="114"/>
  <c r="X3361" i="114"/>
  <c r="X3362" i="114"/>
  <c r="X3363" i="114"/>
  <c r="X3364" i="114"/>
  <c r="X3365" i="114"/>
  <c r="X3366" i="114"/>
  <c r="X3367" i="114"/>
  <c r="X3368" i="114"/>
  <c r="X3369" i="114"/>
  <c r="X3370" i="114"/>
  <c r="X3371" i="114"/>
  <c r="X3372" i="114"/>
  <c r="X3373" i="114"/>
  <c r="X3374" i="114"/>
  <c r="X3375" i="114"/>
  <c r="X3376" i="114"/>
  <c r="X3377" i="114"/>
  <c r="X3378" i="114"/>
  <c r="X3379" i="114"/>
  <c r="X3380" i="114"/>
  <c r="X3381" i="114"/>
  <c r="X3382" i="114"/>
  <c r="X3383" i="114"/>
  <c r="X3384" i="114"/>
  <c r="X3385" i="114"/>
  <c r="X3386" i="114"/>
  <c r="X3387" i="114"/>
  <c r="X3388" i="114"/>
  <c r="X3389" i="114"/>
  <c r="X3390" i="114"/>
  <c r="X3391" i="114"/>
  <c r="X3392" i="114"/>
  <c r="X3393" i="114"/>
  <c r="X3394" i="114"/>
  <c r="X3395" i="114"/>
  <c r="X3396" i="114"/>
  <c r="X3397" i="114"/>
  <c r="X3398" i="114"/>
  <c r="X3399" i="114"/>
  <c r="X3400" i="114"/>
  <c r="X3401" i="114"/>
  <c r="X3402" i="114"/>
  <c r="X3403" i="114"/>
  <c r="X3404" i="114"/>
  <c r="X3405" i="114"/>
  <c r="X3406" i="114"/>
  <c r="X3407" i="114"/>
  <c r="X3408" i="114"/>
  <c r="X3409" i="114"/>
  <c r="X3410" i="114"/>
  <c r="X3411" i="114"/>
  <c r="X3412" i="114"/>
  <c r="X3413" i="114"/>
  <c r="X3414" i="114"/>
  <c r="X3415" i="114"/>
  <c r="X3416" i="114"/>
  <c r="X3417" i="114"/>
  <c r="X3418" i="114"/>
  <c r="X3419" i="114"/>
  <c r="X3420" i="114"/>
  <c r="X3421" i="114"/>
  <c r="X3422" i="114"/>
  <c r="X3423" i="114"/>
  <c r="X3424" i="114"/>
  <c r="X3425" i="114"/>
  <c r="X3426" i="114"/>
  <c r="X3427" i="114"/>
  <c r="X3428" i="114"/>
  <c r="X3429" i="114"/>
  <c r="X3430" i="114"/>
  <c r="X3431" i="114"/>
  <c r="X3432" i="114"/>
  <c r="X3433" i="114"/>
  <c r="X3434" i="114"/>
  <c r="X3435" i="114"/>
  <c r="X3436" i="114"/>
  <c r="X3437" i="114"/>
  <c r="X3438" i="114"/>
  <c r="X3439" i="114"/>
  <c r="X3440" i="114"/>
  <c r="X3441" i="114"/>
  <c r="X3442" i="114"/>
  <c r="X3443" i="114"/>
  <c r="X3444" i="114"/>
  <c r="X3445" i="114"/>
  <c r="X3446" i="114"/>
  <c r="X3447" i="114"/>
  <c r="X3448" i="114"/>
  <c r="X3449" i="114"/>
  <c r="X3450" i="114"/>
  <c r="X3451" i="114"/>
  <c r="X3452" i="114"/>
  <c r="X3453" i="114"/>
  <c r="X3454" i="114"/>
  <c r="X3455" i="114"/>
  <c r="X3456" i="114"/>
  <c r="X3457" i="114"/>
  <c r="X3458" i="114"/>
  <c r="X3459" i="114"/>
  <c r="X3460" i="114"/>
  <c r="X3461" i="114"/>
  <c r="X3462" i="114"/>
  <c r="X3463" i="114"/>
  <c r="X3464" i="114"/>
  <c r="X3465" i="114"/>
  <c r="X3466" i="114"/>
  <c r="X3467" i="114"/>
  <c r="X3468" i="114"/>
  <c r="X3469" i="114"/>
  <c r="X3470" i="114"/>
  <c r="X3471" i="114"/>
  <c r="X3472" i="114"/>
  <c r="X3473" i="114"/>
  <c r="X3474" i="114"/>
  <c r="X3475" i="114"/>
  <c r="X3476" i="114"/>
  <c r="X3477" i="114"/>
  <c r="X3478" i="114"/>
  <c r="X3479" i="114"/>
  <c r="X3480" i="114"/>
  <c r="X3481" i="114"/>
  <c r="X3482" i="114"/>
  <c r="X3483" i="114"/>
  <c r="X3484" i="114"/>
  <c r="X3485" i="114"/>
  <c r="X3486" i="114"/>
  <c r="X3487" i="114"/>
  <c r="X3488" i="114"/>
  <c r="X3489" i="114"/>
  <c r="X3490" i="114"/>
  <c r="X3491" i="114"/>
  <c r="X3492" i="114"/>
  <c r="X3493" i="114"/>
  <c r="X3494" i="114"/>
  <c r="X3495" i="114"/>
  <c r="X3496" i="114"/>
  <c r="X3497" i="114"/>
  <c r="X3498" i="114"/>
  <c r="X3499" i="114"/>
  <c r="X3500" i="114"/>
  <c r="X3501" i="114"/>
  <c r="X3502" i="114"/>
  <c r="X3503" i="114"/>
  <c r="X3504" i="114"/>
  <c r="X3505" i="114"/>
  <c r="X3506" i="114"/>
  <c r="X3507" i="114"/>
  <c r="X3508" i="114"/>
  <c r="X3509" i="114"/>
  <c r="X3510" i="114"/>
  <c r="X3511" i="114"/>
  <c r="X3512" i="114"/>
  <c r="X3513" i="114"/>
  <c r="X3514" i="114"/>
  <c r="X3515" i="114"/>
  <c r="X3516" i="114"/>
  <c r="X3517" i="114"/>
  <c r="X3518" i="114"/>
  <c r="X3519" i="114"/>
  <c r="X3520" i="114"/>
  <c r="X3521" i="114"/>
  <c r="X3522" i="114"/>
  <c r="X3523" i="114"/>
  <c r="X3524" i="114"/>
  <c r="X3525" i="114"/>
  <c r="X3526" i="114"/>
  <c r="X3527" i="114"/>
  <c r="X3528" i="114"/>
  <c r="X3529" i="114"/>
  <c r="X3530" i="114"/>
  <c r="X3531" i="114"/>
  <c r="X3532" i="114"/>
  <c r="X3533" i="114"/>
  <c r="X3534" i="114"/>
  <c r="X3535" i="114"/>
  <c r="X3536" i="114"/>
  <c r="X3537" i="114"/>
  <c r="X3538" i="114"/>
  <c r="X3539" i="114"/>
  <c r="X3540" i="114"/>
  <c r="X3541" i="114"/>
  <c r="X3542" i="114"/>
  <c r="X3543" i="114"/>
  <c r="X3544" i="114"/>
  <c r="X3545" i="114"/>
  <c r="X3546" i="114"/>
  <c r="X3547" i="114"/>
  <c r="X3548" i="114"/>
  <c r="X3549" i="114"/>
  <c r="X3550" i="114"/>
  <c r="X3551" i="114"/>
  <c r="X3552" i="114"/>
  <c r="X3553" i="114"/>
  <c r="X3554" i="114"/>
  <c r="X3555" i="114"/>
  <c r="X3556" i="114"/>
  <c r="X3557" i="114"/>
  <c r="X3558" i="114"/>
  <c r="X3559" i="114"/>
  <c r="X3560" i="114"/>
  <c r="X3561" i="114"/>
  <c r="X3562" i="114"/>
  <c r="X3563" i="114"/>
  <c r="X3564" i="114"/>
  <c r="X3565" i="114"/>
  <c r="X3566" i="114"/>
  <c r="X3567" i="114"/>
  <c r="X3568" i="114"/>
  <c r="X3569" i="114"/>
  <c r="X3570" i="114"/>
  <c r="X3571" i="114"/>
  <c r="X3572" i="114"/>
  <c r="X3573" i="114"/>
  <c r="X3574" i="114"/>
  <c r="X3575" i="114"/>
  <c r="X3576" i="114"/>
  <c r="X3577" i="114"/>
  <c r="X3578" i="114"/>
  <c r="X3579" i="114"/>
  <c r="X3580" i="114"/>
  <c r="X3581" i="114"/>
  <c r="X3582" i="114"/>
  <c r="X3583" i="114"/>
  <c r="X3584" i="114"/>
  <c r="X3585" i="114"/>
  <c r="X3586" i="114"/>
  <c r="X3587" i="114"/>
  <c r="X3588" i="114"/>
  <c r="X3589" i="114"/>
  <c r="X3590" i="114"/>
  <c r="X3591" i="114"/>
  <c r="X3592" i="114"/>
  <c r="X3593" i="114"/>
  <c r="X3594" i="114"/>
  <c r="X3595" i="114"/>
  <c r="X3596" i="114"/>
  <c r="X3597" i="114"/>
  <c r="X3598" i="114"/>
  <c r="X3599" i="114"/>
  <c r="X3600" i="114"/>
  <c r="X3601" i="114"/>
  <c r="X3602" i="114"/>
  <c r="X3603" i="114"/>
  <c r="X3604" i="114"/>
  <c r="X3605" i="114"/>
  <c r="X3606" i="114"/>
  <c r="X3607" i="114"/>
  <c r="X3608" i="114"/>
  <c r="X3609" i="114"/>
  <c r="X3610" i="114"/>
  <c r="X3611" i="114"/>
  <c r="X3612" i="114"/>
  <c r="X3613" i="114"/>
  <c r="X3614" i="114"/>
  <c r="X3615" i="114"/>
  <c r="X3616" i="114"/>
  <c r="X3617" i="114"/>
  <c r="X3618" i="114"/>
  <c r="X3619" i="114"/>
  <c r="X3620" i="114"/>
  <c r="X3621" i="114"/>
  <c r="X3622" i="114"/>
  <c r="X3623" i="114"/>
  <c r="X3624" i="114"/>
  <c r="X3625" i="114"/>
  <c r="X3626" i="114"/>
  <c r="X3627" i="114"/>
  <c r="X3628" i="114"/>
  <c r="X3629" i="114"/>
  <c r="X3630" i="114"/>
  <c r="X3631" i="114"/>
  <c r="X3632" i="114"/>
  <c r="X3633" i="114"/>
  <c r="X3634" i="114"/>
  <c r="X3635" i="114"/>
  <c r="X3636" i="114"/>
  <c r="X3637" i="114"/>
  <c r="X3638" i="114"/>
  <c r="X3639" i="114"/>
  <c r="X3640" i="114"/>
  <c r="X3641" i="114"/>
  <c r="X3642" i="114"/>
  <c r="X3643" i="114"/>
  <c r="X3644" i="114"/>
  <c r="X3645" i="114"/>
  <c r="X3646" i="114"/>
  <c r="X3647" i="114"/>
  <c r="X3648" i="114"/>
  <c r="X3649" i="114"/>
  <c r="X3650" i="114"/>
  <c r="X3651" i="114"/>
  <c r="X3652" i="114"/>
  <c r="X3653" i="114"/>
  <c r="X3654" i="114"/>
  <c r="X3655" i="114"/>
  <c r="X3656" i="114"/>
  <c r="X3657" i="114"/>
  <c r="X3658" i="114"/>
  <c r="X3659" i="114"/>
  <c r="X3660" i="114"/>
  <c r="X3661" i="114"/>
  <c r="X3662" i="114"/>
  <c r="X3663" i="114"/>
  <c r="X3664" i="114"/>
  <c r="X3665" i="114"/>
  <c r="X3666" i="114"/>
  <c r="X3667" i="114"/>
  <c r="X3668" i="114"/>
  <c r="X3669" i="114"/>
  <c r="X3670" i="114"/>
  <c r="X3671" i="114"/>
  <c r="X3672" i="114"/>
  <c r="X3673" i="114"/>
  <c r="X3674" i="114"/>
  <c r="X3675" i="114"/>
  <c r="X3676" i="114"/>
  <c r="X3677" i="114"/>
  <c r="X3678" i="114"/>
  <c r="X3679" i="114"/>
  <c r="X3680" i="114"/>
  <c r="X3681" i="114"/>
  <c r="X3682" i="114"/>
  <c r="X3683" i="114"/>
  <c r="X3684" i="114"/>
  <c r="X3685" i="114"/>
  <c r="X3686" i="114"/>
  <c r="X3687" i="114"/>
  <c r="X3688" i="114"/>
  <c r="X3689" i="114"/>
  <c r="X3690" i="114"/>
  <c r="X3691" i="114"/>
  <c r="X3692" i="114"/>
  <c r="X3693" i="114"/>
  <c r="X3694" i="114"/>
  <c r="X3695" i="114"/>
  <c r="X3696" i="114"/>
  <c r="X3697" i="114"/>
  <c r="X3698" i="114"/>
  <c r="X3699" i="114"/>
  <c r="X3700" i="114"/>
  <c r="X3701" i="114"/>
  <c r="X3702" i="114"/>
  <c r="X3703" i="114"/>
  <c r="X3704" i="114"/>
  <c r="X3705" i="114"/>
  <c r="X3706" i="114"/>
  <c r="X3707" i="114"/>
  <c r="X3708" i="114"/>
  <c r="X3709" i="114"/>
  <c r="X3710" i="114"/>
  <c r="X3711" i="114"/>
  <c r="X3712" i="114"/>
  <c r="X3713" i="114"/>
  <c r="X3714" i="114"/>
  <c r="X3715" i="114"/>
  <c r="X3716" i="114"/>
  <c r="X3717" i="114"/>
  <c r="X3718" i="114"/>
  <c r="X3719" i="114"/>
  <c r="X3720" i="114"/>
  <c r="X3721" i="114"/>
  <c r="X3722" i="114"/>
  <c r="X3723" i="114"/>
  <c r="X3724" i="114"/>
  <c r="X3725" i="114"/>
  <c r="X3726" i="114"/>
  <c r="X3727" i="114"/>
  <c r="X3728" i="114"/>
  <c r="X3729" i="114"/>
  <c r="X3730" i="114"/>
  <c r="X3731" i="114"/>
  <c r="X3732" i="114"/>
  <c r="X3733" i="114"/>
  <c r="X3734" i="114"/>
  <c r="X3735" i="114"/>
  <c r="X3736" i="114"/>
  <c r="X3737" i="114"/>
  <c r="X3738" i="114"/>
  <c r="X3739" i="114"/>
  <c r="X3740" i="114"/>
  <c r="X3741" i="114"/>
  <c r="X3742" i="114"/>
  <c r="X3743" i="114"/>
  <c r="X3744" i="114"/>
  <c r="X3745" i="114"/>
  <c r="X3746" i="114"/>
  <c r="X3747" i="114"/>
  <c r="X3748" i="114"/>
  <c r="X3749" i="114"/>
  <c r="X3750" i="114"/>
  <c r="X3751" i="114"/>
  <c r="X3752" i="114"/>
  <c r="X3753" i="114"/>
  <c r="X3754" i="114"/>
  <c r="X3755" i="114"/>
  <c r="X3756" i="114"/>
  <c r="X3757" i="114"/>
  <c r="X3758" i="114"/>
  <c r="X3759" i="114"/>
  <c r="X3760" i="114"/>
  <c r="X3761" i="114"/>
  <c r="X3762" i="114"/>
  <c r="X3763" i="114"/>
  <c r="X3764" i="114"/>
  <c r="X3765" i="114"/>
  <c r="X3766" i="114"/>
  <c r="X3767" i="114"/>
  <c r="X3768" i="114"/>
  <c r="X3769" i="114"/>
  <c r="X3770" i="114"/>
  <c r="X3771" i="114"/>
  <c r="X3772" i="114"/>
  <c r="X3773" i="114"/>
  <c r="X3774" i="114"/>
  <c r="X3775" i="114"/>
  <c r="X3776" i="114"/>
  <c r="X3777" i="114"/>
  <c r="X3778" i="114"/>
  <c r="X3779" i="114"/>
  <c r="X3780" i="114"/>
  <c r="X3781" i="114"/>
  <c r="X3782" i="114"/>
  <c r="X3783" i="114"/>
  <c r="X3784" i="114"/>
  <c r="X3785" i="114"/>
  <c r="X3786" i="114"/>
  <c r="X3787" i="114"/>
  <c r="X3788" i="114"/>
  <c r="X3789" i="114"/>
  <c r="X3790" i="114"/>
  <c r="X3791" i="114"/>
  <c r="X3792" i="114"/>
  <c r="X3793" i="114"/>
  <c r="X3794" i="114"/>
  <c r="X3795" i="114"/>
  <c r="X3796" i="114"/>
  <c r="X3797" i="114"/>
  <c r="X3798" i="114"/>
  <c r="X3799" i="114"/>
  <c r="X3800" i="114"/>
  <c r="X3801" i="114"/>
  <c r="X3802" i="114"/>
  <c r="X3803" i="114"/>
  <c r="X3804" i="114"/>
  <c r="X3805" i="114"/>
  <c r="X3806" i="114"/>
  <c r="X3807" i="114"/>
  <c r="X3808" i="114"/>
  <c r="X3809" i="114"/>
  <c r="X3810" i="114"/>
  <c r="X3811" i="114"/>
  <c r="X3812" i="114"/>
  <c r="X3813" i="114"/>
  <c r="X3814" i="114"/>
  <c r="X3815" i="114"/>
  <c r="X3816" i="114"/>
  <c r="X3817" i="114"/>
  <c r="X3818" i="114"/>
  <c r="X3819" i="114"/>
  <c r="X3820" i="114"/>
  <c r="X3821" i="114"/>
  <c r="X3822" i="114"/>
  <c r="X3823" i="114"/>
  <c r="X3824" i="114"/>
  <c r="X3825" i="114"/>
  <c r="X3826" i="114"/>
  <c r="X3827" i="114"/>
  <c r="X3828" i="114"/>
  <c r="X3829" i="114"/>
  <c r="X3830" i="114"/>
  <c r="X3831" i="114"/>
  <c r="X3832" i="114"/>
  <c r="X3833" i="114"/>
  <c r="X3834" i="114"/>
  <c r="X3835" i="114"/>
  <c r="X3836" i="114"/>
  <c r="X3837" i="114"/>
  <c r="X3838" i="114"/>
  <c r="X3839" i="114"/>
  <c r="X3840" i="114"/>
  <c r="X3841" i="114"/>
  <c r="X3842" i="114"/>
  <c r="X3843" i="114"/>
  <c r="X3844" i="114"/>
  <c r="X3845" i="114"/>
  <c r="X3846" i="114"/>
  <c r="X3847" i="114"/>
  <c r="X3848" i="114"/>
  <c r="X3849" i="114"/>
  <c r="X3850" i="114"/>
  <c r="X3851" i="114"/>
  <c r="X3852" i="114"/>
  <c r="X3853" i="114"/>
  <c r="X3854" i="114"/>
  <c r="X3855" i="114"/>
  <c r="X3856" i="114"/>
  <c r="X3857" i="114"/>
  <c r="X3858" i="114"/>
  <c r="X3859" i="114"/>
  <c r="X3860" i="114"/>
  <c r="X3861" i="114"/>
  <c r="X3862" i="114"/>
  <c r="X3863" i="114"/>
  <c r="X3864" i="114"/>
  <c r="X3865" i="114"/>
  <c r="X3866" i="114"/>
  <c r="X3867" i="114"/>
  <c r="X3868" i="114"/>
  <c r="X3869" i="114"/>
  <c r="X3870" i="114"/>
  <c r="X3871" i="114"/>
  <c r="X3872" i="114"/>
  <c r="X3873" i="114"/>
  <c r="X3874" i="114"/>
  <c r="X3875" i="114"/>
  <c r="X3876" i="114"/>
  <c r="X3877" i="114"/>
  <c r="X3878" i="114"/>
  <c r="X3879" i="114"/>
  <c r="X3880" i="114"/>
  <c r="X3881" i="114"/>
  <c r="X3882" i="114"/>
  <c r="X3883" i="114"/>
  <c r="X3884" i="114"/>
  <c r="X3885" i="114"/>
  <c r="X3886" i="114"/>
  <c r="X3887" i="114"/>
  <c r="X3888" i="114"/>
  <c r="X3889" i="114"/>
  <c r="X3890" i="114"/>
  <c r="X3891" i="114"/>
  <c r="X3892" i="114"/>
  <c r="X3893" i="114"/>
  <c r="X3894" i="114"/>
  <c r="X3895" i="114"/>
  <c r="X3896" i="114"/>
  <c r="X3897" i="114"/>
  <c r="X3898" i="114"/>
  <c r="X3899" i="114"/>
  <c r="X3900" i="114"/>
  <c r="X3901" i="114"/>
  <c r="X3902" i="114"/>
  <c r="X3903" i="114"/>
  <c r="X3904" i="114"/>
  <c r="X3905" i="114"/>
  <c r="X3906" i="114"/>
  <c r="X3907" i="114"/>
  <c r="X3908" i="114"/>
  <c r="X3909" i="114"/>
  <c r="X3910" i="114"/>
  <c r="X3911" i="114"/>
  <c r="X3912" i="114"/>
  <c r="X3913" i="114"/>
  <c r="X3914" i="114"/>
  <c r="X3915" i="114"/>
  <c r="X3916" i="114"/>
  <c r="X3917" i="114"/>
  <c r="X3918" i="114"/>
  <c r="X3919" i="114"/>
  <c r="X3920" i="114"/>
  <c r="X3921" i="114"/>
  <c r="X3922" i="114"/>
  <c r="X3923" i="114"/>
  <c r="X3924" i="114"/>
  <c r="X3925" i="114"/>
  <c r="X3926" i="114"/>
  <c r="X3927" i="114"/>
  <c r="X3928" i="114"/>
  <c r="X3929" i="114"/>
  <c r="X3930" i="114"/>
  <c r="X3931" i="114"/>
  <c r="X3932" i="114"/>
  <c r="X3933" i="114"/>
  <c r="X3934" i="114"/>
  <c r="X3935" i="114"/>
  <c r="X3936" i="114"/>
  <c r="X3937" i="114"/>
  <c r="X3938" i="114"/>
  <c r="X3939" i="114"/>
  <c r="X3940" i="114"/>
  <c r="X3941" i="114"/>
  <c r="X3942" i="114"/>
  <c r="X3943" i="114"/>
  <c r="X3944" i="114"/>
  <c r="X3945" i="114"/>
  <c r="X3946" i="114"/>
  <c r="X3947" i="114"/>
  <c r="X3948" i="114"/>
  <c r="X3949" i="114"/>
  <c r="X3950" i="114"/>
  <c r="X3951" i="114"/>
  <c r="X3952" i="114"/>
  <c r="X3953" i="114"/>
  <c r="X3954" i="114"/>
  <c r="X3955" i="114"/>
  <c r="X3956" i="114"/>
  <c r="X3957" i="114"/>
  <c r="X3958" i="114"/>
  <c r="X3959" i="114"/>
  <c r="X3960" i="114"/>
  <c r="X3961" i="114"/>
  <c r="X3962" i="114"/>
  <c r="X3963" i="114"/>
  <c r="X3964" i="114"/>
  <c r="X3965" i="114"/>
  <c r="X3966" i="114"/>
  <c r="X3967" i="114"/>
  <c r="X3968" i="114"/>
  <c r="X3969" i="114"/>
  <c r="X3970" i="114"/>
  <c r="X3971" i="114"/>
  <c r="X3972" i="114"/>
  <c r="X3973" i="114"/>
  <c r="X3974" i="114"/>
  <c r="X3975" i="114"/>
  <c r="X3976" i="114"/>
  <c r="X3977" i="114"/>
  <c r="X3978" i="114"/>
  <c r="X3979" i="114"/>
  <c r="X3980" i="114"/>
  <c r="X3981" i="114"/>
  <c r="X3982" i="114"/>
  <c r="X3983" i="114"/>
  <c r="X3984" i="114"/>
  <c r="X3985" i="114"/>
  <c r="X3986" i="114"/>
  <c r="X3987" i="114"/>
  <c r="X3988" i="114"/>
  <c r="X3989" i="114"/>
  <c r="X3990" i="114"/>
  <c r="X3991" i="114"/>
  <c r="X3992" i="114"/>
  <c r="X3993" i="114"/>
  <c r="X3994" i="114"/>
  <c r="X3995" i="114"/>
  <c r="X3996" i="114"/>
  <c r="X3997" i="114"/>
  <c r="X3998" i="114"/>
  <c r="X3999" i="114"/>
  <c r="X4000" i="114"/>
  <c r="X4001" i="114"/>
  <c r="X4002" i="114"/>
  <c r="X4003" i="114"/>
  <c r="X4004" i="114"/>
  <c r="X4005" i="114"/>
  <c r="X4006" i="114"/>
  <c r="X4007" i="114"/>
  <c r="X4008" i="114"/>
  <c r="X4009" i="114"/>
  <c r="X4010" i="114"/>
  <c r="X4011" i="114"/>
  <c r="X4012" i="114"/>
  <c r="X4013" i="114"/>
  <c r="X4014" i="114"/>
  <c r="X4015" i="114"/>
  <c r="X4016" i="114"/>
  <c r="X4017" i="114"/>
  <c r="X4018" i="114"/>
  <c r="X4019" i="114"/>
  <c r="X4020" i="114"/>
  <c r="X4021" i="114"/>
  <c r="X4022" i="114"/>
  <c r="X4023" i="114"/>
  <c r="X4024" i="114"/>
  <c r="X4025" i="114"/>
  <c r="X4026" i="114"/>
  <c r="X4027" i="114"/>
  <c r="X4028" i="114"/>
  <c r="X4029" i="114"/>
  <c r="X4030" i="114"/>
  <c r="X4031" i="114"/>
  <c r="X4032" i="114"/>
  <c r="X4033" i="114"/>
  <c r="X4034" i="114"/>
  <c r="X4035" i="114"/>
  <c r="X4036" i="114"/>
  <c r="X4037" i="114"/>
  <c r="X4038" i="114"/>
  <c r="X4039" i="114"/>
  <c r="X4040" i="114"/>
  <c r="X4041" i="114"/>
  <c r="X4042" i="114"/>
  <c r="X4043" i="114"/>
  <c r="X4044" i="114"/>
  <c r="X4045" i="114"/>
  <c r="X4046" i="114"/>
  <c r="X4047" i="114"/>
  <c r="X4048" i="114"/>
  <c r="X4049" i="114"/>
  <c r="X4050" i="114"/>
  <c r="X4051" i="114"/>
  <c r="X4052" i="114"/>
  <c r="X4053" i="114"/>
  <c r="X4054" i="114"/>
  <c r="X4055" i="114"/>
  <c r="X4056" i="114"/>
  <c r="X4057" i="114"/>
  <c r="X4058" i="114"/>
  <c r="X4059" i="114"/>
  <c r="X4060" i="114"/>
  <c r="X4061" i="114"/>
  <c r="X4062" i="114"/>
  <c r="X4063" i="114"/>
  <c r="X4064" i="114"/>
  <c r="X4065" i="114"/>
  <c r="X4066" i="114"/>
  <c r="X4067" i="114"/>
  <c r="X4068" i="114"/>
  <c r="X4069" i="114"/>
  <c r="X4070" i="114"/>
  <c r="X4071" i="114"/>
  <c r="X4072" i="114"/>
  <c r="X4073" i="114"/>
  <c r="X4074" i="114"/>
  <c r="X4075" i="114"/>
  <c r="X4076" i="114"/>
  <c r="X4077" i="114"/>
  <c r="X4078" i="114"/>
  <c r="X4079" i="114"/>
  <c r="X4080" i="114"/>
  <c r="X4081" i="114"/>
  <c r="X4082" i="114"/>
  <c r="X4083" i="114"/>
  <c r="X4084" i="114"/>
  <c r="X4085" i="114"/>
  <c r="X4086" i="114"/>
  <c r="X4087" i="114"/>
  <c r="X4088" i="114"/>
  <c r="X4089" i="114"/>
  <c r="X4090" i="114"/>
  <c r="X4091" i="114"/>
  <c r="X4092" i="114"/>
  <c r="X4093" i="114"/>
  <c r="X4094" i="114"/>
  <c r="X4095" i="114"/>
  <c r="X4096" i="114"/>
  <c r="X4097" i="114"/>
  <c r="X4098" i="114"/>
  <c r="X4099" i="114"/>
  <c r="X4100" i="114"/>
  <c r="X4101" i="114"/>
  <c r="X4102" i="114"/>
  <c r="X4103" i="114"/>
  <c r="X4104" i="114"/>
  <c r="X4105" i="114"/>
  <c r="X4106" i="114"/>
  <c r="X4107" i="114"/>
  <c r="X4108" i="114"/>
  <c r="X4109" i="114"/>
  <c r="X4110" i="114"/>
  <c r="X4111" i="114"/>
  <c r="X4112" i="114"/>
  <c r="X4113" i="114"/>
  <c r="X4114" i="114"/>
  <c r="X4115" i="114"/>
  <c r="X4116" i="114"/>
  <c r="X4117" i="114"/>
  <c r="X4118" i="114"/>
  <c r="X4119" i="114"/>
  <c r="X4120" i="114"/>
  <c r="X4121" i="114"/>
  <c r="X4122" i="114"/>
  <c r="X4123" i="114"/>
  <c r="X4124" i="114"/>
  <c r="X4125" i="114"/>
  <c r="X4126" i="114"/>
  <c r="X4127" i="114"/>
  <c r="X4128" i="114"/>
  <c r="X4129" i="114"/>
  <c r="X4130" i="114"/>
  <c r="X4131" i="114"/>
  <c r="X4132" i="114"/>
  <c r="X4133" i="114"/>
  <c r="X4134" i="114"/>
  <c r="X4135" i="114"/>
  <c r="X4136" i="114"/>
  <c r="X4137" i="114"/>
  <c r="X4138" i="114"/>
  <c r="X4139" i="114"/>
  <c r="X4140" i="114"/>
  <c r="X4141" i="114"/>
  <c r="X4142" i="114"/>
  <c r="X4143" i="114"/>
  <c r="X4144" i="114"/>
  <c r="X4145" i="114"/>
  <c r="X4146" i="114"/>
  <c r="X4147" i="114"/>
  <c r="X4148" i="114"/>
  <c r="X4149" i="114"/>
  <c r="X4150" i="114"/>
  <c r="X4151" i="114"/>
  <c r="X4152" i="114"/>
  <c r="X4153" i="114"/>
  <c r="X4154" i="114"/>
  <c r="X4155" i="114"/>
  <c r="X4156" i="114"/>
  <c r="X4157" i="114"/>
  <c r="X4158" i="114"/>
  <c r="X4159" i="114"/>
  <c r="X4160" i="114"/>
  <c r="X4161" i="114"/>
  <c r="X4162" i="114"/>
  <c r="X4163" i="114"/>
  <c r="X4164" i="114"/>
  <c r="X4165" i="114"/>
  <c r="X4166" i="114"/>
  <c r="X4167" i="114"/>
  <c r="X4168" i="114"/>
  <c r="X4169" i="114"/>
  <c r="X4170" i="114"/>
  <c r="X4171" i="114"/>
  <c r="X4172" i="114"/>
  <c r="X4173" i="114"/>
  <c r="X4174" i="114"/>
  <c r="X4175" i="114"/>
  <c r="X4176" i="114"/>
  <c r="X4177" i="114"/>
  <c r="X4178" i="114"/>
  <c r="X4179" i="114"/>
  <c r="X4180" i="114"/>
  <c r="X4181" i="114"/>
  <c r="X4182" i="114"/>
  <c r="X4183" i="114"/>
  <c r="X4184" i="114"/>
  <c r="X4185" i="114"/>
  <c r="X4186" i="114"/>
  <c r="X4187" i="114"/>
  <c r="X4188" i="114"/>
  <c r="X4189" i="114"/>
  <c r="X4190" i="114"/>
  <c r="X4191" i="114"/>
  <c r="X4192" i="114"/>
  <c r="X4193" i="114"/>
  <c r="X4194" i="114"/>
  <c r="X4195" i="114"/>
  <c r="X4196" i="114"/>
  <c r="X4197" i="114"/>
  <c r="X4198" i="114"/>
  <c r="X4199" i="114"/>
  <c r="X4200" i="114"/>
  <c r="X4201" i="114"/>
  <c r="X4202" i="114"/>
  <c r="X4203" i="114"/>
  <c r="X4204" i="114"/>
  <c r="X4205" i="114"/>
  <c r="X4206" i="114"/>
  <c r="X4207" i="114"/>
  <c r="X4208" i="114"/>
  <c r="X4209" i="114"/>
  <c r="X4210" i="114"/>
  <c r="X4211" i="114"/>
  <c r="X4212" i="114"/>
  <c r="X4213" i="114"/>
  <c r="X4214" i="114"/>
  <c r="X4215" i="114"/>
  <c r="X4216" i="114"/>
  <c r="X4217" i="114"/>
  <c r="X4218" i="114"/>
  <c r="X4219" i="114"/>
  <c r="X4220" i="114"/>
  <c r="X4221" i="114"/>
  <c r="X4222" i="114"/>
  <c r="X4223" i="114"/>
  <c r="X4224" i="114"/>
  <c r="X4225" i="114"/>
  <c r="X4226" i="114"/>
  <c r="X4227" i="114"/>
  <c r="X4228" i="114"/>
  <c r="X4229" i="114"/>
  <c r="X4230" i="114"/>
  <c r="X4231" i="114"/>
  <c r="X4232" i="114"/>
  <c r="X4233" i="114"/>
  <c r="X4234" i="114"/>
  <c r="X4235" i="114"/>
  <c r="X4236" i="114"/>
  <c r="X4237" i="114"/>
  <c r="X4238" i="114"/>
  <c r="X4239" i="114"/>
  <c r="X4240" i="114"/>
  <c r="X4241" i="114"/>
  <c r="X4242" i="114"/>
  <c r="X4243" i="114"/>
  <c r="X4244" i="114"/>
  <c r="X4245" i="114"/>
  <c r="X4246" i="114"/>
  <c r="X4247" i="114"/>
  <c r="X4248" i="114"/>
  <c r="X4249" i="114"/>
  <c r="X4250" i="114"/>
  <c r="X4251" i="114"/>
  <c r="X4252" i="114"/>
  <c r="X4253" i="114"/>
  <c r="X4254" i="114"/>
  <c r="X4255" i="114"/>
  <c r="X4256" i="114"/>
  <c r="X4257" i="114"/>
  <c r="X4258" i="114"/>
  <c r="X4259" i="114"/>
  <c r="X4260" i="114"/>
  <c r="X4261" i="114"/>
  <c r="X4262" i="114"/>
  <c r="X4263" i="114"/>
  <c r="X4264" i="114"/>
  <c r="X4265" i="114"/>
  <c r="X4266" i="114"/>
  <c r="X4267" i="114"/>
  <c r="X4268" i="114"/>
  <c r="X4269" i="114"/>
  <c r="X4270" i="114"/>
  <c r="X4271" i="114"/>
  <c r="X4272" i="114"/>
  <c r="X4273" i="114"/>
  <c r="X4274" i="114"/>
  <c r="X4275" i="114"/>
  <c r="X4276" i="114"/>
  <c r="X4277" i="114"/>
  <c r="X4278" i="114"/>
  <c r="X4279" i="114"/>
  <c r="X4280" i="114"/>
  <c r="X4281" i="114"/>
  <c r="X4282" i="114"/>
  <c r="X4283" i="114"/>
  <c r="X4284" i="114"/>
  <c r="X4285" i="114"/>
  <c r="X4286" i="114"/>
  <c r="X4287" i="114"/>
  <c r="X4288" i="114"/>
  <c r="X4289" i="114"/>
  <c r="X4290" i="114"/>
  <c r="X4291" i="114"/>
  <c r="X4292" i="114"/>
  <c r="X4293" i="114"/>
  <c r="X4294" i="114"/>
  <c r="X4295" i="114"/>
  <c r="X4296" i="114"/>
  <c r="X4297" i="114"/>
  <c r="X4298" i="114"/>
  <c r="X4299" i="114"/>
  <c r="X4300" i="114"/>
  <c r="X4301" i="114"/>
  <c r="X4302" i="114"/>
  <c r="X4303" i="114"/>
  <c r="X4304" i="114"/>
  <c r="X4305" i="114"/>
  <c r="X4306" i="114"/>
  <c r="X4307" i="114"/>
  <c r="X4308" i="114"/>
  <c r="X4309" i="114"/>
  <c r="X4310" i="114"/>
  <c r="X4311" i="114"/>
  <c r="X4312" i="114"/>
  <c r="X4313" i="114"/>
  <c r="X4314" i="114"/>
  <c r="X4315" i="114"/>
  <c r="X4316" i="114"/>
  <c r="X4317" i="114"/>
  <c r="X4318" i="114"/>
  <c r="X4319" i="114"/>
  <c r="X4320" i="114"/>
  <c r="X4321" i="114"/>
  <c r="X4322" i="114"/>
  <c r="X4323" i="114"/>
  <c r="X4324" i="114"/>
  <c r="X4325" i="114"/>
  <c r="X4326" i="114"/>
  <c r="X4327" i="114"/>
  <c r="X4328" i="114"/>
  <c r="X4329" i="114"/>
  <c r="X4330" i="114"/>
  <c r="X4331" i="114"/>
  <c r="X4332" i="114"/>
  <c r="X4333" i="114"/>
  <c r="X4334" i="114"/>
  <c r="X4335" i="114"/>
  <c r="X4336" i="114"/>
  <c r="X4337" i="114"/>
  <c r="X4338" i="114"/>
  <c r="X4339" i="114"/>
  <c r="X4340" i="114"/>
  <c r="X4341" i="114"/>
  <c r="X4342" i="114"/>
  <c r="X4343" i="114"/>
  <c r="X4344" i="114"/>
  <c r="X4345" i="114"/>
  <c r="X4346" i="114"/>
  <c r="X4347" i="114"/>
  <c r="X4348" i="114"/>
  <c r="X4349" i="114"/>
  <c r="X4350" i="114"/>
  <c r="X4351" i="114"/>
  <c r="X4352" i="114"/>
  <c r="X4353" i="114"/>
  <c r="X4354" i="114"/>
  <c r="X4355" i="114"/>
  <c r="X4356" i="114"/>
  <c r="X4357" i="114"/>
  <c r="X4358" i="114"/>
  <c r="X4359" i="114"/>
  <c r="X4360" i="114"/>
  <c r="X4361" i="114"/>
  <c r="X4362" i="114"/>
  <c r="X4363" i="114"/>
  <c r="X4364" i="114"/>
  <c r="X4365" i="114"/>
  <c r="X4366" i="114"/>
  <c r="X4367" i="114"/>
  <c r="X4368" i="114"/>
  <c r="X4369" i="114"/>
  <c r="X4370" i="114"/>
  <c r="X4371" i="114"/>
  <c r="X4372" i="114"/>
  <c r="X4373" i="114"/>
  <c r="X4374" i="114"/>
  <c r="X4375" i="114"/>
  <c r="X4376" i="114"/>
  <c r="X4377" i="114"/>
  <c r="X4378" i="114"/>
  <c r="X4379" i="114"/>
  <c r="X4380" i="114"/>
  <c r="X4381" i="114"/>
  <c r="X4382" i="114"/>
  <c r="X4383" i="114"/>
  <c r="X4384" i="114"/>
  <c r="X4385" i="114"/>
  <c r="X4386" i="114"/>
  <c r="X4387" i="114"/>
  <c r="X4388" i="114"/>
  <c r="X4389" i="114"/>
  <c r="X4390" i="114"/>
  <c r="X4391" i="114"/>
  <c r="X4392" i="114"/>
  <c r="X4393" i="114"/>
  <c r="X4394" i="114"/>
  <c r="X4395" i="114"/>
  <c r="X4396" i="114"/>
  <c r="X4397" i="114"/>
  <c r="X4398" i="114"/>
  <c r="X4399" i="114"/>
  <c r="X4400" i="114"/>
  <c r="X4401" i="114"/>
  <c r="X4402" i="114"/>
  <c r="X4403" i="114"/>
  <c r="X4404" i="114"/>
  <c r="X4405" i="114"/>
  <c r="X4406" i="114"/>
  <c r="X4407" i="114"/>
  <c r="X4408" i="114"/>
  <c r="X4409" i="114"/>
  <c r="X4410" i="114"/>
  <c r="X4411" i="114"/>
  <c r="X4412" i="114"/>
  <c r="X4413" i="114"/>
  <c r="X4414" i="114"/>
  <c r="X4415" i="114"/>
  <c r="X4416" i="114"/>
  <c r="X4417" i="114"/>
  <c r="X4418" i="114"/>
  <c r="X4419" i="114"/>
  <c r="X4420" i="114"/>
  <c r="X4421" i="114"/>
  <c r="X4422" i="114"/>
  <c r="X4423" i="114"/>
  <c r="X4424" i="114"/>
  <c r="X4425" i="114"/>
  <c r="X4426" i="114"/>
  <c r="X4427" i="114"/>
  <c r="X4428" i="114"/>
  <c r="X4429" i="114"/>
  <c r="X4430" i="114"/>
  <c r="X4431" i="114"/>
  <c r="X4432" i="114"/>
  <c r="X4433" i="114"/>
  <c r="X4434" i="114"/>
  <c r="X4435" i="114"/>
  <c r="X4436" i="114"/>
  <c r="X4437" i="114"/>
  <c r="X4438" i="114"/>
  <c r="X4439" i="114"/>
  <c r="X4440" i="114"/>
  <c r="X4441" i="114"/>
  <c r="X4442" i="114"/>
  <c r="X4443" i="114"/>
  <c r="X4444" i="114"/>
  <c r="X4445" i="114"/>
  <c r="X4446" i="114"/>
  <c r="X4447" i="114"/>
  <c r="X4448" i="114"/>
  <c r="X4449" i="114"/>
  <c r="X4450" i="114"/>
  <c r="X4451" i="114"/>
  <c r="X4452" i="114"/>
  <c r="X4453" i="114"/>
  <c r="X4454" i="114"/>
  <c r="X4455" i="114"/>
  <c r="X4456" i="114"/>
  <c r="X4457" i="114"/>
  <c r="X4458" i="114"/>
  <c r="X4459" i="114"/>
  <c r="X4460" i="114"/>
  <c r="X4461" i="114"/>
  <c r="X4462" i="114"/>
  <c r="X4463" i="114"/>
  <c r="X4464" i="114"/>
  <c r="X4465" i="114"/>
  <c r="X4466" i="114"/>
  <c r="X4467" i="114"/>
  <c r="X4468" i="114"/>
  <c r="X4469" i="114"/>
  <c r="X4470" i="114"/>
  <c r="X4471" i="114"/>
  <c r="X4472" i="114"/>
  <c r="X4473" i="114"/>
  <c r="X4474" i="114"/>
  <c r="X4475" i="114"/>
  <c r="X4476" i="114"/>
  <c r="X4477" i="114"/>
  <c r="X4478" i="114"/>
  <c r="X4479" i="114"/>
  <c r="X4480" i="114"/>
  <c r="X4481" i="114"/>
  <c r="X4482" i="114"/>
  <c r="X4483" i="114"/>
  <c r="X4484" i="114"/>
  <c r="X4485" i="114"/>
  <c r="X4486" i="114"/>
  <c r="X4487" i="114"/>
  <c r="X4488" i="114"/>
  <c r="X4489" i="114"/>
  <c r="X4490" i="114"/>
  <c r="X4491" i="114"/>
  <c r="X4492" i="114"/>
  <c r="X4493" i="114"/>
  <c r="X4494" i="114"/>
  <c r="X4495" i="114"/>
  <c r="X4496" i="114"/>
  <c r="X4497" i="114"/>
  <c r="X4498" i="114"/>
  <c r="X4499" i="114"/>
  <c r="X4500" i="114"/>
  <c r="X4501" i="114"/>
  <c r="X4502" i="114"/>
  <c r="X4503" i="114"/>
  <c r="X4504" i="114"/>
  <c r="X4505" i="114"/>
  <c r="X4506" i="114"/>
  <c r="X4507" i="114"/>
  <c r="X4508" i="114"/>
  <c r="X4509" i="114"/>
  <c r="X4510" i="114"/>
  <c r="X4511" i="114"/>
  <c r="X4512" i="114"/>
  <c r="X4513" i="114"/>
  <c r="X4514" i="114"/>
  <c r="X4515" i="114"/>
  <c r="X4516" i="114"/>
  <c r="X4517" i="114"/>
  <c r="X4518" i="114"/>
  <c r="X4519" i="114"/>
  <c r="X4520" i="114"/>
  <c r="X4521" i="114"/>
  <c r="X4522" i="114"/>
  <c r="X4523" i="114"/>
  <c r="X4524" i="114"/>
  <c r="X4525" i="114"/>
  <c r="X4526" i="114"/>
  <c r="X4527" i="114"/>
  <c r="X4528" i="114"/>
  <c r="X4529" i="114"/>
  <c r="X4530" i="114"/>
  <c r="X4531" i="114"/>
  <c r="X4532" i="114"/>
  <c r="X4533" i="114"/>
  <c r="X4534" i="114"/>
  <c r="X4535" i="114"/>
  <c r="X4536" i="114"/>
  <c r="X4537" i="114"/>
  <c r="X4538" i="114"/>
  <c r="X4539" i="114"/>
  <c r="X4540" i="114"/>
  <c r="X4541" i="114"/>
  <c r="X4542" i="114"/>
  <c r="X4543" i="114"/>
  <c r="X4544" i="114"/>
  <c r="X4545" i="114"/>
  <c r="X4546" i="114"/>
  <c r="X4547" i="114"/>
  <c r="X4548" i="114"/>
  <c r="X4549" i="114"/>
  <c r="X4550" i="114"/>
  <c r="X4551" i="114"/>
  <c r="X4552" i="114"/>
  <c r="X4553" i="114"/>
  <c r="X4554" i="114"/>
  <c r="X4555" i="114"/>
  <c r="X4556" i="114"/>
  <c r="X4557" i="114"/>
  <c r="X4558" i="114"/>
  <c r="X4559" i="114"/>
  <c r="X4560" i="114"/>
  <c r="X4561" i="114"/>
  <c r="X4562" i="114"/>
  <c r="X4563" i="114"/>
  <c r="X4564" i="114"/>
  <c r="X4565" i="114"/>
  <c r="X4566" i="114"/>
  <c r="X4567" i="114"/>
  <c r="X4568" i="114"/>
  <c r="X4569" i="114"/>
  <c r="X4570" i="114"/>
  <c r="X4571" i="114"/>
  <c r="X4572" i="114"/>
  <c r="X4573" i="114"/>
  <c r="X4574" i="114"/>
  <c r="X4575" i="114"/>
  <c r="X4576" i="114"/>
  <c r="X4577" i="114"/>
  <c r="X4578" i="114"/>
  <c r="X4579" i="114"/>
  <c r="X4580" i="114"/>
  <c r="X4581" i="114"/>
  <c r="X4582" i="114"/>
  <c r="X4583" i="114"/>
  <c r="X4584" i="114"/>
  <c r="X4585" i="114"/>
  <c r="X4586" i="114"/>
  <c r="X4587" i="114"/>
  <c r="X4588" i="114"/>
  <c r="X4589" i="114"/>
  <c r="X4590" i="114"/>
  <c r="X4591" i="114"/>
  <c r="X4592" i="114"/>
  <c r="X4593" i="114"/>
  <c r="X4594" i="114"/>
  <c r="X4595" i="114"/>
  <c r="X4596" i="114"/>
  <c r="X4597" i="114"/>
  <c r="X4598" i="114"/>
  <c r="X4599" i="114"/>
  <c r="X4600" i="114"/>
  <c r="X4601" i="114"/>
  <c r="X4602" i="114"/>
  <c r="X4603" i="114"/>
  <c r="X4604" i="114"/>
  <c r="X4605" i="114"/>
  <c r="X4606" i="114"/>
  <c r="X4607" i="114"/>
  <c r="X4608" i="114"/>
  <c r="X4609" i="114"/>
  <c r="X4610" i="114"/>
  <c r="X4611" i="114"/>
  <c r="X4612" i="114"/>
  <c r="X4613" i="114"/>
  <c r="X4614" i="114"/>
  <c r="X4615" i="114"/>
  <c r="X4616" i="114"/>
  <c r="X4617" i="114"/>
  <c r="X4618" i="114"/>
  <c r="X4619" i="114"/>
  <c r="X4620" i="114"/>
  <c r="X4621" i="114"/>
  <c r="X4622" i="114"/>
  <c r="X4623" i="114"/>
  <c r="X4624" i="114"/>
  <c r="X4625" i="114"/>
  <c r="X4626" i="114"/>
  <c r="X4627" i="114"/>
  <c r="X4628" i="114"/>
  <c r="X4629" i="114"/>
  <c r="X4630" i="114"/>
  <c r="X4631" i="114"/>
  <c r="X4632" i="114"/>
  <c r="X4633" i="114"/>
  <c r="X4634" i="114"/>
  <c r="X4635" i="114"/>
  <c r="X4636" i="114"/>
  <c r="X4637" i="114"/>
  <c r="X4638" i="114"/>
  <c r="X4639" i="114"/>
  <c r="X4640" i="114"/>
  <c r="X4641" i="114"/>
  <c r="X4642" i="114"/>
  <c r="X4643" i="114"/>
  <c r="X4644" i="114"/>
  <c r="X4645" i="114"/>
  <c r="X4646" i="114"/>
  <c r="X4647" i="114"/>
  <c r="X4648" i="114"/>
  <c r="X4649" i="114"/>
  <c r="X4650" i="114"/>
  <c r="X4651" i="114"/>
  <c r="X4652" i="114"/>
  <c r="X4653" i="114"/>
  <c r="X4654" i="114"/>
  <c r="X4655" i="114"/>
  <c r="X4656" i="114"/>
  <c r="X4657" i="114"/>
  <c r="X4658" i="114"/>
  <c r="X4659" i="114"/>
  <c r="X4660" i="114"/>
  <c r="X4661" i="114"/>
  <c r="X4662" i="114"/>
  <c r="X4663" i="114"/>
  <c r="X4664" i="114"/>
  <c r="X4665" i="114"/>
  <c r="X4666" i="114"/>
  <c r="X4667" i="114"/>
  <c r="X4668" i="114"/>
  <c r="X4669" i="114"/>
  <c r="X4670" i="114"/>
  <c r="X4671" i="114"/>
  <c r="X4672" i="114"/>
  <c r="X4673" i="114"/>
  <c r="X4674" i="114"/>
  <c r="X4675" i="114"/>
  <c r="X4676" i="114"/>
  <c r="X4677" i="114"/>
  <c r="X4678" i="114"/>
  <c r="X4679" i="114"/>
  <c r="X4680" i="114"/>
  <c r="X4681" i="114"/>
  <c r="X4682" i="114"/>
  <c r="X4683" i="114"/>
  <c r="X4684" i="114"/>
  <c r="X4685" i="114"/>
  <c r="X4686" i="114"/>
  <c r="X4687" i="114"/>
  <c r="X4688" i="114"/>
  <c r="X4689" i="114"/>
  <c r="X4690" i="114"/>
  <c r="X4691" i="114"/>
  <c r="X4692" i="114"/>
  <c r="X4693" i="114"/>
  <c r="X4694" i="114"/>
  <c r="X4695" i="114"/>
  <c r="X4696" i="114"/>
  <c r="X4697" i="114"/>
  <c r="X4698" i="114"/>
  <c r="X4699" i="114"/>
  <c r="X4700" i="114"/>
  <c r="X4701" i="114"/>
  <c r="X4702" i="114"/>
  <c r="X4703" i="114"/>
  <c r="X4704" i="114"/>
  <c r="X4705" i="114"/>
  <c r="X4706" i="114"/>
  <c r="X4707" i="114"/>
  <c r="X4708" i="114"/>
  <c r="X4709" i="114"/>
  <c r="X4710" i="114"/>
  <c r="X4711" i="114"/>
  <c r="X4712" i="114"/>
  <c r="X4713" i="114"/>
  <c r="X4714" i="114"/>
  <c r="X4715" i="114"/>
  <c r="X4716" i="114"/>
  <c r="X4717" i="114"/>
  <c r="X4718" i="114"/>
  <c r="X4719" i="114"/>
  <c r="X4720" i="114"/>
  <c r="X4721" i="114"/>
  <c r="X4722" i="114"/>
  <c r="X4723" i="114"/>
  <c r="X4724" i="114"/>
  <c r="X4725" i="114"/>
  <c r="X4726" i="114"/>
  <c r="X4727" i="114"/>
  <c r="X4728" i="114"/>
  <c r="X4729" i="114"/>
  <c r="X4730" i="114"/>
  <c r="X4731" i="114"/>
  <c r="X4732" i="114"/>
  <c r="X4733" i="114"/>
  <c r="X4734" i="114"/>
  <c r="X4735" i="114"/>
  <c r="X4736" i="114"/>
  <c r="X4737" i="114"/>
  <c r="X4738" i="114"/>
  <c r="X4739" i="114"/>
  <c r="X4740" i="114"/>
  <c r="X4741" i="114"/>
  <c r="X4742" i="114"/>
  <c r="X4743" i="114"/>
  <c r="X4744" i="114"/>
  <c r="X4745" i="114"/>
  <c r="X4746" i="114"/>
  <c r="X4747" i="114"/>
  <c r="X4748" i="114"/>
  <c r="X4749" i="114"/>
  <c r="X4750" i="114"/>
  <c r="X4751" i="114"/>
  <c r="X4752" i="114"/>
  <c r="X4753" i="114"/>
  <c r="X4754" i="114"/>
  <c r="X4755" i="114"/>
  <c r="X4756" i="114"/>
  <c r="X4757" i="114"/>
  <c r="X4758" i="114"/>
  <c r="X4759" i="114"/>
  <c r="X4760" i="114"/>
  <c r="X4761" i="114"/>
  <c r="X4762" i="114"/>
  <c r="X4763" i="114"/>
  <c r="X4764" i="114"/>
  <c r="X4765" i="114"/>
  <c r="X4766" i="114"/>
  <c r="X4767" i="114"/>
  <c r="X4768" i="114"/>
  <c r="X4769" i="114"/>
  <c r="X4770" i="114"/>
  <c r="X4771" i="114"/>
  <c r="X4772" i="114"/>
  <c r="X4773" i="114"/>
  <c r="X4774" i="114"/>
  <c r="X4775" i="114"/>
  <c r="X4776" i="114"/>
  <c r="X4777" i="114"/>
  <c r="X4778" i="114"/>
  <c r="X4779" i="114"/>
  <c r="X4780" i="114"/>
  <c r="X4781" i="114"/>
  <c r="X4782" i="114"/>
  <c r="X4783" i="114"/>
  <c r="X4784" i="114"/>
  <c r="X4785" i="114"/>
  <c r="X4786" i="114"/>
  <c r="X4787" i="114"/>
  <c r="X4788" i="114"/>
  <c r="X4789" i="114"/>
  <c r="X4790" i="114"/>
  <c r="X4791" i="114"/>
  <c r="X4792" i="114"/>
  <c r="X4793" i="114"/>
  <c r="X4794" i="114"/>
  <c r="X4795" i="114"/>
  <c r="X4796" i="114"/>
  <c r="X4797" i="114"/>
  <c r="X4798" i="114"/>
  <c r="X4799" i="114"/>
  <c r="X4800" i="114"/>
  <c r="X4801" i="114"/>
  <c r="X4802" i="114"/>
  <c r="X4803" i="114"/>
  <c r="X4804" i="114"/>
  <c r="X4805" i="114"/>
  <c r="X4806" i="114"/>
  <c r="X4807" i="114"/>
  <c r="X4808" i="114"/>
  <c r="X4809" i="114"/>
  <c r="X4810" i="114"/>
  <c r="X4811" i="114"/>
  <c r="X4812" i="114"/>
  <c r="X4813" i="114"/>
  <c r="X4814" i="114"/>
  <c r="X4815" i="114"/>
  <c r="X4816" i="114"/>
  <c r="X4817" i="114"/>
  <c r="X4818" i="114"/>
  <c r="X4819" i="114"/>
  <c r="X4820" i="114"/>
  <c r="X4821" i="114"/>
  <c r="X4822" i="114"/>
  <c r="X4823" i="114"/>
  <c r="X4824" i="114"/>
  <c r="X4825" i="114"/>
  <c r="X4826" i="114"/>
  <c r="X4827" i="114"/>
  <c r="X4828" i="114"/>
  <c r="X4829" i="114"/>
  <c r="X4830" i="114"/>
  <c r="X4831" i="114"/>
  <c r="X4832" i="114"/>
  <c r="X4833" i="114"/>
  <c r="X4834" i="114"/>
  <c r="X4835" i="114"/>
  <c r="X4836" i="114"/>
  <c r="X4837" i="114"/>
  <c r="X4838" i="114"/>
  <c r="X4839" i="114"/>
  <c r="X4840" i="114"/>
  <c r="X4841" i="114"/>
  <c r="X4842" i="114"/>
  <c r="X4843" i="114"/>
  <c r="X4844" i="114"/>
  <c r="X4845" i="114"/>
  <c r="X4846" i="114"/>
  <c r="X4847" i="114"/>
  <c r="X4848" i="114"/>
  <c r="X4849" i="114"/>
  <c r="X4850" i="114"/>
  <c r="X4851" i="114"/>
  <c r="X4852" i="114"/>
  <c r="X4853" i="114"/>
  <c r="X4854" i="114"/>
  <c r="X4855" i="114"/>
  <c r="X4856" i="114"/>
  <c r="X4857" i="114"/>
  <c r="X4858" i="114"/>
  <c r="X4859" i="114"/>
  <c r="X4860" i="114"/>
  <c r="X4861" i="114"/>
  <c r="X4862" i="114"/>
  <c r="X4863" i="114"/>
  <c r="X4864" i="114"/>
  <c r="X4865" i="114"/>
  <c r="X4866" i="114"/>
  <c r="X4867" i="114"/>
  <c r="X4868" i="114"/>
  <c r="X4869" i="114"/>
  <c r="X4870" i="114"/>
  <c r="X4871" i="114"/>
  <c r="X4872" i="114"/>
  <c r="X4873" i="114"/>
  <c r="X4874" i="114"/>
  <c r="X4875" i="114"/>
  <c r="X4876" i="114"/>
  <c r="X4877" i="114"/>
  <c r="X4878" i="114"/>
  <c r="X4879" i="114"/>
  <c r="X4880" i="114"/>
  <c r="X4881" i="114"/>
  <c r="X4882" i="114"/>
  <c r="X4883" i="114"/>
  <c r="X4884" i="114"/>
  <c r="X4885" i="114"/>
  <c r="X4886" i="114"/>
  <c r="X4887" i="114"/>
  <c r="X4888" i="114"/>
  <c r="X4889" i="114"/>
  <c r="X4890" i="114"/>
  <c r="X4891" i="114"/>
  <c r="X4892" i="114"/>
  <c r="X4893" i="114"/>
  <c r="X4894" i="114"/>
  <c r="X4895" i="114"/>
  <c r="X4896" i="114"/>
  <c r="X4897" i="114"/>
  <c r="X4898" i="114"/>
  <c r="X4899" i="114"/>
  <c r="X4900" i="114"/>
  <c r="X4901" i="114"/>
  <c r="X4902" i="114"/>
  <c r="X4903" i="114"/>
  <c r="X4904" i="114"/>
  <c r="X4905" i="114"/>
  <c r="X4906" i="114"/>
  <c r="X4907" i="114"/>
  <c r="X4908" i="114"/>
  <c r="X4909" i="114"/>
  <c r="X4910" i="114"/>
  <c r="X4911" i="114"/>
  <c r="X4912" i="114"/>
  <c r="X4913" i="114"/>
  <c r="X4914" i="114"/>
  <c r="X4915" i="114"/>
  <c r="X4916" i="114"/>
  <c r="X4917" i="114"/>
  <c r="X4918" i="114"/>
  <c r="X4919" i="114"/>
  <c r="X4920" i="114"/>
  <c r="X4921" i="114"/>
  <c r="X4922" i="114"/>
  <c r="X4923" i="114"/>
  <c r="X4924" i="114"/>
  <c r="X4925" i="114"/>
  <c r="X4926" i="114"/>
  <c r="X4927" i="114"/>
  <c r="X4928" i="114"/>
  <c r="X4929" i="114"/>
  <c r="X4930" i="114"/>
  <c r="X4931" i="114"/>
  <c r="X4932" i="114"/>
  <c r="X4933" i="114"/>
  <c r="X4934" i="114"/>
  <c r="X4935" i="114"/>
  <c r="X4936" i="114"/>
  <c r="X4937" i="114"/>
  <c r="X4938" i="114"/>
  <c r="X4939" i="114"/>
  <c r="X4940" i="114"/>
  <c r="X4941" i="114"/>
  <c r="X4942" i="114"/>
  <c r="X4943" i="114"/>
  <c r="X4944" i="114"/>
  <c r="X4945" i="114"/>
  <c r="X4946" i="114"/>
  <c r="X4947" i="114"/>
  <c r="X4948" i="114"/>
  <c r="X4949" i="114"/>
  <c r="X4950" i="114"/>
  <c r="X4951" i="114"/>
  <c r="X4952" i="114"/>
  <c r="X4953" i="114"/>
  <c r="X4954" i="114"/>
  <c r="X4955" i="114"/>
  <c r="X4956" i="114"/>
  <c r="X4957" i="114"/>
  <c r="X4958" i="114"/>
  <c r="X4959" i="114"/>
  <c r="X4960" i="114"/>
  <c r="X4961" i="114"/>
  <c r="X4962" i="114"/>
  <c r="X4963" i="114"/>
  <c r="X4964" i="114"/>
  <c r="X4965" i="114"/>
  <c r="X4966" i="114"/>
  <c r="X4967" i="114"/>
  <c r="X4968" i="114"/>
  <c r="X4969" i="114"/>
  <c r="X4970" i="114"/>
  <c r="X4971" i="114"/>
  <c r="X4972" i="114"/>
  <c r="X4973" i="114"/>
  <c r="X4974" i="114"/>
  <c r="X4975" i="114"/>
  <c r="X4976" i="114"/>
  <c r="X4977" i="114"/>
  <c r="X4978" i="114"/>
  <c r="X4979" i="114"/>
  <c r="X4980" i="114"/>
  <c r="X4981" i="114"/>
  <c r="X4982" i="114"/>
  <c r="X4983" i="114"/>
  <c r="X4984" i="114"/>
  <c r="X4985" i="114"/>
  <c r="X4986" i="114"/>
  <c r="X4987" i="114"/>
  <c r="X4988" i="114"/>
  <c r="X4989" i="114"/>
  <c r="X4990" i="114"/>
  <c r="X4991" i="114"/>
  <c r="X4992" i="114"/>
  <c r="X4993" i="114"/>
  <c r="X4994" i="114"/>
  <c r="X4995" i="114"/>
  <c r="X4996" i="114"/>
  <c r="X4997" i="114"/>
  <c r="X4998" i="114"/>
  <c r="X4999" i="114"/>
  <c r="X5000" i="114"/>
  <c r="X5001" i="114"/>
  <c r="X5002" i="114"/>
  <c r="X5003" i="114"/>
  <c r="X5004" i="114"/>
  <c r="X5005" i="114"/>
  <c r="X5006" i="114"/>
  <c r="X5007" i="114"/>
  <c r="X5008" i="114"/>
  <c r="X5009" i="114"/>
  <c r="X5010" i="114"/>
  <c r="X5011" i="114"/>
  <c r="X5012" i="114"/>
  <c r="X5013" i="114"/>
  <c r="X5014" i="114"/>
  <c r="X5015" i="114"/>
  <c r="X5016" i="114"/>
  <c r="X5017" i="114"/>
  <c r="X5018" i="114"/>
  <c r="X5019" i="114"/>
  <c r="X5020" i="114"/>
  <c r="X5021" i="114"/>
  <c r="X5022" i="114"/>
  <c r="X5023" i="114"/>
  <c r="X5024" i="114"/>
  <c r="X5025" i="114"/>
  <c r="X5026" i="114"/>
  <c r="X5027" i="114"/>
  <c r="X5028" i="114"/>
  <c r="X5029" i="114"/>
  <c r="X5030" i="114"/>
  <c r="X5031" i="114"/>
  <c r="X5032" i="114"/>
  <c r="X5033" i="114"/>
  <c r="X5034" i="114"/>
  <c r="X5035" i="114"/>
  <c r="X5036" i="114"/>
  <c r="X5037" i="114"/>
  <c r="X5038" i="114"/>
  <c r="X5039" i="114"/>
  <c r="X5040" i="114"/>
  <c r="X5041" i="114"/>
  <c r="X5042" i="114"/>
  <c r="X5043" i="114"/>
  <c r="X5044" i="114"/>
  <c r="X5045" i="114"/>
  <c r="X5046" i="114"/>
  <c r="X5047" i="114"/>
  <c r="X5048" i="114"/>
  <c r="X5049" i="114"/>
  <c r="X5050" i="114"/>
  <c r="X5051" i="114"/>
  <c r="X5052" i="114"/>
  <c r="X5053" i="114"/>
  <c r="X5054" i="114"/>
  <c r="X5055" i="114"/>
  <c r="X5056" i="114"/>
  <c r="X5057" i="114"/>
  <c r="X5058" i="114"/>
  <c r="X5059" i="114"/>
  <c r="X5060" i="114"/>
  <c r="X5061" i="114"/>
  <c r="X5062" i="114"/>
  <c r="X5063" i="114"/>
  <c r="X5064" i="114"/>
  <c r="X5065" i="114"/>
  <c r="X5066" i="114"/>
  <c r="X5067" i="114"/>
  <c r="X5068" i="114"/>
  <c r="X5069" i="114"/>
  <c r="X5070" i="114"/>
  <c r="X5071" i="114"/>
  <c r="X5072" i="114"/>
  <c r="X5073" i="114"/>
  <c r="X5074" i="114"/>
  <c r="X5075" i="114"/>
  <c r="X5076" i="114"/>
  <c r="X5077" i="114"/>
  <c r="X5078" i="114"/>
  <c r="X5079" i="114"/>
  <c r="X5080" i="114"/>
  <c r="X5081" i="114"/>
  <c r="X5082" i="114"/>
  <c r="X5083" i="114"/>
  <c r="X5084" i="114"/>
  <c r="X5085" i="114"/>
  <c r="X5086" i="114"/>
  <c r="X5087" i="114"/>
  <c r="X5088" i="114"/>
  <c r="X5089" i="114"/>
  <c r="X5090" i="114"/>
  <c r="X5091" i="114"/>
  <c r="X5092" i="114"/>
  <c r="X5093" i="114"/>
  <c r="X5094" i="114"/>
  <c r="X5095" i="114"/>
  <c r="X5096" i="114"/>
  <c r="X5097" i="114"/>
  <c r="X5098" i="114"/>
  <c r="X5099" i="114"/>
  <c r="X5100" i="114"/>
  <c r="X5101" i="114"/>
  <c r="X5102" i="114"/>
  <c r="X5103" i="114"/>
  <c r="X5104" i="114"/>
  <c r="X5105" i="114"/>
  <c r="X5106" i="114"/>
  <c r="X5107" i="114"/>
  <c r="X5108" i="114"/>
  <c r="X5109" i="114"/>
  <c r="X5110" i="114"/>
  <c r="X5111" i="114"/>
  <c r="X5112" i="114"/>
  <c r="X5113" i="114"/>
  <c r="X5114" i="114"/>
  <c r="X5115" i="114"/>
  <c r="X5116" i="114"/>
  <c r="X5117" i="114"/>
  <c r="X5118" i="114"/>
  <c r="X5119" i="114"/>
  <c r="X5120" i="114"/>
  <c r="X5121" i="114"/>
  <c r="X5122" i="114"/>
  <c r="X5123" i="114"/>
  <c r="X5124" i="114"/>
  <c r="X5125" i="114"/>
  <c r="X5126" i="114"/>
  <c r="X5127" i="114"/>
  <c r="X5128" i="114"/>
  <c r="X5129" i="114"/>
  <c r="X5130" i="114"/>
  <c r="X5131" i="114"/>
  <c r="X5132" i="114"/>
  <c r="X5133" i="114"/>
  <c r="X5134" i="114"/>
  <c r="X5135" i="114"/>
  <c r="X5136" i="114"/>
  <c r="X5137" i="114"/>
  <c r="X5138" i="114"/>
  <c r="X5139" i="114"/>
  <c r="X5140" i="114"/>
  <c r="X5141" i="114"/>
  <c r="X5142" i="114"/>
  <c r="X5143" i="114"/>
  <c r="X5144" i="114"/>
  <c r="X5145" i="114"/>
  <c r="X5146" i="114"/>
  <c r="X5147" i="114"/>
  <c r="X5148" i="114"/>
  <c r="X5149" i="114"/>
  <c r="X5150" i="114"/>
  <c r="X5151" i="114"/>
  <c r="X5152" i="114"/>
  <c r="X5153" i="114"/>
  <c r="X5154" i="114"/>
  <c r="X5155" i="114"/>
  <c r="X5156" i="114"/>
  <c r="X5157" i="114"/>
  <c r="X5158" i="114"/>
  <c r="X5159" i="114"/>
  <c r="X5160" i="114"/>
  <c r="X5161" i="114"/>
  <c r="X5162" i="114"/>
  <c r="X5163" i="114"/>
  <c r="X5164" i="114"/>
  <c r="X5165" i="114"/>
  <c r="X5166" i="114"/>
  <c r="X5167" i="114"/>
  <c r="X5168" i="114"/>
  <c r="X5169" i="114"/>
  <c r="X5170" i="114"/>
  <c r="X5171" i="114"/>
  <c r="X5172" i="114"/>
  <c r="X5173" i="114"/>
  <c r="X5174" i="114"/>
  <c r="X5175" i="114"/>
  <c r="X5176" i="114"/>
  <c r="X5177" i="114"/>
  <c r="X5178" i="114"/>
  <c r="X5179" i="114"/>
  <c r="X5180" i="114"/>
  <c r="X5181" i="114"/>
  <c r="X5182" i="114"/>
  <c r="X5183" i="114"/>
  <c r="X5184" i="114"/>
  <c r="X5185" i="114"/>
  <c r="X5186" i="114"/>
  <c r="X5187" i="114"/>
  <c r="X5188" i="114"/>
  <c r="X5189" i="114"/>
  <c r="X5190" i="114"/>
  <c r="X5191" i="114"/>
  <c r="X5192" i="114"/>
  <c r="X5193" i="114"/>
  <c r="X5194" i="114"/>
  <c r="X5195" i="114"/>
  <c r="X5196" i="114"/>
  <c r="X5197" i="114"/>
  <c r="X5198" i="114"/>
  <c r="X5199" i="114"/>
  <c r="X5200" i="114"/>
  <c r="X5201" i="114"/>
  <c r="X5202" i="114"/>
  <c r="X5203" i="114"/>
  <c r="X5204" i="114"/>
  <c r="X5205" i="114"/>
  <c r="X5206" i="114"/>
  <c r="X5207" i="114"/>
  <c r="X5208" i="114"/>
  <c r="X5209" i="114"/>
  <c r="X5210" i="114"/>
  <c r="X5211" i="114"/>
  <c r="X5212" i="114"/>
  <c r="X5213" i="114"/>
  <c r="X5214" i="114"/>
  <c r="X5215" i="114"/>
  <c r="X5216" i="114"/>
  <c r="X5217" i="114"/>
  <c r="X5218" i="114"/>
  <c r="X5219" i="114"/>
  <c r="X5220" i="114"/>
  <c r="X5221" i="114"/>
  <c r="X5222" i="114"/>
  <c r="X5223" i="114"/>
  <c r="X5224" i="114"/>
  <c r="X5225" i="114"/>
  <c r="X5226" i="114"/>
  <c r="X5227" i="114"/>
  <c r="X5228" i="114"/>
  <c r="X5229" i="114"/>
  <c r="X5230" i="114"/>
  <c r="X5231" i="114"/>
  <c r="X5232" i="114"/>
  <c r="X5233" i="114"/>
  <c r="X5234" i="114"/>
  <c r="X5235" i="114"/>
  <c r="X5236" i="114"/>
  <c r="X5237" i="114"/>
  <c r="X5238" i="114"/>
  <c r="X5239" i="114"/>
  <c r="X5240" i="114"/>
  <c r="X5241" i="114"/>
  <c r="X5242" i="114"/>
  <c r="X5243" i="114"/>
  <c r="X5244" i="114"/>
  <c r="X5245" i="114"/>
  <c r="X5246" i="114"/>
  <c r="X5247" i="114"/>
  <c r="X5248" i="114"/>
  <c r="X5249" i="114"/>
  <c r="X5250" i="114"/>
  <c r="X5251" i="114"/>
  <c r="X5252" i="114"/>
  <c r="X5253" i="114"/>
  <c r="X5254" i="114"/>
  <c r="X5255" i="114"/>
  <c r="X5256" i="114"/>
  <c r="X5257" i="114"/>
  <c r="X5258" i="114"/>
  <c r="X5259" i="114"/>
  <c r="X5260" i="114"/>
  <c r="X5261" i="114"/>
  <c r="X5262" i="114"/>
  <c r="X5263" i="114"/>
  <c r="X5264" i="114"/>
  <c r="X5265" i="114"/>
  <c r="X5266" i="114"/>
  <c r="X5267" i="114"/>
  <c r="X5268" i="114"/>
  <c r="X5269" i="114"/>
  <c r="X5270" i="114"/>
  <c r="X5271" i="114"/>
  <c r="X5272" i="114"/>
  <c r="X5273" i="114"/>
  <c r="X5274" i="114"/>
  <c r="X5275" i="114"/>
  <c r="X5276" i="114"/>
  <c r="X5277" i="114"/>
  <c r="X5278" i="114"/>
  <c r="X5279" i="114"/>
  <c r="X5280" i="114"/>
  <c r="X5281" i="114"/>
  <c r="X5282" i="114"/>
  <c r="X5283" i="114"/>
  <c r="X5284" i="114"/>
  <c r="X5285" i="114"/>
  <c r="X5286" i="114"/>
  <c r="X5287" i="114"/>
  <c r="X5288" i="114"/>
  <c r="X5289" i="114"/>
  <c r="X5290" i="114"/>
  <c r="X5291" i="114"/>
  <c r="X5292" i="114"/>
  <c r="X5293" i="114"/>
  <c r="X5294" i="114"/>
  <c r="X5295" i="114"/>
  <c r="X5296" i="114"/>
  <c r="X5297" i="114"/>
  <c r="X5298" i="114"/>
  <c r="X5299" i="114"/>
  <c r="X5300" i="114"/>
  <c r="X5301" i="114"/>
  <c r="X5302" i="114"/>
  <c r="X5303" i="114"/>
  <c r="X5304" i="114"/>
  <c r="X5305" i="114"/>
  <c r="X5306" i="114"/>
  <c r="X5307" i="114"/>
  <c r="X5308" i="114"/>
  <c r="X5309" i="114"/>
  <c r="X5310" i="114"/>
  <c r="X5311" i="114"/>
  <c r="X5312" i="114"/>
  <c r="X5313" i="114"/>
  <c r="X5314" i="114"/>
  <c r="X5315" i="114"/>
  <c r="X5316" i="114"/>
  <c r="X5317" i="114"/>
  <c r="X5318" i="114"/>
  <c r="X5319" i="114"/>
  <c r="X5320" i="114"/>
  <c r="X5321" i="114"/>
  <c r="X5322" i="114"/>
  <c r="X5323" i="114"/>
  <c r="X5324" i="114"/>
  <c r="X5325" i="114"/>
  <c r="X5326" i="114"/>
  <c r="X5327" i="114"/>
  <c r="X5328" i="114"/>
  <c r="X5329" i="114"/>
  <c r="X5330" i="114"/>
  <c r="X5331" i="114"/>
  <c r="X5332" i="114"/>
  <c r="X5333" i="114"/>
  <c r="X5334" i="114"/>
  <c r="X5335" i="114"/>
  <c r="X5336" i="114"/>
  <c r="X5337" i="114"/>
  <c r="X5338" i="114"/>
  <c r="X5339" i="114"/>
  <c r="X5340" i="114"/>
  <c r="X5341" i="114"/>
  <c r="X5342" i="114"/>
  <c r="X5343" i="114"/>
  <c r="X5344" i="114"/>
  <c r="X5345" i="114"/>
  <c r="X5346" i="114"/>
  <c r="X5347" i="114"/>
  <c r="X5348" i="114"/>
  <c r="X5349" i="114"/>
  <c r="X5350" i="114"/>
  <c r="X5351" i="114"/>
  <c r="X5352" i="114"/>
  <c r="X5353" i="114"/>
  <c r="X5354" i="114"/>
  <c r="X5355" i="114"/>
  <c r="X5356" i="114"/>
  <c r="X5357" i="114"/>
  <c r="X5358" i="114"/>
  <c r="X5359" i="114"/>
  <c r="X5360" i="114"/>
  <c r="X5361" i="114"/>
  <c r="X5362" i="114"/>
  <c r="X5363" i="114"/>
  <c r="X5364" i="114"/>
  <c r="X5365" i="114"/>
  <c r="X5366" i="114"/>
  <c r="X5367" i="114"/>
  <c r="X5368" i="114"/>
  <c r="X5369" i="114"/>
  <c r="X5370" i="114"/>
  <c r="X5371" i="114"/>
  <c r="X5372" i="114"/>
  <c r="X5373" i="114"/>
  <c r="X5374" i="114"/>
  <c r="X5375" i="114"/>
  <c r="X5376" i="114"/>
  <c r="X5377" i="114"/>
  <c r="X5378" i="114"/>
  <c r="X5379" i="114"/>
  <c r="X5380" i="114"/>
  <c r="X5381" i="114"/>
  <c r="X5382" i="114"/>
  <c r="X5383" i="114"/>
  <c r="X5384" i="114"/>
  <c r="X5385" i="114"/>
  <c r="X5386" i="114"/>
  <c r="X5387" i="114"/>
  <c r="X5388" i="114"/>
  <c r="X5389" i="114"/>
  <c r="X5390" i="114"/>
  <c r="X5391" i="114"/>
  <c r="X5392" i="114"/>
  <c r="X5393" i="114"/>
  <c r="X5394" i="114"/>
  <c r="X5395" i="114"/>
  <c r="X5396" i="114"/>
  <c r="X5397" i="114"/>
  <c r="X5398" i="114"/>
  <c r="X5399" i="114"/>
  <c r="X5400" i="114"/>
  <c r="X5401" i="114"/>
  <c r="X5402" i="114"/>
  <c r="X5403" i="114"/>
  <c r="X5404" i="114"/>
  <c r="X5405" i="114"/>
  <c r="X5406" i="114"/>
  <c r="X5407" i="114"/>
  <c r="X5408" i="114"/>
  <c r="X5409" i="114"/>
  <c r="X5410" i="114"/>
  <c r="X5411" i="114"/>
  <c r="X5412" i="114"/>
  <c r="X5413" i="114"/>
  <c r="X5414" i="114"/>
  <c r="X5415" i="114"/>
  <c r="X5416" i="114"/>
  <c r="X5417" i="114"/>
  <c r="X5418" i="114"/>
  <c r="X5419" i="114"/>
  <c r="X5420" i="114"/>
  <c r="X5421" i="114"/>
  <c r="X5422" i="114"/>
  <c r="X5423" i="114"/>
  <c r="X5424" i="114"/>
  <c r="X5425" i="114"/>
  <c r="X5426" i="114"/>
  <c r="X5427" i="114"/>
  <c r="X5428" i="114"/>
  <c r="X5429" i="114"/>
  <c r="X5430" i="114"/>
  <c r="X5431" i="114"/>
  <c r="X5432" i="114"/>
  <c r="X5433" i="114"/>
  <c r="X5434" i="114"/>
  <c r="X5435" i="114"/>
  <c r="X5436" i="114"/>
  <c r="X5437" i="114"/>
  <c r="X5438" i="114"/>
  <c r="X5439" i="114"/>
  <c r="X5440" i="114"/>
  <c r="X5441" i="114"/>
  <c r="X5442" i="114"/>
  <c r="X5443" i="114"/>
  <c r="X5444" i="114"/>
  <c r="X5445" i="114"/>
  <c r="X5446" i="114"/>
  <c r="X5447" i="114"/>
  <c r="X5448" i="114"/>
  <c r="X5449" i="114"/>
  <c r="X5450" i="114"/>
  <c r="X5451" i="114"/>
  <c r="X5452" i="114"/>
  <c r="X5453" i="114"/>
  <c r="X5454" i="114"/>
  <c r="X5455" i="114"/>
  <c r="X5456" i="114"/>
  <c r="X5457" i="114"/>
  <c r="X5458" i="114"/>
  <c r="X5459" i="114"/>
  <c r="X5460" i="114"/>
  <c r="X5461" i="114"/>
  <c r="X5462" i="114"/>
  <c r="X5463" i="114"/>
  <c r="X5464" i="114"/>
  <c r="X5465" i="114"/>
  <c r="X5466" i="114"/>
  <c r="X5467" i="114"/>
  <c r="X5468" i="114"/>
  <c r="X5469" i="114"/>
  <c r="X5470" i="114"/>
  <c r="X5471" i="114"/>
  <c r="X5472" i="114"/>
  <c r="X5473" i="114"/>
  <c r="X5474" i="114"/>
  <c r="X5475" i="114"/>
  <c r="X5476" i="114"/>
  <c r="X5477" i="114"/>
  <c r="X5478" i="114"/>
  <c r="X5479" i="114"/>
  <c r="X5480" i="114"/>
  <c r="X5481" i="114"/>
  <c r="X5482" i="114"/>
  <c r="X5483" i="114"/>
  <c r="X5484" i="114"/>
  <c r="X5485" i="114"/>
  <c r="X5486" i="114"/>
  <c r="X5487" i="114"/>
  <c r="X5488" i="114"/>
  <c r="X5489" i="114"/>
  <c r="X5490" i="114"/>
  <c r="X5491" i="114"/>
  <c r="X5492" i="114"/>
  <c r="X5493" i="114"/>
  <c r="X5494" i="114"/>
  <c r="X5495" i="114"/>
  <c r="X5496" i="114"/>
  <c r="X5497" i="114"/>
  <c r="X5498" i="114"/>
  <c r="X5499" i="114"/>
  <c r="X5500" i="114"/>
  <c r="X5501" i="114"/>
  <c r="X5502" i="114"/>
  <c r="X5503" i="114"/>
  <c r="X5504" i="114"/>
  <c r="X5505" i="114"/>
  <c r="X5506" i="114"/>
  <c r="X5507" i="114"/>
  <c r="X5508" i="114"/>
  <c r="X5509" i="114"/>
  <c r="X5510" i="114"/>
  <c r="X5511" i="114"/>
  <c r="X5512" i="114"/>
  <c r="X5513" i="114"/>
  <c r="X5514" i="114"/>
  <c r="X5515" i="114"/>
  <c r="X5516" i="114"/>
  <c r="X5517" i="114"/>
  <c r="X5518" i="114"/>
  <c r="X5519" i="114"/>
  <c r="X5520" i="114"/>
  <c r="X5521" i="114"/>
  <c r="X5522" i="114"/>
  <c r="X5523" i="114"/>
  <c r="X5524" i="114"/>
  <c r="X5525" i="114"/>
  <c r="X5526" i="114"/>
  <c r="X5527" i="114"/>
  <c r="X5528" i="114"/>
  <c r="X5529" i="114"/>
  <c r="X5530" i="114"/>
  <c r="X5531" i="114"/>
  <c r="X5532" i="114"/>
  <c r="X5533" i="114"/>
  <c r="X5534" i="114"/>
  <c r="X5535" i="114"/>
  <c r="X5536" i="114"/>
  <c r="X5537" i="114"/>
  <c r="X5538" i="114"/>
  <c r="X5539" i="114"/>
  <c r="X5540" i="114"/>
  <c r="X5541" i="114"/>
  <c r="X5542" i="114"/>
  <c r="X5543" i="114"/>
  <c r="X5544" i="114"/>
  <c r="X5545" i="114"/>
  <c r="X5546" i="114"/>
  <c r="X5547" i="114"/>
  <c r="X5548" i="114"/>
  <c r="X5549" i="114"/>
  <c r="X5550" i="114"/>
  <c r="X5551" i="114"/>
  <c r="X5552" i="114"/>
  <c r="X5553" i="114"/>
  <c r="X5554" i="114"/>
  <c r="X5555" i="114"/>
  <c r="X5556" i="114"/>
  <c r="X5557" i="114"/>
  <c r="X5558" i="114"/>
  <c r="X5559" i="114"/>
  <c r="X5560" i="114"/>
  <c r="X5561" i="114"/>
  <c r="X5562" i="114"/>
  <c r="X5563" i="114"/>
  <c r="X5564" i="114"/>
  <c r="X5565" i="114"/>
  <c r="X5566" i="114"/>
  <c r="X5567" i="114"/>
  <c r="X5568" i="114"/>
  <c r="X5569" i="114"/>
  <c r="X5570" i="114"/>
  <c r="X5571" i="114"/>
  <c r="X5572" i="114"/>
  <c r="X5573" i="114"/>
  <c r="X5574" i="114"/>
  <c r="X5575" i="114"/>
  <c r="X5576" i="114"/>
  <c r="X5577" i="114"/>
  <c r="X5578" i="114"/>
  <c r="X5579" i="114"/>
  <c r="X5580" i="114"/>
  <c r="X5581" i="114"/>
  <c r="X5582" i="114"/>
  <c r="X5583" i="114"/>
  <c r="X5584" i="114"/>
  <c r="X5585" i="114"/>
  <c r="X5586" i="114"/>
  <c r="X5587" i="114"/>
  <c r="X5588" i="114"/>
  <c r="X5589" i="114"/>
  <c r="X5590" i="114"/>
  <c r="X5591" i="114"/>
  <c r="X5592" i="114"/>
  <c r="X5593" i="114"/>
  <c r="X5594" i="114"/>
  <c r="X5595" i="114"/>
  <c r="X5596" i="114"/>
  <c r="X5597" i="114"/>
  <c r="X5598" i="114"/>
  <c r="X5599" i="114"/>
  <c r="X5600" i="114"/>
  <c r="X5601" i="114"/>
  <c r="X5602" i="114"/>
  <c r="X5603" i="114"/>
  <c r="X5604" i="114"/>
  <c r="X5605" i="114"/>
  <c r="X5606" i="114"/>
  <c r="X5607" i="114"/>
  <c r="X5608" i="114"/>
  <c r="X5609" i="114"/>
  <c r="X5610" i="114"/>
  <c r="X5611" i="114"/>
  <c r="X5612" i="114"/>
  <c r="X5613" i="114"/>
  <c r="X5614" i="114"/>
  <c r="X5615" i="114"/>
  <c r="X5616" i="114"/>
  <c r="X5617" i="114"/>
  <c r="X5618" i="114"/>
  <c r="X5619" i="114"/>
  <c r="X5620" i="114"/>
  <c r="X5621" i="114"/>
  <c r="X5622" i="114"/>
  <c r="X5623" i="114"/>
  <c r="X5624" i="114"/>
  <c r="X5625" i="114"/>
  <c r="X5626" i="114"/>
  <c r="X5627" i="114"/>
  <c r="X5628" i="114"/>
  <c r="X5629" i="114"/>
  <c r="X5630" i="114"/>
  <c r="X5631" i="114"/>
  <c r="X5632" i="114"/>
  <c r="X5633" i="114"/>
  <c r="X5634" i="114"/>
  <c r="X5635" i="114"/>
  <c r="X5636" i="114"/>
  <c r="X5637" i="114"/>
  <c r="X5638" i="114"/>
  <c r="X5639" i="114"/>
  <c r="X5640" i="114"/>
  <c r="X5641" i="114"/>
  <c r="X5642" i="114"/>
  <c r="X5643" i="114"/>
  <c r="X5644" i="114"/>
  <c r="X5645" i="114"/>
  <c r="X5646" i="114"/>
  <c r="X5647" i="114"/>
  <c r="X5648" i="114"/>
  <c r="X5649" i="114"/>
  <c r="X5650" i="114"/>
  <c r="X5651" i="114"/>
  <c r="X5652" i="114"/>
  <c r="X5653" i="114"/>
  <c r="X5654" i="114"/>
  <c r="X5655" i="114"/>
  <c r="X5656" i="114"/>
  <c r="X5657" i="114"/>
  <c r="X5658" i="114"/>
  <c r="X5659" i="114"/>
  <c r="X5660" i="114"/>
  <c r="X5661" i="114"/>
  <c r="X5662" i="114"/>
  <c r="X5663" i="114"/>
  <c r="X5664" i="114"/>
  <c r="X5665" i="114"/>
  <c r="X5666" i="114"/>
  <c r="X5667" i="114"/>
  <c r="X5668" i="114"/>
  <c r="X5669" i="114"/>
  <c r="X5670" i="114"/>
  <c r="X5671" i="114"/>
  <c r="X5672" i="114"/>
  <c r="X5673" i="114"/>
  <c r="X5674" i="114"/>
  <c r="X5675" i="114"/>
  <c r="X5676" i="114"/>
  <c r="X5677" i="114"/>
  <c r="X5678" i="114"/>
  <c r="X5679" i="114"/>
  <c r="X5680" i="114"/>
  <c r="X5681" i="114"/>
  <c r="X5682" i="114"/>
  <c r="X5683" i="114"/>
  <c r="X5684" i="114"/>
  <c r="X5685" i="114"/>
  <c r="X5686" i="114"/>
  <c r="X5687" i="114"/>
  <c r="X5688" i="114"/>
  <c r="X5689" i="114"/>
  <c r="X5690" i="114"/>
  <c r="X5691" i="114"/>
  <c r="X5692" i="114"/>
  <c r="X5693" i="114"/>
  <c r="X5694" i="114"/>
  <c r="X5695" i="114"/>
  <c r="X5696" i="114"/>
  <c r="X5697" i="114"/>
  <c r="X5698" i="114"/>
  <c r="X5699" i="114"/>
  <c r="X5700" i="114"/>
  <c r="X5701" i="114"/>
  <c r="X5702" i="114"/>
  <c r="X5703" i="114"/>
  <c r="X5704" i="114"/>
  <c r="X5705" i="114"/>
  <c r="X5706" i="114"/>
  <c r="X5707" i="114"/>
  <c r="X5708" i="114"/>
  <c r="X5709" i="114"/>
  <c r="X5710" i="114"/>
  <c r="X5711" i="114"/>
  <c r="X5712" i="114"/>
  <c r="X5713" i="114"/>
  <c r="X5714" i="114"/>
  <c r="X5715" i="114"/>
  <c r="X5716" i="114"/>
  <c r="X5717" i="114"/>
  <c r="X5718" i="114"/>
  <c r="X5719" i="114"/>
  <c r="X5720" i="114"/>
  <c r="X5721" i="114"/>
  <c r="X5722" i="114"/>
  <c r="X5723" i="114"/>
  <c r="X5724" i="114"/>
  <c r="X5725" i="114"/>
  <c r="X5726" i="114"/>
  <c r="X5727" i="114"/>
  <c r="X5728" i="114"/>
  <c r="X5729" i="114"/>
  <c r="X5730" i="114"/>
  <c r="X5731" i="114"/>
  <c r="X5732" i="114"/>
  <c r="X5733" i="114"/>
  <c r="X5734" i="114"/>
  <c r="X5735" i="114"/>
  <c r="X5736" i="114"/>
  <c r="X5737" i="114"/>
  <c r="X5738" i="114"/>
  <c r="X5739" i="114"/>
  <c r="X5740" i="114"/>
  <c r="X5741" i="114"/>
  <c r="X5742" i="114"/>
  <c r="X5743" i="114"/>
  <c r="X5744" i="114"/>
  <c r="X5745" i="114"/>
  <c r="X5746" i="114"/>
  <c r="X5747" i="114"/>
  <c r="X5748" i="114"/>
  <c r="X5749" i="114"/>
  <c r="X5750" i="114"/>
  <c r="X5751" i="114"/>
  <c r="X5752" i="114"/>
  <c r="X5753" i="114"/>
  <c r="X5754" i="114"/>
  <c r="X5755" i="114"/>
  <c r="X5756" i="114"/>
  <c r="X5757" i="114"/>
  <c r="X5758" i="114"/>
  <c r="X5759" i="114"/>
  <c r="X5760" i="114"/>
  <c r="X5761" i="114"/>
  <c r="X5762" i="114"/>
  <c r="X5763" i="114"/>
  <c r="X5764" i="114"/>
  <c r="X5765" i="114"/>
  <c r="X5766" i="114"/>
  <c r="X5767" i="114"/>
  <c r="X5768" i="114"/>
  <c r="X5769" i="114"/>
  <c r="X5770" i="114"/>
  <c r="X5771" i="114"/>
  <c r="X5772" i="114"/>
  <c r="X5773" i="114"/>
  <c r="X5774" i="114"/>
  <c r="X5775" i="114"/>
  <c r="X5776" i="114"/>
  <c r="X5777" i="114"/>
  <c r="X5778" i="114"/>
  <c r="X5779" i="114"/>
  <c r="X5780" i="114"/>
  <c r="X5781" i="114"/>
  <c r="X5782" i="114"/>
  <c r="X5783" i="114"/>
  <c r="X5784" i="114"/>
  <c r="X5785" i="114"/>
  <c r="X5786" i="114"/>
  <c r="X5787" i="114"/>
  <c r="X5788" i="114"/>
  <c r="X5789" i="114"/>
  <c r="X5790" i="114"/>
  <c r="X5791" i="114"/>
  <c r="X5792" i="114"/>
  <c r="X5793" i="114"/>
  <c r="X5794" i="114"/>
  <c r="X5795" i="114"/>
  <c r="X5796" i="114"/>
  <c r="X5797" i="114"/>
  <c r="X5798" i="114"/>
  <c r="X5799" i="114"/>
  <c r="X5800" i="114"/>
  <c r="X5801" i="114"/>
  <c r="X5802" i="114"/>
  <c r="X5803" i="114"/>
  <c r="X5804" i="114"/>
  <c r="X5805" i="114"/>
  <c r="X5806" i="114"/>
  <c r="X5807" i="114"/>
  <c r="X5808" i="114"/>
  <c r="X5809" i="114"/>
  <c r="X5810" i="114"/>
  <c r="X5811" i="114"/>
  <c r="X5812" i="114"/>
  <c r="X5813" i="114"/>
  <c r="X5814" i="114"/>
  <c r="X5815" i="114"/>
  <c r="X5816" i="114"/>
  <c r="X5817" i="114"/>
  <c r="X5818" i="114"/>
  <c r="X5819" i="114"/>
  <c r="X5820" i="114"/>
  <c r="X5821" i="114"/>
  <c r="X5822" i="114"/>
  <c r="X5823" i="114"/>
  <c r="X5824" i="114"/>
  <c r="X5825" i="114"/>
  <c r="X5826" i="114"/>
  <c r="X5827" i="114"/>
  <c r="X5828" i="114"/>
  <c r="X5829" i="114"/>
  <c r="X5830" i="114"/>
  <c r="X5831" i="114"/>
  <c r="X5832" i="114"/>
  <c r="X5833" i="114"/>
  <c r="X5834" i="114"/>
  <c r="X5835" i="114"/>
  <c r="X5836" i="114"/>
  <c r="X5837" i="114"/>
  <c r="X5838" i="114"/>
  <c r="X5839" i="114"/>
  <c r="X5840" i="114"/>
  <c r="X5841" i="114"/>
  <c r="X5842" i="114"/>
  <c r="X5843" i="114"/>
  <c r="X5844" i="114"/>
  <c r="X5845" i="114"/>
  <c r="X5846" i="114"/>
  <c r="X5847" i="114"/>
  <c r="X5848" i="114"/>
  <c r="X5849" i="114"/>
  <c r="X5850" i="114"/>
  <c r="X5851" i="114"/>
  <c r="X5852" i="114"/>
  <c r="X5853" i="114"/>
  <c r="X5854" i="114"/>
  <c r="X5855" i="114"/>
  <c r="X5856" i="114"/>
  <c r="X5857" i="114"/>
  <c r="X5858" i="114"/>
  <c r="X5859" i="114"/>
  <c r="X5860" i="114"/>
  <c r="X5861" i="114"/>
  <c r="X5862" i="114"/>
  <c r="X5863" i="114"/>
  <c r="X5864" i="114"/>
  <c r="X5865" i="114"/>
  <c r="X5866" i="114"/>
  <c r="X5867" i="114"/>
  <c r="X5868" i="114"/>
  <c r="X5869" i="114"/>
  <c r="X5870" i="114"/>
  <c r="X5871" i="114"/>
  <c r="X5872" i="114"/>
  <c r="X5873" i="114"/>
  <c r="X5874" i="114"/>
  <c r="X5875" i="114"/>
  <c r="X5876" i="114"/>
  <c r="X5877" i="114"/>
  <c r="X5878" i="114"/>
  <c r="X5879" i="114"/>
  <c r="X5880" i="114"/>
  <c r="X5881" i="114"/>
  <c r="X5882" i="114"/>
  <c r="X5883" i="114"/>
  <c r="X5884" i="114"/>
  <c r="X5885" i="114"/>
  <c r="X5886" i="114"/>
  <c r="X5887" i="114"/>
  <c r="X5888" i="114"/>
  <c r="X5889" i="114"/>
  <c r="X5890" i="114"/>
  <c r="X5891" i="114"/>
  <c r="X5892" i="114"/>
  <c r="X5893" i="114"/>
  <c r="X5894" i="114"/>
  <c r="X5895" i="114"/>
  <c r="X5896" i="114"/>
  <c r="X5897" i="114"/>
  <c r="X5898" i="114"/>
  <c r="X5899" i="114"/>
  <c r="X5900" i="114"/>
  <c r="X5901" i="114"/>
  <c r="X5902" i="114"/>
  <c r="X5903" i="114"/>
  <c r="X5904" i="114"/>
  <c r="X5905" i="114"/>
  <c r="X5906" i="114"/>
  <c r="X5907" i="114"/>
  <c r="X5908" i="114"/>
  <c r="X5909" i="114"/>
  <c r="X5910" i="114"/>
  <c r="X5911" i="114"/>
  <c r="X5912" i="114"/>
  <c r="X5913" i="114"/>
  <c r="X5914" i="114"/>
  <c r="X5915" i="114"/>
  <c r="X5916" i="114"/>
  <c r="X5917" i="114"/>
  <c r="X5918" i="114"/>
  <c r="X5919" i="114"/>
  <c r="X5920" i="114"/>
  <c r="X5921" i="114"/>
  <c r="X5922" i="114"/>
  <c r="X5923" i="114"/>
  <c r="X5924" i="114"/>
  <c r="X5925" i="114"/>
  <c r="X5926" i="114"/>
  <c r="X5927" i="114"/>
  <c r="X5928" i="114"/>
  <c r="X5929" i="114"/>
  <c r="X5930" i="114"/>
  <c r="X5931" i="114"/>
  <c r="X5932" i="114"/>
  <c r="X5933" i="114"/>
  <c r="X5934" i="114"/>
  <c r="X5935" i="114"/>
  <c r="X5936" i="114"/>
  <c r="X5937" i="114"/>
  <c r="X5938" i="114"/>
  <c r="X5939" i="114"/>
  <c r="X5940" i="114"/>
  <c r="X5941" i="114"/>
  <c r="X5942" i="114"/>
  <c r="X5943" i="114"/>
  <c r="X5944" i="114"/>
  <c r="X5945" i="114"/>
  <c r="X5946" i="114"/>
  <c r="X5947" i="114"/>
  <c r="X5948" i="114"/>
  <c r="X5949" i="114"/>
  <c r="X5950" i="114"/>
  <c r="X5951" i="114"/>
  <c r="X5952" i="114"/>
  <c r="X5953" i="114"/>
  <c r="X5954" i="114"/>
  <c r="X5955" i="114"/>
  <c r="X5956" i="114"/>
  <c r="X5957" i="114"/>
  <c r="X5958" i="114"/>
  <c r="X5959" i="114"/>
  <c r="X5960" i="114"/>
  <c r="X5961" i="114"/>
  <c r="X5962" i="114"/>
  <c r="X5963" i="114"/>
  <c r="X5964" i="114"/>
  <c r="X5965" i="114"/>
  <c r="X5966" i="114"/>
  <c r="X5967" i="114"/>
  <c r="X5968" i="114"/>
  <c r="X5969" i="114"/>
  <c r="X5970" i="114"/>
  <c r="X5971" i="114"/>
  <c r="X5972" i="114"/>
  <c r="X5973" i="114"/>
  <c r="X5974" i="114"/>
  <c r="X5975" i="114"/>
  <c r="X5976" i="114"/>
  <c r="X5977" i="114"/>
  <c r="X5978" i="114"/>
  <c r="X5979" i="114"/>
  <c r="X5980" i="114"/>
  <c r="X5981" i="114"/>
  <c r="X5982" i="114"/>
  <c r="X5983" i="114"/>
  <c r="X5984" i="114"/>
  <c r="X5985" i="114"/>
  <c r="X5986" i="114"/>
  <c r="X5987" i="114"/>
  <c r="X5988" i="114"/>
  <c r="X5989" i="114"/>
  <c r="X5990" i="114"/>
  <c r="X5991" i="114"/>
  <c r="X5992" i="114"/>
  <c r="X5993" i="114"/>
  <c r="X5994" i="114"/>
  <c r="X5995" i="114"/>
  <c r="X5996" i="114"/>
  <c r="X5997" i="114"/>
  <c r="X5998" i="114"/>
  <c r="X5999" i="114"/>
  <c r="X6000" i="114"/>
  <c r="X6001" i="114"/>
  <c r="X6002" i="114"/>
  <c r="X6003" i="114"/>
  <c r="X6004" i="114"/>
  <c r="X6005" i="114"/>
  <c r="X6006" i="114"/>
  <c r="X6007" i="114"/>
  <c r="X6008" i="114"/>
  <c r="X6009" i="114"/>
  <c r="X6010" i="114"/>
  <c r="X6011" i="114"/>
  <c r="X6012" i="114"/>
  <c r="X6013" i="114"/>
  <c r="X6014" i="114"/>
  <c r="X6015" i="114"/>
  <c r="X6016" i="114"/>
  <c r="X6017" i="114"/>
  <c r="X6018" i="114"/>
  <c r="X6019" i="114"/>
  <c r="X6020" i="114"/>
  <c r="X6021" i="114"/>
  <c r="X6022" i="114"/>
  <c r="X6023" i="114"/>
  <c r="X6024" i="114"/>
  <c r="X6025" i="114"/>
  <c r="X6026" i="114"/>
  <c r="X6027" i="114"/>
  <c r="X6028" i="114"/>
  <c r="X6029" i="114"/>
  <c r="X6030" i="114"/>
  <c r="X6031" i="114"/>
  <c r="X6032" i="114"/>
  <c r="X6033" i="114"/>
  <c r="X6034" i="114"/>
  <c r="X6035" i="114"/>
  <c r="X6036" i="114"/>
  <c r="X6037" i="114"/>
  <c r="X6038" i="114"/>
  <c r="X6039" i="114"/>
  <c r="X6040" i="114"/>
  <c r="X6041" i="114"/>
  <c r="X6042" i="114"/>
  <c r="X6043" i="114"/>
  <c r="X6044" i="114"/>
  <c r="X6045" i="114"/>
  <c r="X6046" i="114"/>
  <c r="X6047" i="114"/>
  <c r="X6048" i="114"/>
  <c r="X6049" i="114"/>
  <c r="X6050" i="114"/>
  <c r="X6051" i="114"/>
  <c r="X6052" i="114"/>
  <c r="X6053" i="114"/>
  <c r="X6054" i="114"/>
  <c r="X6055" i="114"/>
  <c r="X6056" i="114"/>
  <c r="X6057" i="114"/>
  <c r="X6058" i="114"/>
  <c r="X6059" i="114"/>
  <c r="X6060" i="114"/>
  <c r="X6061" i="114"/>
  <c r="X6062" i="114"/>
  <c r="X6063" i="114"/>
  <c r="X6064" i="114"/>
  <c r="X6065" i="114"/>
  <c r="X6066" i="114"/>
  <c r="X6067" i="114"/>
  <c r="X6068" i="114"/>
  <c r="X6069" i="114"/>
  <c r="X6070" i="114"/>
  <c r="X6071" i="114"/>
  <c r="X6072" i="114"/>
  <c r="X6073" i="114"/>
  <c r="X6074" i="114"/>
  <c r="X6075" i="114"/>
  <c r="X6076" i="114"/>
  <c r="X6077" i="114"/>
  <c r="X6078" i="114"/>
  <c r="X6079" i="114"/>
  <c r="X6080" i="114"/>
  <c r="X6081" i="114"/>
  <c r="X6082" i="114"/>
  <c r="X6083" i="114"/>
  <c r="X6084" i="114"/>
  <c r="X6085" i="114"/>
  <c r="X6086" i="114"/>
  <c r="X6087" i="114"/>
  <c r="X6088" i="114"/>
  <c r="X6089" i="114"/>
  <c r="X6090" i="114"/>
  <c r="X6091" i="114"/>
  <c r="X6092" i="114"/>
  <c r="X6093" i="114"/>
  <c r="X6094" i="114"/>
  <c r="X6095" i="114"/>
  <c r="X6096" i="114"/>
  <c r="X6097" i="114"/>
  <c r="X6098" i="114"/>
  <c r="X6099" i="114"/>
  <c r="X6100" i="114"/>
  <c r="X6101" i="114"/>
  <c r="X6102" i="114"/>
  <c r="X6103" i="114"/>
  <c r="X6104" i="114"/>
  <c r="X6105" i="114"/>
  <c r="X6106" i="114"/>
  <c r="X6107" i="114"/>
  <c r="X6108" i="114"/>
  <c r="X6109" i="114"/>
  <c r="X6110" i="114"/>
  <c r="X6111" i="114"/>
  <c r="X6112" i="114"/>
  <c r="X6113" i="114"/>
  <c r="X6114" i="114"/>
  <c r="X6115" i="114"/>
  <c r="X6116" i="114"/>
  <c r="X6117" i="114"/>
  <c r="X6118" i="114"/>
  <c r="X6119" i="114"/>
  <c r="X6120" i="114"/>
  <c r="X6121" i="114"/>
  <c r="X6122" i="114"/>
  <c r="X6123" i="114"/>
  <c r="X6124" i="114"/>
  <c r="X6125" i="114"/>
  <c r="X6126" i="114"/>
  <c r="X6127" i="114"/>
  <c r="X6128" i="114"/>
  <c r="X6129" i="114"/>
  <c r="X6130" i="114"/>
  <c r="X6131" i="114"/>
  <c r="X6132" i="114"/>
  <c r="X6133" i="114"/>
  <c r="X6134" i="114"/>
  <c r="X6135" i="114"/>
  <c r="X6136" i="114"/>
  <c r="X6137" i="114"/>
  <c r="X6138" i="114"/>
  <c r="X6139" i="114"/>
  <c r="X6140" i="114"/>
  <c r="X6141" i="114"/>
  <c r="X6142" i="114"/>
  <c r="X6143" i="114"/>
  <c r="X6144" i="114"/>
  <c r="X6145" i="114"/>
  <c r="X6146" i="114"/>
  <c r="X6147" i="114"/>
  <c r="X6148" i="114"/>
  <c r="X6149" i="114"/>
  <c r="X6150" i="114"/>
  <c r="X6151" i="114"/>
  <c r="X6152" i="114"/>
  <c r="X6153" i="114"/>
  <c r="X6154" i="114"/>
  <c r="X6155" i="114"/>
  <c r="X6156" i="114"/>
  <c r="X6157" i="114"/>
  <c r="X6158" i="114"/>
  <c r="X6159" i="114"/>
  <c r="X6160" i="114"/>
  <c r="X6161" i="114"/>
  <c r="X6162" i="114"/>
  <c r="X6163" i="114"/>
  <c r="X6164" i="114"/>
  <c r="X6165" i="114"/>
  <c r="X6166" i="114"/>
  <c r="X6167" i="114"/>
  <c r="X6168" i="114"/>
  <c r="X6169" i="114"/>
  <c r="X6170" i="114"/>
  <c r="X6171" i="114"/>
  <c r="X6172" i="114"/>
  <c r="X6173" i="114"/>
  <c r="X6174" i="114"/>
  <c r="X6175" i="114"/>
  <c r="X6176" i="114"/>
  <c r="X6177" i="114"/>
  <c r="X6178" i="114"/>
  <c r="X6179" i="114"/>
  <c r="X6180" i="114"/>
  <c r="X6181" i="114"/>
  <c r="X6182" i="114"/>
  <c r="X6183" i="114"/>
  <c r="X6184" i="114"/>
  <c r="X6185" i="114"/>
  <c r="X6186" i="114"/>
  <c r="X6187" i="114"/>
  <c r="X6188" i="114"/>
  <c r="X6189" i="114"/>
  <c r="X6190" i="114"/>
  <c r="X6191" i="114"/>
  <c r="X6192" i="114"/>
  <c r="X6193" i="114"/>
  <c r="X6194" i="114"/>
  <c r="X6195" i="114"/>
  <c r="X6196" i="114"/>
  <c r="X6197" i="114"/>
  <c r="X6198" i="114"/>
  <c r="X6199" i="114"/>
  <c r="X6200" i="114"/>
  <c r="X6201" i="114"/>
  <c r="X6202" i="114"/>
  <c r="X6203" i="114"/>
  <c r="X6204" i="114"/>
  <c r="X6205" i="114"/>
  <c r="X6206" i="114"/>
  <c r="X6207" i="114"/>
  <c r="X6208" i="114"/>
  <c r="X6209" i="114"/>
  <c r="X6210" i="114"/>
  <c r="X6211" i="114"/>
  <c r="X6212" i="114"/>
  <c r="X6213" i="114"/>
  <c r="X6214" i="114"/>
  <c r="X6215" i="114"/>
  <c r="X6216" i="114"/>
  <c r="X6217" i="114"/>
  <c r="X6218" i="114"/>
  <c r="X6219" i="114"/>
  <c r="X6220" i="114"/>
  <c r="X6221" i="114"/>
  <c r="X6222" i="114"/>
  <c r="X6223" i="114"/>
  <c r="X6224" i="114"/>
  <c r="X6225" i="114"/>
  <c r="X6226" i="114"/>
  <c r="X6227" i="114"/>
  <c r="X6228" i="114"/>
  <c r="X6229" i="114"/>
  <c r="X6230" i="114"/>
  <c r="X6231" i="114"/>
  <c r="X6232" i="114"/>
  <c r="X6233" i="114"/>
  <c r="X6234" i="114"/>
  <c r="X6235" i="114"/>
  <c r="X6236" i="114"/>
  <c r="X6237" i="114"/>
  <c r="X6238" i="114"/>
  <c r="X6239" i="114"/>
  <c r="X6240" i="114"/>
  <c r="X6241" i="114"/>
  <c r="X6242" i="114"/>
  <c r="X6243" i="114"/>
  <c r="X6244" i="114"/>
  <c r="X6245" i="114"/>
  <c r="X6246" i="114"/>
  <c r="X6247" i="114"/>
  <c r="X6248" i="114"/>
  <c r="X6249" i="114"/>
  <c r="X6250" i="114"/>
  <c r="X6251" i="114"/>
  <c r="X6252" i="114"/>
  <c r="X6253" i="114"/>
  <c r="X6254" i="114"/>
  <c r="X6255" i="114"/>
  <c r="X6256" i="114"/>
  <c r="X6257" i="114"/>
  <c r="X6258" i="114"/>
  <c r="X6259" i="114"/>
  <c r="X6260" i="114"/>
  <c r="X6261" i="114"/>
  <c r="X6262" i="114"/>
  <c r="X6263" i="114"/>
  <c r="X6264" i="114"/>
  <c r="X6265" i="114"/>
  <c r="X6266" i="114"/>
  <c r="X6267" i="114"/>
  <c r="X6268" i="114"/>
  <c r="X6269" i="114"/>
  <c r="X6270" i="114"/>
  <c r="X6271" i="114"/>
  <c r="X6272" i="114"/>
  <c r="X6273" i="114"/>
  <c r="X6274" i="114"/>
  <c r="X6275" i="114"/>
  <c r="X6276" i="114"/>
  <c r="X6277" i="114"/>
  <c r="X6278" i="114"/>
  <c r="X6279" i="114"/>
  <c r="X6280" i="114"/>
  <c r="X6281" i="114"/>
  <c r="X6282" i="114"/>
  <c r="X6283" i="114"/>
  <c r="X6284" i="114"/>
  <c r="X6285" i="114"/>
  <c r="X6286" i="114"/>
  <c r="X6287" i="114"/>
  <c r="X6288" i="114"/>
  <c r="X6289" i="114"/>
  <c r="X6290" i="114"/>
  <c r="X6291" i="114"/>
  <c r="X6292" i="114"/>
  <c r="X6293" i="114"/>
  <c r="X6294" i="114"/>
  <c r="X6295" i="114"/>
  <c r="X6296" i="114"/>
  <c r="X6297" i="114"/>
  <c r="X6298" i="114"/>
  <c r="X6299" i="114"/>
  <c r="X6300" i="114"/>
  <c r="X6301" i="114"/>
  <c r="X6302" i="114"/>
  <c r="X6303" i="114"/>
  <c r="X6304" i="114"/>
  <c r="X6305" i="114"/>
  <c r="X6306" i="114"/>
  <c r="X6307" i="114"/>
  <c r="X6308" i="114"/>
  <c r="X6309" i="114"/>
  <c r="X6310" i="114"/>
  <c r="X6311" i="114"/>
  <c r="X6312" i="114"/>
  <c r="X6313" i="114"/>
  <c r="G2" i="42" a="1"/>
  <c r="G2" i="42" s="1"/>
  <c r="G3" i="42" a="1"/>
  <c r="G3" i="42" s="1"/>
  <c r="G4" i="42" a="1"/>
  <c r="G4" i="42" s="1"/>
  <c r="G5" i="42" a="1"/>
  <c r="G5" i="42" s="1"/>
  <c r="G6" i="42" a="1"/>
  <c r="G6" i="42" s="1"/>
  <c r="G7" i="42" a="1"/>
  <c r="G7" i="42" s="1"/>
  <c r="G8" i="42" a="1"/>
  <c r="G8" i="42" s="1"/>
  <c r="G9" i="42" a="1"/>
  <c r="G9" i="42" s="1"/>
  <c r="G10" i="42" a="1"/>
  <c r="G10" i="42" s="1"/>
  <c r="G11" i="42" a="1"/>
  <c r="G11" i="42" s="1"/>
  <c r="G12" i="42" a="1"/>
  <c r="G12" i="42" s="1"/>
  <c r="G13" i="42" a="1"/>
  <c r="G13" i="42" s="1"/>
  <c r="G14" i="42" a="1"/>
  <c r="G14" i="42"/>
  <c r="G15" i="42" a="1"/>
  <c r="G15" i="42" s="1"/>
  <c r="G16" i="42" a="1"/>
  <c r="G16" i="42" s="1"/>
  <c r="G17" i="42" a="1"/>
  <c r="G17" i="42" s="1"/>
  <c r="G18" i="42" a="1"/>
  <c r="G18" i="42" s="1"/>
  <c r="G19" i="42" a="1"/>
  <c r="G19" i="42" s="1"/>
  <c r="G20" i="42" a="1"/>
  <c r="G20" i="42" s="1"/>
  <c r="G21" i="42" a="1"/>
  <c r="G21" i="42"/>
  <c r="G22" i="42" a="1"/>
  <c r="G22" i="42"/>
  <c r="G23" i="42" a="1"/>
  <c r="G23" i="42" s="1"/>
  <c r="G24" i="42" a="1"/>
  <c r="G24" i="42" s="1"/>
  <c r="G25" i="42" a="1"/>
  <c r="G25" i="42" s="1"/>
  <c r="G26" i="42" a="1"/>
  <c r="G26" i="42" s="1"/>
  <c r="G27" i="42" a="1"/>
  <c r="G27" i="42" s="1"/>
  <c r="G28" i="42" a="1"/>
  <c r="G28" i="42" s="1"/>
  <c r="G29" i="42" a="1"/>
  <c r="G29" i="42" s="1"/>
  <c r="G30" i="42" a="1"/>
  <c r="G30" i="42" s="1"/>
  <c r="G31" i="42" a="1"/>
  <c r="G31" i="42" s="1"/>
  <c r="G32" i="42" a="1"/>
  <c r="G32" i="42"/>
  <c r="G33" i="42" a="1"/>
  <c r="G33" i="42"/>
  <c r="G34" i="42" a="1"/>
  <c r="G34" i="42" s="1"/>
  <c r="G35" i="42" a="1"/>
  <c r="G35" i="42" s="1"/>
  <c r="G36" i="42" a="1"/>
  <c r="G36" i="42"/>
  <c r="G37" i="42" a="1"/>
  <c r="G37" i="42" s="1"/>
  <c r="G38" i="42" a="1"/>
  <c r="G38" i="42" s="1"/>
  <c r="G39" i="42" a="1"/>
  <c r="G39" i="42" s="1"/>
  <c r="G40" i="42" a="1"/>
  <c r="G40" i="42" s="1"/>
  <c r="G41" i="42" a="1"/>
  <c r="G41" i="42" s="1"/>
  <c r="G42" i="42" a="1"/>
  <c r="G42" i="42" s="1"/>
  <c r="G43" i="42" a="1"/>
  <c r="G43" i="42" s="1"/>
  <c r="G44" i="42" a="1"/>
  <c r="G44" i="42"/>
  <c r="G45" i="42" a="1"/>
  <c r="G45" i="42"/>
  <c r="G46" i="42" a="1"/>
  <c r="G46" i="42" s="1"/>
  <c r="G47" i="42" a="1"/>
  <c r="G47" i="42"/>
  <c r="G48" i="42" a="1"/>
  <c r="G48" i="42" s="1"/>
  <c r="G49" i="42" a="1"/>
  <c r="G49" i="42" s="1"/>
  <c r="G50" i="42" a="1"/>
  <c r="G50" i="42" s="1"/>
  <c r="G51" i="42" a="1"/>
  <c r="G51" i="42" s="1"/>
  <c r="G52" i="42" a="1"/>
  <c r="G52" i="42" s="1"/>
  <c r="G53" i="42" a="1"/>
  <c r="G53" i="42" s="1"/>
  <c r="G54" i="42" a="1"/>
  <c r="G54" i="42" s="1"/>
  <c r="G55" i="42" a="1"/>
  <c r="G55" i="42" s="1"/>
  <c r="G56" i="42" a="1"/>
  <c r="G56" i="42" s="1"/>
  <c r="G57" i="42" a="1"/>
  <c r="G57" i="42" s="1"/>
  <c r="G58" i="42" a="1"/>
  <c r="G58" i="42" s="1"/>
  <c r="G59" i="42" a="1"/>
  <c r="G59" i="42" s="1"/>
  <c r="G60" i="42" a="1"/>
  <c r="G60" i="42" s="1"/>
  <c r="G61" i="42" a="1"/>
  <c r="G61" i="42" s="1"/>
  <c r="G62" i="42" a="1"/>
  <c r="G62" i="42" s="1"/>
  <c r="G63" i="42" a="1"/>
  <c r="G63" i="42" s="1"/>
  <c r="G64" i="42" a="1"/>
  <c r="G64" i="42" s="1"/>
  <c r="G65" i="42" a="1"/>
  <c r="G65" i="42"/>
  <c r="G66" i="42" a="1"/>
  <c r="G66" i="42"/>
  <c r="G67" i="42" a="1"/>
  <c r="G67" i="42"/>
  <c r="G68" i="42" a="1"/>
  <c r="G68" i="42" s="1"/>
  <c r="G69" i="42" a="1"/>
  <c r="G69" i="42" s="1"/>
  <c r="G70" i="42" a="1"/>
  <c r="G70" i="42" s="1"/>
  <c r="G71" i="42" a="1"/>
  <c r="G71" i="42" s="1"/>
  <c r="G72" i="42" a="1"/>
  <c r="G72" i="42" s="1"/>
  <c r="G73" i="42" a="1"/>
  <c r="G73" i="42" s="1"/>
  <c r="G74" i="42" a="1"/>
  <c r="G74" i="42" s="1"/>
  <c r="G75" i="42" a="1"/>
  <c r="G75" i="42" s="1"/>
  <c r="G76" i="42" a="1"/>
  <c r="G76" i="42"/>
  <c r="G77" i="42" a="1"/>
  <c r="G77" i="42" s="1"/>
  <c r="G78" i="42" a="1"/>
  <c r="G78" i="42" s="1"/>
  <c r="G79" i="42" a="1"/>
  <c r="G79" i="42" s="1"/>
  <c r="G80" i="42" a="1"/>
  <c r="G80" i="42"/>
  <c r="G81" i="42" a="1"/>
  <c r="G81" i="42" s="1"/>
  <c r="G82" i="42" a="1"/>
  <c r="G82" i="42" s="1"/>
  <c r="G83" i="42" a="1"/>
  <c r="G83" i="42" s="1"/>
  <c r="G84" i="42" a="1"/>
  <c r="G84" i="42" s="1"/>
  <c r="G85" i="42" a="1"/>
  <c r="G85" i="42" s="1"/>
  <c r="G86" i="42" a="1"/>
  <c r="G86" i="42" s="1"/>
  <c r="G87" i="42" a="1"/>
  <c r="G87" i="42"/>
  <c r="G88" i="42" a="1"/>
  <c r="G88" i="42" s="1"/>
  <c r="G89" i="42" a="1"/>
  <c r="G89" i="42" s="1"/>
  <c r="G90" i="42" a="1"/>
  <c r="G90" i="42" s="1"/>
  <c r="G91" i="42" a="1"/>
  <c r="G91" i="42"/>
  <c r="G92" i="42" a="1"/>
  <c r="G92" i="42" s="1"/>
  <c r="G93" i="42" a="1"/>
  <c r="G93" i="42" s="1"/>
  <c r="G94" i="42" a="1"/>
  <c r="G94" i="42" s="1"/>
  <c r="G95" i="42" a="1"/>
  <c r="G95" i="42" s="1"/>
  <c r="G96" i="42" a="1"/>
  <c r="G96" i="42" s="1"/>
  <c r="G97" i="42" a="1"/>
  <c r="G97" i="42" s="1"/>
  <c r="G98" i="42" a="1"/>
  <c r="G98" i="42"/>
  <c r="G99" i="42" a="1"/>
  <c r="G99" i="42" s="1"/>
  <c r="G100" i="42" a="1"/>
  <c r="G100" i="42"/>
  <c r="G101" i="42" a="1"/>
  <c r="G101" i="42" s="1"/>
  <c r="G102" i="42" a="1"/>
  <c r="G102" i="42"/>
  <c r="G103" i="42" a="1"/>
  <c r="G103" i="42" s="1"/>
  <c r="G104" i="42" a="1"/>
  <c r="G104" i="42" s="1"/>
  <c r="G105" i="42" a="1"/>
  <c r="G105" i="42" s="1"/>
  <c r="G106" i="42" a="1"/>
  <c r="G106" i="42" s="1"/>
  <c r="G107" i="42" a="1"/>
  <c r="G107" i="42" s="1"/>
  <c r="G108" i="42" a="1"/>
  <c r="G108" i="42" s="1"/>
  <c r="G109" i="42" a="1"/>
  <c r="G109" i="42"/>
  <c r="G110" i="42" a="1"/>
  <c r="G110" i="42"/>
  <c r="G111" i="42" a="1"/>
  <c r="G111" i="42"/>
  <c r="G112" i="42" a="1"/>
  <c r="G112" i="42" s="1"/>
  <c r="G113" i="42" a="1"/>
  <c r="G113" i="42"/>
  <c r="G114" i="42" a="1"/>
  <c r="G114" i="42" s="1"/>
  <c r="G115" i="42" a="1"/>
  <c r="G115" i="42" s="1"/>
  <c r="G116" i="42" a="1"/>
  <c r="G116" i="42" s="1"/>
  <c r="G117" i="42" a="1"/>
  <c r="G117" i="42" s="1"/>
  <c r="G118" i="42" a="1"/>
  <c r="G118" i="42" s="1"/>
  <c r="G119" i="42" a="1"/>
  <c r="G119" i="42" s="1"/>
  <c r="G120" i="42" a="1"/>
  <c r="G120" i="42"/>
  <c r="G121" i="42" a="1"/>
  <c r="G121" i="42" s="1"/>
  <c r="G122" i="42" a="1"/>
  <c r="G122" i="42" s="1"/>
  <c r="G123" i="42" a="1"/>
  <c r="G123" i="42" s="1"/>
  <c r="G124" i="42" a="1"/>
  <c r="G124" i="42"/>
  <c r="G125" i="42" a="1"/>
  <c r="G125" i="42" s="1"/>
  <c r="G126" i="42" a="1"/>
  <c r="G126" i="42" s="1"/>
  <c r="G127" i="42" a="1"/>
  <c r="G127" i="42" s="1"/>
  <c r="G128" i="42" a="1"/>
  <c r="G128" i="42" s="1"/>
  <c r="G129" i="42" a="1"/>
  <c r="G129" i="42" s="1"/>
  <c r="G130" i="42" a="1"/>
  <c r="G130" i="42" s="1"/>
  <c r="G131" i="42" a="1"/>
  <c r="G131" i="42"/>
  <c r="G132" i="42" a="1"/>
  <c r="G132" i="42"/>
  <c r="G133" i="42" a="1"/>
  <c r="G133" i="42"/>
  <c r="G134" i="42" a="1"/>
  <c r="G134" i="42" s="1"/>
  <c r="G135" i="42" a="1"/>
  <c r="G135" i="42" s="1"/>
  <c r="G136" i="42" a="1"/>
  <c r="G136" i="42" s="1"/>
  <c r="G137" i="42" a="1"/>
  <c r="G137" i="42" s="1"/>
  <c r="G138" i="42" a="1"/>
  <c r="G138" i="42" s="1"/>
  <c r="G139" i="42" a="1"/>
  <c r="G139" i="42" s="1"/>
  <c r="G140" i="42" a="1"/>
  <c r="G140" i="42" s="1"/>
  <c r="G141" i="42" a="1"/>
  <c r="G141" i="42" s="1"/>
  <c r="G142" i="42" a="1"/>
  <c r="G142" i="42" s="1"/>
  <c r="G143" i="42" a="1"/>
  <c r="G143" i="42" s="1"/>
  <c r="G144" i="42" a="1"/>
  <c r="G144" i="42"/>
  <c r="G145" i="42" a="1"/>
  <c r="G145" i="42" s="1"/>
  <c r="G146" i="42" a="1"/>
  <c r="G146" i="42"/>
  <c r="G147" i="42" a="1"/>
  <c r="G147" i="42" s="1"/>
  <c r="G148" i="42" a="1"/>
  <c r="G148" i="42" s="1"/>
  <c r="G149" i="42" a="1"/>
  <c r="G149" i="42" s="1"/>
  <c r="G150" i="42" a="1"/>
  <c r="G150" i="42" s="1"/>
  <c r="G151" i="42" a="1"/>
  <c r="G151" i="42" s="1"/>
  <c r="G152" i="42" a="1"/>
  <c r="G152" i="42" s="1"/>
  <c r="G153" i="42" a="1"/>
  <c r="G153" i="42"/>
  <c r="G154" i="42" a="1"/>
  <c r="G154" i="42" s="1"/>
  <c r="G155" i="42" a="1"/>
  <c r="G155" i="42" s="1"/>
  <c r="G156" i="42" a="1"/>
  <c r="G156" i="42" s="1"/>
  <c r="G157" i="42" a="1"/>
  <c r="G157" i="42" s="1"/>
  <c r="G158" i="42" a="1"/>
  <c r="G158" i="42" s="1"/>
  <c r="G159" i="42" a="1"/>
  <c r="G159" i="42" s="1"/>
  <c r="G160" i="42" a="1"/>
  <c r="G160" i="42" s="1"/>
  <c r="G161" i="42" a="1"/>
  <c r="G161" i="42" s="1"/>
  <c r="G162" i="42" a="1"/>
  <c r="G162" i="42" s="1"/>
  <c r="G163" i="42" a="1"/>
  <c r="G163" i="42" s="1"/>
  <c r="G164" i="42" a="1"/>
  <c r="G164" i="42" s="1"/>
  <c r="G165" i="42" a="1"/>
  <c r="G165" i="42" s="1"/>
  <c r="G166" i="42" a="1"/>
  <c r="G166" i="42" s="1"/>
  <c r="G167" i="42" a="1"/>
  <c r="G167" i="42" s="1"/>
  <c r="G168" i="42" a="1"/>
  <c r="G168" i="42" s="1"/>
  <c r="G169" i="42" a="1"/>
  <c r="G169" i="42" s="1"/>
  <c r="G170" i="42" a="1"/>
  <c r="G170" i="42" s="1"/>
  <c r="G171" i="42" a="1"/>
  <c r="G171" i="42" s="1"/>
  <c r="G172" i="42" a="1"/>
  <c r="G172" i="42" s="1"/>
  <c r="G173" i="42" a="1"/>
  <c r="G173" i="42" s="1"/>
  <c r="G174" i="42" a="1"/>
  <c r="G174" i="42" s="1"/>
  <c r="G175" i="42" a="1"/>
  <c r="G175" i="42"/>
  <c r="G176" i="42" a="1"/>
  <c r="G176" i="42"/>
  <c r="G177" i="42" a="1"/>
  <c r="G177" i="42"/>
  <c r="G178" i="42" a="1"/>
  <c r="G178" i="42" s="1"/>
  <c r="G179" i="42" a="1"/>
  <c r="G179" i="42" s="1"/>
  <c r="G180" i="42" a="1"/>
  <c r="G180" i="42" s="1"/>
  <c r="G181" i="42" a="1"/>
  <c r="G181" i="42" s="1"/>
  <c r="G182" i="42" a="1"/>
  <c r="G182" i="42" s="1"/>
  <c r="G183" i="42" a="1"/>
  <c r="G183" i="42" s="1"/>
  <c r="G184" i="42" a="1"/>
  <c r="G184" i="42" s="1"/>
  <c r="G185" i="42" a="1"/>
  <c r="G185" i="42" s="1"/>
  <c r="G186" i="42" a="1"/>
  <c r="G186" i="42" s="1"/>
  <c r="G187" i="42" a="1"/>
  <c r="G187" i="42" s="1"/>
  <c r="G188" i="42" a="1"/>
  <c r="G188" i="42"/>
  <c r="G189" i="42" a="1"/>
  <c r="G189" i="42" s="1"/>
  <c r="G190" i="42" a="1"/>
  <c r="G190" i="42"/>
  <c r="G191" i="42" a="1"/>
  <c r="G191" i="42" s="1"/>
  <c r="G192" i="42" a="1"/>
  <c r="G192" i="42" s="1"/>
  <c r="G193" i="42" a="1"/>
  <c r="G193" i="42" s="1"/>
  <c r="G194" i="42" a="1"/>
  <c r="G194" i="42" s="1"/>
  <c r="G195" i="42" a="1"/>
  <c r="G195" i="42" s="1"/>
  <c r="G196" i="42" a="1"/>
  <c r="G196" i="42" s="1"/>
  <c r="G197" i="42" a="1"/>
  <c r="G197" i="42"/>
  <c r="G198" i="42" a="1"/>
  <c r="G198" i="42"/>
  <c r="G199" i="42" a="1"/>
  <c r="G199" i="42"/>
  <c r="G200" i="42" a="1"/>
  <c r="G200" i="42" s="1"/>
  <c r="G201" i="42" a="1"/>
  <c r="G201" i="42" s="1"/>
  <c r="G202" i="42" a="1"/>
  <c r="G202" i="42" s="1"/>
  <c r="G203" i="42" a="1"/>
  <c r="G203" i="42" s="1"/>
  <c r="G204" i="42" a="1"/>
  <c r="G204" i="42" s="1"/>
  <c r="G205" i="42" a="1"/>
  <c r="G205" i="42" s="1"/>
  <c r="G206" i="42" a="1"/>
  <c r="G206" i="42" s="1"/>
  <c r="G207" i="42" a="1"/>
  <c r="G207" i="42" s="1"/>
  <c r="G208" i="42" a="1"/>
  <c r="G208" i="42" s="1"/>
  <c r="G209" i="42" a="1"/>
  <c r="G209" i="42"/>
  <c r="G210" i="42" a="1"/>
  <c r="G210" i="42"/>
  <c r="G211" i="42" a="1"/>
  <c r="G211" i="42" s="1"/>
  <c r="G212" i="42" a="1"/>
  <c r="G212" i="42"/>
  <c r="G213" i="42" a="1"/>
  <c r="G213" i="42" s="1"/>
  <c r="G214" i="42" a="1"/>
  <c r="G214" i="42" s="1"/>
  <c r="G215" i="42" a="1"/>
  <c r="G215" i="42" s="1"/>
  <c r="G216" i="42" a="1"/>
  <c r="G216" i="42" s="1"/>
  <c r="G217" i="42" a="1"/>
  <c r="G217" i="42" s="1"/>
  <c r="G218" i="42" a="1"/>
  <c r="G218" i="42" s="1"/>
  <c r="G219" i="42" a="1"/>
  <c r="G219" i="42" s="1"/>
  <c r="G220" i="42" a="1"/>
  <c r="G220" i="42" s="1"/>
  <c r="G221" i="42" a="1"/>
  <c r="G221" i="42"/>
  <c r="G222" i="42" a="1"/>
  <c r="G222" i="42" s="1"/>
  <c r="G223" i="42" a="1"/>
  <c r="G223" i="42"/>
  <c r="G224" i="42" a="1"/>
  <c r="G224" i="42" s="1"/>
  <c r="G225" i="42" a="1"/>
  <c r="G225" i="42" s="1"/>
  <c r="G226" i="42" a="1"/>
  <c r="G226" i="42" s="1"/>
  <c r="G227" i="42" a="1"/>
  <c r="G227" i="42" s="1"/>
  <c r="G228" i="42" a="1"/>
  <c r="G228" i="42" s="1"/>
  <c r="G229" i="42" a="1"/>
  <c r="G229" i="42" s="1"/>
  <c r="G230" i="42" a="1"/>
  <c r="G230" i="42" s="1"/>
  <c r="G231" i="42" a="1"/>
  <c r="G231" i="42" s="1"/>
  <c r="G232" i="42" a="1"/>
  <c r="G232" i="42" s="1"/>
  <c r="G233" i="42" a="1"/>
  <c r="G233" i="42" s="1"/>
  <c r="G234" i="42" a="1"/>
  <c r="G234" i="42"/>
  <c r="G235" i="42" a="1"/>
  <c r="G235" i="42" s="1"/>
  <c r="G236" i="42" a="1"/>
  <c r="G236" i="42" s="1"/>
  <c r="G237" i="42" a="1"/>
  <c r="G237" i="42" s="1"/>
  <c r="G238" i="42" a="1"/>
  <c r="G238" i="42" s="1"/>
  <c r="G239" i="42" a="1"/>
  <c r="G239" i="42" s="1"/>
  <c r="G240" i="42" a="1"/>
  <c r="G240" i="42" s="1"/>
  <c r="G241" i="42" a="1"/>
  <c r="G241" i="42" s="1"/>
  <c r="G242" i="42" a="1"/>
  <c r="G242" i="42" s="1"/>
  <c r="G243" i="42" a="1"/>
  <c r="G243" i="42" s="1"/>
  <c r="G244" i="42" a="1"/>
  <c r="G244" i="42" s="1"/>
  <c r="G245" i="42" a="1"/>
  <c r="G245" i="42" s="1"/>
  <c r="G246" i="42" a="1"/>
  <c r="G246" i="42" s="1"/>
  <c r="G247" i="42" a="1"/>
  <c r="G247" i="42" s="1"/>
  <c r="G248" i="42" a="1"/>
  <c r="G248" i="42" s="1"/>
  <c r="G249" i="42" a="1"/>
  <c r="G249" i="42" s="1"/>
  <c r="G250" i="42" a="1"/>
  <c r="G250" i="42" s="1"/>
  <c r="G251" i="42" a="1"/>
  <c r="G251" i="42" s="1"/>
  <c r="G252" i="42" a="1"/>
  <c r="G252" i="42" s="1"/>
  <c r="G253" i="42" a="1"/>
  <c r="G253" i="42" s="1"/>
  <c r="G254" i="42" a="1"/>
  <c r="G254" i="42" s="1"/>
  <c r="G255" i="42" a="1"/>
  <c r="G255" i="42" s="1"/>
  <c r="G256" i="42" a="1"/>
  <c r="G256" i="42" s="1"/>
  <c r="G257" i="42" a="1"/>
  <c r="G257" i="42" s="1"/>
  <c r="G258" i="42" a="1"/>
  <c r="G258" i="42" s="1"/>
  <c r="G259" i="42" a="1"/>
  <c r="G259" i="42" s="1"/>
  <c r="G260" i="42" a="1"/>
  <c r="G260" i="42" s="1"/>
  <c r="G261" i="42" a="1"/>
  <c r="G261" i="42" s="1"/>
  <c r="G262" i="42" a="1"/>
  <c r="G262" i="42" s="1"/>
  <c r="G263" i="42" a="1"/>
  <c r="G263" i="42" s="1"/>
  <c r="G264" i="42" a="1"/>
  <c r="G264" i="42" s="1"/>
  <c r="G265" i="42" a="1"/>
  <c r="G265" i="42" s="1"/>
  <c r="G266" i="42" a="1"/>
  <c r="G266" i="42" s="1"/>
  <c r="G267" i="42" a="1"/>
  <c r="G267" i="42" s="1"/>
  <c r="G268" i="42" a="1"/>
  <c r="G268" i="42" s="1"/>
  <c r="G269" i="42" a="1"/>
  <c r="G269" i="42" s="1"/>
  <c r="G270" i="42" a="1"/>
  <c r="G270" i="42" s="1"/>
  <c r="G271" i="42" a="1"/>
  <c r="G271" i="42" s="1"/>
  <c r="G272" i="42" a="1"/>
  <c r="G272" i="42" s="1"/>
  <c r="G273" i="42" a="1"/>
  <c r="G273" i="42" s="1"/>
  <c r="G274" i="42" a="1"/>
  <c r="G274" i="42" s="1"/>
  <c r="G275" i="42" a="1"/>
  <c r="G275" i="42" s="1"/>
  <c r="G276" i="42" a="1"/>
  <c r="G276" i="42" s="1"/>
  <c r="G277" i="42" a="1"/>
  <c r="G277" i="42" s="1"/>
  <c r="G278" i="42" a="1"/>
  <c r="G278" i="42" s="1"/>
  <c r="G279" i="42" a="1"/>
  <c r="G279" i="42" s="1"/>
  <c r="G280" i="42" a="1"/>
  <c r="G280" i="42" s="1"/>
  <c r="G281" i="42" a="1"/>
  <c r="G281" i="42" s="1"/>
  <c r="G282" i="42" a="1"/>
  <c r="G282" i="42" s="1"/>
  <c r="G283" i="42" a="1"/>
  <c r="G283" i="42" s="1"/>
  <c r="G284" i="42" a="1"/>
  <c r="G284" i="42" s="1"/>
  <c r="G285" i="42" a="1"/>
  <c r="G285" i="42" s="1"/>
  <c r="G286" i="42" a="1"/>
  <c r="G286" i="42" s="1"/>
  <c r="G287" i="42" a="1"/>
  <c r="G287" i="42" s="1"/>
  <c r="G288" i="42" a="1"/>
  <c r="G288" i="42" s="1"/>
  <c r="G289" i="42" a="1"/>
  <c r="G289" i="42" s="1"/>
  <c r="G290" i="42" a="1"/>
  <c r="G290" i="42" s="1"/>
  <c r="G291" i="42" a="1"/>
  <c r="G291" i="42" s="1"/>
  <c r="G292" i="42" a="1"/>
  <c r="G292" i="42" s="1"/>
  <c r="G293" i="42" a="1"/>
  <c r="G293" i="42" s="1"/>
  <c r="G294" i="42" a="1"/>
  <c r="G294" i="42" s="1"/>
  <c r="G295" i="42" a="1"/>
  <c r="G295" i="42" s="1"/>
  <c r="G296" i="42" a="1"/>
  <c r="G296" i="42" s="1"/>
  <c r="G297" i="42" a="1"/>
  <c r="G297" i="42" s="1"/>
  <c r="G298" i="42" a="1"/>
  <c r="G298" i="42" s="1"/>
  <c r="G299" i="42" a="1"/>
  <c r="G299" i="42" s="1"/>
  <c r="G300" i="42" a="1"/>
  <c r="G300" i="42" s="1"/>
  <c r="G301" i="42" a="1"/>
  <c r="G301" i="42" s="1"/>
  <c r="G302" i="42" a="1"/>
  <c r="G302" i="42" s="1"/>
  <c r="G303" i="42" a="1"/>
  <c r="G303" i="42" s="1"/>
  <c r="G304" i="42" a="1"/>
  <c r="G304" i="42" s="1"/>
  <c r="G305" i="42" a="1"/>
  <c r="G305" i="42" s="1"/>
  <c r="G306" i="42" a="1"/>
  <c r="G306" i="42" s="1"/>
  <c r="G307" i="42" a="1"/>
  <c r="G307" i="42" s="1"/>
  <c r="G308" i="42" a="1"/>
  <c r="G308" i="42" s="1"/>
  <c r="G309" i="42" a="1"/>
  <c r="G309" i="42" s="1"/>
  <c r="G310" i="42" a="1"/>
  <c r="G310" i="42" s="1"/>
  <c r="G311" i="42" a="1"/>
  <c r="G311" i="42" s="1"/>
  <c r="G312" i="42" a="1"/>
  <c r="G312" i="42" s="1"/>
  <c r="G313" i="42" a="1"/>
  <c r="G313" i="42" s="1"/>
  <c r="G314" i="42" a="1"/>
  <c r="G314" i="42" s="1"/>
  <c r="G315" i="42" a="1"/>
  <c r="G315" i="42" s="1"/>
  <c r="G316" i="42" a="1"/>
  <c r="G316" i="42" s="1"/>
  <c r="G317" i="42" a="1"/>
  <c r="G317" i="42" s="1"/>
  <c r="G318" i="42" a="1"/>
  <c r="G318" i="42" s="1"/>
  <c r="G319" i="42" a="1"/>
  <c r="G319" i="42" s="1"/>
  <c r="G320" i="42" a="1"/>
  <c r="G320" i="42" s="1"/>
  <c r="G321" i="42" a="1"/>
  <c r="G321" i="42" s="1"/>
  <c r="G322" i="42" a="1"/>
  <c r="G322" i="42" s="1"/>
  <c r="G323" i="42" a="1"/>
  <c r="G323" i="42" s="1"/>
  <c r="G324" i="42" a="1"/>
  <c r="G324" i="42" s="1"/>
  <c r="G325" i="42" a="1"/>
  <c r="G325" i="42" s="1"/>
  <c r="G326" i="42" a="1"/>
  <c r="G326" i="42" s="1"/>
  <c r="G327" i="42" a="1"/>
  <c r="G327" i="42" s="1"/>
  <c r="G328" i="42" a="1"/>
  <c r="G328" i="42" s="1"/>
  <c r="G329" i="42" a="1"/>
  <c r="G329" i="42" s="1"/>
  <c r="G330" i="42" a="1"/>
  <c r="G330" i="42" s="1"/>
  <c r="G331" i="42" a="1"/>
  <c r="G331" i="42" s="1"/>
  <c r="G332" i="42" a="1"/>
  <c r="G332" i="42" s="1"/>
  <c r="G333" i="42" a="1"/>
  <c r="G333" i="42" s="1"/>
  <c r="G334" i="42" a="1"/>
  <c r="G334" i="42" s="1"/>
  <c r="G335" i="42" a="1"/>
  <c r="G335" i="42" s="1"/>
  <c r="G336" i="42" a="1"/>
  <c r="G336" i="42" s="1"/>
  <c r="G337" i="42" a="1"/>
  <c r="G337" i="42" s="1"/>
  <c r="G338" i="42" a="1"/>
  <c r="G338" i="42" s="1"/>
  <c r="G339" i="42" a="1"/>
  <c r="G339" i="42" s="1"/>
  <c r="G340" i="42" a="1"/>
  <c r="G340" i="42" s="1"/>
  <c r="G341" i="42" a="1"/>
  <c r="G341" i="42" s="1"/>
  <c r="G342" i="42" a="1"/>
  <c r="G342" i="42" s="1"/>
  <c r="G343" i="42" a="1"/>
  <c r="G343" i="42" s="1"/>
  <c r="G344" i="42" a="1"/>
  <c r="G344" i="42" s="1"/>
  <c r="G345" i="42" a="1"/>
  <c r="G345" i="42" s="1"/>
  <c r="G346" i="42" a="1"/>
  <c r="G346" i="42" s="1"/>
  <c r="G347" i="42" a="1"/>
  <c r="G347" i="42" s="1"/>
  <c r="G348" i="42" a="1"/>
  <c r="G348" i="42" s="1"/>
  <c r="G349" i="42" a="1"/>
  <c r="G349" i="42" s="1"/>
  <c r="G350" i="42" a="1"/>
  <c r="G350" i="42" s="1"/>
  <c r="G351" i="42" a="1"/>
  <c r="G351" i="42" s="1"/>
  <c r="G352" i="42" a="1"/>
  <c r="G352" i="42" s="1"/>
  <c r="G353" i="42" a="1"/>
  <c r="G353" i="42" s="1"/>
  <c r="G354" i="42" a="1"/>
  <c r="G354" i="42" s="1"/>
  <c r="G355" i="42" a="1"/>
  <c r="G355" i="42" s="1"/>
  <c r="G356" i="42" a="1"/>
  <c r="G356" i="42" s="1"/>
  <c r="G357" i="42" a="1"/>
  <c r="G357" i="42" s="1"/>
  <c r="G358" i="42" a="1"/>
  <c r="G358" i="42" s="1"/>
  <c r="G359" i="42" a="1"/>
  <c r="G359" i="42" s="1"/>
  <c r="G360" i="42" a="1"/>
  <c r="G360" i="42" s="1"/>
  <c r="G361" i="42" a="1"/>
  <c r="G361" i="42" s="1"/>
  <c r="G362" i="42" a="1"/>
  <c r="G362" i="42" s="1"/>
  <c r="G363" i="42" a="1"/>
  <c r="G363" i="42" s="1"/>
  <c r="G364" i="42" a="1"/>
  <c r="G364" i="42" s="1"/>
  <c r="G365" i="42" a="1"/>
  <c r="G365" i="42" s="1"/>
  <c r="G366" i="42" a="1"/>
  <c r="G366" i="42" s="1"/>
  <c r="G367" i="42" a="1"/>
  <c r="G367" i="42" s="1"/>
  <c r="G368" i="42" a="1"/>
  <c r="G368" i="42" s="1"/>
  <c r="G369" i="42" a="1"/>
  <c r="G369" i="42" s="1"/>
  <c r="G370" i="42" a="1"/>
  <c r="G370" i="42" s="1"/>
  <c r="G371" i="42" a="1"/>
  <c r="G371" i="42" s="1"/>
  <c r="G372" i="42" a="1"/>
  <c r="G372" i="42" s="1"/>
  <c r="G373" i="42" a="1"/>
  <c r="G373" i="42" s="1"/>
  <c r="G374" i="42" a="1"/>
  <c r="G374" i="42" s="1"/>
  <c r="G375" i="42" a="1"/>
  <c r="G375" i="42" s="1"/>
  <c r="G376" i="42" a="1"/>
  <c r="G376" i="42" s="1"/>
  <c r="G377" i="42" a="1"/>
  <c r="G377" i="42" s="1"/>
  <c r="G378" i="42" a="1"/>
  <c r="G378" i="42" s="1"/>
  <c r="G379" i="42" a="1"/>
  <c r="G379" i="42" s="1"/>
  <c r="G380" i="42" a="1"/>
  <c r="G380" i="42" s="1"/>
  <c r="G381" i="42" a="1"/>
  <c r="G381" i="42" s="1"/>
  <c r="G382" i="42" a="1"/>
  <c r="G382" i="42" s="1"/>
  <c r="G383" i="42" a="1"/>
  <c r="G383" i="42" s="1"/>
  <c r="G384" i="42" a="1"/>
  <c r="G384" i="42" s="1"/>
  <c r="G385" i="42" a="1"/>
  <c r="G385" i="42" s="1"/>
  <c r="G386" i="42" a="1"/>
  <c r="G386" i="42" s="1"/>
  <c r="G387" i="42" a="1"/>
  <c r="G387" i="42" s="1"/>
  <c r="G388" i="42" a="1"/>
  <c r="G388" i="42" s="1"/>
  <c r="G389" i="42" a="1"/>
  <c r="G389" i="42" s="1"/>
  <c r="G390" i="42" a="1"/>
  <c r="G390" i="42" s="1"/>
  <c r="G391" i="42" a="1"/>
  <c r="G391" i="42" s="1"/>
  <c r="G392" i="42" a="1"/>
  <c r="G392" i="42" s="1"/>
  <c r="G393" i="42" a="1"/>
  <c r="G393" i="42" s="1"/>
  <c r="G394" i="42" a="1"/>
  <c r="G394" i="42" s="1"/>
  <c r="G395" i="42" a="1"/>
  <c r="G395" i="42" s="1"/>
  <c r="G396" i="42" a="1"/>
  <c r="G396" i="42" s="1"/>
  <c r="G397" i="42" a="1"/>
  <c r="G397" i="42" s="1"/>
  <c r="G398" i="42" a="1"/>
  <c r="G398" i="42" s="1"/>
  <c r="G399" i="42" a="1"/>
  <c r="G399" i="42" s="1"/>
  <c r="G400" i="42" a="1"/>
  <c r="G400" i="42" s="1"/>
  <c r="G401" i="42" a="1"/>
  <c r="G401" i="42" s="1"/>
  <c r="G402" i="42" a="1"/>
  <c r="G402" i="42" s="1"/>
  <c r="G403" i="42" a="1"/>
  <c r="G403" i="42" s="1"/>
  <c r="G404" i="42" a="1"/>
  <c r="G404" i="42" s="1"/>
  <c r="G405" i="42" a="1"/>
  <c r="G405" i="42" s="1"/>
  <c r="G406" i="42" a="1"/>
  <c r="G406" i="42" s="1"/>
  <c r="G407" i="42" a="1"/>
  <c r="G407" i="42" s="1"/>
  <c r="G408" i="42" a="1"/>
  <c r="G408" i="42" s="1"/>
  <c r="G409" i="42" a="1"/>
  <c r="G409" i="42" s="1"/>
  <c r="G410" i="42" a="1"/>
  <c r="G410" i="42" s="1"/>
  <c r="G411" i="42" a="1"/>
  <c r="G411" i="42" s="1"/>
  <c r="G412" i="42" a="1"/>
  <c r="G412" i="42" s="1"/>
  <c r="G413" i="42" a="1"/>
  <c r="G413" i="42" s="1"/>
  <c r="G414" i="42" a="1"/>
  <c r="G414" i="42" s="1"/>
  <c r="G415" i="42" a="1"/>
  <c r="G415" i="42" s="1"/>
  <c r="G416" i="42" a="1"/>
  <c r="G416" i="42" s="1"/>
  <c r="G417" i="42" a="1"/>
  <c r="G417" i="42" s="1"/>
  <c r="G418" i="42" a="1"/>
  <c r="G418" i="42" s="1"/>
  <c r="G419" i="42" a="1"/>
  <c r="G419" i="42" s="1"/>
  <c r="G420" i="42" a="1"/>
  <c r="G420" i="42" s="1"/>
  <c r="G421" i="42" a="1"/>
  <c r="G421" i="42" s="1"/>
  <c r="G422" i="42" a="1"/>
  <c r="G422" i="42" s="1"/>
  <c r="G423" i="42" a="1"/>
  <c r="G423" i="42" s="1"/>
  <c r="G424" i="42" a="1"/>
  <c r="G424" i="42" s="1"/>
  <c r="G425" i="42" a="1"/>
  <c r="G425" i="42" s="1"/>
  <c r="G426" i="42" a="1"/>
  <c r="G426" i="42" s="1"/>
  <c r="G427" i="42" a="1"/>
  <c r="G427" i="42" s="1"/>
  <c r="G428" i="42" a="1"/>
  <c r="G428" i="42" s="1"/>
  <c r="G429" i="42" a="1"/>
  <c r="G429" i="42" s="1"/>
  <c r="G430" i="42" a="1"/>
  <c r="G430" i="42" s="1"/>
  <c r="G431" i="42" a="1"/>
  <c r="G431" i="42" s="1"/>
  <c r="G432" i="42" a="1"/>
  <c r="G432" i="42" s="1"/>
  <c r="G433" i="42" a="1"/>
  <c r="G433" i="42" s="1"/>
  <c r="G434" i="42" a="1"/>
  <c r="G434" i="42" s="1"/>
  <c r="G435" i="42" a="1"/>
  <c r="G435" i="42" s="1"/>
  <c r="G436" i="42" a="1"/>
  <c r="G436" i="42" s="1"/>
  <c r="G437" i="42" a="1"/>
  <c r="G437" i="42" s="1"/>
  <c r="G438" i="42" a="1"/>
  <c r="G438" i="42" s="1"/>
  <c r="G439" i="42" a="1"/>
  <c r="G439" i="42" s="1"/>
  <c r="G440" i="42" a="1"/>
  <c r="G440" i="42" s="1"/>
  <c r="G441" i="42" a="1"/>
  <c r="G441" i="42" s="1"/>
  <c r="G442" i="42" a="1"/>
  <c r="G442" i="42" s="1"/>
  <c r="G443" i="42" a="1"/>
  <c r="G443" i="42" s="1"/>
  <c r="G444" i="42" a="1"/>
  <c r="G444" i="42" s="1"/>
  <c r="G445" i="42" a="1"/>
  <c r="G445" i="42" s="1"/>
  <c r="G446" i="42" a="1"/>
  <c r="G446" i="42" s="1"/>
  <c r="G447" i="42" a="1"/>
  <c r="G447" i="42" s="1"/>
  <c r="G448" i="42" a="1"/>
  <c r="G448" i="42" s="1"/>
  <c r="G449" i="42" a="1"/>
  <c r="G449" i="42" s="1"/>
  <c r="G450" i="42" a="1"/>
  <c r="G450" i="42" s="1"/>
  <c r="G451" i="42" a="1"/>
  <c r="G451" i="42" s="1"/>
  <c r="G452" i="42" a="1"/>
  <c r="G452" i="42" s="1"/>
  <c r="G453" i="42" a="1"/>
  <c r="G453" i="42" s="1"/>
  <c r="G454" i="42" a="1"/>
  <c r="G454" i="42" s="1"/>
  <c r="G455" i="42" a="1"/>
  <c r="G455" i="42" s="1"/>
  <c r="G456" i="42" a="1"/>
  <c r="G456" i="42" s="1"/>
  <c r="G457" i="42" a="1"/>
  <c r="G457" i="42" s="1"/>
  <c r="G458" i="42" a="1"/>
  <c r="G458" i="42" s="1"/>
  <c r="G459" i="42" a="1"/>
  <c r="G459" i="42" s="1"/>
  <c r="G460" i="42" a="1"/>
  <c r="G460" i="42" s="1"/>
  <c r="G461" i="42" a="1"/>
  <c r="G461" i="42" s="1"/>
  <c r="G462" i="42" a="1"/>
  <c r="G462" i="42" s="1"/>
  <c r="G463" i="42" a="1"/>
  <c r="G463" i="42" s="1"/>
  <c r="G464" i="42" a="1"/>
  <c r="G464" i="42" s="1"/>
  <c r="G465" i="42" a="1"/>
  <c r="G465" i="42" s="1"/>
  <c r="G466" i="42" a="1"/>
  <c r="G466" i="42" s="1"/>
  <c r="G467" i="42" a="1"/>
  <c r="G467" i="42" s="1"/>
  <c r="G468" i="42" a="1"/>
  <c r="G468" i="42" s="1"/>
  <c r="G469" i="42" a="1"/>
  <c r="G469" i="42" s="1"/>
  <c r="G470" i="42" a="1"/>
  <c r="G470" i="42" s="1"/>
  <c r="G471" i="42" a="1"/>
  <c r="G471" i="42" s="1"/>
  <c r="G472" i="42" a="1"/>
  <c r="G472" i="42" s="1"/>
  <c r="G473" i="42" a="1"/>
  <c r="G473" i="42" s="1"/>
  <c r="G474" i="42" a="1"/>
  <c r="G474" i="42" s="1"/>
  <c r="G475" i="42" a="1"/>
  <c r="G475" i="42" s="1"/>
  <c r="G476" i="42" a="1"/>
  <c r="G476" i="42" s="1"/>
  <c r="G477" i="42" a="1"/>
  <c r="G477" i="42" s="1"/>
  <c r="G478" i="42" a="1"/>
  <c r="G478" i="42" s="1"/>
  <c r="G479" i="42" a="1"/>
  <c r="G479" i="42" s="1"/>
  <c r="G480" i="42" a="1"/>
  <c r="G480" i="42" s="1"/>
  <c r="G481" i="42" a="1"/>
  <c r="G481" i="42" s="1"/>
  <c r="G482" i="42" a="1"/>
  <c r="G482" i="42" s="1"/>
  <c r="G483" i="42" a="1"/>
  <c r="G483" i="42" s="1"/>
  <c r="G484" i="42" a="1"/>
  <c r="G484" i="42" s="1"/>
  <c r="G485" i="42" a="1"/>
  <c r="G485" i="42" s="1"/>
  <c r="G486" i="42" a="1"/>
  <c r="G486" i="42" s="1"/>
  <c r="G487" i="42" a="1"/>
  <c r="G487" i="42" s="1"/>
  <c r="G488" i="42" a="1"/>
  <c r="G488" i="42" s="1"/>
  <c r="G489" i="42" a="1"/>
  <c r="G489" i="42" s="1"/>
  <c r="G490" i="42" a="1"/>
  <c r="G490" i="42" s="1"/>
  <c r="G491" i="42" a="1"/>
  <c r="G491" i="42" s="1"/>
  <c r="G492" i="42" a="1"/>
  <c r="G492" i="42" s="1"/>
  <c r="G493" i="42" a="1"/>
  <c r="G493" i="42" s="1"/>
  <c r="G494" i="42" a="1"/>
  <c r="G494" i="42" s="1"/>
  <c r="G495" i="42" a="1"/>
  <c r="G495" i="42" s="1"/>
  <c r="G496" i="42" a="1"/>
  <c r="G496" i="42" s="1"/>
  <c r="G497" i="42" a="1"/>
  <c r="G497" i="42" s="1"/>
  <c r="G498" i="42" a="1"/>
  <c r="G498" i="42" s="1"/>
  <c r="G499" i="42" a="1"/>
  <c r="G499" i="42" s="1"/>
  <c r="G500" i="42" a="1"/>
  <c r="G500" i="42" s="1"/>
  <c r="G501" i="42" a="1"/>
  <c r="G501" i="42" s="1"/>
  <c r="G502" i="42" a="1"/>
  <c r="G502" i="42" s="1"/>
  <c r="G503" i="42" a="1"/>
  <c r="G503" i="42" s="1"/>
  <c r="G504" i="42" a="1"/>
  <c r="G504" i="42" s="1"/>
  <c r="G505" i="42" a="1"/>
  <c r="G505" i="42" s="1"/>
  <c r="G506" i="42" a="1"/>
  <c r="G506" i="42" s="1"/>
  <c r="G507" i="42" a="1"/>
  <c r="G507" i="42" s="1"/>
  <c r="G508" i="42" a="1"/>
  <c r="G508" i="42" s="1"/>
  <c r="G509" i="42" a="1"/>
  <c r="G509" i="42" s="1"/>
  <c r="G510" i="42" a="1"/>
  <c r="G510" i="42" s="1"/>
  <c r="G511" i="42" a="1"/>
  <c r="G511" i="42" s="1"/>
  <c r="G512" i="42" a="1"/>
  <c r="G512" i="42" s="1"/>
  <c r="G513" i="42" a="1"/>
  <c r="G513" i="42" s="1"/>
  <c r="G514" i="42" a="1"/>
  <c r="G514" i="42" s="1"/>
  <c r="G515" i="42" a="1"/>
  <c r="G515" i="42" s="1"/>
  <c r="G516" i="42" a="1"/>
  <c r="G516" i="42" s="1"/>
  <c r="G517" i="42" a="1"/>
  <c r="G517" i="42" s="1"/>
  <c r="G518" i="42" a="1"/>
  <c r="G518" i="42" s="1"/>
  <c r="G519" i="42" a="1"/>
  <c r="G519" i="42" s="1"/>
  <c r="G520" i="42" a="1"/>
  <c r="G520" i="42" s="1"/>
  <c r="G521" i="42" a="1"/>
  <c r="G521" i="42" s="1"/>
  <c r="G522" i="42" a="1"/>
  <c r="G522" i="42" s="1"/>
  <c r="G523" i="42" a="1"/>
  <c r="G523" i="42" s="1"/>
  <c r="G524" i="42" a="1"/>
  <c r="G524" i="42" s="1"/>
  <c r="G525" i="42" a="1"/>
  <c r="G525" i="42" s="1"/>
  <c r="G526" i="42" a="1"/>
  <c r="G526" i="42" s="1"/>
  <c r="G527" i="42" a="1"/>
  <c r="G527" i="42" s="1"/>
  <c r="G528" i="42" a="1"/>
  <c r="G528" i="42" s="1"/>
  <c r="G529" i="42" a="1"/>
  <c r="G529" i="42" s="1"/>
  <c r="G530" i="42" a="1"/>
  <c r="G530" i="42" s="1"/>
  <c r="I2" i="42"/>
  <c r="I3" i="42"/>
  <c r="I4" i="42"/>
  <c r="I5" i="42"/>
  <c r="I6" i="42"/>
  <c r="I7" i="42"/>
  <c r="I8" i="42"/>
  <c r="I9" i="42"/>
  <c r="I10" i="42"/>
  <c r="I11" i="42"/>
  <c r="I12" i="42"/>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260" i="42"/>
  <c r="I261" i="42"/>
  <c r="I262" i="42"/>
  <c r="I263" i="42"/>
  <c r="I264" i="42"/>
  <c r="I265" i="42"/>
  <c r="I266" i="42"/>
  <c r="I267" i="42"/>
  <c r="I268" i="42"/>
  <c r="I269" i="42"/>
  <c r="I270" i="42"/>
  <c r="I271" i="42"/>
  <c r="I272" i="42"/>
  <c r="I273" i="42"/>
  <c r="I274" i="42"/>
  <c r="I275" i="42"/>
  <c r="I276" i="42"/>
  <c r="I277" i="42"/>
  <c r="I278" i="42"/>
  <c r="I279" i="42"/>
  <c r="I280" i="42"/>
  <c r="I281" i="42"/>
  <c r="I282" i="42"/>
  <c r="I283" i="42"/>
  <c r="I284" i="42"/>
  <c r="I285" i="42"/>
  <c r="I286" i="42"/>
  <c r="I287" i="42"/>
  <c r="I288" i="42"/>
  <c r="I289" i="42"/>
  <c r="I290" i="42"/>
  <c r="I291" i="42"/>
  <c r="I292" i="42"/>
  <c r="I293" i="42"/>
  <c r="I294" i="42"/>
  <c r="I295" i="42"/>
  <c r="I296" i="42"/>
  <c r="I297" i="42"/>
  <c r="I298" i="42"/>
  <c r="I299" i="42"/>
  <c r="I300" i="42"/>
  <c r="I301" i="42"/>
  <c r="I302" i="42"/>
  <c r="I303" i="42"/>
  <c r="I304" i="42"/>
  <c r="I305" i="42"/>
  <c r="I306" i="42"/>
  <c r="I307" i="42"/>
  <c r="I308" i="42"/>
  <c r="I309" i="42"/>
  <c r="I310" i="42"/>
  <c r="I311" i="42"/>
  <c r="I312" i="42"/>
  <c r="I313" i="42"/>
  <c r="I314" i="42"/>
  <c r="I315" i="42"/>
  <c r="I316" i="42"/>
  <c r="I317" i="42"/>
  <c r="I318" i="42"/>
  <c r="I319" i="42"/>
  <c r="I320" i="42"/>
  <c r="I321" i="42"/>
  <c r="I322" i="42"/>
  <c r="I323" i="42"/>
  <c r="I324" i="42"/>
  <c r="I325" i="42"/>
  <c r="I326" i="42"/>
  <c r="I327" i="42"/>
  <c r="I328" i="42"/>
  <c r="I329" i="42"/>
  <c r="I330" i="42"/>
  <c r="I331" i="42"/>
  <c r="I332" i="42"/>
  <c r="I333" i="42"/>
  <c r="I334" i="42"/>
  <c r="I335" i="42"/>
  <c r="I336" i="42"/>
  <c r="I337" i="42"/>
  <c r="I338" i="42"/>
  <c r="I339" i="42"/>
  <c r="I340" i="42"/>
  <c r="I341" i="42"/>
  <c r="I342" i="42"/>
  <c r="I343" i="42"/>
  <c r="I344" i="42"/>
  <c r="I345" i="42"/>
  <c r="I346" i="42"/>
  <c r="I347" i="42"/>
  <c r="I348" i="42"/>
  <c r="I349" i="42"/>
  <c r="I350" i="42"/>
  <c r="I351" i="42"/>
  <c r="I352" i="42"/>
  <c r="I353" i="42"/>
  <c r="I354" i="42"/>
  <c r="I355" i="42"/>
  <c r="I356" i="42"/>
  <c r="I357" i="42"/>
  <c r="I358" i="42"/>
  <c r="I359" i="42"/>
  <c r="I360" i="42"/>
  <c r="I361" i="42"/>
  <c r="I362" i="42"/>
  <c r="I363" i="42"/>
  <c r="I364" i="42"/>
  <c r="I365" i="42"/>
  <c r="I366" i="42"/>
  <c r="I367" i="42"/>
  <c r="I368" i="42"/>
  <c r="I369" i="42"/>
  <c r="I370" i="42"/>
  <c r="I371" i="42"/>
  <c r="I372" i="42"/>
  <c r="I373" i="42"/>
  <c r="I374" i="42"/>
  <c r="I375" i="42"/>
  <c r="I376" i="42"/>
  <c r="I377" i="42"/>
  <c r="I378" i="42"/>
  <c r="I379" i="42"/>
  <c r="I380" i="42"/>
  <c r="I381" i="42"/>
  <c r="I382" i="42"/>
  <c r="I383" i="42"/>
  <c r="I384" i="42"/>
  <c r="I385" i="42"/>
  <c r="I386" i="42"/>
  <c r="I387" i="42"/>
  <c r="I388" i="42"/>
  <c r="I389" i="42"/>
  <c r="I390" i="42"/>
  <c r="I391" i="42"/>
  <c r="I392" i="42"/>
  <c r="I393" i="42"/>
  <c r="I394" i="42"/>
  <c r="I395" i="42"/>
  <c r="I396" i="42"/>
  <c r="I397" i="42"/>
  <c r="I398" i="42"/>
  <c r="I399" i="42"/>
  <c r="I400" i="42"/>
  <c r="I401" i="42"/>
  <c r="I402" i="42"/>
  <c r="I403" i="42"/>
  <c r="I404" i="42"/>
  <c r="I405" i="42"/>
  <c r="I406" i="42"/>
  <c r="I407" i="42"/>
  <c r="I408" i="42"/>
  <c r="I409" i="42"/>
  <c r="I410" i="42"/>
  <c r="I411" i="42"/>
  <c r="I412" i="42"/>
  <c r="I413" i="42"/>
  <c r="I414" i="42"/>
  <c r="I415" i="42"/>
  <c r="I416" i="42"/>
  <c r="I417" i="42"/>
  <c r="I418" i="42"/>
  <c r="I419" i="42"/>
  <c r="I420" i="42"/>
  <c r="I421" i="42"/>
  <c r="I422" i="42"/>
  <c r="I423" i="42"/>
  <c r="I424" i="42"/>
  <c r="I425" i="42"/>
  <c r="I426" i="42"/>
  <c r="I427" i="42"/>
  <c r="I428" i="42"/>
  <c r="I429" i="42"/>
  <c r="I430" i="42"/>
  <c r="I431" i="42"/>
  <c r="I432" i="42"/>
  <c r="I433" i="42"/>
  <c r="I434" i="42"/>
  <c r="I435" i="42"/>
  <c r="I436" i="42"/>
  <c r="I437" i="42"/>
  <c r="I438" i="42"/>
  <c r="I439" i="42"/>
  <c r="I440" i="42"/>
  <c r="I441" i="42"/>
  <c r="I442" i="42"/>
  <c r="I443" i="42"/>
  <c r="I444" i="42"/>
  <c r="I445" i="42"/>
  <c r="I446" i="42"/>
  <c r="I447" i="42"/>
  <c r="I448" i="42"/>
  <c r="I449" i="42"/>
  <c r="I450" i="42"/>
  <c r="I451" i="42"/>
  <c r="I452" i="42"/>
  <c r="I453" i="42"/>
  <c r="I454" i="42"/>
  <c r="I455" i="42"/>
  <c r="I456" i="42"/>
  <c r="I457" i="42"/>
  <c r="I458" i="42"/>
  <c r="I459" i="42"/>
  <c r="I460" i="42"/>
  <c r="I461" i="42"/>
  <c r="I462" i="42"/>
  <c r="I463" i="42"/>
  <c r="I464" i="42"/>
  <c r="I465" i="42"/>
  <c r="I466" i="42"/>
  <c r="I467" i="42"/>
  <c r="I468" i="42"/>
  <c r="I469" i="42"/>
  <c r="I470" i="42"/>
  <c r="I471" i="42"/>
  <c r="I472" i="42"/>
  <c r="I473" i="42"/>
  <c r="I474" i="42"/>
  <c r="I475" i="42"/>
  <c r="I476" i="42"/>
  <c r="I477" i="42"/>
  <c r="I478" i="42"/>
  <c r="I479" i="42"/>
  <c r="I480" i="42"/>
  <c r="I481" i="42"/>
  <c r="I482" i="42"/>
  <c r="I483" i="42"/>
  <c r="I484" i="42"/>
  <c r="I485" i="42"/>
  <c r="I486" i="42"/>
  <c r="I487" i="42"/>
  <c r="I488" i="42"/>
  <c r="I489" i="42"/>
  <c r="I490" i="42"/>
  <c r="I491" i="42"/>
  <c r="I492" i="42"/>
  <c r="I493" i="42"/>
  <c r="I494" i="42"/>
  <c r="I495" i="42"/>
  <c r="I496" i="42"/>
  <c r="I497" i="42"/>
  <c r="I498" i="42"/>
  <c r="I499" i="42"/>
  <c r="I500" i="42"/>
  <c r="I501" i="42"/>
  <c r="I502" i="42"/>
  <c r="I503" i="42"/>
  <c r="I504" i="42"/>
  <c r="I505" i="42"/>
  <c r="I506" i="42"/>
  <c r="I507" i="42"/>
  <c r="I508" i="42"/>
  <c r="I509" i="42"/>
  <c r="I510" i="42"/>
  <c r="I511" i="42"/>
  <c r="I512" i="42"/>
  <c r="I513" i="42"/>
  <c r="I514" i="42"/>
  <c r="I515" i="42"/>
  <c r="I516" i="42"/>
  <c r="I517" i="42"/>
  <c r="I518" i="42"/>
  <c r="I519" i="42"/>
  <c r="I520" i="42"/>
  <c r="I521" i="42"/>
  <c r="I522" i="42"/>
  <c r="I523" i="42"/>
  <c r="I524" i="42"/>
  <c r="I525" i="42"/>
  <c r="I526" i="42"/>
  <c r="I527" i="42"/>
  <c r="I528" i="42"/>
  <c r="I529" i="42"/>
  <c r="I530" i="42"/>
  <c r="K424" i="60"/>
  <c r="K425" i="60"/>
  <c r="K426" i="60"/>
  <c r="AK2" i="45"/>
  <c r="AK3" i="45"/>
  <c r="AK4" i="45"/>
  <c r="AK5" i="45"/>
  <c r="AK6" i="45"/>
  <c r="AK7" i="45"/>
  <c r="AK8" i="45"/>
  <c r="AK9" i="45"/>
  <c r="AK10" i="45"/>
  <c r="AK11" i="45"/>
  <c r="AK12" i="45"/>
  <c r="AK13" i="45"/>
  <c r="AK14" i="45"/>
  <c r="AK15" i="45"/>
  <c r="AK16" i="45"/>
  <c r="AK17" i="45"/>
  <c r="AK18" i="45"/>
  <c r="AK19" i="45"/>
  <c r="AK20" i="45"/>
  <c r="AK21" i="45"/>
  <c r="AK22" i="45"/>
  <c r="AK23" i="45"/>
  <c r="AK24" i="45"/>
  <c r="AK25" i="45"/>
  <c r="AK26" i="45"/>
  <c r="AK27" i="45"/>
  <c r="AK28" i="45"/>
  <c r="AK29" i="45"/>
  <c r="AK30" i="45"/>
  <c r="AK31" i="45"/>
  <c r="AK32" i="45"/>
  <c r="AK33" i="45"/>
  <c r="AK34" i="45"/>
  <c r="AK35" i="45"/>
  <c r="AK36" i="45"/>
  <c r="AK37" i="45"/>
  <c r="AK38" i="45"/>
  <c r="AK39" i="45"/>
  <c r="AK40" i="45"/>
  <c r="AK41" i="45"/>
  <c r="AK42" i="45"/>
  <c r="AK43" i="45"/>
  <c r="AK44" i="45"/>
  <c r="AK45" i="45"/>
  <c r="AK46" i="45"/>
  <c r="AK47" i="45"/>
  <c r="AK48" i="45"/>
  <c r="AK49" i="45"/>
  <c r="AK50" i="45"/>
  <c r="AK51" i="45"/>
  <c r="AK52" i="45"/>
  <c r="AK53" i="45"/>
  <c r="AK54" i="45"/>
  <c r="AK55" i="45"/>
  <c r="AK56" i="45"/>
  <c r="AK57" i="45"/>
  <c r="AK58" i="45"/>
  <c r="AK59" i="45"/>
  <c r="AK60" i="45"/>
  <c r="AK61" i="45"/>
  <c r="AK62" i="45"/>
  <c r="AK63" i="45"/>
  <c r="AK64" i="45"/>
  <c r="AK65" i="45"/>
  <c r="AK66" i="45"/>
  <c r="AK67" i="45"/>
  <c r="AK68" i="45"/>
  <c r="AK69" i="45"/>
  <c r="AK70" i="45"/>
  <c r="AK71" i="45"/>
  <c r="AK72" i="45"/>
  <c r="AK73" i="45"/>
  <c r="AK74" i="45"/>
  <c r="AK75" i="45"/>
  <c r="AK76" i="45"/>
  <c r="AK77" i="45"/>
  <c r="AK78" i="45"/>
  <c r="AK79" i="45"/>
  <c r="AK80" i="45"/>
  <c r="AK81" i="45"/>
  <c r="AK82" i="45"/>
  <c r="AK83" i="45"/>
  <c r="AK84" i="45"/>
  <c r="AK85" i="45"/>
  <c r="AK86" i="45"/>
  <c r="AK87" i="45"/>
  <c r="AK88" i="45"/>
  <c r="AK89" i="45"/>
  <c r="AK90" i="45"/>
  <c r="AK91" i="45"/>
  <c r="AK92" i="45"/>
  <c r="AK93" i="45"/>
  <c r="AK94" i="45"/>
  <c r="AK95" i="45"/>
  <c r="AK96" i="45"/>
  <c r="AK97" i="45"/>
  <c r="AK98" i="45"/>
  <c r="AK99" i="45"/>
  <c r="AK100" i="45"/>
  <c r="AK101" i="45"/>
  <c r="AK102" i="45"/>
  <c r="AK103" i="45"/>
  <c r="AK104" i="45"/>
  <c r="AK105" i="45"/>
  <c r="AK106" i="45"/>
  <c r="AK107" i="45"/>
  <c r="AK108" i="45"/>
  <c r="AK109" i="45"/>
  <c r="AK110" i="45"/>
  <c r="AK111" i="45"/>
  <c r="AK112" i="45"/>
  <c r="AK113" i="45"/>
  <c r="AK114" i="45"/>
  <c r="AK115" i="45"/>
  <c r="AK116" i="45"/>
  <c r="AK117" i="45"/>
  <c r="AK118" i="45"/>
  <c r="AK119" i="45"/>
  <c r="AK120" i="45"/>
  <c r="AK121" i="45"/>
  <c r="AK122" i="45"/>
  <c r="AK123" i="45"/>
  <c r="AK124" i="45"/>
  <c r="AK125" i="45"/>
  <c r="AK126" i="45"/>
  <c r="AK127" i="45"/>
  <c r="AK128" i="45"/>
  <c r="AK129" i="45"/>
  <c r="AK130" i="45"/>
  <c r="AK131" i="45"/>
  <c r="AK132" i="45"/>
  <c r="AK133" i="45"/>
  <c r="AK134" i="45"/>
  <c r="AK135" i="45"/>
  <c r="AK136" i="45"/>
  <c r="AK137" i="45"/>
  <c r="AK138" i="45"/>
  <c r="AK139" i="45"/>
  <c r="AK140" i="45"/>
  <c r="AK141" i="45"/>
  <c r="AK142" i="45"/>
  <c r="AK143" i="45"/>
  <c r="AK144" i="45"/>
  <c r="AK145" i="45"/>
  <c r="AK146" i="45"/>
  <c r="AK147" i="45"/>
  <c r="AK148" i="45"/>
  <c r="AK149" i="45"/>
  <c r="AK150" i="45"/>
  <c r="AK151" i="45"/>
  <c r="AK152" i="45"/>
  <c r="AK153" i="45"/>
  <c r="AK154" i="45"/>
  <c r="AK155" i="45"/>
  <c r="AK156" i="45"/>
  <c r="AK157" i="45"/>
  <c r="AK158" i="45"/>
  <c r="AK159" i="45"/>
  <c r="AK160" i="45"/>
  <c r="AK161" i="45"/>
  <c r="AK162" i="45"/>
  <c r="AK163" i="45"/>
  <c r="AK164" i="45"/>
  <c r="AK165" i="45"/>
  <c r="AK166" i="45"/>
  <c r="AK167" i="45"/>
  <c r="AK168" i="45"/>
  <c r="AK169" i="45"/>
  <c r="AK170" i="45"/>
  <c r="AK171" i="45"/>
  <c r="AK172" i="45"/>
  <c r="AK173" i="45"/>
  <c r="AK174" i="45"/>
  <c r="AK175" i="45"/>
  <c r="AK176" i="45"/>
  <c r="AK177" i="45"/>
  <c r="AK178" i="45"/>
  <c r="AK179" i="45"/>
  <c r="AK180" i="45"/>
  <c r="AK181" i="45"/>
  <c r="AK182" i="45"/>
  <c r="AK183" i="45"/>
  <c r="AK184" i="45"/>
  <c r="AK185" i="45"/>
  <c r="AK186" i="45"/>
  <c r="AK187" i="45"/>
  <c r="AK188" i="45"/>
  <c r="AK189" i="45"/>
  <c r="AK190" i="45"/>
  <c r="AK191" i="45"/>
  <c r="AK192" i="45"/>
  <c r="AK193" i="45"/>
  <c r="AK194" i="45"/>
  <c r="AK195" i="45"/>
  <c r="AK196" i="45"/>
  <c r="AK197" i="45"/>
  <c r="AK198" i="45"/>
  <c r="AK199" i="45"/>
  <c r="AK200" i="45"/>
  <c r="AK201" i="45"/>
  <c r="AK202" i="45"/>
  <c r="AK203" i="45"/>
  <c r="AK204" i="45"/>
  <c r="AK205" i="45"/>
  <c r="AK206" i="45"/>
  <c r="AK207" i="45"/>
  <c r="AK208" i="45"/>
  <c r="AK209" i="45"/>
  <c r="AK210" i="45"/>
  <c r="AK211" i="45"/>
  <c r="AK212" i="45"/>
  <c r="AK213" i="45"/>
  <c r="AK214" i="45"/>
  <c r="AK215" i="45"/>
  <c r="AK216" i="45"/>
  <c r="AK217" i="45"/>
  <c r="AK218" i="45"/>
  <c r="AK219" i="45"/>
  <c r="AK220" i="45"/>
  <c r="AK221" i="45"/>
  <c r="AK222" i="45"/>
  <c r="AK223" i="45"/>
  <c r="AK224" i="45"/>
  <c r="AK225" i="45"/>
  <c r="AK226" i="45"/>
  <c r="AK227" i="45"/>
  <c r="AK228" i="45"/>
  <c r="AK229" i="45"/>
  <c r="AK230" i="45"/>
  <c r="AK231" i="45"/>
  <c r="AK232" i="45"/>
  <c r="AK233" i="45"/>
  <c r="AK234" i="45"/>
  <c r="AK235" i="45"/>
  <c r="AK236" i="45"/>
  <c r="AK237" i="45"/>
  <c r="AK238" i="45"/>
  <c r="AK239" i="45"/>
  <c r="AK240" i="45"/>
  <c r="AK241" i="45"/>
  <c r="AK242" i="45"/>
  <c r="AK243" i="45"/>
  <c r="AK244" i="45"/>
  <c r="AK245" i="45"/>
  <c r="AK246" i="45"/>
  <c r="AK247" i="45"/>
  <c r="AK248" i="45"/>
  <c r="AK249" i="45"/>
  <c r="AK250" i="45"/>
  <c r="AK251" i="45"/>
  <c r="AK252" i="45"/>
  <c r="AK253" i="45"/>
  <c r="AK254" i="45"/>
  <c r="AK255" i="45"/>
  <c r="AK256" i="45"/>
  <c r="AK257" i="45"/>
  <c r="AK258" i="45"/>
  <c r="AK259" i="45"/>
  <c r="AK260" i="45"/>
  <c r="AK261" i="45"/>
  <c r="AK262" i="45"/>
  <c r="AK263" i="45"/>
  <c r="AK264" i="45"/>
  <c r="AK265" i="45"/>
  <c r="AK266" i="45"/>
  <c r="AK267" i="45"/>
  <c r="AK268" i="45"/>
  <c r="AK269" i="45"/>
  <c r="AK270" i="45"/>
  <c r="AK271" i="45"/>
  <c r="AK272" i="45"/>
  <c r="AK273" i="45"/>
  <c r="AK274" i="45"/>
  <c r="AK275" i="45"/>
  <c r="AK276" i="45"/>
  <c r="AK277" i="45"/>
  <c r="AK278" i="45"/>
  <c r="AK279" i="45"/>
  <c r="AK280" i="45"/>
  <c r="AK281" i="45"/>
  <c r="AK282" i="45"/>
  <c r="AK283" i="45"/>
  <c r="AK284" i="45"/>
  <c r="AK285" i="45"/>
  <c r="AK286" i="45"/>
  <c r="AK287" i="45"/>
  <c r="AK288" i="45"/>
  <c r="AK289" i="45"/>
  <c r="AK290" i="45"/>
  <c r="AK291" i="45"/>
  <c r="AK292" i="45"/>
  <c r="AK293" i="45"/>
  <c r="AK294" i="45"/>
  <c r="AK295" i="45"/>
  <c r="AK296" i="45"/>
  <c r="AK297" i="45"/>
  <c r="AK298" i="45"/>
  <c r="AK299" i="45"/>
  <c r="AK300" i="45"/>
  <c r="AK301" i="45"/>
  <c r="AK302" i="45"/>
  <c r="AK303" i="45"/>
  <c r="AK304" i="45"/>
  <c r="AK305" i="45"/>
  <c r="AK306" i="45"/>
  <c r="AK307" i="45"/>
  <c r="AK308" i="45"/>
  <c r="AK309" i="45"/>
  <c r="AK310" i="45"/>
  <c r="AK311" i="45"/>
  <c r="AK312" i="45"/>
  <c r="AK313" i="45"/>
  <c r="AK314" i="45"/>
  <c r="AK315" i="45"/>
  <c r="AK316" i="45"/>
  <c r="AK317" i="45"/>
  <c r="AK318" i="45"/>
  <c r="AK319" i="45"/>
  <c r="AK320" i="45"/>
  <c r="AK321" i="45"/>
  <c r="AK322" i="45"/>
  <c r="AK323" i="45"/>
  <c r="AK324" i="45"/>
  <c r="AK325" i="45"/>
  <c r="AK326" i="45"/>
  <c r="AK327" i="45"/>
  <c r="AK328" i="45"/>
  <c r="AK329" i="45"/>
  <c r="AK330" i="45"/>
  <c r="AK331" i="45"/>
  <c r="AK332" i="45"/>
  <c r="AK333" i="45"/>
  <c r="AK334" i="45"/>
  <c r="AK335" i="45"/>
  <c r="AK336" i="45"/>
  <c r="AK337" i="45"/>
  <c r="AK338" i="45"/>
  <c r="AK339" i="45"/>
  <c r="AK340" i="45"/>
  <c r="AK341" i="45"/>
  <c r="AK342" i="45"/>
  <c r="AK343" i="45"/>
  <c r="AK344" i="45"/>
  <c r="AK345" i="45"/>
  <c r="AK346" i="45"/>
  <c r="AK347" i="45"/>
  <c r="AK348" i="45"/>
  <c r="AK349" i="45"/>
  <c r="AK350" i="45"/>
  <c r="AK351" i="45"/>
  <c r="AK352" i="45"/>
  <c r="AK353" i="45"/>
  <c r="AK354" i="45"/>
  <c r="AK355" i="45"/>
  <c r="AK356" i="45"/>
  <c r="AK357" i="45"/>
  <c r="AK358" i="45"/>
  <c r="AK359" i="45"/>
  <c r="AK360" i="45"/>
  <c r="AK361" i="45"/>
  <c r="AK362" i="45"/>
  <c r="AK363" i="45"/>
  <c r="AK364" i="45"/>
  <c r="AK365" i="45"/>
  <c r="AK366" i="45"/>
  <c r="AK367" i="45"/>
  <c r="AK368" i="45"/>
  <c r="AK369" i="45"/>
  <c r="AK370" i="45"/>
  <c r="AK371" i="45"/>
  <c r="AK372" i="45"/>
  <c r="AK373" i="45"/>
  <c r="AK374" i="45"/>
  <c r="AK375" i="45"/>
  <c r="AK376" i="45"/>
  <c r="AK377" i="45"/>
  <c r="AK378" i="45"/>
  <c r="AK379" i="45"/>
  <c r="AK380" i="45"/>
  <c r="AK381" i="45"/>
  <c r="AK382" i="45"/>
  <c r="AK383" i="45"/>
  <c r="AK384" i="45"/>
  <c r="AK385" i="45"/>
  <c r="AK386" i="45"/>
  <c r="AK387" i="45"/>
  <c r="AK388" i="45"/>
  <c r="AK389" i="45"/>
  <c r="AK390" i="45"/>
  <c r="AK391" i="45"/>
  <c r="AK392" i="45"/>
  <c r="AK393" i="45"/>
  <c r="AK394" i="45"/>
  <c r="AK395" i="45"/>
  <c r="AK396" i="45"/>
  <c r="AK397" i="45"/>
  <c r="AK398" i="45"/>
  <c r="AK399" i="45"/>
  <c r="AK400" i="45"/>
  <c r="AK401" i="45"/>
  <c r="AK402" i="45"/>
  <c r="AK403" i="45"/>
  <c r="AK404" i="45"/>
  <c r="AK405" i="45"/>
  <c r="AK406" i="45"/>
  <c r="AK407" i="45"/>
  <c r="AK408" i="45"/>
  <c r="AK409" i="45"/>
  <c r="AK410" i="45"/>
  <c r="AL2" i="45"/>
  <c r="AL3" i="45"/>
  <c r="AL4" i="45"/>
  <c r="AL5" i="45"/>
  <c r="AL6" i="45"/>
  <c r="AL7" i="45"/>
  <c r="AL8" i="45"/>
  <c r="AL9" i="45"/>
  <c r="AL10" i="45"/>
  <c r="AL11" i="45"/>
  <c r="AL12" i="45"/>
  <c r="AL13" i="45"/>
  <c r="AL14" i="45"/>
  <c r="AL15" i="45"/>
  <c r="AL16" i="45"/>
  <c r="AL17" i="45"/>
  <c r="AL18" i="45"/>
  <c r="AL19" i="45"/>
  <c r="AL20" i="45"/>
  <c r="AL21" i="45"/>
  <c r="AL22" i="45"/>
  <c r="AL23" i="45"/>
  <c r="AL24" i="45"/>
  <c r="AL25" i="45"/>
  <c r="AL26" i="45"/>
  <c r="AL27" i="45"/>
  <c r="AL28" i="45"/>
  <c r="AL29" i="45"/>
  <c r="AL30" i="45"/>
  <c r="AL31" i="45"/>
  <c r="AL32" i="45"/>
  <c r="AL33" i="45"/>
  <c r="AL34" i="45"/>
  <c r="AL35" i="45"/>
  <c r="AL36" i="45"/>
  <c r="AL37" i="45"/>
  <c r="AL38" i="45"/>
  <c r="AL39" i="45"/>
  <c r="AL40" i="45"/>
  <c r="AL41" i="45"/>
  <c r="AL42" i="45"/>
  <c r="AL43" i="45"/>
  <c r="AL44" i="45"/>
  <c r="AL45" i="45"/>
  <c r="AL46" i="45"/>
  <c r="AL47" i="45"/>
  <c r="AL48" i="45"/>
  <c r="AL49" i="45"/>
  <c r="AL50" i="45"/>
  <c r="AL51" i="45"/>
  <c r="AL52" i="45"/>
  <c r="AL53" i="45"/>
  <c r="AL54" i="45"/>
  <c r="AL55" i="45"/>
  <c r="AL56" i="45"/>
  <c r="AL57" i="45"/>
  <c r="AL58" i="45"/>
  <c r="AL59" i="45"/>
  <c r="AL60" i="45"/>
  <c r="AL61" i="45"/>
  <c r="AL62" i="45"/>
  <c r="AL63" i="45"/>
  <c r="AL64" i="45"/>
  <c r="AL65" i="45"/>
  <c r="AL66" i="45"/>
  <c r="AL67" i="45"/>
  <c r="AL68" i="45"/>
  <c r="AL69" i="45"/>
  <c r="AL70" i="45"/>
  <c r="AL71" i="45"/>
  <c r="AL72" i="45"/>
  <c r="AL73" i="45"/>
  <c r="AL74" i="45"/>
  <c r="AL75" i="45"/>
  <c r="AL76" i="45"/>
  <c r="AL77" i="45"/>
  <c r="AL78" i="45"/>
  <c r="AL79" i="45"/>
  <c r="AL80" i="45"/>
  <c r="AL81" i="45"/>
  <c r="AL82" i="45"/>
  <c r="AL83" i="45"/>
  <c r="AL84" i="45"/>
  <c r="AL85" i="45"/>
  <c r="AL86" i="45"/>
  <c r="AL87" i="45"/>
  <c r="AL88" i="45"/>
  <c r="AL89" i="45"/>
  <c r="AL90" i="45"/>
  <c r="AL91" i="45"/>
  <c r="AL92" i="45"/>
  <c r="AL93" i="45"/>
  <c r="AL94" i="45"/>
  <c r="AL95" i="45"/>
  <c r="AL96" i="45"/>
  <c r="AL97" i="45"/>
  <c r="AL98" i="45"/>
  <c r="AL99" i="45"/>
  <c r="AL100" i="45"/>
  <c r="AL101" i="45"/>
  <c r="AL102" i="45"/>
  <c r="AL103" i="45"/>
  <c r="AL104" i="45"/>
  <c r="AL105" i="45"/>
  <c r="AL106" i="45"/>
  <c r="AL107" i="45"/>
  <c r="AL108" i="45"/>
  <c r="AL109" i="45"/>
  <c r="AL110" i="45"/>
  <c r="AL111" i="45"/>
  <c r="AL112" i="45"/>
  <c r="AL113" i="45"/>
  <c r="AL114" i="45"/>
  <c r="AL115" i="45"/>
  <c r="AL116" i="45"/>
  <c r="AL117" i="45"/>
  <c r="AL118" i="45"/>
  <c r="AL119" i="45"/>
  <c r="AL120" i="45"/>
  <c r="AL121" i="45"/>
  <c r="AL122" i="45"/>
  <c r="AL123" i="45"/>
  <c r="AL124" i="45"/>
  <c r="AL125" i="45"/>
  <c r="AL126" i="45"/>
  <c r="AL127" i="45"/>
  <c r="AL128" i="45"/>
  <c r="AL129" i="45"/>
  <c r="AL130" i="45"/>
  <c r="AL131" i="45"/>
  <c r="AL132" i="45"/>
  <c r="AL133" i="45"/>
  <c r="AL134" i="45"/>
  <c r="AL135" i="45"/>
  <c r="AL136" i="45"/>
  <c r="AL137" i="45"/>
  <c r="AL138" i="45"/>
  <c r="AL139" i="45"/>
  <c r="AL140" i="45"/>
  <c r="AL141" i="45"/>
  <c r="AL142" i="45"/>
  <c r="AL143" i="45"/>
  <c r="AL144" i="45"/>
  <c r="AL145" i="45"/>
  <c r="AL146" i="45"/>
  <c r="AL147" i="45"/>
  <c r="AL148" i="45"/>
  <c r="AL149" i="45"/>
  <c r="AL150" i="45"/>
  <c r="AL151" i="45"/>
  <c r="AL152" i="45"/>
  <c r="AL153" i="45"/>
  <c r="AL154" i="45"/>
  <c r="AL155" i="45"/>
  <c r="AL156" i="45"/>
  <c r="AL157" i="45"/>
  <c r="AL158" i="45"/>
  <c r="AL159" i="45"/>
  <c r="AL160" i="45"/>
  <c r="AL161" i="45"/>
  <c r="AL162" i="45"/>
  <c r="AL163" i="45"/>
  <c r="AL164" i="45"/>
  <c r="AL165" i="45"/>
  <c r="AL166" i="45"/>
  <c r="AL167" i="45"/>
  <c r="AL168" i="45"/>
  <c r="AL169" i="45"/>
  <c r="AL170" i="45"/>
  <c r="AL171" i="45"/>
  <c r="AL172" i="45"/>
  <c r="AL173" i="45"/>
  <c r="AL174" i="45"/>
  <c r="AL175" i="45"/>
  <c r="AL176" i="45"/>
  <c r="AL177" i="45"/>
  <c r="AL178" i="45"/>
  <c r="AL179" i="45"/>
  <c r="AL180" i="45"/>
  <c r="AL181" i="45"/>
  <c r="AL182" i="45"/>
  <c r="AL183" i="45"/>
  <c r="AL184" i="45"/>
  <c r="AL185" i="45"/>
  <c r="AL186" i="45"/>
  <c r="AL187" i="45"/>
  <c r="AL188" i="45"/>
  <c r="AL189" i="45"/>
  <c r="AL190" i="45"/>
  <c r="AL191" i="45"/>
  <c r="AL192" i="45"/>
  <c r="AL193" i="45"/>
  <c r="AL194" i="45"/>
  <c r="AL195" i="45"/>
  <c r="AL196" i="45"/>
  <c r="AL197" i="45"/>
  <c r="AL198" i="45"/>
  <c r="AL199" i="45"/>
  <c r="AL200" i="45"/>
  <c r="AL201" i="45"/>
  <c r="AL202" i="45"/>
  <c r="AL203" i="45"/>
  <c r="AL204" i="45"/>
  <c r="AL205" i="45"/>
  <c r="AL206" i="45"/>
  <c r="AL207" i="45"/>
  <c r="AL208" i="45"/>
  <c r="AL209" i="45"/>
  <c r="AL210" i="45"/>
  <c r="AL211" i="45"/>
  <c r="AL212" i="45"/>
  <c r="AL213" i="45"/>
  <c r="AL214" i="45"/>
  <c r="AL215" i="45"/>
  <c r="AL216" i="45"/>
  <c r="AL217" i="45"/>
  <c r="AL218" i="45"/>
  <c r="AL219" i="45"/>
  <c r="AL220" i="45"/>
  <c r="AL221" i="45"/>
  <c r="AL222" i="45"/>
  <c r="AL223" i="45"/>
  <c r="AL224" i="45"/>
  <c r="AL225" i="45"/>
  <c r="AL226" i="45"/>
  <c r="AL227" i="45"/>
  <c r="AL228" i="45"/>
  <c r="AL229" i="45"/>
  <c r="AL230" i="45"/>
  <c r="AL231" i="45"/>
  <c r="AL232" i="45"/>
  <c r="AL233" i="45"/>
  <c r="AL234" i="45"/>
  <c r="AL235" i="45"/>
  <c r="AL236" i="45"/>
  <c r="AL237" i="45"/>
  <c r="AL238" i="45"/>
  <c r="AL239" i="45"/>
  <c r="AL240" i="45"/>
  <c r="AL241" i="45"/>
  <c r="AL242" i="45"/>
  <c r="AL243" i="45"/>
  <c r="AL244" i="45"/>
  <c r="AL245" i="45"/>
  <c r="AL246" i="45"/>
  <c r="AL247" i="45"/>
  <c r="AL248" i="45"/>
  <c r="AL249" i="45"/>
  <c r="AL250" i="45"/>
  <c r="AL251" i="45"/>
  <c r="AL252" i="45"/>
  <c r="AL253" i="45"/>
  <c r="AL254" i="45"/>
  <c r="AL255" i="45"/>
  <c r="AL256" i="45"/>
  <c r="AL257" i="45"/>
  <c r="AL258" i="45"/>
  <c r="AL259" i="45"/>
  <c r="AL260" i="45"/>
  <c r="AL261" i="45"/>
  <c r="AL262" i="45"/>
  <c r="AL263" i="45"/>
  <c r="AL264" i="45"/>
  <c r="AL265" i="45"/>
  <c r="AL266" i="45"/>
  <c r="AL267" i="45"/>
  <c r="AL268" i="45"/>
  <c r="AL269" i="45"/>
  <c r="AL270" i="45"/>
  <c r="AL271" i="45"/>
  <c r="AL272" i="45"/>
  <c r="AL273" i="45"/>
  <c r="AL274" i="45"/>
  <c r="AL275" i="45"/>
  <c r="AL276" i="45"/>
  <c r="AL277" i="45"/>
  <c r="AL278" i="45"/>
  <c r="AL279" i="45"/>
  <c r="AL280" i="45"/>
  <c r="AL281" i="45"/>
  <c r="AL282" i="45"/>
  <c r="AL283" i="45"/>
  <c r="AL284" i="45"/>
  <c r="AL285" i="45"/>
  <c r="AL286" i="45"/>
  <c r="AL287" i="45"/>
  <c r="AL288" i="45"/>
  <c r="AL289" i="45"/>
  <c r="AL290" i="45"/>
  <c r="AL291" i="45"/>
  <c r="AL292" i="45"/>
  <c r="AL293" i="45"/>
  <c r="AL294" i="45"/>
  <c r="AL295" i="45"/>
  <c r="AL296" i="45"/>
  <c r="AL297" i="45"/>
  <c r="AL298" i="45"/>
  <c r="AL299" i="45"/>
  <c r="AL300" i="45"/>
  <c r="AL301" i="45"/>
  <c r="AL302" i="45"/>
  <c r="AL303" i="45"/>
  <c r="AL304" i="45"/>
  <c r="AL305" i="45"/>
  <c r="AL306" i="45"/>
  <c r="AL307" i="45"/>
  <c r="AL308" i="45"/>
  <c r="AL309" i="45"/>
  <c r="AL310" i="45"/>
  <c r="AL311" i="45"/>
  <c r="AL312" i="45"/>
  <c r="AL313" i="45"/>
  <c r="AL314" i="45"/>
  <c r="AL315" i="45"/>
  <c r="AL316" i="45"/>
  <c r="AL317" i="45"/>
  <c r="AL318" i="45"/>
  <c r="AL319" i="45"/>
  <c r="AL320" i="45"/>
  <c r="AL321" i="45"/>
  <c r="AL322" i="45"/>
  <c r="AL323" i="45"/>
  <c r="AL324" i="45"/>
  <c r="AL325" i="45"/>
  <c r="AL326" i="45"/>
  <c r="AL327" i="45"/>
  <c r="AL328" i="45"/>
  <c r="AL329" i="45"/>
  <c r="AL330" i="45"/>
  <c r="AL331" i="45"/>
  <c r="AL332" i="45"/>
  <c r="AL333" i="45"/>
  <c r="AL334" i="45"/>
  <c r="AL335" i="45"/>
  <c r="AL336" i="45"/>
  <c r="AL337" i="45"/>
  <c r="AL338" i="45"/>
  <c r="AL339" i="45"/>
  <c r="AL340" i="45"/>
  <c r="AL341" i="45"/>
  <c r="AL342" i="45"/>
  <c r="AL343" i="45"/>
  <c r="AL344" i="45"/>
  <c r="AL345" i="45"/>
  <c r="AL346" i="45"/>
  <c r="AL347" i="45"/>
  <c r="AL348" i="45"/>
  <c r="AL349" i="45"/>
  <c r="AL350" i="45"/>
  <c r="AL351" i="45"/>
  <c r="AL352" i="45"/>
  <c r="AL353" i="45"/>
  <c r="AL354" i="45"/>
  <c r="AL355" i="45"/>
  <c r="AL356" i="45"/>
  <c r="AL357" i="45"/>
  <c r="AL358" i="45"/>
  <c r="AL359" i="45"/>
  <c r="AL360" i="45"/>
  <c r="AL361" i="45"/>
  <c r="AL362" i="45"/>
  <c r="AL363" i="45"/>
  <c r="AL364" i="45"/>
  <c r="AL365" i="45"/>
  <c r="AL366" i="45"/>
  <c r="AL367" i="45"/>
  <c r="AL368" i="45"/>
  <c r="AL369" i="45"/>
  <c r="AL370" i="45"/>
  <c r="AL371" i="45"/>
  <c r="AL372" i="45"/>
  <c r="AL373" i="45"/>
  <c r="AL374" i="45"/>
  <c r="AL375" i="45"/>
  <c r="AL376" i="45"/>
  <c r="AL377" i="45"/>
  <c r="AL378" i="45"/>
  <c r="AL379" i="45"/>
  <c r="AL380" i="45"/>
  <c r="AL381" i="45"/>
  <c r="AL382" i="45"/>
  <c r="AL383" i="45"/>
  <c r="AL384" i="45"/>
  <c r="AL385" i="45"/>
  <c r="AL386" i="45"/>
  <c r="AL387" i="45"/>
  <c r="AL388" i="45"/>
  <c r="AL389" i="45"/>
  <c r="AL390" i="45"/>
  <c r="AL391" i="45"/>
  <c r="AL392" i="45"/>
  <c r="AL393" i="45"/>
  <c r="AL394" i="45"/>
  <c r="AL395" i="45"/>
  <c r="AL396" i="45"/>
  <c r="AL397" i="45"/>
  <c r="AL398" i="45"/>
  <c r="AL399" i="45"/>
  <c r="AL400" i="45"/>
  <c r="AL401" i="45"/>
  <c r="AL402" i="45"/>
  <c r="AL403" i="45"/>
  <c r="AL404" i="45"/>
  <c r="AL405" i="45"/>
  <c r="AL406" i="45"/>
  <c r="AL407" i="45"/>
  <c r="AL408" i="45"/>
  <c r="AL409" i="45"/>
  <c r="AL410" i="45"/>
  <c r="AM2" i="45"/>
  <c r="AM3" i="45"/>
  <c r="AM4" i="45"/>
  <c r="AM5" i="45"/>
  <c r="AM6" i="45"/>
  <c r="AM7" i="45"/>
  <c r="AM8" i="45"/>
  <c r="AM9" i="45"/>
  <c r="AM10" i="45"/>
  <c r="AM11" i="45"/>
  <c r="AM12" i="45"/>
  <c r="AM13" i="45"/>
  <c r="AM14" i="45"/>
  <c r="AM15" i="45"/>
  <c r="AM16" i="45"/>
  <c r="AM17" i="45"/>
  <c r="AM18" i="45"/>
  <c r="AM19" i="45"/>
  <c r="AM20" i="45"/>
  <c r="AM21" i="45"/>
  <c r="AM22" i="45"/>
  <c r="AM23" i="45"/>
  <c r="AM24" i="45"/>
  <c r="AM25" i="45"/>
  <c r="AM26" i="45"/>
  <c r="AM27" i="45"/>
  <c r="AM28" i="45"/>
  <c r="AM29" i="45"/>
  <c r="AM30" i="45"/>
  <c r="AM31" i="45"/>
  <c r="AM32" i="45"/>
  <c r="AM33" i="45"/>
  <c r="AM34" i="45"/>
  <c r="AM35" i="45"/>
  <c r="AM36" i="45"/>
  <c r="AM37" i="45"/>
  <c r="AM38" i="45"/>
  <c r="AM39" i="45"/>
  <c r="AM40" i="45"/>
  <c r="AM41" i="45"/>
  <c r="AM42" i="45"/>
  <c r="AM43" i="45"/>
  <c r="AM44" i="45"/>
  <c r="AM45" i="45"/>
  <c r="AM46" i="45"/>
  <c r="AM47" i="45"/>
  <c r="AM48" i="45"/>
  <c r="AM49" i="45"/>
  <c r="AM50" i="45"/>
  <c r="AM51" i="45"/>
  <c r="AM52" i="45"/>
  <c r="AM53" i="45"/>
  <c r="AM54" i="45"/>
  <c r="AM55" i="45"/>
  <c r="AM56" i="45"/>
  <c r="AM57" i="45"/>
  <c r="AM58" i="45"/>
  <c r="AM59" i="45"/>
  <c r="AM60" i="45"/>
  <c r="AM61" i="45"/>
  <c r="AM62" i="45"/>
  <c r="AM63" i="45"/>
  <c r="AM64" i="45"/>
  <c r="AM65" i="45"/>
  <c r="AM66" i="45"/>
  <c r="AM67" i="45"/>
  <c r="AM68" i="45"/>
  <c r="AM69" i="45"/>
  <c r="AM70" i="45"/>
  <c r="AM71" i="45"/>
  <c r="AM72" i="45"/>
  <c r="AM73" i="45"/>
  <c r="AM74" i="45"/>
  <c r="AM75" i="45"/>
  <c r="AM76" i="45"/>
  <c r="AM77" i="45"/>
  <c r="AM78" i="45"/>
  <c r="AM79" i="45"/>
  <c r="AM80" i="45"/>
  <c r="AM81" i="45"/>
  <c r="AM82" i="45"/>
  <c r="AM83" i="45"/>
  <c r="AM84" i="45"/>
  <c r="AM85" i="45"/>
  <c r="AM86" i="45"/>
  <c r="AM87" i="45"/>
  <c r="AM88" i="45"/>
  <c r="AM89" i="45"/>
  <c r="AM90" i="45"/>
  <c r="AM91" i="45"/>
  <c r="AM92" i="45"/>
  <c r="AM93" i="45"/>
  <c r="AM94" i="45"/>
  <c r="AM95" i="45"/>
  <c r="AM96" i="45"/>
  <c r="AM97" i="45"/>
  <c r="AM98" i="45"/>
  <c r="AM99" i="45"/>
  <c r="AM100" i="45"/>
  <c r="AM101" i="45"/>
  <c r="AM102" i="45"/>
  <c r="AM103" i="45"/>
  <c r="AM104" i="45"/>
  <c r="AM105" i="45"/>
  <c r="AM106" i="45"/>
  <c r="AM107" i="45"/>
  <c r="AM108" i="45"/>
  <c r="AM109" i="45"/>
  <c r="AM110" i="45"/>
  <c r="AM111" i="45"/>
  <c r="AM112" i="45"/>
  <c r="AM113" i="45"/>
  <c r="AM114" i="45"/>
  <c r="AM115" i="45"/>
  <c r="AM116" i="45"/>
  <c r="AM117" i="45"/>
  <c r="AM118" i="45"/>
  <c r="AM119" i="45"/>
  <c r="AM120" i="45"/>
  <c r="AM121" i="45"/>
  <c r="AM122" i="45"/>
  <c r="AM123" i="45"/>
  <c r="AM124" i="45"/>
  <c r="AM125" i="45"/>
  <c r="AM126" i="45"/>
  <c r="AM127" i="45"/>
  <c r="AM128" i="45"/>
  <c r="AM129" i="45"/>
  <c r="AM130" i="45"/>
  <c r="AM131" i="45"/>
  <c r="AM132" i="45"/>
  <c r="AM133" i="45"/>
  <c r="AM134" i="45"/>
  <c r="AM135" i="45"/>
  <c r="AM136" i="45"/>
  <c r="AM137" i="45"/>
  <c r="AM138" i="45"/>
  <c r="AM139" i="45"/>
  <c r="AM140" i="45"/>
  <c r="AM141" i="45"/>
  <c r="AM142" i="45"/>
  <c r="AM143" i="45"/>
  <c r="AM144" i="45"/>
  <c r="AM145" i="45"/>
  <c r="AM146" i="45"/>
  <c r="AM147" i="45"/>
  <c r="AM148" i="45"/>
  <c r="AM149" i="45"/>
  <c r="AM150" i="45"/>
  <c r="AM151" i="45"/>
  <c r="AM152" i="45"/>
  <c r="AM153" i="45"/>
  <c r="AM154" i="45"/>
  <c r="AM155" i="45"/>
  <c r="AM156" i="45"/>
  <c r="AM157" i="45"/>
  <c r="AM158" i="45"/>
  <c r="AM159" i="45"/>
  <c r="AM160" i="45"/>
  <c r="AM161" i="45"/>
  <c r="AM162" i="45"/>
  <c r="AM163" i="45"/>
  <c r="AM164" i="45"/>
  <c r="AM165" i="45"/>
  <c r="AM166" i="45"/>
  <c r="AM167" i="45"/>
  <c r="AM168" i="45"/>
  <c r="AM169" i="45"/>
  <c r="AM170" i="45"/>
  <c r="AM171" i="45"/>
  <c r="AM172" i="45"/>
  <c r="AM173" i="45"/>
  <c r="AM174" i="45"/>
  <c r="AM175" i="45"/>
  <c r="AM176" i="45"/>
  <c r="AM177" i="45"/>
  <c r="AM178" i="45"/>
  <c r="AM179" i="45"/>
  <c r="AM180" i="45"/>
  <c r="AM181" i="45"/>
  <c r="AM182" i="45"/>
  <c r="AM183" i="45"/>
  <c r="AM184" i="45"/>
  <c r="AM185" i="45"/>
  <c r="AM186" i="45"/>
  <c r="AM187" i="45"/>
  <c r="AM188" i="45"/>
  <c r="AM189" i="45"/>
  <c r="AM190" i="45"/>
  <c r="AM191" i="45"/>
  <c r="AM192" i="45"/>
  <c r="AM193" i="45"/>
  <c r="AM194" i="45"/>
  <c r="AM195" i="45"/>
  <c r="AM196" i="45"/>
  <c r="AM197" i="45"/>
  <c r="AM198" i="45"/>
  <c r="AM199" i="45"/>
  <c r="AM200" i="45"/>
  <c r="AM201" i="45"/>
  <c r="AM202" i="45"/>
  <c r="AM203" i="45"/>
  <c r="AM204" i="45"/>
  <c r="AM205" i="45"/>
  <c r="AM206" i="45"/>
  <c r="AM207" i="45"/>
  <c r="AM208" i="45"/>
  <c r="AM209" i="45"/>
  <c r="AM210" i="45"/>
  <c r="AM211" i="45"/>
  <c r="AM212" i="45"/>
  <c r="AM213" i="45"/>
  <c r="AM214" i="45"/>
  <c r="AM215" i="45"/>
  <c r="AM216" i="45"/>
  <c r="AM217" i="45"/>
  <c r="AM218" i="45"/>
  <c r="AM219" i="45"/>
  <c r="AM220" i="45"/>
  <c r="AM221" i="45"/>
  <c r="AM222" i="45"/>
  <c r="AM223" i="45"/>
  <c r="AM224" i="45"/>
  <c r="AM225" i="45"/>
  <c r="AM226" i="45"/>
  <c r="AM227" i="45"/>
  <c r="AM228" i="45"/>
  <c r="AM229" i="45"/>
  <c r="AM230" i="45"/>
  <c r="AM231" i="45"/>
  <c r="AM232" i="45"/>
  <c r="AM233" i="45"/>
  <c r="AM234" i="45"/>
  <c r="AM235" i="45"/>
  <c r="AM236" i="45"/>
  <c r="AM237" i="45"/>
  <c r="AM238" i="45"/>
  <c r="AM239" i="45"/>
  <c r="AM240" i="45"/>
  <c r="AM241" i="45"/>
  <c r="AM242" i="45"/>
  <c r="AM243" i="45"/>
  <c r="AM244" i="45"/>
  <c r="AM245" i="45"/>
  <c r="AM246" i="45"/>
  <c r="AM247" i="45"/>
  <c r="AM248" i="45"/>
  <c r="AM249" i="45"/>
  <c r="AM250" i="45"/>
  <c r="AM251" i="45"/>
  <c r="AM252" i="45"/>
  <c r="AM253" i="45"/>
  <c r="AM254" i="45"/>
  <c r="AM255" i="45"/>
  <c r="AM256" i="45"/>
  <c r="AM257" i="45"/>
  <c r="AM258" i="45"/>
  <c r="AM259" i="45"/>
  <c r="AM260" i="45"/>
  <c r="AM261" i="45"/>
  <c r="AM262" i="45"/>
  <c r="AM263" i="45"/>
  <c r="AM264" i="45"/>
  <c r="AM265" i="45"/>
  <c r="AM266" i="45"/>
  <c r="AM267" i="45"/>
  <c r="AM268" i="45"/>
  <c r="AM269" i="45"/>
  <c r="AM270" i="45"/>
  <c r="AM271" i="45"/>
  <c r="AM272" i="45"/>
  <c r="AM273" i="45"/>
  <c r="AM274" i="45"/>
  <c r="AM275" i="45"/>
  <c r="AM276" i="45"/>
  <c r="AM277" i="45"/>
  <c r="AM278" i="45"/>
  <c r="AM279" i="45"/>
  <c r="AM280" i="45"/>
  <c r="AM281" i="45"/>
  <c r="AM282" i="45"/>
  <c r="AM283" i="45"/>
  <c r="AM284" i="45"/>
  <c r="AM285" i="45"/>
  <c r="AM286" i="45"/>
  <c r="AM287" i="45"/>
  <c r="AM288" i="45"/>
  <c r="AM289" i="45"/>
  <c r="AM290" i="45"/>
  <c r="AM291" i="45"/>
  <c r="AM292" i="45"/>
  <c r="AM293" i="45"/>
  <c r="AM294" i="45"/>
  <c r="AM295" i="45"/>
  <c r="AM296" i="45"/>
  <c r="AM297" i="45"/>
  <c r="AM298" i="45"/>
  <c r="AM299" i="45"/>
  <c r="AM300" i="45"/>
  <c r="AM301" i="45"/>
  <c r="AM302" i="45"/>
  <c r="AM303" i="45"/>
  <c r="AM304" i="45"/>
  <c r="AM305" i="45"/>
  <c r="AM306" i="45"/>
  <c r="AM307" i="45"/>
  <c r="AM308" i="45"/>
  <c r="AM309" i="45"/>
  <c r="AM310" i="45"/>
  <c r="AM311" i="45"/>
  <c r="AM312" i="45"/>
  <c r="AM313" i="45"/>
  <c r="AM314" i="45"/>
  <c r="AM315" i="45"/>
  <c r="AM316" i="45"/>
  <c r="AM317" i="45"/>
  <c r="AM318" i="45"/>
  <c r="AM319" i="45"/>
  <c r="AM320" i="45"/>
  <c r="AM321" i="45"/>
  <c r="AM322" i="45"/>
  <c r="AM323" i="45"/>
  <c r="AM324" i="45"/>
  <c r="AM325" i="45"/>
  <c r="AM326" i="45"/>
  <c r="AM327" i="45"/>
  <c r="AM328" i="45"/>
  <c r="AM329" i="45"/>
  <c r="AM330" i="45"/>
  <c r="AM331" i="45"/>
  <c r="AM332" i="45"/>
  <c r="AM333" i="45"/>
  <c r="AM334" i="45"/>
  <c r="AM335" i="45"/>
  <c r="AM336" i="45"/>
  <c r="AM337" i="45"/>
  <c r="AM338" i="45"/>
  <c r="AM339" i="45"/>
  <c r="AM340" i="45"/>
  <c r="AM341" i="45"/>
  <c r="AM342" i="45"/>
  <c r="AM343" i="45"/>
  <c r="AM344" i="45"/>
  <c r="AM345" i="45"/>
  <c r="AM346" i="45"/>
  <c r="AM347" i="45"/>
  <c r="AM348" i="45"/>
  <c r="AM349" i="45"/>
  <c r="AM350" i="45"/>
  <c r="AM351" i="45"/>
  <c r="AM352" i="45"/>
  <c r="AM353" i="45"/>
  <c r="AM354" i="45"/>
  <c r="AM355" i="45"/>
  <c r="AM356" i="45"/>
  <c r="AM357" i="45"/>
  <c r="AM358" i="45"/>
  <c r="AM359" i="45"/>
  <c r="AM360" i="45"/>
  <c r="AM361" i="45"/>
  <c r="AM362" i="45"/>
  <c r="AM363" i="45"/>
  <c r="AM364" i="45"/>
  <c r="AM365" i="45"/>
  <c r="AM366" i="45"/>
  <c r="AM367" i="45"/>
  <c r="AM368" i="45"/>
  <c r="AM369" i="45"/>
  <c r="AM370" i="45"/>
  <c r="AM371" i="45"/>
  <c r="AM372" i="45"/>
  <c r="AM373" i="45"/>
  <c r="AM374" i="45"/>
  <c r="AM375" i="45"/>
  <c r="AM376" i="45"/>
  <c r="AM377" i="45"/>
  <c r="AM378" i="45"/>
  <c r="AM379" i="45"/>
  <c r="AM380" i="45"/>
  <c r="AM381" i="45"/>
  <c r="AM382" i="45"/>
  <c r="AM383" i="45"/>
  <c r="AM384" i="45"/>
  <c r="AM385" i="45"/>
  <c r="AM386" i="45"/>
  <c r="AM387" i="45"/>
  <c r="AM388" i="45"/>
  <c r="AM389" i="45"/>
  <c r="AM390" i="45"/>
  <c r="AM391" i="45"/>
  <c r="AM392" i="45"/>
  <c r="AM393" i="45"/>
  <c r="AM394" i="45"/>
  <c r="AM395" i="45"/>
  <c r="AM396" i="45"/>
  <c r="AM397" i="45"/>
  <c r="AM398" i="45"/>
  <c r="AM399" i="45"/>
  <c r="AM400" i="45"/>
  <c r="AM401" i="45"/>
  <c r="AM402" i="45"/>
  <c r="AM403" i="45"/>
  <c r="AM404" i="45"/>
  <c r="AM405" i="45"/>
  <c r="AM406" i="45"/>
  <c r="AM407" i="45"/>
  <c r="AM408" i="45"/>
  <c r="AM409" i="45"/>
  <c r="AM410" i="45"/>
  <c r="AN2" i="45"/>
  <c r="AN3" i="45"/>
  <c r="AN4" i="45"/>
  <c r="AN5" i="45"/>
  <c r="AN6" i="45"/>
  <c r="AN7" i="45"/>
  <c r="AN8" i="45"/>
  <c r="AN9" i="45"/>
  <c r="AN10" i="45"/>
  <c r="AN11" i="45"/>
  <c r="AN12" i="45"/>
  <c r="AN13" i="45"/>
  <c r="AN14" i="45"/>
  <c r="AN15" i="45"/>
  <c r="AN16" i="45"/>
  <c r="AN17" i="45"/>
  <c r="AN18" i="45"/>
  <c r="AN19" i="45"/>
  <c r="AN20" i="45"/>
  <c r="AN21" i="45"/>
  <c r="AN22" i="45"/>
  <c r="AN23" i="45"/>
  <c r="AN24" i="45"/>
  <c r="AN25" i="45"/>
  <c r="AN26" i="45"/>
  <c r="AN27" i="45"/>
  <c r="AN28" i="45"/>
  <c r="AN29" i="45"/>
  <c r="AN30" i="45"/>
  <c r="AN31" i="45"/>
  <c r="AN32" i="45"/>
  <c r="AN33" i="45"/>
  <c r="AN34" i="45"/>
  <c r="AN35" i="45"/>
  <c r="AN36" i="45"/>
  <c r="AN37" i="45"/>
  <c r="AN38" i="45"/>
  <c r="AN39" i="45"/>
  <c r="AN40" i="45"/>
  <c r="AN41" i="45"/>
  <c r="AN42" i="45"/>
  <c r="AN43" i="45"/>
  <c r="AN44" i="45"/>
  <c r="AN45" i="45"/>
  <c r="AN46" i="45"/>
  <c r="AN47" i="45"/>
  <c r="AN48" i="45"/>
  <c r="AN49" i="45"/>
  <c r="AN50" i="45"/>
  <c r="AN51" i="45"/>
  <c r="AN52" i="45"/>
  <c r="AN53" i="45"/>
  <c r="AN54" i="45"/>
  <c r="AN55" i="45"/>
  <c r="AN56" i="45"/>
  <c r="AN57" i="45"/>
  <c r="AN58" i="45"/>
  <c r="AN59" i="45"/>
  <c r="AN60" i="45"/>
  <c r="AN61" i="45"/>
  <c r="AN62" i="45"/>
  <c r="AN63" i="45"/>
  <c r="AN64" i="45"/>
  <c r="AN65" i="45"/>
  <c r="AN66" i="45"/>
  <c r="AN67" i="45"/>
  <c r="AN68" i="45"/>
  <c r="AN69" i="45"/>
  <c r="AN70" i="45"/>
  <c r="AN71" i="45"/>
  <c r="AN72" i="45"/>
  <c r="AN73" i="45"/>
  <c r="AN74" i="45"/>
  <c r="AN75" i="45"/>
  <c r="AN76" i="45"/>
  <c r="AN77" i="45"/>
  <c r="AN78" i="45"/>
  <c r="AN79" i="45"/>
  <c r="AN80" i="45"/>
  <c r="AN81" i="45"/>
  <c r="AN82" i="45"/>
  <c r="AN83" i="45"/>
  <c r="AN84" i="45"/>
  <c r="AN85" i="45"/>
  <c r="AN86" i="45"/>
  <c r="AN87" i="45"/>
  <c r="AN88" i="45"/>
  <c r="AN89" i="45"/>
  <c r="AN90" i="45"/>
  <c r="AN91" i="45"/>
  <c r="AN92" i="45"/>
  <c r="AN93" i="45"/>
  <c r="AN94" i="45"/>
  <c r="AN95" i="45"/>
  <c r="AN96" i="45"/>
  <c r="AN97" i="45"/>
  <c r="AN98" i="45"/>
  <c r="AN99" i="45"/>
  <c r="AN100" i="45"/>
  <c r="AN101" i="45"/>
  <c r="AN102" i="45"/>
  <c r="AN103" i="45"/>
  <c r="AN104" i="45"/>
  <c r="AN105" i="45"/>
  <c r="AN106" i="45"/>
  <c r="AN107" i="45"/>
  <c r="AN108" i="45"/>
  <c r="AN109" i="45"/>
  <c r="AN110" i="45"/>
  <c r="AN111" i="45"/>
  <c r="AN112" i="45"/>
  <c r="AN113" i="45"/>
  <c r="AN114" i="45"/>
  <c r="AN115" i="45"/>
  <c r="AN116" i="45"/>
  <c r="AN117" i="45"/>
  <c r="AN118" i="45"/>
  <c r="AN119" i="45"/>
  <c r="AN120" i="45"/>
  <c r="AN121" i="45"/>
  <c r="AN122" i="45"/>
  <c r="AN123" i="45"/>
  <c r="AN124" i="45"/>
  <c r="AN125" i="45"/>
  <c r="AN126" i="45"/>
  <c r="AN127" i="45"/>
  <c r="AN128" i="45"/>
  <c r="AN129" i="45"/>
  <c r="AN130" i="45"/>
  <c r="AN131" i="45"/>
  <c r="AN132" i="45"/>
  <c r="AN133" i="45"/>
  <c r="AN134" i="45"/>
  <c r="AN135" i="45"/>
  <c r="AN136" i="45"/>
  <c r="AN137" i="45"/>
  <c r="AN138" i="45"/>
  <c r="AN139" i="45"/>
  <c r="AN140" i="45"/>
  <c r="AN141" i="45"/>
  <c r="AN142" i="45"/>
  <c r="AN143" i="45"/>
  <c r="AN144" i="45"/>
  <c r="AN145" i="45"/>
  <c r="AN146" i="45"/>
  <c r="AN147" i="45"/>
  <c r="AN148" i="45"/>
  <c r="AN149" i="45"/>
  <c r="AN150" i="45"/>
  <c r="AN151" i="45"/>
  <c r="AN152" i="45"/>
  <c r="AN153" i="45"/>
  <c r="AN154" i="45"/>
  <c r="AN155" i="45"/>
  <c r="AN156" i="45"/>
  <c r="AN157" i="45"/>
  <c r="AN158" i="45"/>
  <c r="AN159" i="45"/>
  <c r="AN160" i="45"/>
  <c r="AN161" i="45"/>
  <c r="AN162" i="45"/>
  <c r="AN163" i="45"/>
  <c r="AN164" i="45"/>
  <c r="AN165" i="45"/>
  <c r="AN166" i="45"/>
  <c r="AN167" i="45"/>
  <c r="AN168" i="45"/>
  <c r="AN169" i="45"/>
  <c r="AN170" i="45"/>
  <c r="AN171" i="45"/>
  <c r="AN172" i="45"/>
  <c r="AN173" i="45"/>
  <c r="AN174" i="45"/>
  <c r="AN175" i="45"/>
  <c r="AN176" i="45"/>
  <c r="AN177" i="45"/>
  <c r="AN178" i="45"/>
  <c r="AN179" i="45"/>
  <c r="AN180" i="45"/>
  <c r="AN181" i="45"/>
  <c r="AN182" i="45"/>
  <c r="AN183" i="45"/>
  <c r="AN184" i="45"/>
  <c r="AN185" i="45"/>
  <c r="AN186" i="45"/>
  <c r="AN187" i="45"/>
  <c r="AN188" i="45"/>
  <c r="AN189" i="45"/>
  <c r="AN190" i="45"/>
  <c r="AN191" i="45"/>
  <c r="AN192" i="45"/>
  <c r="AN193" i="45"/>
  <c r="AN194" i="45"/>
  <c r="AN195" i="45"/>
  <c r="AN196" i="45"/>
  <c r="AN197" i="45"/>
  <c r="AN198" i="45"/>
  <c r="AN199" i="45"/>
  <c r="AN200" i="45"/>
  <c r="AN201" i="45"/>
  <c r="AN202" i="45"/>
  <c r="AN203" i="45"/>
  <c r="AN204" i="45"/>
  <c r="AN205" i="45"/>
  <c r="AN206" i="45"/>
  <c r="AN207" i="45"/>
  <c r="AN208" i="45"/>
  <c r="AN209" i="45"/>
  <c r="AN210" i="45"/>
  <c r="AN211" i="45"/>
  <c r="AN212" i="45"/>
  <c r="AN213" i="45"/>
  <c r="AN214" i="45"/>
  <c r="AN215" i="45"/>
  <c r="AN216" i="45"/>
  <c r="AN217" i="45"/>
  <c r="AN218" i="45"/>
  <c r="AN219" i="45"/>
  <c r="AN220" i="45"/>
  <c r="AN221" i="45"/>
  <c r="AN222" i="45"/>
  <c r="AN223" i="45"/>
  <c r="AN224" i="45"/>
  <c r="AN225" i="45"/>
  <c r="AN226" i="45"/>
  <c r="AN227" i="45"/>
  <c r="AN228" i="45"/>
  <c r="AN229" i="45"/>
  <c r="AN230" i="45"/>
  <c r="AN231" i="45"/>
  <c r="AN232" i="45"/>
  <c r="AN233" i="45"/>
  <c r="AN234" i="45"/>
  <c r="AN235" i="45"/>
  <c r="AN236" i="45"/>
  <c r="AN237" i="45"/>
  <c r="AN238" i="45"/>
  <c r="AN239" i="45"/>
  <c r="AN240" i="45"/>
  <c r="AN241" i="45"/>
  <c r="AN242" i="45"/>
  <c r="AN243" i="45"/>
  <c r="AN244" i="45"/>
  <c r="AN245" i="45"/>
  <c r="AN246" i="45"/>
  <c r="AN247" i="45"/>
  <c r="AN248" i="45"/>
  <c r="AN249" i="45"/>
  <c r="AN250" i="45"/>
  <c r="AN251" i="45"/>
  <c r="AN252" i="45"/>
  <c r="AN253" i="45"/>
  <c r="AN254" i="45"/>
  <c r="AN255" i="45"/>
  <c r="AN256" i="45"/>
  <c r="AN257" i="45"/>
  <c r="AN258" i="45"/>
  <c r="AN259" i="45"/>
  <c r="AN260" i="45"/>
  <c r="AN261" i="45"/>
  <c r="AN262" i="45"/>
  <c r="AN263" i="45"/>
  <c r="AN264" i="45"/>
  <c r="AN265" i="45"/>
  <c r="AN266" i="45"/>
  <c r="AN267" i="45"/>
  <c r="AN268" i="45"/>
  <c r="AN269" i="45"/>
  <c r="AN270" i="45"/>
  <c r="AN271" i="45"/>
  <c r="AN272" i="45"/>
  <c r="AN273" i="45"/>
  <c r="AN274" i="45"/>
  <c r="AN275" i="45"/>
  <c r="AN276" i="45"/>
  <c r="AN277" i="45"/>
  <c r="AN278" i="45"/>
  <c r="AN279" i="45"/>
  <c r="AN280" i="45"/>
  <c r="AN281" i="45"/>
  <c r="AN282" i="45"/>
  <c r="AN283" i="45"/>
  <c r="AN284" i="45"/>
  <c r="AN285" i="45"/>
  <c r="AN286" i="45"/>
  <c r="AN287" i="45"/>
  <c r="AN288" i="45"/>
  <c r="AN289" i="45"/>
  <c r="AN290" i="45"/>
  <c r="AN291" i="45"/>
  <c r="AN292" i="45"/>
  <c r="AN293" i="45"/>
  <c r="AN294" i="45"/>
  <c r="AN295" i="45"/>
  <c r="AN296" i="45"/>
  <c r="AN297" i="45"/>
  <c r="AN298" i="45"/>
  <c r="AN299" i="45"/>
  <c r="AN300" i="45"/>
  <c r="AN301" i="45"/>
  <c r="AN302" i="45"/>
  <c r="AN303" i="45"/>
  <c r="AN304" i="45"/>
  <c r="AN305" i="45"/>
  <c r="AN306" i="45"/>
  <c r="AN307" i="45"/>
  <c r="AN308" i="45"/>
  <c r="AN309" i="45"/>
  <c r="AN310" i="45"/>
  <c r="AN311" i="45"/>
  <c r="AN312" i="45"/>
  <c r="AN313" i="45"/>
  <c r="AN314" i="45"/>
  <c r="AN315" i="45"/>
  <c r="AN316" i="45"/>
  <c r="AN317" i="45"/>
  <c r="AN318" i="45"/>
  <c r="AN319" i="45"/>
  <c r="AN320" i="45"/>
  <c r="AN321" i="45"/>
  <c r="AN322" i="45"/>
  <c r="AN323" i="45"/>
  <c r="AN324" i="45"/>
  <c r="AN325" i="45"/>
  <c r="AN326" i="45"/>
  <c r="AN327" i="45"/>
  <c r="AN328" i="45"/>
  <c r="AN329" i="45"/>
  <c r="AN330" i="45"/>
  <c r="AN331" i="45"/>
  <c r="AN332" i="45"/>
  <c r="AN333" i="45"/>
  <c r="AN334" i="45"/>
  <c r="AN335" i="45"/>
  <c r="AN336" i="45"/>
  <c r="AN337" i="45"/>
  <c r="AN338" i="45"/>
  <c r="AN339" i="45"/>
  <c r="AN340" i="45"/>
  <c r="AN341" i="45"/>
  <c r="AN342" i="45"/>
  <c r="AN343" i="45"/>
  <c r="AN344" i="45"/>
  <c r="AN345" i="45"/>
  <c r="AN346" i="45"/>
  <c r="AN347" i="45"/>
  <c r="AN348" i="45"/>
  <c r="AN349" i="45"/>
  <c r="AN350" i="45"/>
  <c r="AN351" i="45"/>
  <c r="AN352" i="45"/>
  <c r="AN353" i="45"/>
  <c r="AN354" i="45"/>
  <c r="AN355" i="45"/>
  <c r="AN356" i="45"/>
  <c r="AN357" i="45"/>
  <c r="AN358" i="45"/>
  <c r="AN359" i="45"/>
  <c r="AN360" i="45"/>
  <c r="AN361" i="45"/>
  <c r="AN362" i="45"/>
  <c r="AN363" i="45"/>
  <c r="AN364" i="45"/>
  <c r="AN365" i="45"/>
  <c r="AN366" i="45"/>
  <c r="AN367" i="45"/>
  <c r="AN368" i="45"/>
  <c r="AN369" i="45"/>
  <c r="AN370" i="45"/>
  <c r="AN371" i="45"/>
  <c r="AN372" i="45"/>
  <c r="AN373" i="45"/>
  <c r="AN374" i="45"/>
  <c r="AN375" i="45"/>
  <c r="AN376" i="45"/>
  <c r="AN377" i="45"/>
  <c r="AN378" i="45"/>
  <c r="AN379" i="45"/>
  <c r="AN380" i="45"/>
  <c r="AN381" i="45"/>
  <c r="AN382" i="45"/>
  <c r="AN383" i="45"/>
  <c r="AN384" i="45"/>
  <c r="AN385" i="45"/>
  <c r="AN386" i="45"/>
  <c r="AN387" i="45"/>
  <c r="AN388" i="45"/>
  <c r="AN389" i="45"/>
  <c r="AN390" i="45"/>
  <c r="AN391" i="45"/>
  <c r="AN392" i="45"/>
  <c r="AN393" i="45"/>
  <c r="AN394" i="45"/>
  <c r="AN395" i="45"/>
  <c r="AN396" i="45"/>
  <c r="AN397" i="45"/>
  <c r="AN398" i="45"/>
  <c r="AN399" i="45"/>
  <c r="AN400" i="45"/>
  <c r="AN401" i="45"/>
  <c r="AN402" i="45"/>
  <c r="AN403" i="45"/>
  <c r="AN404" i="45"/>
  <c r="AN405" i="45"/>
  <c r="AN406" i="45"/>
  <c r="AN407" i="45"/>
  <c r="AN408" i="45"/>
  <c r="AN409" i="45"/>
  <c r="AN410" i="45"/>
  <c r="AO2" i="45"/>
  <c r="AO3" i="45"/>
  <c r="AO4" i="45"/>
  <c r="AO5" i="45"/>
  <c r="AO6" i="45"/>
  <c r="AO7" i="45"/>
  <c r="AO8" i="45"/>
  <c r="AO9" i="45"/>
  <c r="AO10" i="45"/>
  <c r="AO11" i="45"/>
  <c r="AO12" i="45"/>
  <c r="AO13" i="45"/>
  <c r="AO14" i="45"/>
  <c r="AO15" i="45"/>
  <c r="AO16" i="45"/>
  <c r="AO17" i="45"/>
  <c r="AO18" i="45"/>
  <c r="AO19" i="45"/>
  <c r="AO20" i="45"/>
  <c r="AO21" i="45"/>
  <c r="AO22" i="45"/>
  <c r="AO23" i="45"/>
  <c r="AO24" i="45"/>
  <c r="AO25" i="45"/>
  <c r="AO26" i="45"/>
  <c r="AO27" i="45"/>
  <c r="AO28" i="45"/>
  <c r="AO29" i="45"/>
  <c r="AO30" i="45"/>
  <c r="AO31" i="45"/>
  <c r="AO32" i="45"/>
  <c r="AO33" i="45"/>
  <c r="AO34" i="45"/>
  <c r="AO35" i="45"/>
  <c r="AO36" i="45"/>
  <c r="AO37" i="45"/>
  <c r="AO38" i="45"/>
  <c r="AO39" i="45"/>
  <c r="AO40" i="45"/>
  <c r="AO41" i="45"/>
  <c r="AO42" i="45"/>
  <c r="AO43" i="45"/>
  <c r="AO44" i="45"/>
  <c r="AO45" i="45"/>
  <c r="AO46" i="45"/>
  <c r="AO47" i="45"/>
  <c r="AO48" i="45"/>
  <c r="AO49" i="45"/>
  <c r="AO50" i="45"/>
  <c r="AO51" i="45"/>
  <c r="AO52" i="45"/>
  <c r="AO53" i="45"/>
  <c r="AO54" i="45"/>
  <c r="AO55" i="45"/>
  <c r="AO56" i="45"/>
  <c r="AO57" i="45"/>
  <c r="AO58" i="45"/>
  <c r="AO59" i="45"/>
  <c r="AO60" i="45"/>
  <c r="AO61" i="45"/>
  <c r="AO62" i="45"/>
  <c r="AO63" i="45"/>
  <c r="AO64" i="45"/>
  <c r="AO65" i="45"/>
  <c r="AO66" i="45"/>
  <c r="AO67" i="45"/>
  <c r="AO68" i="45"/>
  <c r="AO69" i="45"/>
  <c r="AO70" i="45"/>
  <c r="AO71" i="45"/>
  <c r="AO72" i="45"/>
  <c r="AO73" i="45"/>
  <c r="AO74" i="45"/>
  <c r="AO75" i="45"/>
  <c r="AO76" i="45"/>
  <c r="AO77" i="45"/>
  <c r="AO78" i="45"/>
  <c r="AO79" i="45"/>
  <c r="AO80" i="45"/>
  <c r="AO81" i="45"/>
  <c r="AO82" i="45"/>
  <c r="AO83" i="45"/>
  <c r="AO84" i="45"/>
  <c r="AO85" i="45"/>
  <c r="AO86" i="45"/>
  <c r="AO87" i="45"/>
  <c r="AO88" i="45"/>
  <c r="AO89" i="45"/>
  <c r="AO90" i="45"/>
  <c r="AO91" i="45"/>
  <c r="AO92" i="45"/>
  <c r="AO93" i="45"/>
  <c r="AO94" i="45"/>
  <c r="AO95" i="45"/>
  <c r="AO96" i="45"/>
  <c r="AO97" i="45"/>
  <c r="AO98" i="45"/>
  <c r="AO99" i="45"/>
  <c r="AO100" i="45"/>
  <c r="AO101" i="45"/>
  <c r="AO102" i="45"/>
  <c r="AO103" i="45"/>
  <c r="AO104" i="45"/>
  <c r="AO105" i="45"/>
  <c r="AO106" i="45"/>
  <c r="AO107" i="45"/>
  <c r="AO108" i="45"/>
  <c r="AO109" i="45"/>
  <c r="AO110" i="45"/>
  <c r="AO111" i="45"/>
  <c r="AO112" i="45"/>
  <c r="AO113" i="45"/>
  <c r="AO114" i="45"/>
  <c r="AO115" i="45"/>
  <c r="AO116" i="45"/>
  <c r="AO117" i="45"/>
  <c r="AO118" i="45"/>
  <c r="AO119" i="45"/>
  <c r="AO120" i="45"/>
  <c r="AO121" i="45"/>
  <c r="AO122" i="45"/>
  <c r="AO123" i="45"/>
  <c r="AO124" i="45"/>
  <c r="AO125" i="45"/>
  <c r="AO126" i="45"/>
  <c r="AO127" i="45"/>
  <c r="AO128" i="45"/>
  <c r="AO129" i="45"/>
  <c r="AO130" i="45"/>
  <c r="AO131" i="45"/>
  <c r="AO132" i="45"/>
  <c r="AO133" i="45"/>
  <c r="AO134" i="45"/>
  <c r="AO135" i="45"/>
  <c r="AO136" i="45"/>
  <c r="AO137" i="45"/>
  <c r="AO138" i="45"/>
  <c r="AO139" i="45"/>
  <c r="AO140" i="45"/>
  <c r="AO141" i="45"/>
  <c r="AO142" i="45"/>
  <c r="AO143" i="45"/>
  <c r="AO144" i="45"/>
  <c r="AO145" i="45"/>
  <c r="AO146" i="45"/>
  <c r="AO147" i="45"/>
  <c r="AO148" i="45"/>
  <c r="AO149" i="45"/>
  <c r="AO150" i="45"/>
  <c r="AO151" i="45"/>
  <c r="AO152" i="45"/>
  <c r="AO153" i="45"/>
  <c r="AO154" i="45"/>
  <c r="AO155" i="45"/>
  <c r="AO156" i="45"/>
  <c r="AO157" i="45"/>
  <c r="AO158" i="45"/>
  <c r="AO159" i="45"/>
  <c r="AO160" i="45"/>
  <c r="AO161" i="45"/>
  <c r="AO162" i="45"/>
  <c r="AO163" i="45"/>
  <c r="AO164" i="45"/>
  <c r="AO165" i="45"/>
  <c r="AO166" i="45"/>
  <c r="AO167" i="45"/>
  <c r="AO168" i="45"/>
  <c r="AO169" i="45"/>
  <c r="AO170" i="45"/>
  <c r="AO171" i="45"/>
  <c r="AO172" i="45"/>
  <c r="AO173" i="45"/>
  <c r="AO174" i="45"/>
  <c r="AO175" i="45"/>
  <c r="AO176" i="45"/>
  <c r="AO177" i="45"/>
  <c r="AO178" i="45"/>
  <c r="AO179" i="45"/>
  <c r="AO180" i="45"/>
  <c r="AO181" i="45"/>
  <c r="AO182" i="45"/>
  <c r="AO183" i="45"/>
  <c r="AO184" i="45"/>
  <c r="AO185" i="45"/>
  <c r="AO186" i="45"/>
  <c r="AO187" i="45"/>
  <c r="AO188" i="45"/>
  <c r="AO189" i="45"/>
  <c r="AO190" i="45"/>
  <c r="AO191" i="45"/>
  <c r="AO192" i="45"/>
  <c r="AO193" i="45"/>
  <c r="AO194" i="45"/>
  <c r="AO195" i="45"/>
  <c r="AO196" i="45"/>
  <c r="AO197" i="45"/>
  <c r="AO198" i="45"/>
  <c r="AO199" i="45"/>
  <c r="AO200" i="45"/>
  <c r="AO201" i="45"/>
  <c r="AO202" i="45"/>
  <c r="AO203" i="45"/>
  <c r="AO204" i="45"/>
  <c r="AO205" i="45"/>
  <c r="AO206" i="45"/>
  <c r="AO207" i="45"/>
  <c r="AO208" i="45"/>
  <c r="AO209" i="45"/>
  <c r="AO210" i="45"/>
  <c r="AO211" i="45"/>
  <c r="AO212" i="45"/>
  <c r="AO213" i="45"/>
  <c r="AO214" i="45"/>
  <c r="AO215" i="45"/>
  <c r="AO216" i="45"/>
  <c r="AO217" i="45"/>
  <c r="AO218" i="45"/>
  <c r="AO219" i="45"/>
  <c r="AO220" i="45"/>
  <c r="AO221" i="45"/>
  <c r="AO222" i="45"/>
  <c r="AO223" i="45"/>
  <c r="AO224" i="45"/>
  <c r="AO225" i="45"/>
  <c r="AO226" i="45"/>
  <c r="AO227" i="45"/>
  <c r="AO228" i="45"/>
  <c r="AO229" i="45"/>
  <c r="AO230" i="45"/>
  <c r="AO231" i="45"/>
  <c r="AO232" i="45"/>
  <c r="AO233" i="45"/>
  <c r="AO234" i="45"/>
  <c r="AO235" i="45"/>
  <c r="AO236" i="45"/>
  <c r="AO237" i="45"/>
  <c r="AO238" i="45"/>
  <c r="AO239" i="45"/>
  <c r="AO240" i="45"/>
  <c r="AO241" i="45"/>
  <c r="AO242" i="45"/>
  <c r="AO243" i="45"/>
  <c r="AO244" i="45"/>
  <c r="AO245" i="45"/>
  <c r="AO246" i="45"/>
  <c r="AO247" i="45"/>
  <c r="AO248" i="45"/>
  <c r="AO249" i="45"/>
  <c r="AO250" i="45"/>
  <c r="AO251" i="45"/>
  <c r="AO252" i="45"/>
  <c r="AO253" i="45"/>
  <c r="AO254" i="45"/>
  <c r="AO255" i="45"/>
  <c r="AO256" i="45"/>
  <c r="AO257" i="45"/>
  <c r="AO258" i="45"/>
  <c r="AO259" i="45"/>
  <c r="AO260" i="45"/>
  <c r="AO261" i="45"/>
  <c r="AO262" i="45"/>
  <c r="AO263" i="45"/>
  <c r="AO264" i="45"/>
  <c r="AO265" i="45"/>
  <c r="AO266" i="45"/>
  <c r="AO267" i="45"/>
  <c r="AO268" i="45"/>
  <c r="AO269" i="45"/>
  <c r="AO270" i="45"/>
  <c r="AO271" i="45"/>
  <c r="AO272" i="45"/>
  <c r="AO273" i="45"/>
  <c r="AO274" i="45"/>
  <c r="AO275" i="45"/>
  <c r="AO276" i="45"/>
  <c r="AO277" i="45"/>
  <c r="AO278" i="45"/>
  <c r="AO279" i="45"/>
  <c r="AO280" i="45"/>
  <c r="AO281" i="45"/>
  <c r="AO282" i="45"/>
  <c r="AO283" i="45"/>
  <c r="AO284" i="45"/>
  <c r="AO285" i="45"/>
  <c r="AO286" i="45"/>
  <c r="AO287" i="45"/>
  <c r="AO288" i="45"/>
  <c r="AO289" i="45"/>
  <c r="AO290" i="45"/>
  <c r="AO291" i="45"/>
  <c r="AO292" i="45"/>
  <c r="AO293" i="45"/>
  <c r="AO294" i="45"/>
  <c r="AO295" i="45"/>
  <c r="AO296" i="45"/>
  <c r="AO297" i="45"/>
  <c r="AO298" i="45"/>
  <c r="AO299" i="45"/>
  <c r="AO300" i="45"/>
  <c r="AO301" i="45"/>
  <c r="AO302" i="45"/>
  <c r="AO303" i="45"/>
  <c r="AO304" i="45"/>
  <c r="AO305" i="45"/>
  <c r="AO306" i="45"/>
  <c r="AO307" i="45"/>
  <c r="AO308" i="45"/>
  <c r="AO309" i="45"/>
  <c r="AO310" i="45"/>
  <c r="AO311" i="45"/>
  <c r="AO312" i="45"/>
  <c r="AO313" i="45"/>
  <c r="AO314" i="45"/>
  <c r="AO315" i="45"/>
  <c r="AO316" i="45"/>
  <c r="AO317" i="45"/>
  <c r="AO318" i="45"/>
  <c r="AO319" i="45"/>
  <c r="AO320" i="45"/>
  <c r="AO321" i="45"/>
  <c r="AO322" i="45"/>
  <c r="AO323" i="45"/>
  <c r="AO324" i="45"/>
  <c r="AO325" i="45"/>
  <c r="AO326" i="45"/>
  <c r="AO327" i="45"/>
  <c r="AO328" i="45"/>
  <c r="AO329" i="45"/>
  <c r="AO330" i="45"/>
  <c r="AO331" i="45"/>
  <c r="AO332" i="45"/>
  <c r="AO333" i="45"/>
  <c r="AO334" i="45"/>
  <c r="AO335" i="45"/>
  <c r="AO336" i="45"/>
  <c r="AO337" i="45"/>
  <c r="AO338" i="45"/>
  <c r="AO339" i="45"/>
  <c r="AO340" i="45"/>
  <c r="AO341" i="45"/>
  <c r="AO342" i="45"/>
  <c r="AO343" i="45"/>
  <c r="AO344" i="45"/>
  <c r="AO345" i="45"/>
  <c r="AO346" i="45"/>
  <c r="AO347" i="45"/>
  <c r="AO348" i="45"/>
  <c r="AO349" i="45"/>
  <c r="AO350" i="45"/>
  <c r="AO351" i="45"/>
  <c r="AO352" i="45"/>
  <c r="AO353" i="45"/>
  <c r="AO354" i="45"/>
  <c r="AO355" i="45"/>
  <c r="AO356" i="45"/>
  <c r="AO357" i="45"/>
  <c r="AO358" i="45"/>
  <c r="AO359" i="45"/>
  <c r="AO360" i="45"/>
  <c r="AO361" i="45"/>
  <c r="AO362" i="45"/>
  <c r="AO363" i="45"/>
  <c r="AO364" i="45"/>
  <c r="AO365" i="45"/>
  <c r="AO366" i="45"/>
  <c r="AO367" i="45"/>
  <c r="AO368" i="45"/>
  <c r="AO369" i="45"/>
  <c r="AO370" i="45"/>
  <c r="AO371" i="45"/>
  <c r="AO372" i="45"/>
  <c r="AO373" i="45"/>
  <c r="AO374" i="45"/>
  <c r="AO375" i="45"/>
  <c r="AO376" i="45"/>
  <c r="AO377" i="45"/>
  <c r="AO378" i="45"/>
  <c r="AO379" i="45"/>
  <c r="AO380" i="45"/>
  <c r="AO381" i="45"/>
  <c r="AO382" i="45"/>
  <c r="AO383" i="45"/>
  <c r="AO384" i="45"/>
  <c r="AO385" i="45"/>
  <c r="AO386" i="45"/>
  <c r="AO387" i="45"/>
  <c r="AO388" i="45"/>
  <c r="AO389" i="45"/>
  <c r="AO390" i="45"/>
  <c r="AO391" i="45"/>
  <c r="AO392" i="45"/>
  <c r="AO393" i="45"/>
  <c r="AO394" i="45"/>
  <c r="AO395" i="45"/>
  <c r="AO396" i="45"/>
  <c r="AO397" i="45"/>
  <c r="AO398" i="45"/>
  <c r="AO399" i="45"/>
  <c r="AO400" i="45"/>
  <c r="AO401" i="45"/>
  <c r="AO402" i="45"/>
  <c r="AO403" i="45"/>
  <c r="AO404" i="45"/>
  <c r="AO405" i="45"/>
  <c r="AO406" i="45"/>
  <c r="AO407" i="45"/>
  <c r="AO408" i="45"/>
  <c r="AO409" i="45"/>
  <c r="AO410" i="45"/>
  <c r="AP2" i="45"/>
  <c r="AP3" i="45"/>
  <c r="AP4" i="45"/>
  <c r="AP5" i="45"/>
  <c r="AP6" i="45"/>
  <c r="AP7" i="45"/>
  <c r="AP8" i="45"/>
  <c r="AP9" i="45"/>
  <c r="AP10" i="45"/>
  <c r="AP11" i="45"/>
  <c r="AP12" i="45"/>
  <c r="AP13" i="45"/>
  <c r="AP14" i="45"/>
  <c r="AP15" i="45"/>
  <c r="AP16" i="45"/>
  <c r="AP17" i="45"/>
  <c r="AP18" i="45"/>
  <c r="AP19" i="45"/>
  <c r="AP20" i="45"/>
  <c r="AP21" i="45"/>
  <c r="AP22" i="45"/>
  <c r="AP23" i="45"/>
  <c r="AP24" i="45"/>
  <c r="AP25" i="45"/>
  <c r="AP26" i="45"/>
  <c r="AP27" i="45"/>
  <c r="AP28" i="45"/>
  <c r="AP29" i="45"/>
  <c r="AP30" i="45"/>
  <c r="AP31" i="45"/>
  <c r="AP32" i="45"/>
  <c r="AP33" i="45"/>
  <c r="AP34" i="45"/>
  <c r="AP35" i="45"/>
  <c r="AP36" i="45"/>
  <c r="AP37" i="45"/>
  <c r="AP38" i="45"/>
  <c r="AP39" i="45"/>
  <c r="AP40" i="45"/>
  <c r="AP41" i="45"/>
  <c r="AP42" i="45"/>
  <c r="AP43" i="45"/>
  <c r="AP44" i="45"/>
  <c r="AP45" i="45"/>
  <c r="AP46" i="45"/>
  <c r="AP47" i="45"/>
  <c r="AP48" i="45"/>
  <c r="AP49" i="45"/>
  <c r="AP50" i="45"/>
  <c r="AP51" i="45"/>
  <c r="AP52" i="45"/>
  <c r="AP53" i="45"/>
  <c r="AP54" i="45"/>
  <c r="AP55" i="45"/>
  <c r="AP56" i="45"/>
  <c r="AP57" i="45"/>
  <c r="AP58" i="45"/>
  <c r="AP59" i="45"/>
  <c r="AP60" i="45"/>
  <c r="AP61" i="45"/>
  <c r="AP62" i="45"/>
  <c r="AP63" i="45"/>
  <c r="AP64" i="45"/>
  <c r="AP65" i="45"/>
  <c r="AP66" i="45"/>
  <c r="AP67" i="45"/>
  <c r="AP68" i="45"/>
  <c r="AP69" i="45"/>
  <c r="AP70" i="45"/>
  <c r="AP71" i="45"/>
  <c r="AP72" i="45"/>
  <c r="AP73" i="45"/>
  <c r="AP74" i="45"/>
  <c r="AP75" i="45"/>
  <c r="AP76" i="45"/>
  <c r="AP77" i="45"/>
  <c r="AP78" i="45"/>
  <c r="AP79" i="45"/>
  <c r="AP80" i="45"/>
  <c r="AP81" i="45"/>
  <c r="AP82" i="45"/>
  <c r="AP83" i="45"/>
  <c r="AP84" i="45"/>
  <c r="AP85" i="45"/>
  <c r="AP86" i="45"/>
  <c r="AP87" i="45"/>
  <c r="AP88" i="45"/>
  <c r="AP89" i="45"/>
  <c r="AP90" i="45"/>
  <c r="AP91" i="45"/>
  <c r="AP92" i="45"/>
  <c r="AP93" i="45"/>
  <c r="AP94" i="45"/>
  <c r="AP95" i="45"/>
  <c r="AP96" i="45"/>
  <c r="AP97" i="45"/>
  <c r="AP98" i="45"/>
  <c r="AP99" i="45"/>
  <c r="AP100" i="45"/>
  <c r="AP101" i="45"/>
  <c r="AP102" i="45"/>
  <c r="AP103" i="45"/>
  <c r="AP104" i="45"/>
  <c r="AP105" i="45"/>
  <c r="AP106" i="45"/>
  <c r="AP107" i="45"/>
  <c r="AP108" i="45"/>
  <c r="AP109" i="45"/>
  <c r="AP110" i="45"/>
  <c r="AP111" i="45"/>
  <c r="AP112" i="45"/>
  <c r="AP113" i="45"/>
  <c r="AP114" i="45"/>
  <c r="AP115" i="45"/>
  <c r="AP116" i="45"/>
  <c r="AP117" i="45"/>
  <c r="AP118" i="45"/>
  <c r="AP119" i="45"/>
  <c r="AP120" i="45"/>
  <c r="AP121" i="45"/>
  <c r="AP122" i="45"/>
  <c r="AP123" i="45"/>
  <c r="AP124" i="45"/>
  <c r="AP125" i="45"/>
  <c r="AP126" i="45"/>
  <c r="AP127" i="45"/>
  <c r="AP128" i="45"/>
  <c r="AP129" i="45"/>
  <c r="AP130" i="45"/>
  <c r="AP131" i="45"/>
  <c r="AP132" i="45"/>
  <c r="AP133" i="45"/>
  <c r="AP134" i="45"/>
  <c r="AP135" i="45"/>
  <c r="AP136" i="45"/>
  <c r="AP137" i="45"/>
  <c r="AP138" i="45"/>
  <c r="AP139" i="45"/>
  <c r="AP140" i="45"/>
  <c r="AP141" i="45"/>
  <c r="AP142" i="45"/>
  <c r="AP143" i="45"/>
  <c r="AP144" i="45"/>
  <c r="AP145" i="45"/>
  <c r="AP146" i="45"/>
  <c r="AP147" i="45"/>
  <c r="AP148" i="45"/>
  <c r="AP149" i="45"/>
  <c r="AP150" i="45"/>
  <c r="AP151" i="45"/>
  <c r="AP152" i="45"/>
  <c r="AP153" i="45"/>
  <c r="AP154" i="45"/>
  <c r="AP155" i="45"/>
  <c r="AP156" i="45"/>
  <c r="AP157" i="45"/>
  <c r="AP158" i="45"/>
  <c r="AP159" i="45"/>
  <c r="AP160" i="45"/>
  <c r="AP161" i="45"/>
  <c r="AP162" i="45"/>
  <c r="AP163" i="45"/>
  <c r="AP164" i="45"/>
  <c r="AP165" i="45"/>
  <c r="AP166" i="45"/>
  <c r="AP167" i="45"/>
  <c r="AP168" i="45"/>
  <c r="AP169" i="45"/>
  <c r="AP170" i="45"/>
  <c r="AP171" i="45"/>
  <c r="AP172" i="45"/>
  <c r="AP173" i="45"/>
  <c r="AP174" i="45"/>
  <c r="AP175" i="45"/>
  <c r="AP176" i="45"/>
  <c r="AP177" i="45"/>
  <c r="AP178" i="45"/>
  <c r="AP179" i="45"/>
  <c r="AP180" i="45"/>
  <c r="AP181" i="45"/>
  <c r="AP182" i="45"/>
  <c r="AP183" i="45"/>
  <c r="AP184" i="45"/>
  <c r="AP185" i="45"/>
  <c r="AP186" i="45"/>
  <c r="AP187" i="45"/>
  <c r="AP188" i="45"/>
  <c r="AP189" i="45"/>
  <c r="AP190" i="45"/>
  <c r="AP191" i="45"/>
  <c r="AP192" i="45"/>
  <c r="AP193" i="45"/>
  <c r="AP194" i="45"/>
  <c r="AP195" i="45"/>
  <c r="AP196" i="45"/>
  <c r="AP197" i="45"/>
  <c r="AP198" i="45"/>
  <c r="AP199" i="45"/>
  <c r="AP200" i="45"/>
  <c r="AP201" i="45"/>
  <c r="AP202" i="45"/>
  <c r="AP203" i="45"/>
  <c r="AP204" i="45"/>
  <c r="AP205" i="45"/>
  <c r="AP206" i="45"/>
  <c r="AP207" i="45"/>
  <c r="AP208" i="45"/>
  <c r="AP209" i="45"/>
  <c r="AP210" i="45"/>
  <c r="AP211" i="45"/>
  <c r="AP212" i="45"/>
  <c r="AP213" i="45"/>
  <c r="AP214" i="45"/>
  <c r="AP215" i="45"/>
  <c r="AP216" i="45"/>
  <c r="AP217" i="45"/>
  <c r="AP218" i="45"/>
  <c r="AP219" i="45"/>
  <c r="AP220" i="45"/>
  <c r="AP221" i="45"/>
  <c r="AP222" i="45"/>
  <c r="AP223" i="45"/>
  <c r="AP224" i="45"/>
  <c r="AP225" i="45"/>
  <c r="AP226" i="45"/>
  <c r="AP227" i="45"/>
  <c r="AP228" i="45"/>
  <c r="AP229" i="45"/>
  <c r="AP230" i="45"/>
  <c r="AP231" i="45"/>
  <c r="AP232" i="45"/>
  <c r="AP233" i="45"/>
  <c r="AP234" i="45"/>
  <c r="AP235" i="45"/>
  <c r="AP236" i="45"/>
  <c r="AP237" i="45"/>
  <c r="AP238" i="45"/>
  <c r="AP239" i="45"/>
  <c r="AP240" i="45"/>
  <c r="AP241" i="45"/>
  <c r="AP242" i="45"/>
  <c r="AP243" i="45"/>
  <c r="AP244" i="45"/>
  <c r="AP245" i="45"/>
  <c r="AP246" i="45"/>
  <c r="AP247" i="45"/>
  <c r="AP248" i="45"/>
  <c r="AP249" i="45"/>
  <c r="AP250" i="45"/>
  <c r="AP251" i="45"/>
  <c r="AP252" i="45"/>
  <c r="AP253" i="45"/>
  <c r="AP254" i="45"/>
  <c r="AP255" i="45"/>
  <c r="AP256" i="45"/>
  <c r="AP257" i="45"/>
  <c r="AP258" i="45"/>
  <c r="AP259" i="45"/>
  <c r="AP260" i="45"/>
  <c r="AP261" i="45"/>
  <c r="AP262" i="45"/>
  <c r="AP263" i="45"/>
  <c r="AP264" i="45"/>
  <c r="AP265" i="45"/>
  <c r="AP266" i="45"/>
  <c r="AP267" i="45"/>
  <c r="AP268" i="45"/>
  <c r="AP269" i="45"/>
  <c r="AP270" i="45"/>
  <c r="AP271" i="45"/>
  <c r="AP272" i="45"/>
  <c r="AP273" i="45"/>
  <c r="AP274" i="45"/>
  <c r="AP275" i="45"/>
  <c r="AP276" i="45"/>
  <c r="AP277" i="45"/>
  <c r="AP278" i="45"/>
  <c r="AP279" i="45"/>
  <c r="AP280" i="45"/>
  <c r="AP281" i="45"/>
  <c r="AP282" i="45"/>
  <c r="AP283" i="45"/>
  <c r="AP284" i="45"/>
  <c r="AP285" i="45"/>
  <c r="AP286" i="45"/>
  <c r="AP287" i="45"/>
  <c r="AP288" i="45"/>
  <c r="AP289" i="45"/>
  <c r="AP290" i="45"/>
  <c r="AP291" i="45"/>
  <c r="AP292" i="45"/>
  <c r="AP293" i="45"/>
  <c r="AP294" i="45"/>
  <c r="AP295" i="45"/>
  <c r="AP296" i="45"/>
  <c r="AP297" i="45"/>
  <c r="AP298" i="45"/>
  <c r="AP299" i="45"/>
  <c r="AP300" i="45"/>
  <c r="AP301" i="45"/>
  <c r="AP302" i="45"/>
  <c r="AP303" i="45"/>
  <c r="AP304" i="45"/>
  <c r="AP305" i="45"/>
  <c r="AP306" i="45"/>
  <c r="AP307" i="45"/>
  <c r="AP308" i="45"/>
  <c r="AP309" i="45"/>
  <c r="AP310" i="45"/>
  <c r="AP311" i="45"/>
  <c r="AP312" i="45"/>
  <c r="AP313" i="45"/>
  <c r="AP314" i="45"/>
  <c r="AP315" i="45"/>
  <c r="AP316" i="45"/>
  <c r="AP317" i="45"/>
  <c r="AP318" i="45"/>
  <c r="AP319" i="45"/>
  <c r="AP320" i="45"/>
  <c r="AP321" i="45"/>
  <c r="AP322" i="45"/>
  <c r="AP323" i="45"/>
  <c r="AP324" i="45"/>
  <c r="AP325" i="45"/>
  <c r="AP326" i="45"/>
  <c r="AP327" i="45"/>
  <c r="AP328" i="45"/>
  <c r="AP329" i="45"/>
  <c r="AP330" i="45"/>
  <c r="AP331" i="45"/>
  <c r="AP332" i="45"/>
  <c r="AP333" i="45"/>
  <c r="AP334" i="45"/>
  <c r="AP335" i="45"/>
  <c r="AP336" i="45"/>
  <c r="AP337" i="45"/>
  <c r="AP338" i="45"/>
  <c r="AP339" i="45"/>
  <c r="AP340" i="45"/>
  <c r="AP341" i="45"/>
  <c r="AP342" i="45"/>
  <c r="AP343" i="45"/>
  <c r="AP344" i="45"/>
  <c r="AP345" i="45"/>
  <c r="AP346" i="45"/>
  <c r="AP347" i="45"/>
  <c r="AP348" i="45"/>
  <c r="AP349" i="45"/>
  <c r="AP350" i="45"/>
  <c r="AP351" i="45"/>
  <c r="AP352" i="45"/>
  <c r="AP353" i="45"/>
  <c r="AP354" i="45"/>
  <c r="AP355" i="45"/>
  <c r="AP356" i="45"/>
  <c r="AP357" i="45"/>
  <c r="AP358" i="45"/>
  <c r="AP359" i="45"/>
  <c r="AP360" i="45"/>
  <c r="AP361" i="45"/>
  <c r="AP362" i="45"/>
  <c r="AP363" i="45"/>
  <c r="AP364" i="45"/>
  <c r="AP365" i="45"/>
  <c r="AP366" i="45"/>
  <c r="AP367" i="45"/>
  <c r="AP368" i="45"/>
  <c r="AP369" i="45"/>
  <c r="AP370" i="45"/>
  <c r="AP371" i="45"/>
  <c r="AP372" i="45"/>
  <c r="AP373" i="45"/>
  <c r="AP374" i="45"/>
  <c r="AP375" i="45"/>
  <c r="AP376" i="45"/>
  <c r="AP377" i="45"/>
  <c r="AP378" i="45"/>
  <c r="AP379" i="45"/>
  <c r="AP380" i="45"/>
  <c r="AP381" i="45"/>
  <c r="AP382" i="45"/>
  <c r="AP383" i="45"/>
  <c r="AP384" i="45"/>
  <c r="AP385" i="45"/>
  <c r="AP386" i="45"/>
  <c r="AP387" i="45"/>
  <c r="AP388" i="45"/>
  <c r="AP389" i="45"/>
  <c r="AP390" i="45"/>
  <c r="AP391" i="45"/>
  <c r="AP392" i="45"/>
  <c r="AP393" i="45"/>
  <c r="AP394" i="45"/>
  <c r="AP395" i="45"/>
  <c r="AP396" i="45"/>
  <c r="AP397" i="45"/>
  <c r="AP398" i="45"/>
  <c r="AP399" i="45"/>
  <c r="AP400" i="45"/>
  <c r="AP401" i="45"/>
  <c r="AP402" i="45"/>
  <c r="AP403" i="45"/>
  <c r="AP404" i="45"/>
  <c r="AP405" i="45"/>
  <c r="AP406" i="45"/>
  <c r="AP407" i="45"/>
  <c r="AP408" i="45"/>
  <c r="AP409" i="45"/>
  <c r="AP410" i="45"/>
  <c r="AQ2" i="45"/>
  <c r="AQ3" i="45"/>
  <c r="AQ4" i="45"/>
  <c r="AQ5" i="45"/>
  <c r="AQ6" i="45"/>
  <c r="AQ7" i="45"/>
  <c r="AQ8" i="45"/>
  <c r="AQ9" i="45"/>
  <c r="AQ10" i="45"/>
  <c r="AQ11" i="45"/>
  <c r="AQ12" i="45"/>
  <c r="AQ13" i="45"/>
  <c r="AQ14" i="45"/>
  <c r="AQ15" i="45"/>
  <c r="AQ16" i="45"/>
  <c r="AQ17" i="45"/>
  <c r="AQ18" i="45"/>
  <c r="AQ19" i="45"/>
  <c r="AQ20" i="45"/>
  <c r="AQ21" i="45"/>
  <c r="AQ22" i="45"/>
  <c r="AQ23" i="45"/>
  <c r="AQ24" i="45"/>
  <c r="AQ25" i="45"/>
  <c r="AQ26" i="45"/>
  <c r="AQ27" i="45"/>
  <c r="AQ28" i="45"/>
  <c r="AQ29" i="45"/>
  <c r="AQ30" i="45"/>
  <c r="AQ31" i="45"/>
  <c r="AQ32" i="45"/>
  <c r="AQ33" i="45"/>
  <c r="AQ34" i="45"/>
  <c r="AQ35" i="45"/>
  <c r="AQ36" i="45"/>
  <c r="AQ37" i="45"/>
  <c r="AQ38" i="45"/>
  <c r="AQ39" i="45"/>
  <c r="AQ40" i="45"/>
  <c r="AQ41" i="45"/>
  <c r="AQ42" i="45"/>
  <c r="AQ43" i="45"/>
  <c r="AQ44" i="45"/>
  <c r="AQ45" i="45"/>
  <c r="AQ46" i="45"/>
  <c r="AQ47" i="45"/>
  <c r="AQ48" i="45"/>
  <c r="AQ49" i="45"/>
  <c r="AQ50" i="45"/>
  <c r="AQ51" i="45"/>
  <c r="AQ52" i="45"/>
  <c r="AQ53" i="45"/>
  <c r="AQ54" i="45"/>
  <c r="AQ55" i="45"/>
  <c r="AQ56" i="45"/>
  <c r="AQ57" i="45"/>
  <c r="AQ58" i="45"/>
  <c r="AQ59" i="45"/>
  <c r="AQ60" i="45"/>
  <c r="AQ61" i="45"/>
  <c r="AQ62" i="45"/>
  <c r="AQ63" i="45"/>
  <c r="AQ64" i="45"/>
  <c r="AQ65" i="45"/>
  <c r="AQ66" i="45"/>
  <c r="AQ67" i="45"/>
  <c r="AQ68" i="45"/>
  <c r="AQ69" i="45"/>
  <c r="AQ70" i="45"/>
  <c r="AQ71" i="45"/>
  <c r="AQ72" i="45"/>
  <c r="AQ73" i="45"/>
  <c r="AQ74" i="45"/>
  <c r="AQ75" i="45"/>
  <c r="AQ76" i="45"/>
  <c r="AQ77" i="45"/>
  <c r="AQ78" i="45"/>
  <c r="AQ79" i="45"/>
  <c r="AQ80" i="45"/>
  <c r="AQ81" i="45"/>
  <c r="AQ82" i="45"/>
  <c r="AQ83" i="45"/>
  <c r="AQ84" i="45"/>
  <c r="AQ85" i="45"/>
  <c r="AQ86" i="45"/>
  <c r="AQ87" i="45"/>
  <c r="AQ88" i="45"/>
  <c r="AQ89" i="45"/>
  <c r="AQ90" i="45"/>
  <c r="AQ91" i="45"/>
  <c r="AQ92" i="45"/>
  <c r="AQ93" i="45"/>
  <c r="AQ94" i="45"/>
  <c r="AQ95" i="45"/>
  <c r="AQ96" i="45"/>
  <c r="AQ97" i="45"/>
  <c r="AQ98" i="45"/>
  <c r="AQ99" i="45"/>
  <c r="AQ100" i="45"/>
  <c r="AQ101" i="45"/>
  <c r="AQ102" i="45"/>
  <c r="AQ103" i="45"/>
  <c r="AQ104" i="45"/>
  <c r="AQ105" i="45"/>
  <c r="AQ106" i="45"/>
  <c r="AQ107" i="45"/>
  <c r="AQ108" i="45"/>
  <c r="AQ109" i="45"/>
  <c r="AQ110" i="45"/>
  <c r="AQ111" i="45"/>
  <c r="AQ112" i="45"/>
  <c r="AQ113" i="45"/>
  <c r="AQ114" i="45"/>
  <c r="AQ115" i="45"/>
  <c r="AQ116" i="45"/>
  <c r="AQ117" i="45"/>
  <c r="AQ118" i="45"/>
  <c r="AQ119" i="45"/>
  <c r="AQ120" i="45"/>
  <c r="AQ121" i="45"/>
  <c r="AQ122" i="45"/>
  <c r="AQ123" i="45"/>
  <c r="AQ124" i="45"/>
  <c r="AQ125" i="45"/>
  <c r="AQ126" i="45"/>
  <c r="AQ127" i="45"/>
  <c r="AQ128" i="45"/>
  <c r="AQ129" i="45"/>
  <c r="AQ130" i="45"/>
  <c r="AQ131" i="45"/>
  <c r="AQ132" i="45"/>
  <c r="AQ133" i="45"/>
  <c r="AQ134" i="45"/>
  <c r="AQ135" i="45"/>
  <c r="AQ136" i="45"/>
  <c r="AQ137" i="45"/>
  <c r="AQ138" i="45"/>
  <c r="AQ139" i="45"/>
  <c r="AQ140" i="45"/>
  <c r="AQ141" i="45"/>
  <c r="AQ142" i="45"/>
  <c r="AQ143" i="45"/>
  <c r="AQ144" i="45"/>
  <c r="AQ145" i="45"/>
  <c r="AQ146" i="45"/>
  <c r="AQ147" i="45"/>
  <c r="AQ148" i="45"/>
  <c r="AQ149" i="45"/>
  <c r="AQ150" i="45"/>
  <c r="AQ151" i="45"/>
  <c r="AQ152" i="45"/>
  <c r="AQ153" i="45"/>
  <c r="AQ154" i="45"/>
  <c r="AQ155" i="45"/>
  <c r="AQ156" i="45"/>
  <c r="AQ157" i="45"/>
  <c r="AQ158" i="45"/>
  <c r="AQ159" i="45"/>
  <c r="AQ160" i="45"/>
  <c r="AQ161" i="45"/>
  <c r="AQ162" i="45"/>
  <c r="AQ163" i="45"/>
  <c r="AQ164" i="45"/>
  <c r="AQ165" i="45"/>
  <c r="AQ166" i="45"/>
  <c r="AQ167" i="45"/>
  <c r="AQ168" i="45"/>
  <c r="AQ169" i="45"/>
  <c r="AQ170" i="45"/>
  <c r="AQ171" i="45"/>
  <c r="AQ172" i="45"/>
  <c r="AQ173" i="45"/>
  <c r="AQ174" i="45"/>
  <c r="AQ175" i="45"/>
  <c r="AQ176" i="45"/>
  <c r="AQ177" i="45"/>
  <c r="AQ178" i="45"/>
  <c r="AQ179" i="45"/>
  <c r="AQ180" i="45"/>
  <c r="AQ181" i="45"/>
  <c r="AQ182" i="45"/>
  <c r="AQ183" i="45"/>
  <c r="AQ184" i="45"/>
  <c r="AQ185" i="45"/>
  <c r="AQ186" i="45"/>
  <c r="AQ187" i="45"/>
  <c r="AQ188" i="45"/>
  <c r="AQ189" i="45"/>
  <c r="AQ190" i="45"/>
  <c r="AQ191" i="45"/>
  <c r="AQ192" i="45"/>
  <c r="AQ193" i="45"/>
  <c r="AQ194" i="45"/>
  <c r="AQ195" i="45"/>
  <c r="AQ196" i="45"/>
  <c r="AQ197" i="45"/>
  <c r="AQ198" i="45"/>
  <c r="AQ199" i="45"/>
  <c r="AQ200" i="45"/>
  <c r="AQ201" i="45"/>
  <c r="AQ202" i="45"/>
  <c r="AQ203" i="45"/>
  <c r="AQ204" i="45"/>
  <c r="AQ205" i="45"/>
  <c r="AQ206" i="45"/>
  <c r="AQ207" i="45"/>
  <c r="AQ208" i="45"/>
  <c r="AQ209" i="45"/>
  <c r="AQ210" i="45"/>
  <c r="AQ211" i="45"/>
  <c r="AQ212" i="45"/>
  <c r="AQ213" i="45"/>
  <c r="AQ214" i="45"/>
  <c r="AQ215" i="45"/>
  <c r="AQ216" i="45"/>
  <c r="AQ217" i="45"/>
  <c r="AQ218" i="45"/>
  <c r="AQ219" i="45"/>
  <c r="AQ220" i="45"/>
  <c r="AQ221" i="45"/>
  <c r="AQ222" i="45"/>
  <c r="AQ223" i="45"/>
  <c r="AQ224" i="45"/>
  <c r="AQ225" i="45"/>
  <c r="AQ226" i="45"/>
  <c r="AQ227" i="45"/>
  <c r="AQ228" i="45"/>
  <c r="AQ229" i="45"/>
  <c r="AQ230" i="45"/>
  <c r="AQ231" i="45"/>
  <c r="AQ232" i="45"/>
  <c r="AQ233" i="45"/>
  <c r="AQ234" i="45"/>
  <c r="AQ235" i="45"/>
  <c r="AQ236" i="45"/>
  <c r="AQ237" i="45"/>
  <c r="AQ238" i="45"/>
  <c r="AQ239" i="45"/>
  <c r="AQ240" i="45"/>
  <c r="AQ241" i="45"/>
  <c r="AQ242" i="45"/>
  <c r="AQ243" i="45"/>
  <c r="AQ244" i="45"/>
  <c r="AQ245" i="45"/>
  <c r="AQ246" i="45"/>
  <c r="AQ247" i="45"/>
  <c r="AQ248" i="45"/>
  <c r="AQ249" i="45"/>
  <c r="AQ250" i="45"/>
  <c r="AQ251" i="45"/>
  <c r="AQ252" i="45"/>
  <c r="AQ253" i="45"/>
  <c r="AQ254" i="45"/>
  <c r="AQ255" i="45"/>
  <c r="AQ256" i="45"/>
  <c r="AQ257" i="45"/>
  <c r="AQ258" i="45"/>
  <c r="AQ259" i="45"/>
  <c r="AQ260" i="45"/>
  <c r="AQ261" i="45"/>
  <c r="AQ262" i="45"/>
  <c r="AQ263" i="45"/>
  <c r="AQ264" i="45"/>
  <c r="AQ265" i="45"/>
  <c r="AQ266" i="45"/>
  <c r="AQ267" i="45"/>
  <c r="AQ268" i="45"/>
  <c r="AQ269" i="45"/>
  <c r="AQ270" i="45"/>
  <c r="AQ271" i="45"/>
  <c r="AQ272" i="45"/>
  <c r="AQ273" i="45"/>
  <c r="AQ274" i="45"/>
  <c r="AQ275" i="45"/>
  <c r="AQ276" i="45"/>
  <c r="AQ277" i="45"/>
  <c r="AQ278" i="45"/>
  <c r="AQ279" i="45"/>
  <c r="AQ280" i="45"/>
  <c r="AQ281" i="45"/>
  <c r="AQ282" i="45"/>
  <c r="AQ283" i="45"/>
  <c r="AQ284" i="45"/>
  <c r="AQ285" i="45"/>
  <c r="AQ286" i="45"/>
  <c r="AQ287" i="45"/>
  <c r="AQ288" i="45"/>
  <c r="AQ289" i="45"/>
  <c r="AQ290" i="45"/>
  <c r="AQ291" i="45"/>
  <c r="AQ292" i="45"/>
  <c r="AQ293" i="45"/>
  <c r="AQ294" i="45"/>
  <c r="AQ295" i="45"/>
  <c r="AQ296" i="45"/>
  <c r="AQ297" i="45"/>
  <c r="AQ298" i="45"/>
  <c r="AQ299" i="45"/>
  <c r="AQ300" i="45"/>
  <c r="AQ301" i="45"/>
  <c r="AQ302" i="45"/>
  <c r="AQ303" i="45"/>
  <c r="AQ304" i="45"/>
  <c r="AQ305" i="45"/>
  <c r="AQ306" i="45"/>
  <c r="AQ307" i="45"/>
  <c r="AQ308" i="45"/>
  <c r="AQ309" i="45"/>
  <c r="AQ310" i="45"/>
  <c r="AQ311" i="45"/>
  <c r="AQ312" i="45"/>
  <c r="AQ313" i="45"/>
  <c r="AQ314" i="45"/>
  <c r="AQ315" i="45"/>
  <c r="AQ316" i="45"/>
  <c r="AQ317" i="45"/>
  <c r="AQ318" i="45"/>
  <c r="AQ319" i="45"/>
  <c r="AQ320" i="45"/>
  <c r="AQ321" i="45"/>
  <c r="AQ322" i="45"/>
  <c r="AQ323" i="45"/>
  <c r="AQ324" i="45"/>
  <c r="AQ325" i="45"/>
  <c r="AQ326" i="45"/>
  <c r="AQ327" i="45"/>
  <c r="AQ328" i="45"/>
  <c r="AQ329" i="45"/>
  <c r="AQ330" i="45"/>
  <c r="AQ331" i="45"/>
  <c r="AQ332" i="45"/>
  <c r="AQ333" i="45"/>
  <c r="AQ334" i="45"/>
  <c r="AQ335" i="45"/>
  <c r="AQ336" i="45"/>
  <c r="AQ337" i="45"/>
  <c r="AQ338" i="45"/>
  <c r="AQ339" i="45"/>
  <c r="AQ340" i="45"/>
  <c r="AQ341" i="45"/>
  <c r="AQ342" i="45"/>
  <c r="AQ343" i="45"/>
  <c r="AQ344" i="45"/>
  <c r="AQ345" i="45"/>
  <c r="AQ346" i="45"/>
  <c r="AQ347" i="45"/>
  <c r="AQ348" i="45"/>
  <c r="AQ349" i="45"/>
  <c r="AQ350" i="45"/>
  <c r="AQ351" i="45"/>
  <c r="AQ352" i="45"/>
  <c r="AQ353" i="45"/>
  <c r="AQ354" i="45"/>
  <c r="AQ355" i="45"/>
  <c r="AQ356" i="45"/>
  <c r="AQ357" i="45"/>
  <c r="AQ358" i="45"/>
  <c r="AQ359" i="45"/>
  <c r="AQ360" i="45"/>
  <c r="AQ361" i="45"/>
  <c r="AQ362" i="45"/>
  <c r="AQ363" i="45"/>
  <c r="AQ364" i="45"/>
  <c r="AQ365" i="45"/>
  <c r="AQ366" i="45"/>
  <c r="AQ367" i="45"/>
  <c r="AQ368" i="45"/>
  <c r="AQ369" i="45"/>
  <c r="AQ370" i="45"/>
  <c r="AQ371" i="45"/>
  <c r="AQ372" i="45"/>
  <c r="AQ373" i="45"/>
  <c r="AQ374" i="45"/>
  <c r="AQ375" i="45"/>
  <c r="AQ376" i="45"/>
  <c r="AQ377" i="45"/>
  <c r="AQ378" i="45"/>
  <c r="AQ379" i="45"/>
  <c r="AQ380" i="45"/>
  <c r="AQ381" i="45"/>
  <c r="AQ382" i="45"/>
  <c r="AQ383" i="45"/>
  <c r="AQ384" i="45"/>
  <c r="AQ385" i="45"/>
  <c r="AQ386" i="45"/>
  <c r="AQ387" i="45"/>
  <c r="AQ388" i="45"/>
  <c r="AQ389" i="45"/>
  <c r="AQ390" i="45"/>
  <c r="AQ391" i="45"/>
  <c r="AQ392" i="45"/>
  <c r="AQ393" i="45"/>
  <c r="AQ394" i="45"/>
  <c r="AQ395" i="45"/>
  <c r="AQ396" i="45"/>
  <c r="AQ397" i="45"/>
  <c r="AQ398" i="45"/>
  <c r="AQ399" i="45"/>
  <c r="AQ400" i="45"/>
  <c r="AQ401" i="45"/>
  <c r="AQ402" i="45"/>
  <c r="AQ403" i="45"/>
  <c r="AQ404" i="45"/>
  <c r="AQ405" i="45"/>
  <c r="AQ406" i="45"/>
  <c r="AQ407" i="45"/>
  <c r="AQ408" i="45"/>
  <c r="AQ409" i="45"/>
  <c r="AQ410" i="45"/>
  <c r="AR2" i="45"/>
  <c r="AR3" i="45"/>
  <c r="AR4" i="45"/>
  <c r="AR5" i="45"/>
  <c r="AR6" i="45"/>
  <c r="AR7" i="45"/>
  <c r="AR8" i="45"/>
  <c r="AR9" i="45"/>
  <c r="AR10" i="45"/>
  <c r="AR11" i="45"/>
  <c r="AR12" i="45"/>
  <c r="AR13" i="45"/>
  <c r="AR14" i="45"/>
  <c r="AR15" i="45"/>
  <c r="AR16" i="45"/>
  <c r="AR17" i="45"/>
  <c r="AR18" i="45"/>
  <c r="AR19" i="45"/>
  <c r="AR20" i="45"/>
  <c r="AR21" i="45"/>
  <c r="AR22" i="45"/>
  <c r="AR23" i="45"/>
  <c r="AR24" i="45"/>
  <c r="AR25" i="45"/>
  <c r="AR26" i="45"/>
  <c r="AR27" i="45"/>
  <c r="AR28" i="45"/>
  <c r="AR29" i="45"/>
  <c r="AR30" i="45"/>
  <c r="AR31" i="45"/>
  <c r="AR32" i="45"/>
  <c r="AR33" i="45"/>
  <c r="AR34" i="45"/>
  <c r="AR35" i="45"/>
  <c r="AR36" i="45"/>
  <c r="AR37" i="45"/>
  <c r="AR38" i="45"/>
  <c r="AR39" i="45"/>
  <c r="AR40" i="45"/>
  <c r="AR41" i="45"/>
  <c r="AR42" i="45"/>
  <c r="AR43" i="45"/>
  <c r="AR44" i="45"/>
  <c r="AR45" i="45"/>
  <c r="AR46" i="45"/>
  <c r="AR47" i="45"/>
  <c r="AR48" i="45"/>
  <c r="AR49" i="45"/>
  <c r="AR50" i="45"/>
  <c r="AR51" i="45"/>
  <c r="AR52" i="45"/>
  <c r="AR53" i="45"/>
  <c r="AR54" i="45"/>
  <c r="AR55" i="45"/>
  <c r="AR56" i="45"/>
  <c r="AR57" i="45"/>
  <c r="AR58" i="45"/>
  <c r="AR59" i="45"/>
  <c r="AR60" i="45"/>
  <c r="AR61" i="45"/>
  <c r="AR62" i="45"/>
  <c r="AR63" i="45"/>
  <c r="AR64" i="45"/>
  <c r="AR65" i="45"/>
  <c r="AR66" i="45"/>
  <c r="AR67" i="45"/>
  <c r="AR68" i="45"/>
  <c r="AR69" i="45"/>
  <c r="AR70" i="45"/>
  <c r="AR71" i="45"/>
  <c r="AR72" i="45"/>
  <c r="AR73" i="45"/>
  <c r="AR74" i="45"/>
  <c r="AR75" i="45"/>
  <c r="AR76" i="45"/>
  <c r="AR77" i="45"/>
  <c r="AR78" i="45"/>
  <c r="AR79" i="45"/>
  <c r="AR80" i="45"/>
  <c r="AR81" i="45"/>
  <c r="AR82" i="45"/>
  <c r="AR83" i="45"/>
  <c r="AR84" i="45"/>
  <c r="AR85" i="45"/>
  <c r="AR86" i="45"/>
  <c r="AR87" i="45"/>
  <c r="AR88" i="45"/>
  <c r="AR89" i="45"/>
  <c r="AR90" i="45"/>
  <c r="AR91" i="45"/>
  <c r="AR92" i="45"/>
  <c r="AR93" i="45"/>
  <c r="AR94" i="45"/>
  <c r="AR95" i="45"/>
  <c r="AR96" i="45"/>
  <c r="AR97" i="45"/>
  <c r="AR98" i="45"/>
  <c r="AR99" i="45"/>
  <c r="AR100" i="45"/>
  <c r="AR101" i="45"/>
  <c r="AR102" i="45"/>
  <c r="AR103" i="45"/>
  <c r="AR104" i="45"/>
  <c r="AR105" i="45"/>
  <c r="AR106" i="45"/>
  <c r="AR107" i="45"/>
  <c r="AR108" i="45"/>
  <c r="AR109" i="45"/>
  <c r="AR110" i="45"/>
  <c r="AR111" i="45"/>
  <c r="AR112" i="45"/>
  <c r="AR113" i="45"/>
  <c r="AR114" i="45"/>
  <c r="AR115" i="45"/>
  <c r="AR116" i="45"/>
  <c r="AR117" i="45"/>
  <c r="AR118" i="45"/>
  <c r="AR119" i="45"/>
  <c r="AR120" i="45"/>
  <c r="AR121" i="45"/>
  <c r="AR122" i="45"/>
  <c r="AR123" i="45"/>
  <c r="AR124" i="45"/>
  <c r="AR125" i="45"/>
  <c r="AR126" i="45"/>
  <c r="AR127" i="45"/>
  <c r="AR128" i="45"/>
  <c r="AR129" i="45"/>
  <c r="AR130" i="45"/>
  <c r="AR131" i="45"/>
  <c r="AR132" i="45"/>
  <c r="AR133" i="45"/>
  <c r="AR134" i="45"/>
  <c r="AR135" i="45"/>
  <c r="AR136" i="45"/>
  <c r="AR137" i="45"/>
  <c r="AR138" i="45"/>
  <c r="AR139" i="45"/>
  <c r="AR140" i="45"/>
  <c r="AR141" i="45"/>
  <c r="AR142" i="45"/>
  <c r="AR143" i="45"/>
  <c r="AR144" i="45"/>
  <c r="AR145" i="45"/>
  <c r="AR146" i="45"/>
  <c r="AR147" i="45"/>
  <c r="AR148" i="45"/>
  <c r="AR149" i="45"/>
  <c r="AR150" i="45"/>
  <c r="AR151" i="45"/>
  <c r="AR152" i="45"/>
  <c r="AR153" i="45"/>
  <c r="AR154" i="45"/>
  <c r="AR155" i="45"/>
  <c r="AR156" i="45"/>
  <c r="AR157" i="45"/>
  <c r="AR158" i="45"/>
  <c r="AR159" i="45"/>
  <c r="AR160" i="45"/>
  <c r="AR161" i="45"/>
  <c r="AR162" i="45"/>
  <c r="AR163" i="45"/>
  <c r="AR164" i="45"/>
  <c r="AR165" i="45"/>
  <c r="AR166" i="45"/>
  <c r="AR167" i="45"/>
  <c r="AR168" i="45"/>
  <c r="AR169" i="45"/>
  <c r="AR170" i="45"/>
  <c r="AR171" i="45"/>
  <c r="AR172" i="45"/>
  <c r="AR173" i="45"/>
  <c r="AR174" i="45"/>
  <c r="AR175" i="45"/>
  <c r="AR176" i="45"/>
  <c r="AR177" i="45"/>
  <c r="AR178" i="45"/>
  <c r="AR179" i="45"/>
  <c r="AR180" i="45"/>
  <c r="AR181" i="45"/>
  <c r="AR182" i="45"/>
  <c r="AR183" i="45"/>
  <c r="AR184" i="45"/>
  <c r="AR185" i="45"/>
  <c r="AR186" i="45"/>
  <c r="AR187" i="45"/>
  <c r="AR188" i="45"/>
  <c r="AR189" i="45"/>
  <c r="AR190" i="45"/>
  <c r="AR191" i="45"/>
  <c r="AR192" i="45"/>
  <c r="AR193" i="45"/>
  <c r="AR194" i="45"/>
  <c r="AR195" i="45"/>
  <c r="AR196" i="45"/>
  <c r="AR197" i="45"/>
  <c r="AR198" i="45"/>
  <c r="AR199" i="45"/>
  <c r="AR200" i="45"/>
  <c r="AR201" i="45"/>
  <c r="AR202" i="45"/>
  <c r="AR203" i="45"/>
  <c r="AR204" i="45"/>
  <c r="AR205" i="45"/>
  <c r="AR206" i="45"/>
  <c r="AR207" i="45"/>
  <c r="AR208" i="45"/>
  <c r="AR209" i="45"/>
  <c r="AR210" i="45"/>
  <c r="AR211" i="45"/>
  <c r="AR212" i="45"/>
  <c r="AR213" i="45"/>
  <c r="AR214" i="45"/>
  <c r="AR215" i="45"/>
  <c r="AR216" i="45"/>
  <c r="AR217" i="45"/>
  <c r="AR218" i="45"/>
  <c r="AR219" i="45"/>
  <c r="AR220" i="45"/>
  <c r="AR221" i="45"/>
  <c r="AR222" i="45"/>
  <c r="AR223" i="45"/>
  <c r="AR224" i="45"/>
  <c r="AR225" i="45"/>
  <c r="AR226" i="45"/>
  <c r="AR227" i="45"/>
  <c r="AR228" i="45"/>
  <c r="AR229" i="45"/>
  <c r="AR230" i="45"/>
  <c r="AR231" i="45"/>
  <c r="AR232" i="45"/>
  <c r="AR233" i="45"/>
  <c r="AR234" i="45"/>
  <c r="AR235" i="45"/>
  <c r="AR236" i="45"/>
  <c r="AR237" i="45"/>
  <c r="AR238" i="45"/>
  <c r="AR239" i="45"/>
  <c r="AR240" i="45"/>
  <c r="AR241" i="45"/>
  <c r="AR242" i="45"/>
  <c r="AR243" i="45"/>
  <c r="AR244" i="45"/>
  <c r="AR245" i="45"/>
  <c r="AR246" i="45"/>
  <c r="AR247" i="45"/>
  <c r="AR248" i="45"/>
  <c r="AR249" i="45"/>
  <c r="AR250" i="45"/>
  <c r="AR251" i="45"/>
  <c r="AR252" i="45"/>
  <c r="AR253" i="45"/>
  <c r="AR254" i="45"/>
  <c r="AR255" i="45"/>
  <c r="AR256" i="45"/>
  <c r="AR257" i="45"/>
  <c r="AR258" i="45"/>
  <c r="AR259" i="45"/>
  <c r="AR260" i="45"/>
  <c r="AR261" i="45"/>
  <c r="AR262" i="45"/>
  <c r="AR263" i="45"/>
  <c r="AR264" i="45"/>
  <c r="AR265" i="45"/>
  <c r="AR266" i="45"/>
  <c r="AR267" i="45"/>
  <c r="AR268" i="45"/>
  <c r="AR269" i="45"/>
  <c r="AR270" i="45"/>
  <c r="AR271" i="45"/>
  <c r="AR272" i="45"/>
  <c r="AR273" i="45"/>
  <c r="AR274" i="45"/>
  <c r="AR275" i="45"/>
  <c r="AR276" i="45"/>
  <c r="AR277" i="45"/>
  <c r="AR278" i="45"/>
  <c r="AR279" i="45"/>
  <c r="AR280" i="45"/>
  <c r="AR281" i="45"/>
  <c r="AR282" i="45"/>
  <c r="AR283" i="45"/>
  <c r="AR284" i="45"/>
  <c r="AR285" i="45"/>
  <c r="AR286" i="45"/>
  <c r="AR287" i="45"/>
  <c r="AR288" i="45"/>
  <c r="AR289" i="45"/>
  <c r="AR290" i="45"/>
  <c r="AR291" i="45"/>
  <c r="AR292" i="45"/>
  <c r="AR293" i="45"/>
  <c r="AR294" i="45"/>
  <c r="AR295" i="45"/>
  <c r="AR296" i="45"/>
  <c r="AR297" i="45"/>
  <c r="AR298" i="45"/>
  <c r="AR299" i="45"/>
  <c r="AR300" i="45"/>
  <c r="AR301" i="45"/>
  <c r="AR302" i="45"/>
  <c r="AR303" i="45"/>
  <c r="AR304" i="45"/>
  <c r="AR305" i="45"/>
  <c r="AR306" i="45"/>
  <c r="AR307" i="45"/>
  <c r="AR308" i="45"/>
  <c r="AR309" i="45"/>
  <c r="AR310" i="45"/>
  <c r="AR311" i="45"/>
  <c r="AR312" i="45"/>
  <c r="AR313" i="45"/>
  <c r="AR314" i="45"/>
  <c r="AR315" i="45"/>
  <c r="AR316" i="45"/>
  <c r="AR317" i="45"/>
  <c r="AR318" i="45"/>
  <c r="AR319" i="45"/>
  <c r="AR320" i="45"/>
  <c r="AR321" i="45"/>
  <c r="AR322" i="45"/>
  <c r="AR323" i="45"/>
  <c r="AR324" i="45"/>
  <c r="AR325" i="45"/>
  <c r="AR326" i="45"/>
  <c r="AR327" i="45"/>
  <c r="AR328" i="45"/>
  <c r="AR329" i="45"/>
  <c r="AR330" i="45"/>
  <c r="AR331" i="45"/>
  <c r="AR332" i="45"/>
  <c r="AR333" i="45"/>
  <c r="AR334" i="45"/>
  <c r="AR335" i="45"/>
  <c r="AR336" i="45"/>
  <c r="AR337" i="45"/>
  <c r="AR338" i="45"/>
  <c r="AR339" i="45"/>
  <c r="AR340" i="45"/>
  <c r="AR341" i="45"/>
  <c r="AR342" i="45"/>
  <c r="AR343" i="45"/>
  <c r="AR344" i="45"/>
  <c r="AR345" i="45"/>
  <c r="AR346" i="45"/>
  <c r="AR347" i="45"/>
  <c r="AR348" i="45"/>
  <c r="AR349" i="45"/>
  <c r="AR350" i="45"/>
  <c r="AR351" i="45"/>
  <c r="AR352" i="45"/>
  <c r="AR353" i="45"/>
  <c r="AR354" i="45"/>
  <c r="AR355" i="45"/>
  <c r="AR356" i="45"/>
  <c r="AR357" i="45"/>
  <c r="AR358" i="45"/>
  <c r="AR359" i="45"/>
  <c r="AR360" i="45"/>
  <c r="AR361" i="45"/>
  <c r="AR362" i="45"/>
  <c r="AR363" i="45"/>
  <c r="AR364" i="45"/>
  <c r="AR365" i="45"/>
  <c r="AR366" i="45"/>
  <c r="AR367" i="45"/>
  <c r="AR368" i="45"/>
  <c r="AR369" i="45"/>
  <c r="AR370" i="45"/>
  <c r="AR371" i="45"/>
  <c r="AR372" i="45"/>
  <c r="AR373" i="45"/>
  <c r="AR374" i="45"/>
  <c r="AR375" i="45"/>
  <c r="AR376" i="45"/>
  <c r="AR377" i="45"/>
  <c r="AR378" i="45"/>
  <c r="AR379" i="45"/>
  <c r="AR380" i="45"/>
  <c r="AR381" i="45"/>
  <c r="AR382" i="45"/>
  <c r="AR383" i="45"/>
  <c r="AR384" i="45"/>
  <c r="AR385" i="45"/>
  <c r="AR386" i="45"/>
  <c r="AR387" i="45"/>
  <c r="AR388" i="45"/>
  <c r="AR389" i="45"/>
  <c r="AR390" i="45"/>
  <c r="AR391" i="45"/>
  <c r="AR392" i="45"/>
  <c r="AR393" i="45"/>
  <c r="AR394" i="45"/>
  <c r="AR395" i="45"/>
  <c r="AR396" i="45"/>
  <c r="AR397" i="45"/>
  <c r="AR398" i="45"/>
  <c r="AR399" i="45"/>
  <c r="AR400" i="45"/>
  <c r="AR401" i="45"/>
  <c r="AR402" i="45"/>
  <c r="AR403" i="45"/>
  <c r="AR404" i="45"/>
  <c r="AR405" i="45"/>
  <c r="AR406" i="45"/>
  <c r="AR407" i="45"/>
  <c r="AR408" i="45"/>
  <c r="AR409" i="45"/>
  <c r="AR410" i="45"/>
  <c r="AS2" i="45"/>
  <c r="AS3" i="45"/>
  <c r="AS4" i="45"/>
  <c r="AS5" i="45"/>
  <c r="AS6" i="45"/>
  <c r="AS7" i="45"/>
  <c r="AS8" i="45"/>
  <c r="AS9" i="45"/>
  <c r="AS10" i="45"/>
  <c r="AS11" i="45"/>
  <c r="AS12" i="45"/>
  <c r="AS13" i="45"/>
  <c r="AS14" i="45"/>
  <c r="AS15" i="45"/>
  <c r="AS16" i="45"/>
  <c r="AS17" i="45"/>
  <c r="AS18" i="45"/>
  <c r="AS19" i="45"/>
  <c r="AS20" i="45"/>
  <c r="AS21" i="45"/>
  <c r="AS22" i="45"/>
  <c r="AS23" i="45"/>
  <c r="AS24" i="45"/>
  <c r="AS25" i="45"/>
  <c r="AS26" i="45"/>
  <c r="AS27" i="45"/>
  <c r="AS28" i="45"/>
  <c r="AS29" i="45"/>
  <c r="AS30" i="45"/>
  <c r="AS31" i="45"/>
  <c r="AS32" i="45"/>
  <c r="AS33" i="45"/>
  <c r="AS34" i="45"/>
  <c r="AS35" i="45"/>
  <c r="AS36" i="45"/>
  <c r="AS37" i="45"/>
  <c r="AS38" i="45"/>
  <c r="AS39" i="45"/>
  <c r="AS40" i="45"/>
  <c r="AS41" i="45"/>
  <c r="AS42" i="45"/>
  <c r="AS43" i="45"/>
  <c r="AS44" i="45"/>
  <c r="AS45" i="45"/>
  <c r="AS46" i="45"/>
  <c r="AS47" i="45"/>
  <c r="AS48" i="45"/>
  <c r="AS49" i="45"/>
  <c r="AS50" i="45"/>
  <c r="AS51" i="45"/>
  <c r="AS52" i="45"/>
  <c r="AS53" i="45"/>
  <c r="AS54" i="45"/>
  <c r="AS55" i="45"/>
  <c r="AS56" i="45"/>
  <c r="AS57" i="45"/>
  <c r="AS58" i="45"/>
  <c r="AS59" i="45"/>
  <c r="AS60" i="45"/>
  <c r="AS61" i="45"/>
  <c r="AS62" i="45"/>
  <c r="AS63" i="45"/>
  <c r="AS64" i="45"/>
  <c r="AS65" i="45"/>
  <c r="AS66" i="45"/>
  <c r="AS67" i="45"/>
  <c r="AS68" i="45"/>
  <c r="AS69" i="45"/>
  <c r="AS70" i="45"/>
  <c r="AS71" i="45"/>
  <c r="AS72" i="45"/>
  <c r="AS73" i="45"/>
  <c r="AS74" i="45"/>
  <c r="AS75" i="45"/>
  <c r="AS76" i="45"/>
  <c r="AS77" i="45"/>
  <c r="AS78" i="45"/>
  <c r="AS79" i="45"/>
  <c r="AS80" i="45"/>
  <c r="AS81" i="45"/>
  <c r="AS82" i="45"/>
  <c r="AS83" i="45"/>
  <c r="AS84" i="45"/>
  <c r="AS85" i="45"/>
  <c r="AS86" i="45"/>
  <c r="AS87" i="45"/>
  <c r="AS88" i="45"/>
  <c r="AS89" i="45"/>
  <c r="AS90" i="45"/>
  <c r="AS91" i="45"/>
  <c r="AS92" i="45"/>
  <c r="AS93" i="45"/>
  <c r="AS94" i="45"/>
  <c r="AS95" i="45"/>
  <c r="AS96" i="45"/>
  <c r="AS97" i="45"/>
  <c r="AS98" i="45"/>
  <c r="AS99" i="45"/>
  <c r="AS100" i="45"/>
  <c r="AS101" i="45"/>
  <c r="AS102" i="45"/>
  <c r="AS103" i="45"/>
  <c r="AS104" i="45"/>
  <c r="AS105" i="45"/>
  <c r="AS106" i="45"/>
  <c r="AS107" i="45"/>
  <c r="AS108" i="45"/>
  <c r="AS109" i="45"/>
  <c r="AS110" i="45"/>
  <c r="AS111" i="45"/>
  <c r="AS112" i="45"/>
  <c r="AS113" i="45"/>
  <c r="AS114" i="45"/>
  <c r="AS115" i="45"/>
  <c r="AS116" i="45"/>
  <c r="AS117" i="45"/>
  <c r="AS118" i="45"/>
  <c r="AS119" i="45"/>
  <c r="AS120" i="45"/>
  <c r="AS121" i="45"/>
  <c r="AS122" i="45"/>
  <c r="AS123" i="45"/>
  <c r="AS124" i="45"/>
  <c r="AS125" i="45"/>
  <c r="AS126" i="45"/>
  <c r="AS127" i="45"/>
  <c r="AS128" i="45"/>
  <c r="AS129" i="45"/>
  <c r="AS130" i="45"/>
  <c r="AS131" i="45"/>
  <c r="AS132" i="45"/>
  <c r="AS133" i="45"/>
  <c r="AS134" i="45"/>
  <c r="AS135" i="45"/>
  <c r="AS136" i="45"/>
  <c r="AS137" i="45"/>
  <c r="AS138" i="45"/>
  <c r="AS139" i="45"/>
  <c r="AS140" i="45"/>
  <c r="AS141" i="45"/>
  <c r="AS142" i="45"/>
  <c r="AS143" i="45"/>
  <c r="AS144" i="45"/>
  <c r="AS145" i="45"/>
  <c r="AS146" i="45"/>
  <c r="AS147" i="45"/>
  <c r="AS148" i="45"/>
  <c r="AS149" i="45"/>
  <c r="AS150" i="45"/>
  <c r="AS151" i="45"/>
  <c r="AS152" i="45"/>
  <c r="AS153" i="45"/>
  <c r="AS154" i="45"/>
  <c r="AS155" i="45"/>
  <c r="AS156" i="45"/>
  <c r="AS157" i="45"/>
  <c r="AS158" i="45"/>
  <c r="AS159" i="45"/>
  <c r="AS160" i="45"/>
  <c r="AS161" i="45"/>
  <c r="AS162" i="45"/>
  <c r="AS163" i="45"/>
  <c r="AS164" i="45"/>
  <c r="AS165" i="45"/>
  <c r="AS166" i="45"/>
  <c r="AS167" i="45"/>
  <c r="AS168" i="45"/>
  <c r="AS169" i="45"/>
  <c r="AS170" i="45"/>
  <c r="AS171" i="45"/>
  <c r="AS172" i="45"/>
  <c r="AS173" i="45"/>
  <c r="AS174" i="45"/>
  <c r="AS175" i="45"/>
  <c r="AS176" i="45"/>
  <c r="AS177" i="45"/>
  <c r="AS178" i="45"/>
  <c r="AS179" i="45"/>
  <c r="AS180" i="45"/>
  <c r="AS181" i="45"/>
  <c r="AS182" i="45"/>
  <c r="AS183" i="45"/>
  <c r="AS184" i="45"/>
  <c r="AS185" i="45"/>
  <c r="AS186" i="45"/>
  <c r="AS187" i="45"/>
  <c r="AS188" i="45"/>
  <c r="AS189" i="45"/>
  <c r="AS190" i="45"/>
  <c r="AS191" i="45"/>
  <c r="AS192" i="45"/>
  <c r="AS193" i="45"/>
  <c r="AS194" i="45"/>
  <c r="AS195" i="45"/>
  <c r="AS196" i="45"/>
  <c r="AS197" i="45"/>
  <c r="AS198" i="45"/>
  <c r="AS199" i="45"/>
  <c r="AS200" i="45"/>
  <c r="AS201" i="45"/>
  <c r="AS202" i="45"/>
  <c r="AS203" i="45"/>
  <c r="AS204" i="45"/>
  <c r="AS205" i="45"/>
  <c r="AS206" i="45"/>
  <c r="AS207" i="45"/>
  <c r="AS208" i="45"/>
  <c r="AS209" i="45"/>
  <c r="AS210" i="45"/>
  <c r="AS211" i="45"/>
  <c r="AS212" i="45"/>
  <c r="AS213" i="45"/>
  <c r="AS214" i="45"/>
  <c r="AS215" i="45"/>
  <c r="AS216" i="45"/>
  <c r="AS217" i="45"/>
  <c r="AS218" i="45"/>
  <c r="AS219" i="45"/>
  <c r="AS220" i="45"/>
  <c r="AS221" i="45"/>
  <c r="AS222" i="45"/>
  <c r="AS223" i="45"/>
  <c r="AS224" i="45"/>
  <c r="AS225" i="45"/>
  <c r="AS226" i="45"/>
  <c r="AS227" i="45"/>
  <c r="AS228" i="45"/>
  <c r="AS229" i="45"/>
  <c r="AS230" i="45"/>
  <c r="AS231" i="45"/>
  <c r="AS232" i="45"/>
  <c r="AS233" i="45"/>
  <c r="AS234" i="45"/>
  <c r="AS235" i="45"/>
  <c r="AS236" i="45"/>
  <c r="AS237" i="45"/>
  <c r="AS238" i="45"/>
  <c r="AS239" i="45"/>
  <c r="AS240" i="45"/>
  <c r="AS241" i="45"/>
  <c r="AS242" i="45"/>
  <c r="AS243" i="45"/>
  <c r="AS244" i="45"/>
  <c r="AS245" i="45"/>
  <c r="AS246" i="45"/>
  <c r="AS247" i="45"/>
  <c r="AS248" i="45"/>
  <c r="AS249" i="45"/>
  <c r="AS250" i="45"/>
  <c r="AS251" i="45"/>
  <c r="AS252" i="45"/>
  <c r="AS253" i="45"/>
  <c r="AS254" i="45"/>
  <c r="AS255" i="45"/>
  <c r="AS256" i="45"/>
  <c r="AS257" i="45"/>
  <c r="AS258" i="45"/>
  <c r="AS259" i="45"/>
  <c r="AS260" i="45"/>
  <c r="AS261" i="45"/>
  <c r="AS262" i="45"/>
  <c r="AS263" i="45"/>
  <c r="AS264" i="45"/>
  <c r="AS265" i="45"/>
  <c r="AS266" i="45"/>
  <c r="AS267" i="45"/>
  <c r="AS268" i="45"/>
  <c r="AS269" i="45"/>
  <c r="AS270" i="45"/>
  <c r="AS271" i="45"/>
  <c r="AS272" i="45"/>
  <c r="AS273" i="45"/>
  <c r="AS274" i="45"/>
  <c r="AS275" i="45"/>
  <c r="AS276" i="45"/>
  <c r="AS277" i="45"/>
  <c r="AS278" i="45"/>
  <c r="AS279" i="45"/>
  <c r="AS280" i="45"/>
  <c r="AS281" i="45"/>
  <c r="AS282" i="45"/>
  <c r="AS283" i="45"/>
  <c r="AS284" i="45"/>
  <c r="AS285" i="45"/>
  <c r="AS286" i="45"/>
  <c r="AS287" i="45"/>
  <c r="AS288" i="45"/>
  <c r="AS289" i="45"/>
  <c r="AS290" i="45"/>
  <c r="AS291" i="45"/>
  <c r="AS292" i="45"/>
  <c r="AS293" i="45"/>
  <c r="AS294" i="45"/>
  <c r="AS295" i="45"/>
  <c r="AS296" i="45"/>
  <c r="AS297" i="45"/>
  <c r="AS298" i="45"/>
  <c r="AS299" i="45"/>
  <c r="AS300" i="45"/>
  <c r="AS301" i="45"/>
  <c r="AS302" i="45"/>
  <c r="AS303" i="45"/>
  <c r="AS304" i="45"/>
  <c r="AS305" i="45"/>
  <c r="AS306" i="45"/>
  <c r="AS307" i="45"/>
  <c r="AS308" i="45"/>
  <c r="AS309" i="45"/>
  <c r="AS310" i="45"/>
  <c r="AS311" i="45"/>
  <c r="AS312" i="45"/>
  <c r="AS313" i="45"/>
  <c r="AS314" i="45"/>
  <c r="AS315" i="45"/>
  <c r="AS316" i="45"/>
  <c r="AS317" i="45"/>
  <c r="AS318" i="45"/>
  <c r="AS319" i="45"/>
  <c r="AS320" i="45"/>
  <c r="AS321" i="45"/>
  <c r="AS322" i="45"/>
  <c r="AS323" i="45"/>
  <c r="AS324" i="45"/>
  <c r="AS325" i="45"/>
  <c r="AS326" i="45"/>
  <c r="AS327" i="45"/>
  <c r="AS328" i="45"/>
  <c r="AS329" i="45"/>
  <c r="AS330" i="45"/>
  <c r="AS331" i="45"/>
  <c r="AS332" i="45"/>
  <c r="AS333" i="45"/>
  <c r="AS334" i="45"/>
  <c r="AS335" i="45"/>
  <c r="AS336" i="45"/>
  <c r="AS337" i="45"/>
  <c r="AS338" i="45"/>
  <c r="AS339" i="45"/>
  <c r="AS340" i="45"/>
  <c r="AS341" i="45"/>
  <c r="AS342" i="45"/>
  <c r="AS343" i="45"/>
  <c r="AS344" i="45"/>
  <c r="AS345" i="45"/>
  <c r="AS346" i="45"/>
  <c r="AS347" i="45"/>
  <c r="AS348" i="45"/>
  <c r="AS349" i="45"/>
  <c r="AS350" i="45"/>
  <c r="AS351" i="45"/>
  <c r="AS352" i="45"/>
  <c r="AS353" i="45"/>
  <c r="AS354" i="45"/>
  <c r="AS355" i="45"/>
  <c r="AS356" i="45"/>
  <c r="AS357" i="45"/>
  <c r="AS358" i="45"/>
  <c r="AS359" i="45"/>
  <c r="AS360" i="45"/>
  <c r="AS361" i="45"/>
  <c r="AS362" i="45"/>
  <c r="AS363" i="45"/>
  <c r="AS364" i="45"/>
  <c r="AS365" i="45"/>
  <c r="AS366" i="45"/>
  <c r="AS367" i="45"/>
  <c r="AS368" i="45"/>
  <c r="AS369" i="45"/>
  <c r="AS370" i="45"/>
  <c r="AS371" i="45"/>
  <c r="AS372" i="45"/>
  <c r="AS373" i="45"/>
  <c r="AS374" i="45"/>
  <c r="AS375" i="45"/>
  <c r="AS376" i="45"/>
  <c r="AS377" i="45"/>
  <c r="AS378" i="45"/>
  <c r="AS379" i="45"/>
  <c r="AS380" i="45"/>
  <c r="AS381" i="45"/>
  <c r="AS382" i="45"/>
  <c r="AS383" i="45"/>
  <c r="AS384" i="45"/>
  <c r="AS385" i="45"/>
  <c r="AS386" i="45"/>
  <c r="AS387" i="45"/>
  <c r="AS388" i="45"/>
  <c r="AS389" i="45"/>
  <c r="AS390" i="45"/>
  <c r="AS391" i="45"/>
  <c r="AS392" i="45"/>
  <c r="AS393" i="45"/>
  <c r="AS394" i="45"/>
  <c r="AS395" i="45"/>
  <c r="AS396" i="45"/>
  <c r="AS397" i="45"/>
  <c r="AS398" i="45"/>
  <c r="AS399" i="45"/>
  <c r="AS400" i="45"/>
  <c r="AS401" i="45"/>
  <c r="AS402" i="45"/>
  <c r="AS403" i="45"/>
  <c r="AS404" i="45"/>
  <c r="AS405" i="45"/>
  <c r="AS406" i="45"/>
  <c r="AS407" i="45"/>
  <c r="AS408" i="45"/>
  <c r="AS409" i="45"/>
  <c r="AS410" i="45"/>
  <c r="AT2" i="45"/>
  <c r="AT3" i="45"/>
  <c r="AT4" i="45"/>
  <c r="AT5" i="45"/>
  <c r="AT6" i="45"/>
  <c r="AT7" i="45"/>
  <c r="AT8" i="45"/>
  <c r="AT9" i="45"/>
  <c r="AT10" i="45"/>
  <c r="AT11" i="45"/>
  <c r="AT12" i="45"/>
  <c r="AT13" i="45"/>
  <c r="AT14" i="45"/>
  <c r="AT15" i="45"/>
  <c r="AT16" i="45"/>
  <c r="AT17" i="45"/>
  <c r="AT18" i="45"/>
  <c r="AT19" i="45"/>
  <c r="AT20" i="45"/>
  <c r="AT21" i="45"/>
  <c r="AT22" i="45"/>
  <c r="AT23" i="45"/>
  <c r="AT24" i="45"/>
  <c r="AT25" i="45"/>
  <c r="AT26" i="45"/>
  <c r="AT27" i="45"/>
  <c r="AT28" i="45"/>
  <c r="AT29" i="45"/>
  <c r="AT30" i="45"/>
  <c r="AT31" i="45"/>
  <c r="AT32" i="45"/>
  <c r="AT33" i="45"/>
  <c r="AT34" i="45"/>
  <c r="AT35" i="45"/>
  <c r="AT36" i="45"/>
  <c r="AT37" i="45"/>
  <c r="AT38" i="45"/>
  <c r="AT39" i="45"/>
  <c r="AT40" i="45"/>
  <c r="AT41" i="45"/>
  <c r="AT42" i="45"/>
  <c r="AT43" i="45"/>
  <c r="AT44" i="45"/>
  <c r="AT45" i="45"/>
  <c r="AT46" i="45"/>
  <c r="AT47" i="45"/>
  <c r="AT48" i="45"/>
  <c r="AT49" i="45"/>
  <c r="AT50" i="45"/>
  <c r="AT51" i="45"/>
  <c r="AT52" i="45"/>
  <c r="AT53" i="45"/>
  <c r="AT54" i="45"/>
  <c r="AT55" i="45"/>
  <c r="AT56" i="45"/>
  <c r="AT57" i="45"/>
  <c r="AT58" i="45"/>
  <c r="AT59" i="45"/>
  <c r="AT60" i="45"/>
  <c r="AT61" i="45"/>
  <c r="AT62" i="45"/>
  <c r="AT63" i="45"/>
  <c r="AT64" i="45"/>
  <c r="AT65" i="45"/>
  <c r="AT66" i="45"/>
  <c r="AT67" i="45"/>
  <c r="AT68" i="45"/>
  <c r="AT69" i="45"/>
  <c r="AT70" i="45"/>
  <c r="AT71" i="45"/>
  <c r="AT72" i="45"/>
  <c r="AT73" i="45"/>
  <c r="AT74" i="45"/>
  <c r="AT75" i="45"/>
  <c r="AT76" i="45"/>
  <c r="AT77" i="45"/>
  <c r="AT78" i="45"/>
  <c r="AT79" i="45"/>
  <c r="AT80" i="45"/>
  <c r="AT81" i="45"/>
  <c r="AT82" i="45"/>
  <c r="AT83" i="45"/>
  <c r="AT84" i="45"/>
  <c r="AT85" i="45"/>
  <c r="AT86" i="45"/>
  <c r="AT87" i="45"/>
  <c r="AT88" i="45"/>
  <c r="AT89" i="45"/>
  <c r="AT90" i="45"/>
  <c r="AT91" i="45"/>
  <c r="AT92" i="45"/>
  <c r="AT93" i="45"/>
  <c r="AT94" i="45"/>
  <c r="AT95" i="45"/>
  <c r="AT96" i="45"/>
  <c r="AT97" i="45"/>
  <c r="AT98" i="45"/>
  <c r="AT99" i="45"/>
  <c r="AT100" i="45"/>
  <c r="AT101" i="45"/>
  <c r="AT102" i="45"/>
  <c r="AT103" i="45"/>
  <c r="AT104" i="45"/>
  <c r="AT105" i="45"/>
  <c r="AT106" i="45"/>
  <c r="AT107" i="45"/>
  <c r="AT108" i="45"/>
  <c r="AT109" i="45"/>
  <c r="AT110" i="45"/>
  <c r="AT111" i="45"/>
  <c r="AT112" i="45"/>
  <c r="AT113" i="45"/>
  <c r="AT114" i="45"/>
  <c r="AT115" i="45"/>
  <c r="AT116" i="45"/>
  <c r="AT117" i="45"/>
  <c r="AT118" i="45"/>
  <c r="AT119" i="45"/>
  <c r="AT120" i="45"/>
  <c r="AT121" i="45"/>
  <c r="AT122" i="45"/>
  <c r="AT123" i="45"/>
  <c r="AT124" i="45"/>
  <c r="AT125" i="45"/>
  <c r="AT126" i="45"/>
  <c r="AT127" i="45"/>
  <c r="AT128" i="45"/>
  <c r="AT129" i="45"/>
  <c r="AT130" i="45"/>
  <c r="AT131" i="45"/>
  <c r="AT132" i="45"/>
  <c r="AT133" i="45"/>
  <c r="AT134" i="45"/>
  <c r="AT135" i="45"/>
  <c r="AT136" i="45"/>
  <c r="AT137" i="45"/>
  <c r="AT138" i="45"/>
  <c r="AT139" i="45"/>
  <c r="AT140" i="45"/>
  <c r="AT141" i="45"/>
  <c r="AT142" i="45"/>
  <c r="AT143" i="45"/>
  <c r="AT144" i="45"/>
  <c r="AT145" i="45"/>
  <c r="AT146" i="45"/>
  <c r="AT147" i="45"/>
  <c r="AT148" i="45"/>
  <c r="AT149" i="45"/>
  <c r="AT150" i="45"/>
  <c r="AT151" i="45"/>
  <c r="AT152" i="45"/>
  <c r="AT153" i="45"/>
  <c r="AT154" i="45"/>
  <c r="AT155" i="45"/>
  <c r="AT156" i="45"/>
  <c r="AT157" i="45"/>
  <c r="AT158" i="45"/>
  <c r="AT159" i="45"/>
  <c r="AT160" i="45"/>
  <c r="AT161" i="45"/>
  <c r="AT162" i="45"/>
  <c r="AT163" i="45"/>
  <c r="AT164" i="45"/>
  <c r="AT165" i="45"/>
  <c r="AT166" i="45"/>
  <c r="AT167" i="45"/>
  <c r="AT168" i="45"/>
  <c r="AT169" i="45"/>
  <c r="AT170" i="45"/>
  <c r="AT171" i="45"/>
  <c r="AT172" i="45"/>
  <c r="AT173" i="45"/>
  <c r="AT174" i="45"/>
  <c r="AT175" i="45"/>
  <c r="AT176" i="45"/>
  <c r="AT177" i="45"/>
  <c r="AT178" i="45"/>
  <c r="AT179" i="45"/>
  <c r="AT180" i="45"/>
  <c r="AT181" i="45"/>
  <c r="AT182" i="45"/>
  <c r="AT183" i="45"/>
  <c r="AT184" i="45"/>
  <c r="AT185" i="45"/>
  <c r="AT186" i="45"/>
  <c r="AT187" i="45"/>
  <c r="AT188" i="45"/>
  <c r="AT189" i="45"/>
  <c r="AT190" i="45"/>
  <c r="AT191" i="45"/>
  <c r="AT192" i="45"/>
  <c r="AT193" i="45"/>
  <c r="AT194" i="45"/>
  <c r="AT195" i="45"/>
  <c r="AT196" i="45"/>
  <c r="AT197" i="45"/>
  <c r="AT198" i="45"/>
  <c r="AT199" i="45"/>
  <c r="AT200" i="45"/>
  <c r="AT201" i="45"/>
  <c r="AT202" i="45"/>
  <c r="AT203" i="45"/>
  <c r="AT204" i="45"/>
  <c r="AT205" i="45"/>
  <c r="AT206" i="45"/>
  <c r="AT207" i="45"/>
  <c r="AT208" i="45"/>
  <c r="AT209" i="45"/>
  <c r="AT210" i="45"/>
  <c r="AT211" i="45"/>
  <c r="AT212" i="45"/>
  <c r="AT213" i="45"/>
  <c r="AT214" i="45"/>
  <c r="AT215" i="45"/>
  <c r="AT216" i="45"/>
  <c r="AT217" i="45"/>
  <c r="AT218" i="45"/>
  <c r="AT219" i="45"/>
  <c r="AT220" i="45"/>
  <c r="AT221" i="45"/>
  <c r="AT222" i="45"/>
  <c r="AT223" i="45"/>
  <c r="AT224" i="45"/>
  <c r="AT225" i="45"/>
  <c r="AT226" i="45"/>
  <c r="AT227" i="45"/>
  <c r="AT228" i="45"/>
  <c r="AT229" i="45"/>
  <c r="AT230" i="45"/>
  <c r="AT231" i="45"/>
  <c r="AT232" i="45"/>
  <c r="AT233" i="45"/>
  <c r="AT234" i="45"/>
  <c r="AT235" i="45"/>
  <c r="AT236" i="45"/>
  <c r="AT237" i="45"/>
  <c r="AT238" i="45"/>
  <c r="AT239" i="45"/>
  <c r="AT240" i="45"/>
  <c r="AT241" i="45"/>
  <c r="AT242" i="45"/>
  <c r="AT243" i="45"/>
  <c r="AT244" i="45"/>
  <c r="AT245" i="45"/>
  <c r="AT246" i="45"/>
  <c r="AT247" i="45"/>
  <c r="AT248" i="45"/>
  <c r="AT249" i="45"/>
  <c r="AT250" i="45"/>
  <c r="AT251" i="45"/>
  <c r="AT252" i="45"/>
  <c r="AT253" i="45"/>
  <c r="AT254" i="45"/>
  <c r="AT255" i="45"/>
  <c r="AT256" i="45"/>
  <c r="AT257" i="45"/>
  <c r="AT258" i="45"/>
  <c r="AT259" i="45"/>
  <c r="AT260" i="45"/>
  <c r="AT261" i="45"/>
  <c r="AT262" i="45"/>
  <c r="AT263" i="45"/>
  <c r="AT264" i="45"/>
  <c r="AT265" i="45"/>
  <c r="AT266" i="45"/>
  <c r="AT267" i="45"/>
  <c r="AT268" i="45"/>
  <c r="AT269" i="45"/>
  <c r="AT270" i="45"/>
  <c r="AT271" i="45"/>
  <c r="AT272" i="45"/>
  <c r="AT273" i="45"/>
  <c r="AT274" i="45"/>
  <c r="AT275" i="45"/>
  <c r="AT276" i="45"/>
  <c r="AT277" i="45"/>
  <c r="AT278" i="45"/>
  <c r="AT279" i="45"/>
  <c r="AT280" i="45"/>
  <c r="AT281" i="45"/>
  <c r="AT282" i="45"/>
  <c r="AT283" i="45"/>
  <c r="AT284" i="45"/>
  <c r="AT285" i="45"/>
  <c r="AT286" i="45"/>
  <c r="AT287" i="45"/>
  <c r="AT288" i="45"/>
  <c r="AT289" i="45"/>
  <c r="AT290" i="45"/>
  <c r="AT291" i="45"/>
  <c r="AT292" i="45"/>
  <c r="AT293" i="45"/>
  <c r="AT294" i="45"/>
  <c r="AT295" i="45"/>
  <c r="AT296" i="45"/>
  <c r="AT297" i="45"/>
  <c r="AT298" i="45"/>
  <c r="AT299" i="45"/>
  <c r="AT300" i="45"/>
  <c r="AT301" i="45"/>
  <c r="AT302" i="45"/>
  <c r="AT303" i="45"/>
  <c r="AT304" i="45"/>
  <c r="AT305" i="45"/>
  <c r="AT306" i="45"/>
  <c r="AT307" i="45"/>
  <c r="AT308" i="45"/>
  <c r="AT309" i="45"/>
  <c r="AT310" i="45"/>
  <c r="AT311" i="45"/>
  <c r="AT312" i="45"/>
  <c r="AT313" i="45"/>
  <c r="AT314" i="45"/>
  <c r="AT315" i="45"/>
  <c r="AT316" i="45"/>
  <c r="AT317" i="45"/>
  <c r="AT318" i="45"/>
  <c r="AT319" i="45"/>
  <c r="AT320" i="45"/>
  <c r="AT321" i="45"/>
  <c r="AT322" i="45"/>
  <c r="AT323" i="45"/>
  <c r="AT324" i="45"/>
  <c r="AT325" i="45"/>
  <c r="AT326" i="45"/>
  <c r="AT327" i="45"/>
  <c r="AT328" i="45"/>
  <c r="AT329" i="45"/>
  <c r="AT330" i="45"/>
  <c r="AT331" i="45"/>
  <c r="AT332" i="45"/>
  <c r="AT333" i="45"/>
  <c r="AT334" i="45"/>
  <c r="AT335" i="45"/>
  <c r="AT336" i="45"/>
  <c r="AT337" i="45"/>
  <c r="AT338" i="45"/>
  <c r="AT339" i="45"/>
  <c r="AT340" i="45"/>
  <c r="AT341" i="45"/>
  <c r="AT342" i="45"/>
  <c r="AT343" i="45"/>
  <c r="AT344" i="45"/>
  <c r="AT345" i="45"/>
  <c r="AT346" i="45"/>
  <c r="AT347" i="45"/>
  <c r="AT348" i="45"/>
  <c r="AT349" i="45"/>
  <c r="AT350" i="45"/>
  <c r="AT351" i="45"/>
  <c r="AT352" i="45"/>
  <c r="AT353" i="45"/>
  <c r="AT354" i="45"/>
  <c r="AT355" i="45"/>
  <c r="AT356" i="45"/>
  <c r="AT357" i="45"/>
  <c r="AT358" i="45"/>
  <c r="AT359" i="45"/>
  <c r="AT360" i="45"/>
  <c r="AT361" i="45"/>
  <c r="AT362" i="45"/>
  <c r="AT363" i="45"/>
  <c r="AT364" i="45"/>
  <c r="AT365" i="45"/>
  <c r="AT366" i="45"/>
  <c r="AT367" i="45"/>
  <c r="AT368" i="45"/>
  <c r="AT369" i="45"/>
  <c r="AT370" i="45"/>
  <c r="AT371" i="45"/>
  <c r="AT372" i="45"/>
  <c r="AT373" i="45"/>
  <c r="AT374" i="45"/>
  <c r="AT375" i="45"/>
  <c r="AT376" i="45"/>
  <c r="AT377" i="45"/>
  <c r="AT378" i="45"/>
  <c r="AT379" i="45"/>
  <c r="AT380" i="45"/>
  <c r="AT381" i="45"/>
  <c r="AT382" i="45"/>
  <c r="AT383" i="45"/>
  <c r="AT384" i="45"/>
  <c r="AT385" i="45"/>
  <c r="AT386" i="45"/>
  <c r="AT387" i="45"/>
  <c r="AT388" i="45"/>
  <c r="AT389" i="45"/>
  <c r="AT390" i="45"/>
  <c r="AT391" i="45"/>
  <c r="AT392" i="45"/>
  <c r="AT393" i="45"/>
  <c r="AT394" i="45"/>
  <c r="AT395" i="45"/>
  <c r="AT396" i="45"/>
  <c r="AT397" i="45"/>
  <c r="AT398" i="45"/>
  <c r="AT399" i="45"/>
  <c r="AT400" i="45"/>
  <c r="AT401" i="45"/>
  <c r="AT402" i="45"/>
  <c r="AT403" i="45"/>
  <c r="AT404" i="45"/>
  <c r="AT405" i="45"/>
  <c r="AT406" i="45"/>
  <c r="AT407" i="45"/>
  <c r="AT408" i="45"/>
  <c r="AT409" i="45"/>
  <c r="AT410" i="45"/>
  <c r="L2" i="123"/>
  <c r="L3" i="123"/>
  <c r="L4" i="123"/>
  <c r="L5" i="123"/>
  <c r="L6" i="123"/>
  <c r="L7" i="123"/>
  <c r="L8" i="123"/>
  <c r="L9" i="123"/>
  <c r="L10" i="123"/>
  <c r="L11" i="123"/>
  <c r="L12" i="123"/>
  <c r="L13" i="123"/>
  <c r="L14" i="123"/>
  <c r="L15" i="123"/>
  <c r="L16" i="123"/>
  <c r="L17" i="123"/>
  <c r="L18" i="123"/>
  <c r="L19" i="123"/>
  <c r="L20" i="123"/>
  <c r="L21" i="123"/>
  <c r="L22" i="123"/>
  <c r="L23" i="123"/>
  <c r="L24" i="123"/>
  <c r="L25" i="123"/>
  <c r="L26" i="123"/>
  <c r="L27" i="123"/>
  <c r="L28" i="123"/>
  <c r="L29" i="123"/>
  <c r="L30" i="123"/>
  <c r="L31" i="123"/>
  <c r="L32" i="123"/>
  <c r="L33" i="123"/>
  <c r="L34" i="123"/>
  <c r="L35" i="123"/>
  <c r="L36" i="123"/>
  <c r="L37" i="123"/>
  <c r="L38" i="123"/>
  <c r="L39" i="123"/>
  <c r="L40" i="123"/>
  <c r="L41" i="123"/>
  <c r="L42" i="123"/>
  <c r="L43" i="123"/>
  <c r="L44" i="123"/>
  <c r="L45" i="123"/>
  <c r="L46" i="123"/>
  <c r="L47" i="123"/>
  <c r="L48" i="123"/>
  <c r="L49" i="123"/>
  <c r="L50" i="123"/>
  <c r="L51" i="123"/>
  <c r="L52" i="123"/>
  <c r="L53" i="123"/>
  <c r="L54" i="123"/>
  <c r="L55" i="123"/>
  <c r="L56" i="123"/>
  <c r="L57" i="123"/>
  <c r="L58" i="123"/>
  <c r="L59" i="123"/>
  <c r="L60" i="123"/>
  <c r="L61" i="123"/>
  <c r="L62" i="123"/>
  <c r="L63" i="123"/>
  <c r="L64" i="123"/>
  <c r="L65" i="123"/>
  <c r="L66" i="123"/>
  <c r="L67" i="123"/>
  <c r="L68" i="123"/>
  <c r="L69" i="123"/>
  <c r="L70" i="123"/>
  <c r="L71" i="123"/>
  <c r="L72" i="123"/>
  <c r="L73" i="123"/>
  <c r="L74" i="123"/>
  <c r="L75" i="123"/>
  <c r="L76" i="123"/>
  <c r="L77" i="123"/>
  <c r="L78" i="123"/>
  <c r="L79" i="123"/>
  <c r="L80" i="123"/>
  <c r="L81" i="123"/>
  <c r="L82" i="123"/>
  <c r="L83" i="123"/>
  <c r="L84" i="123"/>
  <c r="L85" i="123"/>
  <c r="L86" i="123"/>
  <c r="L87" i="123"/>
  <c r="L88" i="123"/>
  <c r="L89" i="123"/>
  <c r="L90" i="123"/>
  <c r="L91" i="123"/>
  <c r="L92" i="123"/>
  <c r="L93" i="123"/>
  <c r="L94" i="123"/>
  <c r="L95" i="123"/>
  <c r="L96" i="123"/>
  <c r="L97" i="123"/>
  <c r="L98" i="123"/>
  <c r="L99" i="123"/>
  <c r="L100" i="123"/>
  <c r="L101" i="123"/>
  <c r="L102" i="123"/>
  <c r="L103" i="123"/>
  <c r="L104" i="123"/>
  <c r="L105" i="123"/>
  <c r="L106" i="123"/>
  <c r="L107" i="123"/>
  <c r="L108" i="123"/>
  <c r="L109" i="123"/>
  <c r="L110" i="123"/>
  <c r="L111" i="123"/>
  <c r="L112" i="123"/>
  <c r="L113" i="123"/>
  <c r="L114" i="123"/>
  <c r="L115" i="123"/>
  <c r="L116" i="123"/>
  <c r="L117" i="123"/>
  <c r="L118" i="123"/>
  <c r="L119" i="123"/>
  <c r="L120" i="123"/>
  <c r="L121" i="123"/>
  <c r="L122" i="123"/>
  <c r="L123" i="123"/>
  <c r="L124" i="123"/>
  <c r="L125" i="123"/>
  <c r="L126" i="123"/>
  <c r="L127" i="123"/>
  <c r="L128" i="123"/>
  <c r="L129" i="123"/>
  <c r="L130" i="123"/>
  <c r="L131" i="123"/>
  <c r="L132" i="123"/>
  <c r="L133" i="123"/>
  <c r="L134" i="123"/>
  <c r="L135" i="123"/>
  <c r="L136" i="123"/>
  <c r="L137" i="123"/>
  <c r="L138" i="123"/>
  <c r="L139" i="123"/>
  <c r="L140" i="123"/>
  <c r="L141" i="123"/>
  <c r="L142" i="123"/>
  <c r="L143" i="123"/>
  <c r="L144" i="123"/>
  <c r="L145" i="123"/>
  <c r="L146" i="123"/>
  <c r="L147" i="123"/>
  <c r="L148" i="123"/>
  <c r="L149" i="123"/>
  <c r="L150" i="123"/>
  <c r="L151" i="123"/>
  <c r="L152" i="123"/>
  <c r="L153" i="123"/>
  <c r="L154" i="123"/>
  <c r="L155" i="123"/>
  <c r="L156" i="123"/>
  <c r="L157" i="123"/>
  <c r="L158" i="123"/>
  <c r="L159" i="123"/>
  <c r="L160" i="123"/>
  <c r="L161" i="123"/>
  <c r="L162" i="123"/>
  <c r="L163" i="123"/>
  <c r="L164" i="123"/>
  <c r="L165" i="123"/>
  <c r="L166" i="123"/>
  <c r="L167" i="123"/>
  <c r="L168" i="123"/>
  <c r="L169" i="123"/>
  <c r="L170" i="123"/>
  <c r="L171" i="123"/>
  <c r="L172" i="123"/>
  <c r="L173" i="123"/>
  <c r="L174" i="123"/>
  <c r="L175" i="123"/>
  <c r="L176" i="123"/>
  <c r="L177" i="123"/>
  <c r="L178" i="123"/>
  <c r="L179" i="123"/>
  <c r="L180" i="123"/>
  <c r="L181" i="123"/>
  <c r="L182" i="123"/>
  <c r="L183" i="123"/>
  <c r="L184" i="123"/>
  <c r="L185" i="123"/>
  <c r="L186" i="123"/>
  <c r="L187" i="123"/>
  <c r="L188" i="123"/>
  <c r="L189" i="123"/>
  <c r="L190" i="123"/>
  <c r="L191" i="123"/>
  <c r="L192" i="123"/>
  <c r="L193" i="123"/>
  <c r="L194" i="123"/>
  <c r="L195" i="123"/>
  <c r="L196" i="123"/>
  <c r="L197" i="123"/>
  <c r="L198" i="123"/>
  <c r="L199" i="123"/>
  <c r="L200" i="123"/>
  <c r="L201" i="123"/>
  <c r="L202" i="123"/>
  <c r="L203" i="123"/>
  <c r="L204" i="123"/>
  <c r="L205" i="123"/>
  <c r="L206" i="123"/>
  <c r="L207" i="123"/>
  <c r="L208" i="123"/>
  <c r="L209" i="123"/>
  <c r="L210" i="123"/>
  <c r="L211" i="123"/>
  <c r="L212" i="123"/>
  <c r="L213" i="123"/>
  <c r="L214" i="123"/>
  <c r="L215" i="123"/>
  <c r="L216" i="123"/>
  <c r="L217" i="123"/>
  <c r="L218" i="123"/>
  <c r="L219" i="123"/>
  <c r="L220" i="123"/>
  <c r="L221" i="123"/>
  <c r="L222" i="123"/>
  <c r="L223" i="123"/>
  <c r="L224" i="123"/>
  <c r="L225" i="123"/>
  <c r="L226" i="123"/>
  <c r="L227" i="123"/>
  <c r="L228" i="123"/>
  <c r="L229" i="123"/>
  <c r="L230" i="123"/>
  <c r="L231" i="123"/>
  <c r="L232" i="123"/>
  <c r="L233" i="123"/>
  <c r="L234" i="123"/>
  <c r="L235" i="123"/>
  <c r="L236" i="123"/>
  <c r="L237" i="123"/>
  <c r="L238" i="123"/>
  <c r="L239" i="123"/>
  <c r="L240" i="123"/>
  <c r="L241" i="123"/>
  <c r="L242" i="123"/>
  <c r="L243" i="123"/>
  <c r="L244" i="123"/>
  <c r="L245" i="123"/>
  <c r="L246" i="123"/>
  <c r="L247" i="123"/>
  <c r="L248" i="123"/>
  <c r="L249" i="123"/>
  <c r="L250" i="123"/>
  <c r="L251" i="123"/>
  <c r="L252" i="123"/>
  <c r="L253" i="123"/>
  <c r="L254" i="123"/>
  <c r="L255" i="123"/>
  <c r="L256" i="123"/>
  <c r="L257" i="123"/>
  <c r="L258" i="123"/>
  <c r="L259" i="123"/>
  <c r="L260" i="123"/>
  <c r="L261" i="123"/>
  <c r="L262" i="123"/>
  <c r="L263" i="123"/>
  <c r="L264" i="123"/>
  <c r="L265" i="123"/>
  <c r="L266" i="123"/>
  <c r="L267" i="123"/>
  <c r="L268" i="123"/>
  <c r="L269" i="123"/>
  <c r="L270" i="123"/>
  <c r="L271" i="123"/>
  <c r="L272" i="123"/>
  <c r="L273" i="123"/>
  <c r="L274" i="123"/>
  <c r="L275" i="123"/>
  <c r="L276" i="123"/>
  <c r="L277" i="123"/>
  <c r="L278" i="123"/>
  <c r="L279" i="123"/>
  <c r="L280" i="123"/>
  <c r="L281" i="123"/>
  <c r="L282" i="123"/>
  <c r="L283" i="123"/>
  <c r="L284" i="123"/>
  <c r="L285" i="123"/>
  <c r="L286" i="123"/>
  <c r="L287" i="123"/>
  <c r="L288" i="123"/>
  <c r="L289" i="123"/>
  <c r="L290" i="123"/>
  <c r="L291" i="123"/>
  <c r="L292" i="123"/>
  <c r="L293" i="123"/>
  <c r="L294" i="123"/>
  <c r="L295" i="123"/>
  <c r="L296" i="123"/>
  <c r="L297" i="123"/>
  <c r="L298" i="123"/>
  <c r="L299" i="123"/>
  <c r="L300" i="123"/>
  <c r="L301" i="123"/>
  <c r="L302" i="123"/>
  <c r="L303" i="123"/>
  <c r="L304" i="123"/>
  <c r="L305" i="123"/>
  <c r="L306" i="123"/>
  <c r="L307" i="123"/>
  <c r="L308" i="123"/>
  <c r="L309" i="123"/>
  <c r="L310" i="123"/>
  <c r="L311" i="123"/>
  <c r="L312" i="123"/>
  <c r="L313" i="123"/>
  <c r="L314" i="123"/>
  <c r="L315" i="123"/>
  <c r="L316" i="123"/>
  <c r="L317" i="123"/>
  <c r="L318" i="123"/>
  <c r="L319" i="123"/>
  <c r="L320" i="123"/>
  <c r="L321" i="123"/>
  <c r="L322" i="123"/>
  <c r="L323" i="123"/>
  <c r="L324" i="123"/>
  <c r="L325" i="123"/>
  <c r="L326" i="123"/>
  <c r="L327" i="123"/>
  <c r="L328" i="123"/>
  <c r="L329" i="123"/>
  <c r="L330" i="123"/>
  <c r="L331" i="123"/>
  <c r="L332" i="123"/>
  <c r="L333" i="123"/>
  <c r="L334" i="123"/>
  <c r="L335" i="123"/>
  <c r="L336" i="123"/>
  <c r="L337" i="123"/>
  <c r="L338" i="123"/>
  <c r="L339" i="123"/>
  <c r="L340" i="123"/>
  <c r="L341" i="123"/>
  <c r="L342" i="123"/>
  <c r="L343" i="123"/>
  <c r="L344" i="123"/>
  <c r="L345" i="123"/>
  <c r="L346" i="123"/>
  <c r="L347" i="123"/>
  <c r="L348" i="123"/>
  <c r="L349" i="123"/>
  <c r="L350" i="123"/>
  <c r="L351" i="123"/>
  <c r="L352" i="123"/>
  <c r="L353" i="123"/>
  <c r="L354" i="123"/>
  <c r="L355" i="123"/>
  <c r="L356" i="123"/>
  <c r="L357" i="123"/>
  <c r="L358" i="123"/>
  <c r="L359" i="123"/>
  <c r="L360" i="123"/>
  <c r="L361" i="123"/>
  <c r="L362" i="123"/>
  <c r="L363" i="123"/>
  <c r="L364" i="123"/>
  <c r="L365" i="123"/>
  <c r="L366" i="123"/>
  <c r="L367" i="123"/>
  <c r="L368" i="123"/>
  <c r="L369" i="123"/>
  <c r="L370" i="123"/>
  <c r="L371" i="123"/>
  <c r="L372" i="123"/>
  <c r="L373" i="123"/>
  <c r="L374" i="123"/>
  <c r="L375" i="123"/>
  <c r="L376" i="123"/>
  <c r="L377" i="123"/>
  <c r="L378" i="123"/>
  <c r="L379" i="123"/>
  <c r="L380" i="123"/>
  <c r="L381" i="123"/>
  <c r="L382" i="123"/>
  <c r="L383" i="123"/>
  <c r="L384" i="123"/>
  <c r="L385" i="123"/>
  <c r="L386" i="123"/>
  <c r="L387" i="123"/>
  <c r="L388" i="123"/>
  <c r="L389" i="123"/>
  <c r="L390" i="123"/>
  <c r="L391" i="123"/>
  <c r="L392" i="123"/>
  <c r="L393" i="123"/>
  <c r="L394" i="123"/>
  <c r="L395" i="123"/>
  <c r="L396" i="123"/>
  <c r="L397" i="123"/>
  <c r="L398" i="123"/>
  <c r="L399" i="123"/>
  <c r="L400" i="123"/>
  <c r="L401" i="123"/>
  <c r="L402" i="123"/>
  <c r="L403" i="123"/>
  <c r="L404" i="123"/>
  <c r="L405" i="123"/>
  <c r="L406" i="123"/>
  <c r="L407" i="123"/>
  <c r="L408" i="123"/>
  <c r="L409" i="123"/>
  <c r="L410" i="123"/>
  <c r="M2" i="123"/>
  <c r="M3" i="123"/>
  <c r="M4" i="123"/>
  <c r="M5" i="123"/>
  <c r="M6" i="123"/>
  <c r="M7" i="123"/>
  <c r="M8" i="123"/>
  <c r="M9" i="123"/>
  <c r="M10" i="123"/>
  <c r="M11" i="123"/>
  <c r="M12" i="123"/>
  <c r="M13" i="123"/>
  <c r="M14" i="123"/>
  <c r="M15" i="123"/>
  <c r="M16" i="123"/>
  <c r="M17" i="123"/>
  <c r="M18" i="123"/>
  <c r="M19" i="123"/>
  <c r="M20" i="123"/>
  <c r="M21" i="123"/>
  <c r="M22" i="123"/>
  <c r="M23" i="123"/>
  <c r="M24" i="123"/>
  <c r="M25" i="123"/>
  <c r="M26" i="123"/>
  <c r="M27" i="123"/>
  <c r="M28" i="123"/>
  <c r="M29" i="123"/>
  <c r="M30" i="123"/>
  <c r="M31" i="123"/>
  <c r="M32" i="123"/>
  <c r="M33" i="123"/>
  <c r="M34" i="123"/>
  <c r="M35" i="123"/>
  <c r="M36" i="123"/>
  <c r="M37" i="123"/>
  <c r="M38" i="123"/>
  <c r="M39" i="123"/>
  <c r="M40" i="123"/>
  <c r="M41" i="123"/>
  <c r="M42" i="123"/>
  <c r="M43" i="123"/>
  <c r="M44" i="123"/>
  <c r="M45" i="123"/>
  <c r="M46" i="123"/>
  <c r="M47" i="123"/>
  <c r="M48" i="123"/>
  <c r="M49" i="123"/>
  <c r="M50" i="123"/>
  <c r="M51" i="123"/>
  <c r="M52" i="123"/>
  <c r="M53" i="123"/>
  <c r="M54" i="123"/>
  <c r="M55" i="123"/>
  <c r="M56" i="123"/>
  <c r="M57" i="123"/>
  <c r="M58" i="123"/>
  <c r="M59" i="123"/>
  <c r="M60" i="123"/>
  <c r="M61" i="123"/>
  <c r="M62" i="123"/>
  <c r="M63" i="123"/>
  <c r="M64" i="123"/>
  <c r="M65" i="123"/>
  <c r="M66" i="123"/>
  <c r="M67" i="123"/>
  <c r="M68" i="123"/>
  <c r="M69" i="123"/>
  <c r="M70" i="123"/>
  <c r="M71" i="123"/>
  <c r="M72" i="123"/>
  <c r="M73" i="123"/>
  <c r="M74" i="123"/>
  <c r="M75" i="123"/>
  <c r="M76" i="123"/>
  <c r="M77" i="123"/>
  <c r="M78" i="123"/>
  <c r="M79" i="123"/>
  <c r="M80" i="123"/>
  <c r="M81" i="123"/>
  <c r="M82" i="123"/>
  <c r="M83" i="123"/>
  <c r="M84" i="123"/>
  <c r="M85" i="123"/>
  <c r="M86" i="123"/>
  <c r="M87" i="123"/>
  <c r="M88" i="123"/>
  <c r="M89" i="123"/>
  <c r="M90" i="123"/>
  <c r="M91" i="123"/>
  <c r="M92" i="123"/>
  <c r="M93" i="123"/>
  <c r="M94" i="123"/>
  <c r="M95" i="123"/>
  <c r="M96" i="123"/>
  <c r="M97" i="123"/>
  <c r="M98" i="123"/>
  <c r="M99" i="123"/>
  <c r="M100" i="123"/>
  <c r="M101" i="123"/>
  <c r="M102" i="123"/>
  <c r="M103" i="123"/>
  <c r="M104" i="123"/>
  <c r="M105" i="123"/>
  <c r="M106" i="123"/>
  <c r="M107" i="123"/>
  <c r="M108" i="123"/>
  <c r="M109" i="123"/>
  <c r="M110" i="123"/>
  <c r="M111" i="123"/>
  <c r="M112" i="123"/>
  <c r="M113" i="123"/>
  <c r="M114" i="123"/>
  <c r="M115" i="123"/>
  <c r="M116" i="123"/>
  <c r="M117" i="123"/>
  <c r="M118" i="123"/>
  <c r="M119" i="123"/>
  <c r="M120" i="123"/>
  <c r="M121" i="123"/>
  <c r="M122" i="123"/>
  <c r="M123" i="123"/>
  <c r="M124" i="123"/>
  <c r="M125" i="123"/>
  <c r="M126" i="123"/>
  <c r="M127" i="123"/>
  <c r="M128" i="123"/>
  <c r="M129" i="123"/>
  <c r="M130" i="123"/>
  <c r="M131" i="123"/>
  <c r="M132" i="123"/>
  <c r="M133" i="123"/>
  <c r="M134" i="123"/>
  <c r="M135" i="123"/>
  <c r="M136" i="123"/>
  <c r="M137" i="123"/>
  <c r="M138" i="123"/>
  <c r="M139" i="123"/>
  <c r="M140" i="123"/>
  <c r="M141" i="123"/>
  <c r="M142" i="123"/>
  <c r="M143" i="123"/>
  <c r="M144" i="123"/>
  <c r="M145" i="123"/>
  <c r="M146" i="123"/>
  <c r="M147" i="123"/>
  <c r="M148" i="123"/>
  <c r="M149" i="123"/>
  <c r="M150" i="123"/>
  <c r="M151" i="123"/>
  <c r="M152" i="123"/>
  <c r="M153" i="123"/>
  <c r="M154" i="123"/>
  <c r="M155" i="123"/>
  <c r="M156" i="123"/>
  <c r="M157" i="123"/>
  <c r="M158" i="123"/>
  <c r="M159" i="123"/>
  <c r="M160" i="123"/>
  <c r="M161" i="123"/>
  <c r="M162" i="123"/>
  <c r="M163" i="123"/>
  <c r="M164" i="123"/>
  <c r="M165" i="123"/>
  <c r="M166" i="123"/>
  <c r="M167" i="123"/>
  <c r="M168" i="123"/>
  <c r="M169" i="123"/>
  <c r="M170" i="123"/>
  <c r="M171" i="123"/>
  <c r="M172" i="123"/>
  <c r="M173" i="123"/>
  <c r="M174" i="123"/>
  <c r="M175" i="123"/>
  <c r="M176" i="123"/>
  <c r="M177" i="123"/>
  <c r="M178" i="123"/>
  <c r="M179" i="123"/>
  <c r="M180" i="123"/>
  <c r="M181" i="123"/>
  <c r="M182" i="123"/>
  <c r="M183" i="123"/>
  <c r="M184" i="123"/>
  <c r="M185" i="123"/>
  <c r="M186" i="123"/>
  <c r="M187" i="123"/>
  <c r="M188" i="123"/>
  <c r="M189" i="123"/>
  <c r="M190" i="123"/>
  <c r="M191" i="123"/>
  <c r="M192" i="123"/>
  <c r="M193" i="123"/>
  <c r="M194" i="123"/>
  <c r="M195" i="123"/>
  <c r="M196" i="123"/>
  <c r="M197" i="123"/>
  <c r="M198" i="123"/>
  <c r="M199" i="123"/>
  <c r="M200" i="123"/>
  <c r="M201" i="123"/>
  <c r="M202" i="123"/>
  <c r="M203" i="123"/>
  <c r="M204" i="123"/>
  <c r="M205" i="123"/>
  <c r="M206" i="123"/>
  <c r="M207" i="123"/>
  <c r="M208" i="123"/>
  <c r="M209" i="123"/>
  <c r="M210" i="123"/>
  <c r="M211" i="123"/>
  <c r="M212" i="123"/>
  <c r="M213" i="123"/>
  <c r="M214" i="123"/>
  <c r="M215" i="123"/>
  <c r="M216" i="123"/>
  <c r="M217" i="123"/>
  <c r="M218" i="123"/>
  <c r="M219" i="123"/>
  <c r="M220" i="123"/>
  <c r="M221" i="123"/>
  <c r="M222" i="123"/>
  <c r="M223" i="123"/>
  <c r="M224" i="123"/>
  <c r="M225" i="123"/>
  <c r="M226" i="123"/>
  <c r="M227" i="123"/>
  <c r="M228" i="123"/>
  <c r="M229" i="123"/>
  <c r="M230" i="123"/>
  <c r="M231" i="123"/>
  <c r="M232" i="123"/>
  <c r="M233" i="123"/>
  <c r="M234" i="123"/>
  <c r="M235" i="123"/>
  <c r="M236" i="123"/>
  <c r="M237" i="123"/>
  <c r="M238" i="123"/>
  <c r="M239" i="123"/>
  <c r="M240" i="123"/>
  <c r="M241" i="123"/>
  <c r="M242" i="123"/>
  <c r="M243" i="123"/>
  <c r="M244" i="123"/>
  <c r="M245" i="123"/>
  <c r="M246" i="123"/>
  <c r="M247" i="123"/>
  <c r="M248" i="123"/>
  <c r="M249" i="123"/>
  <c r="M250" i="123"/>
  <c r="M251" i="123"/>
  <c r="M252" i="123"/>
  <c r="M253" i="123"/>
  <c r="M254" i="123"/>
  <c r="M255" i="123"/>
  <c r="M256" i="123"/>
  <c r="M257" i="123"/>
  <c r="M258" i="123"/>
  <c r="M259" i="123"/>
  <c r="M260" i="123"/>
  <c r="M261" i="123"/>
  <c r="M262" i="123"/>
  <c r="M263" i="123"/>
  <c r="M264" i="123"/>
  <c r="M265" i="123"/>
  <c r="M266" i="123"/>
  <c r="M267" i="123"/>
  <c r="M268" i="123"/>
  <c r="M269" i="123"/>
  <c r="M270" i="123"/>
  <c r="M271" i="123"/>
  <c r="M272" i="123"/>
  <c r="M273" i="123"/>
  <c r="M274" i="123"/>
  <c r="M275" i="123"/>
  <c r="M276" i="123"/>
  <c r="M277" i="123"/>
  <c r="M278" i="123"/>
  <c r="M279" i="123"/>
  <c r="M280" i="123"/>
  <c r="M281" i="123"/>
  <c r="M282" i="123"/>
  <c r="M283" i="123"/>
  <c r="M284" i="123"/>
  <c r="M285" i="123"/>
  <c r="M286" i="123"/>
  <c r="M287" i="123"/>
  <c r="M288" i="123"/>
  <c r="M289" i="123"/>
  <c r="M290" i="123"/>
  <c r="M291" i="123"/>
  <c r="M292" i="123"/>
  <c r="M293" i="123"/>
  <c r="M294" i="123"/>
  <c r="M295" i="123"/>
  <c r="M296" i="123"/>
  <c r="M297" i="123"/>
  <c r="M298" i="123"/>
  <c r="M299" i="123"/>
  <c r="M300" i="123"/>
  <c r="M301" i="123"/>
  <c r="M302" i="123"/>
  <c r="M303" i="123"/>
  <c r="M304" i="123"/>
  <c r="M305" i="123"/>
  <c r="M306" i="123"/>
  <c r="M307" i="123"/>
  <c r="M308" i="123"/>
  <c r="M309" i="123"/>
  <c r="M310" i="123"/>
  <c r="M311" i="123"/>
  <c r="M312" i="123"/>
  <c r="M313" i="123"/>
  <c r="M314" i="123"/>
  <c r="M315" i="123"/>
  <c r="M316" i="123"/>
  <c r="M317" i="123"/>
  <c r="M318" i="123"/>
  <c r="M319" i="123"/>
  <c r="M320" i="123"/>
  <c r="M321" i="123"/>
  <c r="M322" i="123"/>
  <c r="M323" i="123"/>
  <c r="M324" i="123"/>
  <c r="M325" i="123"/>
  <c r="M326" i="123"/>
  <c r="M327" i="123"/>
  <c r="M328" i="123"/>
  <c r="M329" i="123"/>
  <c r="M330" i="123"/>
  <c r="M331" i="123"/>
  <c r="M332" i="123"/>
  <c r="M333" i="123"/>
  <c r="M334" i="123"/>
  <c r="M335" i="123"/>
  <c r="M336" i="123"/>
  <c r="M337" i="123"/>
  <c r="M338" i="123"/>
  <c r="M339" i="123"/>
  <c r="M340" i="123"/>
  <c r="M341" i="123"/>
  <c r="M342" i="123"/>
  <c r="M343" i="123"/>
  <c r="M344" i="123"/>
  <c r="M345" i="123"/>
  <c r="M346" i="123"/>
  <c r="M347" i="123"/>
  <c r="M348" i="123"/>
  <c r="M349" i="123"/>
  <c r="M350" i="123"/>
  <c r="M351" i="123"/>
  <c r="M352" i="123"/>
  <c r="M353" i="123"/>
  <c r="M354" i="123"/>
  <c r="M355" i="123"/>
  <c r="M356" i="123"/>
  <c r="M357" i="123"/>
  <c r="M358" i="123"/>
  <c r="M359" i="123"/>
  <c r="M360" i="123"/>
  <c r="M361" i="123"/>
  <c r="M362" i="123"/>
  <c r="M363" i="123"/>
  <c r="M364" i="123"/>
  <c r="M365" i="123"/>
  <c r="M366" i="123"/>
  <c r="M367" i="123"/>
  <c r="M368" i="123"/>
  <c r="M369" i="123"/>
  <c r="M370" i="123"/>
  <c r="M371" i="123"/>
  <c r="M372" i="123"/>
  <c r="M373" i="123"/>
  <c r="M374" i="123"/>
  <c r="M375" i="123"/>
  <c r="M376" i="123"/>
  <c r="M377" i="123"/>
  <c r="M378" i="123"/>
  <c r="M379" i="123"/>
  <c r="M380" i="123"/>
  <c r="M381" i="123"/>
  <c r="M382" i="123"/>
  <c r="M383" i="123"/>
  <c r="M384" i="123"/>
  <c r="M385" i="123"/>
  <c r="M386" i="123"/>
  <c r="M387" i="123"/>
  <c r="M388" i="123"/>
  <c r="M389" i="123"/>
  <c r="M390" i="123"/>
  <c r="M391" i="123"/>
  <c r="M392" i="123"/>
  <c r="M393" i="123"/>
  <c r="M394" i="123"/>
  <c r="M395" i="123"/>
  <c r="M396" i="123"/>
  <c r="M397" i="123"/>
  <c r="M398" i="123"/>
  <c r="M399" i="123"/>
  <c r="M400" i="123"/>
  <c r="M401" i="123"/>
  <c r="M402" i="123"/>
  <c r="M403" i="123"/>
  <c r="M404" i="123"/>
  <c r="M405" i="123"/>
  <c r="M406" i="123"/>
  <c r="M407" i="123"/>
  <c r="M408" i="123"/>
  <c r="M409" i="123"/>
  <c r="M410" i="123"/>
  <c r="B7" i="139"/>
  <c r="B5" i="139"/>
  <c r="A2" i="82"/>
  <c r="B9" i="77"/>
  <c r="B7" i="77"/>
  <c r="J129" i="42" l="1" a="1"/>
  <c r="J129" i="42" s="1"/>
  <c r="J493" i="42" a="1"/>
  <c r="J493" i="42" s="1"/>
  <c r="J516" i="42" a="1"/>
  <c r="J516" i="42" s="1"/>
  <c r="J464" i="42" a="1"/>
  <c r="J464" i="42" s="1"/>
  <c r="J512" i="42" a="1"/>
  <c r="J512" i="42" s="1"/>
  <c r="J344" i="42" a="1"/>
  <c r="J344" i="42" s="1"/>
  <c r="J470" i="42" a="1"/>
  <c r="J470" i="42" s="1"/>
  <c r="J275" i="42" a="1"/>
  <c r="J275" i="42" s="1"/>
  <c r="J437" i="42" a="1"/>
  <c r="J437" i="42" s="1"/>
  <c r="J463" i="42" a="1"/>
  <c r="J463" i="42" s="1"/>
  <c r="J510" i="42" a="1"/>
  <c r="J510" i="42" s="1"/>
  <c r="J401" i="42" a="1"/>
  <c r="J401" i="42" s="1"/>
  <c r="J333" i="42" a="1"/>
  <c r="J333" i="42" s="1"/>
  <c r="J241" i="42" a="1"/>
  <c r="J241" i="42" s="1"/>
  <c r="J402" i="42" a="1"/>
  <c r="J402" i="42" s="1"/>
  <c r="J252" i="42" a="1"/>
  <c r="J252" i="42" s="1"/>
  <c r="J487" i="42" a="1"/>
  <c r="J487" i="42" s="1"/>
  <c r="J529" i="42" a="1"/>
  <c r="J529" i="42" s="1"/>
  <c r="J509" i="42" a="1"/>
  <c r="J509" i="42" s="1"/>
  <c r="J486" i="42" a="1"/>
  <c r="J486" i="42" s="1"/>
  <c r="J489" i="42" a="1"/>
  <c r="J489" i="42" s="1"/>
  <c r="J436" i="42" a="1"/>
  <c r="J436" i="42" s="1"/>
  <c r="J332" i="42" a="1"/>
  <c r="J332" i="42" s="1"/>
  <c r="J99" i="42" a="1"/>
  <c r="J99" i="42" s="1"/>
  <c r="J460" i="42" a="1"/>
  <c r="J460" i="42" s="1"/>
  <c r="J428" i="42" a="1"/>
  <c r="J428" i="42" s="1"/>
  <c r="J391" i="42" a="1"/>
  <c r="J391" i="42" s="1"/>
  <c r="J229" i="42" a="1"/>
  <c r="J229" i="42" s="1"/>
  <c r="J528" i="42" a="1"/>
  <c r="J528" i="42" s="1"/>
  <c r="J426" i="42" a="1"/>
  <c r="J426" i="42" s="1"/>
  <c r="J321" i="42" a="1"/>
  <c r="J321" i="42" s="1"/>
  <c r="J218" i="42" a="1"/>
  <c r="J218" i="42" s="1"/>
  <c r="J506" i="42" a="1"/>
  <c r="J506" i="42" s="1"/>
  <c r="J483" i="42" a="1"/>
  <c r="J483" i="42" s="1"/>
  <c r="J459" i="42" a="1"/>
  <c r="J459" i="42" s="1"/>
  <c r="J390" i="42" a="1"/>
  <c r="J390" i="42" s="1"/>
  <c r="J527" i="42" a="1"/>
  <c r="J527" i="42" s="1"/>
  <c r="J425" i="42" a="1"/>
  <c r="J425" i="42" s="1"/>
  <c r="J389" i="42" a="1"/>
  <c r="J389" i="42" s="1"/>
  <c r="J310" i="42" a="1"/>
  <c r="J310" i="42" s="1"/>
  <c r="J505" i="42" a="1"/>
  <c r="J505" i="42" s="1"/>
  <c r="J482" i="42" a="1"/>
  <c r="J482" i="42" s="1"/>
  <c r="J454" i="42" a="1"/>
  <c r="J454" i="42" s="1"/>
  <c r="J382" i="42" a="1"/>
  <c r="J382" i="42" s="1"/>
  <c r="J206" i="42" a="1"/>
  <c r="J206" i="42" s="1"/>
  <c r="J523" i="42" a="1"/>
  <c r="J523" i="42" s="1"/>
  <c r="J424" i="42" a="1"/>
  <c r="J424" i="42" s="1"/>
  <c r="J309" i="42" a="1"/>
  <c r="J309" i="42" s="1"/>
  <c r="J195" i="42" a="1"/>
  <c r="J195" i="42" s="1"/>
  <c r="J504" i="42" a="1"/>
  <c r="J504" i="42" s="1"/>
  <c r="J477" i="42" a="1"/>
  <c r="J477" i="42" s="1"/>
  <c r="J417" i="42" a="1"/>
  <c r="J417" i="42" s="1"/>
  <c r="J379" i="42" a="1"/>
  <c r="J379" i="42" s="1"/>
  <c r="J451" i="42" a="1"/>
  <c r="J451" i="42" s="1"/>
  <c r="J378" i="42" a="1"/>
  <c r="J378" i="42" s="1"/>
  <c r="J298" i="42" a="1"/>
  <c r="J298" i="42" s="1"/>
  <c r="J522" i="42" a="1"/>
  <c r="J522" i="42" s="1"/>
  <c r="J449" i="42" a="1"/>
  <c r="J449" i="42" s="1"/>
  <c r="J183" i="42" a="1"/>
  <c r="J183" i="42" s="1"/>
  <c r="J520" i="42" a="1"/>
  <c r="J520" i="42" s="1"/>
  <c r="J474" i="42" a="1"/>
  <c r="J474" i="42" s="1"/>
  <c r="J414" i="42" a="1"/>
  <c r="J414" i="42" s="1"/>
  <c r="J287" i="42" a="1"/>
  <c r="J287" i="42" s="1"/>
  <c r="J172" i="42" a="1"/>
  <c r="J172" i="42" s="1"/>
  <c r="J519" i="42" a="1"/>
  <c r="J519" i="42" s="1"/>
  <c r="J497" i="42" a="1"/>
  <c r="J497" i="42" s="1"/>
  <c r="J473" i="42" a="1"/>
  <c r="J473" i="42" s="1"/>
  <c r="J448" i="42" a="1"/>
  <c r="J448" i="42" s="1"/>
  <c r="J368" i="42" a="1"/>
  <c r="J368" i="42" s="1"/>
  <c r="J496" i="42" a="1"/>
  <c r="J496" i="42" s="1"/>
  <c r="J413" i="42" a="1"/>
  <c r="J413" i="42" s="1"/>
  <c r="J367" i="42" a="1"/>
  <c r="J367" i="42" s="1"/>
  <c r="J286" i="42" a="1"/>
  <c r="J286" i="42" s="1"/>
  <c r="J518" i="42" a="1"/>
  <c r="J518" i="42" s="1"/>
  <c r="J472" i="42" a="1"/>
  <c r="J472" i="42" s="1"/>
  <c r="J495" i="42" a="1"/>
  <c r="J495" i="42" s="1"/>
  <c r="J447" i="42" a="1"/>
  <c r="J447" i="42" s="1"/>
  <c r="J160" i="42" a="1"/>
  <c r="J160" i="42" s="1"/>
  <c r="J517" i="42" a="1"/>
  <c r="J517" i="42" s="1"/>
  <c r="J471" i="42" a="1"/>
  <c r="J471" i="42" s="1"/>
  <c r="J356" i="42" a="1"/>
  <c r="J356" i="42" s="1"/>
  <c r="J11" i="42" a="1"/>
  <c r="J11" i="42" s="1"/>
  <c r="J2" i="42" a="1"/>
  <c r="J2" i="42" s="1"/>
  <c r="J6" i="42" a="1"/>
  <c r="J6" i="42" s="1"/>
  <c r="J10" i="42" a="1"/>
  <c r="J10" i="42" s="1"/>
  <c r="J4" i="42" a="1"/>
  <c r="J4" i="42" s="1"/>
  <c r="J54" i="42" a="1"/>
  <c r="J54" i="42" s="1"/>
  <c r="J77" i="42" a="1"/>
  <c r="J77" i="42" s="1"/>
  <c r="J89" i="42" a="1"/>
  <c r="J89" i="42" s="1"/>
  <c r="J112" i="42" a="1"/>
  <c r="J112" i="42" s="1"/>
  <c r="J135" i="42" a="1"/>
  <c r="J135" i="42" s="1"/>
  <c r="J146" i="42" a="1"/>
  <c r="J146" i="42" s="1"/>
  <c r="J19" i="42" a="1"/>
  <c r="J19" i="42" s="1"/>
  <c r="J31" i="42" a="1"/>
  <c r="J31" i="42" s="1"/>
  <c r="J43" i="42" a="1"/>
  <c r="J43" i="42" s="1"/>
  <c r="J66" i="42" a="1"/>
  <c r="J66" i="42" s="1"/>
  <c r="J78" i="42" a="1"/>
  <c r="J78" i="42" s="1"/>
  <c r="J5" i="42" a="1"/>
  <c r="J5" i="42" s="1"/>
  <c r="J32" i="42" a="1"/>
  <c r="J32" i="42" s="1"/>
  <c r="J55" i="42" a="1"/>
  <c r="J55" i="42" s="1"/>
  <c r="J67" i="42" a="1"/>
  <c r="J67" i="42" s="1"/>
  <c r="J90" i="42" a="1"/>
  <c r="J90" i="42" s="1"/>
  <c r="J113" i="42" a="1"/>
  <c r="J113" i="42" s="1"/>
  <c r="J136" i="42" a="1"/>
  <c r="J136" i="42" s="1"/>
  <c r="J20" i="42" a="1"/>
  <c r="J20" i="42" s="1"/>
  <c r="J44" i="42" a="1"/>
  <c r="J44" i="42" s="1"/>
  <c r="J56" i="42" a="1"/>
  <c r="J56" i="42" s="1"/>
  <c r="J79" i="42" a="1"/>
  <c r="J79" i="42" s="1"/>
  <c r="J102" i="42" a="1"/>
  <c r="J102" i="42" s="1"/>
  <c r="J125" i="42" a="1"/>
  <c r="J125" i="42" s="1"/>
  <c r="J7" i="42" a="1"/>
  <c r="J7" i="42" s="1"/>
  <c r="J21" i="42" a="1"/>
  <c r="J21" i="42" s="1"/>
  <c r="J33" i="42" a="1"/>
  <c r="J33" i="42" s="1"/>
  <c r="J45" i="42" a="1"/>
  <c r="J45" i="42" s="1"/>
  <c r="J68" i="42" a="1"/>
  <c r="J68" i="42" s="1"/>
  <c r="J91" i="42" a="1"/>
  <c r="J91" i="42" s="1"/>
  <c r="J114" i="42" a="1"/>
  <c r="J114" i="42" s="1"/>
  <c r="J34" i="42" a="1"/>
  <c r="J34" i="42" s="1"/>
  <c r="J57" i="42" a="1"/>
  <c r="J57" i="42" s="1"/>
  <c r="J80" i="42" a="1"/>
  <c r="J80" i="42" s="1"/>
  <c r="J103" i="42" a="1"/>
  <c r="J103" i="42" s="1"/>
  <c r="J126" i="42" a="1"/>
  <c r="J126" i="42" s="1"/>
  <c r="J8" i="42" a="1"/>
  <c r="J8" i="42" s="1"/>
  <c r="J22" i="42" a="1"/>
  <c r="J22" i="42" s="1"/>
  <c r="J46" i="42" a="1"/>
  <c r="J46" i="42" s="1"/>
  <c r="J69" i="42" a="1"/>
  <c r="J69" i="42" s="1"/>
  <c r="J92" i="42" a="1"/>
  <c r="J92" i="42" s="1"/>
  <c r="J115" i="42" a="1"/>
  <c r="J115" i="42" s="1"/>
  <c r="J138" i="42" a="1"/>
  <c r="J138" i="42" s="1"/>
  <c r="J23" i="42" a="1"/>
  <c r="J23" i="42" s="1"/>
  <c r="J35" i="42" a="1"/>
  <c r="J35" i="42" s="1"/>
  <c r="J58" i="42" a="1"/>
  <c r="J58" i="42" s="1"/>
  <c r="J81" i="42" a="1"/>
  <c r="J81" i="42" s="1"/>
  <c r="J104" i="42" a="1"/>
  <c r="J104" i="42" s="1"/>
  <c r="J9" i="42" a="1"/>
  <c r="J9" i="42" s="1"/>
  <c r="J47" i="42" a="1"/>
  <c r="J47" i="42" s="1"/>
  <c r="J70" i="42" a="1"/>
  <c r="J70" i="42" s="1"/>
  <c r="J93" i="42" a="1"/>
  <c r="J93" i="42" s="1"/>
  <c r="J116" i="42" a="1"/>
  <c r="J116" i="42" s="1"/>
  <c r="J139" i="42" a="1"/>
  <c r="J139" i="42" s="1"/>
  <c r="J150" i="42" a="1"/>
  <c r="J150" i="42" s="1"/>
  <c r="J24" i="42" a="1"/>
  <c r="J24" i="42" s="1"/>
  <c r="J36" i="42" a="1"/>
  <c r="J36" i="42" s="1"/>
  <c r="J59" i="42" a="1"/>
  <c r="J59" i="42" s="1"/>
  <c r="J82" i="42" a="1"/>
  <c r="J82" i="42" s="1"/>
  <c r="J12" i="42" a="1"/>
  <c r="J12" i="42" s="1"/>
  <c r="J48" i="42" a="1"/>
  <c r="J48" i="42" s="1"/>
  <c r="J71" i="42" a="1"/>
  <c r="J71" i="42" s="1"/>
  <c r="J94" i="42" a="1"/>
  <c r="J94" i="42" s="1"/>
  <c r="J117" i="42" a="1"/>
  <c r="J117" i="42" s="1"/>
  <c r="J140" i="42" a="1"/>
  <c r="J140" i="42" s="1"/>
  <c r="J25" i="42" a="1"/>
  <c r="J25" i="42" s="1"/>
  <c r="J37" i="42" a="1"/>
  <c r="J37" i="42" s="1"/>
  <c r="J60" i="42" a="1"/>
  <c r="J60" i="42" s="1"/>
  <c r="J83" i="42" a="1"/>
  <c r="J83" i="42" s="1"/>
  <c r="J13" i="42" a="1"/>
  <c r="J13" i="42" s="1"/>
  <c r="J49" i="42" a="1"/>
  <c r="J49" i="42" s="1"/>
  <c r="J72" i="42" a="1"/>
  <c r="J72" i="42" s="1"/>
  <c r="J95" i="42" a="1"/>
  <c r="J95" i="42" s="1"/>
  <c r="J26" i="42" a="1"/>
  <c r="J26" i="42" s="1"/>
  <c r="J38" i="42" a="1"/>
  <c r="J38" i="42" s="1"/>
  <c r="J61" i="42" a="1"/>
  <c r="J61" i="42" s="1"/>
  <c r="J84" i="42" a="1"/>
  <c r="J84" i="42" s="1"/>
  <c r="J107" i="42" a="1"/>
  <c r="J107" i="42" s="1"/>
  <c r="J130" i="42" a="1"/>
  <c r="J130" i="42" s="1"/>
  <c r="J14" i="42" a="1"/>
  <c r="J14" i="42" s="1"/>
  <c r="J50" i="42" a="1"/>
  <c r="J50" i="42" s="1"/>
  <c r="J73" i="42" a="1"/>
  <c r="J73" i="42" s="1"/>
  <c r="J96" i="42" a="1"/>
  <c r="J96" i="42" s="1"/>
  <c r="J119" i="42" a="1"/>
  <c r="J119" i="42" s="1"/>
  <c r="J142" i="42" a="1"/>
  <c r="J142" i="42" s="1"/>
  <c r="J27" i="42" a="1"/>
  <c r="J27" i="42" s="1"/>
  <c r="J39" i="42" a="1"/>
  <c r="J39" i="42" s="1"/>
  <c r="J62" i="42" a="1"/>
  <c r="J62" i="42" s="1"/>
  <c r="J85" i="42" a="1"/>
  <c r="J85" i="42" s="1"/>
  <c r="J108" i="42" a="1"/>
  <c r="J108" i="42" s="1"/>
  <c r="J131" i="42" a="1"/>
  <c r="J131" i="42" s="1"/>
  <c r="J15" i="42" a="1"/>
  <c r="J15" i="42" s="1"/>
  <c r="J51" i="42" a="1"/>
  <c r="J51" i="42" s="1"/>
  <c r="J74" i="42" a="1"/>
  <c r="J74" i="42" s="1"/>
  <c r="J97" i="42" a="1"/>
  <c r="J97" i="42" s="1"/>
  <c r="J120" i="42" a="1"/>
  <c r="J120" i="42" s="1"/>
  <c r="J143" i="42" a="1"/>
  <c r="J143" i="42" s="1"/>
  <c r="J28" i="42" a="1"/>
  <c r="J28" i="42" s="1"/>
  <c r="J40" i="42" a="1"/>
  <c r="J40" i="42" s="1"/>
  <c r="J63" i="42" a="1"/>
  <c r="J63" i="42" s="1"/>
  <c r="J86" i="42" a="1"/>
  <c r="J86" i="42" s="1"/>
  <c r="J109" i="42" a="1"/>
  <c r="J109" i="42" s="1"/>
  <c r="J132" i="42" a="1"/>
  <c r="J132" i="42" s="1"/>
  <c r="J16" i="42" a="1"/>
  <c r="J16" i="42" s="1"/>
  <c r="J52" i="42" a="1"/>
  <c r="J52" i="42" s="1"/>
  <c r="J75" i="42" a="1"/>
  <c r="J75" i="42" s="1"/>
  <c r="J98" i="42" a="1"/>
  <c r="J98" i="42" s="1"/>
  <c r="J121" i="42" a="1"/>
  <c r="J121" i="42" s="1"/>
  <c r="J17" i="42" a="1"/>
  <c r="J17" i="42" s="1"/>
  <c r="J29" i="42" a="1"/>
  <c r="J29" i="42" s="1"/>
  <c r="J41" i="42" a="1"/>
  <c r="J41" i="42" s="1"/>
  <c r="J64" i="42" a="1"/>
  <c r="J64" i="42" s="1"/>
  <c r="J87" i="42" a="1"/>
  <c r="J87" i="42" s="1"/>
  <c r="J100" i="42" a="1"/>
  <c r="J100" i="42" s="1"/>
  <c r="J133" i="42" a="1"/>
  <c r="J133" i="42" s="1"/>
  <c r="J149" i="42" a="1"/>
  <c r="J149" i="42" s="1"/>
  <c r="J161" i="42" a="1"/>
  <c r="J161" i="42" s="1"/>
  <c r="J184" i="42" a="1"/>
  <c r="J184" i="42" s="1"/>
  <c r="J207" i="42" a="1"/>
  <c r="J207" i="42" s="1"/>
  <c r="J230" i="42" a="1"/>
  <c r="J230" i="42" s="1"/>
  <c r="J253" i="42" a="1"/>
  <c r="J253" i="42" s="1"/>
  <c r="J276" i="42" a="1"/>
  <c r="J276" i="42" s="1"/>
  <c r="J299" i="42" a="1"/>
  <c r="J299" i="42" s="1"/>
  <c r="J322" i="42" a="1"/>
  <c r="J322" i="42" s="1"/>
  <c r="J345" i="42" a="1"/>
  <c r="J345" i="42" s="1"/>
  <c r="J357" i="42" a="1"/>
  <c r="J357" i="42" s="1"/>
  <c r="J380" i="42" a="1"/>
  <c r="J380" i="42" s="1"/>
  <c r="J3" i="42" a="1"/>
  <c r="J3" i="42" s="1"/>
  <c r="J101" i="42" a="1"/>
  <c r="J101" i="42" s="1"/>
  <c r="J173" i="42" a="1"/>
  <c r="J173" i="42" s="1"/>
  <c r="J196" i="42" a="1"/>
  <c r="J196" i="42" s="1"/>
  <c r="J219" i="42" a="1"/>
  <c r="J219" i="42" s="1"/>
  <c r="J242" i="42" a="1"/>
  <c r="J242" i="42" s="1"/>
  <c r="J265" i="42" a="1"/>
  <c r="J265" i="42" s="1"/>
  <c r="J288" i="42" a="1"/>
  <c r="J288" i="42" s="1"/>
  <c r="J311" i="42" a="1"/>
  <c r="J311" i="42" s="1"/>
  <c r="J334" i="42" a="1"/>
  <c r="J334" i="42" s="1"/>
  <c r="J346" i="42" a="1"/>
  <c r="J346" i="42" s="1"/>
  <c r="J369" i="42" a="1"/>
  <c r="J369" i="42" s="1"/>
  <c r="J392" i="42" a="1"/>
  <c r="J392" i="42" s="1"/>
  <c r="J415" i="42" a="1"/>
  <c r="J415" i="42" s="1"/>
  <c r="J438" i="42" a="1"/>
  <c r="J438" i="42" s="1"/>
  <c r="J461" i="42" a="1"/>
  <c r="J461" i="42" s="1"/>
  <c r="J484" i="42" a="1"/>
  <c r="J484" i="42" s="1"/>
  <c r="J507" i="42" a="1"/>
  <c r="J507" i="42" s="1"/>
  <c r="J530" i="42" a="1"/>
  <c r="J530" i="42" s="1"/>
  <c r="J105" i="42" a="1"/>
  <c r="J105" i="42" s="1"/>
  <c r="J134" i="42" a="1"/>
  <c r="J134" i="42" s="1"/>
  <c r="J162" i="42" a="1"/>
  <c r="J162" i="42" s="1"/>
  <c r="J185" i="42" a="1"/>
  <c r="J185" i="42" s="1"/>
  <c r="J208" i="42" a="1"/>
  <c r="J208" i="42" s="1"/>
  <c r="J231" i="42" a="1"/>
  <c r="J231" i="42" s="1"/>
  <c r="J254" i="42" a="1"/>
  <c r="J254" i="42" s="1"/>
  <c r="J277" i="42" a="1"/>
  <c r="J277" i="42" s="1"/>
  <c r="J300" i="42" a="1"/>
  <c r="J300" i="42" s="1"/>
  <c r="J323" i="42" a="1"/>
  <c r="J323" i="42" s="1"/>
  <c r="J335" i="42" a="1"/>
  <c r="J335" i="42" s="1"/>
  <c r="J358" i="42" a="1"/>
  <c r="J358" i="42" s="1"/>
  <c r="J381" i="42" a="1"/>
  <c r="J381" i="42" s="1"/>
  <c r="J404" i="42" a="1"/>
  <c r="J404" i="42" s="1"/>
  <c r="J427" i="42" a="1"/>
  <c r="J427" i="42" s="1"/>
  <c r="J450" i="42" a="1"/>
  <c r="J450" i="42" s="1"/>
  <c r="J106" i="42" a="1"/>
  <c r="J106" i="42" s="1"/>
  <c r="J151" i="42" a="1"/>
  <c r="J151" i="42" s="1"/>
  <c r="J174" i="42" a="1"/>
  <c r="J174" i="42" s="1"/>
  <c r="J197" i="42" a="1"/>
  <c r="J197" i="42" s="1"/>
  <c r="J220" i="42" a="1"/>
  <c r="J220" i="42" s="1"/>
  <c r="J243" i="42" a="1"/>
  <c r="J243" i="42" s="1"/>
  <c r="J266" i="42" a="1"/>
  <c r="J266" i="42" s="1"/>
  <c r="J289" i="42" a="1"/>
  <c r="J289" i="42" s="1"/>
  <c r="J312" i="42" a="1"/>
  <c r="J312" i="42" s="1"/>
  <c r="J324" i="42" a="1"/>
  <c r="J324" i="42" s="1"/>
  <c r="J347" i="42" a="1"/>
  <c r="J347" i="42" s="1"/>
  <c r="J370" i="42" a="1"/>
  <c r="J370" i="42" s="1"/>
  <c r="J393" i="42" a="1"/>
  <c r="J393" i="42" s="1"/>
  <c r="J416" i="42" a="1"/>
  <c r="J416" i="42" s="1"/>
  <c r="J439" i="42" a="1"/>
  <c r="J439" i="42" s="1"/>
  <c r="J462" i="42" a="1"/>
  <c r="J462" i="42" s="1"/>
  <c r="J485" i="42" a="1"/>
  <c r="J485" i="42" s="1"/>
  <c r="J508" i="42" a="1"/>
  <c r="J508" i="42" s="1"/>
  <c r="J359" i="42" a="1"/>
  <c r="J359" i="42" s="1"/>
  <c r="J18" i="42" a="1"/>
  <c r="J18" i="42" s="1"/>
  <c r="J163" i="42" a="1"/>
  <c r="J163" i="42" s="1"/>
  <c r="J186" i="42" a="1"/>
  <c r="J186" i="42" s="1"/>
  <c r="J209" i="42" a="1"/>
  <c r="J209" i="42" s="1"/>
  <c r="J232" i="42" a="1"/>
  <c r="J232" i="42" s="1"/>
  <c r="J255" i="42" a="1"/>
  <c r="J255" i="42" s="1"/>
  <c r="J278" i="42" a="1"/>
  <c r="J278" i="42" s="1"/>
  <c r="J301" i="42" a="1"/>
  <c r="J301" i="42" s="1"/>
  <c r="J313" i="42" a="1"/>
  <c r="J313" i="42" s="1"/>
  <c r="J336" i="42" a="1"/>
  <c r="J336" i="42" s="1"/>
  <c r="J110" i="42" a="1"/>
  <c r="J110" i="42" s="1"/>
  <c r="J137" i="42" a="1"/>
  <c r="J137" i="42" s="1"/>
  <c r="J152" i="42" a="1"/>
  <c r="J152" i="42" s="1"/>
  <c r="J175" i="42" a="1"/>
  <c r="J175" i="42" s="1"/>
  <c r="J198" i="42" a="1"/>
  <c r="J198" i="42" s="1"/>
  <c r="J221" i="42" a="1"/>
  <c r="J221" i="42" s="1"/>
  <c r="J244" i="42" a="1"/>
  <c r="J244" i="42" s="1"/>
  <c r="J267" i="42" a="1"/>
  <c r="J267" i="42" s="1"/>
  <c r="J290" i="42" a="1"/>
  <c r="J290" i="42" s="1"/>
  <c r="J302" i="42" a="1"/>
  <c r="J302" i="42" s="1"/>
  <c r="J325" i="42" a="1"/>
  <c r="J325" i="42" s="1"/>
  <c r="J348" i="42" a="1"/>
  <c r="J348" i="42" s="1"/>
  <c r="J371" i="42" a="1"/>
  <c r="J371" i="42" s="1"/>
  <c r="J394" i="42" a="1"/>
  <c r="J394" i="42" s="1"/>
  <c r="J30" i="42" a="1"/>
  <c r="J30" i="42" s="1"/>
  <c r="J111" i="42" a="1"/>
  <c r="J111" i="42" s="1"/>
  <c r="J164" i="42" a="1"/>
  <c r="J164" i="42" s="1"/>
  <c r="J187" i="42" a="1"/>
  <c r="J187" i="42" s="1"/>
  <c r="J210" i="42" a="1"/>
  <c r="J210" i="42" s="1"/>
  <c r="J233" i="42" a="1"/>
  <c r="J233" i="42" s="1"/>
  <c r="J256" i="42" a="1"/>
  <c r="J256" i="42" s="1"/>
  <c r="J279" i="42" a="1"/>
  <c r="J279" i="42" s="1"/>
  <c r="J291" i="42" a="1"/>
  <c r="J291" i="42" s="1"/>
  <c r="J314" i="42" a="1"/>
  <c r="J314" i="42" s="1"/>
  <c r="J337" i="42" a="1"/>
  <c r="J337" i="42" s="1"/>
  <c r="J360" i="42" a="1"/>
  <c r="J360" i="42" s="1"/>
  <c r="J383" i="42" a="1"/>
  <c r="J383" i="42" s="1"/>
  <c r="J406" i="42" a="1"/>
  <c r="J406" i="42" s="1"/>
  <c r="J429" i="42" a="1"/>
  <c r="J429" i="42" s="1"/>
  <c r="J452" i="42" a="1"/>
  <c r="J452" i="42" s="1"/>
  <c r="J475" i="42" a="1"/>
  <c r="J475" i="42" s="1"/>
  <c r="J498" i="42" a="1"/>
  <c r="J498" i="42" s="1"/>
  <c r="J521" i="42" a="1"/>
  <c r="J521" i="42" s="1"/>
  <c r="J153" i="42" a="1"/>
  <c r="J153" i="42" s="1"/>
  <c r="J176" i="42" a="1"/>
  <c r="J176" i="42" s="1"/>
  <c r="J199" i="42" a="1"/>
  <c r="J199" i="42" s="1"/>
  <c r="J222" i="42" a="1"/>
  <c r="J222" i="42" s="1"/>
  <c r="J245" i="42" a="1"/>
  <c r="J245" i="42" s="1"/>
  <c r="J268" i="42" a="1"/>
  <c r="J268" i="42" s="1"/>
  <c r="J280" i="42" a="1"/>
  <c r="J280" i="42" s="1"/>
  <c r="J303" i="42" a="1"/>
  <c r="J303" i="42" s="1"/>
  <c r="J326" i="42" a="1"/>
  <c r="J326" i="42" s="1"/>
  <c r="J349" i="42" a="1"/>
  <c r="J349" i="42" s="1"/>
  <c r="J372" i="42" a="1"/>
  <c r="J372" i="42" s="1"/>
  <c r="J395" i="42" a="1"/>
  <c r="J395" i="42" s="1"/>
  <c r="J418" i="42" a="1"/>
  <c r="J418" i="42" s="1"/>
  <c r="J441" i="42" a="1"/>
  <c r="J441" i="42" s="1"/>
  <c r="J42" i="42" a="1"/>
  <c r="J42" i="42" s="1"/>
  <c r="J165" i="42" a="1"/>
  <c r="J165" i="42" s="1"/>
  <c r="J188" i="42" a="1"/>
  <c r="J188" i="42" s="1"/>
  <c r="J211" i="42" a="1"/>
  <c r="J211" i="42" s="1"/>
  <c r="J234" i="42" a="1"/>
  <c r="J234" i="42" s="1"/>
  <c r="J257" i="42" a="1"/>
  <c r="J257" i="42" s="1"/>
  <c r="J269" i="42" a="1"/>
  <c r="J269" i="42" s="1"/>
  <c r="J292" i="42" a="1"/>
  <c r="J292" i="42" s="1"/>
  <c r="J315" i="42" a="1"/>
  <c r="J315" i="42" s="1"/>
  <c r="J338" i="42" a="1"/>
  <c r="J338" i="42" s="1"/>
  <c r="J361" i="42" a="1"/>
  <c r="J361" i="42" s="1"/>
  <c r="J384" i="42" a="1"/>
  <c r="J384" i="42" s="1"/>
  <c r="J407" i="42" a="1"/>
  <c r="J407" i="42" s="1"/>
  <c r="J430" i="42" a="1"/>
  <c r="J430" i="42" s="1"/>
  <c r="J453" i="42" a="1"/>
  <c r="J453" i="42" s="1"/>
  <c r="J476" i="42" a="1"/>
  <c r="J476" i="42" s="1"/>
  <c r="J499" i="42" a="1"/>
  <c r="J499" i="42" s="1"/>
  <c r="J511" i="42" a="1"/>
  <c r="J511" i="42" s="1"/>
  <c r="J53" i="42" a="1"/>
  <c r="J53" i="42" s="1"/>
  <c r="J154" i="42" a="1"/>
  <c r="J154" i="42" s="1"/>
  <c r="J177" i="42" a="1"/>
  <c r="J177" i="42" s="1"/>
  <c r="J200" i="42" a="1"/>
  <c r="J200" i="42" s="1"/>
  <c r="J223" i="42" a="1"/>
  <c r="J223" i="42" s="1"/>
  <c r="J246" i="42" a="1"/>
  <c r="J246" i="42" s="1"/>
  <c r="J258" i="42" a="1"/>
  <c r="J258" i="42" s="1"/>
  <c r="J281" i="42" a="1"/>
  <c r="J281" i="42" s="1"/>
  <c r="J304" i="42" a="1"/>
  <c r="J304" i="42" s="1"/>
  <c r="J327" i="42" a="1"/>
  <c r="J327" i="42" s="1"/>
  <c r="J350" i="42" a="1"/>
  <c r="J350" i="42" s="1"/>
  <c r="J373" i="42" a="1"/>
  <c r="J373" i="42" s="1"/>
  <c r="J396" i="42" a="1"/>
  <c r="J396" i="42" s="1"/>
  <c r="J419" i="42" a="1"/>
  <c r="J419" i="42" s="1"/>
  <c r="J442" i="42" a="1"/>
  <c r="J442" i="42" s="1"/>
  <c r="J465" i="42" a="1"/>
  <c r="J465" i="42" s="1"/>
  <c r="J488" i="42" a="1"/>
  <c r="J488" i="42" s="1"/>
  <c r="J500" i="42" a="1"/>
  <c r="J500" i="42" s="1"/>
  <c r="J141" i="42" a="1"/>
  <c r="J141" i="42" s="1"/>
  <c r="J166" i="42" a="1"/>
  <c r="J166" i="42" s="1"/>
  <c r="J189" i="42" a="1"/>
  <c r="J189" i="42" s="1"/>
  <c r="J212" i="42" a="1"/>
  <c r="J212" i="42" s="1"/>
  <c r="J235" i="42" a="1"/>
  <c r="J235" i="42" s="1"/>
  <c r="J247" i="42" a="1"/>
  <c r="J247" i="42" s="1"/>
  <c r="J270" i="42" a="1"/>
  <c r="J270" i="42" s="1"/>
  <c r="J293" i="42" a="1"/>
  <c r="J293" i="42" s="1"/>
  <c r="J316" i="42" a="1"/>
  <c r="J316" i="42" s="1"/>
  <c r="J339" i="42" a="1"/>
  <c r="J339" i="42" s="1"/>
  <c r="J362" i="42" a="1"/>
  <c r="J362" i="42" s="1"/>
  <c r="J385" i="42" a="1"/>
  <c r="J385" i="42" s="1"/>
  <c r="J408" i="42" a="1"/>
  <c r="J408" i="42" s="1"/>
  <c r="J431" i="42" a="1"/>
  <c r="J431" i="42" s="1"/>
  <c r="J155" i="42" a="1"/>
  <c r="J155" i="42" s="1"/>
  <c r="J178" i="42" a="1"/>
  <c r="J178" i="42" s="1"/>
  <c r="J201" i="42" a="1"/>
  <c r="J201" i="42" s="1"/>
  <c r="J224" i="42" a="1"/>
  <c r="J224" i="42" s="1"/>
  <c r="J236" i="42" a="1"/>
  <c r="J236" i="42" s="1"/>
  <c r="J259" i="42" a="1"/>
  <c r="J259" i="42" s="1"/>
  <c r="J282" i="42" a="1"/>
  <c r="J282" i="42" s="1"/>
  <c r="J305" i="42" a="1"/>
  <c r="J305" i="42" s="1"/>
  <c r="J328" i="42" a="1"/>
  <c r="J328" i="42" s="1"/>
  <c r="J351" i="42" a="1"/>
  <c r="J351" i="42" s="1"/>
  <c r="J374" i="42" a="1"/>
  <c r="J374" i="42" s="1"/>
  <c r="J397" i="42" a="1"/>
  <c r="J397" i="42" s="1"/>
  <c r="J420" i="42" a="1"/>
  <c r="J420" i="42" s="1"/>
  <c r="J443" i="42" a="1"/>
  <c r="J443" i="42" s="1"/>
  <c r="J466" i="42" a="1"/>
  <c r="J466" i="42" s="1"/>
  <c r="J478" i="42" a="1"/>
  <c r="J478" i="42" s="1"/>
  <c r="J501" i="42" a="1"/>
  <c r="J501" i="42" s="1"/>
  <c r="J524" i="42" a="1"/>
  <c r="J524" i="42" s="1"/>
  <c r="J513" i="42" a="1"/>
  <c r="J513" i="42" s="1"/>
  <c r="J65" i="42" a="1"/>
  <c r="J65" i="42" s="1"/>
  <c r="J118" i="42" a="1"/>
  <c r="J118" i="42" s="1"/>
  <c r="J167" i="42" a="1"/>
  <c r="J167" i="42" s="1"/>
  <c r="J190" i="42" a="1"/>
  <c r="J190" i="42" s="1"/>
  <c r="J213" i="42" a="1"/>
  <c r="J213" i="42" s="1"/>
  <c r="J225" i="42" a="1"/>
  <c r="J225" i="42" s="1"/>
  <c r="J248" i="42" a="1"/>
  <c r="J248" i="42" s="1"/>
  <c r="J271" i="42" a="1"/>
  <c r="J271" i="42" s="1"/>
  <c r="J294" i="42" a="1"/>
  <c r="J294" i="42" s="1"/>
  <c r="J317" i="42" a="1"/>
  <c r="J317" i="42" s="1"/>
  <c r="J340" i="42" a="1"/>
  <c r="J340" i="42" s="1"/>
  <c r="J363" i="42" a="1"/>
  <c r="J363" i="42" s="1"/>
  <c r="J386" i="42" a="1"/>
  <c r="J386" i="42" s="1"/>
  <c r="J409" i="42" a="1"/>
  <c r="J409" i="42" s="1"/>
  <c r="J432" i="42" a="1"/>
  <c r="J432" i="42" s="1"/>
  <c r="J455" i="42" a="1"/>
  <c r="J455" i="42" s="1"/>
  <c r="J467" i="42" a="1"/>
  <c r="J467" i="42" s="1"/>
  <c r="J490" i="42" a="1"/>
  <c r="J490" i="42" s="1"/>
  <c r="J76" i="42" a="1"/>
  <c r="J76" i="42" s="1"/>
  <c r="J122" i="42" a="1"/>
  <c r="J122" i="42" s="1"/>
  <c r="J156" i="42" a="1"/>
  <c r="J156" i="42" s="1"/>
  <c r="J179" i="42" a="1"/>
  <c r="J179" i="42" s="1"/>
  <c r="J202" i="42" a="1"/>
  <c r="J202" i="42" s="1"/>
  <c r="J214" i="42" a="1"/>
  <c r="J214" i="42" s="1"/>
  <c r="J237" i="42" a="1"/>
  <c r="J237" i="42" s="1"/>
  <c r="J260" i="42" a="1"/>
  <c r="J260" i="42" s="1"/>
  <c r="J283" i="42" a="1"/>
  <c r="J283" i="42" s="1"/>
  <c r="J306" i="42" a="1"/>
  <c r="J306" i="42" s="1"/>
  <c r="J329" i="42" a="1"/>
  <c r="J329" i="42" s="1"/>
  <c r="J352" i="42" a="1"/>
  <c r="J352" i="42" s="1"/>
  <c r="J375" i="42" a="1"/>
  <c r="J375" i="42" s="1"/>
  <c r="J398" i="42" a="1"/>
  <c r="J398" i="42" s="1"/>
  <c r="J421" i="42" a="1"/>
  <c r="J421" i="42" s="1"/>
  <c r="J444" i="42" a="1"/>
  <c r="J444" i="42" s="1"/>
  <c r="J456" i="42" a="1"/>
  <c r="J456" i="42" s="1"/>
  <c r="J479" i="42" a="1"/>
  <c r="J479" i="42" s="1"/>
  <c r="J502" i="42" a="1"/>
  <c r="J502" i="42" s="1"/>
  <c r="J525" i="42" a="1"/>
  <c r="J525" i="42" s="1"/>
  <c r="J144" i="42" a="1"/>
  <c r="J144" i="42" s="1"/>
  <c r="J168" i="42" a="1"/>
  <c r="J168" i="42" s="1"/>
  <c r="J191" i="42" a="1"/>
  <c r="J191" i="42" s="1"/>
  <c r="J203" i="42" a="1"/>
  <c r="J203" i="42" s="1"/>
  <c r="J226" i="42" a="1"/>
  <c r="J226" i="42" s="1"/>
  <c r="J249" i="42" a="1"/>
  <c r="J249" i="42" s="1"/>
  <c r="J272" i="42" a="1"/>
  <c r="J272" i="42" s="1"/>
  <c r="J295" i="42" a="1"/>
  <c r="J295" i="42" s="1"/>
  <c r="J318" i="42" a="1"/>
  <c r="J318" i="42" s="1"/>
  <c r="J341" i="42" a="1"/>
  <c r="J341" i="42" s="1"/>
  <c r="J364" i="42" a="1"/>
  <c r="J364" i="42" s="1"/>
  <c r="J387" i="42" a="1"/>
  <c r="J387" i="42" s="1"/>
  <c r="J410" i="42" a="1"/>
  <c r="J410" i="42" s="1"/>
  <c r="J433" i="42" a="1"/>
  <c r="J433" i="42" s="1"/>
  <c r="J445" i="42" a="1"/>
  <c r="J445" i="42" s="1"/>
  <c r="J468" i="42" a="1"/>
  <c r="J468" i="42" s="1"/>
  <c r="J491" i="42" a="1"/>
  <c r="J491" i="42" s="1"/>
  <c r="J514" i="42" a="1"/>
  <c r="J514" i="42" s="1"/>
  <c r="J123" i="42" a="1"/>
  <c r="J123" i="42" s="1"/>
  <c r="J157" i="42" a="1"/>
  <c r="J157" i="42" s="1"/>
  <c r="J180" i="42" a="1"/>
  <c r="J180" i="42" s="1"/>
  <c r="J192" i="42" a="1"/>
  <c r="J192" i="42" s="1"/>
  <c r="J215" i="42" a="1"/>
  <c r="J215" i="42" s="1"/>
  <c r="J238" i="42" a="1"/>
  <c r="J238" i="42" s="1"/>
  <c r="J261" i="42" a="1"/>
  <c r="J261" i="42" s="1"/>
  <c r="J284" i="42" a="1"/>
  <c r="J284" i="42" s="1"/>
  <c r="J307" i="42" a="1"/>
  <c r="J307" i="42" s="1"/>
  <c r="J330" i="42" a="1"/>
  <c r="J330" i="42" s="1"/>
  <c r="J353" i="42" a="1"/>
  <c r="J353" i="42" s="1"/>
  <c r="J376" i="42" a="1"/>
  <c r="J376" i="42" s="1"/>
  <c r="J399" i="42" a="1"/>
  <c r="J399" i="42" s="1"/>
  <c r="J422" i="42" a="1"/>
  <c r="J422" i="42" s="1"/>
  <c r="J434" i="42" a="1"/>
  <c r="J434" i="42" s="1"/>
  <c r="J457" i="42" a="1"/>
  <c r="J457" i="42" s="1"/>
  <c r="J480" i="42" a="1"/>
  <c r="J480" i="42" s="1"/>
  <c r="J503" i="42" a="1"/>
  <c r="J503" i="42" s="1"/>
  <c r="J526" i="42" a="1"/>
  <c r="J526" i="42" s="1"/>
  <c r="J88" i="42" a="1"/>
  <c r="J88" i="42" s="1"/>
  <c r="J124" i="42" a="1"/>
  <c r="J124" i="42" s="1"/>
  <c r="J145" i="42" a="1"/>
  <c r="J145" i="42" s="1"/>
  <c r="J169" i="42" a="1"/>
  <c r="J169" i="42" s="1"/>
  <c r="J181" i="42" a="1"/>
  <c r="J181" i="42" s="1"/>
  <c r="J204" i="42" a="1"/>
  <c r="J204" i="42" s="1"/>
  <c r="J227" i="42" a="1"/>
  <c r="J227" i="42" s="1"/>
  <c r="J250" i="42" a="1"/>
  <c r="J250" i="42" s="1"/>
  <c r="J273" i="42" a="1"/>
  <c r="J273" i="42" s="1"/>
  <c r="J296" i="42" a="1"/>
  <c r="J296" i="42" s="1"/>
  <c r="J319" i="42" a="1"/>
  <c r="J319" i="42" s="1"/>
  <c r="J342" i="42" a="1"/>
  <c r="J342" i="42" s="1"/>
  <c r="J365" i="42" a="1"/>
  <c r="J365" i="42" s="1"/>
  <c r="J388" i="42" a="1"/>
  <c r="J388" i="42" s="1"/>
  <c r="J411" i="42" a="1"/>
  <c r="J411" i="42" s="1"/>
  <c r="J423" i="42" a="1"/>
  <c r="J423" i="42" s="1"/>
  <c r="J446" i="42" a="1"/>
  <c r="J446" i="42" s="1"/>
  <c r="J469" i="42" a="1"/>
  <c r="J469" i="42" s="1"/>
  <c r="J492" i="42" a="1"/>
  <c r="J492" i="42" s="1"/>
  <c r="J515" i="42" a="1"/>
  <c r="J515" i="42" s="1"/>
  <c r="J158" i="42" a="1"/>
  <c r="J158" i="42" s="1"/>
  <c r="J170" i="42" a="1"/>
  <c r="J170" i="42" s="1"/>
  <c r="J193" i="42" a="1"/>
  <c r="J193" i="42" s="1"/>
  <c r="J216" i="42" a="1"/>
  <c r="J216" i="42" s="1"/>
  <c r="J239" i="42" a="1"/>
  <c r="J239" i="42" s="1"/>
  <c r="J262" i="42" a="1"/>
  <c r="J262" i="42" s="1"/>
  <c r="J285" i="42" a="1"/>
  <c r="J285" i="42" s="1"/>
  <c r="J308" i="42" a="1"/>
  <c r="J308" i="42" s="1"/>
  <c r="J331" i="42" a="1"/>
  <c r="J331" i="42" s="1"/>
  <c r="J354" i="42" a="1"/>
  <c r="J354" i="42" s="1"/>
  <c r="J377" i="42" a="1"/>
  <c r="J377" i="42" s="1"/>
  <c r="J400" i="42" a="1"/>
  <c r="J400" i="42" s="1"/>
  <c r="J412" i="42" a="1"/>
  <c r="J412" i="42" s="1"/>
  <c r="J435" i="42" a="1"/>
  <c r="J435" i="42" s="1"/>
  <c r="J458" i="42" a="1"/>
  <c r="J458" i="42" s="1"/>
  <c r="J481" i="42" a="1"/>
  <c r="J481" i="42" s="1"/>
  <c r="J127" i="42" a="1"/>
  <c r="J127" i="42" s="1"/>
  <c r="J159" i="42" a="1"/>
  <c r="J159" i="42" s="1"/>
  <c r="J182" i="42" a="1"/>
  <c r="J182" i="42" s="1"/>
  <c r="J205" i="42" a="1"/>
  <c r="J205" i="42" s="1"/>
  <c r="J228" i="42" a="1"/>
  <c r="J228" i="42" s="1"/>
  <c r="J251" i="42" a="1"/>
  <c r="J251" i="42" s="1"/>
  <c r="J274" i="42" a="1"/>
  <c r="J274" i="42" s="1"/>
  <c r="J297" i="42" a="1"/>
  <c r="J297" i="42" s="1"/>
  <c r="J320" i="42" a="1"/>
  <c r="J320" i="42" s="1"/>
  <c r="J343" i="42" a="1"/>
  <c r="J343" i="42" s="1"/>
  <c r="J366" i="42" a="1"/>
  <c r="J366" i="42" s="1"/>
  <c r="J128" i="42" a="1"/>
  <c r="J128" i="42" s="1"/>
  <c r="J147" i="42" a="1"/>
  <c r="J147" i="42" s="1"/>
  <c r="J171" i="42" a="1"/>
  <c r="J171" i="42" s="1"/>
  <c r="J194" i="42" a="1"/>
  <c r="J194" i="42" s="1"/>
  <c r="J217" i="42" a="1"/>
  <c r="J217" i="42" s="1"/>
  <c r="J240" i="42" a="1"/>
  <c r="J240" i="42" s="1"/>
  <c r="J263" i="42" a="1"/>
  <c r="J263" i="42" s="1"/>
  <c r="J494" i="42" a="1"/>
  <c r="J494" i="42" s="1"/>
  <c r="J440" i="42" a="1"/>
  <c r="J440" i="42" s="1"/>
  <c r="J405" i="42" a="1"/>
  <c r="J405" i="42" s="1"/>
  <c r="J148" i="42" a="1"/>
  <c r="J148" i="42" s="1"/>
  <c r="J403" i="42" a="1"/>
  <c r="J403" i="42" s="1"/>
  <c r="J355" i="42" a="1"/>
  <c r="J355" i="42" s="1"/>
  <c r="J264" i="42" a="1"/>
  <c r="J264" i="42" s="1"/>
  <c r="B5" i="77"/>
  <c r="B15" i="78"/>
  <c r="B5" i="78"/>
  <c r="B30" i="139" l="1"/>
  <c r="B16" i="139"/>
  <c r="B38" i="139"/>
  <c r="B39" i="139" l="1"/>
  <c r="B40" i="139"/>
  <c r="B12" i="138" a="1"/>
  <c r="B12" i="138" s="1"/>
  <c r="B46" i="78" s="1" a="1"/>
  <c r="B46" i="78" s="1"/>
  <c r="B5" i="138"/>
  <c r="B39" i="78" s="1"/>
  <c r="B42" i="77"/>
  <c r="B4" i="136"/>
  <c r="A32" i="138" l="1" a="1"/>
  <c r="A32" i="138" s="1"/>
  <c r="F32" i="138" s="1" a="1"/>
  <c r="F32" i="138" s="1"/>
  <c r="A33" i="138" a="1"/>
  <c r="A33" i="138" s="1"/>
  <c r="F33" i="138" s="1" a="1"/>
  <c r="F33" i="138" s="1"/>
  <c r="A47" i="138" a="1"/>
  <c r="A47" i="138" s="1"/>
  <c r="A34" i="138" a="1"/>
  <c r="A34" i="138" s="1"/>
  <c r="F34" i="138" s="1" a="1"/>
  <c r="F34" i="138" s="1"/>
  <c r="A35" i="138" a="1"/>
  <c r="A35" i="138" s="1"/>
  <c r="F35" i="138" s="1" a="1"/>
  <c r="F35" i="138" s="1"/>
  <c r="A48" i="138" a="1"/>
  <c r="A48" i="138" s="1"/>
  <c r="A36" i="138" a="1"/>
  <c r="A36" i="138" s="1"/>
  <c r="F36" i="138" s="1" a="1"/>
  <c r="F36" i="138" s="1"/>
  <c r="A37" i="138" a="1"/>
  <c r="A37" i="138" s="1"/>
  <c r="F37" i="138" s="1" a="1"/>
  <c r="F37" i="138" s="1"/>
  <c r="A44" i="138" a="1"/>
  <c r="A44" i="138" s="1"/>
  <c r="A39" i="138" a="1"/>
  <c r="A39" i="138" s="1"/>
  <c r="F39" i="138" s="1" a="1"/>
  <c r="F39" i="138" s="1"/>
  <c r="A46" i="138" a="1"/>
  <c r="A46" i="138" s="1"/>
  <c r="A31" i="138" a="1"/>
  <c r="A31" i="138" s="1"/>
  <c r="A38" i="138" a="1"/>
  <c r="A38" i="138" s="1"/>
  <c r="F38" i="138" s="1" a="1"/>
  <c r="F38" i="138" s="1"/>
  <c r="A43" i="138" a="1"/>
  <c r="A43" i="138" s="1"/>
  <c r="A40" i="138" a="1"/>
  <c r="A40" i="138" s="1"/>
  <c r="F40" i="138" s="1" a="1"/>
  <c r="F40" i="138" s="1"/>
  <c r="A42" i="138" a="1"/>
  <c r="A42" i="138" s="1"/>
  <c r="A41" i="138" a="1"/>
  <c r="A41" i="138" s="1"/>
  <c r="F41" i="138" s="1" a="1"/>
  <c r="F41" i="138" s="1"/>
  <c r="A45" i="138" a="1"/>
  <c r="A45" i="138" s="1"/>
  <c r="B25" i="77"/>
  <c r="B26" i="77" s="1"/>
  <c r="H22" i="42" l="1"/>
  <c r="K125" i="60" s="1"/>
  <c r="H44" i="42"/>
  <c r="K43" i="60" s="1"/>
  <c r="H66" i="42"/>
  <c r="K65" i="60" s="1"/>
  <c r="H88" i="42"/>
  <c r="K87" i="60" s="1"/>
  <c r="H110" i="42"/>
  <c r="K109" i="60" s="1"/>
  <c r="H132" i="42"/>
  <c r="K134" i="60" s="1"/>
  <c r="H154" i="42"/>
  <c r="K156" i="60" s="1"/>
  <c r="H176" i="42"/>
  <c r="K178" i="60" s="1"/>
  <c r="H198" i="42"/>
  <c r="K200" i="60" s="1"/>
  <c r="H220" i="42"/>
  <c r="K222" i="60" s="1"/>
  <c r="H3" i="42"/>
  <c r="K3" i="60" s="1"/>
  <c r="H25" i="42"/>
  <c r="K24" i="60" s="1"/>
  <c r="H47" i="42"/>
  <c r="K46" i="60" s="1"/>
  <c r="H69" i="42"/>
  <c r="K69" i="60" s="1"/>
  <c r="H91" i="42"/>
  <c r="K90" i="60" s="1"/>
  <c r="H113" i="42"/>
  <c r="K112" i="60" s="1"/>
  <c r="H135" i="42"/>
  <c r="K137" i="60" s="1"/>
  <c r="H157" i="42"/>
  <c r="K159" i="60" s="1"/>
  <c r="H179" i="42"/>
  <c r="K181" i="60" s="1"/>
  <c r="H201" i="42"/>
  <c r="K203" i="60" s="1"/>
  <c r="H223" i="42"/>
  <c r="K225" i="60" s="1"/>
  <c r="H10" i="42"/>
  <c r="K10" i="60" s="1"/>
  <c r="H32" i="42"/>
  <c r="K31" i="60" s="1"/>
  <c r="H54" i="42"/>
  <c r="K53" i="60" s="1"/>
  <c r="H76" i="42"/>
  <c r="K75" i="60" s="1"/>
  <c r="H11" i="42"/>
  <c r="K11" i="60" s="1"/>
  <c r="H33" i="42"/>
  <c r="K32" i="60" s="1"/>
  <c r="H55" i="42"/>
  <c r="K54" i="60" s="1"/>
  <c r="H77" i="42"/>
  <c r="K76" i="60" s="1"/>
  <c r="H99" i="42"/>
  <c r="K100" i="60" s="1"/>
  <c r="H121" i="42"/>
  <c r="K120" i="60" s="1"/>
  <c r="H143" i="42"/>
  <c r="K145" i="60" s="1"/>
  <c r="H165" i="42"/>
  <c r="K167" i="60" s="1"/>
  <c r="H187" i="42"/>
  <c r="K189" i="60" s="1"/>
  <c r="H209" i="42"/>
  <c r="K211" i="60" s="1"/>
  <c r="H12" i="42"/>
  <c r="K12" i="60" s="1"/>
  <c r="H34" i="42"/>
  <c r="K33" i="60" s="1"/>
  <c r="H56" i="42"/>
  <c r="K55" i="60" s="1"/>
  <c r="H78" i="42"/>
  <c r="K77" i="60" s="1"/>
  <c r="H100" i="42"/>
  <c r="K101" i="60" s="1"/>
  <c r="H122" i="42"/>
  <c r="K121" i="60" s="1"/>
  <c r="H144" i="42"/>
  <c r="K146" i="60" s="1"/>
  <c r="H166" i="42"/>
  <c r="K168" i="60" s="1"/>
  <c r="H188" i="42"/>
  <c r="K190" i="60" s="1"/>
  <c r="H210" i="42"/>
  <c r="K212" i="60" s="1"/>
  <c r="H14" i="42"/>
  <c r="K14" i="60" s="1"/>
  <c r="H36" i="42"/>
  <c r="K35" i="60" s="1"/>
  <c r="H58" i="42"/>
  <c r="K57" i="60" s="1"/>
  <c r="H80" i="42"/>
  <c r="K79" i="60" s="1"/>
  <c r="H102" i="42"/>
  <c r="K103" i="60" s="1"/>
  <c r="H124" i="42"/>
  <c r="K124" i="60" s="1"/>
  <c r="H146" i="42"/>
  <c r="K148" i="60" s="1"/>
  <c r="H168" i="42"/>
  <c r="K170" i="60" s="1"/>
  <c r="H190" i="42"/>
  <c r="K192" i="60" s="1"/>
  <c r="H212" i="42"/>
  <c r="K214" i="60" s="1"/>
  <c r="H234" i="42"/>
  <c r="K236" i="60" s="1"/>
  <c r="H21" i="42"/>
  <c r="K21" i="60" s="1"/>
  <c r="H43" i="42"/>
  <c r="K42" i="60" s="1"/>
  <c r="H65" i="42"/>
  <c r="K64" i="60" s="1"/>
  <c r="H87" i="42"/>
  <c r="K86" i="60" s="1"/>
  <c r="H109" i="42"/>
  <c r="K108" i="60" s="1"/>
  <c r="H131" i="42"/>
  <c r="K133" i="60" s="1"/>
  <c r="H153" i="42"/>
  <c r="K155" i="60" s="1"/>
  <c r="H175" i="42"/>
  <c r="K177" i="60" s="1"/>
  <c r="H197" i="42"/>
  <c r="K199" i="60" s="1"/>
  <c r="H230" i="42"/>
  <c r="K232" i="60" s="1"/>
  <c r="H98" i="42"/>
  <c r="K99" i="60" s="1"/>
  <c r="H116" i="42"/>
  <c r="K115" i="60" s="1"/>
  <c r="H428" i="42"/>
  <c r="K436" i="60" s="1"/>
  <c r="H120" i="42"/>
  <c r="K119" i="60" s="1"/>
  <c r="H140" i="42"/>
  <c r="K142" i="60" s="1"/>
  <c r="H296" i="42"/>
  <c r="K299" i="60" s="1"/>
  <c r="H468" i="42"/>
  <c r="K477" i="60" s="1"/>
  <c r="H142" i="42"/>
  <c r="K144" i="60" s="1"/>
  <c r="H160" i="42"/>
  <c r="K162" i="60" s="1"/>
  <c r="H472" i="42"/>
  <c r="K481" i="60" s="1"/>
  <c r="H162" i="42"/>
  <c r="K164" i="60" s="1"/>
  <c r="H318" i="42"/>
  <c r="K322" i="60" s="1"/>
  <c r="H490" i="42"/>
  <c r="K499" i="60" s="1"/>
  <c r="H164" i="42"/>
  <c r="K166" i="60" s="1"/>
  <c r="H182" i="42"/>
  <c r="K184" i="60" s="1"/>
  <c r="H494" i="42"/>
  <c r="K503" i="60" s="1"/>
  <c r="H184" i="42"/>
  <c r="K186" i="60" s="1"/>
  <c r="H340" i="42"/>
  <c r="K341" i="60" s="1"/>
  <c r="H6" i="42"/>
  <c r="K6" i="60" s="1"/>
  <c r="H186" i="42"/>
  <c r="K188" i="60" s="1"/>
  <c r="H8" i="42"/>
  <c r="K8" i="60" s="1"/>
  <c r="H516" i="42"/>
  <c r="K525" i="60" s="1"/>
  <c r="H28" i="42"/>
  <c r="K27" i="60" s="1"/>
  <c r="H206" i="42"/>
  <c r="K208" i="60" s="1"/>
  <c r="H362" i="42"/>
  <c r="K363" i="60" s="1"/>
  <c r="H30" i="42"/>
  <c r="K29" i="60" s="1"/>
  <c r="H208" i="42"/>
  <c r="K210" i="60" s="1"/>
  <c r="H380" i="42"/>
  <c r="K381" i="60" s="1"/>
  <c r="H52" i="42"/>
  <c r="K51" i="60" s="1"/>
  <c r="H226" i="42"/>
  <c r="K228" i="60" s="1"/>
  <c r="H384" i="42"/>
  <c r="K385" i="60" s="1"/>
  <c r="H382" i="42"/>
  <c r="K383" i="60" s="1"/>
  <c r="H337" i="42"/>
  <c r="K338" i="60" s="1"/>
  <c r="H94" i="42"/>
  <c r="K93" i="60" s="1"/>
  <c r="H401" i="42"/>
  <c r="K403" i="60" s="1"/>
  <c r="H334" i="42"/>
  <c r="K246" i="60" s="1"/>
  <c r="H267" i="42"/>
  <c r="K270" i="60" s="1"/>
  <c r="H266" i="42"/>
  <c r="K269" i="60" s="1"/>
  <c r="H125" i="42"/>
  <c r="K127" i="60" s="1"/>
  <c r="H60" i="42"/>
  <c r="K59" i="60" s="1"/>
  <c r="H526" i="42"/>
  <c r="K422" i="60" s="1"/>
  <c r="H459" i="42"/>
  <c r="K467" i="60" s="1"/>
  <c r="H414" i="42"/>
  <c r="K416" i="60" s="1"/>
  <c r="H369" i="42"/>
  <c r="K370" i="60" s="1"/>
  <c r="H368" i="42"/>
  <c r="K369" i="60" s="1"/>
  <c r="H301" i="42"/>
  <c r="K305" i="60" s="1"/>
  <c r="H278" i="42"/>
  <c r="K281" i="60" s="1"/>
  <c r="H183" i="42"/>
  <c r="K185" i="60" s="1"/>
  <c r="H133" i="42"/>
  <c r="K135" i="60" s="1"/>
  <c r="H85" i="42"/>
  <c r="K84" i="60" s="1"/>
  <c r="H251" i="42"/>
  <c r="K254" i="60" s="1"/>
  <c r="H74" i="42"/>
  <c r="K73" i="60" s="1"/>
  <c r="H335" i="42"/>
  <c r="K247" i="60" s="1"/>
  <c r="H268" i="42"/>
  <c r="K271" i="60" s="1"/>
  <c r="H191" i="42"/>
  <c r="K193" i="60" s="1"/>
  <c r="H126" i="42"/>
  <c r="K128" i="60" s="1"/>
  <c r="H29" i="42"/>
  <c r="K28" i="60" s="1"/>
  <c r="H483" i="42"/>
  <c r="K492" i="60" s="1"/>
  <c r="H460" i="42"/>
  <c r="K468" i="60" s="1"/>
  <c r="H393" i="42"/>
  <c r="K395" i="60" s="1"/>
  <c r="H348" i="42"/>
  <c r="K349" i="60" s="1"/>
  <c r="H303" i="42"/>
  <c r="K307" i="60" s="1"/>
  <c r="H302" i="42"/>
  <c r="K306" i="60" s="1"/>
  <c r="H235" i="42"/>
  <c r="K237" i="60" s="1"/>
  <c r="H199" i="42"/>
  <c r="K201" i="60" s="1"/>
  <c r="H119" i="42"/>
  <c r="K118" i="60" s="1"/>
  <c r="H4" i="42"/>
  <c r="K4" i="60" s="1"/>
  <c r="H231" i="42"/>
  <c r="K233" i="60" s="1"/>
  <c r="H83" i="42"/>
  <c r="K82" i="60" s="1"/>
  <c r="H293" i="42"/>
  <c r="K296" i="60" s="1"/>
  <c r="H514" i="42"/>
  <c r="K523" i="60" s="1"/>
  <c r="H204" i="42"/>
  <c r="K206" i="60" s="1"/>
  <c r="H379" i="42"/>
  <c r="K380" i="60" s="1"/>
  <c r="H312" i="42"/>
  <c r="K316" i="60" s="1"/>
  <c r="H245" i="42"/>
  <c r="K249" i="60" s="1"/>
  <c r="H244" i="42"/>
  <c r="K248" i="60" s="1"/>
  <c r="H93" i="42"/>
  <c r="K92" i="60" s="1"/>
  <c r="H527" i="42"/>
  <c r="K423" i="60" s="1"/>
  <c r="H504" i="42"/>
  <c r="K513" i="60" s="1"/>
  <c r="H437" i="42"/>
  <c r="K445" i="60" s="1"/>
  <c r="H392" i="42"/>
  <c r="K393" i="60" s="1"/>
  <c r="H347" i="42"/>
  <c r="K348" i="60" s="1"/>
  <c r="H346" i="42"/>
  <c r="K347" i="60" s="1"/>
  <c r="H279" i="42"/>
  <c r="K282" i="60" s="1"/>
  <c r="H256" i="42"/>
  <c r="K259" i="60" s="1"/>
  <c r="H151" i="42"/>
  <c r="K153" i="60" s="1"/>
  <c r="H101" i="42"/>
  <c r="K102" i="60" s="1"/>
  <c r="H68" i="42"/>
  <c r="K68" i="60" s="1"/>
  <c r="H147" i="42"/>
  <c r="K149" i="60" s="1"/>
  <c r="H138" i="42"/>
  <c r="K140" i="60" s="1"/>
  <c r="H357" i="42"/>
  <c r="K358" i="60" s="1"/>
  <c r="H290" i="42"/>
  <c r="K293" i="60" s="1"/>
  <c r="H224" i="42"/>
  <c r="K226" i="60" s="1"/>
  <c r="H158" i="42"/>
  <c r="K160" i="60" s="1"/>
  <c r="H61" i="42"/>
  <c r="K60" i="60" s="1"/>
  <c r="H505" i="42"/>
  <c r="K514" i="60" s="1"/>
  <c r="H482" i="42"/>
  <c r="K491" i="60" s="1"/>
  <c r="H415" i="42"/>
  <c r="K417" i="60" s="1"/>
  <c r="H370" i="42"/>
  <c r="K371" i="60" s="1"/>
  <c r="H325" i="42"/>
  <c r="K329" i="60" s="1"/>
  <c r="H324" i="42"/>
  <c r="K328" i="60" s="1"/>
  <c r="H257" i="42"/>
  <c r="K260" i="60" s="1"/>
  <c r="H216" i="42"/>
  <c r="K218" i="60" s="1"/>
  <c r="H134" i="42"/>
  <c r="K136" i="60" s="1"/>
  <c r="H86" i="42"/>
  <c r="K85" i="60" s="1"/>
  <c r="H53" i="42"/>
  <c r="K52" i="60" s="1"/>
  <c r="H115" i="42"/>
  <c r="K114" i="60" s="1"/>
  <c r="H249" i="42"/>
  <c r="K252" i="60" s="1"/>
  <c r="H448" i="42"/>
  <c r="K456" i="60" s="1"/>
  <c r="H450" i="42"/>
  <c r="K458" i="60" s="1"/>
  <c r="H269" i="42"/>
  <c r="K272" i="60" s="1"/>
  <c r="H192" i="42"/>
  <c r="K194" i="60" s="1"/>
  <c r="H95" i="42"/>
  <c r="K94" i="60" s="1"/>
  <c r="H13" i="42"/>
  <c r="K13" i="60" s="1"/>
  <c r="H484" i="42"/>
  <c r="K493" i="60" s="1"/>
  <c r="H417" i="42"/>
  <c r="K419" i="60" s="1"/>
  <c r="H394" i="42"/>
  <c r="K396" i="60" s="1"/>
  <c r="H327" i="42"/>
  <c r="K331" i="60" s="1"/>
  <c r="H282" i="42"/>
  <c r="K285" i="60" s="1"/>
  <c r="H237" i="42"/>
  <c r="K239" i="60" s="1"/>
  <c r="H236" i="42"/>
  <c r="K238" i="60" s="1"/>
  <c r="H185" i="42"/>
  <c r="K187" i="60" s="1"/>
  <c r="H70" i="42"/>
  <c r="K70" i="60" s="1"/>
  <c r="H518" i="42"/>
  <c r="K527" i="60" s="1"/>
  <c r="H473" i="42"/>
  <c r="K482" i="60" s="1"/>
  <c r="H84" i="42"/>
  <c r="K83" i="60" s="1"/>
  <c r="H2" i="42"/>
  <c r="K2" i="60" s="1"/>
  <c r="H178" i="42"/>
  <c r="K180" i="60" s="1"/>
  <c r="H404" i="42"/>
  <c r="K405" i="60" s="1"/>
  <c r="H406" i="42"/>
  <c r="K408" i="60" s="1"/>
  <c r="H247" i="42"/>
  <c r="K126" i="60" s="1"/>
  <c r="H128" i="42"/>
  <c r="K130" i="60" s="1"/>
  <c r="H63" i="42"/>
  <c r="K62" i="60" s="1"/>
  <c r="H529" i="42"/>
  <c r="H462" i="42"/>
  <c r="K470" i="60" s="1"/>
  <c r="H395" i="42"/>
  <c r="K397" i="60" s="1"/>
  <c r="H372" i="42"/>
  <c r="K373" i="60" s="1"/>
  <c r="H305" i="42"/>
  <c r="K309" i="60" s="1"/>
  <c r="H260" i="42"/>
  <c r="K263" i="60" s="1"/>
  <c r="H219" i="42"/>
  <c r="K221" i="60" s="1"/>
  <c r="H218" i="42"/>
  <c r="K220" i="60" s="1"/>
  <c r="H103" i="42"/>
  <c r="K95" i="60" s="1"/>
  <c r="H38" i="42"/>
  <c r="K37" i="60" s="1"/>
  <c r="H496" i="42"/>
  <c r="K505" i="60" s="1"/>
  <c r="H451" i="42"/>
  <c r="K459" i="60" s="1"/>
  <c r="H67" i="42"/>
  <c r="K67" i="60" s="1"/>
  <c r="H81" i="42"/>
  <c r="K80" i="60" s="1"/>
  <c r="H360" i="42"/>
  <c r="K361" i="60" s="1"/>
  <c r="H72" i="42"/>
  <c r="K66" i="60" s="1"/>
  <c r="H313" i="42"/>
  <c r="K317" i="60" s="1"/>
  <c r="H246" i="42"/>
  <c r="K250" i="60" s="1"/>
  <c r="H159" i="42"/>
  <c r="K161" i="60" s="1"/>
  <c r="H62" i="42"/>
  <c r="K61" i="60" s="1"/>
  <c r="H528" i="42"/>
  <c r="H461" i="42"/>
  <c r="K469" i="60" s="1"/>
  <c r="H438" i="42"/>
  <c r="K446" i="60" s="1"/>
  <c r="H371" i="42"/>
  <c r="K372" i="60" s="1"/>
  <c r="H326" i="42"/>
  <c r="K330" i="60" s="1"/>
  <c r="H281" i="42"/>
  <c r="K284" i="60" s="1"/>
  <c r="H280" i="42"/>
  <c r="K283" i="60" s="1"/>
  <c r="H217" i="42"/>
  <c r="K219" i="60" s="1"/>
  <c r="H167" i="42"/>
  <c r="K169" i="60" s="1"/>
  <c r="H37" i="42"/>
  <c r="K36" i="60" s="1"/>
  <c r="H517" i="42"/>
  <c r="K526" i="60" s="1"/>
  <c r="H180" i="42"/>
  <c r="K182" i="60" s="1"/>
  <c r="H51" i="42"/>
  <c r="K50" i="60" s="1"/>
  <c r="H118" i="42"/>
  <c r="K117" i="60" s="1"/>
  <c r="H291" i="42"/>
  <c r="K294" i="60" s="1"/>
  <c r="H225" i="42"/>
  <c r="K227" i="60" s="1"/>
  <c r="H127" i="42"/>
  <c r="K129" i="60" s="1"/>
  <c r="H45" i="42"/>
  <c r="K44" i="60" s="1"/>
  <c r="H506" i="42"/>
  <c r="K515" i="60" s="1"/>
  <c r="H439" i="42"/>
  <c r="K447" i="60" s="1"/>
  <c r="H416" i="42"/>
  <c r="K418" i="60" s="1"/>
  <c r="H349" i="42"/>
  <c r="K350" i="60" s="1"/>
  <c r="H304" i="42"/>
  <c r="K308" i="60" s="1"/>
  <c r="H259" i="42"/>
  <c r="K262" i="60" s="1"/>
  <c r="H258" i="42"/>
  <c r="K261" i="60" s="1"/>
  <c r="H200" i="42"/>
  <c r="K202" i="60" s="1"/>
  <c r="H152" i="42"/>
  <c r="K154" i="60" s="1"/>
  <c r="H5" i="42"/>
  <c r="K5" i="60" s="1"/>
  <c r="H495" i="42"/>
  <c r="K504" i="60" s="1"/>
  <c r="H148" i="42"/>
  <c r="K150" i="60" s="1"/>
  <c r="H19" i="42"/>
  <c r="K19" i="60" s="1"/>
  <c r="H17" i="42"/>
  <c r="K17" i="60" s="1"/>
  <c r="H316" i="42"/>
  <c r="K320" i="60" s="1"/>
  <c r="H294" i="42"/>
  <c r="K297" i="60" s="1"/>
  <c r="H250" i="42"/>
  <c r="K253" i="60" s="1"/>
  <c r="H229" i="42"/>
  <c r="K231" i="60" s="1"/>
  <c r="H196" i="42"/>
  <c r="K198" i="60" s="1"/>
  <c r="H513" i="42"/>
  <c r="K522" i="60" s="1"/>
  <c r="H82" i="42"/>
  <c r="K81" i="60" s="1"/>
  <c r="H447" i="42"/>
  <c r="K455" i="60" s="1"/>
  <c r="H512" i="42"/>
  <c r="K521" i="60" s="1"/>
  <c r="H194" i="42"/>
  <c r="K196" i="60" s="1"/>
  <c r="H112" i="42"/>
  <c r="K111" i="60" s="1"/>
  <c r="H509" i="42"/>
  <c r="K518" i="60" s="1"/>
  <c r="H508" i="42"/>
  <c r="K517" i="60" s="1"/>
  <c r="H441" i="42"/>
  <c r="K449" i="60" s="1"/>
  <c r="H374" i="42"/>
  <c r="K375" i="60" s="1"/>
  <c r="H307" i="42"/>
  <c r="K311" i="60" s="1"/>
  <c r="H284" i="42"/>
  <c r="K287" i="60" s="1"/>
  <c r="H203" i="42"/>
  <c r="K205" i="60" s="1"/>
  <c r="H106" i="42"/>
  <c r="K105" i="60" s="1"/>
  <c r="H73" i="42"/>
  <c r="K72" i="60" s="1"/>
  <c r="H23" i="42"/>
  <c r="K22" i="60" s="1"/>
  <c r="H520" i="42"/>
  <c r="K529" i="60" s="1"/>
  <c r="H453" i="42"/>
  <c r="K461" i="60" s="1"/>
  <c r="H408" i="42"/>
  <c r="K410" i="60" s="1"/>
  <c r="H363" i="42"/>
  <c r="K364" i="60" s="1"/>
  <c r="H493" i="42"/>
  <c r="K502" i="60" s="1"/>
  <c r="H446" i="42"/>
  <c r="K454" i="60" s="1"/>
  <c r="H177" i="42"/>
  <c r="K179" i="60" s="1"/>
  <c r="H97" i="42"/>
  <c r="K98" i="60" s="1"/>
  <c r="H487" i="42"/>
  <c r="K496" i="60" s="1"/>
  <c r="H486" i="42"/>
  <c r="K495" i="60" s="1"/>
  <c r="H419" i="42"/>
  <c r="K427" i="60" s="1"/>
  <c r="H352" i="42"/>
  <c r="K353" i="60" s="1"/>
  <c r="H285" i="42"/>
  <c r="K288" i="60" s="1"/>
  <c r="H262" i="42"/>
  <c r="K265" i="60" s="1"/>
  <c r="H171" i="42"/>
  <c r="K173" i="60" s="1"/>
  <c r="H89" i="42"/>
  <c r="K88" i="60" s="1"/>
  <c r="H41" i="42"/>
  <c r="K40" i="60" s="1"/>
  <c r="H521" i="42"/>
  <c r="K530" i="60" s="1"/>
  <c r="H498" i="42"/>
  <c r="K507" i="60" s="1"/>
  <c r="H431" i="42"/>
  <c r="K439" i="60" s="1"/>
  <c r="H386" i="42"/>
  <c r="K387" i="60" s="1"/>
  <c r="H341" i="42"/>
  <c r="K342" i="60" s="1"/>
  <c r="H471" i="42"/>
  <c r="K480" i="60" s="1"/>
  <c r="H358" i="42"/>
  <c r="K359" i="60" s="1"/>
  <c r="H48" i="42"/>
  <c r="K47" i="60" s="1"/>
  <c r="H488" i="42"/>
  <c r="K497" i="60" s="1"/>
  <c r="H421" i="42"/>
  <c r="K429" i="60" s="1"/>
  <c r="H420" i="42"/>
  <c r="K428" i="60" s="1"/>
  <c r="H353" i="42"/>
  <c r="K354" i="60" s="1"/>
  <c r="H286" i="42"/>
  <c r="K289" i="60" s="1"/>
  <c r="H221" i="42"/>
  <c r="K223" i="60" s="1"/>
  <c r="H155" i="42"/>
  <c r="K157" i="60" s="1"/>
  <c r="H90" i="42"/>
  <c r="K89" i="60" s="1"/>
  <c r="H523" i="42"/>
  <c r="K123" i="60" s="1"/>
  <c r="H522" i="42"/>
  <c r="K394" i="60" s="1"/>
  <c r="H455" i="42"/>
  <c r="K463" i="60" s="1"/>
  <c r="H432" i="42"/>
  <c r="K440" i="60" s="1"/>
  <c r="H365" i="42"/>
  <c r="K366" i="60" s="1"/>
  <c r="H320" i="42"/>
  <c r="K324" i="60" s="1"/>
  <c r="H275" i="42"/>
  <c r="K278" i="60" s="1"/>
  <c r="H405" i="42"/>
  <c r="K406" i="60" s="1"/>
  <c r="H336" i="42"/>
  <c r="K337" i="60" s="1"/>
  <c r="H16" i="42"/>
  <c r="K16" i="60" s="1"/>
  <c r="H466" i="42"/>
  <c r="K475" i="60" s="1"/>
  <c r="H399" i="42"/>
  <c r="K401" i="60" s="1"/>
  <c r="H398" i="42"/>
  <c r="K400" i="60" s="1"/>
  <c r="H331" i="42"/>
  <c r="K335" i="60" s="1"/>
  <c r="H264" i="42"/>
  <c r="K267" i="60" s="1"/>
  <c r="H205" i="42"/>
  <c r="K207" i="60" s="1"/>
  <c r="H123" i="42"/>
  <c r="K122" i="60" s="1"/>
  <c r="H75" i="42"/>
  <c r="K74" i="60" s="1"/>
  <c r="H501" i="42"/>
  <c r="K510" i="60" s="1"/>
  <c r="H500" i="42"/>
  <c r="K509" i="60" s="1"/>
  <c r="H433" i="42"/>
  <c r="K441" i="60" s="1"/>
  <c r="H410" i="42"/>
  <c r="K412" i="60" s="1"/>
  <c r="H343" i="42"/>
  <c r="K344" i="60" s="1"/>
  <c r="H298" i="42"/>
  <c r="K302" i="60" s="1"/>
  <c r="H253" i="42"/>
  <c r="K256" i="60" s="1"/>
  <c r="H383" i="42"/>
  <c r="K384" i="60" s="1"/>
  <c r="H248" i="42"/>
  <c r="K251" i="60" s="1"/>
  <c r="H445" i="42"/>
  <c r="K453" i="60" s="1"/>
  <c r="H378" i="42"/>
  <c r="K379" i="60" s="1"/>
  <c r="H311" i="42"/>
  <c r="K315" i="60" s="1"/>
  <c r="H310" i="42"/>
  <c r="K314" i="60" s="1"/>
  <c r="H243" i="42"/>
  <c r="K244" i="60" s="1"/>
  <c r="H174" i="42"/>
  <c r="K176" i="60" s="1"/>
  <c r="H59" i="42"/>
  <c r="K58" i="60" s="1"/>
  <c r="H503" i="42"/>
  <c r="K512" i="60" s="1"/>
  <c r="H458" i="42"/>
  <c r="K466" i="60" s="1"/>
  <c r="H413" i="42"/>
  <c r="K415" i="60" s="1"/>
  <c r="H412" i="42"/>
  <c r="K414" i="60" s="1"/>
  <c r="H403" i="42"/>
  <c r="K407" i="60" s="1"/>
  <c r="H359" i="42"/>
  <c r="K360" i="60" s="1"/>
  <c r="H424" i="42"/>
  <c r="K432" i="60" s="1"/>
  <c r="H145" i="42"/>
  <c r="K147" i="60" s="1"/>
  <c r="H15" i="42"/>
  <c r="K15" i="60" s="1"/>
  <c r="H465" i="42"/>
  <c r="K473" i="60" s="1"/>
  <c r="H464" i="42"/>
  <c r="K472" i="60" s="1"/>
  <c r="H397" i="42"/>
  <c r="K399" i="60" s="1"/>
  <c r="H330" i="42"/>
  <c r="K334" i="60" s="1"/>
  <c r="H263" i="42"/>
  <c r="K266" i="60" s="1"/>
  <c r="H240" i="42"/>
  <c r="K242" i="60" s="1"/>
  <c r="H139" i="42"/>
  <c r="K141" i="60" s="1"/>
  <c r="H57" i="42"/>
  <c r="K56" i="60" s="1"/>
  <c r="H24" i="42"/>
  <c r="K23" i="60" s="1"/>
  <c r="H499" i="42"/>
  <c r="K508" i="60" s="1"/>
  <c r="H476" i="42"/>
  <c r="K485" i="60" s="1"/>
  <c r="H409" i="42"/>
  <c r="K411" i="60" s="1"/>
  <c r="H364" i="42"/>
  <c r="K365" i="60" s="1"/>
  <c r="H319" i="42"/>
  <c r="K323" i="60" s="1"/>
  <c r="H449" i="42"/>
  <c r="K457" i="60" s="1"/>
  <c r="H315" i="42"/>
  <c r="K319" i="60" s="1"/>
  <c r="H402" i="42"/>
  <c r="K404" i="60" s="1"/>
  <c r="H130" i="42"/>
  <c r="K132" i="60" s="1"/>
  <c r="H510" i="42"/>
  <c r="K519" i="60" s="1"/>
  <c r="H443" i="42"/>
  <c r="K451" i="60" s="1"/>
  <c r="H442" i="42"/>
  <c r="K450" i="60" s="1"/>
  <c r="H375" i="42"/>
  <c r="K376" i="60" s="1"/>
  <c r="H308" i="42"/>
  <c r="K312" i="60" s="1"/>
  <c r="H241" i="42"/>
  <c r="K243" i="60" s="1"/>
  <c r="H172" i="42"/>
  <c r="K174" i="60" s="1"/>
  <c r="H107" i="42"/>
  <c r="K106" i="60" s="1"/>
  <c r="H42" i="42"/>
  <c r="K41" i="60" s="1"/>
  <c r="H9" i="42"/>
  <c r="K9" i="60" s="1"/>
  <c r="H477" i="42"/>
  <c r="K486" i="60" s="1"/>
  <c r="H454" i="42"/>
  <c r="K462" i="60" s="1"/>
  <c r="H387" i="42"/>
  <c r="K388" i="60" s="1"/>
  <c r="H342" i="42"/>
  <c r="K343" i="60" s="1"/>
  <c r="H297" i="42"/>
  <c r="K301" i="60" s="1"/>
  <c r="H427" i="42"/>
  <c r="K435" i="60" s="1"/>
  <c r="H271" i="42"/>
  <c r="K274" i="60" s="1"/>
  <c r="H470" i="42"/>
  <c r="K479" i="60" s="1"/>
  <c r="H228" i="42"/>
  <c r="K230" i="60" s="1"/>
  <c r="H492" i="42"/>
  <c r="K501" i="60" s="1"/>
  <c r="H195" i="42"/>
  <c r="K197" i="60" s="1"/>
  <c r="H426" i="42"/>
  <c r="K434" i="60" s="1"/>
  <c r="H314" i="42"/>
  <c r="K318" i="60" s="1"/>
  <c r="H511" i="42"/>
  <c r="K520" i="60" s="1"/>
  <c r="H444" i="42"/>
  <c r="K452" i="60" s="1"/>
  <c r="H377" i="42"/>
  <c r="K378" i="60" s="1"/>
  <c r="H376" i="42"/>
  <c r="K377" i="60" s="1"/>
  <c r="H309" i="42"/>
  <c r="K313" i="60" s="1"/>
  <c r="H242" i="42"/>
  <c r="K474" i="60" s="1"/>
  <c r="H173" i="42"/>
  <c r="K175" i="60" s="1"/>
  <c r="H108" i="42"/>
  <c r="K107" i="60" s="1"/>
  <c r="H524" i="42"/>
  <c r="K300" i="60" s="1"/>
  <c r="H479" i="42"/>
  <c r="K488" i="60" s="1"/>
  <c r="H478" i="42"/>
  <c r="K487" i="60" s="1"/>
  <c r="H411" i="42"/>
  <c r="K413" i="60" s="1"/>
  <c r="H388" i="42"/>
  <c r="K389" i="60" s="1"/>
  <c r="H321" i="42"/>
  <c r="K325" i="60" s="1"/>
  <c r="H276" i="42"/>
  <c r="K279" i="60" s="1"/>
  <c r="H232" i="42"/>
  <c r="K234" i="60" s="1"/>
  <c r="H361" i="42"/>
  <c r="K362" i="60" s="1"/>
  <c r="H491" i="42"/>
  <c r="K500" i="60" s="1"/>
  <c r="H163" i="42"/>
  <c r="K165" i="60" s="1"/>
  <c r="H114" i="42"/>
  <c r="K113" i="60" s="1"/>
  <c r="H338" i="42"/>
  <c r="K339" i="60" s="1"/>
  <c r="H292" i="42"/>
  <c r="K295" i="60" s="1"/>
  <c r="H489" i="42"/>
  <c r="K498" i="60" s="1"/>
  <c r="H422" i="42"/>
  <c r="K431" i="60" s="1"/>
  <c r="H355" i="42"/>
  <c r="K356" i="60" s="1"/>
  <c r="H354" i="42"/>
  <c r="K355" i="60" s="1"/>
  <c r="H287" i="42"/>
  <c r="K290" i="60" s="1"/>
  <c r="H222" i="42"/>
  <c r="K224" i="60" s="1"/>
  <c r="H156" i="42"/>
  <c r="K158" i="60" s="1"/>
  <c r="H26" i="42"/>
  <c r="K25" i="60" s="1"/>
  <c r="H502" i="42"/>
  <c r="K511" i="60" s="1"/>
  <c r="H457" i="42"/>
  <c r="K465" i="60" s="1"/>
  <c r="H456" i="42"/>
  <c r="K464" i="60" s="1"/>
  <c r="H389" i="42"/>
  <c r="K390" i="60" s="1"/>
  <c r="H366" i="42"/>
  <c r="K367" i="60" s="1"/>
  <c r="H299" i="42"/>
  <c r="K303" i="60" s="1"/>
  <c r="H254" i="42"/>
  <c r="K257" i="60" s="1"/>
  <c r="H213" i="42"/>
  <c r="K215" i="60" s="1"/>
  <c r="H339" i="42"/>
  <c r="K340" i="60" s="1"/>
  <c r="H469" i="42"/>
  <c r="K478" i="60" s="1"/>
  <c r="H49" i="42"/>
  <c r="K48" i="60" s="1"/>
  <c r="H50" i="42"/>
  <c r="K49" i="60" s="1"/>
  <c r="H272" i="42"/>
  <c r="K275" i="60" s="1"/>
  <c r="H270" i="42"/>
  <c r="K273" i="60" s="1"/>
  <c r="H467" i="42"/>
  <c r="K476" i="60" s="1"/>
  <c r="H400" i="42"/>
  <c r="K402" i="60" s="1"/>
  <c r="H333" i="42"/>
  <c r="K245" i="60" s="1"/>
  <c r="H332" i="42"/>
  <c r="K336" i="60" s="1"/>
  <c r="H265" i="42"/>
  <c r="K268" i="60" s="1"/>
  <c r="H189" i="42"/>
  <c r="K191" i="60" s="1"/>
  <c r="H141" i="42"/>
  <c r="K143" i="60" s="1"/>
  <c r="H525" i="42"/>
  <c r="K421" i="60" s="1"/>
  <c r="H480" i="42"/>
  <c r="K489" i="60" s="1"/>
  <c r="H435" i="42"/>
  <c r="K443" i="60" s="1"/>
  <c r="H434" i="42"/>
  <c r="K442" i="60" s="1"/>
  <c r="H367" i="42"/>
  <c r="K368" i="60" s="1"/>
  <c r="H344" i="42"/>
  <c r="K345" i="60" s="1"/>
  <c r="H277" i="42"/>
  <c r="K280" i="60" s="1"/>
  <c r="H233" i="42"/>
  <c r="K235" i="60" s="1"/>
  <c r="H181" i="42"/>
  <c r="K183" i="60" s="1"/>
  <c r="H317" i="42"/>
  <c r="K321" i="60" s="1"/>
  <c r="H425" i="42"/>
  <c r="K433" i="60" s="1"/>
  <c r="H211" i="42"/>
  <c r="K213" i="60" s="1"/>
  <c r="H381" i="42"/>
  <c r="K382" i="60" s="1"/>
  <c r="H18" i="42"/>
  <c r="K18" i="60" s="1"/>
  <c r="H111" i="42"/>
  <c r="K110" i="60" s="1"/>
  <c r="H306" i="42"/>
  <c r="K310" i="60" s="1"/>
  <c r="H322" i="42"/>
  <c r="K326" i="60" s="1"/>
  <c r="H64" i="42"/>
  <c r="K63" i="60" s="1"/>
  <c r="H283" i="42"/>
  <c r="K286" i="60" s="1"/>
  <c r="H519" i="42"/>
  <c r="K528" i="60" s="1"/>
  <c r="H289" i="42"/>
  <c r="K292" i="60" s="1"/>
  <c r="H261" i="42"/>
  <c r="K264" i="60" s="1"/>
  <c r="H497" i="42"/>
  <c r="K506" i="60" s="1"/>
  <c r="H46" i="42"/>
  <c r="K45" i="60" s="1"/>
  <c r="H239" i="42"/>
  <c r="K241" i="60" s="1"/>
  <c r="H475" i="42"/>
  <c r="K484" i="60" s="1"/>
  <c r="H31" i="42"/>
  <c r="K30" i="60" s="1"/>
  <c r="H436" i="42"/>
  <c r="K444" i="60" s="1"/>
  <c r="H255" i="42"/>
  <c r="K258" i="60" s="1"/>
  <c r="H530" i="42"/>
  <c r="H238" i="42"/>
  <c r="K240" i="60" s="1"/>
  <c r="H215" i="42"/>
  <c r="K217" i="60" s="1"/>
  <c r="H288" i="42"/>
  <c r="K291" i="60" s="1"/>
  <c r="H202" i="42"/>
  <c r="K204" i="60" s="1"/>
  <c r="H474" i="42"/>
  <c r="K483" i="60" s="1"/>
  <c r="H507" i="42"/>
  <c r="K516" i="60" s="1"/>
  <c r="H170" i="42"/>
  <c r="K172" i="60" s="1"/>
  <c r="H452" i="42"/>
  <c r="K460" i="60" s="1"/>
  <c r="H463" i="42"/>
  <c r="K471" i="60" s="1"/>
  <c r="H150" i="42"/>
  <c r="K152" i="60" s="1"/>
  <c r="H169" i="42"/>
  <c r="K171" i="60" s="1"/>
  <c r="H137" i="42"/>
  <c r="K139" i="60" s="1"/>
  <c r="H207" i="42"/>
  <c r="K209" i="60" s="1"/>
  <c r="H214" i="42"/>
  <c r="K216" i="60" s="1"/>
  <c r="H485" i="42"/>
  <c r="K494" i="60" s="1"/>
  <c r="H391" i="42"/>
  <c r="K392" i="60" s="1"/>
  <c r="H430" i="42"/>
  <c r="K438" i="60" s="1"/>
  <c r="H96" i="42"/>
  <c r="K97" i="60" s="1"/>
  <c r="H418" i="42"/>
  <c r="K420" i="60" s="1"/>
  <c r="H390" i="42"/>
  <c r="K391" i="60" s="1"/>
  <c r="H407" i="42"/>
  <c r="K409" i="60" s="1"/>
  <c r="H92" i="42"/>
  <c r="K91" i="60" s="1"/>
  <c r="H149" i="42"/>
  <c r="K151" i="60" s="1"/>
  <c r="H35" i="42"/>
  <c r="K34" i="60" s="1"/>
  <c r="H20" i="42"/>
  <c r="K20" i="60" s="1"/>
  <c r="H71" i="42"/>
  <c r="K71" i="60" s="1"/>
  <c r="H350" i="42"/>
  <c r="K351" i="60" s="1"/>
  <c r="H7" i="42"/>
  <c r="K7" i="60" s="1"/>
  <c r="H274" i="42"/>
  <c r="K277" i="60" s="1"/>
  <c r="H396" i="42"/>
  <c r="K398" i="60" s="1"/>
  <c r="H136" i="42"/>
  <c r="K138" i="60" s="1"/>
  <c r="H385" i="42"/>
  <c r="K386" i="60" s="1"/>
  <c r="H104" i="42"/>
  <c r="K96" i="60" s="1"/>
  <c r="H351" i="42"/>
  <c r="K352" i="60" s="1"/>
  <c r="H161" i="42"/>
  <c r="K163" i="60" s="1"/>
  <c r="H328" i="42"/>
  <c r="K332" i="60" s="1"/>
  <c r="H252" i="42"/>
  <c r="K255" i="60" s="1"/>
  <c r="H329" i="42"/>
  <c r="K333" i="60" s="1"/>
  <c r="H129" i="42"/>
  <c r="K131" i="60" s="1"/>
  <c r="H356" i="42"/>
  <c r="K357" i="60" s="1"/>
  <c r="H79" i="42"/>
  <c r="K78" i="60" s="1"/>
  <c r="H481" i="42"/>
  <c r="K490" i="60" s="1"/>
  <c r="H300" i="42"/>
  <c r="K304" i="60" s="1"/>
  <c r="H227" i="42"/>
  <c r="K229" i="60" s="1"/>
  <c r="H373" i="42"/>
  <c r="K374" i="60" s="1"/>
  <c r="H40" i="42"/>
  <c r="K39" i="60" s="1"/>
  <c r="H117" i="42"/>
  <c r="K116" i="60" s="1"/>
  <c r="H345" i="42"/>
  <c r="K346" i="60" s="1"/>
  <c r="H323" i="42"/>
  <c r="K327" i="60" s="1"/>
  <c r="H515" i="42"/>
  <c r="K524" i="60" s="1"/>
  <c r="H295" i="42"/>
  <c r="K298" i="60" s="1"/>
  <c r="H423" i="42"/>
  <c r="K430" i="60" s="1"/>
  <c r="H193" i="42"/>
  <c r="K195" i="60" s="1"/>
  <c r="H27" i="42"/>
  <c r="K26" i="60" s="1"/>
  <c r="H39" i="42"/>
  <c r="K38" i="60" s="1"/>
  <c r="H273" i="42"/>
  <c r="K276" i="60" s="1"/>
  <c r="H440" i="42"/>
  <c r="K448" i="60" s="1"/>
  <c r="H105" i="42"/>
  <c r="K104" i="60" s="1"/>
  <c r="H429" i="42"/>
  <c r="K437" i="60" s="1"/>
  <c r="E44" i="138"/>
  <c r="F44" i="138" a="1"/>
  <c r="F44" i="138" s="1"/>
  <c r="E42" i="138"/>
  <c r="F42" i="138" a="1"/>
  <c r="F42" i="138" s="1"/>
  <c r="E45" i="138"/>
  <c r="F45" i="138" a="1"/>
  <c r="F45" i="138" s="1"/>
  <c r="E43" i="138"/>
  <c r="F43" i="138" a="1"/>
  <c r="F43" i="138" s="1"/>
  <c r="F31" i="138" a="1"/>
  <c r="F31" i="138" s="1"/>
  <c r="E46" i="138"/>
  <c r="F46" i="138" a="1"/>
  <c r="F46" i="138" s="1"/>
  <c r="E48" i="138"/>
  <c r="F48" i="138" a="1"/>
  <c r="F48" i="138" s="1"/>
  <c r="E47" i="138"/>
  <c r="F47" i="138" a="1"/>
  <c r="F47" i="138" s="1"/>
  <c r="C45" i="138" a="1"/>
  <c r="C45" i="138" s="1"/>
  <c r="B45" i="138" a="1"/>
  <c r="B45" i="138" s="1"/>
  <c r="D45" i="138" s="1" a="1"/>
  <c r="D45" i="138" s="1"/>
  <c r="C39" i="138" a="1"/>
  <c r="C39" i="138" s="1"/>
  <c r="B39" i="138" a="1"/>
  <c r="B39" i="138" s="1"/>
  <c r="D39" i="138" s="1" a="1"/>
  <c r="D39" i="138" s="1"/>
  <c r="C46" i="138" a="1"/>
  <c r="C46" i="138" s="1"/>
  <c r="B46" i="138" a="1"/>
  <c r="B46" i="138" s="1"/>
  <c r="D46" i="138" s="1" a="1"/>
  <c r="D46" i="138" s="1"/>
  <c r="C44" i="138" a="1"/>
  <c r="C44" i="138" s="1"/>
  <c r="B44" i="138" a="1"/>
  <c r="B44" i="138" s="1"/>
  <c r="D44" i="138" s="1" a="1"/>
  <c r="D44" i="138" s="1"/>
  <c r="B37" i="138" a="1"/>
  <c r="B37" i="138" s="1"/>
  <c r="D37" i="138" s="1" a="1"/>
  <c r="D37" i="138" s="1"/>
  <c r="C37" i="138" a="1"/>
  <c r="C37" i="138" s="1"/>
  <c r="C42" i="138" a="1"/>
  <c r="C42" i="138" s="1"/>
  <c r="B42" i="138" a="1"/>
  <c r="B42" i="138" s="1"/>
  <c r="D42" i="138" s="1" a="1"/>
  <c r="D42" i="138" s="1"/>
  <c r="B36" i="138" a="1"/>
  <c r="B36" i="138" s="1"/>
  <c r="D36" i="138" s="1" a="1"/>
  <c r="D36" i="138" s="1"/>
  <c r="C36" i="138" a="1"/>
  <c r="C36" i="138" s="1"/>
  <c r="C40" i="138" a="1"/>
  <c r="C40" i="138" s="1"/>
  <c r="B40" i="138" a="1"/>
  <c r="B40" i="138" s="1"/>
  <c r="D40" i="138" s="1" a="1"/>
  <c r="D40" i="138" s="1"/>
  <c r="B48" i="138" a="1"/>
  <c r="B48" i="138" s="1"/>
  <c r="D48" i="138" s="1" a="1"/>
  <c r="D48" i="138" s="1"/>
  <c r="C48" i="138" a="1"/>
  <c r="C48" i="138" s="1"/>
  <c r="C31" i="138" a="1"/>
  <c r="C31" i="138" s="1"/>
  <c r="B31" i="138" a="1"/>
  <c r="B31" i="138" s="1"/>
  <c r="D31" i="138" s="1" a="1"/>
  <c r="D31" i="138" s="1"/>
  <c r="B35" i="138" a="1"/>
  <c r="B35" i="138" s="1"/>
  <c r="D35" i="138" s="1" a="1"/>
  <c r="D35" i="138" s="1"/>
  <c r="C35" i="138" a="1"/>
  <c r="C35" i="138" s="1"/>
  <c r="B41" i="138" a="1"/>
  <c r="B41" i="138" s="1"/>
  <c r="D41" i="138" s="1" a="1"/>
  <c r="D41" i="138" s="1"/>
  <c r="C41" i="138" a="1"/>
  <c r="C41" i="138" s="1"/>
  <c r="C34" i="138" a="1"/>
  <c r="C34" i="138" s="1"/>
  <c r="B34" i="138" a="1"/>
  <c r="B34" i="138" s="1"/>
  <c r="D34" i="138" s="1" a="1"/>
  <c r="D34" i="138" s="1"/>
  <c r="B43" i="138" a="1"/>
  <c r="B43" i="138" s="1"/>
  <c r="D43" i="138" s="1" a="1"/>
  <c r="D43" i="138" s="1"/>
  <c r="C43" i="138" a="1"/>
  <c r="C43" i="138" s="1"/>
  <c r="C47" i="138" a="1"/>
  <c r="C47" i="138" s="1"/>
  <c r="B47" i="138" a="1"/>
  <c r="B47" i="138" s="1"/>
  <c r="D47" i="138" s="1" a="1"/>
  <c r="D47" i="138" s="1"/>
  <c r="C38" i="138" a="1"/>
  <c r="C38" i="138" s="1"/>
  <c r="B38" i="138" a="1"/>
  <c r="B38" i="138" s="1"/>
  <c r="D38" i="138" s="1" a="1"/>
  <c r="D38" i="138" s="1"/>
  <c r="B33" i="138" a="1"/>
  <c r="B33" i="138" s="1"/>
  <c r="D33" i="138" s="1" a="1"/>
  <c r="D33" i="138" s="1"/>
  <c r="C33" i="138" a="1"/>
  <c r="C33" i="138" s="1"/>
  <c r="C32" i="138" a="1"/>
  <c r="C32" i="138" s="1"/>
  <c r="B32" i="138" a="1"/>
  <c r="B32" i="138" s="1"/>
  <c r="D32" i="138" s="1" a="1"/>
  <c r="D32" i="138" s="1"/>
  <c r="B54" i="77"/>
  <c r="B13" i="138" l="1"/>
  <c r="B66" i="126"/>
  <c r="B110" i="126"/>
  <c r="B109" i="126"/>
  <c r="B108" i="126"/>
  <c r="B102" i="126"/>
  <c r="B47" i="126"/>
  <c r="B5" i="136" l="1"/>
  <c r="B56" i="78" a="1"/>
  <c r="B56" i="78" s="1"/>
  <c r="B27" i="127" a="1"/>
  <c r="B27" i="127" s="1"/>
  <c r="B26" i="127" a="1"/>
  <c r="B26" i="127" s="1"/>
  <c r="B25" i="127" a="1"/>
  <c r="B25" i="127" s="1"/>
  <c r="B17" i="127" a="1"/>
  <c r="B17" i="127" s="1"/>
  <c r="B24" i="127" a="1"/>
  <c r="B24" i="127" s="1"/>
  <c r="B58" i="78" a="1"/>
  <c r="B58" i="78" s="1"/>
  <c r="B59" i="78" a="1"/>
  <c r="B59" i="78" s="1"/>
  <c r="E36" i="138"/>
  <c r="E35" i="138"/>
  <c r="E34" i="138"/>
  <c r="E40" i="138"/>
  <c r="E32" i="138"/>
  <c r="E39" i="138"/>
  <c r="E31" i="138"/>
  <c r="E38" i="138"/>
  <c r="E41" i="138"/>
  <c r="E33" i="138"/>
  <c r="E37" i="138"/>
  <c r="B60" i="78" l="1"/>
  <c r="B32" i="127" l="1"/>
  <c r="B21" i="136" a="1"/>
  <c r="B21" i="136" s="1"/>
  <c r="B20" i="136" a="1"/>
  <c r="B20" i="136" s="1"/>
  <c r="B7" i="136" a="1"/>
  <c r="B7" i="136" s="1"/>
  <c r="B41" i="77" s="1"/>
  <c r="B10" i="127" a="1"/>
  <c r="B10" i="127" s="1"/>
  <c r="B3" i="127" a="1"/>
  <c r="B3" i="127" s="1"/>
  <c r="B23" i="127" a="1"/>
  <c r="B23" i="127" s="1"/>
  <c r="B4" i="127" a="1"/>
  <c r="B4" i="127" s="1"/>
  <c r="B89" i="126" a="1"/>
  <c r="B89" i="126" s="1"/>
  <c r="B83" i="126" a="1"/>
  <c r="B83" i="126" s="1"/>
  <c r="B52" i="126" a="1"/>
  <c r="B52" i="126" s="1"/>
  <c r="B119" i="126" a="1"/>
  <c r="B119" i="126" s="1"/>
  <c r="B71" i="126" a="1"/>
  <c r="B71" i="126" s="1"/>
  <c r="B72" i="126" s="1"/>
  <c r="B30" i="126" a="1"/>
  <c r="B30" i="126" s="1"/>
  <c r="B88" i="126" a="1"/>
  <c r="B88" i="126" s="1"/>
  <c r="B82" i="126" a="1"/>
  <c r="B82" i="126" s="1"/>
  <c r="B131" i="126" a="1"/>
  <c r="B131" i="126" s="1"/>
  <c r="B132" i="126" s="1"/>
  <c r="B70" i="126" a="1"/>
  <c r="B70" i="126" s="1"/>
  <c r="B23" i="126" a="1"/>
  <c r="B23" i="126" s="1"/>
  <c r="B87" i="126" a="1"/>
  <c r="B87" i="126" s="1"/>
  <c r="B80" i="126" a="1"/>
  <c r="B80" i="126" s="1"/>
  <c r="B42" i="126" a="1"/>
  <c r="B42" i="126" s="1"/>
  <c r="B24" i="126" a="1"/>
  <c r="B24" i="126" s="1"/>
  <c r="B63" i="78" a="1"/>
  <c r="B63" i="78" s="1"/>
  <c r="B64" i="78" s="1"/>
  <c r="B62" i="78" a="1"/>
  <c r="B62" i="78" s="1"/>
  <c r="B21" i="78" a="1"/>
  <c r="B21" i="78" s="1"/>
  <c r="B61" i="78" a="1"/>
  <c r="B61" i="78" s="1"/>
  <c r="B44" i="78" a="1"/>
  <c r="B44" i="78" s="1"/>
  <c r="B72" i="78" a="1"/>
  <c r="B72" i="78" s="1"/>
  <c r="B11" i="78" s="1"/>
  <c r="B20" i="78" a="1"/>
  <c r="B20" i="78" s="1"/>
  <c r="N2" i="42" a="1"/>
  <c r="N2" i="42" s="1"/>
  <c r="B79" i="78" a="1"/>
  <c r="B79" i="78" s="1"/>
  <c r="B73" i="78" l="1"/>
  <c r="B22" i="136"/>
  <c r="B9" i="136"/>
  <c r="B3" i="77" s="1"/>
  <c r="B53" i="77"/>
  <c r="B55" i="77" s="1"/>
  <c r="B43" i="77"/>
  <c r="B12" i="127"/>
  <c r="B84" i="126"/>
  <c r="B90" i="126" s="1"/>
  <c r="B75" i="126"/>
  <c r="B5" i="127"/>
  <c r="B19" i="127" s="1"/>
  <c r="B14" i="136" s="1"/>
  <c r="B32" i="126"/>
  <c r="B120" i="126"/>
  <c r="B25" i="126"/>
  <c r="B53" i="126" s="1"/>
  <c r="B13" i="127" l="1"/>
  <c r="B13" i="136" s="1"/>
  <c r="B3" i="139"/>
  <c r="B2" i="77"/>
  <c r="B33" i="127"/>
  <c r="B15" i="136" s="1"/>
  <c r="B86" i="126"/>
  <c r="B33" i="126"/>
  <c r="B2" i="126" s="1"/>
  <c r="B138" i="126"/>
  <c r="B103" i="126"/>
  <c r="B125" i="126"/>
  <c r="B38" i="126"/>
  <c r="B3" i="126" s="1"/>
  <c r="B113" i="126"/>
  <c r="B114" i="126"/>
  <c r="B133" i="126"/>
  <c r="B48" i="126"/>
  <c r="B4" i="126" s="1"/>
  <c r="B16" i="136" l="1"/>
  <c r="B2" i="139" s="1"/>
  <c r="B5" i="126"/>
  <c r="B8" i="126" s="1"/>
  <c r="B126" i="126" s="1"/>
  <c r="B17" i="139" l="1"/>
  <c r="B3" i="78"/>
  <c r="B2" i="78"/>
  <c r="B9" i="126"/>
  <c r="B19" i="126"/>
  <c r="B104" i="126"/>
  <c r="B67" i="126"/>
  <c r="B76" i="126"/>
  <c r="B121" i="126"/>
  <c r="B91" i="126"/>
  <c r="B65" i="78" l="1"/>
  <c r="B9" i="78" s="1"/>
  <c r="B115" i="126"/>
  <c r="H13" i="82" l="1"/>
  <c r="H14" i="82"/>
  <c r="H15" i="82"/>
  <c r="H16" i="82"/>
  <c r="H17" i="82"/>
  <c r="H18" i="82"/>
  <c r="H19" i="82"/>
  <c r="H20" i="82"/>
  <c r="H21" i="82"/>
  <c r="H22" i="82"/>
  <c r="H23" i="82"/>
  <c r="H24" i="82"/>
  <c r="H25" i="82"/>
  <c r="H26" i="82"/>
  <c r="H27" i="82"/>
  <c r="H28" i="82"/>
  <c r="H29" i="82"/>
  <c r="H30" i="82"/>
  <c r="H31" i="82"/>
  <c r="H32" i="82"/>
  <c r="H33" i="82"/>
  <c r="H34" i="82"/>
  <c r="H35" i="82"/>
  <c r="I13" i="82"/>
  <c r="I14" i="82"/>
  <c r="I15" i="82"/>
  <c r="I16" i="82"/>
  <c r="I17" i="82"/>
  <c r="I18" i="82"/>
  <c r="I19" i="82"/>
  <c r="I20" i="82"/>
  <c r="I21" i="82"/>
  <c r="I22" i="82"/>
  <c r="I23" i="82"/>
  <c r="I24" i="82"/>
  <c r="I25" i="82"/>
  <c r="I26" i="82"/>
  <c r="I27" i="82"/>
  <c r="I28" i="82"/>
  <c r="I29" i="82"/>
  <c r="I30" i="82"/>
  <c r="I31" i="82"/>
  <c r="I32" i="82"/>
  <c r="I33" i="82"/>
  <c r="I34" i="82"/>
  <c r="I35" i="82"/>
  <c r="E13" i="82"/>
  <c r="E14" i="82"/>
  <c r="E15" i="82"/>
  <c r="E16" i="82"/>
  <c r="E17" i="82"/>
  <c r="E18" i="82"/>
  <c r="E19" i="82"/>
  <c r="E20" i="82"/>
  <c r="E21" i="82"/>
  <c r="E22" i="82"/>
  <c r="E23" i="82"/>
  <c r="E24" i="82"/>
  <c r="E25" i="82"/>
  <c r="E26" i="82"/>
  <c r="E27" i="82"/>
  <c r="E28" i="82"/>
  <c r="E29" i="82"/>
  <c r="E30" i="82"/>
  <c r="E31" i="82"/>
  <c r="E32" i="82"/>
  <c r="E33" i="82"/>
  <c r="E34" i="82"/>
  <c r="E35" i="82"/>
  <c r="I36" i="82" l="1"/>
  <c r="B66" i="78" l="1"/>
  <c r="B92" i="126"/>
  <c r="B93" i="126" s="1"/>
  <c r="B80" i="78"/>
  <c r="B47" i="78"/>
  <c r="B50" i="78" s="1"/>
  <c r="AV1" i="45"/>
  <c r="N1" i="42"/>
  <c r="B13" i="78" l="1"/>
  <c r="B7" i="78"/>
  <c r="B22" i="78"/>
  <c r="B81" i="78" s="1"/>
  <c r="B31" i="139" l="1"/>
  <c r="B32" i="139"/>
  <c r="B48" i="139"/>
  <c r="B45" i="139"/>
  <c r="B47" i="139"/>
  <c r="B46" i="139"/>
  <c r="B87" i="78"/>
  <c r="B56" i="77"/>
  <c r="B67" i="78"/>
  <c r="B33" i="139" l="1"/>
  <c r="B34" i="139" s="1"/>
  <c r="B49" i="139"/>
  <c r="B50" i="139" s="1"/>
  <c r="B51" i="78"/>
  <c r="B40" i="78"/>
  <c r="B16" i="78" l="1"/>
  <c r="B58" i="77"/>
  <c r="B27" i="77" l="1"/>
  <c r="B57" i="77"/>
  <c r="B10" i="77" l="1"/>
  <c r="B8" i="13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FCAB507-B4DD-458D-9F06-8406F485E178}" keepAlive="1" name="Query - datastore_search?resource_id=5af9c84e-9eb3-4467-a0aa-ade0966a29d0&amp;limit=800" description="Connection to the 'datastore_search?resource_id=5af9c84e-9eb3-4467-a0aa-ade0966a29d0&amp;limit=800' query in the workbook." type="5" refreshedVersion="8" background="1" saveData="1">
    <dbPr connection="Provider=Microsoft.Mashup.OleDb.1;Data Source=$Workbook$;Location=&quot;datastore_search?resource_id=5af9c84e-9eb3-4467-a0aa-ade0966a29d0&amp;limit=800&quot;;Extended Properties=&quot;&quot;" command="SELECT * FROM [datastore_search?resource_id=5af9c84e-9eb3-4467-a0aa-ade0966a29d0&amp;limit=800]"/>
  </connection>
  <connection id="2" xr16:uid="{6B8D8692-4E9B-4DC8-AE73-52D858826621}" keepAlive="1" name="Query - datastore_search?resource_id=7e539a61-9a33-49e5-a5d3-463e43f06109&amp;limit=10000" description="Connection to the 'datastore_search?resource_id=7e539a61-9a33-49e5-a5d3-463e43f06109&amp;limit=10000' query in the workbook." type="5" refreshedVersion="8" background="1" saveData="1">
    <dbPr connection="Provider=Microsoft.Mashup.OleDb.1;Data Source=$Workbook$;Location=&quot;datastore_search?resource_id=7e539a61-9a33-49e5-a5d3-463e43f06109&amp;limit=10000&quot;;Extended Properties=&quot;&quot;" command="SELECT * FROM [datastore_search?resource_id=7e539a61-9a33-49e5-a5d3-463e43f06109&amp;limit=10000]"/>
  </connection>
  <connection id="3" xr16:uid="{DCDEFF87-322E-4B19-94A6-B3541D4BAF35}" keepAlive="1" name="Query - datastore_search?resource_id=8a3c52b1-8d01-447b-99e1-438fe37bd82d&amp;limit=99999999" description="Connection to the 'datastore_search?resource_id=8a3c52b1-8d01-447b-99e1-438fe37bd82d&amp;limit=99999999' query in the workbook." type="5" refreshedVersion="8" background="1" saveData="1">
    <dbPr connection="Provider=Microsoft.Mashup.OleDb.1;Data Source=$Workbook$;Location=&quot;datastore_search?resource_id=8a3c52b1-8d01-447b-99e1-438fe37bd82d&amp;limit=99999999&quot;;Extended Properties=&quot;&quot;" command="SELECT * FROM [datastore_search?resource_id=8a3c52b1-8d01-447b-99e1-438fe37bd82d&amp;limit=99999999]"/>
  </connection>
  <connection id="4" xr16:uid="{277AC4E9-DED2-48FC-92CE-AA16034203A6}" keepAlive="1" name="Query - datastore_search?resource_id=dc42f085-75d8-48e0-b795-8ede6ee576c2&amp;limit=800" description="Connection to the 'datastore_search?resource_id=dc42f085-75d8-48e0-b795-8ede6ee576c2&amp;limit=800' query in the workbook." type="5" refreshedVersion="8" background="1" saveData="1">
    <dbPr connection="Provider=Microsoft.Mashup.OleDb.1;Data Source=$Workbook$;Location=&quot;datastore_search?resource_id=dc42f085-75d8-48e0-b795-8ede6ee576c2&amp;limit=800&quot;;Extended Properties=&quot;&quot;" command="SELECT * FROM [datastore_search?resource_id=dc42f085-75d8-48e0-b795-8ede6ee576c2&amp;limit=800]"/>
  </connection>
  <connection id="5" xr16:uid="{9223ADA5-09FD-4C0D-9917-856717E01856}" keepAlive="1" name="Query - datastore_search?resource_id=f2f53681-0bc5-4451-9f0c-7f29d8b39107&amp;limit=999999" description="Connection to the 'datastore_search?resource_id=f2f53681-0bc5-4451-9f0c-7f29d8b39107&amp;limit=999999' query in the workbook." type="5" refreshedVersion="8" background="1" saveData="1">
    <dbPr connection="Provider=Microsoft.Mashup.OleDb.1;Data Source=$Workbook$;Location=&quot;datastore_search?resource_id=f2f53681-0bc5-4451-9f0c-7f29d8b39107&amp;limit=999999&quot;;Extended Properties=&quot;&quot;" command="SELECT * FROM [datastore_search?resource_id=f2f53681-0bc5-4451-9f0c-7f29d8b39107&amp;limit=999999]"/>
  </connection>
  <connection id="6" xr16:uid="{5F249AD0-B24A-40BF-91A3-A38F8911AD00}" keepAlive="1" name="Query - datastore_search?resource_id=f6285bcc-81b0-478a-87f6-789779c79d95&amp;limit=999999" description="Connection to the 'datastore_search?resource_id=f6285bcc-81b0-478a-87f6-789779c79d95&amp;limit=999999' query in the workbook." type="5" refreshedVersion="8" background="1" saveData="1">
    <dbPr connection="Provider=Microsoft.Mashup.OleDb.1;Data Source=$Workbook$;Location=&quot;datastore_search?resource_id=f6285bcc-81b0-478a-87f6-789779c79d95&amp;limit=999999&quot;;Extended Properties=&quot;&quot;" command="SELECT * FROM [datastore_search?resource_id=f6285bcc-81b0-478a-87f6-789779c79d95&amp;limit=999999]"/>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<sst xmlns="http://schemas.openxmlformats.org/spreadsheetml/2006/main" count="37915" uniqueCount="3853">
  <si>
    <t>Abbreviations and Acronyms</t>
  </si>
  <si>
    <t>Key to the Colors Used Throughout This Workbook</t>
  </si>
  <si>
    <t>AF/year</t>
  </si>
  <si>
    <t>acre feet per year</t>
  </si>
  <si>
    <t>Not Editable Fields:</t>
  </si>
  <si>
    <t>API</t>
  </si>
  <si>
    <t>application programming interface (how this form connects to other databases)</t>
  </si>
  <si>
    <t>Blue Grey</t>
  </si>
  <si>
    <t>Prefilled from Source Table or Hardcoded Value</t>
  </si>
  <si>
    <t>BMP</t>
  </si>
  <si>
    <t>best management practice</t>
  </si>
  <si>
    <t>Blue</t>
  </si>
  <si>
    <t>Parameter defined in statute or regulation</t>
  </si>
  <si>
    <t>CCF</t>
  </si>
  <si>
    <t>hundred cubic feet (unit)</t>
  </si>
  <si>
    <t>Grey</t>
  </si>
  <si>
    <t>Calculated Total</t>
  </si>
  <si>
    <t>CII</t>
  </si>
  <si>
    <t xml:space="preserve">commercial, industrial, and institutional </t>
  </si>
  <si>
    <t>Dark Grey</t>
  </si>
  <si>
    <t>Budget Total</t>
  </si>
  <si>
    <t>DIM</t>
  </si>
  <si>
    <t>dedicated irrigation meter</t>
  </si>
  <si>
    <t>Editable Fields:</t>
  </si>
  <si>
    <t>DPR</t>
  </si>
  <si>
    <t>direct potable reuse</t>
  </si>
  <si>
    <t xml:space="preserve">Green </t>
  </si>
  <si>
    <t>Fill-in (Mandatory)</t>
  </si>
  <si>
    <t>dS/m</t>
  </si>
  <si>
    <t>decisiemen per meter</t>
  </si>
  <si>
    <t>Gold</t>
  </si>
  <si>
    <t>Optional</t>
  </si>
  <si>
    <t>DWR</t>
  </si>
  <si>
    <t>California Department of Water Resources</t>
  </si>
  <si>
    <t>Not Applicable (variance is not being requested)</t>
  </si>
  <si>
    <t>ESPM</t>
  </si>
  <si>
    <t>Energy Star Portfolio Manager</t>
  </si>
  <si>
    <r>
      <t>ET</t>
    </r>
    <r>
      <rPr>
        <b/>
        <vertAlign val="subscript"/>
        <sz val="11"/>
        <color theme="1"/>
        <rFont val="Calibri"/>
        <family val="2"/>
        <scheme val="minor"/>
      </rPr>
      <t>0</t>
    </r>
  </si>
  <si>
    <t>reference evapotranspiration</t>
  </si>
  <si>
    <t>gallons/year</t>
  </si>
  <si>
    <t>gallons per year</t>
  </si>
  <si>
    <t>gpcd</t>
  </si>
  <si>
    <t>gallons per capita per day</t>
  </si>
  <si>
    <t>II</t>
  </si>
  <si>
    <t>irrigable-irrigated</t>
  </si>
  <si>
    <t>INI</t>
  </si>
  <si>
    <t>irrigable-not irrigated</t>
  </si>
  <si>
    <t>KBAI</t>
  </si>
  <si>
    <t>key business activity indicator</t>
  </si>
  <si>
    <t>LEF</t>
  </si>
  <si>
    <t>landscape efficiency factor</t>
  </si>
  <si>
    <t>LAM</t>
  </si>
  <si>
    <t>landscape area measurement</t>
  </si>
  <si>
    <t>mg/L</t>
  </si>
  <si>
    <t>milligram per liter</t>
  </si>
  <si>
    <t xml:space="preserve">MG </t>
  </si>
  <si>
    <t>million-gallons</t>
  </si>
  <si>
    <t>ORG ID</t>
  </si>
  <si>
    <t>two to three digit ID number associated with urban water supplier, used by Department of Water Resources</t>
  </si>
  <si>
    <t>PWS</t>
  </si>
  <si>
    <t>public water system</t>
  </si>
  <si>
    <t>PWSID</t>
  </si>
  <si>
    <t>public water system identity number. Format: CA0000000</t>
  </si>
  <si>
    <t>SB X7-7</t>
  </si>
  <si>
    <t>Senate Bill X7-7 (2009)</t>
  </si>
  <si>
    <t>SLA</t>
  </si>
  <si>
    <t>special landscape area</t>
  </si>
  <si>
    <t>TDS</t>
  </si>
  <si>
    <t>total dissolved solids</t>
  </si>
  <si>
    <t>UWUO</t>
  </si>
  <si>
    <t>urban water use objective</t>
  </si>
  <si>
    <t>WDID</t>
  </si>
  <si>
    <t>waste discharge identification number</t>
  </si>
  <si>
    <t>WLS</t>
  </si>
  <si>
    <t>water loss standard</t>
  </si>
  <si>
    <t>Reporting Year Cycle</t>
  </si>
  <si>
    <t>State Fiscal Year</t>
  </si>
  <si>
    <t>READ ME</t>
  </si>
  <si>
    <t>Instructions for completing and submitting</t>
  </si>
  <si>
    <t>Start Date</t>
  </si>
  <si>
    <t>Preliminary Budget Calculation</t>
  </si>
  <si>
    <t>Select which year of data to use for budget (FY24 or FY25)</t>
  </si>
  <si>
    <t>End Date</t>
  </si>
  <si>
    <t>Indoor required certification</t>
  </si>
  <si>
    <t>Number of Days in Reporting Year</t>
  </si>
  <si>
    <t>Residential Indoor Variances</t>
  </si>
  <si>
    <t>Outdoor required certification</t>
  </si>
  <si>
    <t>In the table below, provide the contact information of the employee who prepared this report</t>
  </si>
  <si>
    <t>Residential Outdoor Variances</t>
  </si>
  <si>
    <t>Contact listed will be the main point of contact for follow up questions by State Water Board staff</t>
  </si>
  <si>
    <t>Residential Agriculture 1%</t>
  </si>
  <si>
    <t>If a third party prepared the report, please provide a supplier point of contact in cells B14-B19 and answer "No" in cell B21. Then fill out cells B23-27</t>
  </si>
  <si>
    <t>Emergency and High TDS Variances</t>
  </si>
  <si>
    <t>Residential Outdoor Components</t>
  </si>
  <si>
    <t>Name of Urban Retail Water Supplier (select from dropdown list in B11)</t>
  </si>
  <si>
    <t>Alameda County Water District</t>
  </si>
  <si>
    <t>Alternative Data or Methodology</t>
  </si>
  <si>
    <t>To indicate if alternative data is pending from DWR</t>
  </si>
  <si>
    <t>Urban Retail Water Supplier Organization Identifier (ORG ID)</t>
  </si>
  <si>
    <t xml:space="preserve"> --</t>
  </si>
  <si>
    <t>Remaining tabs are for auto-population purposes</t>
  </si>
  <si>
    <t>Number of Public Water Systems Included</t>
  </si>
  <si>
    <t>Supplier Contact Person Name</t>
  </si>
  <si>
    <t>Supplier Contact Person Title</t>
  </si>
  <si>
    <t>Supplier Contact Person Phone Number</t>
  </si>
  <si>
    <t>Supplier Contact Person Email Address</t>
  </si>
  <si>
    <t>Supplier Street Address</t>
  </si>
  <si>
    <t>Supplier ZIP Code</t>
  </si>
  <si>
    <t>Was this form prepared by the staff of the supplier named in cell B11?</t>
  </si>
  <si>
    <t>Yes</t>
  </si>
  <si>
    <t>Report Preparer's Contact Information, if different from the above information</t>
  </si>
  <si>
    <t>Preparer's Organization Name</t>
  </si>
  <si>
    <t>N/A</t>
  </si>
  <si>
    <t>Preparer's Contact Name</t>
  </si>
  <si>
    <t>Preparer's Phone Number</t>
  </si>
  <si>
    <t>Preparer's Email Address</t>
  </si>
  <si>
    <t>If applicable, other contact Email Address</t>
  </si>
  <si>
    <t>List of Supplier Public Water Systems</t>
  </si>
  <si>
    <t>Water System Name</t>
  </si>
  <si>
    <t>County</t>
  </si>
  <si>
    <t>Residential Population</t>
  </si>
  <si>
    <t>Number of months with non-zero potable deliveries in Clearinghouse</t>
  </si>
  <si>
    <t>Water System Included in Objective Calculations?</t>
  </si>
  <si>
    <t>Instructions for submission of variance package</t>
  </si>
  <si>
    <r>
      <t xml:space="preserve">"Indoor required certification" tab is required to complete if requesting any </t>
    </r>
    <r>
      <rPr>
        <u/>
        <sz val="12"/>
        <color theme="1"/>
        <rFont val="Calibri"/>
        <family val="2"/>
        <scheme val="minor"/>
      </rPr>
      <t>indoor</t>
    </r>
    <r>
      <rPr>
        <sz val="12"/>
        <color theme="1"/>
        <rFont val="Calibri"/>
        <family val="2"/>
        <scheme val="minor"/>
      </rPr>
      <t xml:space="preserve"> variances or temporary provisions</t>
    </r>
  </si>
  <si>
    <r>
      <t xml:space="preserve">"Outdoor required certification" tab is required to complete if requesting any </t>
    </r>
    <r>
      <rPr>
        <u/>
        <sz val="12"/>
        <color theme="1"/>
        <rFont val="Calibri"/>
        <family val="2"/>
        <scheme val="minor"/>
      </rPr>
      <t>outdoor</t>
    </r>
    <r>
      <rPr>
        <sz val="12"/>
        <color theme="1"/>
        <rFont val="Calibri"/>
        <family val="2"/>
        <scheme val="minor"/>
      </rPr>
      <t xml:space="preserve"> variances or temporary provisions</t>
    </r>
  </si>
  <si>
    <r>
      <rPr>
        <b/>
        <sz val="12"/>
        <color theme="1"/>
        <rFont val="Calibri"/>
        <family val="2"/>
        <scheme val="minor"/>
      </rPr>
      <t>Budget</t>
    </r>
    <r>
      <rPr>
        <sz val="12"/>
        <color theme="1"/>
        <rFont val="Calibri"/>
        <family val="2"/>
        <scheme val="minor"/>
      </rPr>
      <t xml:space="preserve"> calculations as shown in the "Preliminary Budget" tab are </t>
    </r>
    <r>
      <rPr>
        <u/>
        <sz val="12"/>
        <color theme="1"/>
        <rFont val="Calibri"/>
        <family val="2"/>
        <scheme val="minor"/>
      </rPr>
      <t>solely</t>
    </r>
    <r>
      <rPr>
        <sz val="12"/>
        <color theme="1"/>
        <rFont val="Calibri"/>
        <family val="2"/>
        <scheme val="minor"/>
      </rPr>
      <t xml:space="preserve"> for the purpose of provisionally assessing the variance threshold. They are not for official submission for the report due January 1, 2026. Variance thresholds will be re-calculated using the final data in the January 1, 2026 UWUO Report.</t>
    </r>
  </si>
  <si>
    <t xml:space="preserve">Please submit via email </t>
  </si>
  <si>
    <t>To:</t>
  </si>
  <si>
    <t>waterconservation@waterboards.ca.gov</t>
  </si>
  <si>
    <t>Subject line:</t>
  </si>
  <si>
    <t>Attach:</t>
  </si>
  <si>
    <t>This Excel form, completed</t>
  </si>
  <si>
    <t>Data (CSV, Excel, etc.), methodology documents (PDF), and supporting documentation</t>
  </si>
  <si>
    <t>PDF documents and maps required in the Emergency Water Use variance, if applicable</t>
  </si>
  <si>
    <t>Send alternative data and methodology requests directly to Department of Water Resources.</t>
  </si>
  <si>
    <t xml:space="preserve">After submission: </t>
  </si>
  <si>
    <t>State Water Board staff will send submission confirmation via email when staff download the file for review.</t>
  </si>
  <si>
    <t>State Water Board staff will notify submitters via email of variance request determination.</t>
  </si>
  <si>
    <t>Components of the Indoor Residential Budget</t>
  </si>
  <si>
    <t>Value</t>
  </si>
  <si>
    <t>Units</t>
  </si>
  <si>
    <t>Calculation Instructions and Notes</t>
  </si>
  <si>
    <t>Reference(s)</t>
  </si>
  <si>
    <t>Supplier Notes</t>
  </si>
  <si>
    <t>Back to Navigation List</t>
  </si>
  <si>
    <t>Indoor Residential Water Use Standard 2024</t>
  </si>
  <si>
    <t>GPCD</t>
  </si>
  <si>
    <t>WC 10609.4(a)</t>
  </si>
  <si>
    <t>Indoor Residential Water Use Standard 2025</t>
  </si>
  <si>
    <t>Number of days in 2024</t>
  </si>
  <si>
    <t>Days in 2024</t>
  </si>
  <si>
    <t>Number of days in 2025</t>
  </si>
  <si>
    <t>Days in 2025</t>
  </si>
  <si>
    <t>Fiscal Year Start Date for Residential Indoor Data Values</t>
  </si>
  <si>
    <t xml:space="preserve">Drop-down. By default, this value corresponds to the fiscal year start date from the prior reporting year (since the current reporting year data may not be available). If this value is changed, please go to the "Data" menu and click the "Refresh All" button to reload the data tables. This may take a couple of minutes. </t>
  </si>
  <si>
    <t>Residential Service Area Population</t>
  </si>
  <si>
    <t>Number of persons</t>
  </si>
  <si>
    <t>Obtained from SDWIS Residential Population Table</t>
  </si>
  <si>
    <t>965(zz)</t>
  </si>
  <si>
    <r>
      <t>Unofficial Service Area Population for Purpose of Variance Assessment (</t>
    </r>
    <r>
      <rPr>
        <b/>
        <sz val="11"/>
        <color rgb="FFFF0000"/>
        <rFont val="Calibri"/>
        <family val="2"/>
        <scheme val="minor"/>
      </rPr>
      <t>Optional</t>
    </r>
    <r>
      <rPr>
        <sz val="11"/>
        <color theme="1"/>
        <rFont val="Calibri"/>
        <family val="2"/>
        <scheme val="minor"/>
      </rPr>
      <t>)</t>
    </r>
  </si>
  <si>
    <t xml:space="preserve"> If your population has changed but is not yet reflected in SDWIS, you may use a preliminary number to estimate the variance threshold volume. The final eligibility threshold will be checked using the population value in SDWIS for submission of UWUO-2026 report. NOTE: If a number is entered in B8, it will be used instead of B7 in the residential indoor budget calculation.</t>
  </si>
  <si>
    <t>Preliminary Residential Indoor Water Use Budget (not including provisions or variances)</t>
  </si>
  <si>
    <t>Gallons/Year</t>
  </si>
  <si>
    <t>Calculated. Indoor Residential Water Use Standard * Residential Population * Number of days in year</t>
  </si>
  <si>
    <t>967(a)(1)</t>
  </si>
  <si>
    <t>Components of the Residential Outdoor Budget</t>
  </si>
  <si>
    <t>Fiscal Year Start Date for Residential Outdoor and Weather Data Values</t>
  </si>
  <si>
    <r>
      <t xml:space="preserve">Drop-down. By default, this value corresponds to the fiscal year start date from the prior reporting year (since the current reporting year data may not be available). If this value is changed, please go to the "Data" menu and click the "Refresh All" button to reload the data tables. This may take a couple of minutes. </t>
    </r>
    <r>
      <rPr>
        <b/>
        <sz val="11"/>
        <color theme="1"/>
        <rFont val="Calibri"/>
        <family val="2"/>
        <scheme val="minor"/>
      </rPr>
      <t>NOTE: If changed, make sure that the various weather-related values (e.g., reference evapotranspiration) are non-zero to ensure an accurate budget.</t>
    </r>
  </si>
  <si>
    <t>Residential Outdoor Water Use Budget (without INI)</t>
  </si>
  <si>
    <t>968(b)(1)</t>
  </si>
  <si>
    <t>Newly Constructed Residential Landscapes Budget (no SLAs)</t>
  </si>
  <si>
    <t>968(e)(1)</t>
  </si>
  <si>
    <t>Residential Special Landscape Areas Budget (existing and new construction, and pools)</t>
  </si>
  <si>
    <t>968(c)(1)</t>
  </si>
  <si>
    <t>Preliminary Residential Outdoor Water Use Budget (not including INI, provisions, or variances; individual components calculated below)</t>
  </si>
  <si>
    <t>Sum of individual residential outdoor water use budget components, as calculated in the "Residential Outdoor Components" tab. If you would like to change any values in the calculations, click here.</t>
  </si>
  <si>
    <t>Commercial, Industrial, and Institutional DIMs Budget</t>
  </si>
  <si>
    <t>Fiscal Year Start Date for  CII DIMs Deliveries Data Values</t>
  </si>
  <si>
    <r>
      <t xml:space="preserve">By default, this value corresponds to the fiscal year start date from the prior reporting year (since the current reporting year data may not be available). If this value is changed, please go to the "Data" menu and click the "Refresh All" button to reload the data tables. This may take a couple of minutes. </t>
    </r>
    <r>
      <rPr>
        <b/>
        <sz val="11"/>
        <color theme="1"/>
        <rFont val="Calibri"/>
        <family val="2"/>
        <scheme val="minor"/>
      </rPr>
      <t xml:space="preserve">NOTE: If changed, check the "List of Supplier Water Systems" table in the "Landing Page and Navigation" page to ensure that each included water system has the full 12 months (or less, if a system became inactive) of deliveries data. </t>
    </r>
  </si>
  <si>
    <t>Annual, aggregate potable deliveries to Commercial, Industrial, or Institutional Landscapes with dedicated irrigation meters</t>
  </si>
  <si>
    <t>975(c)(1)(B)(i)</t>
  </si>
  <si>
    <t>Annual, aggregate non-potable deliveries to Commercial, Industrial, or Institutional Landscapes with dedicated irrigation meters</t>
  </si>
  <si>
    <t>975(c)(1)(B)(ii)</t>
  </si>
  <si>
    <t>Preliminary CII landscapes with DIMs Budget (not including provisions or variances)</t>
  </si>
  <si>
    <t>Calculated. Sum of total potable and total non-potable deliveries to CII landscapes with dedicated irrigation meters</t>
  </si>
  <si>
    <t>975(c)(1)(B)</t>
  </si>
  <si>
    <t>Comments regarding calculated budgets:</t>
  </si>
  <si>
    <t>Indoor Variances and Provisions Required Information</t>
  </si>
  <si>
    <t>Component</t>
  </si>
  <si>
    <t>Initial</t>
  </si>
  <si>
    <t>I certify the water applicable to this request is water delivered by the supplier identified in this document.</t>
  </si>
  <si>
    <t>I certify this request would not jeopardize the ability of a permittee within the supplier’s service area to comply with existing permit requirements</t>
  </si>
  <si>
    <t>In addition to certifying the items below, provide information demonstrating the requirements below in a separate PDF file:</t>
  </si>
  <si>
    <r>
      <t xml:space="preserve">I certify that for </t>
    </r>
    <r>
      <rPr>
        <b/>
        <sz val="12"/>
        <color theme="1"/>
        <rFont val="Calibri"/>
        <family val="2"/>
        <scheme val="minor"/>
      </rPr>
      <t>every</t>
    </r>
    <r>
      <rPr>
        <sz val="12"/>
        <color theme="1"/>
        <rFont val="Calibri"/>
        <family val="2"/>
        <scheme val="minor"/>
      </rPr>
      <t xml:space="preserve"> indoor variance or temporary provision request submitted, I provided information describing and supporting the methodology used to estimate the applicable variance and/or temporary provision parameters described in section 967(c)</t>
    </r>
  </si>
  <si>
    <t xml:space="preserve">If you are submitting alternative data or methodology to DWR for approval, please denote here </t>
  </si>
  <si>
    <t>Variance Thresholds and Total Variance Volume</t>
  </si>
  <si>
    <t>5% Threshold for Variances (Indoor Residential Budget)</t>
  </si>
  <si>
    <t>Gallons</t>
  </si>
  <si>
    <t>This is the equivalent of 5% of the residential indoor budget</t>
  </si>
  <si>
    <t>967(b)(1)(B)</t>
  </si>
  <si>
    <t>1% Threshold for Variances (Indoor Residential Budget)</t>
  </si>
  <si>
    <t>This is the equivalent of 1% of the residential indoor budget</t>
  </si>
  <si>
    <t>967(c)(2)(C)</t>
  </si>
  <si>
    <t>Requesting Evaporative Cooler Variance?</t>
  </si>
  <si>
    <t>Drop down menu</t>
  </si>
  <si>
    <t xml:space="preserve">Change to "Yes" if requesting variance. If B4 is "Yes", fill out the information for the Evaporative Cooler Variance </t>
  </si>
  <si>
    <t>All data fields completed for evaporative cooler variance?</t>
  </si>
  <si>
    <t>Will show incomplete until all green data fields are filled. Use zeroes where needed.</t>
  </si>
  <si>
    <t>Requesting Seasonal Population Variance?</t>
  </si>
  <si>
    <t>Change to "Yes" if requesting variance. If B6 is "Yes", fill out the information for the Seasonal Population Variance</t>
  </si>
  <si>
    <t>All data fields completed for seasonal population variance?</t>
  </si>
  <si>
    <t>Requesting Wastewater Provision?</t>
  </si>
  <si>
    <t>Change to "Yes" if requesting provision. If B8 is "Yes", fill out the information for the Wastewater Provision</t>
  </si>
  <si>
    <t>All data fields completed for wastewater provision?</t>
  </si>
  <si>
    <t>Total Volume of Variances and Provisions associated with Residential Indoor Volume (from modules below)</t>
  </si>
  <si>
    <t>Gallons/year</t>
  </si>
  <si>
    <t>Sum of variances that individually meet either the 5% or 1% threshold (depending on the selected method), plus provisions</t>
  </si>
  <si>
    <t>967(b)(1)</t>
  </si>
  <si>
    <t>Variances and Temporary Provisions Calculations</t>
  </si>
  <si>
    <t>Components of the Evaporative Cooler Variance</t>
  </si>
  <si>
    <t>Supporting documentation for evaporative cooler variance (reminder)</t>
  </si>
  <si>
    <t xml:space="preserve">Attach items listed in the "Indoor required certification" tab for this variance as a separate PDF document in email submission. </t>
  </si>
  <si>
    <t>967(e)</t>
  </si>
  <si>
    <t>Total number of residential connections</t>
  </si>
  <si>
    <t>Connections</t>
  </si>
  <si>
    <t>As reported to the Board pursuant to Health and Safety Code section 116530</t>
  </si>
  <si>
    <t>Number of connections sampled to determine the number of evaporative coolers in the supplier's service area</t>
  </si>
  <si>
    <t>Provide the number of service connections that informed the sample. The sample size should be at least 10,000 residential connections, or ten percent of residential connections, whichever is smaller.</t>
  </si>
  <si>
    <t>967(c)(1)(D)</t>
  </si>
  <si>
    <t>Number of evaporative coolers (Nec)</t>
  </si>
  <si>
    <t>Number of coolers</t>
  </si>
  <si>
    <t>967(c)(1)(A)</t>
  </si>
  <si>
    <t>Number of operating days (Ndays)</t>
  </si>
  <si>
    <t>Days</t>
  </si>
  <si>
    <t>Days when the average temperature in a supplier's service area was greater than 78 degrees Fahrenheit for at least one hour</t>
  </si>
  <si>
    <t>967(c)(1)</t>
  </si>
  <si>
    <t>Average daily operating hours (Ho)</t>
  </si>
  <si>
    <t>Hours</t>
  </si>
  <si>
    <t>Enter lower of either: average of operating hours in sample used; or the average number of hours above 78ºF on days in which the average temperature was greater than  78ºF for at least one hour</t>
  </si>
  <si>
    <t>967(c)(1)(B)(i) or (ii)</t>
  </si>
  <si>
    <t>Evaporative Rate (Rec) Calculation</t>
  </si>
  <si>
    <t xml:space="preserve">Average air exchange rate of units </t>
  </si>
  <si>
    <t>cubic feet per minute</t>
  </si>
  <si>
    <t>Calculated according to the Department’s Methods for Estimating Residential Cooler Water Consumption and Prevalence using Account-Level Water and Energy Consumption Data (published April 15, 2022) or an alternative method demonstrated to the Department, in coordination with the Board, to be equivalent, or superior, in quality and accuracy. If utilizing alternative method, note it in the "Alternative Data or Methodology" tab.</t>
  </si>
  <si>
    <t>Average daily difference in hourly wet and dry bulb temperatures (ΔTBulb)</t>
  </si>
  <si>
    <t>Fahrenheit</t>
  </si>
  <si>
    <t>Efficiency</t>
  </si>
  <si>
    <t>Unit conversion</t>
  </si>
  <si>
    <t>Evaporative Rate (Rec)</t>
  </si>
  <si>
    <t>Gallons/Hour</t>
  </si>
  <si>
    <t>967(c)(1)(C)</t>
  </si>
  <si>
    <t>Evaporative Cooler Variance Volume</t>
  </si>
  <si>
    <t>Does evaporative cooler variance volume meet 5% threshold?</t>
  </si>
  <si>
    <t>Components of the Seasonal Population Variance</t>
  </si>
  <si>
    <t>Supporting documentation for seasonal population variance (reminder)</t>
  </si>
  <si>
    <t>Methodology for calculating occupancy rate</t>
  </si>
  <si>
    <t>Select either the 5% threshold option or 1% (using hourly or daily AMI) threshold option.</t>
  </si>
  <si>
    <t>967(c)(2)(B) or 967(c)(2)(C)</t>
  </si>
  <si>
    <t>July 1 2024 - Dec 31 2024</t>
  </si>
  <si>
    <t>Because the indoor standard changed on Jan 1,2025, you may apply the 55 GPCD standard to 2024 data and 47 GPCD to 2025 data. You may leave one table blank if the majority of your seasonal population resides during a distinct part of 2024 or 2025</t>
  </si>
  <si>
    <t>10609.4(a)(1)</t>
  </si>
  <si>
    <r>
      <t xml:space="preserve">Number of seasonal dwelling units (Ndu) </t>
    </r>
    <r>
      <rPr>
        <b/>
        <sz val="11"/>
        <color theme="1"/>
        <rFont val="Calibri"/>
        <family val="2"/>
        <scheme val="minor"/>
      </rPr>
      <t>in 2024</t>
    </r>
  </si>
  <si>
    <t>Dwelling units</t>
  </si>
  <si>
    <t>Calculated according to the Department's Methods for Estimating Seasonal Populations with Water and Energy Data (published June 22, 2022) or an alternative method demonstrated to the Department, in coordination with the Board, to be equivalent, or superior, in quality and accuracy. If utilizing alternative method, note it in the "Alternative Data or Methodology" tab.</t>
  </si>
  <si>
    <t>967(c)(2)(A)</t>
  </si>
  <si>
    <t>Average number of rooms occupied by seasonal residents (Rs) in 2024</t>
  </si>
  <si>
    <t>Rooms</t>
  </si>
  <si>
    <t>All bedrooms in housing unit</t>
  </si>
  <si>
    <t>967(c)(2)(B)</t>
  </si>
  <si>
    <t>Average number of rooms occupied by permanent residents (Rp) in 2024</t>
  </si>
  <si>
    <t>Average number of people per permanently occupied household (Hp) in 2024</t>
  </si>
  <si>
    <t>People</t>
  </si>
  <si>
    <t>Average days of seasonal occupation (Sdays) in July-Dec 2024</t>
  </si>
  <si>
    <t>Calculated according to the Department’s Methods for Estimating Seasonal Populations with Water and Energy Data (published June 22, 2022) or an alternative method demonstrated to the Department, in coordination with the Board, to be equivalent, or superior, in quality and accuracy. If utilizing alternative method, note it in the "Alternative Data or Methodology" tab.</t>
  </si>
  <si>
    <t>Water used by seasonal homes (Wso) in July-Dec 2024</t>
  </si>
  <si>
    <t>Water used by permanent homes (Wpo) in July-Dec 2024</t>
  </si>
  <si>
    <t>Occupancy rate method 1% (Ro)</t>
  </si>
  <si>
    <t>Person-days per household</t>
  </si>
  <si>
    <t>Occupancy rate method 5% (Ro)</t>
  </si>
  <si>
    <t>2024 volume</t>
  </si>
  <si>
    <t>Jan 1 2025 - Jun 30 2025</t>
  </si>
  <si>
    <t>Because the indoor standard changed on Jan 1, you may apply the 55 GPCD standard to 2024 data and 47 GPCD to 2025 data. You may leave one or the other tables blank if the majority of your seasonal population resides during a distinct part of 2024 or 2025</t>
  </si>
  <si>
    <t>10609.4(a)(2)</t>
  </si>
  <si>
    <r>
      <t xml:space="preserve">Number of seasonal dwelling units (Ndu) </t>
    </r>
    <r>
      <rPr>
        <b/>
        <sz val="11"/>
        <color theme="1"/>
        <rFont val="Calibri"/>
        <family val="2"/>
        <scheme val="minor"/>
      </rPr>
      <t>in 2025</t>
    </r>
  </si>
  <si>
    <t>Average number of rooms occupied by seasonal residents (Rs) in 2025</t>
  </si>
  <si>
    <t>Average number of rooms occupied by permanent residents (Rp) in 2025</t>
  </si>
  <si>
    <t>Average number of people per permanently occupied household (Hp)</t>
  </si>
  <si>
    <t>Average days of seasonal occupation (Sdays) in 2025</t>
  </si>
  <si>
    <r>
      <t>Water used by seasonal homes (Wso)</t>
    </r>
    <r>
      <rPr>
        <b/>
        <sz val="11"/>
        <rFont val="Calibri"/>
        <family val="2"/>
        <scheme val="minor"/>
      </rPr>
      <t xml:space="preserve"> </t>
    </r>
    <r>
      <rPr>
        <sz val="11"/>
        <rFont val="Calibri"/>
        <family val="2"/>
        <scheme val="minor"/>
      </rPr>
      <t>January-June 2025</t>
    </r>
  </si>
  <si>
    <t>January 1-June 30 2025</t>
  </si>
  <si>
    <t>Water used by permanent homes (Wpo) January-June 2025</t>
  </si>
  <si>
    <t>January 1 -June 30 2025</t>
  </si>
  <si>
    <t>2025 volume</t>
  </si>
  <si>
    <t>Seasonal Population Variance Volume</t>
  </si>
  <si>
    <t>967(c)(2)</t>
  </si>
  <si>
    <t>Does seasonal population variance volume meet 5% threshold?</t>
  </si>
  <si>
    <t>Does seasonal population variance volume meet 1% threshold?</t>
  </si>
  <si>
    <t>Wastewater Temporary Provision</t>
  </si>
  <si>
    <t>Supporting documentation for wastewater provision (reminder)</t>
  </si>
  <si>
    <r>
      <t xml:space="preserve">Submit documentation that demonstrates that: 
• Meeting the </t>
    </r>
    <r>
      <rPr>
        <b/>
        <sz val="11"/>
        <color theme="1"/>
        <rFont val="Calibri"/>
        <family val="2"/>
        <scheme val="minor"/>
      </rPr>
      <t>total</t>
    </r>
    <r>
      <rPr>
        <sz val="11"/>
        <color theme="1"/>
        <rFont val="Calibri"/>
        <family val="2"/>
        <scheme val="minor"/>
      </rPr>
      <t xml:space="preserve"> water use objective would require adhering to the residential </t>
    </r>
    <r>
      <rPr>
        <b/>
        <sz val="11"/>
        <color theme="1"/>
        <rFont val="Calibri"/>
        <family val="2"/>
        <scheme val="minor"/>
      </rPr>
      <t>indoor</t>
    </r>
    <r>
      <rPr>
        <sz val="11"/>
        <color theme="1"/>
        <rFont val="Calibri"/>
        <family val="2"/>
        <scheme val="minor"/>
      </rPr>
      <t xml:space="preserve"> standard, 
• Meeting the budget for efficient residential indoor use is causing challenges within wastewater collection, treatment, and reuse systems.</t>
    </r>
  </si>
  <si>
    <t>Please include with other variance &amp; temporary provision methodology descriptions.</t>
  </si>
  <si>
    <t>967(d)</t>
  </si>
  <si>
    <t>Volume utilized to respond to negative impacts to wastewater collection, treatment, and reuse systems</t>
  </si>
  <si>
    <t>Comments regarding the Residential Indoor variance calculations (do not include methodology descriptions here):</t>
  </si>
  <si>
    <t>Outdoor Variances and Provisions Required Information</t>
  </si>
  <si>
    <t>I certify that I have provided information quantifying and substantiating each request</t>
  </si>
  <si>
    <r>
      <t xml:space="preserve">I certify that for </t>
    </r>
    <r>
      <rPr>
        <b/>
        <sz val="12"/>
        <color theme="1"/>
        <rFont val="Calibri"/>
        <family val="2"/>
        <scheme val="minor"/>
      </rPr>
      <t xml:space="preserve">every </t>
    </r>
    <r>
      <rPr>
        <sz val="12"/>
        <color theme="1"/>
        <rFont val="Calibri"/>
        <family val="2"/>
        <scheme val="minor"/>
      </rPr>
      <t>residential and CII DIMs outdoor variance or temporary provision submitted, I provided information describing and supporting the methodology used to estimate the applicable variance and/or temporary provision parameters described in section 968 (f) and 968(h)</t>
    </r>
  </si>
  <si>
    <t>I certify that I provided a description of efforts to prioritize water for existing trees, including, but not limited to service-area wide rebate, direct install, and educational programs focused on transitioning to irrigation systems that promote deep and healthy root growth. Such irrigation systems include but are not limited to soaker hoses, deep drip watering stakes, drip tubing, and emitters.</t>
  </si>
  <si>
    <t>Residential Outdoor 5% Threshold for Variances</t>
  </si>
  <si>
    <t>This is the equivalent of 5% of the residential outdoor budget</t>
  </si>
  <si>
    <t>Residential Outdoor 1% Threshold for Variances</t>
  </si>
  <si>
    <t>This is the equivalent of 1% of the residential outdoor budget</t>
  </si>
  <si>
    <t>Requesting Livestock Water Use Variance?</t>
  </si>
  <si>
    <t>Change to "Yes" if requesting variance. If "Yes" is selected in B4, fill out the information for the livestock water use variance.</t>
  </si>
  <si>
    <t>All data fields completed for livestock variance?</t>
  </si>
  <si>
    <t>Requesting Dust Control Variance?</t>
  </si>
  <si>
    <t>Change to "Yes" if requesting variance. If "Yes" is selected in B6, fill out the information for the dust control variance.</t>
  </si>
  <si>
    <t>All data fields completed for dust control variance?</t>
  </si>
  <si>
    <t>Requesting Residential Agriculture Variance?</t>
  </si>
  <si>
    <t>Change to "Yes" if requesting variance. If "Yes" is selected in B8, fill out the information for the residential agriculture variance. Select no if using residential agriculture area as an SLA.</t>
  </si>
  <si>
    <t>All data fields completed for the residential agriculture variance?</t>
  </si>
  <si>
    <t>Requesting Ponds and Lakes Variance?</t>
  </si>
  <si>
    <t>Change to "Yes" if requesting variance. If "Yes" is selected in B10, fill out the information for the ponds and lakes variance.</t>
  </si>
  <si>
    <t>All data fields completed for the ponds and lakes variance?</t>
  </si>
  <si>
    <t>Requesting New Climate-Ready Trees Provision?</t>
  </si>
  <si>
    <t>Change to "Yes" if requesting variance. If "Yes" is selected in B12, fill out the information for the new climate-ready trees provision.</t>
  </si>
  <si>
    <t>All data fields completed for the climate-ready trees provision?</t>
  </si>
  <si>
    <t>Requesting Qualifying Landscapes Provision?</t>
  </si>
  <si>
    <t>Change to "Yes" if requesting variance. If "Yes" is selected in B14, fill out the information for the qualifying landscapes provision.</t>
  </si>
  <si>
    <t>All data fields completed for the qualifying landscapes provision?</t>
  </si>
  <si>
    <t>Total Volume of Variances and Temporary Provisions associated with Residential Outdoor (individual variances and temporary provisions calculated below)</t>
  </si>
  <si>
    <t>Sum of variances that individually meet the applicable threshold (depending on the selected method), plus temporary provisions</t>
  </si>
  <si>
    <t>Residential Outdoor Water Use Components</t>
  </si>
  <si>
    <r>
      <t>Net ET</t>
    </r>
    <r>
      <rPr>
        <b/>
        <sz val="11"/>
        <color theme="0"/>
        <rFont val="Calibri"/>
        <family val="2"/>
        <scheme val="minor"/>
      </rPr>
      <t>0</t>
    </r>
    <r>
      <rPr>
        <b/>
        <sz val="14"/>
        <color theme="0"/>
        <rFont val="Calibri"/>
        <family val="2"/>
        <scheme val="minor"/>
      </rPr>
      <t xml:space="preserve"> Calculation</t>
    </r>
  </si>
  <si>
    <r>
      <t>Reference Evapotranspiration (ET</t>
    </r>
    <r>
      <rPr>
        <sz val="8"/>
        <color theme="1"/>
        <rFont val="Calibri"/>
        <family val="2"/>
        <scheme val="minor"/>
      </rPr>
      <t>0</t>
    </r>
    <r>
      <rPr>
        <sz val="11"/>
        <color theme="1"/>
        <rFont val="Calibri"/>
        <family val="2"/>
        <scheme val="minor"/>
      </rPr>
      <t>)</t>
    </r>
  </si>
  <si>
    <t>Inches/Year</t>
  </si>
  <si>
    <t>Obtained from Annual Weather Data Table</t>
  </si>
  <si>
    <t>965(vv)</t>
  </si>
  <si>
    <t>Effective Precipitation</t>
  </si>
  <si>
    <t>965(s)</t>
  </si>
  <si>
    <r>
      <t>Net ET</t>
    </r>
    <r>
      <rPr>
        <sz val="8"/>
        <color theme="1"/>
        <rFont val="Calibri"/>
        <family val="2"/>
        <scheme val="minor"/>
      </rPr>
      <t>0</t>
    </r>
  </si>
  <si>
    <r>
      <t>Net ET</t>
    </r>
    <r>
      <rPr>
        <vertAlign val="subscript"/>
        <sz val="11"/>
        <color theme="1"/>
        <rFont val="Calibri"/>
        <family val="2"/>
        <scheme val="minor"/>
      </rPr>
      <t>0</t>
    </r>
    <r>
      <rPr>
        <sz val="11"/>
        <color theme="1"/>
        <rFont val="Calibri"/>
        <family val="2"/>
        <scheme val="minor"/>
      </rPr>
      <t xml:space="preserve"> = ET</t>
    </r>
    <r>
      <rPr>
        <vertAlign val="subscript"/>
        <sz val="11"/>
        <color theme="1"/>
        <rFont val="Calibri"/>
        <family val="2"/>
        <scheme val="minor"/>
      </rPr>
      <t>0</t>
    </r>
    <r>
      <rPr>
        <sz val="11"/>
        <color theme="1"/>
        <rFont val="Calibri"/>
        <family val="2"/>
        <scheme val="minor"/>
      </rPr>
      <t xml:space="preserve"> - Effective Precipitation</t>
    </r>
  </si>
  <si>
    <t>965(kk)</t>
  </si>
  <si>
    <t>Components of the Livestock Water Use Variance</t>
  </si>
  <si>
    <t>Supporting documentation for livestock water use variance (reminder)</t>
  </si>
  <si>
    <t xml:space="preserve">Attach items listed in the "Outdoor required certification" tab for this variance as a separate PDF document in email submission. </t>
  </si>
  <si>
    <t>968(j)</t>
  </si>
  <si>
    <t>Number of sheep</t>
  </si>
  <si>
    <t>Number of animals</t>
  </si>
  <si>
    <t>Please enter 0 for no data</t>
  </si>
  <si>
    <t>697(c)</t>
  </si>
  <si>
    <t>Daily water use for sheep</t>
  </si>
  <si>
    <t>Gallons per day per animal</t>
  </si>
  <si>
    <t>Number of hogs and goats</t>
  </si>
  <si>
    <t>697(b)</t>
  </si>
  <si>
    <t>Daily water use for hogs and goats</t>
  </si>
  <si>
    <t>Number of llama, donkeys, swine, or other livestock between 200 and 500 lbs</t>
  </si>
  <si>
    <t>968(g)(1)(A)</t>
  </si>
  <si>
    <t>Daily water use for llamas, donkeys, swine, and other medium-sized livestock between 200 and 500 lbs</t>
  </si>
  <si>
    <t>Number of cattle, bulls, and other livestock greater than 500 lbs</t>
  </si>
  <si>
    <t>968(g)(1)(B)</t>
  </si>
  <si>
    <t>Daily water use for livestock greater than 500 lbs</t>
  </si>
  <si>
    <t>Number of horses and mules</t>
  </si>
  <si>
    <t>968(g)(1)(C)</t>
  </si>
  <si>
    <t>Daily water use for horses and mules</t>
  </si>
  <si>
    <t>Number of milking cows</t>
  </si>
  <si>
    <t>968(g)(1)(D)</t>
  </si>
  <si>
    <t>Daily water use for milking cows</t>
  </si>
  <si>
    <t>Livestock water use variance volume</t>
  </si>
  <si>
    <t>968(g)(1)</t>
  </si>
  <si>
    <t>Does livestock water use variance volume meet 5% threshold?</t>
  </si>
  <si>
    <t>Components of the Dust Control Variance</t>
  </si>
  <si>
    <t>Supporting documentation for dust control variance (reminder)</t>
  </si>
  <si>
    <t>Square footage of corrals or other animal exercise areas</t>
  </si>
  <si>
    <t>Square Feet</t>
  </si>
  <si>
    <t>Obtained from Landscape Area Measurement Table</t>
  </si>
  <si>
    <t>968(g)(2)(A)</t>
  </si>
  <si>
    <t>Number of watering days per week</t>
  </si>
  <si>
    <t>Days per week</t>
  </si>
  <si>
    <t>See Climate Zone table</t>
  </si>
  <si>
    <t>968(g)(2)(B)</t>
  </si>
  <si>
    <t>Number of watering days per year</t>
  </si>
  <si>
    <t>Days per year</t>
  </si>
  <si>
    <t>Calculated. Number of days per week * 52 weeks per year</t>
  </si>
  <si>
    <t>Unit Conversion Factor: feet of water per water day</t>
  </si>
  <si>
    <t>968(g)(2)</t>
  </si>
  <si>
    <t>Unit Conversion Factor: gallons per cubic foot</t>
  </si>
  <si>
    <t>Dust control variance volume</t>
  </si>
  <si>
    <t>Does dust control variance volume meet 5% threshold?</t>
  </si>
  <si>
    <t>Components of the Residential Agriculture Variance</t>
  </si>
  <si>
    <t>Supporting documentation for residential agriculture variance (reminder)</t>
  </si>
  <si>
    <t>Chosen method for calculating water use associated with residential agricultural landscapes</t>
  </si>
  <si>
    <t xml:space="preserve">Choose between "5% Threshold Equation" and "1% Threshold Equation" to reveal the corresponding cells and calculate variance volume. See separate tab "Residential Agriculture 1%" if selecting the 1% method. </t>
  </si>
  <si>
    <t>968(g)(3)</t>
  </si>
  <si>
    <t>Area of residential agricultural landscapes</t>
  </si>
  <si>
    <t>Unit Conversion Factor</t>
  </si>
  <si>
    <t>Gallon-Feet/Inches</t>
  </si>
  <si>
    <r>
      <t>Value of 0.62 is derived from the conversion of inches to feet (for ET</t>
    </r>
    <r>
      <rPr>
        <vertAlign val="subscript"/>
        <sz val="11"/>
        <color theme="1"/>
        <rFont val="Calibri"/>
        <family val="2"/>
        <scheme val="minor"/>
      </rPr>
      <t>0</t>
    </r>
    <r>
      <rPr>
        <sz val="11"/>
        <color theme="1"/>
        <rFont val="Calibri"/>
        <family val="2"/>
        <scheme val="minor"/>
      </rPr>
      <t>) and 1 cubic foot to 7.48 gallons (7.48/12).</t>
    </r>
  </si>
  <si>
    <t>Seasonal Reference Evapotranspiration</t>
  </si>
  <si>
    <t>Obtained from the Seasonal Weather Data Table</t>
  </si>
  <si>
    <t>Seasonal Effective Precipitation</t>
  </si>
  <si>
    <r>
      <t>Seasonal Net Et</t>
    </r>
    <r>
      <rPr>
        <sz val="8"/>
        <color theme="1"/>
        <rFont val="Calibri"/>
        <family val="2"/>
        <scheme val="minor"/>
      </rPr>
      <t>0</t>
    </r>
  </si>
  <si>
    <t>Average Regional Crop Coefficient</t>
  </si>
  <si>
    <t>Average Regional Irrigation Efficiency</t>
  </si>
  <si>
    <t>Seasonal LEF</t>
  </si>
  <si>
    <t>Unitless</t>
  </si>
  <si>
    <t>Obtained from the Seasonal Weather Data Table.</t>
  </si>
  <si>
    <t>Residential agriculture volume (5% Threshold Equation)</t>
  </si>
  <si>
    <t>Does residential agriculture variance volume meet 5% threshold?</t>
  </si>
  <si>
    <t>Residential agriculture volume (1% Threshold Equation)</t>
  </si>
  <si>
    <t>INSTRUCTIONS: Click here to go to the "Residential Agriculture 1%" tab and fill out the crop-specific information.</t>
  </si>
  <si>
    <t>968(g)(3)(A)</t>
  </si>
  <si>
    <t>Does residential agriculture variance volume meet 1% threshold?</t>
  </si>
  <si>
    <t>Components of the Ponds and Lakes Variance</t>
  </si>
  <si>
    <t>Supporting documentation for ponds and lakes variance (reminder)</t>
  </si>
  <si>
    <t>Area of residential ponds and lakes required to be maintained by regulation or local ordinance</t>
  </si>
  <si>
    <t>968(g)(6)</t>
  </si>
  <si>
    <t>Annual Precipitation</t>
  </si>
  <si>
    <t>Ponds and Lakes Variance volume</t>
  </si>
  <si>
    <t>Components of the New Climate-Ready Trees Provision</t>
  </si>
  <si>
    <t>Supporting documentation for new climate-ready trees provision (reminder)</t>
  </si>
  <si>
    <t xml:space="preserve">Attach items listed in the "Outdoor required certification" tab for this provision as a separate PDF document in email submission. </t>
  </si>
  <si>
    <t>LEF for new climate-ready residential trees</t>
  </si>
  <si>
    <t>968(j)(1)</t>
  </si>
  <si>
    <t>Number of new climate-ready residential trees</t>
  </si>
  <si>
    <t>Number of newly planted trees</t>
  </si>
  <si>
    <t>Number of watering days per week for new climate-ready residential trees</t>
  </si>
  <si>
    <t>Number of watering days per year for new climate-ready residential trees</t>
  </si>
  <si>
    <t>Water Use Provision for New, Climate-Ready Trees</t>
  </si>
  <si>
    <t>Components of the Qualifying Landscapes Provision</t>
  </si>
  <si>
    <t>Supporting documentation for qualifying landscapes provision (reminder)</t>
  </si>
  <si>
    <t>LEF for Qualifying Residential Landscapes</t>
  </si>
  <si>
    <t>968(j)(2)</t>
  </si>
  <si>
    <t xml:space="preserve">Square Footage of Qualifying Residential Landscapes
</t>
  </si>
  <si>
    <t>Low-impact development, ecological restoration, and mined-land reclamation projects. Applies for three reporting periods</t>
  </si>
  <si>
    <t>Water Use Provision for Qualifying Landscapes</t>
  </si>
  <si>
    <t>Comments regarding the Residential Outdoor Budget calculations  (do not include methodology descriptions here):</t>
  </si>
  <si>
    <r>
      <rPr>
        <b/>
        <sz val="11"/>
        <color rgb="FF000000"/>
        <rFont val="Calibri"/>
        <family val="2"/>
        <scheme val="minor"/>
      </rPr>
      <t xml:space="preserve">Residential Agriculture Variance (1% Threshold) </t>
    </r>
    <r>
      <rPr>
        <b/>
        <sz val="11"/>
        <color rgb="FFFF0000"/>
        <rFont val="Calibri"/>
        <family val="2"/>
        <scheme val="minor"/>
      </rPr>
      <t>[DO NOT COMPLETE UNLESS USING THE 1% THRESHOLD METHODOLOGY FOR THE RES-AG VARIANCE]</t>
    </r>
  </si>
  <si>
    <t>Notes:</t>
  </si>
  <si>
    <t>FAO's Irrigation and Drainage Paper 24,</t>
  </si>
  <si>
    <t>FAO's Irrigation and Drainage Paper 56,</t>
  </si>
  <si>
    <t>UCCE's Leaflet 21427, or</t>
  </si>
  <si>
    <t>UCCE's Leaflet 21428</t>
  </si>
  <si>
    <t>Irrigation efficiencies are based on the Application Efficiency: Hydrologic Region 2010 values, or a comparable tool if the supplier demonstrates to the Department that the tool is equivalent, or superior, in quality and accuracy.</t>
  </si>
  <si>
    <t>Crop Type</t>
  </si>
  <si>
    <t>Landscape Area Square Footage Associated with Crop</t>
  </si>
  <si>
    <t>Crop Coefficient</t>
  </si>
  <si>
    <t>Irrigation Efficiency</t>
  </si>
  <si>
    <t>Crop-Specific Efficiency Factor</t>
  </si>
  <si>
    <t>Reference Evapotranspiration associated with crop growing season</t>
  </si>
  <si>
    <t>Effective Precipitation associated with crop growing season</t>
  </si>
  <si>
    <t>Net Reference Evapotranspiration associated with crop growing season</t>
  </si>
  <si>
    <t>Crop-Specific Water Volume</t>
  </si>
  <si>
    <t>Total Residential Agriculture Volume</t>
  </si>
  <si>
    <t>Residential and CII combined 5% Threshold for Variances</t>
  </si>
  <si>
    <t>5% of the Residential and CII outdoor budgets (High TDS and Emergency variance)</t>
  </si>
  <si>
    <t>968(f)(1)(C)</t>
  </si>
  <si>
    <t>Residential and CII combined 1% Threshold for Variances</t>
  </si>
  <si>
    <t>1% of the Residential and CII outdoor budgets (High TDS variance)</t>
  </si>
  <si>
    <t>968(g)(5)(B)</t>
  </si>
  <si>
    <t>Requesting State or Local Emergency Variance?</t>
  </si>
  <si>
    <t>Yes/No. Change to "Yes" if requesting variance. If "Yes" is selected in B4, fill out the information for the state or local emergency variance.</t>
  </si>
  <si>
    <t>All data fields completed for state or local emergency variance?</t>
  </si>
  <si>
    <t>Requesting High TDS Variance?</t>
  </si>
  <si>
    <t>Yes/No. Change to "Yes" if requesting variance. If "Yes" is selected in B6, fill out the information for the high TDS variance.</t>
  </si>
  <si>
    <t>All data fields completed for high TDS variance?</t>
  </si>
  <si>
    <t>Total volume of variances associated with combined CII DIMs and residential outdoor volumes</t>
  </si>
  <si>
    <t>Sum of variances that individually meet either the 5% or 1% threshold (depending on the selected method)</t>
  </si>
  <si>
    <t>State or Local Emergency Variance</t>
  </si>
  <si>
    <t>Supporting documentation for state or local emergency variance (reminder)</t>
  </si>
  <si>
    <t>968(g)(4)(A)</t>
  </si>
  <si>
    <t>Volume of water for residential outdoor water use used to respond to state or local emergencies</t>
  </si>
  <si>
    <t>975(b)(2)(J)(i)</t>
  </si>
  <si>
    <t>Volume of water for CII landscapes with DIMs used to respond to state or local emergencies</t>
  </si>
  <si>
    <t>975(b)(3)(G)(i)</t>
  </si>
  <si>
    <t>Combined volume of water for residential outdoor and CII landscapes with DIMs used to respond to state or local emergencies</t>
  </si>
  <si>
    <t>968(g)(4) and 969(f)(1)</t>
  </si>
  <si>
    <t>Meets 5% threshold?</t>
  </si>
  <si>
    <t>Components of High TDS Irrigation Variance</t>
  </si>
  <si>
    <t>Supporting documentation for high TDS variance (reminder)</t>
  </si>
  <si>
    <t>Provide electronic copy of the applicable salt and nutrient management plan or plans, if any.</t>
  </si>
  <si>
    <t>968(g)(5)(C)(iii)</t>
  </si>
  <si>
    <t>I certify that the facility that produces the recycled water has completed annual volumetric reporting requirements consistent with the Board’s Water Quality Control Policy for Recycled Water, Resolution No. 2018-0057</t>
  </si>
  <si>
    <t>If this statement is true, select "Yes" from dropdown. Include the information stated in cell A22 in supplemental methodology document for this variance. Use column B as a checklist for completion.</t>
  </si>
  <si>
    <t>968(g)(5)(C)(i)</t>
  </si>
  <si>
    <t>I certify that the application of the recycled water complies with all applicable waste discharge requirements</t>
  </si>
  <si>
    <t>If this statement is true, select "Yes" from dropdown. Include the information stated in cell A23 in supplemental methodology document for this variance. Use column B as a checklist for completion.</t>
  </si>
  <si>
    <t>968(g)(5)(C)(ii)</t>
  </si>
  <si>
    <t>I certify that the application of the recycled water does not violate the terms of the applicable salt or nutrient management plan</t>
  </si>
  <si>
    <t>If this statement is true, select "Yes" from dropdown. Include the information stated in cell A24 in supplemental methodology document for this variance. Use column B as a checklist for completion.</t>
  </si>
  <si>
    <t>I certify that the application of the recycled water adheres to the Board’s Anti-Degradation Policy, Resolution No. 68-16 (adopted by the Board on October 28, 1968), which is hereby incorporated by reference, or any update thereto</t>
  </si>
  <si>
    <t>If this statement is true, select "Yes" from dropdown. Include the information stated in cell A25 in supplemental methodology document for this variance. Use column B as a checklist for completion.</t>
  </si>
  <si>
    <t>968(g)(5)(C)(iv)</t>
  </si>
  <si>
    <t>Choose Method for Calculating High TDS Irrigation Variance</t>
  </si>
  <si>
    <t>By default, the "5% Threshold Equation" method is selected. Change to the 1% threshold method to reveal the corresponding cells.</t>
  </si>
  <si>
    <t>968(g)(5)</t>
  </si>
  <si>
    <t>Square footage of residential landscapes irrigated with recycled water containing high levels of TDS (LAhtds)</t>
  </si>
  <si>
    <t>If reported to a Regional Water Quality Control Board, the value reported pursuant to this section shall be the same value as annually reported to the Regional Water Quality Control Board.</t>
  </si>
  <si>
    <t>975(b)(2)(D)(v)</t>
  </si>
  <si>
    <t>Square footage of CII landscapes irrigated with recycled water containing high levels of TDS (LAhtds)</t>
  </si>
  <si>
    <t>Concentration of TDS</t>
  </si>
  <si>
    <t>Concentration must be at least 900 mg/L to qualify as high TDS; lower values cannot be entered.</t>
  </si>
  <si>
    <t>968(g)(5)(A)(i)</t>
  </si>
  <si>
    <t>Landscape efficiency factor for landscapes using recycled water (LEFa)</t>
  </si>
  <si>
    <t>Concentrations of TDS equal to or above 1,600 mg/L shall be 0.26</t>
  </si>
  <si>
    <t>968(g)(5)(A)(ii)</t>
  </si>
  <si>
    <t>High TDS landscape irrigation volume associated with residential landscapes</t>
  </si>
  <si>
    <t>High TDS landscape irrigation volume associated with CII DIM landscapes</t>
  </si>
  <si>
    <t>High TDS landscape irrigation volume (5% Threshold Equation)</t>
  </si>
  <si>
    <t>Does high TDS landscape irrigation volume meet 5% threshold?</t>
  </si>
  <si>
    <t>Plant factor of lowest water-using plant present in at least 30% of landscaped area</t>
  </si>
  <si>
    <t>Optional resource: WUCOLS database https://ccuh.ucdavis.edu/wucols-db</t>
  </si>
  <si>
    <t>968(g)(5)(B)(iii)</t>
  </si>
  <si>
    <t>Salinity of recycled water (ECiw)</t>
  </si>
  <si>
    <t>ECiw capped at 1,600 mg/L. 1 dS/m = 640 mg/L</t>
  </si>
  <si>
    <t>968(g)(5)(B)(iv)</t>
  </si>
  <si>
    <t>Plant salinity threshold (ECe)</t>
  </si>
  <si>
    <t>Leaching requirement</t>
  </si>
  <si>
    <t>Landscape efficiency factor for landscapes irrigated with high TDS, applied via sprinkler system</t>
  </si>
  <si>
    <t>968(g)(5)(B)(i)</t>
  </si>
  <si>
    <t>Landscape efficiency factor for landscapes irrigated with high TDS, applied via drip irrigation</t>
  </si>
  <si>
    <t>968(g)(5)(B)(ii)</t>
  </si>
  <si>
    <t>Residential landscape area irrigated with high TDS, applied via sprinkler system</t>
  </si>
  <si>
    <t>CII landscape area irrigated with high TDS, applied via sprinkler system</t>
  </si>
  <si>
    <t>Residential landscape area irrigated with high TDS, applied via drip irrigation</t>
  </si>
  <si>
    <t>CII landscape area irrigated with high TDS, applied via drip irrigation</t>
  </si>
  <si>
    <t>High TDS landscape irrigation volume associated with residential landscapes, applied via sprinkler system (1% Threshold Equation)</t>
  </si>
  <si>
    <t>High TDS landscape irrigation volume associated with CII landscapes, applied via sprinkler system (1% Threshold Equation)</t>
  </si>
  <si>
    <t>High TDS landscape irrigation volume associated with residential landscapes, applied via drip irrigation (1% Threshold Equation)</t>
  </si>
  <si>
    <t>High TDS landscape irrigation volume associated with CII landscapes, applied via drip irrigation (1% Threshold Equation)</t>
  </si>
  <si>
    <t>High TDS landscape irrigation volume (1% Threshold Equation)</t>
  </si>
  <si>
    <t>Does high TDS landscape irrigation volume meet 1% threshold?</t>
  </si>
  <si>
    <t>Comments regarding the emergency and/or high TDS variances:</t>
  </si>
  <si>
    <t>Components of the CII Outdoor Budget</t>
  </si>
  <si>
    <t>CII Outdoor Water Use Budget (without INI)</t>
  </si>
  <si>
    <t>Calculated below, starting on row 27</t>
  </si>
  <si>
    <t>Back to Objective Tab</t>
  </si>
  <si>
    <t>Calculated below, starting on row 35</t>
  </si>
  <si>
    <t>Calculated below, starting on row 40</t>
  </si>
  <si>
    <t>Residential Outdoor Water Use Budget (not including INI, provisions, or variances; individual components calculated below)</t>
  </si>
  <si>
    <t>Sum of individual residential outdoor water use budget components, as calculated in linked tables</t>
  </si>
  <si>
    <t>5% Threshold for Variances</t>
  </si>
  <si>
    <t>1% Threshold for Variances</t>
  </si>
  <si>
    <t>Utilizing Livestock Water Use Variance?</t>
  </si>
  <si>
    <t>Yes/No</t>
  </si>
  <si>
    <t>If B10 is "Yes", the table to fill out the information for the Livestock Water Use Variance will be revealed</t>
  </si>
  <si>
    <t>Utilizing Dust Control Variance?</t>
  </si>
  <si>
    <t>If B11 is "Yes", the table to fill out the information for the Dust Control Variance will be revealed</t>
  </si>
  <si>
    <t>Utilizing Residential Agriculture Variance?</t>
  </si>
  <si>
    <t xml:space="preserve">Yes </t>
  </si>
  <si>
    <t xml:space="preserve">If B12 is "No (Any classified Res-Ag will be SLA)" then any water associated with the residential agriculture budget will be added to the Residential Special Landscapes Budget. If B12 is "Yes", go to the table for the Residential Agriculture variance to choose the appropriate method. </t>
  </si>
  <si>
    <t>Utilizing State or Local Emergency Variance?</t>
  </si>
  <si>
    <t>If B13 is "Yes", the table to fill out the information for the State or Local Emergency Variance will be revealed.</t>
  </si>
  <si>
    <t>Utilizing High TDS Variance?</t>
  </si>
  <si>
    <t>If B14 is "Yes", the table to fill out the information for the High TDS Variance will be revealed.</t>
  </si>
  <si>
    <t>Utilizing Ponds and Lakes Variance?</t>
  </si>
  <si>
    <t>If B15 is "Yes", the table to fill out the information for the Ponds and Lakes Variance will be revealed.</t>
  </si>
  <si>
    <t>Utilizing Existing Residential Trees Variance?</t>
  </si>
  <si>
    <t>If B16 is "Yes", the table to fill out the information for the Existing Residential Trees Variance will be revealed.</t>
  </si>
  <si>
    <t>Utilizing New Climate-Ready Trees Provision?</t>
  </si>
  <si>
    <t>If B17 is "Yes", the table to fill out the information for the New Climate-Ready Trees Provision will be revealed.</t>
  </si>
  <si>
    <t>Utilizing Qualifying Landscapes Provision?</t>
  </si>
  <si>
    <t>If B18 is "Yes", the table to fill out the information for the Qualifying Landscapes Provision will be revealed.</t>
  </si>
  <si>
    <t>Total Volume of Variances and Provisions associated with Residential Outdoor Volume (individual variances and provisions calculated below)</t>
  </si>
  <si>
    <t>Components of the Residential Outdoor Budget (excluding Special Landscapes and New Construction)</t>
  </si>
  <si>
    <t>LEF for Residential Landscapes</t>
  </si>
  <si>
    <t>968(a)(1)-(3)</t>
  </si>
  <si>
    <t>Irrigable Irrigated Residential Landscape Area, as measured by the Department</t>
  </si>
  <si>
    <t>968(b)(2)(A)(i)</t>
  </si>
  <si>
    <t>*Landscape area categorized as residential in the DWR LAM data but identified by supplier as CII</t>
  </si>
  <si>
    <t>*If not applicable: enter 0</t>
  </si>
  <si>
    <t>968(b)(5)</t>
  </si>
  <si>
    <t>Irrigable Irrigated Residential Landscape Area, excluding SLAs, pools, and area identified by supplier as CII</t>
  </si>
  <si>
    <t>Calculated. Irrigable Irrigated Area - Irrigable Irrigated SLA (not recycled) - Irrigable Irrigated SLA (recycled) - identified CII - Existing Pool Area (see the SLA section starting at row 31)</t>
  </si>
  <si>
    <r>
      <t>Calculated. Irrigable Irrigated Area excluding SLA * Net ET</t>
    </r>
    <r>
      <rPr>
        <b/>
        <vertAlign val="subscript"/>
        <sz val="11"/>
        <color theme="0"/>
        <rFont val="Calibri"/>
        <family val="2"/>
        <scheme val="minor"/>
      </rPr>
      <t>0</t>
    </r>
    <r>
      <rPr>
        <b/>
        <sz val="11"/>
        <color theme="0"/>
        <rFont val="Calibri"/>
        <family val="2"/>
        <scheme val="minor"/>
      </rPr>
      <t xml:space="preserve"> * LEF * Unit Conversion Factor.</t>
    </r>
  </si>
  <si>
    <t>Components of the Residential Outdoor Budget (New Construction, excluding RSLAs)</t>
  </si>
  <si>
    <t>LEF for Newly Constructed Residential Landscape Area (excluding newly constructed RSLAs)</t>
  </si>
  <si>
    <t>968(a)(5)</t>
  </si>
  <si>
    <t>*Newly Constructed Residential Landscape Area (excluding newly constructed RSLAs)</t>
  </si>
  <si>
    <t>965(mm)</t>
  </si>
  <si>
    <t>Newly Constructed Residential Landscapes Budget (no RSLAs)</t>
  </si>
  <si>
    <r>
      <t>Calculated. Newly Constructed Area * Net ET</t>
    </r>
    <r>
      <rPr>
        <b/>
        <vertAlign val="subscript"/>
        <sz val="11"/>
        <color theme="0"/>
        <rFont val="Calibri"/>
        <family val="2"/>
        <scheme val="minor"/>
      </rPr>
      <t>0</t>
    </r>
    <r>
      <rPr>
        <b/>
        <sz val="11"/>
        <color theme="0"/>
        <rFont val="Calibri"/>
        <family val="2"/>
        <scheme val="minor"/>
      </rPr>
      <t xml:space="preserve"> * LEF * Unit Conversion Factor</t>
    </r>
  </si>
  <si>
    <t>Components of the Residential Outdoor Budget (RSLAs)</t>
  </si>
  <si>
    <t>LEF for Residential Special Landscape Areas and Pools</t>
  </si>
  <si>
    <t>968(a)(4)</t>
  </si>
  <si>
    <t xml:space="preserve">Square footage of existing pools, spas, and similar water features
</t>
  </si>
  <si>
    <t>968(c)(3)(A)</t>
  </si>
  <si>
    <t>*Residential Landscape Area identified by the supplier as Special Landscape Areas (excluding recycled water)</t>
  </si>
  <si>
    <t>965(aaa)</t>
  </si>
  <si>
    <t>*Residential Landscape Area identified by the supplier as being irrigated with recycled water</t>
  </si>
  <si>
    <t>*Newly Constructed Residential Special Landscape Area (excluding recycled water)</t>
  </si>
  <si>
    <r>
      <rPr>
        <b/>
        <sz val="11"/>
        <color theme="1"/>
        <rFont val="Calibri"/>
        <family val="2"/>
        <scheme val="minor"/>
      </rPr>
      <t xml:space="preserve"> *</t>
    </r>
    <r>
      <rPr>
        <sz val="11"/>
        <color theme="1"/>
        <rFont val="Calibri"/>
        <family val="2"/>
        <scheme val="minor"/>
      </rPr>
      <t>Newly Constructed Residential Landscape Area irrigated with recycled water</t>
    </r>
  </si>
  <si>
    <t>Residential Agriculture SLA volume (if not applying for variance)</t>
  </si>
  <si>
    <t>If "Special Landscape Area" is selected in cell B79, the calculated volume is included here. Otherwise, the calculated volume will be included in the variances sum in cell B19.</t>
  </si>
  <si>
    <r>
      <t>Calculated. SLA Area * Net ET</t>
    </r>
    <r>
      <rPr>
        <b/>
        <vertAlign val="subscript"/>
        <sz val="11"/>
        <color theme="0"/>
        <rFont val="Calibri"/>
        <family val="2"/>
        <scheme val="minor"/>
      </rPr>
      <t>0</t>
    </r>
    <r>
      <rPr>
        <b/>
        <sz val="11"/>
        <color theme="0"/>
        <rFont val="Calibri"/>
        <family val="2"/>
        <scheme val="minor"/>
      </rPr>
      <t xml:space="preserve"> * LEF * Unit Conversion Factor + Residential Agriculture SLA volume (when applicable)</t>
    </r>
  </si>
  <si>
    <r>
      <rPr>
        <b/>
        <sz val="11"/>
        <rFont val="Calibri"/>
        <family val="2"/>
        <scheme val="minor"/>
      </rPr>
      <t xml:space="preserve">(Required if reporting SLAs irrigated with recycled water) </t>
    </r>
    <r>
      <rPr>
        <sz val="11"/>
        <rFont val="Calibri"/>
        <family val="2"/>
        <scheme val="minor"/>
      </rPr>
      <t>Information to trace recycled water network</t>
    </r>
  </si>
  <si>
    <t>If the values in  B44 and/or B46 are greater than 0, click here to navigate to the Recycled Water Systems tab and fill out the requisite information</t>
  </si>
  <si>
    <t>975(b)(2)(D)</t>
  </si>
  <si>
    <t xml:space="preserve">Components of the INI Budget </t>
  </si>
  <si>
    <t>Irrigable Not Irrigated Residential Landscape Area</t>
  </si>
  <si>
    <t>968(b)(2)(B)(i)</t>
  </si>
  <si>
    <t>Residential Outdoor Water Use associated with INI</t>
  </si>
  <si>
    <r>
      <t>Calculated. (0.2 * Irrigable Not Irrigated Area) * Net ET</t>
    </r>
    <r>
      <rPr>
        <b/>
        <vertAlign val="subscript"/>
        <sz val="11"/>
        <color theme="0"/>
        <rFont val="Calibri"/>
        <family val="2"/>
        <scheme val="minor"/>
      </rPr>
      <t>0</t>
    </r>
    <r>
      <rPr>
        <b/>
        <sz val="11"/>
        <color theme="0"/>
        <rFont val="Calibri"/>
        <family val="2"/>
        <scheme val="minor"/>
      </rPr>
      <t xml:space="preserve"> * Unit Conversion Factor. Only included if supplier's actual water use exceeds objective.</t>
    </r>
  </si>
  <si>
    <t>Variances and Provisions Calculations</t>
  </si>
  <si>
    <t xml:space="preserve">For the 2023/2024 report, the State Water Board will not be taking or reviewing variance applications. Suppliers may input the necessary information to calculate variances if available. Guidance and variance applications will be available in the future. </t>
  </si>
  <si>
    <t>Number of sheep, llama, donkeys, swine, and other medium-sized livestock between 200 and 500 lbs</t>
  </si>
  <si>
    <t>Daily water use for sheep, llamas, donkeys, swine, and other medium-sized livestock between 200 and 500 lbs</t>
  </si>
  <si>
    <t>Components of the Residential Agriculture Variance/RSLA</t>
  </si>
  <si>
    <t>Chosen Method for Calculating Water Use associated with Residential Agricultural Landscapes</t>
  </si>
  <si>
    <t>5% Threshold Equation</t>
  </si>
  <si>
    <t>By default, the "Special Landscape Area" method is selected, and this number is added to the SLA budget above. Change to the 5% or 1% threshold method (must change B12 to "Yes") to reveal the corresponding cells and calculate as a variance.</t>
  </si>
  <si>
    <t>968(d)(1)</t>
  </si>
  <si>
    <t>Special Landscape LEF</t>
  </si>
  <si>
    <t>Residential agriculture volume (SLA)</t>
  </si>
  <si>
    <r>
      <t>Calculated. Standard for RSLA * sq × Net ET</t>
    </r>
    <r>
      <rPr>
        <b/>
        <vertAlign val="subscript"/>
        <sz val="11"/>
        <color theme="0"/>
        <rFont val="Calibri"/>
        <family val="2"/>
        <scheme val="minor"/>
      </rPr>
      <t>0</t>
    </r>
    <r>
      <rPr>
        <b/>
        <sz val="11"/>
        <color theme="0"/>
        <rFont val="Calibri"/>
        <family val="2"/>
        <scheme val="minor"/>
      </rPr>
      <t> Ag × 0.62</t>
    </r>
  </si>
  <si>
    <t>Department-Provided regional crop coefficient</t>
  </si>
  <si>
    <t>Department-Provided regional irrigation efficiency</t>
  </si>
  <si>
    <t>Department-Provided Seasonal LEF</t>
  </si>
  <si>
    <t>Go to the "Residential Agriculture 1%" tab to fill out the crop-specific information.</t>
  </si>
  <si>
    <t>Water used to respond to state or local emergency</t>
  </si>
  <si>
    <t>968(g)(4)</t>
  </si>
  <si>
    <t>Square footage of landscapes irrigated with recycled water containing high levels of TDS</t>
  </si>
  <si>
    <t>968(g)(5)(A)</t>
  </si>
  <si>
    <t>Landscape efficiency factor for landscapes using recycled water</t>
  </si>
  <si>
    <t>Landscape area irrigated with high TDS, applied via sprinkler system</t>
  </si>
  <si>
    <t>Landscape area irrigated with high TDS, applied via drip irrigation</t>
  </si>
  <si>
    <t>High TDS landscape irrigation volume, applied via sprinkler system (1% Threshold Equation)</t>
  </si>
  <si>
    <t>High TDS landscape irrigation volume, applied via drip irrigation (1% Threshold Equation)</t>
  </si>
  <si>
    <t>Components of the  Ponds and Lakes Variance</t>
  </si>
  <si>
    <t>Area of ponds and lakes required to be maintained by regulation or local ordinance</t>
  </si>
  <si>
    <t>Does ponds and lakes variance volume meet 5% threshold?</t>
  </si>
  <si>
    <t>Components of the Existing Residential Trees Variance</t>
  </si>
  <si>
    <t>Square footage of existing residential trees</t>
  </si>
  <si>
    <t>968(g)(7)(B)</t>
  </si>
  <si>
    <t>Existing Residential Trees Variance Volume</t>
  </si>
  <si>
    <t>968(g)(7)</t>
  </si>
  <si>
    <t>Does existing residential trees variance volume meet 5% threshold?</t>
  </si>
  <si>
    <t>LEF for new climate-ready trees</t>
  </si>
  <si>
    <t>Number of new, climate-ready trees</t>
  </si>
  <si>
    <t>Number of watering days per week for new, climate-ready trees</t>
  </si>
  <si>
    <t>Number of watering days per year for new, climate-ready trees</t>
  </si>
  <si>
    <t>LEF for qualifying landscapes</t>
  </si>
  <si>
    <t xml:space="preserve">Square Footage of Qualifying Landscapes
</t>
  </si>
  <si>
    <t>low-impact development, ecological restoration, and mined-land reclamation projects. Applies for three reporting periods</t>
  </si>
  <si>
    <t>Comments regarding the Residential Outdoor Budget calculations:</t>
  </si>
  <si>
    <r>
      <t>Preliminary Residential Outdoor Water Use Components</t>
    </r>
    <r>
      <rPr>
        <b/>
        <sz val="14"/>
        <color rgb="FFFF0000"/>
        <rFont val="Calibri"/>
        <family val="2"/>
        <scheme val="minor"/>
      </rPr>
      <t xml:space="preserve"> (Optional to adjust)</t>
    </r>
  </si>
  <si>
    <r>
      <t>Net ET</t>
    </r>
    <r>
      <rPr>
        <b/>
        <sz val="11"/>
        <color theme="3" tint="-0.249977111117893"/>
        <rFont val="Calibri"/>
        <family val="2"/>
        <scheme val="minor"/>
      </rPr>
      <t>0</t>
    </r>
    <r>
      <rPr>
        <b/>
        <sz val="14"/>
        <color theme="3" tint="-0.249977111117893"/>
        <rFont val="Calibri"/>
        <family val="2"/>
        <scheme val="minor"/>
      </rPr>
      <t xml:space="preserve"> Calculation</t>
    </r>
  </si>
  <si>
    <t>Obtained from Landscape Area Measurement Table. Alternative data values will need to be approved by the Department prior to their use in this form.</t>
  </si>
  <si>
    <r>
      <t>Landscape area categorized as residential in the DWR LAM data but identified by supplier as CII (</t>
    </r>
    <r>
      <rPr>
        <b/>
        <sz val="11"/>
        <color rgb="FFFF0000"/>
        <rFont val="Calibri"/>
        <family val="2"/>
        <scheme val="minor"/>
      </rPr>
      <t>Optional</t>
    </r>
    <r>
      <rPr>
        <sz val="11"/>
        <color theme="1"/>
        <rFont val="Calibri"/>
        <family val="2"/>
        <scheme val="minor"/>
      </rPr>
      <t>)</t>
    </r>
  </si>
  <si>
    <t>Calculated. Irrigable Irrigated Area - Irrigable Irrigated SLA (not recycled) - Irrigable Irrigated SLA (recycled) - identified CII - Existing Pool Area</t>
  </si>
  <si>
    <t>Newly Constructed Residential Landscape Area (excluding newly constructed RSLAs), per LAM table</t>
  </si>
  <si>
    <r>
      <t>Unofficial Newly Constructed Residential Landscape Area (excluding newly constructed RSLAs) (</t>
    </r>
    <r>
      <rPr>
        <b/>
        <sz val="11"/>
        <color rgb="FFFF0000"/>
        <rFont val="Calibri"/>
        <family val="2"/>
        <scheme val="minor"/>
      </rPr>
      <t>Optional</t>
    </r>
    <r>
      <rPr>
        <sz val="11"/>
        <color theme="1"/>
        <rFont val="Calibri"/>
        <family val="2"/>
        <scheme val="minor"/>
      </rPr>
      <t>)</t>
    </r>
  </si>
  <si>
    <t>If new construction square footage has not yet been approved and cell B17 is 0, enter an estimated value in B18. In the final reporting form, this value must be approved before it will show up in the reporting form as non-zero. NOTE: if a number is entered in B18, it will override the value in cell B17.</t>
  </si>
  <si>
    <t>Residential Landscape Area identified by the supplier as Special Landscape Areas (excluding recycled water)</t>
  </si>
  <si>
    <t>Residential Landscape Area identified by the supplier as being irrigated with recycled water</t>
  </si>
  <si>
    <t>Newly Constructed Residential Special Landscape Area (excluding recycled water)</t>
  </si>
  <si>
    <t>Newly Constructed Residential Landscape Area irrigated with recycled water</t>
  </si>
  <si>
    <r>
      <t>Unofficial Residential Landscape Area identified by the supplier as Special Landscape Areas (excluding recycled water) (</t>
    </r>
    <r>
      <rPr>
        <b/>
        <sz val="11"/>
        <color rgb="FFFF0000"/>
        <rFont val="Calibri"/>
        <family val="2"/>
        <scheme val="minor"/>
      </rPr>
      <t>Optional</t>
    </r>
    <r>
      <rPr>
        <sz val="11"/>
        <color theme="1"/>
        <rFont val="Calibri"/>
        <family val="2"/>
        <scheme val="minor"/>
      </rPr>
      <t>)</t>
    </r>
  </si>
  <si>
    <t>If SLA square footage has not yet been approved and cell B24 is 0, enter the value in B28. In the final reporting form, this value must be approved before it will show up in the reporting form as non-zero. NOTE: if a number is entered in B28, it will override the value in B24.</t>
  </si>
  <si>
    <r>
      <t>Unofficial Residential Landscape Area identified by the supplier as being irrigated with recycled water (</t>
    </r>
    <r>
      <rPr>
        <b/>
        <sz val="11"/>
        <color rgb="FFFF0000"/>
        <rFont val="Calibri"/>
        <family val="2"/>
        <scheme val="minor"/>
      </rPr>
      <t>Optional</t>
    </r>
    <r>
      <rPr>
        <sz val="11"/>
        <color theme="1"/>
        <rFont val="Calibri"/>
        <family val="2"/>
        <scheme val="minor"/>
      </rPr>
      <t>)</t>
    </r>
  </si>
  <si>
    <t>If SLA square footage has not yet been approved and cell B25 is 0, enter the value in B29. In the final reporting form, this value must be approved before it will show up in the reporting form as non-zero. NOTE: if a number is entered in B29, it will override the value in B25.</t>
  </si>
  <si>
    <r>
      <t>Unofficial Newly Constructed Residential Special Landscape Area (excluding recycled water) (</t>
    </r>
    <r>
      <rPr>
        <b/>
        <sz val="11"/>
        <color rgb="FFFF0000"/>
        <rFont val="Calibri"/>
        <family val="2"/>
        <scheme val="minor"/>
      </rPr>
      <t>Optional</t>
    </r>
    <r>
      <rPr>
        <sz val="11"/>
        <color theme="1"/>
        <rFont val="Calibri"/>
        <family val="2"/>
        <scheme val="minor"/>
      </rPr>
      <t>)</t>
    </r>
  </si>
  <si>
    <t>If SLA square footage has not yet been approved and cell B26 is 0, enter the value in B30. In the final reporting form, this value must be approved before it will show up in the reporting form as non-zero. NOTE: if a number is entered in B30, it will override the value in B26.</t>
  </si>
  <si>
    <r>
      <t>Unofficial Newly Constructed Residential Landscape Area irrigated with recycled water (</t>
    </r>
    <r>
      <rPr>
        <b/>
        <sz val="11"/>
        <color rgb="FFFF0000"/>
        <rFont val="Calibri"/>
        <family val="2"/>
        <scheme val="minor"/>
      </rPr>
      <t>Optional</t>
    </r>
    <r>
      <rPr>
        <sz val="11"/>
        <color theme="1"/>
        <rFont val="Calibri"/>
        <family val="2"/>
        <scheme val="minor"/>
      </rPr>
      <t>)</t>
    </r>
  </si>
  <si>
    <t>If SLA square footage has not yet been approved and cell B27 is 0, enter the value in B31. In the final reporting form, this value must be approved before it will show up in the reporting form as non-zero. NOTE: if a number is entered in B31, it will override the value in B27.</t>
  </si>
  <si>
    <t>Residential Agriculture SLA volume (if NOT applying for variance)</t>
  </si>
  <si>
    <t>If not utilizing the residential agriculture variance, this is equivalent to res-ag sqft*0.62*seasonal net ET0*1.0</t>
  </si>
  <si>
    <t>Comments regarding the Residential Outdoor budget calculations:</t>
  </si>
  <si>
    <t>A supplier may use alternative data, if the supplier demonstrates to the Department, in coordination with the Board, that the data are equivalent, or superior, in quality and accuracy to the data provided by the Department.</t>
  </si>
  <si>
    <t>I am submitting alternative data for:</t>
  </si>
  <si>
    <t>Select from drop down</t>
  </si>
  <si>
    <t>Status of alternative data/method request as of submission of this form:</t>
  </si>
  <si>
    <t xml:space="preserve">Methodology for calculating the average air exchange rate of the evaporative cooler units (CFM) </t>
  </si>
  <si>
    <t>Methodology for calculating the average daily difference in hourly wet and dry bulb temperatures (ΔTBulb)</t>
  </si>
  <si>
    <t>Methodology for calculating the number of dwelling units associated with seasonal occupancy (NDU)</t>
  </si>
  <si>
    <t>Methodology for calculating the average number of days households are seasonally occupied (SDAYS)</t>
  </si>
  <si>
    <t>The square footage of corrals or other animal exercise arenas (Acorral)</t>
  </si>
  <si>
    <t>Tool used to calculate irrigation efficiency for residential agricultural landscapes</t>
  </si>
  <si>
    <t>ORG_ID</t>
  </si>
  <si>
    <t>SUPPLIER_NAME</t>
  </si>
  <si>
    <t>PWS_NAME</t>
  </si>
  <si>
    <t>COUNTY</t>
  </si>
  <si>
    <t>WS_INCLUDED_YN</t>
  </si>
  <si>
    <t>Has LAM?</t>
  </si>
  <si>
    <t>Include?</t>
  </si>
  <si>
    <t>PWSID + PWS_NAME</t>
  </si>
  <si>
    <t>N_Months_with_nonzero</t>
  </si>
  <si>
    <t>ORG_ID:</t>
  </si>
  <si>
    <t>13</t>
  </si>
  <si>
    <t>Adelanto  City Of</t>
  </si>
  <si>
    <t>CA3610001</t>
  </si>
  <si>
    <t>ADELANTO, CITY OF</t>
  </si>
  <si>
    <t>SAN BERNARDINO</t>
  </si>
  <si>
    <t>Has LAM data?</t>
  </si>
  <si>
    <t>23</t>
  </si>
  <si>
    <t>CA0110001</t>
  </si>
  <si>
    <t>ALAMEDA COUNTY WATER DISTRICT</t>
  </si>
  <si>
    <t>ALAMEDA</t>
  </si>
  <si>
    <t>25</t>
  </si>
  <si>
    <t>Alco Water Service</t>
  </si>
  <si>
    <t>CA2710001</t>
  </si>
  <si>
    <t>ALCO WATER SERVICE</t>
  </si>
  <si>
    <t>MONTEREY</t>
  </si>
  <si>
    <t>30</t>
  </si>
  <si>
    <t>Alhambra  City Of</t>
  </si>
  <si>
    <t>CA1910001</t>
  </si>
  <si>
    <t>CITY OF ALHAMBRA</t>
  </si>
  <si>
    <t>LOS ANGELES</t>
  </si>
  <si>
    <t>55</t>
  </si>
  <si>
    <t>Amador Water Agency</t>
  </si>
  <si>
    <t>CA0310002</t>
  </si>
  <si>
    <t>AWA, IONE</t>
  </si>
  <si>
    <t>AMADOR</t>
  </si>
  <si>
    <t>CA0310003</t>
  </si>
  <si>
    <t>AWA, TANNER</t>
  </si>
  <si>
    <t>CA0310012</t>
  </si>
  <si>
    <t>AWA BUCKHORN PLANT</t>
  </si>
  <si>
    <t>CA0310019</t>
  </si>
  <si>
    <t>AWA LA MEL HEIGHTS #3</t>
  </si>
  <si>
    <t>CA0310021</t>
  </si>
  <si>
    <t>AWA - CAMANCHE VILLAGE</t>
  </si>
  <si>
    <t>57</t>
  </si>
  <si>
    <t>American Canyon  City Of</t>
  </si>
  <si>
    <t>CA2810005</t>
  </si>
  <si>
    <t>AMERICAN CANYON, CITY OF</t>
  </si>
  <si>
    <t>NAPA</t>
  </si>
  <si>
    <t>64</t>
  </si>
  <si>
    <t>Anaheim  City Of</t>
  </si>
  <si>
    <t>CA3010001</t>
  </si>
  <si>
    <t>CITY OF ANAHEIM</t>
  </si>
  <si>
    <t>ORANGE</t>
  </si>
  <si>
    <t>66</t>
  </si>
  <si>
    <t>Anderson  City Of</t>
  </si>
  <si>
    <t>CA4510001</t>
  </si>
  <si>
    <t>CITY OF ANDERSON</t>
  </si>
  <si>
    <t>SHASTA</t>
  </si>
  <si>
    <t>82</t>
  </si>
  <si>
    <t>Antioch  City Of</t>
  </si>
  <si>
    <t>CA0710001</t>
  </si>
  <si>
    <t>CITY OF ANTIOCH</t>
  </si>
  <si>
    <t>CONTRA COSTA</t>
  </si>
  <si>
    <t>87</t>
  </si>
  <si>
    <t>Apple Valley Ranchos Water Company</t>
  </si>
  <si>
    <t>CA3610003</t>
  </si>
  <si>
    <t>LIBERTY UTILITIES (AV RANCHOS) CORP.</t>
  </si>
  <si>
    <t>93</t>
  </si>
  <si>
    <t>Arcadia  City Of</t>
  </si>
  <si>
    <t>CA1910003</t>
  </si>
  <si>
    <t>CITY OF ARCADIA</t>
  </si>
  <si>
    <t>94</t>
  </si>
  <si>
    <t>Arcata  City Of</t>
  </si>
  <si>
    <t>CA1210001</t>
  </si>
  <si>
    <t>ARCATA, CITY OF</t>
  </si>
  <si>
    <t>HUMBOLDT</t>
  </si>
  <si>
    <t>CA1210021</t>
  </si>
  <si>
    <t>JACOBY CREEK CSD</t>
  </si>
  <si>
    <t>99</t>
  </si>
  <si>
    <t>Arroyo Grande  City Of</t>
  </si>
  <si>
    <t>CA4010001</t>
  </si>
  <si>
    <t>ARROYO GRANDE, WATER DEPARTMENT</t>
  </si>
  <si>
    <t>SAN LUIS OBISPO</t>
  </si>
  <si>
    <t>102</t>
  </si>
  <si>
    <t>Arvin Community Service District</t>
  </si>
  <si>
    <t>CA1510001</t>
  </si>
  <si>
    <t>ARVIN COMMUNITY SERVICES DIST</t>
  </si>
  <si>
    <t>KERN</t>
  </si>
  <si>
    <t>107</t>
  </si>
  <si>
    <t>Atascadero Mutual Water Company</t>
  </si>
  <si>
    <t>CA4010002</t>
  </si>
  <si>
    <t>ATASCADERO MUTUAL WATER CO</t>
  </si>
  <si>
    <t>110</t>
  </si>
  <si>
    <t>City of Atwater</t>
  </si>
  <si>
    <t>CA2410001</t>
  </si>
  <si>
    <t>CITY OF ATWATER</t>
  </si>
  <si>
    <t>MERCED</t>
  </si>
  <si>
    <t>117</t>
  </si>
  <si>
    <t>Azusa Light and Water</t>
  </si>
  <si>
    <t>CA1910007</t>
  </si>
  <si>
    <t>AZUSA LIGHT AND WATER</t>
  </si>
  <si>
    <t>123</t>
  </si>
  <si>
    <t>Bakersfield  City Of</t>
  </si>
  <si>
    <t>CA1510031</t>
  </si>
  <si>
    <t>BAKERSFIELD, CITY OF</t>
  </si>
  <si>
    <t>124</t>
  </si>
  <si>
    <t>Bakman Water Company</t>
  </si>
  <si>
    <t>CA1010001</t>
  </si>
  <si>
    <t>BAKMAN WATER COMPANY</t>
  </si>
  <si>
    <t>FRESNO</t>
  </si>
  <si>
    <t>129</t>
  </si>
  <si>
    <t>Banning  City Of</t>
  </si>
  <si>
    <t>CA3310006</t>
  </si>
  <si>
    <t>BANNING, CITY OF</t>
  </si>
  <si>
    <t>RIVERSIDE</t>
  </si>
  <si>
    <t>155</t>
  </si>
  <si>
    <t>Bear Valley Community Services District</t>
  </si>
  <si>
    <t>CA1510038</t>
  </si>
  <si>
    <t>BEAR VALLEY CSD</t>
  </si>
  <si>
    <t>159</t>
  </si>
  <si>
    <t>Beaumont - Cherry Valley Water District</t>
  </si>
  <si>
    <t>CA3310002</t>
  </si>
  <si>
    <t>BEAUMONT CHERRY VALLEY WD</t>
  </si>
  <si>
    <t>167</t>
  </si>
  <si>
    <t>Bella Vista Water District</t>
  </si>
  <si>
    <t>CA4510014</t>
  </si>
  <si>
    <t>BELLA VISTA WATER DISTRICT</t>
  </si>
  <si>
    <t>170</t>
  </si>
  <si>
    <t>Bellflower - Somerset Mutual Water Company</t>
  </si>
  <si>
    <t>CA1910013</t>
  </si>
  <si>
    <t>BELLFLOWER - SOMERSET MWC</t>
  </si>
  <si>
    <t>178</t>
  </si>
  <si>
    <t>Benicia  City Of</t>
  </si>
  <si>
    <t>CA4810001</t>
  </si>
  <si>
    <t>CITY OF BENICIA</t>
  </si>
  <si>
    <t>SOLANO</t>
  </si>
  <si>
    <t>193</t>
  </si>
  <si>
    <t>Beverly Hills  City Of</t>
  </si>
  <si>
    <t>CA1910156</t>
  </si>
  <si>
    <t>BEVERLY HILLS-CITY, WATER DEPT.</t>
  </si>
  <si>
    <t>197</t>
  </si>
  <si>
    <t>Big Bear Community Services District</t>
  </si>
  <si>
    <t>CA3610008</t>
  </si>
  <si>
    <t>BIG BEAR CITY CSD</t>
  </si>
  <si>
    <t>198</t>
  </si>
  <si>
    <t>Big Bear Lake  City Of</t>
  </si>
  <si>
    <t>CA3600283</t>
  </si>
  <si>
    <t>DEPARTMENT OF WATER AND POWER</t>
  </si>
  <si>
    <t>CA3600395</t>
  </si>
  <si>
    <t>BIG BEAR SHORES RV RESORT</t>
  </si>
  <si>
    <t>CA3610022</t>
  </si>
  <si>
    <t>DWP - FAWNSKIN</t>
  </si>
  <si>
    <t>CA3610044</t>
  </si>
  <si>
    <t>BIG BEAR LAKE DWP - BIG BEAR SYSTEM</t>
  </si>
  <si>
    <t>241</t>
  </si>
  <si>
    <t>Blythe  City Of</t>
  </si>
  <si>
    <t>CA3310003</t>
  </si>
  <si>
    <t>BLYTHE - CITY OF</t>
  </si>
  <si>
    <t>262</t>
  </si>
  <si>
    <t>Brawley  City Of</t>
  </si>
  <si>
    <t>CA1310001</t>
  </si>
  <si>
    <t>BRAWLEY, CITY OF</t>
  </si>
  <si>
    <t>IMPERIAL</t>
  </si>
  <si>
    <t>263</t>
  </si>
  <si>
    <t>Brea  City Of</t>
  </si>
  <si>
    <t>CA3010002</t>
  </si>
  <si>
    <t>CITY OF BREA</t>
  </si>
  <si>
    <t>264</t>
  </si>
  <si>
    <t>Brentwood  City Of</t>
  </si>
  <si>
    <t>CA0710004</t>
  </si>
  <si>
    <t>BRENTWOOD</t>
  </si>
  <si>
    <t>283</t>
  </si>
  <si>
    <t>Buena Park  City Of</t>
  </si>
  <si>
    <t>CA3010003</t>
  </si>
  <si>
    <t>CITY OF BUENA PARK</t>
  </si>
  <si>
    <t>285</t>
  </si>
  <si>
    <t>Burbank  City Of</t>
  </si>
  <si>
    <t>CA1910179</t>
  </si>
  <si>
    <t>BURBANK-CITY, WATER DEPT.</t>
  </si>
  <si>
    <t>286</t>
  </si>
  <si>
    <t>Burlingame  City Of</t>
  </si>
  <si>
    <t>CA4110003</t>
  </si>
  <si>
    <t>CITY OF BURLINGAME</t>
  </si>
  <si>
    <t>SAN MATEO</t>
  </si>
  <si>
    <t>351</t>
  </si>
  <si>
    <t>Calaveras County Water District</t>
  </si>
  <si>
    <t>CA0510004</t>
  </si>
  <si>
    <t>CCWD - SHEEP RANCH</t>
  </si>
  <si>
    <t>CALAVERAS</t>
  </si>
  <si>
    <t>CA0510005</t>
  </si>
  <si>
    <t>CCWD - WEST POINT</t>
  </si>
  <si>
    <t>CA0510006</t>
  </si>
  <si>
    <t>CCWD - JENNY LIND</t>
  </si>
  <si>
    <t>CA0510016</t>
  </si>
  <si>
    <t>CCWD - EBBETTS PASS</t>
  </si>
  <si>
    <t>CA0510017</t>
  </si>
  <si>
    <t>CCWD - COPPER COVE</t>
  </si>
  <si>
    <t>CA0510019</t>
  </si>
  <si>
    <t>CCWD - WALLACE</t>
  </si>
  <si>
    <t>353</t>
  </si>
  <si>
    <t>Calexico  City Of</t>
  </si>
  <si>
    <t>CA1310002</t>
  </si>
  <si>
    <t>CALEXICO, CITY OF</t>
  </si>
  <si>
    <t>368</t>
  </si>
  <si>
    <t>California American Water Company - Los Angeles Division</t>
  </si>
  <si>
    <t>CA1910052</t>
  </si>
  <si>
    <t>CAL/AM WATER COMPANY - BALDWIN HILLS</t>
  </si>
  <si>
    <t>CA1910139</t>
  </si>
  <si>
    <t>CAL/AM WATER COMPANY - SAN MARINO</t>
  </si>
  <si>
    <t>CA1910186</t>
  </si>
  <si>
    <t>CAL-AM WATER COMPANY - DUARTE</t>
  </si>
  <si>
    <t>369</t>
  </si>
  <si>
    <t>California American Water Company - Monterey District</t>
  </si>
  <si>
    <t>CA2701202</t>
  </si>
  <si>
    <t>CAL AM WATER COMPANY - CHUALAR</t>
  </si>
  <si>
    <t>CA2701257</t>
  </si>
  <si>
    <t>CAL AM WATER COMPANY - GARRAPATA</t>
  </si>
  <si>
    <t>CA2702004</t>
  </si>
  <si>
    <t>CAL AM WATER COMPANY - RALPH LANE</t>
  </si>
  <si>
    <t>CA2710004</t>
  </si>
  <si>
    <t>CAL AM WATER COMPANY - MONTEREY</t>
  </si>
  <si>
    <t>CA2710006</t>
  </si>
  <si>
    <t>CAL AM WATER COMPANY - AMBLER PARK</t>
  </si>
  <si>
    <t>CA2710021</t>
  </si>
  <si>
    <t>CAL AM WATER COMPANY - TORO</t>
  </si>
  <si>
    <t>CA2710022</t>
  </si>
  <si>
    <t>CAL AM WATER COMPANY - HIDDEN HILLS</t>
  </si>
  <si>
    <t>372</t>
  </si>
  <si>
    <t>California American Water Company - Sacramento District</t>
  </si>
  <si>
    <t>CA3110150</t>
  </si>
  <si>
    <t>CAL AM - WEST PLACER</t>
  </si>
  <si>
    <t>PLACER</t>
  </si>
  <si>
    <t>CA3410010</t>
  </si>
  <si>
    <t>CAL AM - SUBURBAN ROSEMONT</t>
  </si>
  <si>
    <t>SACRAMENTO</t>
  </si>
  <si>
    <t>CA3410012</t>
  </si>
  <si>
    <t>CAL AM - ISLETON</t>
  </si>
  <si>
    <t>CA3410013</t>
  </si>
  <si>
    <t>CAL AM - LINCOLN OAKS</t>
  </si>
  <si>
    <t>CA3410017</t>
  </si>
  <si>
    <t>CAL AM - PARKWAY</t>
  </si>
  <si>
    <t>CA3410027</t>
  </si>
  <si>
    <t>CAL AM - SECURITY PARK</t>
  </si>
  <si>
    <t>CA3410031</t>
  </si>
  <si>
    <t>CAL AM - ANTELOPE</t>
  </si>
  <si>
    <t>CA3410045</t>
  </si>
  <si>
    <t>CAL AM - ARDEN</t>
  </si>
  <si>
    <t>CA3410047</t>
  </si>
  <si>
    <t>CAL AM - WALNUT GROVE</t>
  </si>
  <si>
    <t>CA5700712</t>
  </si>
  <si>
    <t>CAL AM - DUNNIGAN</t>
  </si>
  <si>
    <t>YOLO</t>
  </si>
  <si>
    <t>CA3410023</t>
  </si>
  <si>
    <t>CAL AM - FRUITRIDGE VISTA</t>
  </si>
  <si>
    <t>373</t>
  </si>
  <si>
    <t>California American Water Company - San Diego District</t>
  </si>
  <si>
    <t>CA3710001</t>
  </si>
  <si>
    <t>CAL-AM WATER CORONADO</t>
  </si>
  <si>
    <t>SAN DIEGO</t>
  </si>
  <si>
    <t>376</t>
  </si>
  <si>
    <t>California American Water Company - Ventura District</t>
  </si>
  <si>
    <t>CA5610040</t>
  </si>
  <si>
    <t>CAL AMERICAN WATER CO</t>
  </si>
  <si>
    <t>VENTURA</t>
  </si>
  <si>
    <t>CA5610081</t>
  </si>
  <si>
    <t>CAL AMERICAN WC - LAS POSAS ESTATES</t>
  </si>
  <si>
    <t>378</t>
  </si>
  <si>
    <t>California City</t>
  </si>
  <si>
    <t>CA1510032</t>
  </si>
  <si>
    <t>CALIFORNIA CITY, CITY OF</t>
  </si>
  <si>
    <t>386</t>
  </si>
  <si>
    <t>California Water Service Company Bakersfield</t>
  </si>
  <si>
    <t>CA1510003</t>
  </si>
  <si>
    <t>CWS - BAKERSFIELD</t>
  </si>
  <si>
    <t>CA1510055</t>
  </si>
  <si>
    <t>CWS - NORTH GARDEN</t>
  </si>
  <si>
    <t>387</t>
  </si>
  <si>
    <t>California Water Service Company Bear Gulch</t>
  </si>
  <si>
    <t>CA4110006</t>
  </si>
  <si>
    <t>CALIFORNIA WATER SERVICE - BEAR GULCH</t>
  </si>
  <si>
    <t>388</t>
  </si>
  <si>
    <t>California Water Service Company Chico District</t>
  </si>
  <si>
    <t>CA0410002</t>
  </si>
  <si>
    <t>CAL-WATER SERVICE CO.-CHICO</t>
  </si>
  <si>
    <t>BUTTE</t>
  </si>
  <si>
    <t>CA1110002</t>
  </si>
  <si>
    <t>CAL-WATER SERVICE CO.-HAMILTON CITY</t>
  </si>
  <si>
    <t>GLENN</t>
  </si>
  <si>
    <t>390</t>
  </si>
  <si>
    <t>California Water Service Company Dixon</t>
  </si>
  <si>
    <t>CA4810002</t>
  </si>
  <si>
    <t>CALIFORNIA WATER SERVICE CO. - DIXON</t>
  </si>
  <si>
    <t>391</t>
  </si>
  <si>
    <t>California Water Service Company Dominguez</t>
  </si>
  <si>
    <t>CA1910033</t>
  </si>
  <si>
    <t>CALIFORNIA WATER SERVICE CO. - DOMINGUEZ</t>
  </si>
  <si>
    <t>392</t>
  </si>
  <si>
    <t>California Water Service Company East Los Angeles</t>
  </si>
  <si>
    <t>CA1910036</t>
  </si>
  <si>
    <t>CALIFORNIA WATER SERVICE CO. - ELA</t>
  </si>
  <si>
    <t>396</t>
  </si>
  <si>
    <t>California Water Service Company Hermosa/Redondo</t>
  </si>
  <si>
    <t>CA1910134</t>
  </si>
  <si>
    <t>CALIFORNIA WATER SERVICE CO. - HERM/REDO</t>
  </si>
  <si>
    <t>397</t>
  </si>
  <si>
    <t>California Water Service Company Kern River Valley</t>
  </si>
  <si>
    <t>CA1500407</t>
  </si>
  <si>
    <t>CWS-SPLIT MOUNTAIN WATER SYSTEM</t>
  </si>
  <si>
    <t>CA1510026</t>
  </si>
  <si>
    <t>CWS - UPPER BODFISH WATER SYSTEM</t>
  </si>
  <si>
    <t>CA1510033</t>
  </si>
  <si>
    <t>CWS - KERNVILLE</t>
  </si>
  <si>
    <t>CA1510039</t>
  </si>
  <si>
    <t>CWS SOUTHLAKE SYSTEM</t>
  </si>
  <si>
    <t>CA1510043</t>
  </si>
  <si>
    <t>CWS-ONYX WATER SYSTEM</t>
  </si>
  <si>
    <t>CA1510049</t>
  </si>
  <si>
    <t>CWS - LAKELAND</t>
  </si>
  <si>
    <t>CA1510056</t>
  </si>
  <si>
    <t>CWS - LOWER BODFISH WATER SYSTEM</t>
  </si>
  <si>
    <t>401</t>
  </si>
  <si>
    <t>California Water Service Company Livermore</t>
  </si>
  <si>
    <t>CA0110003</t>
  </si>
  <si>
    <t>CALIFORNIA WATER SERVICE - LIVERMORE</t>
  </si>
  <si>
    <t>402</t>
  </si>
  <si>
    <t>California Water Service Company Los Altos/Suburban</t>
  </si>
  <si>
    <t>CA4310001</t>
  </si>
  <si>
    <t>CWSC LOS ALTOS SUBURBAN</t>
  </si>
  <si>
    <t>SANTA CLARA</t>
  </si>
  <si>
    <t>405</t>
  </si>
  <si>
    <t>California Water Service Company Marysville</t>
  </si>
  <si>
    <t>CA5810001</t>
  </si>
  <si>
    <t>CAL-WATER SERVICE CO.-MARYSVILLE</t>
  </si>
  <si>
    <t>YUBA</t>
  </si>
  <si>
    <t>412</t>
  </si>
  <si>
    <t>California Water Service Company Oroville</t>
  </si>
  <si>
    <t>CA0410005</t>
  </si>
  <si>
    <t>CAL-WATER SERVICE CO.-OROVILLE</t>
  </si>
  <si>
    <t>413</t>
  </si>
  <si>
    <t>California Water Service Company Palos Verdes</t>
  </si>
  <si>
    <t>CA1910104</t>
  </si>
  <si>
    <t>CALIFORNIA WATER SERVICE CO. - PALOS VER</t>
  </si>
  <si>
    <t>417</t>
  </si>
  <si>
    <t>California Water Service Company Salinas District</t>
  </si>
  <si>
    <t>CA2701929</t>
  </si>
  <si>
    <t>COUNTRY MEADOWS MWC</t>
  </si>
  <si>
    <t>CA2710010</t>
  </si>
  <si>
    <t>CWSC SALINAS</t>
  </si>
  <si>
    <t>CA2710012</t>
  </si>
  <si>
    <t>CWSC SALINAS HILLS</t>
  </si>
  <si>
    <t>CA2710013</t>
  </si>
  <si>
    <t>CWSC LAS LOMAS</t>
  </si>
  <si>
    <t>CA2710019</t>
  </si>
  <si>
    <t>CWSC OAK HILLS</t>
  </si>
  <si>
    <t>420</t>
  </si>
  <si>
    <t>California Water Service Company Mid Peninsula</t>
  </si>
  <si>
    <t>CA4110007</t>
  </si>
  <si>
    <t>CALIFORNIA WATER SERVICE - SAN CARLOS</t>
  </si>
  <si>
    <t>CA4110008</t>
  </si>
  <si>
    <t>CALIFORNIA WATER SERVICE - SAN MATEO</t>
  </si>
  <si>
    <t>421</t>
  </si>
  <si>
    <t>California Water Service Company Selma</t>
  </si>
  <si>
    <t>CA1010024</t>
  </si>
  <si>
    <t>CWS - SELMA</t>
  </si>
  <si>
    <t>422</t>
  </si>
  <si>
    <t>California Water Service Company South San Francisco</t>
  </si>
  <si>
    <t>CA4110009</t>
  </si>
  <si>
    <t>CALIFORNIA WATER SERVICE-S SAN FRANCISCO</t>
  </si>
  <si>
    <t>424</t>
  </si>
  <si>
    <t>California Water Service Company Stockton</t>
  </si>
  <si>
    <t>CA3910001</t>
  </si>
  <si>
    <t>CALIFORNIA WATER SERVICE - STOCKTON</t>
  </si>
  <si>
    <t>SAN JOAQUIN</t>
  </si>
  <si>
    <t>427</t>
  </si>
  <si>
    <t>California Water Service Company Visalia</t>
  </si>
  <si>
    <t>CA5400935</t>
  </si>
  <si>
    <t>CWS - MULLEN WATER COMPANY</t>
  </si>
  <si>
    <t>TULARE</t>
  </si>
  <si>
    <t>CA5410016</t>
  </si>
  <si>
    <t>CWS - VISALIA</t>
  </si>
  <si>
    <t>CA5410041</t>
  </si>
  <si>
    <t>CWS - TULCO WATER COMPANY</t>
  </si>
  <si>
    <t>428</t>
  </si>
  <si>
    <t>California Water Service Company Westlake</t>
  </si>
  <si>
    <t>CA5610016</t>
  </si>
  <si>
    <t>CALIFORNIA WATER SERVICE CO - WESTLAKE</t>
  </si>
  <si>
    <t>443</t>
  </si>
  <si>
    <t>Camarillo  City Of</t>
  </si>
  <si>
    <t>CA5610019</t>
  </si>
  <si>
    <t>CAMARILLO WATER DEPT</t>
  </si>
  <si>
    <t>445</t>
  </si>
  <si>
    <t>Cambria Community Service District</t>
  </si>
  <si>
    <t>CA4010014</t>
  </si>
  <si>
    <t>CAMBRIA COMM SERVICES DIST</t>
  </si>
  <si>
    <t>467</t>
  </si>
  <si>
    <t>Camrosa Water District</t>
  </si>
  <si>
    <t>CA5610063</t>
  </si>
  <si>
    <t>CAMROSA WATER DISTRICT</t>
  </si>
  <si>
    <t>478</t>
  </si>
  <si>
    <t>Carlsbad Municipal Water District</t>
  </si>
  <si>
    <t>CA3710005</t>
  </si>
  <si>
    <t>CARLSBAD MWD</t>
  </si>
  <si>
    <t>481</t>
  </si>
  <si>
    <t>Carmichael Water District</t>
  </si>
  <si>
    <t>CA3410004</t>
  </si>
  <si>
    <t>CARMICHAEL WATER DISTRICT</t>
  </si>
  <si>
    <t>485</t>
  </si>
  <si>
    <t>Carpinteria Valley Water District</t>
  </si>
  <si>
    <t>CA4210001</t>
  </si>
  <si>
    <t>CARPINTERIA VALLEY WATER DISTRICT</t>
  </si>
  <si>
    <t>SANTA BARBARA</t>
  </si>
  <si>
    <t>495</t>
  </si>
  <si>
    <t>Casitas Municipal Water District</t>
  </si>
  <si>
    <t>CA5610014</t>
  </si>
  <si>
    <t>OJAI WATER SYSTEM</t>
  </si>
  <si>
    <t>CA5610024</t>
  </si>
  <si>
    <t>CASITAS MUNICIPAL WATER DIST</t>
  </si>
  <si>
    <t>522</t>
  </si>
  <si>
    <t>Ceres  City Of</t>
  </si>
  <si>
    <t>CA5010028</t>
  </si>
  <si>
    <t>CERES, CITY OF</t>
  </si>
  <si>
    <t>STANISLAUS</t>
  </si>
  <si>
    <t>524</t>
  </si>
  <si>
    <t>Cerritos  City Of</t>
  </si>
  <si>
    <t>CA1910019</t>
  </si>
  <si>
    <t>CERRITOS - CITY, WATER DEPT.</t>
  </si>
  <si>
    <t>545</t>
  </si>
  <si>
    <t>Chino  City Of</t>
  </si>
  <si>
    <t>CA3610012</t>
  </si>
  <si>
    <t>CHINO, CITY OF</t>
  </si>
  <si>
    <t>547</t>
  </si>
  <si>
    <t>Chino Hills  City Of</t>
  </si>
  <si>
    <t>CA3610036</t>
  </si>
  <si>
    <t>CHINO HILLS, CITY OF</t>
  </si>
  <si>
    <t>561</t>
  </si>
  <si>
    <t>Citrus Heights Water District</t>
  </si>
  <si>
    <t>CA3410006</t>
  </si>
  <si>
    <t>CITRUS HEIGHTS WATER DISTRICT</t>
  </si>
  <si>
    <t>572</t>
  </si>
  <si>
    <t>Cloverdale  City of</t>
  </si>
  <si>
    <t>CA4910002</t>
  </si>
  <si>
    <t>CLOVERDALE, CITY OF</t>
  </si>
  <si>
    <t>SONOMA</t>
  </si>
  <si>
    <t>574</t>
  </si>
  <si>
    <t>Clovis  City Of</t>
  </si>
  <si>
    <t>CA1010003</t>
  </si>
  <si>
    <t>CITY OF CLOVIS</t>
  </si>
  <si>
    <t>575</t>
  </si>
  <si>
    <t>Coachella  City Of</t>
  </si>
  <si>
    <t>CA3310007</t>
  </si>
  <si>
    <t>COACHELLA WATER AUTHORITY</t>
  </si>
  <si>
    <t>577</t>
  </si>
  <si>
    <t>Coachella Valley Water District</t>
  </si>
  <si>
    <t>CA3310001</t>
  </si>
  <si>
    <t>COACHELLA VWD: COVE COMMUNITY</t>
  </si>
  <si>
    <t>CA3310048</t>
  </si>
  <si>
    <t>COACHELLA VWD: I.D. NO. 8</t>
  </si>
  <si>
    <t>578</t>
  </si>
  <si>
    <t>Coalinga  City Of</t>
  </si>
  <si>
    <t>CA1010004</t>
  </si>
  <si>
    <t>COALINGA-CITY</t>
  </si>
  <si>
    <t>583</t>
  </si>
  <si>
    <t>Coastside County Water District</t>
  </si>
  <si>
    <t>CA4110011</t>
  </si>
  <si>
    <t>COASTSIDE COUNTY WATER DISTRICT</t>
  </si>
  <si>
    <t>596</t>
  </si>
  <si>
    <t>Colton  City Of</t>
  </si>
  <si>
    <t>CA3610014</t>
  </si>
  <si>
    <t>COLTON, CITY OF</t>
  </si>
  <si>
    <t>607</t>
  </si>
  <si>
    <t>Compton  City Of</t>
  </si>
  <si>
    <t>CA1910026</t>
  </si>
  <si>
    <t>COMPTON-CITY, WATER DEPT.</t>
  </si>
  <si>
    <t>613</t>
  </si>
  <si>
    <t>Contra Costa Water District</t>
  </si>
  <si>
    <t>CA0710003</t>
  </si>
  <si>
    <t>CONTRA COSTA WATER DISTRICT</t>
  </si>
  <si>
    <t>618</t>
  </si>
  <si>
    <t>Corcoran  City Of</t>
  </si>
  <si>
    <t>CA1610004</t>
  </si>
  <si>
    <t>CORCORAN, CITY OF</t>
  </si>
  <si>
    <t>KINGS</t>
  </si>
  <si>
    <t>624</t>
  </si>
  <si>
    <t>Corona  City Of</t>
  </si>
  <si>
    <t>CA3310037</t>
  </si>
  <si>
    <t>CORONA, CITY OF</t>
  </si>
  <si>
    <t>644</t>
  </si>
  <si>
    <t>Covina  City Of</t>
  </si>
  <si>
    <t>CA1910127</t>
  </si>
  <si>
    <t>COVINA-CITY, WATER DEPT.</t>
  </si>
  <si>
    <t>649</t>
  </si>
  <si>
    <t>Crescent City</t>
  </si>
  <si>
    <t>CA0810001</t>
  </si>
  <si>
    <t>CITY OF CRESCENT CITY</t>
  </si>
  <si>
    <t>DEL NORTE</t>
  </si>
  <si>
    <t>651</t>
  </si>
  <si>
    <t>Crescenta Valley Community Water District</t>
  </si>
  <si>
    <t>CA1910028</t>
  </si>
  <si>
    <t>CRESCENTA VALLEY CWD</t>
  </si>
  <si>
    <t>654</t>
  </si>
  <si>
    <t>Crestline Village Water District</t>
  </si>
  <si>
    <t>CA3610015</t>
  </si>
  <si>
    <t>CRESTLINE VILLAGE CWD - DIVISION 10</t>
  </si>
  <si>
    <t>664</t>
  </si>
  <si>
    <t>Cucamonga Valley Water District</t>
  </si>
  <si>
    <t>CA3610018</t>
  </si>
  <si>
    <t>CUCAMONGA VALLEY WATER DISTRICT</t>
  </si>
  <si>
    <t>673</t>
  </si>
  <si>
    <t>Daly City</t>
  </si>
  <si>
    <t>CA4110013</t>
  </si>
  <si>
    <t>CITY OF DALY CITY</t>
  </si>
  <si>
    <t>678</t>
  </si>
  <si>
    <t>Davis  City Of</t>
  </si>
  <si>
    <t>CA5710001</t>
  </si>
  <si>
    <t>CITY OF DAVIS</t>
  </si>
  <si>
    <t>699</t>
  </si>
  <si>
    <t>Del Oro Water Company</t>
  </si>
  <si>
    <t>CA0410011</t>
  </si>
  <si>
    <t>DEL ORO WATER CO.-PARADISE PINES</t>
  </si>
  <si>
    <t>711</t>
  </si>
  <si>
    <t>Delano  City Of</t>
  </si>
  <si>
    <t>CA1510005</t>
  </si>
  <si>
    <t>DELANO, CITY OF</t>
  </si>
  <si>
    <t>727</t>
  </si>
  <si>
    <t>Desert Water Agency</t>
  </si>
  <si>
    <t>CA3310005</t>
  </si>
  <si>
    <t>DESERT WATER AGENCY</t>
  </si>
  <si>
    <t>731</t>
  </si>
  <si>
    <t>Diablo Water District</t>
  </si>
  <si>
    <t>CA0710007</t>
  </si>
  <si>
    <t>DIABLO WATER DISTRICT</t>
  </si>
  <si>
    <t>737</t>
  </si>
  <si>
    <t>Dinuba  City Of</t>
  </si>
  <si>
    <t>CA5410002</t>
  </si>
  <si>
    <t>DINUBA, CITY OF</t>
  </si>
  <si>
    <t>739</t>
  </si>
  <si>
    <t>Discovery Bay Community Services District</t>
  </si>
  <si>
    <t>CA0710009</t>
  </si>
  <si>
    <t>TOWN OF DISCOVERY BAY</t>
  </si>
  <si>
    <t>748</t>
  </si>
  <si>
    <t>Downey  City Of</t>
  </si>
  <si>
    <t>CA1910034</t>
  </si>
  <si>
    <t>DOWNEY - CITY, WATER DEPT.</t>
  </si>
  <si>
    <t>759</t>
  </si>
  <si>
    <t>Dublin San Ramon Services District</t>
  </si>
  <si>
    <t>CA0110009</t>
  </si>
  <si>
    <t>DUBLIN SAN RAMON SERVICES DISTRICT</t>
  </si>
  <si>
    <t>775</t>
  </si>
  <si>
    <t>East Bay Municipal Utility District</t>
  </si>
  <si>
    <t>CA0110005</t>
  </si>
  <si>
    <t>EAST BAY MUD</t>
  </si>
  <si>
    <t>784</t>
  </si>
  <si>
    <t>East Niles Community Services District</t>
  </si>
  <si>
    <t>CA1510006</t>
  </si>
  <si>
    <t>EAST NILES CSD</t>
  </si>
  <si>
    <t>787</t>
  </si>
  <si>
    <t>East Palo Alto  City Of</t>
  </si>
  <si>
    <t>CA4110024</t>
  </si>
  <si>
    <t>CITY OF EAST PALO ALTO</t>
  </si>
  <si>
    <t>793</t>
  </si>
  <si>
    <t>East Valley Water District</t>
  </si>
  <si>
    <t>CA3610064</t>
  </si>
  <si>
    <t>EAST VALLEY WATER DISTRICT</t>
  </si>
  <si>
    <t>794</t>
  </si>
  <si>
    <t>Eastern Municipal Water District</t>
  </si>
  <si>
    <t>CA3310009</t>
  </si>
  <si>
    <t>EASTERN MUNICIPAL WD</t>
  </si>
  <si>
    <t>814</t>
  </si>
  <si>
    <t>El Centro  City Of</t>
  </si>
  <si>
    <t>CA1310004</t>
  </si>
  <si>
    <t>EL CENTRO, CITY OF</t>
  </si>
  <si>
    <t>816</t>
  </si>
  <si>
    <t>El Dorado Irrigation District</t>
  </si>
  <si>
    <t>CA0910001</t>
  </si>
  <si>
    <t>EL DORADO ID - MAIN</t>
  </si>
  <si>
    <t>EL DORADO</t>
  </si>
  <si>
    <t>CA0910017</t>
  </si>
  <si>
    <t>EL DORADO ID - STRAWBERRY</t>
  </si>
  <si>
    <t>CA0910018</t>
  </si>
  <si>
    <t>EL DORADO ID - OUTINGDALE</t>
  </si>
  <si>
    <t>821</t>
  </si>
  <si>
    <t>El Monte  City Of</t>
  </si>
  <si>
    <t>CA1910038</t>
  </si>
  <si>
    <t>EL MONTE-CITY, WATER DEPT.</t>
  </si>
  <si>
    <t>827</t>
  </si>
  <si>
    <t>El Segundo  City Of</t>
  </si>
  <si>
    <t>CA1910040</t>
  </si>
  <si>
    <t>EL SEGUNDO-CITY, WATER DEPT.</t>
  </si>
  <si>
    <t>830</t>
  </si>
  <si>
    <t>El Toro Water District</t>
  </si>
  <si>
    <t>CA3010079</t>
  </si>
  <si>
    <t>EL TORO WATER DISTRICT</t>
  </si>
  <si>
    <t>835</t>
  </si>
  <si>
    <t>Elk Grove Water District</t>
  </si>
  <si>
    <t>CA3410008</t>
  </si>
  <si>
    <t>ELK GROVE WATER SERVICE</t>
  </si>
  <si>
    <t>842</t>
  </si>
  <si>
    <t>Elsinore Valley Municipal Water District</t>
  </si>
  <si>
    <t>CA3310012</t>
  </si>
  <si>
    <t>ELSINORE VALLEY MWD</t>
  </si>
  <si>
    <t>851</t>
  </si>
  <si>
    <t>Escondido  City Of</t>
  </si>
  <si>
    <t>CA3710006</t>
  </si>
  <si>
    <t>ESCONDIDO, CITY OF</t>
  </si>
  <si>
    <t>856</t>
  </si>
  <si>
    <t>Estero Municipal Improvement District</t>
  </si>
  <si>
    <t>CA4110021</t>
  </si>
  <si>
    <t>ESTERO MUNICIPAL IMPROVEMENT DISTRICT</t>
  </si>
  <si>
    <t>859</t>
  </si>
  <si>
    <t>Eureka  City Of</t>
  </si>
  <si>
    <t>CA1210004</t>
  </si>
  <si>
    <t>EUREKA, CITY OF</t>
  </si>
  <si>
    <t>863</t>
  </si>
  <si>
    <t>Exeter  City Of</t>
  </si>
  <si>
    <t>CA5410003</t>
  </si>
  <si>
    <t>EXETER, CITY OF</t>
  </si>
  <si>
    <t>866</t>
  </si>
  <si>
    <t>Fair Oaks Water District</t>
  </si>
  <si>
    <t>CA3410009</t>
  </si>
  <si>
    <t>FAIR OAKS WATER DISTRICT</t>
  </si>
  <si>
    <t>867</t>
  </si>
  <si>
    <t>Fairfield  City Of</t>
  </si>
  <si>
    <t>CA4810003</t>
  </si>
  <si>
    <t>CITY OF FAIRFIELD</t>
  </si>
  <si>
    <t>873</t>
  </si>
  <si>
    <t>Fallbrook Public Utility District</t>
  </si>
  <si>
    <t>CA3710008</t>
  </si>
  <si>
    <t>FALLBROOK PUD</t>
  </si>
  <si>
    <t>890</t>
  </si>
  <si>
    <t>Fillmore  City Of</t>
  </si>
  <si>
    <t>CA5610002</t>
  </si>
  <si>
    <t>FILLMORE WATER DEPT</t>
  </si>
  <si>
    <t>904</t>
  </si>
  <si>
    <t>Folsom  City Of</t>
  </si>
  <si>
    <t>CA3410014</t>
  </si>
  <si>
    <t>FOLSOM, CITY OF - MAIN</t>
  </si>
  <si>
    <t>CA3410030</t>
  </si>
  <si>
    <t>FOLSOM, CITY OF - ASHLAND</t>
  </si>
  <si>
    <t>920</t>
  </si>
  <si>
    <t>Fortuna  City Of</t>
  </si>
  <si>
    <t>CA1210006</t>
  </si>
  <si>
    <t>FORTUNA, CITY OF</t>
  </si>
  <si>
    <t>924</t>
  </si>
  <si>
    <t>Fountain Valley  City Of</t>
  </si>
  <si>
    <t>CA3010069</t>
  </si>
  <si>
    <t>CITY OF FOUNTAIN VALLEY</t>
  </si>
  <si>
    <t>934</t>
  </si>
  <si>
    <t>Fresno  City Of</t>
  </si>
  <si>
    <t>CA1010007</t>
  </si>
  <si>
    <t>CITY OF FRESNO</t>
  </si>
  <si>
    <t>967</t>
  </si>
  <si>
    <t>Fullerton  City Of</t>
  </si>
  <si>
    <t>CA3010010</t>
  </si>
  <si>
    <t>CITY OF FULLERTON</t>
  </si>
  <si>
    <t>972</t>
  </si>
  <si>
    <t>Galt  City Of</t>
  </si>
  <si>
    <t>CA3410011</t>
  </si>
  <si>
    <t>GALT, CITY OF</t>
  </si>
  <si>
    <t>977</t>
  </si>
  <si>
    <t>Garden Grove  City Of</t>
  </si>
  <si>
    <t>CA3010062</t>
  </si>
  <si>
    <t>CITY OF GARDEN GROVE</t>
  </si>
  <si>
    <t>990</t>
  </si>
  <si>
    <t>Georgetown Divide Public Utility District</t>
  </si>
  <si>
    <t>CA0910013</t>
  </si>
  <si>
    <t>GEORGETOWN DIVIDE PUD</t>
  </si>
  <si>
    <t>995</t>
  </si>
  <si>
    <t>Gilroy  City Of</t>
  </si>
  <si>
    <t>CA4310004</t>
  </si>
  <si>
    <t>CITY OF GILROY</t>
  </si>
  <si>
    <t>1004</t>
  </si>
  <si>
    <t>Glendale  City Of</t>
  </si>
  <si>
    <t>CA1910043</t>
  </si>
  <si>
    <t>GLENDALE-CITY, WATER DEPT.</t>
  </si>
  <si>
    <t>1005</t>
  </si>
  <si>
    <t>Glendora  City Of</t>
  </si>
  <si>
    <t>CA1910044</t>
  </si>
  <si>
    <t>GLENDORA-CITY, WATER DEPT.</t>
  </si>
  <si>
    <t>1029</t>
  </si>
  <si>
    <t>Golden State Water Company - Artesia</t>
  </si>
  <si>
    <t>CA1910004</t>
  </si>
  <si>
    <t>GSWC - ARTESIA</t>
  </si>
  <si>
    <t>1030</t>
  </si>
  <si>
    <t>Golden State Water Company - Barstow</t>
  </si>
  <si>
    <t>CA3610043</t>
  </si>
  <si>
    <t>GOLDEN STATE WATER CO - BARSTOW</t>
  </si>
  <si>
    <t>1031</t>
  </si>
  <si>
    <t>Golden State Water Company - Bay Point</t>
  </si>
  <si>
    <t>CA0710002</t>
  </si>
  <si>
    <t>GOLDEN STATE WATER COMPANY - BAY POINT</t>
  </si>
  <si>
    <t>1032</t>
  </si>
  <si>
    <t>Golden State Water Company - Bell-Bell Gardens</t>
  </si>
  <si>
    <t>CA1910011</t>
  </si>
  <si>
    <t>GSWC - BELL, BELL GARDENS</t>
  </si>
  <si>
    <t>1034</t>
  </si>
  <si>
    <t>Golden State Water Company - Claremont</t>
  </si>
  <si>
    <t>CA1910024</t>
  </si>
  <si>
    <t>GSWC - CLAREMONT</t>
  </si>
  <si>
    <t>1036</t>
  </si>
  <si>
    <t>Golden State Water Company - Cordova</t>
  </si>
  <si>
    <t>CA3410015</t>
  </si>
  <si>
    <t>GOLDEN STATE WATER CO. - CORDOVA</t>
  </si>
  <si>
    <t>1038</t>
  </si>
  <si>
    <t>Golden State Water Company - Culver City</t>
  </si>
  <si>
    <t>CA1910030</t>
  </si>
  <si>
    <t>GSWC - CULVER CITY</t>
  </si>
  <si>
    <t>1041</t>
  </si>
  <si>
    <t>Golden State Water Company - Florence Graham</t>
  </si>
  <si>
    <t>CA1910077</t>
  </si>
  <si>
    <t>GSWC - FLORENCE/GRAHAM</t>
  </si>
  <si>
    <t>1049</t>
  </si>
  <si>
    <t>Golden State Water Company - Norwalk</t>
  </si>
  <si>
    <t>CA1910098</t>
  </si>
  <si>
    <t>GSWC - NORWALK</t>
  </si>
  <si>
    <t>1052</t>
  </si>
  <si>
    <t>Golden State Water Company - Orcutt</t>
  </si>
  <si>
    <t>CA4210016</t>
  </si>
  <si>
    <t>GOLDEN STATE WATER COMPANY - ORCUTT</t>
  </si>
  <si>
    <t>1053</t>
  </si>
  <si>
    <t>Golden State Water Company - Placentia</t>
  </si>
  <si>
    <t>CA3010035</t>
  </si>
  <si>
    <t>GOLDEN STATE WC - PLACENTIA/YORBA LINDA</t>
  </si>
  <si>
    <t>1054</t>
  </si>
  <si>
    <t>Golden State Water Company - San Dimas</t>
  </si>
  <si>
    <t>CA1910142</t>
  </si>
  <si>
    <t>GSWC-SAN DIMAS</t>
  </si>
  <si>
    <t>1057</t>
  </si>
  <si>
    <t>Golden State Water Company - Simi Valley</t>
  </si>
  <si>
    <t>CA5610059</t>
  </si>
  <si>
    <t>GOLDEN STATE WATER COMPANY - SIMI VALLEY</t>
  </si>
  <si>
    <t>1058</t>
  </si>
  <si>
    <t>Golden State Water Company - South Arcadia</t>
  </si>
  <si>
    <t>CA1910212</t>
  </si>
  <si>
    <t>GSWC-SOUTH ARCADIA</t>
  </si>
  <si>
    <t>1059</t>
  </si>
  <si>
    <t>Golden State Water Company - South San Gabriel</t>
  </si>
  <si>
    <t>CA1910223</t>
  </si>
  <si>
    <t>GSWC-SOUTH SAN GABRIEL</t>
  </si>
  <si>
    <t>1060</t>
  </si>
  <si>
    <t>Golden State Water Company - Southwest</t>
  </si>
  <si>
    <t>CA1910155</t>
  </si>
  <si>
    <t>GSWC - SOUTHWEST</t>
  </si>
  <si>
    <t>1062</t>
  </si>
  <si>
    <t>Golden State Water Company - West Orange</t>
  </si>
  <si>
    <t>CA3010022</t>
  </si>
  <si>
    <t>GOLDEN STATE WC - WEST ORANGE COUNTY</t>
  </si>
  <si>
    <t>1068</t>
  </si>
  <si>
    <t>Goleta Water District</t>
  </si>
  <si>
    <t>CA4210004</t>
  </si>
  <si>
    <t>GOLETA WATER DISTRICT</t>
  </si>
  <si>
    <t>1083</t>
  </si>
  <si>
    <t>Great Oaks Water Company Incorporated</t>
  </si>
  <si>
    <t>CA4310022</t>
  </si>
  <si>
    <t>GREAT OAKS WC INC</t>
  </si>
  <si>
    <t>1093</t>
  </si>
  <si>
    <t>Greenfield  City Of</t>
  </si>
  <si>
    <t>CA2710008</t>
  </si>
  <si>
    <t>GREENFIELD, CITY OF</t>
  </si>
  <si>
    <t>1094</t>
  </si>
  <si>
    <t>Greenfield County Water District</t>
  </si>
  <si>
    <t>CA1510024</t>
  </si>
  <si>
    <t>GREENFIELD COUNTY WD</t>
  </si>
  <si>
    <t>1109</t>
  </si>
  <si>
    <t>Groveland Community Services District</t>
  </si>
  <si>
    <t>CA5510009</t>
  </si>
  <si>
    <t>GROVELAND COMMUNITY SERV DIST</t>
  </si>
  <si>
    <t>TUOLUMNE</t>
  </si>
  <si>
    <t>1110</t>
  </si>
  <si>
    <t>Grover Beach  City Of</t>
  </si>
  <si>
    <t>CA4010004</t>
  </si>
  <si>
    <t>GROVER BEACH WATER DEPARTMENT</t>
  </si>
  <si>
    <t>1125</t>
  </si>
  <si>
    <t>Hanford  City Of</t>
  </si>
  <si>
    <t>CA1610003</t>
  </si>
  <si>
    <t>HANFORD, CITY OF</t>
  </si>
  <si>
    <t>1142</t>
  </si>
  <si>
    <t>Hawthorne  City Of</t>
  </si>
  <si>
    <t>CA1910047</t>
  </si>
  <si>
    <t>HAWTHORNE-CITY WATER DEPT.</t>
  </si>
  <si>
    <t>1143</t>
  </si>
  <si>
    <t>Hayward  City Of</t>
  </si>
  <si>
    <t>CA0110006</t>
  </si>
  <si>
    <t>CITY OF HAYWARD</t>
  </si>
  <si>
    <t>1144</t>
  </si>
  <si>
    <t>Healdsburg  City Of</t>
  </si>
  <si>
    <t>CA4910005</t>
  </si>
  <si>
    <t>HEALDSBURG, CITY OF</t>
  </si>
  <si>
    <t>1154</t>
  </si>
  <si>
    <t>Helix Water District</t>
  </si>
  <si>
    <t>CA3710010</t>
  </si>
  <si>
    <t>HELIX WATER DISTRICT</t>
  </si>
  <si>
    <t>1157</t>
  </si>
  <si>
    <t>Hemet  City Of</t>
  </si>
  <si>
    <t>CA3310016</t>
  </si>
  <si>
    <t>HEMET, CITY OF</t>
  </si>
  <si>
    <t>1166</t>
  </si>
  <si>
    <t>Hesperia Water District</t>
  </si>
  <si>
    <t>CA3610024</t>
  </si>
  <si>
    <t>HESPERIA WD</t>
  </si>
  <si>
    <t>1167</t>
  </si>
  <si>
    <t>Hi Desert Water District</t>
  </si>
  <si>
    <t>CA3610073</t>
  </si>
  <si>
    <t>HI DESERT WD</t>
  </si>
  <si>
    <t>1181</t>
  </si>
  <si>
    <t>Hillsborough  Town Of</t>
  </si>
  <si>
    <t>CA4110016</t>
  </si>
  <si>
    <t>TOWN OF HILLSBOROUGH</t>
  </si>
  <si>
    <t>1188</t>
  </si>
  <si>
    <t>Hollister  City Of</t>
  </si>
  <si>
    <t>CA3510001</t>
  </si>
  <si>
    <t>HOLLISTER, CITY OF</t>
  </si>
  <si>
    <t>SAN BENITO</t>
  </si>
  <si>
    <t>1210</t>
  </si>
  <si>
    <t>Humboldt Community Services District</t>
  </si>
  <si>
    <t>CA1210009</t>
  </si>
  <si>
    <t>HUMBOLDT C.S.D.</t>
  </si>
  <si>
    <t>1215</t>
  </si>
  <si>
    <t>Huntington Beach  City Of</t>
  </si>
  <si>
    <t>CA3010053</t>
  </si>
  <si>
    <t>CITY OF HUNTINGTON BEACH</t>
  </si>
  <si>
    <t>1217</t>
  </si>
  <si>
    <t>Huntington Park  City Of</t>
  </si>
  <si>
    <t>CA1910049</t>
  </si>
  <si>
    <t>HUNTINGTON PARK-CITY, WATER DEPT.</t>
  </si>
  <si>
    <t>1225</t>
  </si>
  <si>
    <t>Imperial  City Of</t>
  </si>
  <si>
    <t>CA1310006</t>
  </si>
  <si>
    <t>IMPERIAL, CITY OF</t>
  </si>
  <si>
    <t>1234</t>
  </si>
  <si>
    <t>Indian Wells Valley Water District</t>
  </si>
  <si>
    <t>CA1510017</t>
  </si>
  <si>
    <t>INDIAN WELLS VALLEY W.D.</t>
  </si>
  <si>
    <t>1236</t>
  </si>
  <si>
    <t>Indio  City Of</t>
  </si>
  <si>
    <t>CA3310020</t>
  </si>
  <si>
    <t>INDIO WATER AUTHORITY</t>
  </si>
  <si>
    <t>1238</t>
  </si>
  <si>
    <t>Inglewood  City Of</t>
  </si>
  <si>
    <t>CA1910051</t>
  </si>
  <si>
    <t>INGLEWOOD- CITY, WATER DEPT.</t>
  </si>
  <si>
    <t>1245</t>
  </si>
  <si>
    <t>Irvine Ranch Water District</t>
  </si>
  <si>
    <t>CA3010092</t>
  </si>
  <si>
    <t>IRVINE RANCH WATER DISTRICT</t>
  </si>
  <si>
    <t>1270</t>
  </si>
  <si>
    <t>Joshua Basin Water District</t>
  </si>
  <si>
    <t>CA3610025</t>
  </si>
  <si>
    <t>JOSHUA BASIN WATER DISTRICT</t>
  </si>
  <si>
    <t>1273</t>
  </si>
  <si>
    <t>Jurupa Community Service District</t>
  </si>
  <si>
    <t>CA3310021</t>
  </si>
  <si>
    <t>JURUPA COMMUNITY SD</t>
  </si>
  <si>
    <t>1286</t>
  </si>
  <si>
    <t>Kerman  City Of</t>
  </si>
  <si>
    <t>CA1010018</t>
  </si>
  <si>
    <t>KERMAN, CITY OF</t>
  </si>
  <si>
    <t>1304</t>
  </si>
  <si>
    <t>Kingsburg  City Of</t>
  </si>
  <si>
    <t>CA1010019</t>
  </si>
  <si>
    <t>KINGSBURG, CITY OF</t>
  </si>
  <si>
    <t>1324</t>
  </si>
  <si>
    <t>La Habra  City Of</t>
  </si>
  <si>
    <t>CA3010018</t>
  </si>
  <si>
    <t>CITY OF LA HABRA</t>
  </si>
  <si>
    <t>1327</t>
  </si>
  <si>
    <t>La Palma  City Of</t>
  </si>
  <si>
    <t>CA3010100</t>
  </si>
  <si>
    <t>CITY OF LA PALMA</t>
  </si>
  <si>
    <t>1333</t>
  </si>
  <si>
    <t>La Verne  City Of</t>
  </si>
  <si>
    <t>CA1910062</t>
  </si>
  <si>
    <t>LA VERNE, CITY WD</t>
  </si>
  <si>
    <t>1335</t>
  </si>
  <si>
    <t>Laguna Beach County Water District</t>
  </si>
  <si>
    <t>CA3010017</t>
  </si>
  <si>
    <t>LAGUNA BEACH COUNTY WD</t>
  </si>
  <si>
    <t>1343</t>
  </si>
  <si>
    <t>Lake Arrowhead Community Services District</t>
  </si>
  <si>
    <t>CA3610005</t>
  </si>
  <si>
    <t>LAKE ARROWHEAD CSD</t>
  </si>
  <si>
    <t>1352</t>
  </si>
  <si>
    <t>Lake Hemet Municipal Water District</t>
  </si>
  <si>
    <t>CA3310022</t>
  </si>
  <si>
    <t>LAKE HEMET MWD</t>
  </si>
  <si>
    <t>1368</t>
  </si>
  <si>
    <t>Lakeside Water District</t>
  </si>
  <si>
    <t>CA3710013</t>
  </si>
  <si>
    <t>LAKESIDE WD</t>
  </si>
  <si>
    <t>1370</t>
  </si>
  <si>
    <t>Lakewood  City Of</t>
  </si>
  <si>
    <t>CA1910239</t>
  </si>
  <si>
    <t>LAKEWOOD - CITY, WATER DEPT.</t>
  </si>
  <si>
    <t>1371</t>
  </si>
  <si>
    <t>Lamont Public Utility District</t>
  </si>
  <si>
    <t>CA1510012</t>
  </si>
  <si>
    <t>LAMONT PUBLIC UTILITY DIST</t>
  </si>
  <si>
    <t>1384</t>
  </si>
  <si>
    <t>Las Virgenes Municipal Water District</t>
  </si>
  <si>
    <t>CA1910225</t>
  </si>
  <si>
    <t>LAS VIRGENES MWD</t>
  </si>
  <si>
    <t>1388</t>
  </si>
  <si>
    <t>Lathrop  City Of</t>
  </si>
  <si>
    <t>CA3910015</t>
  </si>
  <si>
    <t>CITY OF LATHROP</t>
  </si>
  <si>
    <t>1408</t>
  </si>
  <si>
    <t>Temescal Valley Water District</t>
  </si>
  <si>
    <t>CA3310074</t>
  </si>
  <si>
    <t>TEMESCAL VALLEY WATER DISTRICT</t>
  </si>
  <si>
    <t>1415</t>
  </si>
  <si>
    <t>Lemoore  City Of</t>
  </si>
  <si>
    <t>CA1610005</t>
  </si>
  <si>
    <t>LEMOORE, CITY OF</t>
  </si>
  <si>
    <t>1424</t>
  </si>
  <si>
    <t>Lincoln  City Of</t>
  </si>
  <si>
    <t>CA3110004</t>
  </si>
  <si>
    <t>CITY OF LINCOLN</t>
  </si>
  <si>
    <t>1425</t>
  </si>
  <si>
    <t>Lincoln Avenue Water Company</t>
  </si>
  <si>
    <t>CA1910063</t>
  </si>
  <si>
    <t>LINCOLN AVENUE WATER CO.</t>
  </si>
  <si>
    <t>1427</t>
  </si>
  <si>
    <t>Linda County Water District</t>
  </si>
  <si>
    <t>CA5810002</t>
  </si>
  <si>
    <t>LINDA COUNTY WATER DISTRICT</t>
  </si>
  <si>
    <t>1432</t>
  </si>
  <si>
    <t>City of Lindsay</t>
  </si>
  <si>
    <t>CA5410006</t>
  </si>
  <si>
    <t>LINDSAY, CITY OF</t>
  </si>
  <si>
    <t>1443</t>
  </si>
  <si>
    <t>Livermore  City Of</t>
  </si>
  <si>
    <t>CA0110011</t>
  </si>
  <si>
    <t>CITY OF LIVERMORE</t>
  </si>
  <si>
    <t>1444</t>
  </si>
  <si>
    <t>Livingston  City Of</t>
  </si>
  <si>
    <t>CA2410004</t>
  </si>
  <si>
    <t>CITY OF LIVINGSTON</t>
  </si>
  <si>
    <t>1450</t>
  </si>
  <si>
    <t>Lodi  City Of</t>
  </si>
  <si>
    <t>CA3910004</t>
  </si>
  <si>
    <t>LODI, CITY OF</t>
  </si>
  <si>
    <t>1452</t>
  </si>
  <si>
    <t>Loma Linda  City Of</t>
  </si>
  <si>
    <t>CA3610013</t>
  </si>
  <si>
    <t>LOMA LINDA, CITY OF</t>
  </si>
  <si>
    <t>1456</t>
  </si>
  <si>
    <t>Lomita  City Of</t>
  </si>
  <si>
    <t>CA1910073</t>
  </si>
  <si>
    <t>LOMITA-CITY, WATER DEPT.</t>
  </si>
  <si>
    <t>1459</t>
  </si>
  <si>
    <t>Lompoc  City Of</t>
  </si>
  <si>
    <t>CA4210006</t>
  </si>
  <si>
    <t>LOMPOC-CITY WATER UTILITY DIV</t>
  </si>
  <si>
    <t>1464</t>
  </si>
  <si>
    <t>Long Beach  City Of</t>
  </si>
  <si>
    <t>CA1910065</t>
  </si>
  <si>
    <t>LONG BEACH-CITY, WATER DEPT.</t>
  </si>
  <si>
    <t>1473</t>
  </si>
  <si>
    <t>Los Angeles City Department Of Water And Power</t>
  </si>
  <si>
    <t>CA1910067</t>
  </si>
  <si>
    <t>LOS ANGELES-CITY, DEPT. OF WATER &amp; POWER</t>
  </si>
  <si>
    <t>1481</t>
  </si>
  <si>
    <t>Los Angeles County Waterworks District 29 - Malibu &amp; Marina Del Rey</t>
  </si>
  <si>
    <t>CA1910204</t>
  </si>
  <si>
    <t>LOS ANGELES CWWD 29 &amp; 80-MALIBU</t>
  </si>
  <si>
    <t>1484</t>
  </si>
  <si>
    <t>Los Angeles County Waterworks District 40 - Antelope Valley</t>
  </si>
  <si>
    <t>CA1910005</t>
  </si>
  <si>
    <t>LOS ANGELES CWWD 40, REG. 38-LAKE LA</t>
  </si>
  <si>
    <t>CA1910025</t>
  </si>
  <si>
    <t>LOS ANGELES CWWD 40, REG. 39-ROCK CREEK</t>
  </si>
  <si>
    <t>CA1910027</t>
  </si>
  <si>
    <t>LOS ANGELES CWWD 40, REG. 35-N.E. L.A.</t>
  </si>
  <si>
    <t>CA1910070</t>
  </si>
  <si>
    <t>LOS ANGELES CWWD 40,REG 4 &amp; 34-LANCASTER</t>
  </si>
  <si>
    <t>CA1910203</t>
  </si>
  <si>
    <t>LOS ANGELES CWWD 40, R 24,27,33-PEARBLSM</t>
  </si>
  <si>
    <t>1487</t>
  </si>
  <si>
    <t>Los Banos  City Of</t>
  </si>
  <si>
    <t>CA2410005</t>
  </si>
  <si>
    <t>CITY OF LOS BANOS</t>
  </si>
  <si>
    <t>1506</t>
  </si>
  <si>
    <t>Lynwood  City Of</t>
  </si>
  <si>
    <t>CA1910079</t>
  </si>
  <si>
    <t>LYNWOOD-CITY, WATER DEPT.</t>
  </si>
  <si>
    <t>1510</t>
  </si>
  <si>
    <t>Madera  City Of</t>
  </si>
  <si>
    <t>CA2010002</t>
  </si>
  <si>
    <t>CITY OF MADERA</t>
  </si>
  <si>
    <t>MADERA</t>
  </si>
  <si>
    <t>1533</t>
  </si>
  <si>
    <t>Mammoth Community Water District</t>
  </si>
  <si>
    <t>CA2610001</t>
  </si>
  <si>
    <t>MAMMOTH CWD</t>
  </si>
  <si>
    <t>MONO</t>
  </si>
  <si>
    <t>1536</t>
  </si>
  <si>
    <t>Manhattan Beach  City Of</t>
  </si>
  <si>
    <t>CA1910083</t>
  </si>
  <si>
    <t>MANHATTAN BEACH-CITY, WATER DEPT.</t>
  </si>
  <si>
    <t>1539</t>
  </si>
  <si>
    <t>Manteca  City Of</t>
  </si>
  <si>
    <t>CA3910005</t>
  </si>
  <si>
    <t>MANTECA, CITY OF</t>
  </si>
  <si>
    <t>1546</t>
  </si>
  <si>
    <t>Marin Municipal Water District</t>
  </si>
  <si>
    <t>CA2110002</t>
  </si>
  <si>
    <t>MARIN MUNICIPAL WATER DISTRICT</t>
  </si>
  <si>
    <t>MARIN</t>
  </si>
  <si>
    <t>1547</t>
  </si>
  <si>
    <t>Marina Coast Water District</t>
  </si>
  <si>
    <t>CA2710017</t>
  </si>
  <si>
    <t>MARINA COAST WATER DISTRICT</t>
  </si>
  <si>
    <t>1554</t>
  </si>
  <si>
    <t>Martinez  City Of</t>
  </si>
  <si>
    <t>CA0710006</t>
  </si>
  <si>
    <t>CITY OF MARTINEZ</t>
  </si>
  <si>
    <t>1570</t>
  </si>
  <si>
    <t>McKinleyville Community Services District</t>
  </si>
  <si>
    <t>CA1210016</t>
  </si>
  <si>
    <t>MCKINLEYVILLE C.S.D.</t>
  </si>
  <si>
    <t>1587</t>
  </si>
  <si>
    <t>Menlo Park  City Of</t>
  </si>
  <si>
    <t>CA4110017</t>
  </si>
  <si>
    <t>MENLO PARK MUNICIPAL WATER</t>
  </si>
  <si>
    <t>1589</t>
  </si>
  <si>
    <t>Merced  City Of</t>
  </si>
  <si>
    <t>CA2410009</t>
  </si>
  <si>
    <t>CITY OF MERCED</t>
  </si>
  <si>
    <t>1596</t>
  </si>
  <si>
    <t>Mesa Water District</t>
  </si>
  <si>
    <t>CA3010004</t>
  </si>
  <si>
    <t>MESA  WATER DISTRICT</t>
  </si>
  <si>
    <t>1605</t>
  </si>
  <si>
    <t>Mid-Peninsula Water District</t>
  </si>
  <si>
    <t>CA4110001</t>
  </si>
  <si>
    <t>MID-PENINSULA WATER DISTRICT</t>
  </si>
  <si>
    <t>1613</t>
  </si>
  <si>
    <t>Millbrae  City Of</t>
  </si>
  <si>
    <t>CA4110018</t>
  </si>
  <si>
    <t>CITY OF MILLBRAE</t>
  </si>
  <si>
    <t>1619</t>
  </si>
  <si>
    <t>Milpitas  City Of</t>
  </si>
  <si>
    <t>CA4310005</t>
  </si>
  <si>
    <t>CITY OF MILPITAS</t>
  </si>
  <si>
    <t>1626</t>
  </si>
  <si>
    <t>Mission Springs Water District</t>
  </si>
  <si>
    <t>CA3310008</t>
  </si>
  <si>
    <t>MISSION SPRINGS WD</t>
  </si>
  <si>
    <t>CA3310078</t>
  </si>
  <si>
    <t>WEST PALM SPRINGS VILLAGE</t>
  </si>
  <si>
    <t>CA3310081</t>
  </si>
  <si>
    <t>PALM SPRINGS CREST</t>
  </si>
  <si>
    <t>1631</t>
  </si>
  <si>
    <t>Modesto  City Of</t>
  </si>
  <si>
    <t>CA5010005</t>
  </si>
  <si>
    <t>CITY OF MODESTO - SALIDA</t>
  </si>
  <si>
    <t>CA5010010</t>
  </si>
  <si>
    <t>MODESTO, CITY OF</t>
  </si>
  <si>
    <t>CA5010023</t>
  </si>
  <si>
    <t>CITY OF MODESTO - SOUTH TURLOCK</t>
  </si>
  <si>
    <t>CA5010029</t>
  </si>
  <si>
    <t>CITY OF MODESTO - DEL RIO</t>
  </si>
  <si>
    <t>CA5010031</t>
  </si>
  <si>
    <t>CITY OF MODESTO - WALNUT MANOR</t>
  </si>
  <si>
    <t>CA5010033</t>
  </si>
  <si>
    <t>CITY OF MODESTO - GRAYSON</t>
  </si>
  <si>
    <t>CA5010034</t>
  </si>
  <si>
    <t>CITY OF MODESTO - NORTH TURLOCK</t>
  </si>
  <si>
    <t>CA5010035</t>
  </si>
  <si>
    <t>CITY OF MODESTO - CENTRAL TURLOCK</t>
  </si>
  <si>
    <t>1639</t>
  </si>
  <si>
    <t>Monrovia  City Of</t>
  </si>
  <si>
    <t>CA1910090</t>
  </si>
  <si>
    <t>MONROVIA-CITY, WATER DEPT.</t>
  </si>
  <si>
    <t>1642</t>
  </si>
  <si>
    <t>Monte Vista Water District</t>
  </si>
  <si>
    <t>CA3610029</t>
  </si>
  <si>
    <t>MONTE VISTA CWD</t>
  </si>
  <si>
    <t>1644</t>
  </si>
  <si>
    <t>Montebello Land And Water Company</t>
  </si>
  <si>
    <t>CA1910091</t>
  </si>
  <si>
    <t>MONTEBELLO LAND &amp; WATER CO.</t>
  </si>
  <si>
    <t>1645</t>
  </si>
  <si>
    <t>Montecito Water District</t>
  </si>
  <si>
    <t>CA4210007</t>
  </si>
  <si>
    <t>MONTECITO WATER DIST</t>
  </si>
  <si>
    <t>1650</t>
  </si>
  <si>
    <t>Monterey Park  City Of</t>
  </si>
  <si>
    <t>CA1910092</t>
  </si>
  <si>
    <t>MONTEREY PARK-CITY, WATER DEPT.</t>
  </si>
  <si>
    <t>1656</t>
  </si>
  <si>
    <t>Morgan Hill  City Of</t>
  </si>
  <si>
    <t>CA4310006</t>
  </si>
  <si>
    <t>CITY OF MORGAN HILL</t>
  </si>
  <si>
    <t>1660</t>
  </si>
  <si>
    <t>Morro Bay  City Of</t>
  </si>
  <si>
    <t>CA4010011</t>
  </si>
  <si>
    <t>MORRO BAY PW DEPT - WATER DIVISION</t>
  </si>
  <si>
    <t>1663</t>
  </si>
  <si>
    <t>Moulton Niguel Water District</t>
  </si>
  <si>
    <t>CA3010073</t>
  </si>
  <si>
    <t>MOULTON NIGUEL WATER DISTRICT</t>
  </si>
  <si>
    <t>1671</t>
  </si>
  <si>
    <t>Mountain View  City Of</t>
  </si>
  <si>
    <t>CA4310007</t>
  </si>
  <si>
    <t>CITY OF MOUNTAIN VIEW</t>
  </si>
  <si>
    <t>1697</t>
  </si>
  <si>
    <t>Myoma Dunes Mutual Water Company</t>
  </si>
  <si>
    <t>CA3310051</t>
  </si>
  <si>
    <t>MYOMA DUNES MUTUAL WATER COMPANY</t>
  </si>
  <si>
    <t>1701</t>
  </si>
  <si>
    <t>Napa  City Of</t>
  </si>
  <si>
    <t>CA2810003</t>
  </si>
  <si>
    <t>NAPA, CITY OF</t>
  </si>
  <si>
    <t>1718</t>
  </si>
  <si>
    <t>Nevada Irrigation District</t>
  </si>
  <si>
    <t>CA2910004</t>
  </si>
  <si>
    <t>NEVADA ID - E. GEORGE, BANNER MOUNTAIN</t>
  </si>
  <si>
    <t>NEVADA</t>
  </si>
  <si>
    <t>CA2910006</t>
  </si>
  <si>
    <t>NEVADA ID - LOMA RICA</t>
  </si>
  <si>
    <t>CA2910014</t>
  </si>
  <si>
    <t>NEVADA ID - LAKE OF PINES</t>
  </si>
  <si>
    <t>CA2910023</t>
  </si>
  <si>
    <t>NEVADA ID - LAKE WILDWOOD</t>
  </si>
  <si>
    <t>CA3110026</t>
  </si>
  <si>
    <t>NEVADA ID - NORTH AUBURN</t>
  </si>
  <si>
    <t>CA5810005</t>
  </si>
  <si>
    <t>NEVADA ID - SMARTSVILLE</t>
  </si>
  <si>
    <t>1729</t>
  </si>
  <si>
    <t>Newman  City of</t>
  </si>
  <si>
    <t>CA5010013</t>
  </si>
  <si>
    <t>CITY OF NEWMAN-WATER DEPARTMENT</t>
  </si>
  <si>
    <t>1730</t>
  </si>
  <si>
    <t>Newport Beach  City Of</t>
  </si>
  <si>
    <t>CA3010023</t>
  </si>
  <si>
    <t>CITY OF NEWPORT BEACH</t>
  </si>
  <si>
    <t>1731</t>
  </si>
  <si>
    <t>Nipomo Community Service District</t>
  </si>
  <si>
    <t>CA4010026</t>
  </si>
  <si>
    <t>NIPOMO COMM SERVICES DIST</t>
  </si>
  <si>
    <t>1732</t>
  </si>
  <si>
    <t>Norco  City Of</t>
  </si>
  <si>
    <t>CA3310025</t>
  </si>
  <si>
    <t>NORCO, CITY OF</t>
  </si>
  <si>
    <t>1739</t>
  </si>
  <si>
    <t>North Coast County Water District</t>
  </si>
  <si>
    <t>CA4110025</t>
  </si>
  <si>
    <t>NORTH COAST COUNTY WATER DIST</t>
  </si>
  <si>
    <t>1748</t>
  </si>
  <si>
    <t>North Marin Water District</t>
  </si>
  <si>
    <t>CA2110003</t>
  </si>
  <si>
    <t>NORTH MARIN WATER DISTRICT</t>
  </si>
  <si>
    <t>1752</t>
  </si>
  <si>
    <t>North Tahoe Public Utilities District</t>
  </si>
  <si>
    <t>CA3110001</t>
  </si>
  <si>
    <t>NORTH TAHOE PUD - MAIN</t>
  </si>
  <si>
    <t>CA3110023</t>
  </si>
  <si>
    <t>NORTH TAHOE PUD - CARNELIAN WOODS</t>
  </si>
  <si>
    <t>CA3110036</t>
  </si>
  <si>
    <t>NORTH TAHOE PUD - DOLLAR COVE</t>
  </si>
  <si>
    <t>1756</t>
  </si>
  <si>
    <t>Norwalk  City Of</t>
  </si>
  <si>
    <t>CA1910191</t>
  </si>
  <si>
    <t>NORWALK - CITY, WATER DEPT.</t>
  </si>
  <si>
    <t>1765</t>
  </si>
  <si>
    <t>Oakdale  City Of</t>
  </si>
  <si>
    <t>CA5010014</t>
  </si>
  <si>
    <t>OAKDALE, CITY OF</t>
  </si>
  <si>
    <t>1777</t>
  </si>
  <si>
    <t>Oceanside  City Of</t>
  </si>
  <si>
    <t>CA3710014</t>
  </si>
  <si>
    <t>OCEANSIDE, CITY OF</t>
  </si>
  <si>
    <t>1782</t>
  </si>
  <si>
    <t>Oildale Mutual Water Company</t>
  </si>
  <si>
    <t>CA1510015</t>
  </si>
  <si>
    <t>OILDALE MWC</t>
  </si>
  <si>
    <t>1792</t>
  </si>
  <si>
    <t>Olivehurst Public Utilities District</t>
  </si>
  <si>
    <t>CA5805001</t>
  </si>
  <si>
    <t>PLUMAS LAKE</t>
  </si>
  <si>
    <t>No</t>
  </si>
  <si>
    <t>CA5810003</t>
  </si>
  <si>
    <t>OLIVEHURST PUBLIC U.D.</t>
  </si>
  <si>
    <t>1793</t>
  </si>
  <si>
    <t>Olivenhain Municipal Water District</t>
  </si>
  <si>
    <t>CA3710029</t>
  </si>
  <si>
    <t>OLIVENHAIN MWD</t>
  </si>
  <si>
    <t>1795</t>
  </si>
  <si>
    <t>Ontario  City Of</t>
  </si>
  <si>
    <t>CA3610034</t>
  </si>
  <si>
    <t>ONTARIO MUNICIPAL UTILITIES COMPANY</t>
  </si>
  <si>
    <t>1797</t>
  </si>
  <si>
    <t>Orange  City Of</t>
  </si>
  <si>
    <t>CA3010027</t>
  </si>
  <si>
    <t>CITY OF ORANGE</t>
  </si>
  <si>
    <t>1803</t>
  </si>
  <si>
    <t>Orangevale Water Company</t>
  </si>
  <si>
    <t>CA3410016</t>
  </si>
  <si>
    <t>ORANGE VALE WATER COMPANY</t>
  </si>
  <si>
    <t>1804</t>
  </si>
  <si>
    <t>Orchard Dale Water District</t>
  </si>
  <si>
    <t>CA1910101</t>
  </si>
  <si>
    <t>ORCHARD DALE WATER DISTRICT</t>
  </si>
  <si>
    <t>1821</t>
  </si>
  <si>
    <t>Otay Water District</t>
  </si>
  <si>
    <t>CA3710034</t>
  </si>
  <si>
    <t>OTAY WATER DISTRICT</t>
  </si>
  <si>
    <t>1827</t>
  </si>
  <si>
    <t>Oxnard  City Of</t>
  </si>
  <si>
    <t>CA5610007</t>
  </si>
  <si>
    <t>OXNARD WATER DEPT</t>
  </si>
  <si>
    <t>1838</t>
  </si>
  <si>
    <t>Padre Dam Municipal Water District</t>
  </si>
  <si>
    <t>CA3710037</t>
  </si>
  <si>
    <t>PADRE DAM MWD</t>
  </si>
  <si>
    <t>1849</t>
  </si>
  <si>
    <t>Palmdale Water District</t>
  </si>
  <si>
    <t>CA1910102</t>
  </si>
  <si>
    <t>PALMDALE WATER DIST.</t>
  </si>
  <si>
    <t>1851</t>
  </si>
  <si>
    <t>Palo Alto  City Of</t>
  </si>
  <si>
    <t>CA4310009</t>
  </si>
  <si>
    <t>CITY OF PALO ALTO</t>
  </si>
  <si>
    <t>1859</t>
  </si>
  <si>
    <t>Paradise Irrigation District</t>
  </si>
  <si>
    <t>CA0410007</t>
  </si>
  <si>
    <t>PARADISE IRRIGATION DISTRICT</t>
  </si>
  <si>
    <t>1866</t>
  </si>
  <si>
    <t>Paramount  City Of</t>
  </si>
  <si>
    <t>CA1910105</t>
  </si>
  <si>
    <t>PARAMOUNT - CITY, WATER DEPT.</t>
  </si>
  <si>
    <t>1869</t>
  </si>
  <si>
    <t>Liberty Utilities (Park Water) Corp</t>
  </si>
  <si>
    <t>CA1910021</t>
  </si>
  <si>
    <t>LIBERTY UTILITIES - COMPTON</t>
  </si>
  <si>
    <t>CA1910161</t>
  </si>
  <si>
    <t>LIBERTY UTILITIES - LYNWOOD</t>
  </si>
  <si>
    <t>CA1910211</t>
  </si>
  <si>
    <t>LIBERTY UTILITIES - BELLFLOWER-NORWALK</t>
  </si>
  <si>
    <t>1873</t>
  </si>
  <si>
    <t>Pasadena  City Of</t>
  </si>
  <si>
    <t>CA1910124</t>
  </si>
  <si>
    <t>PASADENA WATER AND POWER</t>
  </si>
  <si>
    <t>1875</t>
  </si>
  <si>
    <t>Paso Robles  City Of</t>
  </si>
  <si>
    <t>CA4010007</t>
  </si>
  <si>
    <t>PASO ROBLES WATER DEPARTMENT</t>
  </si>
  <si>
    <t>1877</t>
  </si>
  <si>
    <t>Patterson  City Of</t>
  </si>
  <si>
    <t>CA5010017</t>
  </si>
  <si>
    <t>PATTERSON, CITY OF</t>
  </si>
  <si>
    <t>1894</t>
  </si>
  <si>
    <t>Petaluma  City Of</t>
  </si>
  <si>
    <t>CA4910006</t>
  </si>
  <si>
    <t>PETALUMA, CITY OF</t>
  </si>
  <si>
    <t>1896</t>
  </si>
  <si>
    <t>Phelan Pinon Hills Community Services District</t>
  </si>
  <si>
    <t>CA3610120</t>
  </si>
  <si>
    <t>PHELAN PINON HILLS CSD</t>
  </si>
  <si>
    <t>1899</t>
  </si>
  <si>
    <t>Pico Rivera  City Of</t>
  </si>
  <si>
    <t>CA1910042</t>
  </si>
  <si>
    <t>PICO RIVERA - CITY, WATER DEPT.</t>
  </si>
  <si>
    <t>1900</t>
  </si>
  <si>
    <t>Pico Water District</t>
  </si>
  <si>
    <t>CA1910125</t>
  </si>
  <si>
    <t>PICO WD</t>
  </si>
  <si>
    <t>1923</t>
  </si>
  <si>
    <t>Pismo Beach  City Of</t>
  </si>
  <si>
    <t>CA4010008</t>
  </si>
  <si>
    <t>PISMO BEACH WATER DEPARTMENT</t>
  </si>
  <si>
    <t>1925</t>
  </si>
  <si>
    <t>Pittsburg  City Of</t>
  </si>
  <si>
    <t>CA0710008</t>
  </si>
  <si>
    <t>CITY OF PITTSBURG</t>
  </si>
  <si>
    <t>1927</t>
  </si>
  <si>
    <t>Placer County Water Agency</t>
  </si>
  <si>
    <t>CA3110005</t>
  </si>
  <si>
    <t>PLACER CWA - AUBURN/BOWMAN</t>
  </si>
  <si>
    <t>CA3110006</t>
  </si>
  <si>
    <t>PLACER CWA - COLFAX</t>
  </si>
  <si>
    <t>CA3110024</t>
  </si>
  <si>
    <t>PLACER CWA - ALTA</t>
  </si>
  <si>
    <t>CA3110025</t>
  </si>
  <si>
    <t>PLACER CWA - FOOTHILL</t>
  </si>
  <si>
    <t>CA3110040</t>
  </si>
  <si>
    <t>PLACER CWA - BIANCHI ESTATES</t>
  </si>
  <si>
    <t>CA3110050</t>
  </si>
  <si>
    <t>PLACER CWA - APPLEGATE</t>
  </si>
  <si>
    <t>CA3110124</t>
  </si>
  <si>
    <t>PLACER CWA - MONTE VISTA</t>
  </si>
  <si>
    <t>1940</t>
  </si>
  <si>
    <t>Pleasanton  City Of</t>
  </si>
  <si>
    <t>CA0110008</t>
  </si>
  <si>
    <t>CITY OF PLEASANTON</t>
  </si>
  <si>
    <t>1945</t>
  </si>
  <si>
    <t>Pomona  City Of</t>
  </si>
  <si>
    <t>CA1910126</t>
  </si>
  <si>
    <t>POMONA - CITY, WATER DEPT.</t>
  </si>
  <si>
    <t>1953</t>
  </si>
  <si>
    <t>Port Hueneme  City Of</t>
  </si>
  <si>
    <t>CA5610009</t>
  </si>
  <si>
    <t>PORT HUENEME WATER DEPT</t>
  </si>
  <si>
    <t>1956</t>
  </si>
  <si>
    <t>Porterville  City Of</t>
  </si>
  <si>
    <t>CA5410010</t>
  </si>
  <si>
    <t>PORTERVILLE, CITY OF</t>
  </si>
  <si>
    <t>1964</t>
  </si>
  <si>
    <t>Poway  City Of</t>
  </si>
  <si>
    <t>CA3710015</t>
  </si>
  <si>
    <t>POWAY, CITY OF</t>
  </si>
  <si>
    <t>1983</t>
  </si>
  <si>
    <t>Quartz Hill Water District</t>
  </si>
  <si>
    <t>CA1910130</t>
  </si>
  <si>
    <t>QUARTZ HILL WATER DIST.</t>
  </si>
  <si>
    <t>1990</t>
  </si>
  <si>
    <t>Rainbow Municipal Water District</t>
  </si>
  <si>
    <t>CA3710016</t>
  </si>
  <si>
    <t>RAINBOW MUNICIPAL WD</t>
  </si>
  <si>
    <t>1996</t>
  </si>
  <si>
    <t>Ramona Municipal Water District</t>
  </si>
  <si>
    <t>CA3710019</t>
  </si>
  <si>
    <t>RAMONA MUNICIPAL WD</t>
  </si>
  <si>
    <t>2000</t>
  </si>
  <si>
    <t>Rancho California Water District</t>
  </si>
  <si>
    <t>CA3310038</t>
  </si>
  <si>
    <t>RANCHO CALIFORNIA WATER DISTRICT</t>
  </si>
  <si>
    <t>2031</t>
  </si>
  <si>
    <t>Red Bluff  City Of</t>
  </si>
  <si>
    <t>CA5210004</t>
  </si>
  <si>
    <t>CITY OF RED BLUFF</t>
  </si>
  <si>
    <t>TEHAMA</t>
  </si>
  <si>
    <t>2033</t>
  </si>
  <si>
    <t>Redding  City Of</t>
  </si>
  <si>
    <t>CA4510005</t>
  </si>
  <si>
    <t>CITY OF REDDING</t>
  </si>
  <si>
    <t>2035</t>
  </si>
  <si>
    <t>Redlands  City Of</t>
  </si>
  <si>
    <t>CA3610037</t>
  </si>
  <si>
    <t>REDLANDS CITY MUD-WATER DIV</t>
  </si>
  <si>
    <t>2037</t>
  </si>
  <si>
    <t>Redwood City</t>
  </si>
  <si>
    <t>CA4110022</t>
  </si>
  <si>
    <t>CITY OF REDWOOD CITY</t>
  </si>
  <si>
    <t>2042</t>
  </si>
  <si>
    <t>Reedley  City Of</t>
  </si>
  <si>
    <t>CA1010027</t>
  </si>
  <si>
    <t>REEDLEY, CITY OF</t>
  </si>
  <si>
    <t>2049</t>
  </si>
  <si>
    <t>Rialto  City Of</t>
  </si>
  <si>
    <t>CA3610038</t>
  </si>
  <si>
    <t>RIALTO, CITY OF</t>
  </si>
  <si>
    <t>2057</t>
  </si>
  <si>
    <t>Rincon Del Diablo Municipal Water District</t>
  </si>
  <si>
    <t>CA3710018</t>
  </si>
  <si>
    <t>RINCON DEL DIABLO MWD (ID-1)</t>
  </si>
  <si>
    <t>CA3710044</t>
  </si>
  <si>
    <t>RINCON DEL DIABLO MWD (ID-A)</t>
  </si>
  <si>
    <t>2060</t>
  </si>
  <si>
    <t>Rio Linda - Elverta Community Water District</t>
  </si>
  <si>
    <t>CA3410018</t>
  </si>
  <si>
    <t>RIO LINDA/ELVERTA COMMUNITY WATER DIST</t>
  </si>
  <si>
    <t>2063</t>
  </si>
  <si>
    <t>Rio Vista  City Of</t>
  </si>
  <si>
    <t>CA4810004</t>
  </si>
  <si>
    <t>CITY OF RIO VISTA</t>
  </si>
  <si>
    <t>2065</t>
  </si>
  <si>
    <t>Ripon  City Of</t>
  </si>
  <si>
    <t>CA3910007</t>
  </si>
  <si>
    <t>RIPON, CITY OF</t>
  </si>
  <si>
    <t>2074</t>
  </si>
  <si>
    <t>Riverbank  City Of</t>
  </si>
  <si>
    <t>CA5010018</t>
  </si>
  <si>
    <t>RIVERBANK, CITY OF</t>
  </si>
  <si>
    <t>2083</t>
  </si>
  <si>
    <t>Riverside  City Of</t>
  </si>
  <si>
    <t>CA3310031</t>
  </si>
  <si>
    <t>RIVERSIDE, CITY OF</t>
  </si>
  <si>
    <t>2087</t>
  </si>
  <si>
    <t>Riverside Highland Water Company</t>
  </si>
  <si>
    <t>CA3610057</t>
  </si>
  <si>
    <t>RIVERSIDE HIGHLAND WATER COMPANY</t>
  </si>
  <si>
    <t>2103</t>
  </si>
  <si>
    <t>Rohnert Park  City Of</t>
  </si>
  <si>
    <t>CA4910014</t>
  </si>
  <si>
    <t>ROHNERT PARK, CITY OF</t>
  </si>
  <si>
    <t>2107</t>
  </si>
  <si>
    <t>Rosamond Community Service District</t>
  </si>
  <si>
    <t>CA1510018</t>
  </si>
  <si>
    <t>ROSAMOND CSD</t>
  </si>
  <si>
    <t>2111</t>
  </si>
  <si>
    <t>Roseville  City Of</t>
  </si>
  <si>
    <t>CA3110008</t>
  </si>
  <si>
    <t>CITY OF ROSEVILLE</t>
  </si>
  <si>
    <t>2115</t>
  </si>
  <si>
    <t>Rowland Water District</t>
  </si>
  <si>
    <t>CA1910194</t>
  </si>
  <si>
    <t>ROWLAND WATER DISTRICT</t>
  </si>
  <si>
    <t>2118</t>
  </si>
  <si>
    <t>Rubidoux Community Service District</t>
  </si>
  <si>
    <t>CA3310044</t>
  </si>
  <si>
    <t>RUBIDOUX COMMUNITY SD</t>
  </si>
  <si>
    <t>2119</t>
  </si>
  <si>
    <t>Rubio Canyon Land And Water Association</t>
  </si>
  <si>
    <t>CA1910140</t>
  </si>
  <si>
    <t>RUBIO CANON LAND &amp; WATER ASSOCIATION</t>
  </si>
  <si>
    <t>2122</t>
  </si>
  <si>
    <t>Running Springs Water District</t>
  </si>
  <si>
    <t>CA3610062</t>
  </si>
  <si>
    <t>RUNNING SPRINGS WATER DISTRICT</t>
  </si>
  <si>
    <t>2130</t>
  </si>
  <si>
    <t>Sacramento  City Of</t>
  </si>
  <si>
    <t>CA3410020</t>
  </si>
  <si>
    <t>CITY OF SACRAMENTO MAIN</t>
  </si>
  <si>
    <t>2132</t>
  </si>
  <si>
    <t>Sacramento County Water Agency</t>
  </si>
  <si>
    <t>CA3400101</t>
  </si>
  <si>
    <t>HOOD WATER MAINTENCE DIST [SWS]</t>
  </si>
  <si>
    <t>CA3400106</t>
  </si>
  <si>
    <t>EAST WALNUT GROVE [SWS]</t>
  </si>
  <si>
    <t>CA3400156</t>
  </si>
  <si>
    <t>SOUTHWEST TRACT W M D [SWS]</t>
  </si>
  <si>
    <t>CA3400173</t>
  </si>
  <si>
    <t>NORTHGATE 880 [SWS]</t>
  </si>
  <si>
    <t>CA3410002</t>
  </si>
  <si>
    <t>SCWA - ARDEN PARK VISTA</t>
  </si>
  <si>
    <t>CA3410029</t>
  </si>
  <si>
    <t>SCWA - LAGUNA/VINEYARD</t>
  </si>
  <si>
    <t>CA3410704</t>
  </si>
  <si>
    <t>SCWA MATHER-SUNRISE</t>
  </si>
  <si>
    <t>2140</t>
  </si>
  <si>
    <t>Sacramento Suburban Water District</t>
  </si>
  <si>
    <t>CA3410001</t>
  </si>
  <si>
    <t>SACRAMENTO SUBURBAN WATER DISTRICT</t>
  </si>
  <si>
    <t>2150</t>
  </si>
  <si>
    <t>San Bernardino  City Of</t>
  </si>
  <si>
    <t>CA3610039</t>
  </si>
  <si>
    <t>SAN BERNARDINO CITY</t>
  </si>
  <si>
    <t>2154</t>
  </si>
  <si>
    <t>San Bernardino County Service Area 64 Spring Valley Lake</t>
  </si>
  <si>
    <t>CA3610121</t>
  </si>
  <si>
    <t>SBDNO COUNTY SERVICE AREA 64</t>
  </si>
  <si>
    <t>2157</t>
  </si>
  <si>
    <t>San Bruno  City Of</t>
  </si>
  <si>
    <t>CA4110023</t>
  </si>
  <si>
    <t>CITY OF SAN BRUNO</t>
  </si>
  <si>
    <t>2158</t>
  </si>
  <si>
    <t>San Buenaventura  City Of (Ventura)</t>
  </si>
  <si>
    <t>CA5610017</t>
  </si>
  <si>
    <t>VENTURA WATER DEPARTMENT</t>
  </si>
  <si>
    <t>2159</t>
  </si>
  <si>
    <t>San Clemente  City Of</t>
  </si>
  <si>
    <t>CA3010036</t>
  </si>
  <si>
    <t>CITY OF SAN CLEMENTE</t>
  </si>
  <si>
    <t>2160</t>
  </si>
  <si>
    <t>San Diego  City Of</t>
  </si>
  <si>
    <t>CA3710020</t>
  </si>
  <si>
    <t>SAN DIEGO, CITY OF</t>
  </si>
  <si>
    <t>2162</t>
  </si>
  <si>
    <t>San Dieguito Water District</t>
  </si>
  <si>
    <t>CA3710021</t>
  </si>
  <si>
    <t>SAN DIEGUITO WD</t>
  </si>
  <si>
    <t>2163</t>
  </si>
  <si>
    <t>San Fernando  City Of</t>
  </si>
  <si>
    <t>CA1910143</t>
  </si>
  <si>
    <t>SAN FERNANDO-CITY, WATER DEPT.</t>
  </si>
  <si>
    <t>2164</t>
  </si>
  <si>
    <t>San Francisco Public Utilities Commission</t>
  </si>
  <si>
    <t>CA0110012</t>
  </si>
  <si>
    <t>TOWN OF SUNOL - SFPUC</t>
  </si>
  <si>
    <t>CA0110018</t>
  </si>
  <si>
    <t>SFPUC-PLEASANTON WELLS</t>
  </si>
  <si>
    <t>CA3810011</t>
  </si>
  <si>
    <t>SFPUC CITY DISTRIBUTION DIVISION</t>
  </si>
  <si>
    <t>SAN FRANCISCO</t>
  </si>
  <si>
    <t>2165</t>
  </si>
  <si>
    <t>San Gabriel County Water District</t>
  </si>
  <si>
    <t>CA1910144</t>
  </si>
  <si>
    <t>SAN GABRIEL COUNTY WD</t>
  </si>
  <si>
    <t>2166</t>
  </si>
  <si>
    <t>San Gabriel Valley Water Company   Fontana Division</t>
  </si>
  <si>
    <t>CA3610041</t>
  </si>
  <si>
    <t>SAN GABRIEL VALLEY WC - FONTANA</t>
  </si>
  <si>
    <t>2167</t>
  </si>
  <si>
    <t>San Gabriel Valley Water Company</t>
  </si>
  <si>
    <t>CA1910039</t>
  </si>
  <si>
    <t>SAN GABRIEL VALLEY WATER CO.-EL MONTE</t>
  </si>
  <si>
    <t>CA1910189</t>
  </si>
  <si>
    <t>SAN GABRIEL VALLEY WATER CO.-MONTEBELLO</t>
  </si>
  <si>
    <t>2169</t>
  </si>
  <si>
    <t>San Jacinto  City Of</t>
  </si>
  <si>
    <t>CA3310032</t>
  </si>
  <si>
    <t>SAN JACINTO, CITY OF</t>
  </si>
  <si>
    <t>2174</t>
  </si>
  <si>
    <t>San Jose  City Of</t>
  </si>
  <si>
    <t>CA4310019</t>
  </si>
  <si>
    <t>CITY OF SAN JOSE - NSJ/ALVISO</t>
  </si>
  <si>
    <t>CA4310020</t>
  </si>
  <si>
    <t>CITY OF SAN JOSE - EVG/EDV/COY</t>
  </si>
  <si>
    <t>2175</t>
  </si>
  <si>
    <t>San Jose Water Company</t>
  </si>
  <si>
    <t>CA4310011</t>
  </si>
  <si>
    <t>SAN JOSE WATER</t>
  </si>
  <si>
    <t>CA4310018</t>
  </si>
  <si>
    <t>CITY OF CUPERTINO</t>
  </si>
  <si>
    <t>2179</t>
  </si>
  <si>
    <t>San Juan Water District</t>
  </si>
  <si>
    <t>CA3410021</t>
  </si>
  <si>
    <t>SAN JUAN WATER DISTRICT</t>
  </si>
  <si>
    <t>2180</t>
  </si>
  <si>
    <t>San Lorenzo Valley Water District</t>
  </si>
  <si>
    <t>CA4410002</t>
  </si>
  <si>
    <t>SLVWD - FELTON WATER SYSTEM</t>
  </si>
  <si>
    <t>SANTA CRUZ</t>
  </si>
  <si>
    <t>CA4410014</t>
  </si>
  <si>
    <t>SAN LORENZO VALLEY WATER DIST</t>
  </si>
  <si>
    <t>2182</t>
  </si>
  <si>
    <t>San Luis Obispo  City Of</t>
  </si>
  <si>
    <t>CA4010009</t>
  </si>
  <si>
    <t>SAN LUIS OBISPO WATER DEPARTMENT</t>
  </si>
  <si>
    <t>2205</t>
  </si>
  <si>
    <t>Sanger  City Of</t>
  </si>
  <si>
    <t>CA1010029</t>
  </si>
  <si>
    <t>CITY OF SANGER</t>
  </si>
  <si>
    <t>2207</t>
  </si>
  <si>
    <t>Santa Ana  City Of</t>
  </si>
  <si>
    <t>CA3010038</t>
  </si>
  <si>
    <t>CITY OF SANTA ANA</t>
  </si>
  <si>
    <t>2209</t>
  </si>
  <si>
    <t>Santa Barbara  City Of</t>
  </si>
  <si>
    <t>CA4210010</t>
  </si>
  <si>
    <t>CITY OF SANTA BARBARA WATER DEPARTMENT</t>
  </si>
  <si>
    <t>2210</t>
  </si>
  <si>
    <t>Santa Clara  City Of</t>
  </si>
  <si>
    <t>CA4310012</t>
  </si>
  <si>
    <t>CITY OF SANTA CLARA</t>
  </si>
  <si>
    <t>2213</t>
  </si>
  <si>
    <t>Santa Cruz  City Of</t>
  </si>
  <si>
    <t>CA4410010</t>
  </si>
  <si>
    <t>SANTA CRUZ WATER DEPARTMENT</t>
  </si>
  <si>
    <t>2214</t>
  </si>
  <si>
    <t>Santa Fe Irrigation District</t>
  </si>
  <si>
    <t>CA3710023</t>
  </si>
  <si>
    <t>SANTA FE I.D.</t>
  </si>
  <si>
    <t>2215</t>
  </si>
  <si>
    <t>Santa Fe Springs  City Of</t>
  </si>
  <si>
    <t>CA1910245</t>
  </si>
  <si>
    <t>SANTA FE SPRINGS - CITY, WATER DEPT.</t>
  </si>
  <si>
    <t>2217</t>
  </si>
  <si>
    <t>Santa Margarita Water District</t>
  </si>
  <si>
    <t>CA3010101</t>
  </si>
  <si>
    <t>SANTA MARGARITA WATER DISTRICT</t>
  </si>
  <si>
    <t>CA3010030</t>
  </si>
  <si>
    <t>CITY OF SAN JUAN CAPISTRANO</t>
  </si>
  <si>
    <t>2218</t>
  </si>
  <si>
    <t>Santa Maria  City Of</t>
  </si>
  <si>
    <t>CA4210011</t>
  </si>
  <si>
    <t>SANTA MARIA WATER DEPARTMENT</t>
  </si>
  <si>
    <t>2220</t>
  </si>
  <si>
    <t>Santa Monica  City Of</t>
  </si>
  <si>
    <t>CA1910146</t>
  </si>
  <si>
    <t>SANTA MONICA-CITY, WATER DIVISION</t>
  </si>
  <si>
    <t>2222</t>
  </si>
  <si>
    <t>Santa Paula  City Of</t>
  </si>
  <si>
    <t>CA5610011</t>
  </si>
  <si>
    <t>CITY OF SANTA PAULA</t>
  </si>
  <si>
    <t>2224</t>
  </si>
  <si>
    <t>Santa Rosa  City Of</t>
  </si>
  <si>
    <t>CA4910009</t>
  </si>
  <si>
    <t>SANTA ROSA, CITY OF</t>
  </si>
  <si>
    <t>2237</t>
  </si>
  <si>
    <t>Scotts Valley Water District</t>
  </si>
  <si>
    <t>CA4410013</t>
  </si>
  <si>
    <t>SCOTTS VALLEY WATER DISTRICT</t>
  </si>
  <si>
    <t>2241</t>
  </si>
  <si>
    <t>Seal Beach  City Of</t>
  </si>
  <si>
    <t>CA3010041</t>
  </si>
  <si>
    <t>CITY OF SEAL BEACH</t>
  </si>
  <si>
    <t>2260</t>
  </si>
  <si>
    <t>Shafter  City Of</t>
  </si>
  <si>
    <t>CA1510019</t>
  </si>
  <si>
    <t>SHAFTER, CITY OF</t>
  </si>
  <si>
    <t>2273</t>
  </si>
  <si>
    <t>Shasta Lake  City Of</t>
  </si>
  <si>
    <t>CA4510006</t>
  </si>
  <si>
    <t>CITY OF SHASTA LAKE</t>
  </si>
  <si>
    <t>2290</t>
  </si>
  <si>
    <t>Sierra Madre  City Of</t>
  </si>
  <si>
    <t>CA1910148</t>
  </si>
  <si>
    <t>SIERRA MADRE-CITY, WATER DEPT.</t>
  </si>
  <si>
    <t>2298</t>
  </si>
  <si>
    <t>Signal Hill  City Of</t>
  </si>
  <si>
    <t>CA1910149</t>
  </si>
  <si>
    <t>SIGNAL HILL - CITY, WATER DEPT.</t>
  </si>
  <si>
    <t>2323</t>
  </si>
  <si>
    <t>Soledad  City Of</t>
  </si>
  <si>
    <t>CA2710011</t>
  </si>
  <si>
    <t>SOLEDAD, CITY OF</t>
  </si>
  <si>
    <t>2326</t>
  </si>
  <si>
    <t>Sonoma  City Of</t>
  </si>
  <si>
    <t>CA4910012</t>
  </si>
  <si>
    <t>SONOMA, CITY OF</t>
  </si>
  <si>
    <t>2330</t>
  </si>
  <si>
    <t>Soquel Creek Water District</t>
  </si>
  <si>
    <t>CA4410017</t>
  </si>
  <si>
    <t>SOQUEL CREEK WATER DISTRICT</t>
  </si>
  <si>
    <t>2334</t>
  </si>
  <si>
    <t>South Coast Water District</t>
  </si>
  <si>
    <t>CA3010042</t>
  </si>
  <si>
    <t>SOUTH COAST WATER DISTRICT</t>
  </si>
  <si>
    <t>2337</t>
  </si>
  <si>
    <t>South Feather Water and Power</t>
  </si>
  <si>
    <t>CA0410006</t>
  </si>
  <si>
    <t>SOUTH FEATHER W&amp;P - MINERS RANCH</t>
  </si>
  <si>
    <t>CA0410012</t>
  </si>
  <si>
    <t>SOUTH FEATHER W&amp;P - BANGOR</t>
  </si>
  <si>
    <t>2341</t>
  </si>
  <si>
    <t>South Gate  City Of</t>
  </si>
  <si>
    <t>CA1910152</t>
  </si>
  <si>
    <t>SOUTH GATE-CITY, WATER DEPT.</t>
  </si>
  <si>
    <t>2345</t>
  </si>
  <si>
    <t>South Pasadena  City Of</t>
  </si>
  <si>
    <t>CA1910154</t>
  </si>
  <si>
    <t>CITY OF SOUTH PASADENA</t>
  </si>
  <si>
    <t>2348</t>
  </si>
  <si>
    <t>South Tahoe Public Utility District</t>
  </si>
  <si>
    <t>CA0910002</t>
  </si>
  <si>
    <t>SOUTH TAHOE PUD - MAIN</t>
  </si>
  <si>
    <t>2381</t>
  </si>
  <si>
    <t>Stockton  City Of</t>
  </si>
  <si>
    <t>CA3910006</t>
  </si>
  <si>
    <t>STOCKTON EAST WATER DISTRICT</t>
  </si>
  <si>
    <t>CA3910012</t>
  </si>
  <si>
    <t>CITY OF STOCKTON</t>
  </si>
  <si>
    <t>2401</t>
  </si>
  <si>
    <t>Suburban Water Systems - San Jose Hills</t>
  </si>
  <si>
    <t>CA1910046</t>
  </si>
  <si>
    <t>SUBURBAN WATER SYSTEMS-GLENDORA</t>
  </si>
  <si>
    <t>CA1910200</t>
  </si>
  <si>
    <t>SUBURBAN WATER SYSTEMS-COVINA KNOLLS</t>
  </si>
  <si>
    <t>CA1910205</t>
  </si>
  <si>
    <t>SUBURBAN WATER SYSTEMS-SAN JOSE</t>
  </si>
  <si>
    <t>2402</t>
  </si>
  <si>
    <t>Suburban Water Systems - Whittier/La Mirada</t>
  </si>
  <si>
    <t>CA1910059</t>
  </si>
  <si>
    <t>SUBURBAN WATER SYSTEMS-LA MIRADA</t>
  </si>
  <si>
    <t>CA1910174</t>
  </si>
  <si>
    <t>SUBURBAN WATER SYSTEMS-WHITTIER</t>
  </si>
  <si>
    <t>2405</t>
  </si>
  <si>
    <t>Suisun - Solano Water Authority</t>
  </si>
  <si>
    <t>CA4810005</t>
  </si>
  <si>
    <t>SUISUN-SOLANO WATER AUTHORITY</t>
  </si>
  <si>
    <t>2419</t>
  </si>
  <si>
    <t>Sunny Slope Water Company</t>
  </si>
  <si>
    <t>CA1910157</t>
  </si>
  <si>
    <t>SUNNY SLOPE WATER CO.</t>
  </si>
  <si>
    <t>2424</t>
  </si>
  <si>
    <t>Sunnyslope County Water District</t>
  </si>
  <si>
    <t>CA3510003</t>
  </si>
  <si>
    <t>SUNNYSLOPE COUNTY WATER DIST</t>
  </si>
  <si>
    <t>2425</t>
  </si>
  <si>
    <t>Sunnyvale  City Of</t>
  </si>
  <si>
    <t>CA4310014</t>
  </si>
  <si>
    <t>CITY OF SUNNYVALE</t>
  </si>
  <si>
    <t>2432</t>
  </si>
  <si>
    <t>Susanville  City Of</t>
  </si>
  <si>
    <t>CA1810001</t>
  </si>
  <si>
    <t>CITY OF SUSANVILLE</t>
  </si>
  <si>
    <t>LASSEN</t>
  </si>
  <si>
    <t>2437</t>
  </si>
  <si>
    <t>Sweetwater Authority</t>
  </si>
  <si>
    <t>CA3710025</t>
  </si>
  <si>
    <t>SWEETWATER AUTHORITY</t>
  </si>
  <si>
    <t>2438</t>
  </si>
  <si>
    <t>Sweetwater Springs Water District</t>
  </si>
  <si>
    <t>CA4910004</t>
  </si>
  <si>
    <t>SWEETWATER SPRINGS CWD - GUERNEVILLE</t>
  </si>
  <si>
    <t>CA4910028</t>
  </si>
  <si>
    <t>SWEETWATER SPRINGS CWD - MONTE RIO</t>
  </si>
  <si>
    <t>2444</t>
  </si>
  <si>
    <t>Tahoe City Public Utilities District</t>
  </si>
  <si>
    <t>CA0910012</t>
  </si>
  <si>
    <t>TAHOE CITY PUD - RUBICON</t>
  </si>
  <si>
    <t>CA3100029</t>
  </si>
  <si>
    <t>TAHOE CITY PUD - TIMBERLAND</t>
  </si>
  <si>
    <t>CA3110010</t>
  </si>
  <si>
    <t>TAHOE CITY PUD - MAIN</t>
  </si>
  <si>
    <t>CA3110011</t>
  </si>
  <si>
    <t>TAHOE CITY PUD - MCKINNEY/QUAIL</t>
  </si>
  <si>
    <t>CA3110013</t>
  </si>
  <si>
    <t>TAHOE CITY PUD - TAHOE CEDARS</t>
  </si>
  <si>
    <t>CA3110043</t>
  </si>
  <si>
    <t>TAHOE CITY PUD - MADDEN CREEK</t>
  </si>
  <si>
    <t>CA3110044</t>
  </si>
  <si>
    <t>TAHOE CITY PUD - ALPINE PEAKS</t>
  </si>
  <si>
    <t>2451</t>
  </si>
  <si>
    <t>Tehachapi  City Of</t>
  </si>
  <si>
    <t>CA1510020</t>
  </si>
  <si>
    <t>TEHACHAPI, CITY OF</t>
  </si>
  <si>
    <t>2466</t>
  </si>
  <si>
    <t>Thermalito Water and Sewer District</t>
  </si>
  <si>
    <t>CA0410008</t>
  </si>
  <si>
    <t>THERMALITO WATER &amp; SEWER DIST</t>
  </si>
  <si>
    <t>2469</t>
  </si>
  <si>
    <t>Thousand Oaks  City Of</t>
  </si>
  <si>
    <t>CA5610020</t>
  </si>
  <si>
    <t>THOUSAND OAKS WATER DEPT</t>
  </si>
  <si>
    <t>2487</t>
  </si>
  <si>
    <t>Torrance  City Of</t>
  </si>
  <si>
    <t>CA1910213</t>
  </si>
  <si>
    <t>TORRANCE-CITY, WATER DEPT.</t>
  </si>
  <si>
    <t>2490</t>
  </si>
  <si>
    <t>Trabuco Canyon Water District</t>
  </si>
  <si>
    <t>CA3010094</t>
  </si>
  <si>
    <t>TRABUCO CANYON WATER DISTRICT</t>
  </si>
  <si>
    <t>2496</t>
  </si>
  <si>
    <t>Tracy  City Of</t>
  </si>
  <si>
    <t>CA3910011</t>
  </si>
  <si>
    <t>TRACY, CITY OF</t>
  </si>
  <si>
    <t>2510</t>
  </si>
  <si>
    <t>Triunfo Sanitation District/Oak Park Water Service</t>
  </si>
  <si>
    <t>CA5610043</t>
  </si>
  <si>
    <t>TRIUNFO WATER &amp; SANITATION DISTRICT</t>
  </si>
  <si>
    <t>2512</t>
  </si>
  <si>
    <t>Truckee - Donner Public Utilities District</t>
  </si>
  <si>
    <t>CA2910003</t>
  </si>
  <si>
    <t>TRUCKEE-DONNER PUD, MAIN</t>
  </si>
  <si>
    <t>2516</t>
  </si>
  <si>
    <t>Tulare  City Of</t>
  </si>
  <si>
    <t>CA5410015</t>
  </si>
  <si>
    <t>TULARE, CITY OF</t>
  </si>
  <si>
    <t>2523</t>
  </si>
  <si>
    <t>Tuolumne Utilities District</t>
  </si>
  <si>
    <t>CA5500363</t>
  </si>
  <si>
    <t>TUD-WARDS FERRY RANCHES</t>
  </si>
  <si>
    <t>CA5510001</t>
  </si>
  <si>
    <t>TUD - SONORA/JAMESTOWN WATER SYSTEM</t>
  </si>
  <si>
    <t>CA5510002</t>
  </si>
  <si>
    <t>TUD - PONDEROSA</t>
  </si>
  <si>
    <t>CA5510003</t>
  </si>
  <si>
    <t>TUD - TUOLUMNE WATER SYSTEM</t>
  </si>
  <si>
    <t>CA5510012</t>
  </si>
  <si>
    <t>TUD - UPPER BASIN WATER SYSTEM</t>
  </si>
  <si>
    <t>CA5510013</t>
  </si>
  <si>
    <t>TUD - COLUMBIA WATER SYSTEM</t>
  </si>
  <si>
    <t>CA5510015</t>
  </si>
  <si>
    <t>TUD - CEDAR RIDGE WATER SYSTEM</t>
  </si>
  <si>
    <t>CA5510021</t>
  </si>
  <si>
    <t>TUD-PEACEFUL PINES WATER SYSTEM</t>
  </si>
  <si>
    <t>CA5510025</t>
  </si>
  <si>
    <t>TUD - PHOENIX LAKE PARK</t>
  </si>
  <si>
    <t>CA5510028</t>
  </si>
  <si>
    <t>TUD-APPLE VALLEY ESTATES</t>
  </si>
  <si>
    <t>CA5510033</t>
  </si>
  <si>
    <t>TUD-SCENIC VIEW/SCENIC BROOK</t>
  </si>
  <si>
    <t>2524</t>
  </si>
  <si>
    <t>Turlock  City Of</t>
  </si>
  <si>
    <t>CA5010019</t>
  </si>
  <si>
    <t>TURLOCK, CITY OF</t>
  </si>
  <si>
    <t>2528</t>
  </si>
  <si>
    <t>Tustin  City Of</t>
  </si>
  <si>
    <t>CA3010046</t>
  </si>
  <si>
    <t>CITY OF TUSTIN</t>
  </si>
  <si>
    <t>2530</t>
  </si>
  <si>
    <t>Twentynine Palms Water District</t>
  </si>
  <si>
    <t>CA3610049</t>
  </si>
  <si>
    <t>TWENTYNINE PALMS WATER DISTRICT</t>
  </si>
  <si>
    <t>2536</t>
  </si>
  <si>
    <t>Ukiah  City Of</t>
  </si>
  <si>
    <t>CA2310003</t>
  </si>
  <si>
    <t>UKIAH, CITY OF</t>
  </si>
  <si>
    <t>MENDOCINO</t>
  </si>
  <si>
    <t>2541</t>
  </si>
  <si>
    <t>Upland  City Of</t>
  </si>
  <si>
    <t>CA3610050</t>
  </si>
  <si>
    <t>UPLAND, CITY OF</t>
  </si>
  <si>
    <t>2597</t>
  </si>
  <si>
    <t>Vacaville  City Of</t>
  </si>
  <si>
    <t>CA4810008</t>
  </si>
  <si>
    <t>CITY OF VACAVILLE</t>
  </si>
  <si>
    <t>2602</t>
  </si>
  <si>
    <t>Vallecitos Water District</t>
  </si>
  <si>
    <t>CA3710002</t>
  </si>
  <si>
    <t>VALLECITOS WD</t>
  </si>
  <si>
    <t>2603</t>
  </si>
  <si>
    <t>Vallejo  City Of</t>
  </si>
  <si>
    <t>CA4810007</t>
  </si>
  <si>
    <t>CITY OF VALLEJO</t>
  </si>
  <si>
    <t>CA4810021</t>
  </si>
  <si>
    <t>CITY OF VALLEJO-LAKES SYSTEM</t>
  </si>
  <si>
    <t>2604</t>
  </si>
  <si>
    <t>Valley Center Municipal Water District</t>
  </si>
  <si>
    <t>CA3710026</t>
  </si>
  <si>
    <t>VALLEY CENTER MWD</t>
  </si>
  <si>
    <t>2605</t>
  </si>
  <si>
    <t>Valley County Water District</t>
  </si>
  <si>
    <t>CA1910009</t>
  </si>
  <si>
    <t>VALLEY COUNTY WATER DIST.</t>
  </si>
  <si>
    <t>2610</t>
  </si>
  <si>
    <t>Valley Of The Moon Water District</t>
  </si>
  <si>
    <t>CA4910013</t>
  </si>
  <si>
    <t>VALLEY OF THE MOON WATER DISTRICT</t>
  </si>
  <si>
    <t>2618</t>
  </si>
  <si>
    <t>Valley Water Company</t>
  </si>
  <si>
    <t>CA1910166</t>
  </si>
  <si>
    <t>VALLEY WATER CO.</t>
  </si>
  <si>
    <t>2626</t>
  </si>
  <si>
    <t>Vaughn Water Company</t>
  </si>
  <si>
    <t>CA1510029</t>
  </si>
  <si>
    <t>VAUGHN WC INC</t>
  </si>
  <si>
    <t>2629</t>
  </si>
  <si>
    <t>Ventura County Waterworks District No 01 - Moorpark</t>
  </si>
  <si>
    <t>CA5610018</t>
  </si>
  <si>
    <t>VENTURA CWWD NO. 1 - MOORPARK</t>
  </si>
  <si>
    <t>2631</t>
  </si>
  <si>
    <t>Ventura County Waterworks District No 08 - Simi Valley</t>
  </si>
  <si>
    <t>CA5610023</t>
  </si>
  <si>
    <t>VENTURA WWD NO. 8 - SIMI VALLEY</t>
  </si>
  <si>
    <t>2633</t>
  </si>
  <si>
    <t>Vernon  City Of</t>
  </si>
  <si>
    <t>CA1910167</t>
  </si>
  <si>
    <t>VERNON-CITY, WATER DEPT.</t>
  </si>
  <si>
    <t>2635</t>
  </si>
  <si>
    <t>Victorville Water District</t>
  </si>
  <si>
    <t>CA3610052</t>
  </si>
  <si>
    <t>VICTORVILLE WATER DISTRICT</t>
  </si>
  <si>
    <t>2649</t>
  </si>
  <si>
    <t>Vista Irrigation District</t>
  </si>
  <si>
    <t>CA3710027</t>
  </si>
  <si>
    <t>VISTA IRRIGATION DISTRICT</t>
  </si>
  <si>
    <t>2661</t>
  </si>
  <si>
    <t>Walnut Valley Water District</t>
  </si>
  <si>
    <t>CA1910234</t>
  </si>
  <si>
    <t>WALNUT VALLEY WATER DISTRICT</t>
  </si>
  <si>
    <t>2662</t>
  </si>
  <si>
    <t>Wasco  City Of</t>
  </si>
  <si>
    <t>CA1510021</t>
  </si>
  <si>
    <t>WASCO, CITY OF</t>
  </si>
  <si>
    <t>2669</t>
  </si>
  <si>
    <t>Watsonville  City Of</t>
  </si>
  <si>
    <t>CA4410011</t>
  </si>
  <si>
    <t>WATSONVILLE, CITY OF</t>
  </si>
  <si>
    <t>2679</t>
  </si>
  <si>
    <t>West Kern Water District</t>
  </si>
  <si>
    <t>CA1510022</t>
  </si>
  <si>
    <t>WEST KERN WATER DISTRICT</t>
  </si>
  <si>
    <t>2683</t>
  </si>
  <si>
    <t>West Sacramento  City Of</t>
  </si>
  <si>
    <t>CA5710003</t>
  </si>
  <si>
    <t>CITY OF WEST SACRAMENTO</t>
  </si>
  <si>
    <t>2690</t>
  </si>
  <si>
    <t>West Valley Water District</t>
  </si>
  <si>
    <t>CA3610004</t>
  </si>
  <si>
    <t>WEST VALLEY WATER DISTRICT</t>
  </si>
  <si>
    <t>2691</t>
  </si>
  <si>
    <t>Westborough Water District</t>
  </si>
  <si>
    <t>CA4110027</t>
  </si>
  <si>
    <t>WESTBOROUGH WATER DISTRICT</t>
  </si>
  <si>
    <t>2697</t>
  </si>
  <si>
    <t>Western Municipal Water District Of Riverside</t>
  </si>
  <si>
    <t>CA3310036</t>
  </si>
  <si>
    <t>WESTERN MWD - MURRIETA DIVISION</t>
  </si>
  <si>
    <t>CA3310049</t>
  </si>
  <si>
    <t>WESTERN MWD</t>
  </si>
  <si>
    <t>CA3310076</t>
  </si>
  <si>
    <t>WESTERN MWD (ID A - RAINBOW)</t>
  </si>
  <si>
    <t>2704</t>
  </si>
  <si>
    <t>Westminster  City Of</t>
  </si>
  <si>
    <t>CA3010064</t>
  </si>
  <si>
    <t>CITY OF WESTMINSTER</t>
  </si>
  <si>
    <t>2723</t>
  </si>
  <si>
    <t>Whittier  City Of</t>
  </si>
  <si>
    <t>CA1910173</t>
  </si>
  <si>
    <t>WHITTIER-CITY, WATER DEPT.</t>
  </si>
  <si>
    <t>2751</t>
  </si>
  <si>
    <t>Windsor  Town Of</t>
  </si>
  <si>
    <t>CA4910017</t>
  </si>
  <si>
    <t>WINDSOR, TOWN OF</t>
  </si>
  <si>
    <t>2766</t>
  </si>
  <si>
    <t>Woodland  City Of</t>
  </si>
  <si>
    <t>CA5710006</t>
  </si>
  <si>
    <t>CITY OF WOODLAND</t>
  </si>
  <si>
    <t>2782</t>
  </si>
  <si>
    <t>Yorba Linda Water District</t>
  </si>
  <si>
    <t>CA3010037</t>
  </si>
  <si>
    <t>YORBA LINDA WATER DISTRICT</t>
  </si>
  <si>
    <t>2789</t>
  </si>
  <si>
    <t>Yreka  City Of</t>
  </si>
  <si>
    <t>CA4710011</t>
  </si>
  <si>
    <t>YREKA, CITY OF</t>
  </si>
  <si>
    <t>SISKIYOU</t>
  </si>
  <si>
    <t>2790</t>
  </si>
  <si>
    <t>Yuba City</t>
  </si>
  <si>
    <t>CA5110002</t>
  </si>
  <si>
    <t>CITY OF YUBA CITY</t>
  </si>
  <si>
    <t>SUTTER</t>
  </si>
  <si>
    <t>2793</t>
  </si>
  <si>
    <t>Yucaipa Valley Water District</t>
  </si>
  <si>
    <t>CA3610055</t>
  </si>
  <si>
    <t>YUCAIPA VALLEY WATER DISTRICT</t>
  </si>
  <si>
    <t>2891</t>
  </si>
  <si>
    <t>San Bernardino County Service Area 70 J Oak Hills</t>
  </si>
  <si>
    <t>CA3610125</t>
  </si>
  <si>
    <t>SBDNO COUNTY SERVICE AREA 70J</t>
  </si>
  <si>
    <t>2979</t>
  </si>
  <si>
    <t>Chowchilla  City of</t>
  </si>
  <si>
    <t>CA2010001</t>
  </si>
  <si>
    <t>CHOWCHILLA CITY WATER DEPT</t>
  </si>
  <si>
    <t>4231</t>
  </si>
  <si>
    <t>Mountain House Community Services District</t>
  </si>
  <si>
    <t>CA3910027</t>
  </si>
  <si>
    <t>MOUNTAIN HOUSE COMMUNITY SERVICES DIST.</t>
  </si>
  <si>
    <t>4993</t>
  </si>
  <si>
    <t>Santa Clarita Valley Water Agency</t>
  </si>
  <si>
    <t>CA1910017</t>
  </si>
  <si>
    <t>SANTA CLARITA VALLEY W.A.-SANTA CLARITA</t>
  </si>
  <si>
    <t>CA1910096</t>
  </si>
  <si>
    <t>SANTA CLARITA VALLEY W.A.-NEWHALL DIV.</t>
  </si>
  <si>
    <t>CA1910240</t>
  </si>
  <si>
    <t>SANTA CLARITA VALLEY W.A.-VALENCIA DIVIS</t>
  </si>
  <si>
    <t>CA1910247</t>
  </si>
  <si>
    <t>SANTA CLARITA VALLEY W.A.-CASTAIC DIV.</t>
  </si>
  <si>
    <t>CA1910250</t>
  </si>
  <si>
    <t>SANTA CLARITA VALLEY W.A.-PINETREE DIV.</t>
  </si>
  <si>
    <t>CA1910255</t>
  </si>
  <si>
    <t>SANTA CLARITA VALLEY W.A.-TESORO DIV.</t>
  </si>
  <si>
    <t>EFF_BEGIN_DT</t>
  </si>
  <si>
    <t>EFF_END_DT</t>
  </si>
  <si>
    <t>AVG_DAILY_CNT</t>
  </si>
  <si>
    <t>FY_START_DATE</t>
  </si>
  <si>
    <t>FY_END_DATE</t>
  </si>
  <si>
    <t>include?</t>
  </si>
  <si>
    <t>DWR_ID</t>
  </si>
  <si>
    <t>Supplier_Name</t>
  </si>
  <si>
    <t>Supplier_Number</t>
  </si>
  <si>
    <t>Supplier_ID</t>
  </si>
  <si>
    <t>Imagery_Year_Basis</t>
  </si>
  <si>
    <t>HCL_area_sqft</t>
  </si>
  <si>
    <t>Ag_area_sqft</t>
  </si>
  <si>
    <t>Pool_area_sqft</t>
  </si>
  <si>
    <t>Total_II_sqft</t>
  </si>
  <si>
    <t>Total_INI_sqft</t>
  </si>
  <si>
    <t>Total_NI_sqft</t>
  </si>
  <si>
    <t>Irrigable_area_sqft</t>
  </si>
  <si>
    <t>Alternative_Data_Provided</t>
  </si>
  <si>
    <t>Alternative_Data_Approval_Status</t>
  </si>
  <si>
    <t>Alternative_Data_Approval_Date</t>
  </si>
  <si>
    <t>Alternative_Data_Year_Basis</t>
  </si>
  <si>
    <t>HCL_area_sqft_Alternative</t>
  </si>
  <si>
    <t>Ag_area_sqft_Alternative</t>
  </si>
  <si>
    <t>Pool_area_sqft_Alternative</t>
  </si>
  <si>
    <t>Total_II_sqft_Alternative</t>
  </si>
  <si>
    <t>Total_INI_sqft_Alternative</t>
  </si>
  <si>
    <t>Total_NI_sqft_Alternative</t>
  </si>
  <si>
    <t>Irrigable_area_sqft_Alternative</t>
  </si>
  <si>
    <t>New_Res_Constr_Data_Provided</t>
  </si>
  <si>
    <t>New_Res_Constr_Approval_Status</t>
  </si>
  <si>
    <t>New_Res_Constr_Approval_Date</t>
  </si>
  <si>
    <t>New_Res_Constr_Data_Year_Basis</t>
  </si>
  <si>
    <t>New_Res_Constr_sqft</t>
  </si>
  <si>
    <t>New_Res_SLA_norec_sqft</t>
  </si>
  <si>
    <t>New_Res_SLA_rec_sqft</t>
  </si>
  <si>
    <t>Existing_Res_SLA_Data_Provided</t>
  </si>
  <si>
    <t>Existing_Res_SLA_Data_Approval_Status</t>
  </si>
  <si>
    <t>Existing_Res_SLA_Data_Approval_Date</t>
  </si>
  <si>
    <t>Existing_Res_SLA_Data_Year_Basis</t>
  </si>
  <si>
    <t>Existing_Res_SLA_norec_sqft</t>
  </si>
  <si>
    <t>Existing_Res_SLA_rec_sqft</t>
  </si>
  <si>
    <t>HCL_FINAL</t>
  </si>
  <si>
    <t>AG_FINAL</t>
  </si>
  <si>
    <t>POOL_FINAL</t>
  </si>
  <si>
    <t>II_FINAL</t>
  </si>
  <si>
    <t>INI_FINAL</t>
  </si>
  <si>
    <t>NEW_RES_FINAL</t>
  </si>
  <si>
    <t>NEW_RES_NOREC_FINAL</t>
  </si>
  <si>
    <t>NEW_RES_REC_FINAL</t>
  </si>
  <si>
    <t>SLA_NOREC_FINAL</t>
  </si>
  <si>
    <t>SLA_REC_FINAL</t>
  </si>
  <si>
    <t>Adelanto  City of</t>
  </si>
  <si>
    <t>1</t>
  </si>
  <si>
    <t>ADELANTOCITY001</t>
  </si>
  <si>
    <t>2</t>
  </si>
  <si>
    <t>ALAMEDACOUNT002</t>
  </si>
  <si>
    <t>3</t>
  </si>
  <si>
    <t>ALCOWATERSER003</t>
  </si>
  <si>
    <t>Alhambra  City of</t>
  </si>
  <si>
    <t>4</t>
  </si>
  <si>
    <t>ALHAMBRACITY004</t>
  </si>
  <si>
    <t>Amador Water Agency - Tiger Creek Powerhouse</t>
  </si>
  <si>
    <t>5</t>
  </si>
  <si>
    <t>AMADORWATERA005</t>
  </si>
  <si>
    <t>American Canyon  City of - Water</t>
  </si>
  <si>
    <t>6</t>
  </si>
  <si>
    <t>AMERICANCANY006</t>
  </si>
  <si>
    <t>7</t>
  </si>
  <si>
    <t>ANAHEIMCITYO007</t>
  </si>
  <si>
    <t>City of Anderson</t>
  </si>
  <si>
    <t>8</t>
  </si>
  <si>
    <t>CITYOFANDERS008</t>
  </si>
  <si>
    <t>9</t>
  </si>
  <si>
    <t>ANTIOCHCITYO009</t>
  </si>
  <si>
    <t>10</t>
  </si>
  <si>
    <t>APPLEVALLEYR010</t>
  </si>
  <si>
    <t>Arcadia  City of</t>
  </si>
  <si>
    <t>11</t>
  </si>
  <si>
    <t>ARCADIACITYO011</t>
  </si>
  <si>
    <t>City of Arcata</t>
  </si>
  <si>
    <t>12</t>
  </si>
  <si>
    <t>CITYOFARCATA012</t>
  </si>
  <si>
    <t>ARROYOGRANDE013</t>
  </si>
  <si>
    <t>14</t>
  </si>
  <si>
    <t>ARVINCOMMUNI014</t>
  </si>
  <si>
    <t>15</t>
  </si>
  <si>
    <t>ATASCADEROMU015</t>
  </si>
  <si>
    <t>Atwater  City Of</t>
  </si>
  <si>
    <t>16</t>
  </si>
  <si>
    <t>ATWATERCITYO016</t>
  </si>
  <si>
    <t>Azusa  City of - Water (Azusa Light and Water)</t>
  </si>
  <si>
    <t>17</t>
  </si>
  <si>
    <t>AZUSACITYOFW017</t>
  </si>
  <si>
    <t>18</t>
  </si>
  <si>
    <t>BAKERSFIELDC018</t>
  </si>
  <si>
    <t>19</t>
  </si>
  <si>
    <t>BAKMANWATERC019</t>
  </si>
  <si>
    <t>Banning  City of - Water</t>
  </si>
  <si>
    <t>20</t>
  </si>
  <si>
    <t>BANNINGCITYO020</t>
  </si>
  <si>
    <t>21</t>
  </si>
  <si>
    <t>BEAUMONTCHER021</t>
  </si>
  <si>
    <t>22</t>
  </si>
  <si>
    <t>BELLAVISTAWA022</t>
  </si>
  <si>
    <t>Bellflower-Somerset Mutual Water Company</t>
  </si>
  <si>
    <t>BELLFLOWERSO023</t>
  </si>
  <si>
    <t>24</t>
  </si>
  <si>
    <t>BENICIACITYO024</t>
  </si>
  <si>
    <t>BEVERLYHILLS025</t>
  </si>
  <si>
    <t>Big Bear City Community Service District</t>
  </si>
  <si>
    <t>26</t>
  </si>
  <si>
    <t>BIGBEARCITYC026</t>
  </si>
  <si>
    <t>27</t>
  </si>
  <si>
    <t>BIGBEARLAKEC027</t>
  </si>
  <si>
    <t>Blythe  City of - Water</t>
  </si>
  <si>
    <t>28</t>
  </si>
  <si>
    <t>BLYTHECITYOF028</t>
  </si>
  <si>
    <t>Brawley  City of - Water</t>
  </si>
  <si>
    <t>29</t>
  </si>
  <si>
    <t>BRAWLEYCITYO029</t>
  </si>
  <si>
    <t>Brea  City of</t>
  </si>
  <si>
    <t>BREACITYOFWA030</t>
  </si>
  <si>
    <t>31</t>
  </si>
  <si>
    <t>BRENTWOODCIT031</t>
  </si>
  <si>
    <t>32</t>
  </si>
  <si>
    <t>BUENAPARKCIT032</t>
  </si>
  <si>
    <t>33</t>
  </si>
  <si>
    <t>BURBANKCITYO033</t>
  </si>
  <si>
    <t>34</t>
  </si>
  <si>
    <t>BURLINGAMECI034</t>
  </si>
  <si>
    <t>35</t>
  </si>
  <si>
    <t>CALAVERASWDI035</t>
  </si>
  <si>
    <t>Calexico  City of</t>
  </si>
  <si>
    <t>36</t>
  </si>
  <si>
    <t>CALEXICOCITY036</t>
  </si>
  <si>
    <t>California  American Water Company - Los Angeles</t>
  </si>
  <si>
    <t>37</t>
  </si>
  <si>
    <t>LOSANGELESCA037</t>
  </si>
  <si>
    <t>38</t>
  </si>
  <si>
    <t>MONTEREYDIST038</t>
  </si>
  <si>
    <t>39</t>
  </si>
  <si>
    <t>SACRAMENTODI039</t>
  </si>
  <si>
    <t>127</t>
  </si>
  <si>
    <t>FRUITRIDGEVI127</t>
  </si>
  <si>
    <t>California American Water Company - San Diego County District</t>
  </si>
  <si>
    <t>40</t>
  </si>
  <si>
    <t>SANDIEGOCALI040</t>
  </si>
  <si>
    <t>41</t>
  </si>
  <si>
    <t>VENTURADISTI041</t>
  </si>
  <si>
    <t>California City Community Service District</t>
  </si>
  <si>
    <t>42</t>
  </si>
  <si>
    <t>CALIFORNIACI042</t>
  </si>
  <si>
    <t>California Water Service Company - Bakersfield</t>
  </si>
  <si>
    <t>43</t>
  </si>
  <si>
    <t>BAKERSFIELDC043</t>
  </si>
  <si>
    <t>California Water Service Company - Bear Gulch</t>
  </si>
  <si>
    <t>44</t>
  </si>
  <si>
    <t>BEARGULCHCAL044</t>
  </si>
  <si>
    <t>California Water Service Company - Chico</t>
  </si>
  <si>
    <t>45</t>
  </si>
  <si>
    <t>CHICOCALIFOR045</t>
  </si>
  <si>
    <t>California Water Service Company - Dominguez</t>
  </si>
  <si>
    <t>46</t>
  </si>
  <si>
    <t>DOMINGUEZCAL046</t>
  </si>
  <si>
    <t>California Water Service Company - East Los Angeles</t>
  </si>
  <si>
    <t>47</t>
  </si>
  <si>
    <t>EASTLOSANGEL047</t>
  </si>
  <si>
    <t>California Water Service Company - Hermosa/Redondo</t>
  </si>
  <si>
    <t>48</t>
  </si>
  <si>
    <t>HERMOSAREDON048</t>
  </si>
  <si>
    <t>California Water Service Company - Livermore</t>
  </si>
  <si>
    <t>49</t>
  </si>
  <si>
    <t>LIVERMORECAL049</t>
  </si>
  <si>
    <t>California Water Service Company - Los Altos</t>
  </si>
  <si>
    <t>50</t>
  </si>
  <si>
    <t>LOSALTOSCALI050</t>
  </si>
  <si>
    <t>California Water Service Company - Marysville</t>
  </si>
  <si>
    <t>51</t>
  </si>
  <si>
    <t>MARYSVILLECA051</t>
  </si>
  <si>
    <t>California Water Service Company - Oroville</t>
  </si>
  <si>
    <t>53</t>
  </si>
  <si>
    <t>OROVILLECALI053</t>
  </si>
  <si>
    <t>California Water Service Company - Palos Verdes</t>
  </si>
  <si>
    <t>54</t>
  </si>
  <si>
    <t>PALOSVERDESC054</t>
  </si>
  <si>
    <t>California Water Service Company - Salinas</t>
  </si>
  <si>
    <t>SALINASCALIF055</t>
  </si>
  <si>
    <t>California Water Service Company - Mid Peninsula</t>
  </si>
  <si>
    <t>52</t>
  </si>
  <si>
    <t>CWSMEDPENINS052</t>
  </si>
  <si>
    <t>California Water Service Company - Selma</t>
  </si>
  <si>
    <t>56</t>
  </si>
  <si>
    <t>SELMACALIFOR056</t>
  </si>
  <si>
    <t>California Water Service Company - South San Francisco</t>
  </si>
  <si>
    <t>SOUTHSANFRAN057</t>
  </si>
  <si>
    <t>California Water Service Company - Stockton</t>
  </si>
  <si>
    <t>58</t>
  </si>
  <si>
    <t>STOCKTONCALI058</t>
  </si>
  <si>
    <t>California Water Service Company - Visalia</t>
  </si>
  <si>
    <t>59</t>
  </si>
  <si>
    <t>VISALIACALIF059</t>
  </si>
  <si>
    <t>California Water Service Company - Westlake</t>
  </si>
  <si>
    <t>60</t>
  </si>
  <si>
    <t>WESTLAKECALI060</t>
  </si>
  <si>
    <t>Camarillo  City of</t>
  </si>
  <si>
    <t>61</t>
  </si>
  <si>
    <t>CAMARILLOCIT061</t>
  </si>
  <si>
    <t>Cambria Community Services District</t>
  </si>
  <si>
    <t>62</t>
  </si>
  <si>
    <t>CAMBRIACOMMU062</t>
  </si>
  <si>
    <t>63</t>
  </si>
  <si>
    <t>CAMROSAWATER063</t>
  </si>
  <si>
    <t>CARLSBADMUNI064</t>
  </si>
  <si>
    <t>65</t>
  </si>
  <si>
    <t>CARMICHAELWA065</t>
  </si>
  <si>
    <t>Carpinteria  City Of</t>
  </si>
  <si>
    <t>CARPINTERIAC066</t>
  </si>
  <si>
    <t>404</t>
  </si>
  <si>
    <t>CASITASCITYC404</t>
  </si>
  <si>
    <t>68</t>
  </si>
  <si>
    <t>CERESCITYOFW068</t>
  </si>
  <si>
    <t>Cerritos  City of</t>
  </si>
  <si>
    <t>69</t>
  </si>
  <si>
    <t>CERRITOSCITY069</t>
  </si>
  <si>
    <t>Chino  City of</t>
  </si>
  <si>
    <t>70</t>
  </si>
  <si>
    <t>CHINOCITYOFW070</t>
  </si>
  <si>
    <t>Chino Hills  City of</t>
  </si>
  <si>
    <t>71</t>
  </si>
  <si>
    <t>CHINOHILLSCI071</t>
  </si>
  <si>
    <t>73</t>
  </si>
  <si>
    <t>CITRUSHEIGHT073</t>
  </si>
  <si>
    <t>Cloverdale  City Of</t>
  </si>
  <si>
    <t>74</t>
  </si>
  <si>
    <t>CLOVERDALECI074</t>
  </si>
  <si>
    <t>75</t>
  </si>
  <si>
    <t>CLOVISCITYOF075</t>
  </si>
  <si>
    <t>Coachella  City of</t>
  </si>
  <si>
    <t>76</t>
  </si>
  <si>
    <t>COACHELLACIT076</t>
  </si>
  <si>
    <t>77</t>
  </si>
  <si>
    <t>COACHELLAVAL077</t>
  </si>
  <si>
    <t>78</t>
  </si>
  <si>
    <t>COALINGACITY078</t>
  </si>
  <si>
    <t>79</t>
  </si>
  <si>
    <t>COASTSIDECOU079</t>
  </si>
  <si>
    <t>Colton  City of</t>
  </si>
  <si>
    <t>80</t>
  </si>
  <si>
    <t>COLTONCITYOF080</t>
  </si>
  <si>
    <t>Compton  City of</t>
  </si>
  <si>
    <t>81</t>
  </si>
  <si>
    <t>COMPTONCITYO081</t>
  </si>
  <si>
    <t>CONTRACOSTAW082</t>
  </si>
  <si>
    <t>83</t>
  </si>
  <si>
    <t>CORCORANCITY083</t>
  </si>
  <si>
    <t>Corona  City of - Water</t>
  </si>
  <si>
    <t>84</t>
  </si>
  <si>
    <t>CORONACITYOF084</t>
  </si>
  <si>
    <t>Covina  City of</t>
  </si>
  <si>
    <t>85</t>
  </si>
  <si>
    <t>COVINACITYOF085</t>
  </si>
  <si>
    <t>City of Crescent City</t>
  </si>
  <si>
    <t>CITYOFCRESCE087</t>
  </si>
  <si>
    <t>Crescenta Valley Water District</t>
  </si>
  <si>
    <t>88</t>
  </si>
  <si>
    <t>CRESCENTAVAL088</t>
  </si>
  <si>
    <t>89</t>
  </si>
  <si>
    <t>CRESTLINEVIL089</t>
  </si>
  <si>
    <t>90</t>
  </si>
  <si>
    <t>CUCAMONGAVAL090</t>
  </si>
  <si>
    <t>92</t>
  </si>
  <si>
    <t>DALYCITYWATE092</t>
  </si>
  <si>
    <t>DAVISCITYOFW093</t>
  </si>
  <si>
    <t>Delo Water</t>
  </si>
  <si>
    <t>DELOROWATERC094</t>
  </si>
  <si>
    <t>95</t>
  </si>
  <si>
    <t>DELANOCITYOF095</t>
  </si>
  <si>
    <t>96</t>
  </si>
  <si>
    <t>DESERTWATERA096</t>
  </si>
  <si>
    <t>97</t>
  </si>
  <si>
    <t>DIABLOWATERD097</t>
  </si>
  <si>
    <t>98</t>
  </si>
  <si>
    <t>DINUBACITYOF098</t>
  </si>
  <si>
    <t>Discovery Bay  Town Of</t>
  </si>
  <si>
    <t>DISCOVERYBAY099</t>
  </si>
  <si>
    <t>Downey  City of - Water</t>
  </si>
  <si>
    <t>100</t>
  </si>
  <si>
    <t>DOWNEYCITYOF100</t>
  </si>
  <si>
    <t>101</t>
  </si>
  <si>
    <t>DUBLINSANRAM101</t>
  </si>
  <si>
    <t>EASTBAYMUNIC102</t>
  </si>
  <si>
    <t>103</t>
  </si>
  <si>
    <t>EASTNILESCOM103</t>
  </si>
  <si>
    <t>East Palo Alto Service Area</t>
  </si>
  <si>
    <t>105</t>
  </si>
  <si>
    <t>EASTPALOALTO105</t>
  </si>
  <si>
    <t>106</t>
  </si>
  <si>
    <t>EASTVALLEYWA106</t>
  </si>
  <si>
    <t>EASTERNMUNIC107</t>
  </si>
  <si>
    <t>El Centro  City of</t>
  </si>
  <si>
    <t>108</t>
  </si>
  <si>
    <t>ELCENTROCITY108</t>
  </si>
  <si>
    <t>109</t>
  </si>
  <si>
    <t>ELDORADOIRRI109</t>
  </si>
  <si>
    <t>ELMONTECITYO110</t>
  </si>
  <si>
    <t>El Segundo  City of</t>
  </si>
  <si>
    <t>111</t>
  </si>
  <si>
    <t>ELSEGUNDOCIT111</t>
  </si>
  <si>
    <t>112</t>
  </si>
  <si>
    <t>ELTOROWATERD112</t>
  </si>
  <si>
    <t>113</t>
  </si>
  <si>
    <t>ELKGROVEWATE113</t>
  </si>
  <si>
    <t>114</t>
  </si>
  <si>
    <t>ELSINOREVALL114</t>
  </si>
  <si>
    <t>Escondido  City of</t>
  </si>
  <si>
    <t>115</t>
  </si>
  <si>
    <t>ESCONDIDOCIT115</t>
  </si>
  <si>
    <t>116</t>
  </si>
  <si>
    <t>ESTEROMUNICI116</t>
  </si>
  <si>
    <t>Humboldt Bay Municipal Water District - City of Eureka</t>
  </si>
  <si>
    <t>HUMBOLDTBAYM117</t>
  </si>
  <si>
    <t>118</t>
  </si>
  <si>
    <t>EXETERCITYOF118</t>
  </si>
  <si>
    <t>119</t>
  </si>
  <si>
    <t>FAIROAKSWATE119</t>
  </si>
  <si>
    <t>120</t>
  </si>
  <si>
    <t>FAIRFIELDCIT120</t>
  </si>
  <si>
    <t>Fallbrook Public Utilities District</t>
  </si>
  <si>
    <t>121</t>
  </si>
  <si>
    <t>FALLBROOKPUB121</t>
  </si>
  <si>
    <t>Fillmore  City of</t>
  </si>
  <si>
    <t>122</t>
  </si>
  <si>
    <t>FILLMORECITY122</t>
  </si>
  <si>
    <t>FOLSOMCITYOF123</t>
  </si>
  <si>
    <t>City of Fortuna</t>
  </si>
  <si>
    <t>CITYOFFORTUN124</t>
  </si>
  <si>
    <t>Fountain Valley  City of</t>
  </si>
  <si>
    <t>125</t>
  </si>
  <si>
    <t>FOUNTAINVALL125</t>
  </si>
  <si>
    <t>Fresno  City Of Service area</t>
  </si>
  <si>
    <t>126</t>
  </si>
  <si>
    <t>FRESNOCITYOF126</t>
  </si>
  <si>
    <t>128</t>
  </si>
  <si>
    <t>FULLERTONCIT128</t>
  </si>
  <si>
    <t>GALTCITYOFWA129</t>
  </si>
  <si>
    <t>Garden Grove  City of</t>
  </si>
  <si>
    <t>130</t>
  </si>
  <si>
    <t>GARDENGROVEC130</t>
  </si>
  <si>
    <t>131</t>
  </si>
  <si>
    <t>GEORGETOWNDI131</t>
  </si>
  <si>
    <t>132</t>
  </si>
  <si>
    <t>GILROYCITYOF132</t>
  </si>
  <si>
    <t>Glendale  City of</t>
  </si>
  <si>
    <t>133</t>
  </si>
  <si>
    <t>GLENDALECITY133</t>
  </si>
  <si>
    <t>Glendora  City of</t>
  </si>
  <si>
    <t>134</t>
  </si>
  <si>
    <t>GLENDORACITY134</t>
  </si>
  <si>
    <t>135</t>
  </si>
  <si>
    <t>ARTESIAGSWCW135</t>
  </si>
  <si>
    <t>136</t>
  </si>
  <si>
    <t>BARSTOWGSWCW136</t>
  </si>
  <si>
    <t>137</t>
  </si>
  <si>
    <t>BAYPOINTGSWC137</t>
  </si>
  <si>
    <t>Golden State Water Company - Bell- Bell Gardens</t>
  </si>
  <si>
    <t>138</t>
  </si>
  <si>
    <t>BELLBELLGARD138</t>
  </si>
  <si>
    <t>139</t>
  </si>
  <si>
    <t>CLAREMONTGSW139</t>
  </si>
  <si>
    <t>140</t>
  </si>
  <si>
    <t>CORDOVAGSWCW140</t>
  </si>
  <si>
    <t>141</t>
  </si>
  <si>
    <t>CULVERCITYGS141</t>
  </si>
  <si>
    <t>Golden State Water Company - Florence- Graham</t>
  </si>
  <si>
    <t>142</t>
  </si>
  <si>
    <t>GRAHAMGSWCWA142</t>
  </si>
  <si>
    <t>143</t>
  </si>
  <si>
    <t>NORWALKGSWCW143</t>
  </si>
  <si>
    <t>144</t>
  </si>
  <si>
    <t>ORCUTTGSWCWA144</t>
  </si>
  <si>
    <t>145</t>
  </si>
  <si>
    <t>PLACENTIAGSW145</t>
  </si>
  <si>
    <t>146</t>
  </si>
  <si>
    <t>SANDIMASGSWC146</t>
  </si>
  <si>
    <t>147</t>
  </si>
  <si>
    <t>SIMIVALLEYGS147</t>
  </si>
  <si>
    <t>148</t>
  </si>
  <si>
    <t>SOUTHARCADIA148</t>
  </si>
  <si>
    <t>149</t>
  </si>
  <si>
    <t>SOUTHSANGABR149</t>
  </si>
  <si>
    <t>150</t>
  </si>
  <si>
    <t>SOUTHWESTGSW150</t>
  </si>
  <si>
    <t>151</t>
  </si>
  <si>
    <t>WESTORANGEGS151</t>
  </si>
  <si>
    <t>152</t>
  </si>
  <si>
    <t>GOLETAWATERD152</t>
  </si>
  <si>
    <t>153</t>
  </si>
  <si>
    <t>GREATOAKSWAT153</t>
  </si>
  <si>
    <t>154</t>
  </si>
  <si>
    <t>GREENFIELDCI154</t>
  </si>
  <si>
    <t>GREENFIELDCO155</t>
  </si>
  <si>
    <t>156</t>
  </si>
  <si>
    <t>GROVELANDCOM156</t>
  </si>
  <si>
    <t>Grover Beach  City of - Water</t>
  </si>
  <si>
    <t>157</t>
  </si>
  <si>
    <t>GROVERBEACHC157</t>
  </si>
  <si>
    <t>158</t>
  </si>
  <si>
    <t>HANFORDCITYO158</t>
  </si>
  <si>
    <t>HAWTHORNECIT159</t>
  </si>
  <si>
    <t>160</t>
  </si>
  <si>
    <t>HAYWARDCITYO160</t>
  </si>
  <si>
    <t>161</t>
  </si>
  <si>
    <t>HEALDSBURGCI161</t>
  </si>
  <si>
    <t>162</t>
  </si>
  <si>
    <t>HELIXWATERDI162</t>
  </si>
  <si>
    <t>Hemet  City of</t>
  </si>
  <si>
    <t>163</t>
  </si>
  <si>
    <t>HEMETCITYOFW163</t>
  </si>
  <si>
    <t>164</t>
  </si>
  <si>
    <t>HESPERIAWATE164</t>
  </si>
  <si>
    <t>165</t>
  </si>
  <si>
    <t>HIDESERTWATE165</t>
  </si>
  <si>
    <t>Hillsborough  Water Department</t>
  </si>
  <si>
    <t>166</t>
  </si>
  <si>
    <t>HILLSBOROUGH166</t>
  </si>
  <si>
    <t>Hollister City Of</t>
  </si>
  <si>
    <t>HOLLISTERCIT167</t>
  </si>
  <si>
    <t>Humboldt Community</t>
  </si>
  <si>
    <t>168</t>
  </si>
  <si>
    <t>HUMBOLDTCOMM168</t>
  </si>
  <si>
    <t>Huntington Beach  City of</t>
  </si>
  <si>
    <t>169</t>
  </si>
  <si>
    <t>HUNTINGTONBE169</t>
  </si>
  <si>
    <t>Huntington Park  City of</t>
  </si>
  <si>
    <t>HUNTINGTONPA170</t>
  </si>
  <si>
    <t>Imperial  City of - Water</t>
  </si>
  <si>
    <t>171</t>
  </si>
  <si>
    <t>IMPERIALCITY171</t>
  </si>
  <si>
    <t>172</t>
  </si>
  <si>
    <t>INDIANWELLSV172</t>
  </si>
  <si>
    <t>Indio Water Authority</t>
  </si>
  <si>
    <t>173</t>
  </si>
  <si>
    <t>INDIOWATERAU173</t>
  </si>
  <si>
    <t>Inglewood  City of</t>
  </si>
  <si>
    <t>174</t>
  </si>
  <si>
    <t>INGLEWOODCIT174</t>
  </si>
  <si>
    <t>175</t>
  </si>
  <si>
    <t>IRVINERANCHW175</t>
  </si>
  <si>
    <t>Approved</t>
  </si>
  <si>
    <t>2024-12-16T00:00:00</t>
  </si>
  <si>
    <t>176</t>
  </si>
  <si>
    <t>JOSHUABASINW176</t>
  </si>
  <si>
    <t>Jurupa Community Services District</t>
  </si>
  <si>
    <t>177</t>
  </si>
  <si>
    <t>JURUPACOMMUN177</t>
  </si>
  <si>
    <t>KERMANCITYOF178</t>
  </si>
  <si>
    <t>179</t>
  </si>
  <si>
    <t>KINGSBURGCIT179</t>
  </si>
  <si>
    <t>La Habra  City of</t>
  </si>
  <si>
    <t>180</t>
  </si>
  <si>
    <t>LAHABRACITYO180</t>
  </si>
  <si>
    <t>La Palma  City of</t>
  </si>
  <si>
    <t>181</t>
  </si>
  <si>
    <t>LAPALMACITYO181</t>
  </si>
  <si>
    <t>182</t>
  </si>
  <si>
    <t>LAVERNECITYO182</t>
  </si>
  <si>
    <t>183</t>
  </si>
  <si>
    <t>LAGUNABEACHC183</t>
  </si>
  <si>
    <t>184</t>
  </si>
  <si>
    <t>LAKEARROWHEA184</t>
  </si>
  <si>
    <t>185</t>
  </si>
  <si>
    <t>LAKEHEMETMUN185</t>
  </si>
  <si>
    <t>186</t>
  </si>
  <si>
    <t>LAKESIDEWATE186</t>
  </si>
  <si>
    <t>Lakewood  City of</t>
  </si>
  <si>
    <t>187</t>
  </si>
  <si>
    <t>LAKEWOODCITY187</t>
  </si>
  <si>
    <t>188</t>
  </si>
  <si>
    <t>LAMONTPUBLIC188</t>
  </si>
  <si>
    <t>189</t>
  </si>
  <si>
    <t>LASVIRGENESM189</t>
  </si>
  <si>
    <t>190</t>
  </si>
  <si>
    <t>LATHROPCITYO190</t>
  </si>
  <si>
    <t>360</t>
  </si>
  <si>
    <t>TEMESCALVALL360</t>
  </si>
  <si>
    <t>191</t>
  </si>
  <si>
    <t>LEMOORECITYO191</t>
  </si>
  <si>
    <t>194</t>
  </si>
  <si>
    <t>LINCOLNCITYO194</t>
  </si>
  <si>
    <t>LINCOLNAVENU193</t>
  </si>
  <si>
    <t>195</t>
  </si>
  <si>
    <t>LINDACOUNTYW195</t>
  </si>
  <si>
    <t>196</t>
  </si>
  <si>
    <t>LIVERMORECIT196</t>
  </si>
  <si>
    <t>Livingston  City of</t>
  </si>
  <si>
    <t>LIVINGSTONCI197</t>
  </si>
  <si>
    <t>LODICITYOFWA198</t>
  </si>
  <si>
    <t>Loma Linda  City of</t>
  </si>
  <si>
    <t>199</t>
  </si>
  <si>
    <t>LOMALINDACIT199</t>
  </si>
  <si>
    <t>Lomita  City of - Water</t>
  </si>
  <si>
    <t>200</t>
  </si>
  <si>
    <t>LOMITACITYOF200</t>
  </si>
  <si>
    <t>Lompoc  City of</t>
  </si>
  <si>
    <t>201</t>
  </si>
  <si>
    <t>LOMPOCCITYOF201</t>
  </si>
  <si>
    <t>Long Beach City of</t>
  </si>
  <si>
    <t>202</t>
  </si>
  <si>
    <t>LONGBEACHCIT202</t>
  </si>
  <si>
    <t>Los Angeles City Department of Water and Power</t>
  </si>
  <si>
    <t>203</t>
  </si>
  <si>
    <t>LOSANGELESCI203</t>
  </si>
  <si>
    <t>204</t>
  </si>
  <si>
    <t>MALIBUMARINA204</t>
  </si>
  <si>
    <t>205</t>
  </si>
  <si>
    <t>ANTELOPEVALL205</t>
  </si>
  <si>
    <t>Los Banos  City of</t>
  </si>
  <si>
    <t>206</t>
  </si>
  <si>
    <t>LOSBANOSCITY206</t>
  </si>
  <si>
    <t>Lynwood  City of</t>
  </si>
  <si>
    <t>207</t>
  </si>
  <si>
    <t>LYNWOODCITYO207</t>
  </si>
  <si>
    <t>208</t>
  </si>
  <si>
    <t>MADERACITYOF208</t>
  </si>
  <si>
    <t>209</t>
  </si>
  <si>
    <t>MAMMOTHCOMMU209</t>
  </si>
  <si>
    <t>Manhattan Beach  City of</t>
  </si>
  <si>
    <t>210</t>
  </si>
  <si>
    <t>MANHATTANBEA210</t>
  </si>
  <si>
    <t>211</t>
  </si>
  <si>
    <t>MANTECACITYO211</t>
  </si>
  <si>
    <t>212</t>
  </si>
  <si>
    <t>MARINMUNICIP212</t>
  </si>
  <si>
    <t>213</t>
  </si>
  <si>
    <t>MARINACOASTW213</t>
  </si>
  <si>
    <t>214</t>
  </si>
  <si>
    <t>MARTINEZCITY214</t>
  </si>
  <si>
    <t>215</t>
  </si>
  <si>
    <t>MCKINLEYVILL215</t>
  </si>
  <si>
    <t>Menlo Park Municipal Water District City of</t>
  </si>
  <si>
    <t>216</t>
  </si>
  <si>
    <t>MENLOPARKMUN216</t>
  </si>
  <si>
    <t>217</t>
  </si>
  <si>
    <t>MERCEDCITYOF217</t>
  </si>
  <si>
    <t>218</t>
  </si>
  <si>
    <t>MESAWATERDIS218</t>
  </si>
  <si>
    <t>219</t>
  </si>
  <si>
    <t>MIDPENINSULA219</t>
  </si>
  <si>
    <t>220</t>
  </si>
  <si>
    <t>MILLBRAECITY220</t>
  </si>
  <si>
    <t>221</t>
  </si>
  <si>
    <t>MILPITASCITY221</t>
  </si>
  <si>
    <t>222</t>
  </si>
  <si>
    <t>MISSIONSPRIN222</t>
  </si>
  <si>
    <t>223</t>
  </si>
  <si>
    <t>MODESTOCITYO223</t>
  </si>
  <si>
    <t xml:space="preserve">Monrovia , City of </t>
  </si>
  <si>
    <t>225</t>
  </si>
  <si>
    <t>MONROVIACITY225</t>
  </si>
  <si>
    <t>Monte Vista Community Water District</t>
  </si>
  <si>
    <t>226</t>
  </si>
  <si>
    <t>MONTEVISTACO226</t>
  </si>
  <si>
    <t>227</t>
  </si>
  <si>
    <t>MONTEBELLOLA227</t>
  </si>
  <si>
    <t>228</t>
  </si>
  <si>
    <t>MONTECITOWAT228</t>
  </si>
  <si>
    <t>229</t>
  </si>
  <si>
    <t>MONTEREYPARK229</t>
  </si>
  <si>
    <t>230</t>
  </si>
  <si>
    <t>MORGANHILLCI230</t>
  </si>
  <si>
    <t>231</t>
  </si>
  <si>
    <t>MORROBAYCITY231</t>
  </si>
  <si>
    <t>232</t>
  </si>
  <si>
    <t>MOULTONNIGUE232</t>
  </si>
  <si>
    <t>234</t>
  </si>
  <si>
    <t>MOUNTAINVIEW234</t>
  </si>
  <si>
    <t>235</t>
  </si>
  <si>
    <t>MYOMADUNESMU235</t>
  </si>
  <si>
    <t>Napa  City of</t>
  </si>
  <si>
    <t>236</t>
  </si>
  <si>
    <t>NAPACITYOFWA236</t>
  </si>
  <si>
    <t>237</t>
  </si>
  <si>
    <t>NEVADAIRRIGA237</t>
  </si>
  <si>
    <t>Newman  City Of Service Area</t>
  </si>
  <si>
    <t>239</t>
  </si>
  <si>
    <t>NEWMANCITYOF239</t>
  </si>
  <si>
    <t>Newport Beach  City of</t>
  </si>
  <si>
    <t>240</t>
  </si>
  <si>
    <t>NEWPORTBEACH240</t>
  </si>
  <si>
    <t>NIPOMOCOMMUN241</t>
  </si>
  <si>
    <t>Norco  City of - Water</t>
  </si>
  <si>
    <t>242</t>
  </si>
  <si>
    <t>NORCOCITYOFW242</t>
  </si>
  <si>
    <t>243</t>
  </si>
  <si>
    <t>NORTHCOASTCO243</t>
  </si>
  <si>
    <t>244</t>
  </si>
  <si>
    <t>NORTHMARINWA244</t>
  </si>
  <si>
    <t>245</t>
  </si>
  <si>
    <t>NORTHTAHOEPU245</t>
  </si>
  <si>
    <t>246</t>
  </si>
  <si>
    <t>NORWALKCITYO246</t>
  </si>
  <si>
    <t>247</t>
  </si>
  <si>
    <t>OAKDALECITYO247</t>
  </si>
  <si>
    <t>248</t>
  </si>
  <si>
    <t>OCEANSIDECIT248</t>
  </si>
  <si>
    <t>249</t>
  </si>
  <si>
    <t>OILDALEMUTUA249</t>
  </si>
  <si>
    <t>250</t>
  </si>
  <si>
    <t>OLIVEHURSTPU250</t>
  </si>
  <si>
    <t>251</t>
  </si>
  <si>
    <t>OLIVENHAINMU251</t>
  </si>
  <si>
    <t>Ontario  City of</t>
  </si>
  <si>
    <t>252</t>
  </si>
  <si>
    <t>ONTARIOCITYO252</t>
  </si>
  <si>
    <t>Orange  City of</t>
  </si>
  <si>
    <t>253</t>
  </si>
  <si>
    <t>ORANGECITYOF253</t>
  </si>
  <si>
    <t>254</t>
  </si>
  <si>
    <t>ORANGEVALEWA254</t>
  </si>
  <si>
    <t>255</t>
  </si>
  <si>
    <t>ORCHARDDALEW255</t>
  </si>
  <si>
    <t>256</t>
  </si>
  <si>
    <t>OTAYWATERDIS256</t>
  </si>
  <si>
    <t>Oxnard  City of</t>
  </si>
  <si>
    <t>257</t>
  </si>
  <si>
    <t>OXNARDCITYOF257</t>
  </si>
  <si>
    <t>258</t>
  </si>
  <si>
    <t>PADREDAMMUNI258</t>
  </si>
  <si>
    <t>259</t>
  </si>
  <si>
    <t>PALMDALEWATE259</t>
  </si>
  <si>
    <t>260</t>
  </si>
  <si>
    <t>PALOALTOCITY260</t>
  </si>
  <si>
    <t>Paramount  City of - Water</t>
  </si>
  <si>
    <t>PARAMOUNTCIT262</t>
  </si>
  <si>
    <t>Liberty Utilities</t>
  </si>
  <si>
    <t>192</t>
  </si>
  <si>
    <t>LIBERTYUTILI192</t>
  </si>
  <si>
    <t>PASADENACITY263</t>
  </si>
  <si>
    <t>PASOROBLESCI264</t>
  </si>
  <si>
    <t>Patterson  City of</t>
  </si>
  <si>
    <t>265</t>
  </si>
  <si>
    <t>PATTERSONCIT265</t>
  </si>
  <si>
    <t>266</t>
  </si>
  <si>
    <t>PETALUMACITY266</t>
  </si>
  <si>
    <t>267</t>
  </si>
  <si>
    <t>PHELANPINONH267</t>
  </si>
  <si>
    <t>Pico Rivera  City of</t>
  </si>
  <si>
    <t>268</t>
  </si>
  <si>
    <t>PICORIVERACI268</t>
  </si>
  <si>
    <t>269</t>
  </si>
  <si>
    <t>PICOWATERDIS269</t>
  </si>
  <si>
    <t>Pismo Beach  City of</t>
  </si>
  <si>
    <t>270</t>
  </si>
  <si>
    <t>PISMOBEACHCI270</t>
  </si>
  <si>
    <t>271</t>
  </si>
  <si>
    <t>PITTSBURGCIT271</t>
  </si>
  <si>
    <t>Placer County WA</t>
  </si>
  <si>
    <t>272</t>
  </si>
  <si>
    <t>PLACERCOUNTY272</t>
  </si>
  <si>
    <t>274</t>
  </si>
  <si>
    <t>PLEASANTONCI274</t>
  </si>
  <si>
    <t>275</t>
  </si>
  <si>
    <t>POMONACITYOF275</t>
  </si>
  <si>
    <t>276</t>
  </si>
  <si>
    <t>PORTHUENEMEC276</t>
  </si>
  <si>
    <t>277</t>
  </si>
  <si>
    <t>PORTERVILLEC277</t>
  </si>
  <si>
    <t>Poway  City of</t>
  </si>
  <si>
    <t>278</t>
  </si>
  <si>
    <t>POWAYCITYOFW278</t>
  </si>
  <si>
    <t>279</t>
  </si>
  <si>
    <t>QUARTZHILLWA279</t>
  </si>
  <si>
    <t>280</t>
  </si>
  <si>
    <t>RAINBOWMUNIC280</t>
  </si>
  <si>
    <t>281</t>
  </si>
  <si>
    <t>RAMONAMUNICI281</t>
  </si>
  <si>
    <t>282</t>
  </si>
  <si>
    <t>RANCHOCALIFO282</t>
  </si>
  <si>
    <t>City of Red Bluff</t>
  </si>
  <si>
    <t>CITYOFREDBLU283</t>
  </si>
  <si>
    <t>City of Redding</t>
  </si>
  <si>
    <t>284</t>
  </si>
  <si>
    <t>CITYOFREDDIN284</t>
  </si>
  <si>
    <t>Redlands  City of</t>
  </si>
  <si>
    <t>REDLANDSCITY285</t>
  </si>
  <si>
    <t>REDWOODCITYW286</t>
  </si>
  <si>
    <t>287</t>
  </si>
  <si>
    <t>REEDLEYCITYO287</t>
  </si>
  <si>
    <t>Rialto  City of</t>
  </si>
  <si>
    <t>288</t>
  </si>
  <si>
    <t>RIALTOCITYOF288</t>
  </si>
  <si>
    <t>289</t>
  </si>
  <si>
    <t>RINCONDELDIA289</t>
  </si>
  <si>
    <t>Rio Linda Elverta Community Water District</t>
  </si>
  <si>
    <t>290</t>
  </si>
  <si>
    <t>RIOLINDAELVE290</t>
  </si>
  <si>
    <t>291</t>
  </si>
  <si>
    <t>RIOVISTACITY291</t>
  </si>
  <si>
    <t>292</t>
  </si>
  <si>
    <t>RIPONCITYOFW292</t>
  </si>
  <si>
    <t>293</t>
  </si>
  <si>
    <t>RIVERBANKCIT293</t>
  </si>
  <si>
    <t>Riverside  City of</t>
  </si>
  <si>
    <t>294</t>
  </si>
  <si>
    <t>RIVERSIDECIT294</t>
  </si>
  <si>
    <t>295</t>
  </si>
  <si>
    <t>RIVERSIDEHIG295</t>
  </si>
  <si>
    <t>296</t>
  </si>
  <si>
    <t>ROHNERTPARKC296</t>
  </si>
  <si>
    <t>297</t>
  </si>
  <si>
    <t>ROSAMONDCOMM297</t>
  </si>
  <si>
    <t>298</t>
  </si>
  <si>
    <t>ROSEVILLECIT298</t>
  </si>
  <si>
    <t>299</t>
  </si>
  <si>
    <t>ROWLANDWATER299</t>
  </si>
  <si>
    <t>300</t>
  </si>
  <si>
    <t>RUBIDOUXCOMM300</t>
  </si>
  <si>
    <t>Rubio Canon Land and Water Association</t>
  </si>
  <si>
    <t>301</t>
  </si>
  <si>
    <t>RUBIOCANONLA301</t>
  </si>
  <si>
    <t>Sacramento  City Of - Water</t>
  </si>
  <si>
    <t>302</t>
  </si>
  <si>
    <t>SACRAMENTOCI302</t>
  </si>
  <si>
    <t>303</t>
  </si>
  <si>
    <t>SACRAMENTOCO303</t>
  </si>
  <si>
    <t>304</t>
  </si>
  <si>
    <t>SACRAMENTOSU304</t>
  </si>
  <si>
    <t>305</t>
  </si>
  <si>
    <t>SANBERNARDIN305</t>
  </si>
  <si>
    <t>San Bernardino County Service Area No 64 Spring Valley Lake</t>
  </si>
  <si>
    <t>306</t>
  </si>
  <si>
    <t>SPRINGVALLEY306</t>
  </si>
  <si>
    <t>308</t>
  </si>
  <si>
    <t>SANBRUNOCITY308</t>
  </si>
  <si>
    <t>San Buenaventura  City of - Water</t>
  </si>
  <si>
    <t>309</t>
  </si>
  <si>
    <t>SANBUENAVENT309</t>
  </si>
  <si>
    <t>San Clemente  City of</t>
  </si>
  <si>
    <t>310</t>
  </si>
  <si>
    <t>SANCLEMENTEC310</t>
  </si>
  <si>
    <t>San Diego  City of</t>
  </si>
  <si>
    <t>311</t>
  </si>
  <si>
    <t>SANDIEGOCITY311</t>
  </si>
  <si>
    <t>312</t>
  </si>
  <si>
    <t>SANDIEGUITOW312</t>
  </si>
  <si>
    <t>San Fernando City of</t>
  </si>
  <si>
    <t>313</t>
  </si>
  <si>
    <t>SANFERNANDOC313</t>
  </si>
  <si>
    <t>San Francisco Public Utilities Comission - City Distribution Division</t>
  </si>
  <si>
    <t>314</t>
  </si>
  <si>
    <t>SANFRANCISCO314</t>
  </si>
  <si>
    <t>San Gabriel Valley Municipal  Water District</t>
  </si>
  <si>
    <t>315</t>
  </si>
  <si>
    <t>WDSANGABRIEL315</t>
  </si>
  <si>
    <t>San Gabriel Valley Water Company - Fontana</t>
  </si>
  <si>
    <t>317</t>
  </si>
  <si>
    <t>FONTANASANGA317</t>
  </si>
  <si>
    <t>316</t>
  </si>
  <si>
    <t>WCSANGABRIEL316</t>
  </si>
  <si>
    <t>San Jacinto  City of</t>
  </si>
  <si>
    <t>318</t>
  </si>
  <si>
    <t>SANJACINTOCI318</t>
  </si>
  <si>
    <t>San Jose  City Of - Evergreen Edenvale Coyote Alviso NSJ</t>
  </si>
  <si>
    <t>319</t>
  </si>
  <si>
    <t>SANJOSECITYO319</t>
  </si>
  <si>
    <t>91</t>
  </si>
  <si>
    <t>CUPERTINOCIT091</t>
  </si>
  <si>
    <t>320</t>
  </si>
  <si>
    <t>SANJOSEWATER320</t>
  </si>
  <si>
    <t>322</t>
  </si>
  <si>
    <t>SANJUANWATER322</t>
  </si>
  <si>
    <t>323</t>
  </si>
  <si>
    <t>SANLORENZOVA323</t>
  </si>
  <si>
    <t>San Luis Obispo  City of</t>
  </si>
  <si>
    <t>324</t>
  </si>
  <si>
    <t>SANLUISOBISP324</t>
  </si>
  <si>
    <t>325</t>
  </si>
  <si>
    <t>SANGERCITYOF325</t>
  </si>
  <si>
    <t>Santa Ana  City of</t>
  </si>
  <si>
    <t>326</t>
  </si>
  <si>
    <t>SANTAANACITY326</t>
  </si>
  <si>
    <t>Santa Barbara  City of</t>
  </si>
  <si>
    <t>327</t>
  </si>
  <si>
    <t>SANTABARBARA327</t>
  </si>
  <si>
    <t>328</t>
  </si>
  <si>
    <t>SANTACLARACI328</t>
  </si>
  <si>
    <t>329</t>
  </si>
  <si>
    <t>SANTACRUZCIT329</t>
  </si>
  <si>
    <t>330</t>
  </si>
  <si>
    <t>SANTAFEIRRIG330</t>
  </si>
  <si>
    <t>Santa Fe Springs  City of</t>
  </si>
  <si>
    <t>331</t>
  </si>
  <si>
    <t>SANTAFESPRIN331</t>
  </si>
  <si>
    <t>332</t>
  </si>
  <si>
    <t>SANTAMARGARI332</t>
  </si>
  <si>
    <t>321</t>
  </si>
  <si>
    <t>SANJUANCAPIS321</t>
  </si>
  <si>
    <t>Santa Maria  City of</t>
  </si>
  <si>
    <t>333</t>
  </si>
  <si>
    <t>SANTAMARIACI333</t>
  </si>
  <si>
    <t>Santa Monica City of</t>
  </si>
  <si>
    <t>334</t>
  </si>
  <si>
    <t>SANTAMONICAC334</t>
  </si>
  <si>
    <t>Santa Paula  City of</t>
  </si>
  <si>
    <t>335</t>
  </si>
  <si>
    <t>SANTAPAULACI335</t>
  </si>
  <si>
    <t>336</t>
  </si>
  <si>
    <t>SANTAROSACIT336</t>
  </si>
  <si>
    <t>337</t>
  </si>
  <si>
    <t>SCOTTSVALLEY337</t>
  </si>
  <si>
    <t>338</t>
  </si>
  <si>
    <t>SEALBEACHCIT338</t>
  </si>
  <si>
    <t>339</t>
  </si>
  <si>
    <t>SHAFTERCITYO339</t>
  </si>
  <si>
    <t>City of Shasta Lake</t>
  </si>
  <si>
    <t>340</t>
  </si>
  <si>
    <t>CITYOFSHASTA340</t>
  </si>
  <si>
    <t>Sierra Madre  City of - Water</t>
  </si>
  <si>
    <t>341</t>
  </si>
  <si>
    <t>SIERRAMADREC341</t>
  </si>
  <si>
    <t>342</t>
  </si>
  <si>
    <t>SOLEDADCITYO342</t>
  </si>
  <si>
    <t>343</t>
  </si>
  <si>
    <t>SONOMACITYOF343</t>
  </si>
  <si>
    <t>344</t>
  </si>
  <si>
    <t>SOQUELCREEKW344</t>
  </si>
  <si>
    <t>345</t>
  </si>
  <si>
    <t>SOUTHCOASTWA345</t>
  </si>
  <si>
    <t>346</t>
  </si>
  <si>
    <t>SOUTHFEATHER346</t>
  </si>
  <si>
    <t>South Gate  City of</t>
  </si>
  <si>
    <t>347</t>
  </si>
  <si>
    <t>SOUTHGATECIT347</t>
  </si>
  <si>
    <t>South Pasadena  City of</t>
  </si>
  <si>
    <t>348</t>
  </si>
  <si>
    <t>SOUTHPASADEN348</t>
  </si>
  <si>
    <t>349</t>
  </si>
  <si>
    <t>SOUTHTAHOEPU349</t>
  </si>
  <si>
    <t>350</t>
  </si>
  <si>
    <t>STOCKTONCITY350</t>
  </si>
  <si>
    <t>Suburban Water Systems- San Jose Hills</t>
  </si>
  <si>
    <t>SANJOSEHILLS351</t>
  </si>
  <si>
    <t>Suburban Water Systems - La Mirada</t>
  </si>
  <si>
    <t>352</t>
  </si>
  <si>
    <t>LAMIRADASUBU352</t>
  </si>
  <si>
    <t>Solano Irrigation District - Suisun Solano Water Authority</t>
  </si>
  <si>
    <t>SOLANOIRRIGA353</t>
  </si>
  <si>
    <t>354</t>
  </si>
  <si>
    <t>SUNNYSLOPEWA354</t>
  </si>
  <si>
    <t>Sunnyslope Community Water District</t>
  </si>
  <si>
    <t>355</t>
  </si>
  <si>
    <t>SUNNYSLOPECO355</t>
  </si>
  <si>
    <t>356</t>
  </si>
  <si>
    <t>SUNNYVALECIT356</t>
  </si>
  <si>
    <t>City of Susanville</t>
  </si>
  <si>
    <t>357</t>
  </si>
  <si>
    <t>CITYOFSUSANV357</t>
  </si>
  <si>
    <t>358</t>
  </si>
  <si>
    <t>SWEETWATERAU358</t>
  </si>
  <si>
    <t>Tehachapi  City Of Water Service Area</t>
  </si>
  <si>
    <t>359</t>
  </si>
  <si>
    <t>TEHACHAPICIT359</t>
  </si>
  <si>
    <t>Thousand Oaks  City of</t>
  </si>
  <si>
    <t>361</t>
  </si>
  <si>
    <t>THOUSANDOAKS361</t>
  </si>
  <si>
    <t>Torrance  City Of Municipal Water District</t>
  </si>
  <si>
    <t>362</t>
  </si>
  <si>
    <t>TORRANCECITY362</t>
  </si>
  <si>
    <t>363</t>
  </si>
  <si>
    <t>TRABUCOCANYO363</t>
  </si>
  <si>
    <t>Tracy  City of - Water Service</t>
  </si>
  <si>
    <t>364</t>
  </si>
  <si>
    <t>TRACYCITYOFW364</t>
  </si>
  <si>
    <t>Oak Park Water Service</t>
  </si>
  <si>
    <t>365</t>
  </si>
  <si>
    <t>OAKPARKWATER365</t>
  </si>
  <si>
    <t>Truckee-Donner Public Utility District</t>
  </si>
  <si>
    <t>366</t>
  </si>
  <si>
    <t>TRUCKEEDONNE366</t>
  </si>
  <si>
    <t>367</t>
  </si>
  <si>
    <t>TULARECITYOF367</t>
  </si>
  <si>
    <t>Tuolumne Utilities District - Tuolumne City System</t>
  </si>
  <si>
    <t>TUOLUMNEUTIL368</t>
  </si>
  <si>
    <t>Turlock  City Of Water Service Area</t>
  </si>
  <si>
    <t>TURLOCKCITYO369</t>
  </si>
  <si>
    <t>370</t>
  </si>
  <si>
    <t>TUSTINCITYOF370</t>
  </si>
  <si>
    <t>371</t>
  </si>
  <si>
    <t>TWENTYNINEPA371</t>
  </si>
  <si>
    <t>UKIAHCITYOFW372</t>
  </si>
  <si>
    <t>Upland  City of</t>
  </si>
  <si>
    <t>UPLANDCITYOF373</t>
  </si>
  <si>
    <t>374</t>
  </si>
  <si>
    <t>VACAVILLECIT374</t>
  </si>
  <si>
    <t>VALLECITOSWA376</t>
  </si>
  <si>
    <t>377</t>
  </si>
  <si>
    <t>VALLEJOCITYO377</t>
  </si>
  <si>
    <t>VALLEYCENTER378</t>
  </si>
  <si>
    <t>379</t>
  </si>
  <si>
    <t>VALLEYCOUNTY379</t>
  </si>
  <si>
    <t>380</t>
  </si>
  <si>
    <t>VALLEYOFTHEM380</t>
  </si>
  <si>
    <t>381</t>
  </si>
  <si>
    <t>VALLEYWATERC381</t>
  </si>
  <si>
    <t>382</t>
  </si>
  <si>
    <t>VAUGHNWATERC382</t>
  </si>
  <si>
    <t>383</t>
  </si>
  <si>
    <t>MOORPARKVENT383</t>
  </si>
  <si>
    <t>Ventura County Waterworks District No 8 - Simi Valley</t>
  </si>
  <si>
    <t>384</t>
  </si>
  <si>
    <t>SIMIVALLEYVE384</t>
  </si>
  <si>
    <t>Vernon City Of</t>
  </si>
  <si>
    <t>VICTORVILLEW386</t>
  </si>
  <si>
    <t>VISTAIRRIGAT387</t>
  </si>
  <si>
    <t>WALNUTVALLEY388</t>
  </si>
  <si>
    <t>389</t>
  </si>
  <si>
    <t>WASCOCITYOFW389</t>
  </si>
  <si>
    <t>Watsonville, City of</t>
  </si>
  <si>
    <t>WATSONVILLEC390</t>
  </si>
  <si>
    <t>WESTKERNWATE391</t>
  </si>
  <si>
    <t>WESTSACRAMEN392</t>
  </si>
  <si>
    <t>393</t>
  </si>
  <si>
    <t>WESTVALLEYWA393</t>
  </si>
  <si>
    <t>Westborough County Water District</t>
  </si>
  <si>
    <t>394</t>
  </si>
  <si>
    <t>WESTBOROUGHC394</t>
  </si>
  <si>
    <t>Western Municipal Water District</t>
  </si>
  <si>
    <t>395</t>
  </si>
  <si>
    <t>WESTERNMUNIC395</t>
  </si>
  <si>
    <t>Westminister  City Of</t>
  </si>
  <si>
    <t>WESTMINISTER396</t>
  </si>
  <si>
    <t>Whittier  City of</t>
  </si>
  <si>
    <t>WHITTIERCITY397</t>
  </si>
  <si>
    <t>398</t>
  </si>
  <si>
    <t>WINDSORTOWNO398</t>
  </si>
  <si>
    <t>399</t>
  </si>
  <si>
    <t>WOODLANDCITY399</t>
  </si>
  <si>
    <t>400</t>
  </si>
  <si>
    <t>YORBALINDAWA400</t>
  </si>
  <si>
    <t>City of Yreka</t>
  </si>
  <si>
    <t>CITYOFYREKAW401</t>
  </si>
  <si>
    <t>YUBACITYWATE402</t>
  </si>
  <si>
    <t>Yucaipa Valley Water District - Water</t>
  </si>
  <si>
    <t>403</t>
  </si>
  <si>
    <t>YUCAIPAVALLE403</t>
  </si>
  <si>
    <t>San Bernardino County Service Area No 70 J Oak Hills</t>
  </si>
  <si>
    <t>307</t>
  </si>
  <si>
    <t>OAKHILLSSANB307</t>
  </si>
  <si>
    <t>City of Chowchilla</t>
  </si>
  <si>
    <t>72</t>
  </si>
  <si>
    <t>CITYOFCHOWCH072</t>
  </si>
  <si>
    <t>233</t>
  </si>
  <si>
    <t>MOUNTAINHOUS233</t>
  </si>
  <si>
    <t>67</t>
  </si>
  <si>
    <t>SANTACLARITA067</t>
  </si>
  <si>
    <t>238</t>
  </si>
  <si>
    <t>NEWHALLCOUNT238</t>
  </si>
  <si>
    <t>375</t>
  </si>
  <si>
    <t>VALENCIAWATE375</t>
  </si>
  <si>
    <t>Eto_inches</t>
  </si>
  <si>
    <t>Total_Precipitation_inches</t>
  </si>
  <si>
    <t>Effective_Precipitation_inches</t>
  </si>
  <si>
    <t>Eto_inches_Alternative</t>
  </si>
  <si>
    <t>Effective_Precipitation_inches_Alternative</t>
  </si>
  <si>
    <t>PEFF_FINAL</t>
  </si>
  <si>
    <t>ETO_FINAL</t>
  </si>
  <si>
    <t>City of Adelanto Water District</t>
  </si>
  <si>
    <t>Alhambra City Of</t>
  </si>
  <si>
    <t>American Canyon City Of</t>
  </si>
  <si>
    <t>Anaheim City Of</t>
  </si>
  <si>
    <t>Anderson City Of</t>
  </si>
  <si>
    <t>Antioch City Of</t>
  </si>
  <si>
    <t>Arcadia City Of</t>
  </si>
  <si>
    <t>Arcata City Of</t>
  </si>
  <si>
    <t>Arroyo Grande City Of</t>
  </si>
  <si>
    <t>Atwater City Of</t>
  </si>
  <si>
    <t>Azusa light and Water</t>
  </si>
  <si>
    <t>Bakersfield City Of</t>
  </si>
  <si>
    <t>Banning City Of</t>
  </si>
  <si>
    <t>Benicia City Of</t>
  </si>
  <si>
    <t>Beverly Hills City Of</t>
  </si>
  <si>
    <t>Big Bear Lake City Of.</t>
  </si>
  <si>
    <t>Blythe City Of</t>
  </si>
  <si>
    <t>Brawley_ City of</t>
  </si>
  <si>
    <t>Brea City Of</t>
  </si>
  <si>
    <t>Buena Park City Of</t>
  </si>
  <si>
    <t>Burbank City Of</t>
  </si>
  <si>
    <t>Burlingame City Of</t>
  </si>
  <si>
    <t>Calexico City Of</t>
  </si>
  <si>
    <t>California American Water Company- San Diego District</t>
  </si>
  <si>
    <t>Camarillo City Of</t>
  </si>
  <si>
    <t>Cambria Community Service Distr.ict</t>
  </si>
  <si>
    <t>Casita Municipal Water District</t>
  </si>
  <si>
    <t>Ceres City Of</t>
  </si>
  <si>
    <t>Cerritos City Of</t>
  </si>
  <si>
    <t xml:space="preserve">	Chino City of</t>
  </si>
  <si>
    <t>Chino Hills City Of</t>
  </si>
  <si>
    <t>Clovis City Of</t>
  </si>
  <si>
    <t>Coachella City Of</t>
  </si>
  <si>
    <t>Coalinga City Of</t>
  </si>
  <si>
    <t>Colton City Of</t>
  </si>
  <si>
    <t>Compton City Of</t>
  </si>
  <si>
    <t>Corcoran City Of</t>
  </si>
  <si>
    <t>Corona City Of</t>
  </si>
  <si>
    <t>Covina City Of</t>
  </si>
  <si>
    <t>Davis City Of</t>
  </si>
  <si>
    <t>Delano City Of</t>
  </si>
  <si>
    <t>Dinuba City Of</t>
  </si>
  <si>
    <t>Downey City Of</t>
  </si>
  <si>
    <t>East Palo Alto City Of</t>
  </si>
  <si>
    <t>El Centro City Of</t>
  </si>
  <si>
    <t>El Monte City Of</t>
  </si>
  <si>
    <t>El Segundo City Of</t>
  </si>
  <si>
    <t>Escondido City Of</t>
  </si>
  <si>
    <t>Eureka City Of</t>
  </si>
  <si>
    <t>Exeter, City of</t>
  </si>
  <si>
    <t>Fairfield City Of</t>
  </si>
  <si>
    <t>Fillmore City Of</t>
  </si>
  <si>
    <t>Folsom City Of</t>
  </si>
  <si>
    <t>Fortuna City Of</t>
  </si>
  <si>
    <t>Fountain Valley City Of</t>
  </si>
  <si>
    <t>Fresno City Of</t>
  </si>
  <si>
    <t>Fullerton City Of</t>
  </si>
  <si>
    <t xml:space="preserve">Galt City Of </t>
  </si>
  <si>
    <t>Garden Grove City Of</t>
  </si>
  <si>
    <t>Gilroy City Of</t>
  </si>
  <si>
    <t>Glendale City Of</t>
  </si>
  <si>
    <t>Glendora City Of</t>
  </si>
  <si>
    <t>Golden State Water Company Artesia</t>
  </si>
  <si>
    <t>Golden State Wat.er Company - Culver City</t>
  </si>
  <si>
    <t>Greenfield City Of</t>
  </si>
  <si>
    <t>Greenfield County Water District  ·</t>
  </si>
  <si>
    <t>Grover Beach City Of</t>
  </si>
  <si>
    <t>Hanford City Of</t>
  </si>
  <si>
    <t>Hawthorne City Of</t>
  </si>
  <si>
    <t>Hayward City Of</t>
  </si>
  <si>
    <t>Healdsburg City Of</t>
  </si>
  <si>
    <t>Hemet City Of</t>
  </si>
  <si>
    <t>Hillsborough Town Of</t>
  </si>
  <si>
    <t>Huntington Beach City Of</t>
  </si>
  <si>
    <t>Huntington Park City Of</t>
  </si>
  <si>
    <t>Imperial City Of</t>
  </si>
  <si>
    <t>Indio City Of</t>
  </si>
  <si>
    <t>Inglewood City Of</t>
  </si>
  <si>
    <t>Kerman City Of</t>
  </si>
  <si>
    <t>Kingsburg City Of</t>
  </si>
  <si>
    <t>La Habra City Of</t>
  </si>
  <si>
    <t>La Palma City Of</t>
  </si>
  <si>
    <t>La Verne City Of</t>
  </si>
  <si>
    <t>Lake Arrowhead Community Services District  .</t>
  </si>
  <si>
    <t>Lakewood City Of</t>
  </si>
  <si>
    <t>Lathrop City Of</t>
  </si>
  <si>
    <t>Lemoore City Of</t>
  </si>
  <si>
    <t>Lincoln City Of</t>
  </si>
  <si>
    <t>Livermore City Of</t>
  </si>
  <si>
    <t>Livingston City Of</t>
  </si>
  <si>
    <t>Lodi City Of</t>
  </si>
  <si>
    <t>Loma Linda City Of</t>
  </si>
  <si>
    <t>Lomita City Of</t>
  </si>
  <si>
    <t>Lompoc City Of</t>
  </si>
  <si>
    <t>Long Beach City Of</t>
  </si>
  <si>
    <t>Los Angeles City Department Of Water And P.ower</t>
  </si>
  <si>
    <t>Los Banos City Of</t>
  </si>
  <si>
    <t>Lynwood City Of</t>
  </si>
  <si>
    <t>Madera City Of</t>
  </si>
  <si>
    <t>Manhattan Beach City Of</t>
  </si>
  <si>
    <t>Manteca City Of</t>
  </si>
  <si>
    <t>Martinez City Of</t>
  </si>
  <si>
    <t>Menlo Park City Of</t>
  </si>
  <si>
    <t>Merced City Of</t>
  </si>
  <si>
    <t>Mid-Peninsula  Water District</t>
  </si>
  <si>
    <t>Millbrae City Of</t>
  </si>
  <si>
    <t>Milpitas City Of</t>
  </si>
  <si>
    <t>Modesto City Of</t>
  </si>
  <si>
    <t>Monrovia City Of</t>
  </si>
  <si>
    <t>Monterey Park City Of</t>
  </si>
  <si>
    <t>Morgan Hill City Of</t>
  </si>
  <si>
    <t>Morro Bay City Of</t>
  </si>
  <si>
    <t>Mountain View City Of</t>
  </si>
  <si>
    <t>Napa City Of</t>
  </si>
  <si>
    <t>Newport Beach City Of</t>
  </si>
  <si>
    <t>Niporno Community Servite District</t>
  </si>
  <si>
    <t>Norco City Of</t>
  </si>
  <si>
    <t>North Tahoe Public_ Utilities District</t>
  </si>
  <si>
    <t>Norwalk City Of</t>
  </si>
  <si>
    <t>Oceanside City Of</t>
  </si>
  <si>
    <t>Ontario City Of</t>
  </si>
  <si>
    <t>Orange City Of</t>
  </si>
  <si>
    <t>Oxnard City Of</t>
  </si>
  <si>
    <t>Palo Alto City Of</t>
  </si>
  <si>
    <t>Paramount City Of</t>
  </si>
  <si>
    <t>Pasadena City Of</t>
  </si>
  <si>
    <t>Paso Robles City Of</t>
  </si>
  <si>
    <t>Patterson City Of</t>
  </si>
  <si>
    <t>Petaluma City Of</t>
  </si>
  <si>
    <t>Pico Rivera City Of</t>
  </si>
  <si>
    <t>Pismo Beach City Of</t>
  </si>
  <si>
    <t>Pittsburg City Of</t>
  </si>
  <si>
    <t>Pleasanton City Of</t>
  </si>
  <si>
    <t>Pomona City Of</t>
  </si>
  <si>
    <t>Port Hueneme City Of</t>
  </si>
  <si>
    <t>Porterville City Of</t>
  </si>
  <si>
    <t>Poway City Of</t>
  </si>
  <si>
    <t>Red Bluff City Of</t>
  </si>
  <si>
    <t>Redding City Of</t>
  </si>
  <si>
    <t>Redlands City Of</t>
  </si>
  <si>
    <t>Reedley City Of</t>
  </si>
  <si>
    <t>Rialto City Of</t>
  </si>
  <si>
    <t>Rincon Del Diablo Municipal Water District.</t>
  </si>
  <si>
    <t>Rio Vista City Of</t>
  </si>
  <si>
    <t>Ripon City Of</t>
  </si>
  <si>
    <t>Riverbank City Of</t>
  </si>
  <si>
    <t>Rohnert Park City Of</t>
  </si>
  <si>
    <t>Roseville City Of</t>
  </si>
  <si>
    <t>Sacramento City Of</t>
  </si>
  <si>
    <t>San Bernardino City Of</t>
  </si>
  <si>
    <t>San Bruno City Of</t>
  </si>
  <si>
    <t>San Buenaventura City Of (Ventura)</t>
  </si>
  <si>
    <t>San Clemente City Of</t>
  </si>
  <si>
    <t>San Diego City Of</t>
  </si>
  <si>
    <t>San Fernando City Of</t>
  </si>
  <si>
    <t>San Francisco Public Utilities Commision</t>
  </si>
  <si>
    <t>San Gabriel Valley Water Company Fontana Division</t>
  </si>
  <si>
    <t>San Jacinto City Of</t>
  </si>
  <si>
    <t>San Jose City Of</t>
  </si>
  <si>
    <t>San. Luis Obispo City Of</t>
  </si>
  <si>
    <t>Sanger City Of</t>
  </si>
  <si>
    <t>Santa Barbara City Of</t>
  </si>
  <si>
    <t>Santa Clara City Of</t>
  </si>
  <si>
    <t>Santa Cruz City Of</t>
  </si>
  <si>
    <t>Santa Fe Springs City Of</t>
  </si>
  <si>
    <t>Santa Maria City Of</t>
  </si>
  <si>
    <t>Santa Monica City Of</t>
  </si>
  <si>
    <t>Santa Paula City Of</t>
  </si>
  <si>
    <t>Santa Rosa City Of</t>
  </si>
  <si>
    <t>Scotts Valley Water Oistrict</t>
  </si>
  <si>
    <t>Seal Beach City Of</t>
  </si>
  <si>
    <t>Shafter City Of</t>
  </si>
  <si>
    <t>Shasta Lake City Of</t>
  </si>
  <si>
    <t>Sierra Madre City Of</t>
  </si>
  <si>
    <t>Soledad City Of</t>
  </si>
  <si>
    <t>Sonoma City Of</t>
  </si>
  <si>
    <t>Sequel Creek Water District</t>
  </si>
  <si>
    <t>South Gate City Of</t>
  </si>
  <si>
    <t>South Pasadena City Of</t>
  </si>
  <si>
    <t>Stockton City Of</t>
  </si>
  <si>
    <t>Suburban Water Systems - Whittier/La  Mirada</t>
  </si>
  <si>
    <t>Sunnyvale City Of</t>
  </si>
  <si>
    <t>Susanville City Of</t>
  </si>
  <si>
    <t>Tehachapi City Of</t>
  </si>
  <si>
    <t>Thousand Oaks City Of</t>
  </si>
  <si>
    <t>Torrance City Of</t>
  </si>
  <si>
    <t>Tracy City Of</t>
  </si>
  <si>
    <t>Tulare City Of</t>
  </si>
  <si>
    <t>Turlock City Of</t>
  </si>
  <si>
    <t>Tustin City Of</t>
  </si>
  <si>
    <t>Ukiah City Of</t>
  </si>
  <si>
    <t>Upland City Of</t>
  </si>
  <si>
    <t>Vacaville City Of</t>
  </si>
  <si>
    <t>Vallecitos Water 0istrict</t>
  </si>
  <si>
    <t>Vallejo City Of</t>
  </si>
  <si>
    <t>Ventura County Waterworks District No 01-  Moorpark</t>
  </si>
  <si>
    <t>Wasco City Of</t>
  </si>
  <si>
    <t>Watsonville City Of</t>
  </si>
  <si>
    <t>West Sacramento City Of</t>
  </si>
  <si>
    <t>Westminister City Of</t>
  </si>
  <si>
    <t>Whittier City Of</t>
  </si>
  <si>
    <t>Windsor Town Of</t>
  </si>
  <si>
    <t>Woodland City Of</t>
  </si>
  <si>
    <t>Yreka City Of</t>
  </si>
  <si>
    <t>Santa Clarita Valley Water Company</t>
  </si>
  <si>
    <t>Seasonal_Eto_inches</t>
  </si>
  <si>
    <t>Seasonal_Peff_inches</t>
  </si>
  <si>
    <t>Seasonal_Kc</t>
  </si>
  <si>
    <t>Seasonal_IE</t>
  </si>
  <si>
    <t>Seasonal_ETF</t>
  </si>
  <si>
    <t>Monrovia  City of</t>
  </si>
  <si>
    <t>Napa City of</t>
  </si>
  <si>
    <t>VERNONCITYOF385</t>
  </si>
  <si>
    <t>Vernon  City of</t>
  </si>
  <si>
    <t>CZ_NUMBER</t>
  </si>
  <si>
    <t>N_DAYS_PER_WEEK_WATER</t>
  </si>
  <si>
    <t>2177</t>
  </si>
  <si>
    <t>San Juan Capistrano  City Of</t>
  </si>
  <si>
    <t>REPORTING_PERIOD_START_DATE</t>
  </si>
  <si>
    <t>REPORTING_PERIOD_END_DATE</t>
  </si>
  <si>
    <t>RESIDENTIAL_SINGLEFAMILY_GAL</t>
  </si>
  <si>
    <t>RESIDENTIAL_MULTIFAMILY_GAL</t>
  </si>
  <si>
    <t>COMMERCIAL_INSTITUTIONAL_GAL</t>
  </si>
  <si>
    <t>NONRESIDENTIAL_METERED_IRRIGATION_GAL</t>
  </si>
  <si>
    <t>INDUSTRIAL_GAL</t>
  </si>
  <si>
    <t>OTHER_GAL</t>
  </si>
  <si>
    <t>AGRICULTURE_GAL</t>
  </si>
  <si>
    <t>NONPOTABLE_DEMAND_RESIDENTIAL_RECYCLED_WATER_GAL</t>
  </si>
  <si>
    <t>NONPOTABLE_DEMAND_RESIDENTIAL_NONPOTABLE_WATER_GAL</t>
  </si>
  <si>
    <t>NONPOTABLE_DEMAND_RESIDENTIAL_METERED_LANDSCAPE_IRRIGATION_GAL</t>
  </si>
  <si>
    <t>NONPOTABLE_DEMAND_NONRESIDENTIAL_RECYCLED_WATER_GAL</t>
  </si>
  <si>
    <t>NONPOTABLE_DEMAND_NONRESIDENTIAL_NONPOTABLE_WATER_GAL</t>
  </si>
  <si>
    <t>NONPOTABLE_DEMAND_NONRESIDENTIAL_METERED_IRRIGATION_GAL</t>
  </si>
  <si>
    <t>POTABLE_SUM_TOTAL_NOAG</t>
  </si>
  <si>
    <t>NONPOTABLE_SUM_TOTAL</t>
  </si>
  <si>
    <t>Back to Table of Contents</t>
  </si>
  <si>
    <t>Must-do for any residential or CII variances or provisions</t>
  </si>
  <si>
    <t>Must-do for any indoor variance or provisions</t>
  </si>
  <si>
    <t>Table of Contents</t>
  </si>
  <si>
    <t>Abbreviations and Color Key</t>
  </si>
  <si>
    <t>Auxiliary tab if using the 1% threshold method for this variance</t>
  </si>
  <si>
    <t>Abbreviations dictionary and cell color-key</t>
  </si>
  <si>
    <t>Urban Retail Water Supplier Contact Information</t>
  </si>
  <si>
    <t>I certify that I have provided information quantifying and substantiating each variance or temporary provision request</t>
  </si>
  <si>
    <t>Submit documentation including: 
• Copy of emergency declaration pursuant to Government Code section 8558(b) or 8558(c)
• Official evacuation orders
• Official incident reports
• Document describing or map showing impacted parcels
• Records of total volume of water used as part of emergency response efforts</t>
  </si>
  <si>
    <t xml:space="preserve">Crop coefficient values are from the most recent crop coefficients identified in one of the following: </t>
  </si>
  <si>
    <t>Preliminary updates to landscape area values if necessary 
(must be approved for final UWUO report)</t>
  </si>
  <si>
    <t xml:space="preserve"> - Fluctuations in Seasonal Population</t>
  </si>
  <si>
    <t xml:space="preserve"> - Animal Dust Control                                                     - Climate-ready Trees Provision</t>
  </si>
  <si>
    <t xml:space="preserve"> - Non-II-classed Residential Agriculture                - Qualifying Landscapes Provision</t>
  </si>
  <si>
    <t>Calculation tool and components checklist:</t>
  </si>
  <si>
    <t xml:space="preserve"> - Responding to non-drought emergencies - Irrigation with Recycled Water with High TDS levels</t>
  </si>
  <si>
    <t xml:space="preserve">Refers to the State fiscal year, which is the reporting period. FY24-25 means the fiscal year July 1, 2024 - June 30, 2025. </t>
  </si>
  <si>
    <t>Zip</t>
  </si>
  <si>
    <t>compressed file type</t>
  </si>
  <si>
    <r>
      <t xml:space="preserve">       </t>
    </r>
    <r>
      <rPr>
        <b/>
        <sz val="24"/>
        <color rgb="FFFF0000"/>
        <rFont val="Verdana"/>
        <family val="2"/>
      </rPr>
      <t>Variance and Temporary Provision Request Form</t>
    </r>
    <r>
      <rPr>
        <b/>
        <sz val="24"/>
        <color theme="1"/>
        <rFont val="Verdana"/>
        <family val="2"/>
      </rPr>
      <t xml:space="preserve"> for FY24-25</t>
    </r>
  </si>
  <si>
    <r>
      <t xml:space="preserve">All alternative data and methodologies should be e-mailed to the Department of Water Resources (DWR) at </t>
    </r>
    <r>
      <rPr>
        <b/>
        <sz val="11"/>
        <color theme="1"/>
        <rFont val="Calibri"/>
        <family val="2"/>
        <scheme val="minor"/>
      </rPr>
      <t>WUEstandards@water.ca.gov</t>
    </r>
    <r>
      <rPr>
        <sz val="11"/>
        <color theme="1"/>
        <rFont val="Calibri"/>
        <family val="2"/>
        <scheme val="minor"/>
      </rPr>
      <t>. DWR and SWB will update records for each supplier and they will be applied as approvals come through. This tab is for our tracking, and only pertains to data related directly to the variances (ET0 not tracked).</t>
    </r>
  </si>
  <si>
    <r>
      <t>Unofficial square footage of corrals or other animal exercise areas (</t>
    </r>
    <r>
      <rPr>
        <b/>
        <sz val="11"/>
        <color rgb="FFFF0000"/>
        <rFont val="Calibri"/>
        <family val="2"/>
        <scheme val="minor"/>
      </rPr>
      <t>Optional</t>
    </r>
    <r>
      <rPr>
        <sz val="11"/>
        <color theme="1"/>
        <rFont val="Calibri"/>
        <family val="2"/>
        <scheme val="minor"/>
      </rPr>
      <t>)</t>
    </r>
  </si>
  <si>
    <r>
      <t xml:space="preserve">FY </t>
    </r>
    <r>
      <rPr>
        <sz val="11"/>
        <color theme="1"/>
        <rFont val="Calibri"/>
        <family val="2"/>
        <scheme val="minor"/>
      </rPr>
      <t>(24-25)</t>
    </r>
  </si>
  <si>
    <t>See NONRESIDENTIAL_METERED_IRRIGATION_GAL in the Potable and Non-Potable Water Deliveries for URWS on the Open Data Portal. The value will depend on the fiscal year start date chosen in cell B12</t>
  </si>
  <si>
    <t>See NONPOTABLE_DEMAND_NONRESIDENTIAL_METERED_IRRIGATION_GAL in the Potable and Non-Potable Water Deliveries for URWS on the Open Data Portal.  The value will depend on the fiscal year start date chosen in cell B12</t>
  </si>
  <si>
    <t>Obtained from Annual Weather Data Table. The value will depend on the fiscal year start date chosen in cell B12 of the Preliminary Budgets Tab.</t>
  </si>
  <si>
    <t>975(b)(2)(E)</t>
  </si>
  <si>
    <t>975(c)(2)(D)</t>
  </si>
  <si>
    <r>
      <t xml:space="preserve">The following table is a checklist of items in CCR, title 23, section 968(j), and is required information to include when requesting approval for one or more residential </t>
    </r>
    <r>
      <rPr>
        <u/>
        <sz val="14"/>
        <rFont val="Calibri"/>
        <family val="2"/>
        <scheme val="minor"/>
      </rPr>
      <t>outdoor</t>
    </r>
    <r>
      <rPr>
        <sz val="14"/>
        <rFont val="Calibri"/>
        <family val="2"/>
        <scheme val="minor"/>
      </rPr>
      <t xml:space="preserve"> variances or temporary provisions.</t>
    </r>
  </si>
  <si>
    <t>Indoor standard as of January 1, 2025</t>
  </si>
  <si>
    <t>Indoor standard prior to January 1, 2025</t>
  </si>
  <si>
    <r>
      <t xml:space="preserve">The following table is a checklist of items in CCR, title 23, section 967(e), and is required information when requesting approval for one or more </t>
    </r>
    <r>
      <rPr>
        <u/>
        <sz val="14"/>
        <rFont val="Calibri"/>
        <family val="2"/>
        <scheme val="minor"/>
      </rPr>
      <t>indoor</t>
    </r>
    <r>
      <rPr>
        <sz val="14"/>
        <rFont val="Calibri"/>
        <family val="2"/>
        <scheme val="minor"/>
      </rPr>
      <t xml:space="preserve"> variances or temporary provisions.</t>
    </r>
  </si>
  <si>
    <t>You may use the "Residential Outdoor Components" tab to adjust the estimated residential outdoor budget components. Be sure to be consistent with the fiscal year indicated on the "Preliminary Budget" tab.</t>
  </si>
  <si>
    <t>Calculation &amp; components checklist:
- Evaporative Coolers                                                      - Wastewater Provision</t>
  </si>
  <si>
    <t>Calculation &amp; components checklist:
- Livestock on Residential Property                          - Required Ponds and Lakes</t>
  </si>
  <si>
    <t>5% Threshold (not using hourly or daily AMI)</t>
  </si>
  <si>
    <t>Approved variances and supporting data will be posted on the State Water Board website and on the Open Data portal.</t>
  </si>
  <si>
    <t>[</t>
  </si>
  <si>
    <t>If submitting before July 1st, 2025, or before FY 2024-25 data is refreshed:</t>
  </si>
  <si>
    <t>You may use the previous reporting year data (data submitted as part of FY 2023-24/2025-UWUO Report) for this submission. However, the most current data will be used within the 2026-UWUO Report. Be aware that this may alter budgets and thresholds.</t>
  </si>
  <si>
    <t>Variance Submission for [ORG ID] [Supplier name] FY 2024-25</t>
  </si>
  <si>
    <r>
      <t xml:space="preserve">In a </t>
    </r>
    <r>
      <rPr>
        <u/>
        <sz val="12"/>
        <color theme="1"/>
        <rFont val="Calibri"/>
        <family val="2"/>
        <scheme val="minor"/>
      </rPr>
      <t>zip</t>
    </r>
    <r>
      <rPr>
        <sz val="12"/>
        <color theme="1"/>
        <rFont val="Calibri"/>
        <family val="2"/>
        <scheme val="minor"/>
      </rPr>
      <t xml:space="preserve"> file titled "Variance_Submission_[ORG ID]_[Supplier name]_FY2024-25" :</t>
    </r>
  </si>
  <si>
    <t>Alternative data source. Indicate request status on last tab.</t>
  </si>
  <si>
    <t>The residential outdoor and CII DIM components of these variances will be approved separately.</t>
  </si>
  <si>
    <t>975(b)(3)(H)(ii)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</si>
</sst>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0.0"/>
    <numFmt numFmtId="165" formatCode="0.0"/>
    <numFmt numFmtId="166" formatCode="#,##0.000"/>
    <numFmt numFmtId="167" formatCode="#,##0.0000"/>
  </numFmts>
  <fonts count="46" x14ac:knownFonts="1">
    <font>
      <sz val="11"/>
      <color theme="1"/>
      <name val="Calibri"/>
      <family val="2"/>
      <scheme val="minor"/>
    </font>
    <font>
      <b/>
      <sz val="11"/>
      <color theme="1"/>
      <name val="Calibri"/>
      <family val="2"/>
      <scheme val="minor"/>
    </font>
    <font>
      <sz val="11"/>
      <name val="Calibri"/>
      <family val="2"/>
      <scheme val="minor"/>
    </font>
    <font>
      <b/>
      <sz val="16"/>
      <color theme="1"/>
      <name val="Calibri"/>
      <family val="2"/>
      <scheme val="minor"/>
    </font>
    <font>
      <sz val="11"/>
      <color theme="1"/>
      <name val="Calibri"/>
      <family val="2"/>
      <scheme val="minor"/>
    </font>
    <font>
      <u/>
      <sz val="11"/>
      <color theme="10"/>
      <name val="Calibri"/>
      <family val="2"/>
      <scheme val="minor"/>
    </font>
    <font>
      <b/>
      <sz val="11"/>
      <color rgb="FF000000"/>
      <name val="Calibri"/>
      <family val="2"/>
      <scheme val="minor"/>
    </font>
    <font>
      <sz val="11"/>
      <color rgb="FF000000"/>
      <name val="Calibri"/>
      <family val="2"/>
      <scheme val="minor"/>
    </font>
    <font>
      <sz val="8"/>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8"/>
      <color theme="1"/>
      <name val="Calibri"/>
      <family val="2"/>
      <scheme val="minor"/>
    </font>
    <font>
      <b/>
      <sz val="11"/>
      <name val="Calibri"/>
      <family val="2"/>
      <scheme val="minor"/>
    </font>
    <font>
      <b/>
      <sz val="11"/>
      <color rgb="FFFF0000"/>
      <name val="Calibri"/>
      <family val="2"/>
      <scheme val="minor"/>
    </font>
    <font>
      <b/>
      <sz val="11"/>
      <color theme="0"/>
      <name val="Calibri"/>
      <family val="2"/>
      <scheme val="minor"/>
    </font>
    <font>
      <b/>
      <sz val="14"/>
      <color theme="0"/>
      <name val="Calibri"/>
      <family val="2"/>
      <scheme val="minor"/>
    </font>
    <font>
      <vertAlign val="subscript"/>
      <sz val="11"/>
      <color theme="1"/>
      <name val="Calibri"/>
      <family val="2"/>
      <scheme val="minor"/>
    </font>
    <font>
      <b/>
      <u/>
      <sz val="11"/>
      <color theme="0"/>
      <name val="Calibri"/>
      <family val="2"/>
      <scheme val="minor"/>
    </font>
    <font>
      <sz val="11"/>
      <color theme="0"/>
      <name val="Calibri"/>
      <family val="2"/>
      <scheme val="minor"/>
    </font>
    <font>
      <b/>
      <sz val="12"/>
      <color theme="0"/>
      <name val="Calibri"/>
      <family val="2"/>
      <scheme val="minor"/>
    </font>
    <font>
      <b/>
      <sz val="12"/>
      <name val="Calibri"/>
      <family val="2"/>
      <scheme val="minor"/>
    </font>
    <font>
      <sz val="12"/>
      <name val="Calibri"/>
      <family val="2"/>
      <scheme val="minor"/>
    </font>
    <font>
      <b/>
      <sz val="14"/>
      <name val="Calibri"/>
      <family val="2"/>
      <scheme val="minor"/>
    </font>
    <font>
      <b/>
      <u/>
      <sz val="11"/>
      <color theme="10"/>
      <name val="Calibri"/>
      <family val="2"/>
      <scheme val="minor"/>
    </font>
    <font>
      <b/>
      <vertAlign val="subscript"/>
      <sz val="11"/>
      <color theme="1"/>
      <name val="Calibri"/>
      <family val="2"/>
      <scheme val="minor"/>
    </font>
    <font>
      <b/>
      <vertAlign val="subscript"/>
      <sz val="11"/>
      <color theme="0"/>
      <name val="Calibri"/>
      <family val="2"/>
      <scheme val="minor"/>
    </font>
    <font>
      <b/>
      <u/>
      <sz val="11"/>
      <color theme="1"/>
      <name val="Calibri"/>
      <family val="2"/>
      <scheme val="minor"/>
    </font>
    <font>
      <i/>
      <sz val="11"/>
      <color theme="1"/>
      <name val="Calibri"/>
      <family val="2"/>
      <scheme val="minor"/>
    </font>
    <font>
      <b/>
      <sz val="24"/>
      <color theme="1"/>
      <name val="Euphemia"/>
      <family val="2"/>
    </font>
    <font>
      <b/>
      <sz val="24"/>
      <color theme="1"/>
      <name val="Verdana"/>
      <family val="2"/>
    </font>
    <font>
      <b/>
      <sz val="24"/>
      <color rgb="FFFF0000"/>
      <name val="Verdana"/>
      <family val="2"/>
    </font>
    <font>
      <b/>
      <sz val="20"/>
      <color theme="1"/>
      <name val="Verdana"/>
      <family val="2"/>
    </font>
    <font>
      <u/>
      <sz val="12"/>
      <color theme="1"/>
      <name val="Calibri"/>
      <family val="2"/>
      <scheme val="minor"/>
    </font>
    <font>
      <sz val="14"/>
      <name val="Calibri"/>
      <family val="2"/>
      <scheme val="minor"/>
    </font>
    <font>
      <u/>
      <sz val="14"/>
      <name val="Calibri"/>
      <family val="2"/>
      <scheme val="minor"/>
    </font>
    <font>
      <b/>
      <sz val="16"/>
      <name val="Calibri"/>
      <family val="2"/>
      <scheme val="minor"/>
    </font>
    <font>
      <b/>
      <sz val="11"/>
      <color theme="0"/>
      <name val="Calibri"/>
      <family val="2"/>
    </font>
    <font>
      <u/>
      <sz val="11"/>
      <color theme="0"/>
      <name val="Calibri"/>
      <family val="2"/>
      <scheme val="minor"/>
    </font>
    <font>
      <b/>
      <sz val="11"/>
      <color rgb="FFFFFFFF"/>
      <name val="Calibri"/>
      <family val="2"/>
      <scheme val="minor"/>
    </font>
    <font>
      <sz val="11"/>
      <color theme="3" tint="-0.249977111117893"/>
      <name val="Calibri"/>
      <family val="2"/>
      <scheme val="minor"/>
    </font>
    <font>
      <b/>
      <sz val="14"/>
      <color rgb="FFFF0000"/>
      <name val="Calibri"/>
      <family val="2"/>
      <scheme val="minor"/>
    </font>
    <font>
      <strike/>
      <sz val="11"/>
      <color theme="3" tint="-0.249977111117893"/>
      <name val="Calibri"/>
      <family val="2"/>
      <scheme val="minor"/>
    </font>
    <font>
      <b/>
      <sz val="14"/>
      <color theme="3" tint="-0.249977111117893"/>
      <name val="Calibri"/>
      <family val="2"/>
      <scheme val="minor"/>
    </font>
    <font>
      <b/>
      <sz val="11"/>
      <color theme="3" tint="-0.249977111117893"/>
      <name val="Calibri"/>
      <family val="2"/>
      <scheme val="minor"/>
    </font>
    <font>
      <b/>
      <i/>
      <sz val="12"/>
      <color theme="1"/>
      <name val="Calibri"/>
      <family val="2"/>
      <scheme val="minor"/>
    </font>
  </fonts>
  <fills count="29">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002060"/>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8" tint="-0.249977111117893"/>
        <bgColor indexed="64"/>
      </patternFill>
    </fill>
    <fill>
      <patternFill patternType="solid">
        <fgColor theme="2" tint="-0.249977111117893"/>
        <bgColor indexed="64"/>
      </patternFill>
    </fill>
    <fill>
      <patternFill patternType="solid">
        <fgColor rgb="FFFFE699"/>
        <bgColor indexed="64"/>
      </patternFill>
    </fill>
    <fill>
      <patternFill patternType="solid">
        <fgColor theme="0"/>
        <bgColor indexed="64"/>
      </patternFill>
    </fill>
    <fill>
      <patternFill patternType="solid">
        <fgColor theme="9" tint="0.59999389629810485"/>
        <bgColor theme="0" tint="-0.14999847407452621"/>
      </patternFill>
    </fill>
    <fill>
      <patternFill patternType="solid">
        <fgColor theme="0"/>
        <bgColor theme="0" tint="-0.14999847407452621"/>
      </patternFill>
    </fill>
    <fill>
      <patternFill patternType="solid">
        <fgColor theme="4" tint="0.39997558519241921"/>
        <bgColor theme="0" tint="-0.14999847407452621"/>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8F8F8"/>
        <bgColor indexed="64"/>
      </patternFill>
    </fill>
    <fill>
      <patternFill patternType="solid">
        <fgColor theme="4" tint="-0.499984740745262"/>
        <bgColor indexed="64"/>
      </patternFill>
    </fill>
    <fill>
      <patternFill patternType="solid">
        <fgColor theme="8"/>
        <bgColor indexed="64"/>
      </patternFill>
    </fill>
    <fill>
      <patternFill patternType="solid">
        <fgColor theme="7" tint="0.59999389629810485"/>
        <bgColor indexed="64"/>
      </patternFill>
    </fill>
    <fill>
      <patternFill patternType="solid">
        <fgColor rgb="FFFFFFFF"/>
        <bgColor indexed="64"/>
      </patternFill>
    </fill>
    <fill>
      <patternFill patternType="solid">
        <fgColor theme="1"/>
        <bgColor theme="1"/>
      </patternFill>
    </fill>
    <fill>
      <patternFill patternType="solid">
        <fgColor theme="0" tint="-4.9989318521683403E-2"/>
        <bgColor indexed="64"/>
      </patternFill>
    </fill>
    <fill>
      <patternFill patternType="solid">
        <fgColor theme="2" tint="-0.249977111117893"/>
        <bgColor theme="0" tint="-0.14999847407452621"/>
      </patternFill>
    </fill>
    <fill>
      <patternFill patternType="lightUp">
        <bgColor theme="0"/>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thin">
        <color rgb="FF000000"/>
      </left>
      <right style="thin">
        <color rgb="FF000000"/>
      </right>
      <top style="thin">
        <color rgb="FF000000"/>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style="medium">
        <color theme="4"/>
      </right>
      <top/>
      <bottom style="medium">
        <color theme="4"/>
      </bottom>
      <diagonal/>
    </border>
    <border>
      <left/>
      <right/>
      <top style="medium">
        <color theme="4"/>
      </top>
      <bottom/>
      <diagonal/>
    </border>
    <border>
      <left/>
      <right/>
      <top/>
      <bottom style="medium">
        <color theme="4"/>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top style="medium">
        <color theme="1"/>
      </top>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theme="1"/>
      </top>
      <bottom/>
      <diagonal/>
    </border>
    <border>
      <left/>
      <right style="thin">
        <color theme="1"/>
      </right>
      <top style="thin">
        <color theme="1"/>
      </top>
      <bottom/>
      <diagonal/>
    </border>
    <border>
      <left/>
      <right style="medium">
        <color indexed="64"/>
      </right>
      <top style="medium">
        <color indexed="64"/>
      </top>
      <bottom/>
      <diagonal/>
    </border>
    <border>
      <left style="thin">
        <color indexed="64"/>
      </left>
      <right/>
      <top style="thin">
        <color rgb="FF000000"/>
      </top>
      <bottom/>
      <diagonal/>
    </border>
    <border>
      <left/>
      <right/>
      <top style="thin">
        <color rgb="FF000000"/>
      </top>
      <bottom/>
      <diagonal/>
    </border>
    <border>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theme="1"/>
      </left>
      <right style="thin">
        <color theme="1"/>
      </right>
      <top style="thin">
        <color indexed="64"/>
      </top>
      <bottom style="thin">
        <color theme="1"/>
      </bottom>
      <diagonal/>
    </border>
    <border>
      <left style="thin">
        <color theme="1"/>
      </left>
      <right/>
      <top style="thin">
        <color indexed="64"/>
      </top>
      <bottom style="thin">
        <color theme="1"/>
      </bottom>
      <diagonal/>
    </border>
    <border>
      <left/>
      <right style="thin">
        <color indexed="64"/>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s>
  <cellStyleXfs count="3">
    <xf numFmtId="0" fontId="0" fillId="0" borderId="0"/>
    <xf numFmtId="0" fontId="5" fillId="0" borderId="0" applyNumberFormat="0" applyFill="0" applyBorder="0" applyAlignment="0" applyProtection="0"/>
    <xf numFmtId="43" fontId="4" fillId="0" borderId="0" applyFont="0" applyFill="0" applyBorder="0" applyAlignment="0" applyProtection="0"/>
  </cellStyleXfs>
  <cellXfs count="414">
    <xf numFmtId="0" fontId="0" fillId="0" borderId="0" xfId="0"/>
    <xf numFmtId="0" fontId="1" fillId="0" borderId="0" xfId="0" applyFont="1"/>
    <xf numFmtId="0" fontId="1" fillId="0" borderId="8" xfId="0" applyFont="1" applyBorder="1" applyAlignment="1">
      <alignment horizontal="center" vertical="top"/>
    </xf>
    <xf numFmtId="0" fontId="0" fillId="0" borderId="1" xfId="0" applyBorder="1"/>
    <xf numFmtId="0" fontId="0" fillId="3" borderId="1" xfId="0" applyFill="1" applyBorder="1"/>
    <xf numFmtId="0" fontId="0" fillId="0" borderId="0" xfId="0" applyAlignment="1">
      <alignment wrapText="1"/>
    </xf>
    <xf numFmtId="0" fontId="0" fillId="0" borderId="1" xfId="0" applyBorder="1" applyAlignment="1">
      <alignment wrapText="1"/>
    </xf>
    <xf numFmtId="0" fontId="0" fillId="3" borderId="12" xfId="0" applyFill="1" applyBorder="1" applyAlignment="1">
      <alignment horizontal="left"/>
    </xf>
    <xf numFmtId="0" fontId="0" fillId="3" borderId="15" xfId="0" applyFill="1" applyBorder="1" applyAlignment="1">
      <alignment horizontal="left"/>
    </xf>
    <xf numFmtId="22" fontId="0" fillId="0" borderId="0" xfId="0" applyNumberFormat="1"/>
    <xf numFmtId="4" fontId="0" fillId="3" borderId="1" xfId="0" applyNumberFormat="1" applyFill="1" applyBorder="1"/>
    <xf numFmtId="4" fontId="0" fillId="3" borderId="1" xfId="0" applyNumberFormat="1" applyFill="1" applyBorder="1" applyAlignment="1">
      <alignment wrapText="1"/>
    </xf>
    <xf numFmtId="4" fontId="1" fillId="3" borderId="1" xfId="0" applyNumberFormat="1" applyFont="1" applyFill="1" applyBorder="1" applyAlignment="1">
      <alignment wrapText="1"/>
    </xf>
    <xf numFmtId="0" fontId="0" fillId="0" borderId="1" xfId="0" applyBorder="1" applyAlignment="1">
      <alignment vertical="top" wrapText="1"/>
    </xf>
    <xf numFmtId="3" fontId="0" fillId="3" borderId="1" xfId="0" applyNumberFormat="1" applyFill="1" applyBorder="1"/>
    <xf numFmtId="0" fontId="5" fillId="0" borderId="1" xfId="1" applyBorder="1" applyAlignment="1">
      <alignment vertical="top" wrapText="1"/>
    </xf>
    <xf numFmtId="3" fontId="0" fillId="3" borderId="1" xfId="0" applyNumberFormat="1" applyFill="1" applyBorder="1" applyAlignment="1">
      <alignment vertical="top"/>
    </xf>
    <xf numFmtId="0" fontId="16" fillId="5" borderId="1" xfId="0" applyFont="1" applyFill="1" applyBorder="1" applyAlignment="1">
      <alignment horizontal="center" vertical="center" wrapText="1"/>
    </xf>
    <xf numFmtId="4" fontId="16" fillId="5" borderId="1" xfId="0" applyNumberFormat="1" applyFont="1" applyFill="1" applyBorder="1" applyAlignment="1">
      <alignment horizontal="center" vertical="center" wrapText="1"/>
    </xf>
    <xf numFmtId="0" fontId="15" fillId="5" borderId="1" xfId="0" applyFont="1" applyFill="1" applyBorder="1" applyAlignment="1">
      <alignment horizontal="center" wrapText="1"/>
    </xf>
    <xf numFmtId="0" fontId="16" fillId="5" borderId="1" xfId="0" applyFont="1" applyFill="1" applyBorder="1" applyAlignment="1">
      <alignment horizontal="center" vertical="top" wrapText="1"/>
    </xf>
    <xf numFmtId="4" fontId="16" fillId="5" borderId="1" xfId="0" applyNumberFormat="1" applyFont="1" applyFill="1" applyBorder="1" applyAlignment="1">
      <alignment horizontal="center" vertical="top" wrapText="1"/>
    </xf>
    <xf numFmtId="0" fontId="15" fillId="5" borderId="13" xfId="0" applyFont="1" applyFill="1" applyBorder="1"/>
    <xf numFmtId="0" fontId="15" fillId="5" borderId="18" xfId="0" applyFont="1" applyFill="1" applyBorder="1" applyAlignment="1">
      <alignment wrapText="1"/>
    </xf>
    <xf numFmtId="164" fontId="0" fillId="3" borderId="1" xfId="0" applyNumberFormat="1" applyFill="1" applyBorder="1"/>
    <xf numFmtId="3" fontId="0" fillId="3" borderId="1" xfId="0" applyNumberFormat="1" applyFill="1" applyBorder="1" applyAlignment="1">
      <alignment wrapText="1"/>
    </xf>
    <xf numFmtId="3" fontId="1" fillId="3" borderId="1" xfId="0" applyNumberFormat="1" applyFont="1" applyFill="1" applyBorder="1" applyAlignment="1">
      <alignment vertical="top"/>
    </xf>
    <xf numFmtId="0" fontId="0" fillId="8" borderId="1" xfId="0" applyFill="1" applyBorder="1"/>
    <xf numFmtId="4" fontId="0" fillId="8" borderId="1" xfId="0" applyNumberFormat="1" applyFill="1" applyBorder="1" applyAlignment="1">
      <alignment wrapText="1"/>
    </xf>
    <xf numFmtId="4" fontId="0" fillId="8" borderId="1" xfId="0" applyNumberFormat="1" applyFill="1" applyBorder="1"/>
    <xf numFmtId="3" fontId="0" fillId="8" borderId="1" xfId="0" applyNumberFormat="1" applyFill="1" applyBorder="1" applyAlignment="1">
      <alignment vertical="top"/>
    </xf>
    <xf numFmtId="4" fontId="0" fillId="8" borderId="1" xfId="0" applyNumberFormat="1" applyFill="1" applyBorder="1" applyAlignment="1">
      <alignment vertical="top"/>
    </xf>
    <xf numFmtId="3" fontId="0" fillId="8" borderId="1" xfId="0" applyNumberFormat="1" applyFill="1" applyBorder="1" applyAlignment="1">
      <alignment wrapText="1"/>
    </xf>
    <xf numFmtId="164" fontId="0" fillId="8" borderId="1" xfId="0" applyNumberFormat="1" applyFill="1" applyBorder="1"/>
    <xf numFmtId="3" fontId="0" fillId="7" borderId="1" xfId="0" applyNumberFormat="1" applyFill="1" applyBorder="1" applyAlignment="1">
      <alignment vertical="top"/>
    </xf>
    <xf numFmtId="3" fontId="0" fillId="7" borderId="1" xfId="0" applyNumberFormat="1" applyFill="1" applyBorder="1"/>
    <xf numFmtId="0" fontId="0" fillId="7" borderId="1" xfId="0" applyFill="1" applyBorder="1" applyAlignment="1">
      <alignment vertical="top" wrapText="1"/>
    </xf>
    <xf numFmtId="165" fontId="0" fillId="7" borderId="1" xfId="0" applyNumberFormat="1" applyFill="1" applyBorder="1" applyAlignment="1">
      <alignment vertical="top" wrapText="1"/>
    </xf>
    <xf numFmtId="4" fontId="0" fillId="7" borderId="1" xfId="0" applyNumberFormat="1" applyFill="1" applyBorder="1" applyAlignment="1">
      <alignment vertical="top"/>
    </xf>
    <xf numFmtId="3" fontId="0" fillId="7" borderId="1" xfId="0" applyNumberFormat="1" applyFill="1" applyBorder="1" applyAlignment="1">
      <alignment wrapText="1"/>
    </xf>
    <xf numFmtId="4" fontId="0" fillId="7" borderId="1" xfId="0" applyNumberFormat="1" applyFill="1" applyBorder="1"/>
    <xf numFmtId="164" fontId="0" fillId="7" borderId="1" xfId="0" applyNumberFormat="1" applyFill="1" applyBorder="1"/>
    <xf numFmtId="4" fontId="15" fillId="6" borderId="1" xfId="0" applyNumberFormat="1" applyFont="1" applyFill="1" applyBorder="1" applyAlignment="1">
      <alignment wrapText="1"/>
    </xf>
    <xf numFmtId="0" fontId="15" fillId="6" borderId="1" xfId="0" applyFont="1" applyFill="1" applyBorder="1" applyAlignment="1">
      <alignment vertical="top" wrapText="1"/>
    </xf>
    <xf numFmtId="3" fontId="15" fillId="6" borderId="1" xfId="0" applyNumberFormat="1" applyFont="1" applyFill="1" applyBorder="1" applyAlignment="1">
      <alignment vertical="top"/>
    </xf>
    <xf numFmtId="0" fontId="20" fillId="6" borderId="1" xfId="0" applyFont="1" applyFill="1" applyBorder="1" applyAlignment="1">
      <alignment vertical="top" wrapText="1"/>
    </xf>
    <xf numFmtId="3" fontId="20" fillId="6" borderId="1" xfId="0" applyNumberFormat="1" applyFont="1" applyFill="1" applyBorder="1" applyAlignment="1">
      <alignment vertical="top"/>
    </xf>
    <xf numFmtId="0" fontId="20" fillId="6" borderId="1" xfId="0" applyFont="1" applyFill="1" applyBorder="1" applyAlignment="1">
      <alignment wrapText="1"/>
    </xf>
    <xf numFmtId="3" fontId="20" fillId="6" borderId="1" xfId="0" applyNumberFormat="1" applyFont="1" applyFill="1" applyBorder="1"/>
    <xf numFmtId="0" fontId="15" fillId="6" borderId="1" xfId="0" applyFont="1" applyFill="1" applyBorder="1" applyAlignment="1">
      <alignment wrapText="1"/>
    </xf>
    <xf numFmtId="3" fontId="15" fillId="6" borderId="1" xfId="0" applyNumberFormat="1" applyFont="1" applyFill="1" applyBorder="1"/>
    <xf numFmtId="0" fontId="19" fillId="6" borderId="1" xfId="0" applyFont="1" applyFill="1" applyBorder="1" applyAlignment="1">
      <alignment wrapText="1"/>
    </xf>
    <xf numFmtId="0" fontId="19" fillId="6" borderId="1" xfId="0" applyFont="1" applyFill="1" applyBorder="1"/>
    <xf numFmtId="0" fontId="15" fillId="6" borderId="1" xfId="0" applyFont="1" applyFill="1" applyBorder="1"/>
    <xf numFmtId="0" fontId="15" fillId="6" borderId="8" xfId="0" applyFont="1" applyFill="1" applyBorder="1" applyAlignment="1">
      <alignment vertical="top" wrapText="1"/>
    </xf>
    <xf numFmtId="0" fontId="20" fillId="6" borderId="1" xfId="0" applyFont="1" applyFill="1" applyBorder="1"/>
    <xf numFmtId="3" fontId="0" fillId="8" borderId="8" xfId="0" applyNumberFormat="1" applyFill="1" applyBorder="1" applyAlignment="1">
      <alignment vertical="top"/>
    </xf>
    <xf numFmtId="3" fontId="19" fillId="6" borderId="1" xfId="0" applyNumberFormat="1" applyFont="1" applyFill="1" applyBorder="1" applyAlignment="1">
      <alignment vertical="top"/>
    </xf>
    <xf numFmtId="0" fontId="16" fillId="9" borderId="1" xfId="0" applyFont="1" applyFill="1" applyBorder="1" applyAlignment="1">
      <alignment horizontal="center" vertical="top" wrapText="1"/>
    </xf>
    <xf numFmtId="4" fontId="16" fillId="9" borderId="1" xfId="0" applyNumberFormat="1" applyFont="1" applyFill="1" applyBorder="1" applyAlignment="1">
      <alignment horizontal="center" vertical="top" wrapText="1"/>
    </xf>
    <xf numFmtId="0" fontId="16" fillId="9" borderId="8" xfId="0" applyFont="1" applyFill="1" applyBorder="1" applyAlignment="1">
      <alignment horizontal="center" vertical="top" wrapText="1"/>
    </xf>
    <xf numFmtId="0" fontId="16" fillId="9" borderId="1" xfId="0" applyFont="1" applyFill="1" applyBorder="1" applyAlignment="1">
      <alignment vertical="center" wrapText="1"/>
    </xf>
    <xf numFmtId="4" fontId="16" fillId="9" borderId="1" xfId="0" applyNumberFormat="1" applyFont="1" applyFill="1" applyBorder="1" applyAlignment="1">
      <alignment vertical="center" wrapText="1"/>
    </xf>
    <xf numFmtId="0" fontId="16" fillId="9" borderId="8" xfId="0" applyFont="1" applyFill="1" applyBorder="1" applyAlignment="1">
      <alignment vertical="center" wrapText="1"/>
    </xf>
    <xf numFmtId="4" fontId="16" fillId="9" borderId="8" xfId="0" applyNumberFormat="1" applyFont="1" applyFill="1" applyBorder="1" applyAlignment="1">
      <alignment vertical="center" wrapText="1"/>
    </xf>
    <xf numFmtId="3" fontId="15" fillId="6" borderId="1" xfId="0" applyNumberFormat="1" applyFont="1" applyFill="1" applyBorder="1" applyAlignment="1">
      <alignment wrapText="1"/>
    </xf>
    <xf numFmtId="3" fontId="0" fillId="3" borderId="11" xfId="0" applyNumberFormat="1" applyFill="1" applyBorder="1" applyAlignment="1">
      <alignment vertical="top"/>
    </xf>
    <xf numFmtId="3" fontId="15" fillId="6" borderId="8" xfId="0" applyNumberFormat="1" applyFont="1" applyFill="1" applyBorder="1" applyAlignment="1">
      <alignment vertical="top"/>
    </xf>
    <xf numFmtId="4" fontId="0" fillId="10" borderId="1" xfId="0" applyNumberFormat="1" applyFill="1" applyBorder="1" applyAlignment="1">
      <alignment wrapText="1"/>
    </xf>
    <xf numFmtId="4" fontId="0" fillId="10" borderId="1" xfId="0" applyNumberFormat="1" applyFill="1" applyBorder="1" applyAlignment="1">
      <alignment horizontal="right" wrapText="1"/>
    </xf>
    <xf numFmtId="4" fontId="0" fillId="10" borderId="1" xfId="0" applyNumberFormat="1" applyFill="1" applyBorder="1"/>
    <xf numFmtId="3" fontId="0" fillId="10" borderId="1" xfId="0" applyNumberFormat="1" applyFill="1" applyBorder="1" applyAlignment="1">
      <alignment vertical="top"/>
    </xf>
    <xf numFmtId="3" fontId="0" fillId="10" borderId="1" xfId="0" applyNumberFormat="1" applyFill="1" applyBorder="1" applyAlignment="1">
      <alignment vertical="top" wrapText="1"/>
    </xf>
    <xf numFmtId="4" fontId="0" fillId="10" borderId="1" xfId="0" applyNumberFormat="1" applyFill="1" applyBorder="1" applyAlignment="1">
      <alignment horizontal="right"/>
    </xf>
    <xf numFmtId="4" fontId="0" fillId="10" borderId="1" xfId="0" applyNumberFormat="1" applyFill="1" applyBorder="1" applyAlignment="1">
      <alignment vertical="top"/>
    </xf>
    <xf numFmtId="0" fontId="19" fillId="6" borderId="1" xfId="0" applyFont="1" applyFill="1" applyBorder="1" applyAlignment="1">
      <alignment vertical="top" wrapText="1"/>
    </xf>
    <xf numFmtId="3" fontId="0" fillId="10" borderId="1" xfId="0" applyNumberFormat="1" applyFill="1" applyBorder="1"/>
    <xf numFmtId="0" fontId="0" fillId="10" borderId="1" xfId="0" applyFill="1" applyBorder="1"/>
    <xf numFmtId="0" fontId="2" fillId="7" borderId="1" xfId="0" applyFont="1" applyFill="1" applyBorder="1"/>
    <xf numFmtId="4" fontId="16" fillId="9" borderId="11" xfId="0" applyNumberFormat="1" applyFont="1" applyFill="1" applyBorder="1" applyAlignment="1">
      <alignment vertical="center" wrapText="1"/>
    </xf>
    <xf numFmtId="3" fontId="0" fillId="3" borderId="8" xfId="0" applyNumberFormat="1" applyFill="1" applyBorder="1" applyAlignment="1">
      <alignment wrapText="1"/>
    </xf>
    <xf numFmtId="4" fontId="0" fillId="4" borderId="23" xfId="0" applyNumberFormat="1" applyFill="1" applyBorder="1" applyAlignment="1">
      <alignment horizontal="center" vertical="center" wrapText="1"/>
    </xf>
    <xf numFmtId="0" fontId="0" fillId="11" borderId="1" xfId="0" applyFill="1" applyBorder="1"/>
    <xf numFmtId="0" fontId="0" fillId="12" borderId="0" xfId="0" applyFill="1"/>
    <xf numFmtId="0" fontId="5" fillId="12" borderId="0" xfId="1" applyFill="1"/>
    <xf numFmtId="0" fontId="1" fillId="12" borderId="0" xfId="0" applyFont="1" applyFill="1" applyAlignment="1">
      <alignment wrapText="1"/>
    </xf>
    <xf numFmtId="0" fontId="1" fillId="12" borderId="0" xfId="0" applyFont="1" applyFill="1"/>
    <xf numFmtId="0" fontId="3" fillId="12" borderId="0" xfId="0" applyFont="1" applyFill="1"/>
    <xf numFmtId="0" fontId="11" fillId="12" borderId="0" xfId="0" applyFont="1" applyFill="1"/>
    <xf numFmtId="0" fontId="0" fillId="12" borderId="0" xfId="0" applyFill="1" applyAlignment="1">
      <alignment wrapText="1"/>
    </xf>
    <xf numFmtId="0" fontId="0" fillId="12" borderId="4" xfId="0" applyFill="1" applyBorder="1"/>
    <xf numFmtId="0" fontId="0" fillId="12" borderId="5" xfId="0" applyFill="1" applyBorder="1"/>
    <xf numFmtId="0" fontId="0" fillId="12" borderId="14" xfId="0" applyFill="1" applyBorder="1"/>
    <xf numFmtId="3" fontId="0" fillId="4" borderId="1" xfId="0" applyNumberFormat="1" applyFill="1" applyBorder="1" applyAlignment="1">
      <alignment vertical="top" wrapText="1"/>
    </xf>
    <xf numFmtId="0" fontId="18" fillId="6" borderId="1" xfId="1" applyFont="1" applyFill="1" applyBorder="1" applyAlignment="1">
      <alignment wrapText="1"/>
    </xf>
    <xf numFmtId="164" fontId="0" fillId="8" borderId="8" xfId="0" applyNumberFormat="1" applyFill="1" applyBorder="1" applyAlignment="1">
      <alignment wrapText="1"/>
    </xf>
    <xf numFmtId="4" fontId="0" fillId="4" borderId="23" xfId="0" applyNumberFormat="1" applyFill="1" applyBorder="1" applyAlignment="1">
      <alignment horizontal="center" vertical="center"/>
    </xf>
    <xf numFmtId="0" fontId="0" fillId="12" borderId="1" xfId="0" applyFill="1" applyBorder="1" applyAlignment="1">
      <alignment vertical="top" wrapText="1"/>
    </xf>
    <xf numFmtId="0" fontId="5" fillId="12" borderId="1" xfId="1" applyFill="1" applyBorder="1" applyAlignment="1">
      <alignment vertical="top" wrapText="1"/>
    </xf>
    <xf numFmtId="0" fontId="0" fillId="12" borderId="0" xfId="0" applyFill="1" applyAlignment="1">
      <alignment vertical="top" wrapText="1"/>
    </xf>
    <xf numFmtId="0" fontId="20" fillId="12" borderId="0" xfId="0" applyFont="1" applyFill="1" applyAlignment="1">
      <alignment wrapText="1"/>
    </xf>
    <xf numFmtId="3" fontId="20" fillId="12" borderId="0" xfId="0" applyNumberFormat="1" applyFont="1" applyFill="1"/>
    <xf numFmtId="0" fontId="23" fillId="12" borderId="0" xfId="0" applyFont="1" applyFill="1"/>
    <xf numFmtId="3" fontId="1" fillId="12" borderId="0" xfId="0" applyNumberFormat="1" applyFont="1" applyFill="1" applyAlignment="1">
      <alignment vertical="top" wrapText="1"/>
    </xf>
    <xf numFmtId="0" fontId="1" fillId="12" borderId="0" xfId="0" applyFont="1" applyFill="1" applyAlignment="1">
      <alignment vertical="top" wrapText="1"/>
    </xf>
    <xf numFmtId="0" fontId="2" fillId="12" borderId="0" xfId="0" applyFont="1" applyFill="1"/>
    <xf numFmtId="0" fontId="0" fillId="12" borderId="1" xfId="0" applyFill="1" applyBorder="1" applyAlignment="1">
      <alignment wrapText="1"/>
    </xf>
    <xf numFmtId="0" fontId="0" fillId="12" borderId="1" xfId="0" applyFill="1" applyBorder="1"/>
    <xf numFmtId="0" fontId="1" fillId="12" borderId="1" xfId="0" applyFont="1" applyFill="1" applyBorder="1" applyAlignment="1">
      <alignment wrapText="1"/>
    </xf>
    <xf numFmtId="4" fontId="1" fillId="12" borderId="0" xfId="0" applyNumberFormat="1" applyFont="1" applyFill="1" applyAlignment="1">
      <alignment horizontal="right"/>
    </xf>
    <xf numFmtId="0" fontId="1" fillId="12" borderId="1" xfId="0" applyFont="1" applyFill="1" applyBorder="1"/>
    <xf numFmtId="3" fontId="0" fillId="12" borderId="0" xfId="0" applyNumberFormat="1" applyFill="1" applyAlignment="1">
      <alignment vertical="top"/>
    </xf>
    <xf numFmtId="0" fontId="2" fillId="12" borderId="1" xfId="0" applyFont="1" applyFill="1" applyBorder="1" applyAlignment="1">
      <alignment vertical="top" wrapText="1"/>
    </xf>
    <xf numFmtId="0" fontId="21" fillId="12" borderId="0" xfId="0" applyFont="1" applyFill="1" applyAlignment="1">
      <alignment wrapText="1"/>
    </xf>
    <xf numFmtId="3" fontId="21" fillId="12" borderId="0" xfId="0" applyNumberFormat="1" applyFont="1" applyFill="1"/>
    <xf numFmtId="0" fontId="22" fillId="12" borderId="0" xfId="0" applyFont="1" applyFill="1"/>
    <xf numFmtId="0" fontId="21" fillId="12" borderId="0" xfId="0" applyFont="1" applyFill="1"/>
    <xf numFmtId="0" fontId="0" fillId="12" borderId="1" xfId="0" quotePrefix="1" applyFill="1" applyBorder="1" applyAlignment="1">
      <alignment vertical="top" wrapText="1"/>
    </xf>
    <xf numFmtId="0" fontId="15" fillId="12" borderId="0" xfId="0" applyFont="1" applyFill="1" applyAlignment="1">
      <alignment vertical="top" wrapText="1"/>
    </xf>
    <xf numFmtId="3" fontId="15" fillId="12" borderId="0" xfId="0" applyNumberFormat="1" applyFont="1" applyFill="1" applyAlignment="1">
      <alignment vertical="top"/>
    </xf>
    <xf numFmtId="0" fontId="19" fillId="12" borderId="0" xfId="0" applyFont="1" applyFill="1" applyAlignment="1">
      <alignment vertical="top" wrapText="1"/>
    </xf>
    <xf numFmtId="0" fontId="0" fillId="12" borderId="8" xfId="0" applyFill="1" applyBorder="1" applyAlignment="1">
      <alignment vertical="top" wrapText="1"/>
    </xf>
    <xf numFmtId="0" fontId="0" fillId="12" borderId="11" xfId="0" applyFill="1" applyBorder="1" applyAlignment="1">
      <alignment vertical="top" wrapText="1"/>
    </xf>
    <xf numFmtId="0" fontId="5" fillId="12" borderId="8" xfId="1" applyFill="1" applyBorder="1" applyAlignment="1">
      <alignment vertical="top" wrapText="1"/>
    </xf>
    <xf numFmtId="0" fontId="0" fillId="12" borderId="9" xfId="0" applyFill="1" applyBorder="1" applyAlignment="1">
      <alignment vertical="top" wrapText="1"/>
    </xf>
    <xf numFmtId="0" fontId="0" fillId="12" borderId="20" xfId="0" applyFill="1" applyBorder="1"/>
    <xf numFmtId="0" fontId="0" fillId="12" borderId="10" xfId="0" applyFill="1" applyBorder="1" applyAlignment="1">
      <alignment vertical="top" wrapText="1"/>
    </xf>
    <xf numFmtId="0" fontId="0" fillId="12" borderId="22" xfId="0" applyFill="1" applyBorder="1"/>
    <xf numFmtId="0" fontId="2" fillId="12" borderId="1" xfId="0" applyFont="1" applyFill="1" applyBorder="1" applyAlignment="1">
      <alignment wrapText="1"/>
    </xf>
    <xf numFmtId="3" fontId="15" fillId="12" borderId="1" xfId="0" applyNumberFormat="1" applyFont="1" applyFill="1" applyBorder="1" applyAlignment="1">
      <alignment vertical="top"/>
    </xf>
    <xf numFmtId="0" fontId="15" fillId="12" borderId="1" xfId="0" applyFont="1" applyFill="1" applyBorder="1" applyAlignment="1">
      <alignment vertical="top" wrapText="1"/>
    </xf>
    <xf numFmtId="3" fontId="11" fillId="12" borderId="0" xfId="0" applyNumberFormat="1" applyFont="1" applyFill="1"/>
    <xf numFmtId="0" fontId="11" fillId="12" borderId="0" xfId="0" applyFont="1" applyFill="1" applyAlignment="1">
      <alignment wrapText="1"/>
    </xf>
    <xf numFmtId="0" fontId="10" fillId="12" borderId="0" xfId="0" applyFont="1" applyFill="1"/>
    <xf numFmtId="0" fontId="0" fillId="12" borderId="9" xfId="0" applyFill="1" applyBorder="1" applyAlignment="1">
      <alignment wrapText="1"/>
    </xf>
    <xf numFmtId="0" fontId="0" fillId="12" borderId="25" xfId="0" applyFill="1" applyBorder="1" applyAlignment="1">
      <alignment wrapText="1"/>
    </xf>
    <xf numFmtId="43" fontId="0" fillId="12" borderId="1" xfId="2" applyFont="1" applyFill="1" applyBorder="1" applyAlignment="1">
      <alignment wrapText="1"/>
    </xf>
    <xf numFmtId="0" fontId="24" fillId="12" borderId="1" xfId="1" applyFont="1" applyFill="1" applyBorder="1" applyAlignment="1">
      <alignment wrapText="1"/>
    </xf>
    <xf numFmtId="4" fontId="1" fillId="12" borderId="0" xfId="0" applyNumberFormat="1" applyFont="1" applyFill="1"/>
    <xf numFmtId="0" fontId="5" fillId="12" borderId="0" xfId="1" applyFill="1" applyBorder="1" applyAlignment="1">
      <alignment wrapText="1"/>
    </xf>
    <xf numFmtId="3" fontId="1" fillId="12" borderId="0" xfId="0" applyNumberFormat="1" applyFont="1" applyFill="1" applyAlignment="1">
      <alignment wrapText="1"/>
    </xf>
    <xf numFmtId="0" fontId="0" fillId="12" borderId="7" xfId="0" applyFill="1" applyBorder="1" applyAlignment="1">
      <alignment wrapText="1"/>
    </xf>
    <xf numFmtId="0" fontId="0" fillId="12" borderId="24" xfId="0" applyFill="1" applyBorder="1" applyAlignment="1">
      <alignment wrapText="1"/>
    </xf>
    <xf numFmtId="0" fontId="0" fillId="12" borderId="8" xfId="0" applyFill="1" applyBorder="1" applyAlignment="1">
      <alignment wrapText="1"/>
    </xf>
    <xf numFmtId="4" fontId="1" fillId="12" borderId="0" xfId="0" applyNumberFormat="1" applyFont="1" applyFill="1" applyAlignment="1">
      <alignment horizontal="right" wrapText="1"/>
    </xf>
    <xf numFmtId="3" fontId="1" fillId="12" borderId="0" xfId="0" applyNumberFormat="1" applyFont="1" applyFill="1" applyAlignment="1">
      <alignment vertical="top"/>
    </xf>
    <xf numFmtId="0" fontId="0" fillId="12" borderId="8" xfId="0" applyFill="1" applyBorder="1"/>
    <xf numFmtId="0" fontId="0" fillId="12" borderId="11" xfId="0" applyFill="1" applyBorder="1"/>
    <xf numFmtId="0" fontId="5" fillId="12" borderId="1" xfId="1" applyFill="1" applyBorder="1"/>
    <xf numFmtId="0" fontId="0" fillId="12" borderId="19" xfId="0" applyFill="1" applyBorder="1"/>
    <xf numFmtId="0" fontId="0" fillId="12" borderId="16" xfId="0" applyFill="1" applyBorder="1"/>
    <xf numFmtId="0" fontId="0" fillId="12" borderId="17" xfId="0" applyFill="1" applyBorder="1"/>
    <xf numFmtId="0" fontId="6" fillId="12" borderId="1" xfId="0" applyFont="1" applyFill="1" applyBorder="1"/>
    <xf numFmtId="0" fontId="7" fillId="12" borderId="1" xfId="0" applyFont="1" applyFill="1" applyBorder="1"/>
    <xf numFmtId="0" fontId="1" fillId="12" borderId="11" xfId="0" applyFont="1" applyFill="1" applyBorder="1"/>
    <xf numFmtId="0" fontId="6" fillId="12" borderId="8" xfId="0" applyFont="1" applyFill="1" applyBorder="1"/>
    <xf numFmtId="0" fontId="7" fillId="12" borderId="8" xfId="0" applyFont="1" applyFill="1" applyBorder="1"/>
    <xf numFmtId="0" fontId="1" fillId="12" borderId="8" xfId="0" applyFont="1" applyFill="1" applyBorder="1"/>
    <xf numFmtId="0" fontId="27" fillId="12" borderId="0" xfId="0" applyFont="1" applyFill="1"/>
    <xf numFmtId="0" fontId="0" fillId="12" borderId="0" xfId="0" quotePrefix="1" applyFill="1"/>
    <xf numFmtId="0" fontId="0" fillId="0" borderId="26" xfId="0" applyBorder="1" applyAlignment="1">
      <alignment wrapText="1"/>
    </xf>
    <xf numFmtId="0" fontId="0" fillId="0" borderId="26" xfId="0" applyBorder="1"/>
    <xf numFmtId="0" fontId="0" fillId="15" borderId="26" xfId="0" applyFill="1" applyBorder="1"/>
    <xf numFmtId="0" fontId="0" fillId="7" borderId="26" xfId="0" applyFill="1" applyBorder="1"/>
    <xf numFmtId="0" fontId="28" fillId="12" borderId="1" xfId="0" applyFont="1" applyFill="1" applyBorder="1"/>
    <xf numFmtId="0" fontId="0" fillId="0" borderId="0" xfId="0" applyAlignment="1">
      <alignment horizontal="left"/>
    </xf>
    <xf numFmtId="0" fontId="0" fillId="0" borderId="28" xfId="0" applyBorder="1" applyAlignment="1">
      <alignment horizontal="left"/>
    </xf>
    <xf numFmtId="0" fontId="1" fillId="0" borderId="29" xfId="0" applyFont="1" applyBorder="1" applyAlignment="1">
      <alignment horizontal="left"/>
    </xf>
    <xf numFmtId="0" fontId="0" fillId="16" borderId="29" xfId="0" applyFill="1" applyBorder="1" applyAlignment="1">
      <alignment horizontal="left"/>
    </xf>
    <xf numFmtId="0" fontId="0" fillId="17" borderId="2" xfId="0" applyFill="1" applyBorder="1" applyAlignment="1">
      <alignment horizontal="left"/>
    </xf>
    <xf numFmtId="14" fontId="0" fillId="17" borderId="6" xfId="0" applyNumberFormat="1" applyFill="1" applyBorder="1" applyAlignment="1">
      <alignment horizontal="left"/>
    </xf>
    <xf numFmtId="1" fontId="0" fillId="17" borderId="15" xfId="0" applyNumberFormat="1" applyFill="1" applyBorder="1" applyAlignment="1">
      <alignment horizontal="left"/>
    </xf>
    <xf numFmtId="0" fontId="29" fillId="19" borderId="0" xfId="0" applyFont="1" applyFill="1"/>
    <xf numFmtId="0" fontId="0" fillId="19" borderId="0" xfId="0" applyFill="1"/>
    <xf numFmtId="0" fontId="0" fillId="20" borderId="0" xfId="0" applyFill="1"/>
    <xf numFmtId="0" fontId="11" fillId="19" borderId="38" xfId="0" applyFont="1" applyFill="1" applyBorder="1" applyAlignment="1">
      <alignment wrapText="1"/>
    </xf>
    <xf numFmtId="0" fontId="11" fillId="19" borderId="39" xfId="0" applyFont="1" applyFill="1" applyBorder="1"/>
    <xf numFmtId="0" fontId="10" fillId="12" borderId="38" xfId="0" applyFont="1" applyFill="1" applyBorder="1" applyAlignment="1">
      <alignment wrapText="1"/>
    </xf>
    <xf numFmtId="0" fontId="10" fillId="12" borderId="40" xfId="0" applyFont="1" applyFill="1" applyBorder="1" applyAlignment="1">
      <alignment wrapText="1"/>
    </xf>
    <xf numFmtId="0" fontId="10" fillId="12" borderId="40" xfId="0" applyFont="1" applyFill="1" applyBorder="1" applyAlignment="1">
      <alignment vertical="center" wrapText="1"/>
    </xf>
    <xf numFmtId="0" fontId="0" fillId="12" borderId="1" xfId="0" applyFill="1" applyBorder="1" applyAlignment="1">
      <alignment vertical="center" wrapText="1"/>
    </xf>
    <xf numFmtId="0" fontId="7" fillId="12" borderId="1" xfId="0" applyFont="1" applyFill="1" applyBorder="1" applyAlignment="1">
      <alignment vertical="top" wrapText="1"/>
    </xf>
    <xf numFmtId="0" fontId="28" fillId="12" borderId="0" xfId="0" applyFont="1" applyFill="1" applyAlignment="1">
      <alignment horizontal="center" vertical="center" wrapText="1"/>
    </xf>
    <xf numFmtId="4" fontId="0" fillId="0" borderId="0" xfId="0" applyNumberFormat="1" applyAlignment="1">
      <alignment horizontal="center" vertical="center" wrapText="1"/>
    </xf>
    <xf numFmtId="0" fontId="0" fillId="12" borderId="42" xfId="0" applyFill="1" applyBorder="1" applyAlignment="1">
      <alignment wrapText="1"/>
    </xf>
    <xf numFmtId="0" fontId="0" fillId="12" borderId="11" xfId="0" applyFill="1" applyBorder="1" applyAlignment="1">
      <alignment wrapText="1"/>
    </xf>
    <xf numFmtId="0" fontId="0" fillId="0" borderId="11" xfId="0" applyBorder="1" applyAlignment="1">
      <alignment wrapText="1"/>
    </xf>
    <xf numFmtId="0" fontId="28" fillId="12" borderId="7" xfId="0" applyFont="1" applyFill="1" applyBorder="1" applyAlignment="1">
      <alignment horizontal="center" vertical="center" wrapText="1"/>
    </xf>
    <xf numFmtId="3" fontId="15" fillId="12" borderId="0" xfId="0" applyNumberFormat="1" applyFont="1" applyFill="1" applyAlignment="1">
      <alignment vertical="top" wrapText="1"/>
    </xf>
    <xf numFmtId="0" fontId="2" fillId="0" borderId="27" xfId="0" applyFont="1" applyBorder="1"/>
    <xf numFmtId="0" fontId="2" fillId="0" borderId="26" xfId="0" applyFont="1" applyBorder="1"/>
    <xf numFmtId="0" fontId="2" fillId="0" borderId="1" xfId="0" applyFont="1" applyBorder="1" applyAlignment="1">
      <alignment wrapText="1"/>
    </xf>
    <xf numFmtId="0" fontId="2" fillId="0" borderId="0" xfId="0" applyFont="1" applyAlignment="1">
      <alignment wrapText="1"/>
    </xf>
    <xf numFmtId="0" fontId="0" fillId="2" borderId="24" xfId="0" applyFill="1" applyBorder="1" applyAlignment="1">
      <alignment wrapText="1"/>
    </xf>
    <xf numFmtId="0" fontId="10" fillId="12" borderId="38" xfId="0" applyFont="1" applyFill="1" applyBorder="1" applyAlignment="1">
      <alignment vertical="center" wrapText="1"/>
    </xf>
    <xf numFmtId="0" fontId="10" fillId="12" borderId="41" xfId="0" applyFont="1" applyFill="1" applyBorder="1" applyAlignment="1">
      <alignment vertical="center" wrapText="1"/>
    </xf>
    <xf numFmtId="0" fontId="0" fillId="0" borderId="1" xfId="0" applyBorder="1" applyAlignment="1">
      <alignment vertical="center"/>
    </xf>
    <xf numFmtId="0" fontId="20" fillId="6" borderId="1" xfId="0" applyFont="1" applyFill="1" applyBorder="1" applyAlignment="1">
      <alignment vertical="center" wrapText="1"/>
    </xf>
    <xf numFmtId="3" fontId="20" fillId="6" borderId="1" xfId="0" applyNumberFormat="1" applyFont="1" applyFill="1" applyBorder="1" applyAlignment="1">
      <alignment vertical="center"/>
    </xf>
    <xf numFmtId="0" fontId="0" fillId="12" borderId="0" xfId="0" applyFill="1" applyAlignment="1">
      <alignment vertical="center"/>
    </xf>
    <xf numFmtId="4" fontId="1" fillId="10" borderId="42" xfId="0" applyNumberFormat="1" applyFont="1" applyFill="1" applyBorder="1" applyAlignment="1">
      <alignment horizontal="right"/>
    </xf>
    <xf numFmtId="0" fontId="0" fillId="10" borderId="42" xfId="0" applyFill="1" applyBorder="1" applyAlignment="1">
      <alignment wrapText="1"/>
    </xf>
    <xf numFmtId="0" fontId="0" fillId="10" borderId="42" xfId="0" applyFill="1" applyBorder="1"/>
    <xf numFmtId="0" fontId="1" fillId="10" borderId="25" xfId="0" applyFont="1" applyFill="1" applyBorder="1" applyAlignment="1">
      <alignment wrapText="1"/>
    </xf>
    <xf numFmtId="4" fontId="2" fillId="10" borderId="1" xfId="0" applyNumberFormat="1" applyFont="1" applyFill="1" applyBorder="1" applyAlignment="1">
      <alignment wrapText="1"/>
    </xf>
    <xf numFmtId="0" fontId="2" fillId="12" borderId="1" xfId="1" applyFont="1" applyFill="1" applyBorder="1" applyAlignment="1">
      <alignment vertical="top" wrapText="1"/>
    </xf>
    <xf numFmtId="0" fontId="0" fillId="0" borderId="1" xfId="0" applyBorder="1" applyAlignment="1">
      <alignment horizontal="left" vertical="center" wrapText="1"/>
    </xf>
    <xf numFmtId="4" fontId="0" fillId="12" borderId="0" xfId="0" applyNumberFormat="1" applyFill="1" applyAlignment="1">
      <alignment horizontal="right"/>
    </xf>
    <xf numFmtId="0" fontId="36" fillId="12" borderId="0" xfId="0" applyFont="1" applyFill="1"/>
    <xf numFmtId="0" fontId="5" fillId="12" borderId="1" xfId="1" applyFill="1" applyBorder="1" applyAlignment="1">
      <alignment wrapText="1"/>
    </xf>
    <xf numFmtId="3" fontId="0" fillId="8" borderId="1" xfId="0" applyNumberFormat="1" applyFill="1" applyBorder="1" applyAlignment="1">
      <alignment vertical="top" wrapText="1"/>
    </xf>
    <xf numFmtId="0" fontId="1" fillId="10" borderId="9" xfId="0" applyFont="1" applyFill="1" applyBorder="1" applyAlignment="1">
      <alignment horizontal="right" wrapText="1"/>
    </xf>
    <xf numFmtId="4" fontId="0" fillId="10" borderId="1" xfId="0" applyNumberFormat="1" applyFill="1" applyBorder="1" applyAlignment="1">
      <alignment horizontal="center"/>
    </xf>
    <xf numFmtId="0" fontId="0" fillId="2" borderId="0" xfId="0" applyFill="1"/>
    <xf numFmtId="4" fontId="0" fillId="23" borderId="1" xfId="0" applyNumberFormat="1" applyFill="1" applyBorder="1" applyAlignment="1">
      <alignment horizontal="right"/>
    </xf>
    <xf numFmtId="3" fontId="0" fillId="23" borderId="1" xfId="0" applyNumberFormat="1" applyFill="1" applyBorder="1" applyAlignment="1">
      <alignment vertical="top"/>
    </xf>
    <xf numFmtId="0" fontId="0" fillId="0" borderId="0" xfId="0" applyAlignment="1">
      <alignment vertical="center"/>
    </xf>
    <xf numFmtId="0" fontId="37" fillId="6" borderId="1" xfId="0" applyFont="1" applyFill="1" applyBorder="1" applyAlignment="1">
      <alignment horizontal="left" vertical="top" wrapText="1"/>
    </xf>
    <xf numFmtId="0" fontId="37" fillId="12" borderId="0" xfId="0" applyFont="1" applyFill="1" applyAlignment="1">
      <alignment horizontal="left" vertical="top" wrapText="1"/>
    </xf>
    <xf numFmtId="0" fontId="2" fillId="20" borderId="1" xfId="0" applyFont="1" applyFill="1" applyBorder="1" applyAlignment="1">
      <alignment vertical="top" wrapText="1"/>
    </xf>
    <xf numFmtId="0" fontId="38" fillId="6" borderId="1" xfId="1" applyFont="1" applyFill="1" applyBorder="1" applyAlignment="1">
      <alignment wrapText="1"/>
    </xf>
    <xf numFmtId="166" fontId="0" fillId="7" borderId="1" xfId="0" applyNumberFormat="1" applyFill="1" applyBorder="1"/>
    <xf numFmtId="0" fontId="15" fillId="5" borderId="4" xfId="0" applyFont="1" applyFill="1" applyBorder="1" applyAlignment="1">
      <alignment horizontal="center" wrapText="1"/>
    </xf>
    <xf numFmtId="0" fontId="15" fillId="5" borderId="43" xfId="0" applyFont="1" applyFill="1" applyBorder="1" applyAlignment="1">
      <alignment horizontal="center" wrapText="1"/>
    </xf>
    <xf numFmtId="0" fontId="15" fillId="5" borderId="44" xfId="0" applyFont="1" applyFill="1" applyBorder="1" applyAlignment="1">
      <alignment horizontal="center" wrapText="1"/>
    </xf>
    <xf numFmtId="0" fontId="0" fillId="8" borderId="5" xfId="0" applyFill="1" applyBorder="1"/>
    <xf numFmtId="3" fontId="0" fillId="8" borderId="1" xfId="0" applyNumberFormat="1" applyFill="1" applyBorder="1"/>
    <xf numFmtId="0" fontId="0" fillId="12" borderId="0" xfId="0" applyFill="1" applyAlignment="1">
      <alignment horizontal="left"/>
    </xf>
    <xf numFmtId="0" fontId="0" fillId="12" borderId="0" xfId="0" applyFill="1" applyAlignment="1">
      <alignment vertical="center" wrapText="1"/>
    </xf>
    <xf numFmtId="3" fontId="0" fillId="12" borderId="0" xfId="0" applyNumberFormat="1" applyFill="1" applyAlignment="1">
      <alignment vertical="top" wrapText="1"/>
    </xf>
    <xf numFmtId="0" fontId="0" fillId="12" borderId="1" xfId="0" applyFill="1" applyBorder="1" applyAlignment="1">
      <alignment horizontal="left" wrapText="1"/>
    </xf>
    <xf numFmtId="0" fontId="0" fillId="0" borderId="1" xfId="0" applyBorder="1" applyAlignment="1">
      <alignment horizontal="left" wrapText="1"/>
    </xf>
    <xf numFmtId="0" fontId="15" fillId="25" borderId="46" xfId="0" applyFont="1" applyFill="1" applyBorder="1"/>
    <xf numFmtId="0" fontId="15" fillId="25" borderId="47" xfId="0" applyFont="1" applyFill="1" applyBorder="1"/>
    <xf numFmtId="49" fontId="0" fillId="0" borderId="0" xfId="0" applyNumberFormat="1"/>
    <xf numFmtId="0" fontId="39" fillId="5" borderId="48" xfId="0" applyFont="1" applyFill="1" applyBorder="1"/>
    <xf numFmtId="0" fontId="2" fillId="24" borderId="5" xfId="0" applyFont="1" applyFill="1" applyBorder="1"/>
    <xf numFmtId="0" fontId="2" fillId="23" borderId="6" xfId="0" applyFont="1" applyFill="1" applyBorder="1"/>
    <xf numFmtId="0" fontId="2" fillId="24" borderId="14" xfId="0" applyFont="1" applyFill="1" applyBorder="1"/>
    <xf numFmtId="0" fontId="2" fillId="23" borderId="15" xfId="0" applyFont="1" applyFill="1" applyBorder="1"/>
    <xf numFmtId="164" fontId="0" fillId="3" borderId="11" xfId="0" applyNumberFormat="1" applyFill="1" applyBorder="1"/>
    <xf numFmtId="0" fontId="0" fillId="0" borderId="27" xfId="0" applyBorder="1" applyAlignment="1">
      <alignment wrapText="1"/>
    </xf>
    <xf numFmtId="0" fontId="0" fillId="3" borderId="27" xfId="0" applyFill="1" applyBorder="1"/>
    <xf numFmtId="0" fontId="0" fillId="14" borderId="1" xfId="0" applyFill="1" applyBorder="1" applyAlignment="1">
      <alignment wrapText="1"/>
    </xf>
    <xf numFmtId="0" fontId="0" fillId="13" borderId="1" xfId="0" applyFill="1" applyBorder="1"/>
    <xf numFmtId="0" fontId="0" fillId="0" borderId="46" xfId="0" applyBorder="1"/>
    <xf numFmtId="0" fontId="0" fillId="0" borderId="47" xfId="0" applyBorder="1"/>
    <xf numFmtId="49" fontId="0" fillId="18" borderId="18" xfId="0" applyNumberFormat="1" applyFill="1" applyBorder="1" applyAlignment="1">
      <alignment horizontal="left"/>
    </xf>
    <xf numFmtId="164" fontId="0" fillId="7" borderId="1" xfId="0" applyNumberFormat="1" applyFill="1" applyBorder="1" applyAlignment="1">
      <alignment horizontal="right" vertical="center" wrapText="1"/>
    </xf>
    <xf numFmtId="3" fontId="0" fillId="3" borderId="1" xfId="0" applyNumberFormat="1" applyFill="1" applyBorder="1" applyAlignment="1">
      <alignment horizontal="right" vertical="center" wrapText="1"/>
    </xf>
    <xf numFmtId="3" fontId="0" fillId="7" borderId="1" xfId="0" applyNumberFormat="1" applyFill="1" applyBorder="1" applyAlignment="1">
      <alignment horizontal="right" vertical="center" wrapText="1"/>
    </xf>
    <xf numFmtId="3" fontId="0" fillId="7" borderId="1" xfId="0" applyNumberFormat="1" applyFill="1" applyBorder="1" applyAlignment="1">
      <alignment horizontal="right" vertical="center"/>
    </xf>
    <xf numFmtId="3" fontId="0" fillId="3" borderId="1" xfId="0" applyNumberFormat="1" applyFill="1" applyBorder="1" applyAlignment="1">
      <alignment horizontal="right" vertical="center"/>
    </xf>
    <xf numFmtId="0" fontId="16" fillId="5" borderId="9" xfId="0" applyFont="1" applyFill="1" applyBorder="1" applyAlignment="1">
      <alignment horizontal="center" vertical="top" wrapText="1"/>
    </xf>
    <xf numFmtId="0" fontId="20" fillId="6" borderId="9" xfId="0" applyFont="1" applyFill="1" applyBorder="1" applyAlignment="1">
      <alignment vertical="top" wrapText="1"/>
    </xf>
    <xf numFmtId="0" fontId="0" fillId="23" borderId="1" xfId="0" applyFill="1" applyBorder="1" applyAlignment="1">
      <alignment vertical="top" wrapText="1"/>
    </xf>
    <xf numFmtId="0" fontId="20" fillId="23" borderId="1" xfId="0" applyFont="1" applyFill="1" applyBorder="1" applyAlignment="1">
      <alignment vertical="top" wrapText="1"/>
    </xf>
    <xf numFmtId="0" fontId="2" fillId="23" borderId="1" xfId="0" applyFont="1" applyFill="1" applyBorder="1" applyAlignment="1">
      <alignment vertical="top" wrapText="1"/>
    </xf>
    <xf numFmtId="0" fontId="20" fillId="23" borderId="1" xfId="0" applyFont="1" applyFill="1" applyBorder="1"/>
    <xf numFmtId="0" fontId="7" fillId="23" borderId="1" xfId="0" applyFont="1" applyFill="1" applyBorder="1" applyAlignment="1">
      <alignment vertical="top" wrapText="1"/>
    </xf>
    <xf numFmtId="0" fontId="37" fillId="23" borderId="1" xfId="0" applyFont="1" applyFill="1" applyBorder="1" applyAlignment="1">
      <alignment horizontal="left" vertical="top" wrapText="1"/>
    </xf>
    <xf numFmtId="0" fontId="20" fillId="23" borderId="1" xfId="0" applyFont="1" applyFill="1" applyBorder="1" applyAlignment="1">
      <alignment vertical="center" wrapText="1"/>
    </xf>
    <xf numFmtId="0" fontId="0" fillId="23" borderId="1" xfId="0" applyFill="1" applyBorder="1" applyAlignment="1">
      <alignment wrapText="1"/>
    </xf>
    <xf numFmtId="0" fontId="15" fillId="23" borderId="1" xfId="0" applyFont="1" applyFill="1" applyBorder="1" applyAlignment="1">
      <alignment wrapText="1"/>
    </xf>
    <xf numFmtId="0" fontId="1" fillId="23" borderId="1" xfId="0" applyFont="1" applyFill="1" applyBorder="1" applyAlignment="1">
      <alignment wrapText="1"/>
    </xf>
    <xf numFmtId="0" fontId="0" fillId="23" borderId="1" xfId="0" applyFill="1" applyBorder="1"/>
    <xf numFmtId="0" fontId="16" fillId="9" borderId="0" xfId="0" applyFont="1" applyFill="1" applyAlignment="1">
      <alignment horizontal="center" vertical="center" wrapText="1"/>
    </xf>
    <xf numFmtId="0" fontId="16" fillId="9" borderId="1" xfId="0" applyFont="1" applyFill="1" applyBorder="1" applyAlignment="1">
      <alignment horizontal="center" vertical="center" wrapText="1"/>
    </xf>
    <xf numFmtId="0" fontId="15" fillId="23" borderId="1" xfId="0" applyFont="1" applyFill="1" applyBorder="1"/>
    <xf numFmtId="0" fontId="1" fillId="23" borderId="1" xfId="0" applyFont="1" applyFill="1" applyBorder="1"/>
    <xf numFmtId="0" fontId="2" fillId="23" borderId="1" xfId="0" applyFont="1" applyFill="1" applyBorder="1" applyAlignment="1">
      <alignment wrapText="1"/>
    </xf>
    <xf numFmtId="0" fontId="15" fillId="6" borderId="9" xfId="0" applyFont="1" applyFill="1" applyBorder="1" applyAlignment="1">
      <alignment vertical="top" wrapText="1"/>
    </xf>
    <xf numFmtId="0" fontId="16" fillId="9" borderId="7" xfId="0" applyFont="1" applyFill="1" applyBorder="1" applyAlignment="1">
      <alignment vertical="center" wrapText="1"/>
    </xf>
    <xf numFmtId="0" fontId="15" fillId="23" borderId="1" xfId="0" applyFont="1" applyFill="1" applyBorder="1" applyAlignment="1">
      <alignment vertical="top" wrapText="1"/>
    </xf>
    <xf numFmtId="0" fontId="15" fillId="5" borderId="1" xfId="0" applyFont="1" applyFill="1" applyBorder="1" applyAlignment="1">
      <alignment horizontal="center"/>
    </xf>
    <xf numFmtId="0" fontId="0" fillId="0" borderId="1" xfId="0" applyBorder="1" applyAlignment="1">
      <alignment vertical="center" wrapText="1"/>
    </xf>
    <xf numFmtId="3" fontId="0" fillId="10" borderId="1" xfId="0" applyNumberFormat="1" applyFill="1" applyBorder="1" applyAlignment="1">
      <alignment horizontal="right" wrapText="1"/>
    </xf>
    <xf numFmtId="167" fontId="0" fillId="10" borderId="1" xfId="0" applyNumberFormat="1" applyFill="1" applyBorder="1" applyAlignment="1">
      <alignment wrapText="1"/>
    </xf>
    <xf numFmtId="0" fontId="9" fillId="12" borderId="0" xfId="0" applyFont="1" applyFill="1"/>
    <xf numFmtId="0" fontId="32" fillId="12" borderId="0" xfId="0" applyFont="1" applyFill="1" applyAlignment="1">
      <alignment horizontal="left"/>
    </xf>
    <xf numFmtId="0" fontId="10" fillId="12" borderId="30" xfId="0" applyFont="1" applyFill="1" applyBorder="1"/>
    <xf numFmtId="0" fontId="10" fillId="12" borderId="36" xfId="0" applyFont="1" applyFill="1" applyBorder="1"/>
    <xf numFmtId="0" fontId="10" fillId="12" borderId="31" xfId="0" applyFont="1" applyFill="1" applyBorder="1"/>
    <xf numFmtId="0" fontId="10" fillId="12" borderId="32" xfId="0" applyFont="1" applyFill="1" applyBorder="1"/>
    <xf numFmtId="0" fontId="10" fillId="12" borderId="33" xfId="0" applyFont="1" applyFill="1" applyBorder="1"/>
    <xf numFmtId="0" fontId="0" fillId="12" borderId="33" xfId="0" applyFill="1" applyBorder="1"/>
    <xf numFmtId="0" fontId="10" fillId="12" borderId="0" xfId="0" applyFont="1" applyFill="1" applyAlignment="1">
      <alignment wrapText="1"/>
    </xf>
    <xf numFmtId="0" fontId="0" fillId="12" borderId="32" xfId="0" applyFill="1" applyBorder="1" applyAlignment="1">
      <alignment wrapText="1"/>
    </xf>
    <xf numFmtId="0" fontId="10" fillId="12" borderId="0" xfId="0" applyFont="1" applyFill="1" applyAlignment="1">
      <alignment vertical="center" wrapText="1"/>
    </xf>
    <xf numFmtId="0" fontId="0" fillId="12" borderId="32" xfId="0" applyFill="1" applyBorder="1"/>
    <xf numFmtId="0" fontId="10" fillId="12" borderId="32" xfId="0" applyFont="1" applyFill="1" applyBorder="1" applyAlignment="1">
      <alignment horizontal="left"/>
    </xf>
    <xf numFmtId="0" fontId="10" fillId="12" borderId="32" xfId="0" applyFont="1" applyFill="1" applyBorder="1" applyAlignment="1">
      <alignment horizontal="right"/>
    </xf>
    <xf numFmtId="0" fontId="10" fillId="12" borderId="0" xfId="0" applyFont="1" applyFill="1" applyAlignment="1">
      <alignment horizontal="left"/>
    </xf>
    <xf numFmtId="0" fontId="10" fillId="12" borderId="32" xfId="0" applyFont="1" applyFill="1" applyBorder="1" applyAlignment="1">
      <alignment vertical="top"/>
    </xf>
    <xf numFmtId="0" fontId="10" fillId="12" borderId="34" xfId="0" applyFont="1" applyFill="1" applyBorder="1"/>
    <xf numFmtId="0" fontId="10" fillId="12" borderId="37" xfId="0" applyFont="1" applyFill="1" applyBorder="1"/>
    <xf numFmtId="0" fontId="0" fillId="12" borderId="35" xfId="0" applyFill="1" applyBorder="1"/>
    <xf numFmtId="3" fontId="0" fillId="12" borderId="0" xfId="0" applyNumberFormat="1" applyFill="1"/>
    <xf numFmtId="0" fontId="0" fillId="12" borderId="1" xfId="0" applyFill="1" applyBorder="1" applyAlignment="1">
      <alignment vertical="center"/>
    </xf>
    <xf numFmtId="0" fontId="40" fillId="0" borderId="0" xfId="0" applyFont="1"/>
    <xf numFmtId="0" fontId="0" fillId="18" borderId="12" xfId="0" applyFill="1" applyBorder="1" applyAlignment="1">
      <alignment horizontal="left"/>
    </xf>
    <xf numFmtId="0" fontId="11" fillId="0" borderId="40" xfId="0" applyFont="1" applyBorder="1" applyAlignment="1">
      <alignment horizontal="left"/>
    </xf>
    <xf numFmtId="0" fontId="10" fillId="0" borderId="20" xfId="0" applyFont="1" applyBorder="1"/>
    <xf numFmtId="0" fontId="28" fillId="12" borderId="49" xfId="0" applyFont="1" applyFill="1" applyBorder="1" applyAlignment="1">
      <alignment horizontal="center" wrapText="1"/>
    </xf>
    <xf numFmtId="164" fontId="0" fillId="12" borderId="50" xfId="0" applyNumberFormat="1" applyFill="1" applyBorder="1"/>
    <xf numFmtId="0" fontId="0" fillId="12" borderId="50" xfId="0" applyFill="1" applyBorder="1" applyAlignment="1">
      <alignment wrapText="1"/>
    </xf>
    <xf numFmtId="0" fontId="0" fillId="12" borderId="51" xfId="0" applyFill="1" applyBorder="1" applyAlignment="1">
      <alignment wrapText="1"/>
    </xf>
    <xf numFmtId="0" fontId="0" fillId="23" borderId="52" xfId="0" applyFill="1" applyBorder="1" applyAlignment="1">
      <alignment wrapText="1"/>
    </xf>
    <xf numFmtId="0" fontId="0" fillId="23" borderId="11" xfId="0" applyFill="1" applyBorder="1" applyAlignment="1">
      <alignment wrapText="1"/>
    </xf>
    <xf numFmtId="0" fontId="0" fillId="0" borderId="50" xfId="0" applyBorder="1" applyAlignment="1">
      <alignment wrapText="1"/>
    </xf>
    <xf numFmtId="0" fontId="42" fillId="0" borderId="0" xfId="0" applyFont="1"/>
    <xf numFmtId="0" fontId="0" fillId="12" borderId="1" xfId="0" applyFill="1" applyBorder="1" applyAlignment="1">
      <alignment horizontal="left"/>
    </xf>
    <xf numFmtId="0" fontId="2" fillId="3" borderId="1" xfId="0" applyFont="1" applyFill="1" applyBorder="1" applyAlignment="1">
      <alignment horizontal="center" wrapText="1"/>
    </xf>
    <xf numFmtId="14" fontId="0" fillId="3" borderId="1" xfId="0" applyNumberFormat="1" applyFill="1" applyBorder="1" applyAlignment="1">
      <alignment vertical="top" wrapText="1"/>
    </xf>
    <xf numFmtId="0" fontId="43" fillId="22" borderId="1" xfId="0" applyFont="1" applyFill="1" applyBorder="1" applyAlignment="1">
      <alignment horizontal="center" vertical="center" wrapText="1"/>
    </xf>
    <xf numFmtId="4" fontId="43" fillId="22" borderId="1" xfId="0" applyNumberFormat="1" applyFont="1" applyFill="1" applyBorder="1" applyAlignment="1">
      <alignment horizontal="center" vertical="center" wrapText="1"/>
    </xf>
    <xf numFmtId="0" fontId="45" fillId="16" borderId="20" xfId="0" applyFont="1" applyFill="1" applyBorder="1" applyAlignment="1">
      <alignment horizontal="center" vertical="center"/>
    </xf>
    <xf numFmtId="0" fontId="45" fillId="16" borderId="39" xfId="0" applyFont="1" applyFill="1" applyBorder="1" applyAlignment="1">
      <alignment horizontal="center" vertical="center"/>
    </xf>
    <xf numFmtId="0" fontId="45" fillId="16" borderId="1" xfId="0" applyFont="1" applyFill="1" applyBorder="1" applyAlignment="1">
      <alignment horizontal="center" vertical="center"/>
    </xf>
    <xf numFmtId="0" fontId="5" fillId="0" borderId="1" xfId="1" applyBorder="1" applyAlignment="1">
      <alignment wrapText="1"/>
    </xf>
    <xf numFmtId="0" fontId="2" fillId="20" borderId="25" xfId="0" applyFont="1" applyFill="1" applyBorder="1" applyAlignment="1">
      <alignment vertical="top" wrapText="1"/>
    </xf>
    <xf numFmtId="4" fontId="16" fillId="9" borderId="11" xfId="0" applyNumberFormat="1" applyFont="1" applyFill="1" applyBorder="1" applyAlignment="1">
      <alignment horizontal="center" vertical="top" wrapText="1"/>
    </xf>
    <xf numFmtId="4" fontId="0" fillId="3" borderId="8" xfId="0" applyNumberFormat="1" applyFill="1" applyBorder="1"/>
    <xf numFmtId="0" fontId="16" fillId="9" borderId="11" xfId="0" applyFont="1" applyFill="1" applyBorder="1" applyAlignment="1">
      <alignment horizontal="center" vertical="top" wrapText="1"/>
    </xf>
    <xf numFmtId="0" fontId="0" fillId="0" borderId="8" xfId="0" applyBorder="1" applyAlignment="1">
      <alignment wrapText="1"/>
    </xf>
    <xf numFmtId="0" fontId="2" fillId="26" borderId="9" xfId="0" applyFont="1" applyFill="1" applyBorder="1" applyAlignment="1">
      <alignment vertical="center" wrapText="1"/>
    </xf>
    <xf numFmtId="0" fontId="2" fillId="26" borderId="25" xfId="0" applyFont="1" applyFill="1" applyBorder="1" applyAlignment="1">
      <alignment vertical="top" wrapText="1"/>
    </xf>
    <xf numFmtId="0" fontId="2" fillId="26" borderId="1" xfId="0" applyFont="1" applyFill="1" applyBorder="1" applyAlignment="1">
      <alignment vertical="top" wrapText="1"/>
    </xf>
    <xf numFmtId="0" fontId="2" fillId="23" borderId="25" xfId="0" applyFont="1" applyFill="1" applyBorder="1" applyAlignment="1">
      <alignment vertical="top" wrapText="1"/>
    </xf>
    <xf numFmtId="4" fontId="2" fillId="26" borderId="42" xfId="0" applyNumberFormat="1" applyFont="1" applyFill="1" applyBorder="1" applyAlignment="1">
      <alignment vertical="top" wrapText="1"/>
    </xf>
    <xf numFmtId="0" fontId="2" fillId="26" borderId="42" xfId="0" applyFont="1" applyFill="1" applyBorder="1" applyAlignment="1">
      <alignment vertical="top" wrapText="1"/>
    </xf>
    <xf numFmtId="4" fontId="16" fillId="9" borderId="53" xfId="0" applyNumberFormat="1" applyFont="1" applyFill="1" applyBorder="1" applyAlignment="1">
      <alignment horizontal="center" vertical="top" wrapText="1"/>
    </xf>
    <xf numFmtId="0" fontId="16" fillId="9" borderId="53" xfId="0" applyFont="1" applyFill="1" applyBorder="1" applyAlignment="1">
      <alignment horizontal="center" vertical="top" wrapText="1"/>
    </xf>
    <xf numFmtId="3" fontId="0" fillId="3" borderId="8" xfId="0" applyNumberFormat="1" applyFill="1" applyBorder="1" applyAlignment="1">
      <alignment horizontal="right" vertical="center" wrapText="1"/>
    </xf>
    <xf numFmtId="0" fontId="16" fillId="9" borderId="11" xfId="0" applyFont="1" applyFill="1" applyBorder="1" applyAlignment="1">
      <alignment vertical="center" wrapText="1"/>
    </xf>
    <xf numFmtId="0" fontId="0" fillId="12" borderId="8" xfId="0" applyFill="1" applyBorder="1" applyAlignment="1">
      <alignment vertical="center" wrapText="1"/>
    </xf>
    <xf numFmtId="3" fontId="0" fillId="8" borderId="8" xfId="0" applyNumberFormat="1" applyFill="1" applyBorder="1" applyAlignment="1">
      <alignment wrapText="1"/>
    </xf>
    <xf numFmtId="4" fontId="16" fillId="9" borderId="53" xfId="0" applyNumberFormat="1" applyFont="1" applyFill="1" applyBorder="1" applyAlignment="1">
      <alignment vertical="center" wrapText="1"/>
    </xf>
    <xf numFmtId="0" fontId="16" fillId="9" borderId="53" xfId="0" applyFont="1" applyFill="1" applyBorder="1" applyAlignment="1">
      <alignment vertical="center" wrapText="1"/>
    </xf>
    <xf numFmtId="4" fontId="0" fillId="7" borderId="8" xfId="0" applyNumberFormat="1" applyFill="1" applyBorder="1" applyAlignment="1">
      <alignment vertical="top"/>
    </xf>
    <xf numFmtId="43" fontId="0" fillId="12" borderId="8" xfId="2" applyFont="1" applyFill="1" applyBorder="1" applyAlignment="1">
      <alignment wrapText="1"/>
    </xf>
    <xf numFmtId="0" fontId="2" fillId="12" borderId="8" xfId="0" applyFont="1" applyFill="1" applyBorder="1" applyAlignment="1">
      <alignment wrapText="1"/>
    </xf>
    <xf numFmtId="0" fontId="16" fillId="9" borderId="10" xfId="0" applyFont="1" applyFill="1" applyBorder="1" applyAlignment="1">
      <alignment vertical="center" wrapText="1"/>
    </xf>
    <xf numFmtId="0" fontId="0" fillId="12" borderId="7" xfId="0" applyFill="1" applyBorder="1" applyAlignment="1">
      <alignment vertical="top" wrapText="1"/>
    </xf>
    <xf numFmtId="0" fontId="16" fillId="9" borderId="11" xfId="0" applyFont="1" applyFill="1" applyBorder="1" applyAlignment="1">
      <alignment horizontal="center" vertical="center" wrapText="1"/>
    </xf>
    <xf numFmtId="0" fontId="2" fillId="26" borderId="10" xfId="0" applyFont="1" applyFill="1" applyBorder="1" applyAlignment="1">
      <alignment vertical="center" wrapText="1"/>
    </xf>
    <xf numFmtId="4" fontId="2" fillId="26" borderId="54" xfId="0" applyNumberFormat="1" applyFont="1" applyFill="1" applyBorder="1" applyAlignment="1">
      <alignment vertical="top" wrapText="1"/>
    </xf>
    <xf numFmtId="0" fontId="2" fillId="26" borderId="54" xfId="0" applyFont="1" applyFill="1" applyBorder="1" applyAlignment="1">
      <alignment vertical="top" wrapText="1"/>
    </xf>
    <xf numFmtId="0" fontId="2" fillId="26" borderId="55" xfId="0" applyFont="1" applyFill="1" applyBorder="1" applyAlignment="1">
      <alignment vertical="top" wrapText="1"/>
    </xf>
    <xf numFmtId="0" fontId="2" fillId="26" borderId="25" xfId="0" applyFont="1" applyFill="1" applyBorder="1" applyAlignment="1">
      <alignment vertical="center" wrapText="1"/>
    </xf>
    <xf numFmtId="0" fontId="0" fillId="23" borderId="8" xfId="0" applyFill="1" applyBorder="1" applyAlignment="1">
      <alignment wrapText="1"/>
    </xf>
    <xf numFmtId="0" fontId="0" fillId="26" borderId="9" xfId="0" applyFill="1" applyBorder="1" applyAlignment="1">
      <alignment wrapText="1"/>
    </xf>
    <xf numFmtId="0" fontId="0" fillId="26" borderId="25" xfId="0" applyFill="1" applyBorder="1" applyAlignment="1">
      <alignment wrapText="1"/>
    </xf>
    <xf numFmtId="4" fontId="0" fillId="3" borderId="8" xfId="0" applyNumberFormat="1" applyFill="1" applyBorder="1" applyAlignment="1">
      <alignment horizontal="right" wrapText="1"/>
    </xf>
    <xf numFmtId="4" fontId="0" fillId="3" borderId="1" xfId="0" applyNumberFormat="1" applyFill="1" applyBorder="1" applyAlignment="1">
      <alignment horizontal="right" wrapText="1"/>
    </xf>
    <xf numFmtId="4" fontId="0" fillId="3" borderId="11" xfId="0" applyNumberFormat="1" applyFill="1" applyBorder="1" applyAlignment="1">
      <alignment horizontal="right" wrapText="1"/>
    </xf>
    <xf numFmtId="0" fontId="2" fillId="26" borderId="10" xfId="0" applyFont="1" applyFill="1" applyBorder="1" applyAlignment="1">
      <alignment vertical="top" wrapText="1"/>
    </xf>
    <xf numFmtId="0" fontId="0" fillId="26" borderId="1" xfId="0" applyFill="1" applyBorder="1" applyAlignment="1">
      <alignment wrapText="1"/>
    </xf>
    <xf numFmtId="0" fontId="0" fillId="26" borderId="42" xfId="0" applyFill="1" applyBorder="1" applyAlignment="1">
      <alignment vertical="center" wrapText="1"/>
    </xf>
    <xf numFmtId="3" fontId="14" fillId="26" borderId="42" xfId="0" applyNumberFormat="1" applyFont="1" applyFill="1" applyBorder="1" applyAlignment="1">
      <alignment wrapText="1"/>
    </xf>
    <xf numFmtId="0" fontId="10" fillId="12" borderId="57" xfId="0" applyFont="1" applyFill="1" applyBorder="1" applyAlignment="1">
      <alignment wrapText="1"/>
    </xf>
    <xf numFmtId="0" fontId="45" fillId="16" borderId="56" xfId="0" applyFont="1" applyFill="1" applyBorder="1" applyAlignment="1">
      <alignment horizontal="center" vertical="center"/>
    </xf>
    <xf numFmtId="0" fontId="0" fillId="3" borderId="21" xfId="0" applyFill="1" applyBorder="1" applyAlignment="1">
      <alignment horizontal="left"/>
    </xf>
    <xf numFmtId="0" fontId="0" fillId="3" borderId="3" xfId="0" applyFill="1" applyBorder="1"/>
    <xf numFmtId="0" fontId="0" fillId="3" borderId="45" xfId="0" applyFill="1" applyBorder="1"/>
    <xf numFmtId="0" fontId="5" fillId="0" borderId="1" xfId="1" applyBorder="1" applyAlignment="1">
      <alignment vertical="center" wrapText="1"/>
    </xf>
    <xf numFmtId="0" fontId="0" fillId="27" borderId="26" xfId="0" applyFill="1" applyBorder="1"/>
    <xf numFmtId="4" fontId="0" fillId="10" borderId="11" xfId="0" applyNumberFormat="1" applyFill="1" applyBorder="1"/>
    <xf numFmtId="0" fontId="0" fillId="2" borderId="25" xfId="0" applyFill="1" applyBorder="1" applyAlignment="1">
      <alignment wrapText="1"/>
    </xf>
    <xf numFmtId="0" fontId="0" fillId="26" borderId="25" xfId="0" applyFill="1" applyBorder="1" applyAlignment="1">
      <alignment vertical="center" wrapText="1"/>
    </xf>
    <xf numFmtId="0" fontId="0" fillId="26" borderId="42" xfId="0" applyFill="1" applyBorder="1" applyAlignment="1">
      <alignment wrapText="1"/>
    </xf>
    <xf numFmtId="0" fontId="1" fillId="12" borderId="7" xfId="0" applyFont="1" applyFill="1" applyBorder="1" applyAlignment="1">
      <alignment wrapText="1"/>
    </xf>
    <xf numFmtId="4" fontId="1" fillId="3" borderId="23" xfId="0" applyNumberFormat="1" applyFont="1" applyFill="1" applyBorder="1" applyAlignment="1">
      <alignment horizontal="center" vertical="center" wrapText="1"/>
    </xf>
    <xf numFmtId="0" fontId="28" fillId="12" borderId="0" xfId="0" applyFont="1" applyFill="1" applyAlignment="1">
      <alignment horizontal="left" wrapText="1"/>
    </xf>
    <xf numFmtId="0" fontId="0" fillId="12" borderId="0" xfId="0" applyFill="1" applyAlignment="1">
      <alignment horizontal="left" vertical="center" wrapText="1"/>
    </xf>
    <xf numFmtId="0" fontId="40" fillId="12" borderId="0" xfId="0" applyFont="1" applyFill="1"/>
    <xf numFmtId="0" fontId="0" fillId="12" borderId="9" xfId="0" applyFill="1" applyBorder="1" applyAlignment="1">
      <alignment vertical="center" wrapText="1"/>
    </xf>
    <xf numFmtId="0" fontId="0" fillId="12" borderId="25" xfId="0" applyFill="1" applyBorder="1" applyAlignment="1">
      <alignment horizontal="left" vertical="center" wrapText="1"/>
    </xf>
    <xf numFmtId="3" fontId="0" fillId="10" borderId="11" xfId="0" applyNumberFormat="1" applyFill="1" applyBorder="1" applyAlignment="1">
      <alignment vertical="top" wrapText="1"/>
    </xf>
    <xf numFmtId="3" fontId="1" fillId="3" borderId="23" xfId="0" applyNumberFormat="1" applyFont="1" applyFill="1" applyBorder="1" applyAlignment="1">
      <alignment horizontal="right" vertical="center" wrapText="1"/>
    </xf>
    <xf numFmtId="3" fontId="0" fillId="3" borderId="53" xfId="0" applyNumberFormat="1" applyFill="1" applyBorder="1" applyAlignment="1">
      <alignment horizontal="right" vertical="center" wrapText="1"/>
    </xf>
    <xf numFmtId="3" fontId="0" fillId="10" borderId="8" xfId="0" applyNumberFormat="1" applyFill="1" applyBorder="1" applyAlignment="1">
      <alignment horizontal="right" vertical="center" wrapText="1"/>
    </xf>
    <xf numFmtId="4" fontId="1" fillId="3" borderId="23" xfId="0" applyNumberFormat="1" applyFont="1" applyFill="1" applyBorder="1" applyAlignment="1">
      <alignment horizontal="center" vertical="center"/>
    </xf>
    <xf numFmtId="0" fontId="0" fillId="12" borderId="9" xfId="0" applyFill="1" applyBorder="1" applyAlignment="1">
      <alignment horizontal="left" wrapText="1"/>
    </xf>
    <xf numFmtId="0" fontId="0" fillId="12" borderId="25" xfId="0" applyFill="1" applyBorder="1" applyAlignment="1">
      <alignment vertical="top" wrapText="1"/>
    </xf>
    <xf numFmtId="3" fontId="0" fillId="10" borderId="53" xfId="0" applyNumberFormat="1" applyFill="1" applyBorder="1" applyAlignment="1">
      <alignment horizontal="right" vertical="center" wrapText="1"/>
    </xf>
    <xf numFmtId="3" fontId="0" fillId="0" borderId="53" xfId="0" applyNumberFormat="1" applyBorder="1" applyAlignment="1">
      <alignment horizontal="right" vertical="center" wrapText="1"/>
    </xf>
    <xf numFmtId="0" fontId="0" fillId="0" borderId="9" xfId="0" applyBorder="1" applyAlignment="1">
      <alignment vertical="top" wrapText="1"/>
    </xf>
    <xf numFmtId="0" fontId="0" fillId="0" borderId="25" xfId="0" applyBorder="1" applyAlignment="1">
      <alignment vertical="top" wrapText="1"/>
    </xf>
    <xf numFmtId="3" fontId="0" fillId="10" borderId="53" xfId="0" applyNumberFormat="1" applyFill="1" applyBorder="1" applyAlignment="1">
      <alignment horizontal="right" vertical="top" wrapText="1"/>
    </xf>
    <xf numFmtId="3" fontId="0" fillId="10" borderId="8" xfId="0" applyNumberFormat="1" applyFill="1" applyBorder="1" applyAlignment="1">
      <alignment horizontal="right" vertical="top" wrapText="1"/>
    </xf>
    <xf numFmtId="3" fontId="1" fillId="3" borderId="23" xfId="0" applyNumberFormat="1" applyFont="1" applyFill="1" applyBorder="1" applyAlignment="1">
      <alignment horizontal="right" vertical="top" wrapText="1"/>
    </xf>
    <xf numFmtId="0" fontId="0" fillId="12" borderId="58" xfId="0" applyFill="1" applyBorder="1" applyAlignment="1">
      <alignment wrapText="1"/>
    </xf>
    <xf numFmtId="4" fontId="13" fillId="3" borderId="23" xfId="0" applyNumberFormat="1" applyFont="1" applyFill="1" applyBorder="1" applyAlignment="1">
      <alignment horizontal="center" vertical="center" wrapText="1"/>
    </xf>
    <xf numFmtId="0" fontId="0" fillId="28" borderId="1" xfId="0" applyFill="1" applyBorder="1"/>
    <xf numFmtId="0" fontId="1" fillId="12" borderId="0" xfId="0" applyFont="1" applyFill="1" applyAlignment="1">
      <alignment vertical="center"/>
    </xf>
    <xf numFmtId="0" fontId="16" fillId="23" borderId="1" xfId="0" applyFont="1" applyFill="1" applyBorder="1" applyAlignment="1">
      <alignment horizontal="center" vertical="top" wrapText="1"/>
    </xf>
    <xf numFmtId="0" fontId="43" fillId="22" borderId="9" xfId="0" applyFont="1" applyFill="1" applyBorder="1" applyAlignment="1">
      <alignment horizontal="center" vertical="center" wrapText="1"/>
    </xf>
    <xf numFmtId="0" fontId="0" fillId="12" borderId="59" xfId="0" applyFill="1" applyBorder="1"/>
    <xf numFmtId="0" fontId="0" fillId="12" borderId="60" xfId="0" applyFill="1" applyBorder="1"/>
    <xf numFmtId="0" fontId="2" fillId="12" borderId="9" xfId="0" applyFont="1" applyFill="1" applyBorder="1" applyAlignment="1">
      <alignment wrapText="1"/>
    </xf>
    <xf numFmtId="0" fontId="15" fillId="6" borderId="7" xfId="0" applyFont="1" applyFill="1" applyBorder="1" applyAlignment="1">
      <alignment vertical="top" wrapText="1"/>
    </xf>
    <xf numFmtId="0" fontId="0" fillId="23" borderId="1" xfId="0" quotePrefix="1" applyFill="1" applyBorder="1" applyAlignment="1">
      <alignment vertical="top" wrapText="1"/>
    </xf>
    <xf numFmtId="0" fontId="0" fillId="12" borderId="0" xfId="0" applyFill="1" applyAlignment="1">
      <alignment vertical="top"/>
    </xf>
    <xf numFmtId="4" fontId="16" fillId="9" borderId="1" xfId="0" applyNumberFormat="1" applyFont="1" applyFill="1" applyBorder="1" applyAlignment="1">
      <alignment horizontal="center" vertical="center" wrapText="1"/>
    </xf>
    <xf numFmtId="0" fontId="5" fillId="12" borderId="11" xfId="1" applyFill="1" applyBorder="1" applyAlignment="1">
      <alignment horizontal="left" vertical="center"/>
    </xf>
    <xf numFmtId="0" fontId="0" fillId="0" borderId="8" xfId="0" applyBorder="1"/>
    <xf numFmtId="0" fontId="5" fillId="12" borderId="11" xfId="1" applyFill="1" applyBorder="1" applyAlignment="1">
      <alignment vertical="center"/>
    </xf>
    <xf numFmtId="0" fontId="0" fillId="12" borderId="53" xfId="0" applyFill="1" applyBorder="1"/>
    <xf numFmtId="0" fontId="5" fillId="0" borderId="11" xfId="1" applyBorder="1" applyAlignment="1">
      <alignment vertical="center"/>
    </xf>
    <xf numFmtId="0" fontId="0" fillId="12" borderId="25" xfId="0" applyFill="1" applyBorder="1"/>
    <xf numFmtId="3" fontId="0" fillId="23" borderId="8" xfId="0" applyNumberFormat="1" applyFill="1" applyBorder="1" applyAlignment="1">
      <alignment wrapText="1"/>
    </xf>
    <xf numFmtId="0" fontId="16" fillId="21" borderId="0" xfId="0" applyFont="1" applyFill="1" applyAlignment="1">
      <alignment horizontal="center"/>
    </xf>
    <xf numFmtId="0" fontId="34" fillId="12" borderId="0" xfId="0" applyFont="1" applyFill="1" applyAlignment="1">
      <alignment horizontal="left" vertical="center" wrapText="1"/>
    </xf>
  </cellXfs>
  <cellStyles count="3">
    <cellStyle name="Comma" xfId="2" builtinId="3"/>
    <cellStyle name="Hyperlink" xfId="1" builtinId="8"/>
    <cellStyle name="Normal" xfId="0" builtinId="0"/>
  </cellStyles>
  <dxfs count="121">
    <dxf>
      <fill>
        <patternFill>
          <bgColor rgb="FFFFFF00"/>
        </patternFill>
      </fill>
    </dxf>
    <dxf>
      <fill>
        <patternFill>
          <bgColor rgb="FFFFFF00"/>
        </patternFill>
      </fill>
    </dxf>
    <dxf>
      <font>
        <color theme="0"/>
      </font>
      <fill>
        <patternFill>
          <fgColor theme="0"/>
          <bgColor theme="0"/>
        </patternFill>
      </fill>
    </dxf>
    <dxf>
      <font>
        <color theme="0"/>
      </font>
      <fill>
        <patternFill>
          <fgColor theme="0"/>
          <bgColor theme="0"/>
        </patternFill>
      </fill>
    </dxf>
    <dxf>
      <font>
        <color theme="0"/>
      </font>
      <fill>
        <patternFill patternType="solid">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bgColor theme="0"/>
        </patternFill>
      </fill>
      <border>
        <left/>
        <right/>
        <top/>
        <bottom/>
        <vertical/>
        <horizontal/>
      </border>
    </dxf>
    <dxf>
      <font>
        <color theme="0"/>
      </font>
      <fill>
        <patternFill patternType="lightUp">
          <bgColor theme="0"/>
        </patternFill>
      </fill>
    </dxf>
    <dxf>
      <font>
        <color theme="0"/>
      </font>
      <fill>
        <patternFill patternType="lightUp">
          <bgColor theme="0"/>
        </patternFill>
      </fill>
    </dxf>
    <dxf>
      <font>
        <color theme="0"/>
      </font>
      <fill>
        <patternFill patternType="lightUp">
          <bgColor theme="0"/>
        </patternFill>
      </fill>
    </dxf>
    <dxf>
      <fill>
        <patternFill patternType="lightUp">
          <bgColor theme="0"/>
        </patternFill>
      </fill>
    </dxf>
    <dxf>
      <fill>
        <patternFill>
          <bgColor theme="2" tint="-0.24994659260841701"/>
        </patternFill>
      </fill>
    </dxf>
    <dxf>
      <font>
        <color theme="0"/>
      </font>
      <fill>
        <patternFill>
          <bgColor rgb="FFC00000"/>
        </patternFill>
      </fill>
    </dxf>
    <dxf>
      <fill>
        <patternFill>
          <bgColor theme="9"/>
        </patternFill>
      </fill>
    </dxf>
    <dxf>
      <font>
        <color theme="0"/>
      </font>
      <fill>
        <patternFill>
          <bgColor rgb="FFC00000"/>
        </patternFill>
      </fill>
    </dxf>
    <dxf>
      <fill>
        <patternFill>
          <bgColor theme="2" tint="-0.24994659260841701"/>
        </patternFill>
      </fill>
    </dxf>
    <dxf>
      <fill>
        <patternFill>
          <bgColor theme="9" tint="0.39994506668294322"/>
        </patternFill>
      </fill>
    </dxf>
    <dxf>
      <font>
        <color theme="0"/>
      </font>
      <fill>
        <patternFill>
          <bgColor theme="0"/>
        </patternFill>
      </fill>
    </dxf>
    <dxf>
      <font>
        <color theme="0"/>
      </font>
      <fill>
        <patternFill>
          <bgColor theme="0"/>
        </patternFill>
      </fill>
    </dxf>
    <dxf>
      <font>
        <color theme="0"/>
      </font>
      <fill>
        <patternFill patternType="lightUp">
          <bgColor theme="0"/>
        </patternFill>
      </fill>
    </dxf>
    <dxf>
      <font>
        <color theme="0"/>
      </font>
      <fill>
        <patternFill patternType="lightUp">
          <bgColor theme="0"/>
        </patternFill>
      </fill>
    </dxf>
    <dxf>
      <font>
        <color theme="0"/>
      </font>
      <fill>
        <patternFill patternType="lightUp">
          <bgColor theme="0"/>
        </patternFill>
      </fill>
    </dxf>
    <dxf>
      <font>
        <color theme="0"/>
      </font>
      <fill>
        <patternFill patternType="lightUp">
          <bgColor theme="0"/>
        </patternFill>
      </fill>
    </dxf>
    <dxf>
      <font>
        <color theme="0"/>
      </font>
      <fill>
        <patternFill patternType="lightUp">
          <bgColor theme="0"/>
        </patternFill>
      </fill>
    </dxf>
    <dxf>
      <font>
        <color theme="0"/>
      </font>
      <fill>
        <patternFill patternType="lightUp">
          <fgColor auto="1"/>
          <bgColor theme="0"/>
        </patternFill>
      </fill>
    </dxf>
    <dxf>
      <font>
        <color theme="0"/>
      </font>
      <fill>
        <patternFill>
          <bgColor rgb="FFC00000"/>
        </patternFill>
      </fill>
    </dxf>
    <dxf>
      <fill>
        <patternFill>
          <bgColor theme="0" tint="-0.14996795556505021"/>
        </patternFill>
      </fill>
    </dxf>
    <dxf>
      <fill>
        <patternFill>
          <bgColor theme="9" tint="0.39994506668294322"/>
        </patternFill>
      </fill>
    </dxf>
    <dxf>
      <font>
        <color theme="0"/>
      </font>
      <fill>
        <patternFill>
          <fgColor theme="0"/>
          <bgColor theme="0"/>
        </patternFill>
      </fill>
    </dxf>
    <dxf>
      <font>
        <color theme="0"/>
      </font>
      <fill>
        <patternFill>
          <fgColor theme="0"/>
          <bgColor theme="0"/>
        </patternFill>
      </fill>
    </dxf>
    <dxf>
      <fill>
        <patternFill patternType="lightUp">
          <bgColor theme="0"/>
        </patternFill>
      </fill>
    </dxf>
    <dxf>
      <font>
        <color theme="0"/>
      </font>
      <fill>
        <patternFill patternType="lightUp">
          <bgColor theme="0"/>
        </patternFill>
      </fill>
    </dxf>
    <dxf>
      <font>
        <color theme="0"/>
      </font>
      <fill>
        <patternFill patternType="lightUp">
          <bgColor theme="0"/>
        </patternFill>
      </fill>
    </dxf>
    <dxf>
      <font>
        <color theme="0"/>
      </font>
      <fill>
        <patternFill patternType="lightUp">
          <bgColor theme="0" tint="-4.9989318521683403E-2"/>
        </patternFill>
      </fill>
    </dxf>
    <dxf>
      <fill>
        <patternFill>
          <bgColor theme="0" tint="-0.14996795556505021"/>
        </patternFill>
      </fill>
    </dxf>
    <dxf>
      <font>
        <color theme="0"/>
      </font>
      <fill>
        <patternFill>
          <bgColor rgb="FFC00000"/>
        </patternFill>
      </fill>
    </dxf>
    <dxf>
      <fill>
        <patternFill>
          <bgColor theme="9"/>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fgColor theme="0"/>
          <bgColor theme="0"/>
        </patternFill>
      </fill>
      <border>
        <left style="thin">
          <color theme="0"/>
        </left>
        <right style="thin">
          <color theme="0"/>
        </right>
        <top style="thin">
          <color theme="0"/>
        </top>
        <bottom style="thin">
          <color theme="0"/>
        </bottom>
        <vertical/>
        <horizontal/>
      </border>
    </dxf>
    <dxf>
      <numFmt numFmtId="0" formatCode="General"/>
    </dxf>
    <dxf>
      <numFmt numFmtId="0" formatCode="General"/>
    </dxf>
    <dxf>
      <numFmt numFmtId="0" formatCode="General"/>
    </dxf>
    <dxf>
      <numFmt numFmtId="27" formatCode="m/d/yyyy\ h:mm"/>
    </dxf>
    <dxf>
      <numFmt numFmtId="27" formatCode="m/d/yyyy\ h:mm"/>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30" formatCode="@"/>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center" vertical="top" textRotation="0" wrapText="0" indent="0" justifyLastLine="0" shrinkToFit="0" readingOrder="0"/>
      <border diagonalUp="0" diagonalDown="0" outline="0">
        <left style="thin">
          <color indexed="64"/>
        </left>
        <right style="thin">
          <color indexed="64"/>
        </right>
        <top/>
        <bottom/>
      </border>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27" formatCode="m/d/yyyy\ h:mm"/>
    </dxf>
    <dxf>
      <numFmt numFmtId="0" formatCode="General"/>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border diagonalUp="0" diagonalDown="0">
        <left/>
        <right style="thin">
          <color theme="1"/>
        </right>
        <top style="thin">
          <color theme="1"/>
        </top>
        <bottom/>
        <vertical/>
        <horizontal/>
      </border>
    </dxf>
    <dxf>
      <numFmt numFmtId="0" formatCode="General"/>
      <border diagonalUp="0" diagonalDown="0">
        <left/>
        <right/>
        <top style="thin">
          <color theme="1"/>
        </top>
        <bottom/>
        <vertical/>
        <horizontal/>
      </border>
    </dxf>
    <dxf>
      <numFmt numFmtId="0" formatCode="General"/>
      <border diagonalUp="0" diagonalDown="0">
        <left/>
        <right/>
        <top style="thin">
          <color theme="1"/>
        </top>
        <bottom/>
        <vertical/>
        <horizontal/>
      </border>
    </dxf>
    <dxf>
      <numFmt numFmtId="0" formatCode="General"/>
      <border diagonalUp="0" diagonalDown="0">
        <left/>
        <right/>
        <top style="thin">
          <color theme="1"/>
        </top>
        <bottom/>
        <vertical/>
        <horizontal/>
      </border>
    </dxf>
    <dxf>
      <numFmt numFmtId="0" formatCode="General"/>
    </dxf>
    <dxf>
      <numFmt numFmtId="0" formatCode="General"/>
    </dxf>
    <dxf>
      <numFmt numFmtId="0" formatCode="General"/>
    </dxf>
    <dxf>
      <numFmt numFmtId="0" formatCode="General"/>
    </dxf>
    <dxf>
      <numFmt numFmtId="0" formatCode="General"/>
    </dxf>
    <dxf>
      <numFmt numFmtId="30" formatCode="@"/>
    </dxf>
    <dxf>
      <font>
        <b/>
        <i val="0"/>
      </font>
    </dxf>
  </dxfs>
  <tableStyles count="1" defaultTableStyle="TableStyleMedium2" defaultPivotStyle="PivotStyleLight16">
    <tableStyle name="Plain_table" pivot="0" count="1" xr9:uid="{3C380F0B-99AB-4BF1-B394-FEC07F799AC5}">
      <tableStyleElement type="firstColumn" dxfId="120"/>
    </tableStyle>
  </tableStyles>
  <colors>
    <mruColors>
      <color rgb="FFCC0000"/>
      <color rgb="FFDEBC9A"/>
      <color rgb="FF663300"/>
      <color rgb="FFB05800"/>
      <color rgb="FF996633"/>
      <color rgb="FFC8670E"/>
      <color rgb="FFE8AF52"/>
      <color rgb="FFFF8E61"/>
      <color rgb="FFF8F8F8"/>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987079</xdr:colOff>
      <xdr:row>0</xdr:row>
      <xdr:rowOff>613409</xdr:rowOff>
    </xdr:to>
    <xdr:pic>
      <xdr:nvPicPr>
        <xdr:cNvPr id="2" name="Picture 1">
          <a:extLst>
            <a:ext uri="{FF2B5EF4-FFF2-40B4-BE49-F238E27FC236}">
              <a16:creationId xmlns:a16="http://schemas.microsoft.com/office/drawing/2014/main" id="{7813E3EF-AEC8-4308-8A7E-67B1FDCFAE2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969934" cy="6191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24</xdr:row>
      <xdr:rowOff>0</xdr:rowOff>
    </xdr:from>
    <xdr:to>
      <xdr:col>6</xdr:col>
      <xdr:colOff>76200</xdr:colOff>
      <xdr:row>33</xdr:row>
      <xdr:rowOff>114300</xdr:rowOff>
    </xdr:to>
    <xdr:sp macro="" textlink="">
      <xdr:nvSpPr>
        <xdr:cNvPr id="3" name="BUDGET_COMMENTS" descr="text box for comments">
          <a:extLst>
            <a:ext uri="{FF2B5EF4-FFF2-40B4-BE49-F238E27FC236}">
              <a16:creationId xmlns:a16="http://schemas.microsoft.com/office/drawing/2014/main" id="{3F58A9D4-BD95-E21B-40D7-4550A02F9EA5}"/>
            </a:ext>
          </a:extLst>
        </xdr:cNvPr>
        <xdr:cNvSpPr txBox="1"/>
      </xdr:nvSpPr>
      <xdr:spPr>
        <a:xfrm>
          <a:off x="66675" y="10144125"/>
          <a:ext cx="16430625" cy="1743075"/>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65</xdr:row>
      <xdr:rowOff>9525</xdr:rowOff>
    </xdr:from>
    <xdr:to>
      <xdr:col>6</xdr:col>
      <xdr:colOff>9525</xdr:colOff>
      <xdr:row>72</xdr:row>
      <xdr:rowOff>180975</xdr:rowOff>
    </xdr:to>
    <xdr:sp macro="" textlink="">
      <xdr:nvSpPr>
        <xdr:cNvPr id="2" name="RES_INDOOR_COMMENTS" descr="Box to provide comments on residential indoor budget">
          <a:extLst>
            <a:ext uri="{FF2B5EF4-FFF2-40B4-BE49-F238E27FC236}">
              <a16:creationId xmlns:a16="http://schemas.microsoft.com/office/drawing/2014/main" id="{E7F93756-1EF1-20DA-1246-5C2CB17B75A5}"/>
            </a:ext>
          </a:extLst>
        </xdr:cNvPr>
        <xdr:cNvSpPr txBox="1"/>
      </xdr:nvSpPr>
      <xdr:spPr>
        <a:xfrm>
          <a:off x="28575" y="8829675"/>
          <a:ext cx="13735050" cy="1504950"/>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89</xdr:row>
      <xdr:rowOff>0</xdr:rowOff>
    </xdr:from>
    <xdr:to>
      <xdr:col>5</xdr:col>
      <xdr:colOff>3038474</xdr:colOff>
      <xdr:row>96</xdr:row>
      <xdr:rowOff>171450</xdr:rowOff>
    </xdr:to>
    <xdr:sp macro="" textlink="">
      <xdr:nvSpPr>
        <xdr:cNvPr id="3" name="RES_OUTDOOR_COMMENTS" descr="Box to provide comments for residential outdoor budget">
          <a:extLst>
            <a:ext uri="{FF2B5EF4-FFF2-40B4-BE49-F238E27FC236}">
              <a16:creationId xmlns:a16="http://schemas.microsoft.com/office/drawing/2014/main" id="{2418B4C9-FECF-4811-95B3-C18E8311EF73}"/>
            </a:ext>
          </a:extLst>
        </xdr:cNvPr>
        <xdr:cNvSpPr txBox="1"/>
      </xdr:nvSpPr>
      <xdr:spPr>
        <a:xfrm>
          <a:off x="0" y="22183725"/>
          <a:ext cx="15516224" cy="1504950"/>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52</xdr:row>
      <xdr:rowOff>28575</xdr:rowOff>
    </xdr:from>
    <xdr:to>
      <xdr:col>5</xdr:col>
      <xdr:colOff>3038474</xdr:colOff>
      <xdr:row>60</xdr:row>
      <xdr:rowOff>9525</xdr:rowOff>
    </xdr:to>
    <xdr:sp macro="" textlink="">
      <xdr:nvSpPr>
        <xdr:cNvPr id="3" name="RES_OUTDOOR_COMMENTS" descr="Box to provide comments for residential outdoor budget">
          <a:extLst>
            <a:ext uri="{FF2B5EF4-FFF2-40B4-BE49-F238E27FC236}">
              <a16:creationId xmlns:a16="http://schemas.microsoft.com/office/drawing/2014/main" id="{D92D3DD4-5E4A-440A-A735-0BB9AC626C40}"/>
            </a:ext>
          </a:extLst>
        </xdr:cNvPr>
        <xdr:cNvSpPr txBox="1"/>
      </xdr:nvSpPr>
      <xdr:spPr>
        <a:xfrm>
          <a:off x="0" y="14763750"/>
          <a:ext cx="15516224" cy="1504950"/>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140</xdr:row>
      <xdr:rowOff>0</xdr:rowOff>
    </xdr:from>
    <xdr:to>
      <xdr:col>4</xdr:col>
      <xdr:colOff>1295400</xdr:colOff>
      <xdr:row>147</xdr:row>
      <xdr:rowOff>171450</xdr:rowOff>
    </xdr:to>
    <xdr:sp macro="" textlink="">
      <xdr:nvSpPr>
        <xdr:cNvPr id="2" name="RES_OUTDOOR_COMMENTS" descr="Box to provide comments for residential outdoor budget">
          <a:extLst>
            <a:ext uri="{FF2B5EF4-FFF2-40B4-BE49-F238E27FC236}">
              <a16:creationId xmlns:a16="http://schemas.microsoft.com/office/drawing/2014/main" id="{0536C30B-105C-4B3B-96A8-4EDA452E5ABF}"/>
            </a:ext>
          </a:extLst>
        </xdr:cNvPr>
        <xdr:cNvSpPr txBox="1"/>
      </xdr:nvSpPr>
      <xdr:spPr>
        <a:xfrm>
          <a:off x="0" y="25793700"/>
          <a:ext cx="15880080" cy="1451610"/>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34</xdr:row>
      <xdr:rowOff>190499</xdr:rowOff>
    </xdr:from>
    <xdr:to>
      <xdr:col>6</xdr:col>
      <xdr:colOff>19050</xdr:colOff>
      <xdr:row>48</xdr:row>
      <xdr:rowOff>171450</xdr:rowOff>
    </xdr:to>
    <xdr:sp macro="" textlink="">
      <xdr:nvSpPr>
        <xdr:cNvPr id="2" name="RO_BUDGET_COMMENTS" descr="Box to provide comments for residential outdoor budget">
          <a:extLst>
            <a:ext uri="{FF2B5EF4-FFF2-40B4-BE49-F238E27FC236}">
              <a16:creationId xmlns:a16="http://schemas.microsoft.com/office/drawing/2014/main" id="{6F16F2DA-375A-40CD-9A4B-55CD8B1A8D1E}"/>
            </a:ext>
          </a:extLst>
        </xdr:cNvPr>
        <xdr:cNvSpPr txBox="1"/>
      </xdr:nvSpPr>
      <xdr:spPr>
        <a:xfrm>
          <a:off x="0" y="13354049"/>
          <a:ext cx="16440150" cy="2638426"/>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4" xr16:uid="{2712AAAE-615F-4799-BCCE-3AACF6B8AB15}" autoFormatId="16" applyNumberFormats="0" applyBorderFormats="0" applyFontFormats="0" applyPatternFormats="0" applyAlignmentFormats="0" applyWidthHeightFormats="0">
  <queryTableRefresh nextId="11" unboundColumnsRight="4">
    <queryTableFields count="10">
      <queryTableField id="1" name="ORG_ID" tableColumnId="1"/>
      <queryTableField id="2" name="SUPPLIER_NAME" tableColumnId="2"/>
      <queryTableField id="3" name="PWSID" tableColumnId="3"/>
      <queryTableField id="4" name="PWS_NAME" tableColumnId="4"/>
      <queryTableField id="5" name="COUNTY" tableColumnId="5"/>
      <queryTableField id="6" name="WS_INCLUDED_YN" tableColumnId="6"/>
      <queryTableField id="7" dataBound="0" tableColumnId="7"/>
      <queryTableField id="8" dataBound="0" tableColumnId="8"/>
      <queryTableField id="9" dataBound="0" tableColumnId="9"/>
      <queryTableField id="10" dataBound="0" tableColumnId="1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5C415302-EE92-499F-B70D-7AAA66354BA0}" autoFormatId="16" applyNumberFormats="0" applyBorderFormats="0" applyFontFormats="0" applyPatternFormats="0" applyAlignmentFormats="0" applyWidthHeightFormats="0">
  <queryTableRefresh nextId="27" unboundColumnsRight="1">
    <queryTableFields count="11">
      <queryTableField id="17" name="ORG_ID" tableColumnId="10"/>
      <queryTableField id="18" name="SUPPLIER_NAME" tableColumnId="11"/>
      <queryTableField id="19" name="PWSID" tableColumnId="12"/>
      <queryTableField id="20" name="PWS_NAME" tableColumnId="13"/>
      <queryTableField id="21" name="COUNTY" tableColumnId="14"/>
      <queryTableField id="22" name="EFF_BEGIN_DT" tableColumnId="15"/>
      <queryTableField id="23" name="EFF_END_DT" tableColumnId="16"/>
      <queryTableField id="24" name="AVG_DAILY_CNT" tableColumnId="17"/>
      <queryTableField id="25" name="FY_START_DATE" tableColumnId="1"/>
      <queryTableField id="26" name="FY_END_DATE" tableColumnId="2"/>
      <queryTableField id="8" dataBound="0" tableColumnId="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1" xr16:uid="{17D0FA26-75A2-4DC6-AEC9-D18DF4DEB1E4}" autoFormatId="16" applyNumberFormats="0" applyBorderFormats="0" applyFontFormats="0" applyPatternFormats="0" applyAlignmentFormats="0" applyWidthHeightFormats="0">
  <queryTableRefresh nextId="71" unboundColumnsRight="10">
    <queryTableFields count="46">
      <queryTableField id="18" name="DWR_ID" tableColumnId="2"/>
      <queryTableField id="19" name="Supplier_Name" tableColumnId="3"/>
      <queryTableField id="37" name="Supplier_Number" tableColumnId="1"/>
      <queryTableField id="38" name="Supplier_ID" tableColumnId="21"/>
      <queryTableField id="39" name="Imagery_Year_Basis" tableColumnId="22"/>
      <queryTableField id="20" name="HCL_area_sqft" tableColumnId="4"/>
      <queryTableField id="21" name="Ag_area_sqft" tableColumnId="5"/>
      <queryTableField id="22" name="Pool_area_sqft" tableColumnId="6"/>
      <queryTableField id="23" name="Total_II_sqft" tableColumnId="7"/>
      <queryTableField id="24" name="Total_INI_sqft" tableColumnId="8"/>
      <queryTableField id="40" name="Total_NI_sqft" tableColumnId="23"/>
      <queryTableField id="41" name="Irrigable_area_sqft" tableColumnId="24"/>
      <queryTableField id="25" name="Alternative_Data_Provided" tableColumnId="9"/>
      <queryTableField id="26" name="Alternative_Data_Approval_Status" tableColumnId="10"/>
      <queryTableField id="42" name="Alternative_Data_Approval_Date" tableColumnId="25"/>
      <queryTableField id="43" name="Alternative_Data_Year_Basis" tableColumnId="26"/>
      <queryTableField id="27" name="HCL_area_sqft_Alternative" tableColumnId="11"/>
      <queryTableField id="28" name="Ag_area_sqft_Alternative" tableColumnId="12"/>
      <queryTableField id="29" name="Pool_area_sqft_Alternative" tableColumnId="13"/>
      <queryTableField id="30" name="Total_II_sqft_Alternative" tableColumnId="14"/>
      <queryTableField id="31" name="Total_INI_sqft_Alternative" tableColumnId="15"/>
      <queryTableField id="44" name="Total_NI_sqft_Alternative" tableColumnId="27"/>
      <queryTableField id="45" name="Irrigable_area_sqft_Alternative" tableColumnId="28"/>
      <queryTableField id="46" name="New_Res_Constr_Data_Provided" tableColumnId="29"/>
      <queryTableField id="47" name="New_Res_Constr_Approval_Status" tableColumnId="30"/>
      <queryTableField id="48" name="New_Res_Constr_Approval_Date" tableColumnId="31"/>
      <queryTableField id="49" name="New_Res_Constr_Data_Year_Basis" tableColumnId="32"/>
      <queryTableField id="50" name="New_Res_Constr_sqft" tableColumnId="33"/>
      <queryTableField id="51" name="New_Res_SLA_norec_sqft" tableColumnId="34"/>
      <queryTableField id="52" name="New_Res_SLA_rec_sqft" tableColumnId="35"/>
      <queryTableField id="53" name="Existing_Res_SLA_Data_Provided" tableColumnId="36"/>
      <queryTableField id="54" name="Existing_Res_SLA_Data_Approval_Status" tableColumnId="37"/>
      <queryTableField id="55" name="Existing_Res_SLA_Data_Approval_Date" tableColumnId="38"/>
      <queryTableField id="56" name="Existing_Res_SLA_Data_Year_Basis" tableColumnId="39"/>
      <queryTableField id="57" name="Existing_Res_SLA_norec_sqft" tableColumnId="40"/>
      <queryTableField id="58" name="Existing_Res_SLA_rec_sqft" tableColumnId="41"/>
      <queryTableField id="32" dataBound="0" tableColumnId="16"/>
      <queryTableField id="33" dataBound="0" tableColumnId="17"/>
      <queryTableField id="34" dataBound="0" tableColumnId="18"/>
      <queryTableField id="35" dataBound="0" tableColumnId="19"/>
      <queryTableField id="36" dataBound="0" tableColumnId="20"/>
      <queryTableField id="66" dataBound="0" tableColumnId="42"/>
      <queryTableField id="67" dataBound="0" tableColumnId="43"/>
      <queryTableField id="68" dataBound="0" tableColumnId="44"/>
      <queryTableField id="69" dataBound="0" tableColumnId="45"/>
      <queryTableField id="70" dataBound="0" tableColumnId="46"/>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3" connectionId="5" xr16:uid="{6C3EA096-C2A8-4D40-AADE-8E453600E2E5}" autoFormatId="16" applyNumberFormats="0" applyBorderFormats="0" applyFontFormats="0" applyPatternFormats="0" applyAlignmentFormats="0" applyWidthHeightFormats="0">
  <queryTableRefresh nextId="16" unboundColumnsRight="2">
    <queryTableFields count="13">
      <queryTableField id="3" name="DWR_ID" tableColumnId="3"/>
      <queryTableField id="4" name="Supplier_Name" tableColumnId="4"/>
      <queryTableField id="5" name="Eto_inches" tableColumnId="5"/>
      <queryTableField id="6" name="Total_Precipitation_inches" tableColumnId="6"/>
      <queryTableField id="7" name="Effective_Precipitation_inches" tableColumnId="7"/>
      <queryTableField id="8" name="Alternative_Data_Provided" tableColumnId="1"/>
      <queryTableField id="9" name="Alternative_Data_Approval_Status" tableColumnId="2"/>
      <queryTableField id="10" name="Eto_inches_Alternative" tableColumnId="8"/>
      <queryTableField id="11" name="Effective_Precipitation_inches_Alternative" tableColumnId="9"/>
      <queryTableField id="14" name="FY_START_DATE" tableColumnId="12"/>
      <queryTableField id="15" name="FY_END_DATE" tableColumnId="13"/>
      <queryTableField id="12" dataBound="0" tableColumnId="10"/>
      <queryTableField id="13" dataBound="0" tableColumnId="11"/>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2" connectionId="6" xr16:uid="{F8D65C79-494F-4D6B-97FA-EC1CD1EDB287}" autoFormatId="16" applyNumberFormats="0" applyBorderFormats="0" applyFontFormats="0" applyPatternFormats="0" applyAlignmentFormats="0" applyWidthHeightFormats="0">
  <queryTableRefresh nextId="12">
    <queryTableFields count="11">
      <queryTableField id="1" name="Supplier_Number" tableColumnId="1"/>
      <queryTableField id="2" name="Supplier_ID" tableColumnId="2"/>
      <queryTableField id="3" name="DWR_ID" tableColumnId="3"/>
      <queryTableField id="4" name="Supplier_Name" tableColumnId="4"/>
      <queryTableField id="5" name="Seasonal_Eto_inches" tableColumnId="5"/>
      <queryTableField id="6" name="Seasonal_Peff_inches" tableColumnId="6"/>
      <queryTableField id="7" name="Seasonal_Kc" tableColumnId="7"/>
      <queryTableField id="8" name="Seasonal_IE" tableColumnId="8"/>
      <queryTableField id="9" name="Seasonal_ETF" tableColumnId="9"/>
      <queryTableField id="10" name="FY_START_DATE" tableColumnId="10"/>
      <queryTableField id="11" name="FY_END_DATE" tableColumnId="11"/>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1" connectionId="3" xr16:uid="{B5693074-06DB-47B9-B24B-2A1867738F3C}" autoFormatId="16" applyNumberFormats="0" applyBorderFormats="0" applyFontFormats="0" applyPatternFormats="0" applyAlignmentFormats="0" applyWidthHeightFormats="0">
  <queryTableRefresh nextId="25" unboundColumnsRight="3">
    <queryTableFields count="24">
      <queryTableField id="1" name="ORG_ID" tableColumnId="1"/>
      <queryTableField id="2" name="SUPPLIER_NAME" tableColumnId="2"/>
      <queryTableField id="3" name="PWSID" tableColumnId="3"/>
      <queryTableField id="4" name="PWS_NAME" tableColumnId="4"/>
      <queryTableField id="5" name="REPORTING_PERIOD_START_DATE" tableColumnId="5"/>
      <queryTableField id="6" name="REPORTING_PERIOD_END_DATE" tableColumnId="6"/>
      <queryTableField id="7" name="RESIDENTIAL_SINGLEFAMILY_GAL" tableColumnId="7"/>
      <queryTableField id="8" name="RESIDENTIAL_MULTIFAMILY_GAL" tableColumnId="8"/>
      <queryTableField id="9" name="COMMERCIAL_INSTITUTIONAL_GAL" tableColumnId="9"/>
      <queryTableField id="10" name="NONRESIDENTIAL_METERED_IRRIGATION_GAL" tableColumnId="10"/>
      <queryTableField id="11" name="INDUSTRIAL_GAL" tableColumnId="11"/>
      <queryTableField id="12" name="OTHER_GAL" tableColumnId="12"/>
      <queryTableField id="13" name="AGRICULTURE_GAL" tableColumnId="13"/>
      <queryTableField id="14" name="NONPOTABLE_DEMAND_RESIDENTIAL_RECYCLED_WATER_GAL" tableColumnId="14"/>
      <queryTableField id="15" name="NONPOTABLE_DEMAND_RESIDENTIAL_NONPOTABLE_WATER_GAL" tableColumnId="15"/>
      <queryTableField id="16" name="NONPOTABLE_DEMAND_RESIDENTIAL_METERED_LANDSCAPE_IRRIGATION_GAL" tableColumnId="16"/>
      <queryTableField id="17" name="NONPOTABLE_DEMAND_NONRESIDENTIAL_RECYCLED_WATER_GAL" tableColumnId="17"/>
      <queryTableField id="18" name="NONPOTABLE_DEMAND_NONRESIDENTIAL_NONPOTABLE_WATER_GAL" tableColumnId="18"/>
      <queryTableField id="19" name="NONPOTABLE_DEMAND_NONRESIDENTIAL_METERED_IRRIGATION_GAL" tableColumnId="19"/>
      <queryTableField id="23" name="FY_START_DATE" tableColumnId="23"/>
      <queryTableField id="24" name="FY_END_DATE" tableColumnId="24"/>
      <queryTableField id="20" dataBound="0" tableColumnId="20"/>
      <queryTableField id="21" dataBound="0" tableColumnId="21"/>
      <queryTableField id="22" dataBound="0" tableColumnId="2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681286C-274F-49C9-83EF-D977C91F0C2A}" name="CW_API_TABLE" displayName="CW_API_TABLE" ref="A1:J530" tableType="queryTable" totalsRowShown="0">
  <autoFilter ref="A1:J530" xr:uid="{D681286C-274F-49C9-83EF-D977C91F0C2A}"/>
  <tableColumns count="10">
    <tableColumn id="1" xr3:uid="{D46C49C7-B47B-49C7-8207-43EBF6F8FE44}" uniqueName="1" name="ORG_ID" queryTableFieldId="1" dataDxfId="119"/>
    <tableColumn id="2" xr3:uid="{DC1736BA-5F92-4EC5-AEC6-984F84A09365}" uniqueName="2" name="SUPPLIER_NAME" queryTableFieldId="2" dataDxfId="118"/>
    <tableColumn id="3" xr3:uid="{3E03076D-E394-4E25-A495-CFF37D24B140}" uniqueName="3" name="PWSID" queryTableFieldId="3" dataDxfId="117"/>
    <tableColumn id="4" xr3:uid="{73725911-8019-4EA0-92D5-1D080058B40F}" uniqueName="4" name="PWS_NAME" queryTableFieldId="4" dataDxfId="116"/>
    <tableColumn id="5" xr3:uid="{87879A73-5F7F-4AA7-BBA3-CC7EE3E9DE65}" uniqueName="5" name="COUNTY" queryTableFieldId="5" dataDxfId="115"/>
    <tableColumn id="6" xr3:uid="{69CA2B54-4D79-4CFC-8CA2-4B78CA29A966}" uniqueName="6" name="WS_INCLUDED_YN" queryTableFieldId="6" dataDxfId="114"/>
    <tableColumn id="7" xr3:uid="{786AEF62-324E-4F80-BFA0-AA2D9A3A7E05}" uniqueName="7" name="Has LAM?" queryTableFieldId="7" dataDxfId="113">
      <calculatedColumnFormula array="1">IF(IFERROR(INDEX(LAM_II_SQFT, MATCH(Crosswalk_API!$A2, LAM_ORG_ID_LIST, 0)), 0) = 0, "No", "Yes")</calculatedColumnFormula>
    </tableColumn>
    <tableColumn id="8" xr3:uid="{205C19DF-734D-4E89-8C79-A6DBF5670E9D}" uniqueName="8" name="Include?" queryTableFieldId="8" dataDxfId="112">
      <calculatedColumnFormula>IF(OR(G2="Not Applicable", IFERROR(INDEX('Landing Page and Navigation'!$F$31:$F$48, MATCH(C2, 'Landing Page and Navigation'!$A$31:$A$48, 0)), "No") = "No"), "No", "Yes")</calculatedColumnFormula>
    </tableColumn>
    <tableColumn id="9" xr3:uid="{709C9375-E14F-4B8F-AE91-D04C530C2684}" uniqueName="9" name="PWSID + PWS_NAME" queryTableFieldId="9" dataDxfId="111">
      <calculatedColumnFormula>_xlfn.TEXTJOIN(" - ", TRUE, CW_API_TABLE[[#This Row],[PWSID]],CW_API_TABLE[[#This Row],[PWS_NAME]])</calculatedColumnFormula>
    </tableColumn>
    <tableColumn id="10" xr3:uid="{BEFD87FE-7EEF-4719-98D6-3976E08FD090}" uniqueName="10" name="N_Months_with_nonzero" queryTableFieldId="10" dataDxfId="110">
      <calculatedColumnFormula array="1">IFERROR(SUMPRODUCT((PD_PWSID_LIST=Crosswalk_API!$C2)*(PD_SUM_DEL&gt;0)), 0)</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F669B17-9124-4474-BA9D-5786D737FCC8}" name="POP_API_TABLE" displayName="POP_API_TABLE" ref="A1:K530" tableType="queryTable" totalsRowShown="0">
  <autoFilter ref="A1:K530" xr:uid="{BF669B17-9124-4474-BA9D-5786D737FCC8}"/>
  <tableColumns count="11">
    <tableColumn id="10" xr3:uid="{82054975-DF3C-41F0-9450-70172ACB259D}" uniqueName="10" name="ORG_ID" queryTableFieldId="17" dataDxfId="109"/>
    <tableColumn id="11" xr3:uid="{D1DBD80D-341D-4D4C-9903-3D9C9BCCF9AE}" uniqueName="11" name="SUPPLIER_NAME" queryTableFieldId="18" dataDxfId="108"/>
    <tableColumn id="12" xr3:uid="{8520BA24-9685-4F01-B687-B5560AABC5E0}" uniqueName="12" name="PWSID" queryTableFieldId="19" dataDxfId="107"/>
    <tableColumn id="13" xr3:uid="{14D5C456-F50E-4CC0-9A40-79B726342723}" uniqueName="13" name="PWS_NAME" queryTableFieldId="20" dataDxfId="106"/>
    <tableColumn id="14" xr3:uid="{64885708-9B56-476A-A221-7974ADD22B17}" uniqueName="14" name="COUNTY" queryTableFieldId="21" dataDxfId="105"/>
    <tableColumn id="15" xr3:uid="{5137F2E2-7177-4151-AC15-678FC8271604}" uniqueName="15" name="EFF_BEGIN_DT" queryTableFieldId="22" dataDxfId="104"/>
    <tableColumn id="16" xr3:uid="{D7E23F53-3E60-407E-85D4-31B2CECB4EEA}" uniqueName="16" name="EFF_END_DT" queryTableFieldId="23" dataDxfId="103"/>
    <tableColumn id="17" xr3:uid="{A7B463B8-A6F7-409B-B316-8DEFCCDAE95B}" uniqueName="17" name="AVG_DAILY_CNT" queryTableFieldId="24" dataDxfId="102"/>
    <tableColumn id="1" xr3:uid="{0C431262-88B5-422C-8739-E2ACF983E851}" uniqueName="1" name="FY_START_DATE" queryTableFieldId="25" dataDxfId="101"/>
    <tableColumn id="2" xr3:uid="{2B701422-DB74-4DFE-985A-157FF58C470C}" uniqueName="2" name="FY_END_DATE" queryTableFieldId="26" dataDxfId="100"/>
    <tableColumn id="8" xr3:uid="{CF076E6D-3577-4E74-96D9-0C849692CDA7}" uniqueName="8" name="include?" queryTableFieldId="8" dataDxfId="99">
      <calculatedColumnFormula>IFERROR(INDEX(Crosswalk_API!$H$2:$H$527, MATCH(POP_API_TABLE[[#This Row],[PWSID]], CW_PWSID_LIST, 0)), "")</calculatedColumnFormula>
    </tableColumn>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59735EA-005B-4E8A-A946-5368C0EFE4D4}" name="LAM_API_TABLE" displayName="LAM_API_TABLE" ref="A1:AT410" tableType="queryTable" totalsRowShown="0">
  <autoFilter ref="A1:AT410" xr:uid="{559735EA-005B-4E8A-A946-5368C0EFE4D4}"/>
  <tableColumns count="46">
    <tableColumn id="2" xr3:uid="{EE9741C8-BCAB-47AA-B444-845110BCB34B}" uniqueName="2" name="DWR_ID" queryTableFieldId="18" dataDxfId="98"/>
    <tableColumn id="3" xr3:uid="{AE072C1E-391F-48F9-ACCD-4C71DF841333}" uniqueName="3" name="Supplier_Name" queryTableFieldId="19" dataDxfId="97"/>
    <tableColumn id="1" xr3:uid="{DF80E387-857B-4EEB-97C9-A65C08B47241}" uniqueName="1" name="Supplier_Number" queryTableFieldId="37"/>
    <tableColumn id="21" xr3:uid="{F33E3FFE-E91E-4CCB-ADFE-572CDF0EF5B6}" uniqueName="21" name="Supplier_ID" queryTableFieldId="38"/>
    <tableColumn id="22" xr3:uid="{EAF8985B-2152-428E-A9EB-C887B59A76F5}" uniqueName="22" name="Imagery_Year_Basis" queryTableFieldId="39"/>
    <tableColumn id="4" xr3:uid="{50197441-83EA-40E7-9159-F6D83C86CEEC}" uniqueName="4" name="HCL_area_sqft" queryTableFieldId="20" dataDxfId="96"/>
    <tableColumn id="5" xr3:uid="{2BBA40E7-CA2E-435D-BE7F-2E6D7DC92372}" uniqueName="5" name="Ag_area_sqft" queryTableFieldId="21" dataDxfId="95"/>
    <tableColumn id="6" xr3:uid="{D7C90C03-AB71-45CD-BFB8-60D619E3F388}" uniqueName="6" name="Pool_area_sqft" queryTableFieldId="22" dataDxfId="94"/>
    <tableColumn id="7" xr3:uid="{DF5AA035-3B5C-4BA5-A474-C0A5C357D12E}" uniqueName="7" name="Total_II_sqft" queryTableFieldId="23" dataDxfId="93"/>
    <tableColumn id="8" xr3:uid="{0B5CF8FC-F976-4FE1-8734-ABB4AD7CA593}" uniqueName="8" name="Total_INI_sqft" queryTableFieldId="24" dataDxfId="92"/>
    <tableColumn id="23" xr3:uid="{58B09FC8-F222-47F9-845A-DFA565B618DB}" uniqueName="23" name="Total_NI_sqft" queryTableFieldId="40"/>
    <tableColumn id="24" xr3:uid="{341FCBDC-0692-498C-A43F-216A4D00C847}" uniqueName="24" name="Irrigable_area_sqft" queryTableFieldId="41"/>
    <tableColumn id="9" xr3:uid="{BB489B7B-F50A-4582-B459-880F80301E5C}" uniqueName="9" name="Alternative_Data_Provided" queryTableFieldId="25" dataDxfId="91"/>
    <tableColumn id="10" xr3:uid="{82DDD746-BE6A-43C7-8682-CC4F3DD244BE}" uniqueName="10" name="Alternative_Data_Approval_Status" queryTableFieldId="26" dataDxfId="90"/>
    <tableColumn id="25" xr3:uid="{04F2051E-A48C-4584-9451-0A2EF6400B53}" uniqueName="25" name="Alternative_Data_Approval_Date" queryTableFieldId="42"/>
    <tableColumn id="26" xr3:uid="{1828B51E-7C59-47F5-8B04-47314CF4C812}" uniqueName="26" name="Alternative_Data_Year_Basis" queryTableFieldId="43"/>
    <tableColumn id="11" xr3:uid="{70EF918F-6E5C-4B50-BB95-A80E5F55A5FC}" uniqueName="11" name="HCL_area_sqft_Alternative" queryTableFieldId="27" dataDxfId="89"/>
    <tableColumn id="12" xr3:uid="{3CEDFDA2-E73F-4BF5-B2F2-09E4AC0AB269}" uniqueName="12" name="Ag_area_sqft_Alternative" queryTableFieldId="28" dataDxfId="88"/>
    <tableColumn id="13" xr3:uid="{AAF9D466-174F-44D8-8D53-3832429EEE29}" uniqueName="13" name="Pool_area_sqft_Alternative" queryTableFieldId="29" dataDxfId="87"/>
    <tableColumn id="14" xr3:uid="{F516ED4D-F0F7-4CA5-BA85-F875F0472AEF}" uniqueName="14" name="Total_II_sqft_Alternative" queryTableFieldId="30" dataDxfId="86"/>
    <tableColumn id="15" xr3:uid="{660E4C7B-79C7-4670-A840-A8C1AACB3CB0}" uniqueName="15" name="Total_INI_sqft_Alternative" queryTableFieldId="31" dataDxfId="85"/>
    <tableColumn id="27" xr3:uid="{2AFCBA42-439C-4E4F-8C3B-966B878B3C25}" uniqueName="27" name="Total_NI_sqft_Alternative" queryTableFieldId="44"/>
    <tableColumn id="28" xr3:uid="{BDB22A45-EFDC-4776-9205-4C16AF182AF8}" uniqueName="28" name="Irrigable_area_sqft_Alternative" queryTableFieldId="45"/>
    <tableColumn id="29" xr3:uid="{FAB5B94D-0C02-4FED-9999-24EECBAF95F8}" uniqueName="29" name="New_Res_Constr_Data_Provided" queryTableFieldId="46"/>
    <tableColumn id="30" xr3:uid="{AA86D7FA-88A2-439E-AA9B-C9CD49B4B4EC}" uniqueName="30" name="New_Res_Constr_Approval_Status" queryTableFieldId="47"/>
    <tableColumn id="31" xr3:uid="{0E6B9C4A-50EE-49AC-B237-81B527118AF2}" uniqueName="31" name="New_Res_Constr_Approval_Date" queryTableFieldId="48"/>
    <tableColumn id="32" xr3:uid="{9F88E8C9-E60E-4211-8C21-E5ED8EB00EFB}" uniqueName="32" name="New_Res_Constr_Data_Year_Basis" queryTableFieldId="49"/>
    <tableColumn id="33" xr3:uid="{6FC311D4-D17A-4F89-8914-531108A4D931}" uniqueName="33" name="New_Res_Constr_sqft" queryTableFieldId="50"/>
    <tableColumn id="34" xr3:uid="{B6A1C30B-C2C6-4771-995D-C78C3ACBDE76}" uniqueName="34" name="New_Res_SLA_norec_sqft" queryTableFieldId="51"/>
    <tableColumn id="35" xr3:uid="{B98AE86E-C7AB-439E-97C2-D2108237C3E3}" uniqueName="35" name="New_Res_SLA_rec_sqft" queryTableFieldId="52"/>
    <tableColumn id="36" xr3:uid="{B76D8914-BB5D-450D-A32C-11662F49569B}" uniqueName="36" name="Existing_Res_SLA_Data_Provided" queryTableFieldId="53"/>
    <tableColumn id="37" xr3:uid="{B4DB3A3A-0936-4010-91E4-51412BB2D43D}" uniqueName="37" name="Existing_Res_SLA_Data_Approval_Status" queryTableFieldId="54"/>
    <tableColumn id="38" xr3:uid="{8CCD855F-F6B1-4969-9577-C109DFF97F3B}" uniqueName="38" name="Existing_Res_SLA_Data_Approval_Date" queryTableFieldId="55"/>
    <tableColumn id="39" xr3:uid="{6C3E22FB-C88D-4016-A59D-61F42F285197}" uniqueName="39" name="Existing_Res_SLA_Data_Year_Basis" queryTableFieldId="56"/>
    <tableColumn id="40" xr3:uid="{5985101B-BF0A-4C03-A2E4-4972A8A9C4A1}" uniqueName="40" name="Existing_Res_SLA_norec_sqft" queryTableFieldId="57"/>
    <tableColumn id="41" xr3:uid="{C5D8C6D5-1D16-43B2-974D-9107A6794C9E}" uniqueName="41" name="Existing_Res_SLA_rec_sqft" queryTableFieldId="58"/>
    <tableColumn id="16" xr3:uid="{D3E23B83-685B-4048-9206-E5D54CD9B91B}" uniqueName="16" name="HCL_FINAL" queryTableFieldId="32" dataDxfId="84">
      <calculatedColumnFormula>IF(LAM_API_TABLE[[#This Row],[Alternative_Data_Approval_Status]]="Approved",LAM_API_TABLE[[#This Row],[HCL_area_sqft_Alternative]],LAM_API_TABLE[[#This Row],[HCL_area_sqft]])</calculatedColumnFormula>
    </tableColumn>
    <tableColumn id="17" xr3:uid="{41409DD7-5C99-4DB9-B598-2F9A2A3B248B}" uniqueName="17" name="AG_FINAL" queryTableFieldId="33" dataDxfId="83">
      <calculatedColumnFormula>IF(LAM_API_TABLE[[#This Row],[Alternative_Data_Approval_Status]]="Approved",LAM_API_TABLE[[#This Row],[Ag_area_sqft_Alternative]],LAM_API_TABLE[[#This Row],[Ag_area_sqft]])</calculatedColumnFormula>
    </tableColumn>
    <tableColumn id="18" xr3:uid="{6A1AB52B-6818-4620-A271-CA46014B1763}" uniqueName="18" name="POOL_FINAL" queryTableFieldId="34" dataDxfId="82">
      <calculatedColumnFormula>IF(LAM_API_TABLE[[#This Row],[Alternative_Data_Approval_Status]]="Approved",LAM_API_TABLE[[#This Row],[Pool_area_sqft_Alternative]],LAM_API_TABLE[[#This Row],[Pool_area_sqft]])</calculatedColumnFormula>
    </tableColumn>
    <tableColumn id="19" xr3:uid="{1CAB1830-3318-43D1-8631-759CDA2A34A3}" uniqueName="19" name="II_FINAL" queryTableFieldId="35" dataDxfId="81">
      <calculatedColumnFormula>IF(LAM_API_TABLE[[#This Row],[Alternative_Data_Approval_Status]]="Approved",LAM_API_TABLE[[#This Row],[Total_II_sqft_Alternative]],LAM_API_TABLE[[#This Row],[Total_II_sqft]])</calculatedColumnFormula>
    </tableColumn>
    <tableColumn id="20" xr3:uid="{C0AB4559-CADB-4565-8AD5-4238D19583AB}" uniqueName="20" name="INI_FINAL" queryTableFieldId="36" dataDxfId="80">
      <calculatedColumnFormula>IF(LAM_API_TABLE[[#This Row],[Alternative_Data_Approval_Status]]="Approved",LAM_API_TABLE[[#This Row],[Total_INI_sqft_Alternative]],LAM_API_TABLE[[#This Row],[Total_INI_sqft]])</calculatedColumnFormula>
    </tableColumn>
    <tableColumn id="42" xr3:uid="{2ED1D183-DB66-49F4-97A2-EBECA2D7882E}" uniqueName="42" name="NEW_RES_FINAL" queryTableFieldId="66" dataDxfId="79">
      <calculatedColumnFormula>IF(LAM_API_TABLE[[#This Row],[New_Res_Constr_Approval_Status]]="Approved",LAM_API_TABLE[[#This Row],[New_Res_Constr_sqft]],0)</calculatedColumnFormula>
    </tableColumn>
    <tableColumn id="43" xr3:uid="{542C3497-375A-4570-BB70-6CCF5A525CFE}" uniqueName="43" name="NEW_RES_NOREC_FINAL" queryTableFieldId="67" dataDxfId="78">
      <calculatedColumnFormula>IF(LAM_API_TABLE[[#This Row],[New_Res_Constr_Approval_Status]]="Approved",LAM_API_TABLE[[#This Row],[New_Res_SLA_norec_sqft]],0)</calculatedColumnFormula>
    </tableColumn>
    <tableColumn id="44" xr3:uid="{B92C8CE8-EA08-4B54-9356-4A5F7AE03755}" uniqueName="44" name="NEW_RES_REC_FINAL" queryTableFieldId="68" dataDxfId="77">
      <calculatedColumnFormula>IF(LAM_API_TABLE[[#This Row],[New_Res_Constr_Approval_Status]]="Approved",LAM_API_TABLE[[#This Row],[New_Res_SLA_rec_sqft]],0)</calculatedColumnFormula>
    </tableColumn>
    <tableColumn id="45" xr3:uid="{75E660C4-5547-413A-8716-4CF55DF09DA7}" uniqueName="45" name="SLA_NOREC_FINAL" queryTableFieldId="69" dataDxfId="76">
      <calculatedColumnFormula>IF(LAM_API_TABLE[[#This Row],[Existing_Res_SLA_Data_Approval_Status]]="Approved",LAM_API_TABLE[[#This Row],[Existing_Res_SLA_norec_sqft]],0)</calculatedColumnFormula>
    </tableColumn>
    <tableColumn id="46" xr3:uid="{2EB69EFE-66CC-463E-A3F9-E49BA353B699}" uniqueName="46" name="SLA_REC_FINAL" queryTableFieldId="70" dataDxfId="75">
      <calculatedColumnFormula>IF(LAM_API_TABLE[[#This Row],[Existing_Res_SLA_Data_Approval_Status]]="Approved",LAM_API_TABLE[[#This Row],[Existing_Res_SLA_rec_sqft]],0)</calculatedColumnFormula>
    </tableColumn>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FF8EA27-BDE5-489D-9DF1-A4E9E78456A4}" name="CLIMATE_API" displayName="CLIMATE_API" ref="A1:M410" tableType="queryTable" totalsRowShown="0">
  <autoFilter ref="A1:M410" xr:uid="{8FF8EA27-BDE5-489D-9DF1-A4E9E78456A4}"/>
  <tableColumns count="13">
    <tableColumn id="3" xr3:uid="{3D80C06A-EB88-41B8-AD4C-043898E6D142}" uniqueName="3" name="DWR_ID" queryTableFieldId="3" dataDxfId="74"/>
    <tableColumn id="4" xr3:uid="{2E7AC037-25AD-48C8-B865-3682395A2B39}" uniqueName="4" name="Supplier_Name" queryTableFieldId="4" dataDxfId="73"/>
    <tableColumn id="5" xr3:uid="{AB78283D-F119-4095-A235-95113FACD35C}" uniqueName="5" name="Eto_inches" queryTableFieldId="5"/>
    <tableColumn id="6" xr3:uid="{007175AB-3892-460C-B0A9-2A2C2A5E02C7}" uniqueName="6" name="Total_Precipitation_inches" queryTableFieldId="6"/>
    <tableColumn id="7" xr3:uid="{90F62AB0-688C-476E-A911-67EC249CCACE}" uniqueName="7" name="Effective_Precipitation_inches" queryTableFieldId="7"/>
    <tableColumn id="1" xr3:uid="{2434BDEE-C9E3-407E-9AFB-1B360237D98C}" uniqueName="1" name="Alternative_Data_Provided" queryTableFieldId="8" dataDxfId="72"/>
    <tableColumn id="2" xr3:uid="{9AF48AB1-488D-48AD-9160-0E4AFF1C1356}" uniqueName="2" name="Alternative_Data_Approval_Status" queryTableFieldId="9" dataDxfId="71"/>
    <tableColumn id="8" xr3:uid="{1938FB24-2580-47CC-9519-63D4D3A1C0FA}" uniqueName="8" name="Eto_inches_Alternative" queryTableFieldId="10"/>
    <tableColumn id="9" xr3:uid="{32224361-6C83-4392-A6F5-9358B10B0754}" uniqueName="9" name="Effective_Precipitation_inches_Alternative" queryTableFieldId="11"/>
    <tableColumn id="12" xr3:uid="{9329AA08-77CD-41D8-8155-FEF0026D7003}" uniqueName="12" name="FY_START_DATE" queryTableFieldId="14" dataDxfId="70"/>
    <tableColumn id="13" xr3:uid="{26F4F897-11D6-4F0D-B1A6-6F0DCFDA2F3E}" uniqueName="13" name="FY_END_DATE" queryTableFieldId="15" dataDxfId="69"/>
    <tableColumn id="10" xr3:uid="{55A0AFB2-F733-49BB-B01A-B47C7B783FFD}" uniqueName="10" name="PEFF_FINAL" queryTableFieldId="12" dataDxfId="68">
      <calculatedColumnFormula>IF(CLIMATE_API[[#This Row],[Alternative_Data_Approval_Status]]="Approved",CLIMATE_API[[#This Row],[Effective_Precipitation_inches_Alternative]],CLIMATE_API[[#This Row],[Effective_Precipitation_inches]])</calculatedColumnFormula>
    </tableColumn>
    <tableColumn id="11" xr3:uid="{BB58A4D1-EB68-4952-951B-6299F1D3F290}" uniqueName="11" name="ETO_FINAL" queryTableFieldId="13" dataDxfId="67">
      <calculatedColumnFormula>IF(CLIMATE_API[[#This Row],[Alternative_Data_Approval_Status]]="Approved",CLIMATE_API[[#This Row],[Eto_inches_Alternative]],CLIMATE_API[[#This Row],[Eto_inches]])</calculatedColumnFormula>
    </tableColumn>
  </tableColumns>
  <tableStyleInfo name="Plain_tabl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DE3EC75-F4D1-458A-B7DB-7E254EDFB4A1}" name="SEASONAL_API" displayName="SEASONAL_API" ref="A1:K410" tableType="queryTable" totalsRowShown="0">
  <autoFilter ref="A1:K410" xr:uid="{DDE3EC75-F4D1-458A-B7DB-7E254EDFB4A1}"/>
  <tableColumns count="11">
    <tableColumn id="1" xr3:uid="{172A4232-2F15-43B6-8B0D-D85B3C8D32F6}" uniqueName="1" name="Supplier_Number" queryTableFieldId="1"/>
    <tableColumn id="2" xr3:uid="{387710A4-DE37-4FEE-B669-4920C914F4E8}" uniqueName="2" name="Supplier_ID" queryTableFieldId="2" dataDxfId="66"/>
    <tableColumn id="3" xr3:uid="{CCD240C1-6874-4FA0-B30A-44B948D3D85C}" uniqueName="3" name="DWR_ID" queryTableFieldId="3" dataDxfId="65"/>
    <tableColumn id="4" xr3:uid="{46D019F4-EEA3-400A-A335-6A705D1B4905}" uniqueName="4" name="Supplier_Name" queryTableFieldId="4" dataDxfId="64"/>
    <tableColumn id="5" xr3:uid="{0D8391CB-7615-4004-B7C9-77F646D98D67}" uniqueName="5" name="Seasonal_Eto_inches" queryTableFieldId="5"/>
    <tableColumn id="6" xr3:uid="{E25A6AA9-166F-40CA-960F-737B26209716}" uniqueName="6" name="Seasonal_Peff_inches" queryTableFieldId="6"/>
    <tableColumn id="7" xr3:uid="{1CC8200D-9299-402C-872F-934A51BAA3A8}" uniqueName="7" name="Seasonal_Kc" queryTableFieldId="7"/>
    <tableColumn id="8" xr3:uid="{AB5B8C11-88FC-41F5-81D3-51B87836D777}" uniqueName="8" name="Seasonal_IE" queryTableFieldId="8"/>
    <tableColumn id="9" xr3:uid="{1B898905-8018-4495-AB79-58B6CDF16668}" uniqueName="9" name="Seasonal_ETF" queryTableFieldId="9"/>
    <tableColumn id="10" xr3:uid="{6B5FD3C0-83F0-4A50-BD75-8475D8DD0E7D}" uniqueName="10" name="FY_START_DATE" queryTableFieldId="10" dataDxfId="63"/>
    <tableColumn id="11" xr3:uid="{408E9DA3-9023-4ACC-84D0-B786A6260E52}" uniqueName="11" name="FY_END_DATE" queryTableFieldId="11" dataDxfId="62"/>
  </tableColumns>
  <tableStyleInfo name="Plain_tabl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092C8D6-7D2F-442C-B030-5F0AE20CD8C1}" name="CZ_TABLE" displayName="CZ_TABLE" ref="A1:D406" totalsRowShown="0" headerRowDxfId="61" headerRowBorderDxfId="60" tableBorderDxfId="59">
  <autoFilter ref="A1:D406" xr:uid="{A092C8D6-7D2F-442C-B030-5F0AE20CD8C1}">
    <filterColumn colId="0" hiddenButton="1"/>
    <filterColumn colId="1" hiddenButton="1"/>
    <filterColumn colId="2" hiddenButton="1"/>
    <filterColumn colId="3" hiddenButton="1"/>
  </autoFilter>
  <tableColumns count="4">
    <tableColumn id="1" xr3:uid="{716F58B8-7383-4C15-8C72-9E5301CC05B1}" name="[" dataDxfId="58"/>
    <tableColumn id="2" xr3:uid="{D38AB048-7D0E-43A6-8972-E82B4317DEBE}" name="SUPPLIER_NAME"/>
    <tableColumn id="5" xr3:uid="{F8D02F9C-B391-45F0-9B8C-C102A0B8DF0F}" name="CZ_NUMBER"/>
    <tableColumn id="3" xr3:uid="{2E7ACEFE-CEFB-45B3-BCFE-B74297CAB47E}" name="N_DAYS_PER_WEEK_WATER"/>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611AC9B-8A6B-4690-8D17-21482F4041FE}" name="POTABLE_NONPOTABLE_API" displayName="POTABLE_NONPOTABLE_API" ref="A1:X6313" tableType="queryTable" totalsRowShown="0">
  <autoFilter ref="A1:X6313" xr:uid="{0611AC9B-8A6B-4690-8D17-21482F4041FE}"/>
  <tableColumns count="24">
    <tableColumn id="1" xr3:uid="{2CF46DC0-0DF7-4EE2-B474-403DAE3BF12E}" uniqueName="1" name="ORG_ID" queryTableFieldId="1" dataDxfId="57"/>
    <tableColumn id="2" xr3:uid="{FA5ACEED-8BEE-4519-BDB9-86AC35610653}" uniqueName="2" name="SUPPLIER_NAME" queryTableFieldId="2" dataDxfId="56"/>
    <tableColumn id="3" xr3:uid="{6AAB779A-239C-4614-833A-5DE966275237}" uniqueName="3" name="PWSID" queryTableFieldId="3" dataDxfId="55"/>
    <tableColumn id="4" xr3:uid="{BCBB3BBF-1456-41EF-B019-7DCF3050F455}" uniqueName="4" name="PWS_NAME" queryTableFieldId="4" dataDxfId="54"/>
    <tableColumn id="5" xr3:uid="{D945AE29-15BA-494B-95F2-1B65276B0F87}" uniqueName="5" name="REPORTING_PERIOD_START_DATE" queryTableFieldId="5" dataDxfId="53"/>
    <tableColumn id="6" xr3:uid="{C7E20610-D135-49EB-B613-8579F916403E}" uniqueName="6" name="REPORTING_PERIOD_END_DATE" queryTableFieldId="6" dataDxfId="52"/>
    <tableColumn id="7" xr3:uid="{C0B0AC47-866A-4F3E-A0DC-4A422D4825C9}" uniqueName="7" name="RESIDENTIAL_SINGLEFAMILY_GAL" queryTableFieldId="7"/>
    <tableColumn id="8" xr3:uid="{E6AA1FEB-73CC-445B-A72E-6546770149E7}" uniqueName="8" name="RESIDENTIAL_MULTIFAMILY_GAL" queryTableFieldId="8"/>
    <tableColumn id="9" xr3:uid="{A1BBB493-CCB6-4A50-B3BB-59658F95D05D}" uniqueName="9" name="COMMERCIAL_INSTITUTIONAL_GAL" queryTableFieldId="9"/>
    <tableColumn id="10" xr3:uid="{DD823454-04D1-497E-B62D-97D5C35D8CA9}" uniqueName="10" name="NONRESIDENTIAL_METERED_IRRIGATION_GAL" queryTableFieldId="10"/>
    <tableColumn id="11" xr3:uid="{B5DDC839-4916-4962-BE5A-6735DF9EB9A3}" uniqueName="11" name="INDUSTRIAL_GAL" queryTableFieldId="11"/>
    <tableColumn id="12" xr3:uid="{751164DA-54AE-47A6-8B96-DE74FE85A70D}" uniqueName="12" name="OTHER_GAL" queryTableFieldId="12"/>
    <tableColumn id="13" xr3:uid="{53851E30-EB7C-4993-A1DB-5D34682C8742}" uniqueName="13" name="AGRICULTURE_GAL" queryTableFieldId="13"/>
    <tableColumn id="14" xr3:uid="{4FC740EB-B808-4BBA-BD0C-FF91FFCBADAB}" uniqueName="14" name="NONPOTABLE_DEMAND_RESIDENTIAL_RECYCLED_WATER_GAL" queryTableFieldId="14"/>
    <tableColumn id="15" xr3:uid="{B7AEB9AF-2487-451A-BB8F-453D249DEF18}" uniqueName="15" name="NONPOTABLE_DEMAND_RESIDENTIAL_NONPOTABLE_WATER_GAL" queryTableFieldId="15"/>
    <tableColumn id="16" xr3:uid="{D7E91E31-BF53-447A-803E-D57EA0E3601B}" uniqueName="16" name="NONPOTABLE_DEMAND_RESIDENTIAL_METERED_LANDSCAPE_IRRIGATION_GAL" queryTableFieldId="16"/>
    <tableColumn id="17" xr3:uid="{25FB23AD-003E-4F47-B233-AD7BF1F94D10}" uniqueName="17" name="NONPOTABLE_DEMAND_NONRESIDENTIAL_RECYCLED_WATER_GAL" queryTableFieldId="17"/>
    <tableColumn id="18" xr3:uid="{BD397C19-8079-4DD5-B3CE-B7B89226C2ED}" uniqueName="18" name="NONPOTABLE_DEMAND_NONRESIDENTIAL_NONPOTABLE_WATER_GAL" queryTableFieldId="18"/>
    <tableColumn id="19" xr3:uid="{507F1E6A-E205-4DD8-B49F-6F9FDE40715C}" uniqueName="19" name="NONPOTABLE_DEMAND_NONRESIDENTIAL_METERED_IRRIGATION_GAL" queryTableFieldId="19"/>
    <tableColumn id="23" xr3:uid="{1C60E6EB-A842-451C-A3AE-A0163BFF9ACA}" uniqueName="23" name="FY_START_DATE" queryTableFieldId="23" dataDxfId="51"/>
    <tableColumn id="24" xr3:uid="{096E0410-822F-42A3-96D0-78EAC508EC2E}" uniqueName="24" name="FY_END_DATE" queryTableFieldId="24" dataDxfId="50"/>
    <tableColumn id="20" xr3:uid="{5909E877-42F4-4920-A532-C255BF72CA14}" uniqueName="20" name="POTABLE_SUM_TOTAL_NOAG" queryTableFieldId="20" dataDxfId="49">
      <calculatedColumnFormula>SUM(POTABLE_NONPOTABLE_API[[#This Row],[RESIDENTIAL_SINGLEFAMILY_GAL]:[OTHER_GAL]])</calculatedColumnFormula>
    </tableColumn>
    <tableColumn id="21" xr3:uid="{8ED1B264-5EE6-4674-AE23-C6DDFA64D37D}" uniqueName="21" name="NONPOTABLE_SUM_TOTAL" queryTableFieldId="21" dataDxfId="48">
      <calculatedColumnFormula>SUM(POTABLE_NONPOTABLE_API[[#This Row],[NONPOTABLE_DEMAND_RESIDENTIAL_RECYCLED_WATER_GAL]:[NONPOTABLE_DEMAND_NONRESIDENTIAL_METERED_IRRIGATION_GAL]])</calculatedColumnFormula>
    </tableColumn>
    <tableColumn id="22" xr3:uid="{C632733A-D346-4BE6-88C2-880D6ADDE56F}" uniqueName="22" name="Include?" queryTableFieldId="22" dataDxfId="47">
      <calculatedColumnFormula>IFERROR(INDEX(Crosswalk_API!$H$2:$H$527, MATCH(POTABLE_NONPOTABLE_API[[#This Row],[PWSID]], CW_PWSID_LIST, 0)), "")</calculatedColumnFormula>
    </tableColumn>
  </tableColumns>
  <tableStyleInfo name="Plain_table"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cimis.water.ca.gov/Content/PDF/21427-KcAgronomicGrassandVeg.pdf" TargetMode="External"/><Relationship Id="rId2" Type="http://schemas.openxmlformats.org/officeDocument/2006/relationships/hyperlink" Target="https://www.fao.org/4/x0490e/x0490e00.htm" TargetMode="External"/><Relationship Id="rId1" Type="http://schemas.openxmlformats.org/officeDocument/2006/relationships/hyperlink" Target="https://www.fao.org/4/f2430e/f2430e.pdf" TargetMode="External"/><Relationship Id="rId5" Type="http://schemas.openxmlformats.org/officeDocument/2006/relationships/printerSettings" Target="../printerSettings/printerSettings9.bin"/><Relationship Id="rId4" Type="http://schemas.openxmlformats.org/officeDocument/2006/relationships/hyperlink" Target="https://cimis.water.ca.gov/Content/PDF/21428-KcTreesandVines.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data.ca.gov/dataset/urban-water-use-objectives-conservation/resource/f6285bcc-81b0-478a-87f6-789779c79d95" TargetMode="External"/><Relationship Id="rId13" Type="http://schemas.openxmlformats.org/officeDocument/2006/relationships/hyperlink" Target="https://data.ca.gov/dataset/urban-water-use-objectives-conservation/resource/f6285bcc-81b0-478a-87f6-789779c79d95" TargetMode="External"/><Relationship Id="rId3" Type="http://schemas.openxmlformats.org/officeDocument/2006/relationships/hyperlink" Target="https://data.ca.gov/dataset/urban-water-use-objectives-conservation/resource/7ca821b9-dbf8-404a-b210-9c6df1bbb58e" TargetMode="External"/><Relationship Id="rId7" Type="http://schemas.openxmlformats.org/officeDocument/2006/relationships/hyperlink" Target="https://data.ca.gov/dataset/urban-water-use-objectives-conservation/resource/f2f53681-0bc5-4451-9f0c-7f29d8b39107" TargetMode="External"/><Relationship Id="rId12" Type="http://schemas.openxmlformats.org/officeDocument/2006/relationships/hyperlink" Target="https://data.ca.gov/dataset/urban-water-use-objectives-conservation/resource/f6285bcc-81b0-478a-87f6-789779c79d95" TargetMode="External"/><Relationship Id="rId2" Type="http://schemas.openxmlformats.org/officeDocument/2006/relationships/hyperlink" Target="https://data.ca.gov/dataset/urban-water-use-objectives-conservation/resource/7ca821b9-dbf8-404a-b210-9c6df1bbb58e" TargetMode="External"/><Relationship Id="rId1" Type="http://schemas.openxmlformats.org/officeDocument/2006/relationships/hyperlink" Target="https://data.ca.gov/dataset/urban-water-use-objectives-conservation/resource/7ca821b9-dbf8-404a-b210-9c6df1bbb58e" TargetMode="External"/><Relationship Id="rId6" Type="http://schemas.openxmlformats.org/officeDocument/2006/relationships/hyperlink" Target="https://data.ca.gov/dataset/urban-water-use-objectives-conservation/resource/f2f53681-0bc5-4451-9f0c-7f29d8b39107" TargetMode="External"/><Relationship Id="rId11" Type="http://schemas.openxmlformats.org/officeDocument/2006/relationships/hyperlink" Target="https://data.ca.gov/dataset/urban-water-use-objectives-conservation/resource/f6285bcc-81b0-478a-87f6-789779c79d95" TargetMode="External"/><Relationship Id="rId5" Type="http://schemas.openxmlformats.org/officeDocument/2006/relationships/hyperlink" Target="https://data.ca.gov/dataset/urban-water-use-objectives-conservation/resource/7ca821b9-dbf8-404a-b210-9c6df1bbb58e" TargetMode="External"/><Relationship Id="rId15" Type="http://schemas.openxmlformats.org/officeDocument/2006/relationships/drawing" Target="../drawings/drawing6.xml"/><Relationship Id="rId10" Type="http://schemas.openxmlformats.org/officeDocument/2006/relationships/hyperlink" Target="https://data.ca.gov/dataset/urban-water-use-objectives-conservation/resource/f2f53681-0bc5-4451-9f0c-7f29d8b39107" TargetMode="External"/><Relationship Id="rId4" Type="http://schemas.openxmlformats.org/officeDocument/2006/relationships/hyperlink" Target="https://data.ca.gov/dataset/urban-water-use-objectives-conservation/resource/7ca821b9-dbf8-404a-b210-9c6df1bbb58e" TargetMode="External"/><Relationship Id="rId9" Type="http://schemas.openxmlformats.org/officeDocument/2006/relationships/hyperlink" Target="https://data.ca.gov/dataset/urban-water-use-objectives-conservation/resource/f6285bcc-81b0-478a-87f6-789779c79d95" TargetMode="External"/><Relationship Id="rId14"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hyperlink" Target="https://data.ca.gov/dataset/urban-water-use-objectives-conservation/resource/f2f53681-0bc5-4451-9f0c-7f29d8b39107" TargetMode="External"/><Relationship Id="rId3" Type="http://schemas.openxmlformats.org/officeDocument/2006/relationships/hyperlink" Target="https://data.ca.gov/dataset/urban-water-use-objectives-conservation/resource/f2f53681-0bc5-4451-9f0c-7f29d8b39107" TargetMode="External"/><Relationship Id="rId7" Type="http://schemas.openxmlformats.org/officeDocument/2006/relationships/hyperlink" Target="https://data.ca.gov/dataset/urban-water-use-objectives-conservation/resource/7ca821b9-dbf8-404a-b210-9c6df1bbb58e" TargetMode="External"/><Relationship Id="rId2" Type="http://schemas.openxmlformats.org/officeDocument/2006/relationships/hyperlink" Target="https://data.ca.gov/dataset/urban-water-use-objectives-conservation/resource/7ca821b9-dbf8-404a-b210-9c6df1bbb58e" TargetMode="External"/><Relationship Id="rId1" Type="http://schemas.openxmlformats.org/officeDocument/2006/relationships/hyperlink" Target="https://data.ca.gov/dataset/urban-water-use-objectives-conservation/resource/7ca821b9-dbf8-404a-b210-9c6df1bbb58e" TargetMode="External"/><Relationship Id="rId6" Type="http://schemas.openxmlformats.org/officeDocument/2006/relationships/hyperlink" Target="https://data.ca.gov/dataset/urban-water-use-objectives-conservation/resource/7ca821b9-dbf8-404a-b210-9c6df1bbb58e" TargetMode="External"/><Relationship Id="rId5" Type="http://schemas.openxmlformats.org/officeDocument/2006/relationships/hyperlink" Target="https://data.ca.gov/dataset/urban-water-use-objectives-conservation/resource/7ca821b9-dbf8-404a-b210-9c6df1bbb58e" TargetMode="External"/><Relationship Id="rId10" Type="http://schemas.openxmlformats.org/officeDocument/2006/relationships/drawing" Target="../drawings/drawing7.xml"/><Relationship Id="rId4" Type="http://schemas.openxmlformats.org/officeDocument/2006/relationships/hyperlink" Target="https://data.ca.gov/dataset/urban-water-use-objectives-conservation/resource/7ca821b9-dbf8-404a-b210-9c6df1bbb58e" TargetMode="External"/><Relationship Id="rId9"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waterconservation@waterboards.ca.gov"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data.ca.gov/dataset/urban-water-use-objectives-conservation/resource/7e539a61-9a33-49e5-a5d3-463e43f06109" TargetMode="External"/><Relationship Id="rId2" Type="http://schemas.openxmlformats.org/officeDocument/2006/relationships/hyperlink" Target="https://data.ca.gov/dataset/urban-water-use-objectives-conservation/resource/8a3c52b1-8d01-447b-99e1-438fe37bd82d" TargetMode="External"/><Relationship Id="rId1" Type="http://schemas.openxmlformats.org/officeDocument/2006/relationships/hyperlink" Target="https://data.ca.gov/dataset/urban-water-use-objectives-conservation/resource/8a3c52b1-8d01-447b-99e1-438fe37bd82d" TargetMode="Externa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water.ca.gov/-/media/DWR-Website/Web-Pages/Programs/Water-Use-And-Efficiency/2018-Water-Conservation-Legislation/Performance-Measures/VAR-SP-WUESDWR202108T1COMPLETE.pdf" TargetMode="External"/><Relationship Id="rId2" Type="http://schemas.openxmlformats.org/officeDocument/2006/relationships/hyperlink" Target="https://water.ca.gov/-/media/DWR-Website/Web-Pages/Programs/Water-Use-And-Efficiency/2018-Water-Conservation-Legislation/Performance-Measures/VARECWUESDWR202105T1COMPLETE.pdf" TargetMode="External"/><Relationship Id="rId1" Type="http://schemas.openxmlformats.org/officeDocument/2006/relationships/hyperlink" Target="https://water.ca.gov/-/media/DWR-Website/Web-Pages/Programs/Water-Use-And-Efficiency/2018-Water-Conservation-Legislation/Performance-Measures/VAR-SP-WUESDWR202108T1COMPLETE.pdf" TargetMode="External"/><Relationship Id="rId5" Type="http://schemas.openxmlformats.org/officeDocument/2006/relationships/drawing" Target="../drawings/drawing3.xm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hyperlink" Target="https://data.ca.gov/dataset/urban-water-use-objectives-conservation/resource/f6285bcc-81b0-478a-87f6-789779c79d95" TargetMode="External"/><Relationship Id="rId3" Type="http://schemas.openxmlformats.org/officeDocument/2006/relationships/hyperlink" Target="https://data.ca.gov/dataset/urban-water-use-objectives-conservation/resource/f2f53681-0bc5-4451-9f0c-7f29d8b39107" TargetMode="External"/><Relationship Id="rId7" Type="http://schemas.openxmlformats.org/officeDocument/2006/relationships/hyperlink" Target="https://data.ca.gov/dataset/urban-water-use-objectives-conservation/resource/f6285bcc-81b0-478a-87f6-789779c79d95" TargetMode="External"/><Relationship Id="rId12" Type="http://schemas.openxmlformats.org/officeDocument/2006/relationships/drawing" Target="../drawings/drawing4.xml"/><Relationship Id="rId2" Type="http://schemas.openxmlformats.org/officeDocument/2006/relationships/hyperlink" Target="https://data.ca.gov/dataset/urban-water-use-objectives-conservation/resource/f2f53681-0bc5-4451-9f0c-7f29d8b39107" TargetMode="External"/><Relationship Id="rId1" Type="http://schemas.openxmlformats.org/officeDocument/2006/relationships/hyperlink" Target="https://data.ca.gov/dataset/urban-water-use-objectives-conservation/resource/7ca821b9-dbf8-404a-b210-9c6df1bbb58e" TargetMode="External"/><Relationship Id="rId6" Type="http://schemas.openxmlformats.org/officeDocument/2006/relationships/hyperlink" Target="https://data.ca.gov/dataset/urban-water-use-objectives-conservation/resource/f6285bcc-81b0-478a-87f6-789779c79d95" TargetMode="External"/><Relationship Id="rId11" Type="http://schemas.openxmlformats.org/officeDocument/2006/relationships/printerSettings" Target="../printerSettings/printerSettings7.bin"/><Relationship Id="rId5" Type="http://schemas.openxmlformats.org/officeDocument/2006/relationships/hyperlink" Target="https://data.ca.gov/dataset/urban-water-use-objectives-conservation/resource/f6285bcc-81b0-478a-87f6-789779c79d95" TargetMode="External"/><Relationship Id="rId10" Type="http://schemas.openxmlformats.org/officeDocument/2006/relationships/hyperlink" Target="https://data.ca.gov/dataset/urban-water-use-objectives-conservation/resource/7ca821b9-dbf8-404a-b210-9c6df1bbb58e" TargetMode="External"/><Relationship Id="rId4" Type="http://schemas.openxmlformats.org/officeDocument/2006/relationships/hyperlink" Target="https://data.ca.gov/dataset/urban-water-use-objectives-conservation/resource/f2f53681-0bc5-4451-9f0c-7f29d8b39107" TargetMode="External"/><Relationship Id="rId9" Type="http://schemas.openxmlformats.org/officeDocument/2006/relationships/hyperlink" Target="https://data.ca.gov/dataset/urban-water-use-objectives-conservation/resource/f6285bcc-81b0-478a-87f6-789779c79d95"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7F2FC-59C9-4424-A657-EE4A4747800A}">
  <sheetPr codeName="Sheet1">
    <tabColor theme="9" tint="0.79998168889431442"/>
  </sheetPr>
  <dimension ref="A1:P69"/>
  <sheetViews>
    <sheetView tabSelected="1" workbookViewId="0"/>
  </sheetViews>
  <sheetFormatPr defaultColWidth="0" defaultRowHeight="15" zeroHeight="1" x14ac:dyDescent="0.25"/>
  <cols>
    <col min="1" max="1" width="28.5703125" style="83" customWidth="1"/>
    <col min="2" max="2" width="104" style="83" customWidth="1"/>
    <col min="3" max="3" width="5.140625" style="83" customWidth="1"/>
    <col min="4" max="4" width="36" style="83" bestFit="1" customWidth="1"/>
    <col min="5" max="5" width="39.42578125" style="83" bestFit="1" customWidth="1"/>
    <col min="6" max="15" width="9.140625" style="83" customWidth="1"/>
    <col min="16" max="16" width="0" style="83" hidden="1" customWidth="1"/>
    <col min="17" max="16384" width="9.140625" hidden="1"/>
  </cols>
  <sheetData>
    <row r="1" spans="1:5" ht="22.5" customHeight="1" x14ac:dyDescent="0.35">
      <c r="A1" s="87" t="s">
        <v>0</v>
      </c>
      <c r="D1" s="87" t="s">
        <v>1</v>
      </c>
    </row>
    <row r="2" spans="1:5" x14ac:dyDescent="0.25">
      <c r="A2" s="110" t="s">
        <v>2</v>
      </c>
      <c r="B2" s="107" t="s">
        <v>3</v>
      </c>
      <c r="D2" s="86" t="s">
        <v>4</v>
      </c>
    </row>
    <row r="3" spans="1:5" x14ac:dyDescent="0.25">
      <c r="A3" s="152" t="s">
        <v>5</v>
      </c>
      <c r="B3" s="107" t="s">
        <v>6</v>
      </c>
      <c r="D3" s="27" t="s">
        <v>7</v>
      </c>
      <c r="E3" s="83" t="s">
        <v>8</v>
      </c>
    </row>
    <row r="4" spans="1:5" x14ac:dyDescent="0.25">
      <c r="A4" s="110" t="s">
        <v>9</v>
      </c>
      <c r="B4" s="107" t="s">
        <v>10</v>
      </c>
      <c r="D4" s="78" t="s">
        <v>11</v>
      </c>
      <c r="E4" s="83" t="s">
        <v>12</v>
      </c>
    </row>
    <row r="5" spans="1:5" x14ac:dyDescent="0.25">
      <c r="A5" s="152" t="s">
        <v>13</v>
      </c>
      <c r="B5" s="153" t="s">
        <v>14</v>
      </c>
      <c r="D5" s="77" t="s">
        <v>15</v>
      </c>
      <c r="E5" s="83" t="s">
        <v>16</v>
      </c>
    </row>
    <row r="6" spans="1:5" x14ac:dyDescent="0.25">
      <c r="A6" s="110" t="s">
        <v>17</v>
      </c>
      <c r="B6" s="107" t="s">
        <v>18</v>
      </c>
      <c r="D6" s="52" t="s">
        <v>19</v>
      </c>
      <c r="E6" s="83" t="s">
        <v>20</v>
      </c>
    </row>
    <row r="7" spans="1:5" x14ac:dyDescent="0.25">
      <c r="A7" s="110" t="s">
        <v>21</v>
      </c>
      <c r="B7" s="107" t="s">
        <v>22</v>
      </c>
      <c r="D7" s="1" t="s">
        <v>23</v>
      </c>
    </row>
    <row r="8" spans="1:5" x14ac:dyDescent="0.25">
      <c r="A8" s="110" t="s">
        <v>24</v>
      </c>
      <c r="B8" s="107" t="s">
        <v>25</v>
      </c>
      <c r="D8" s="4" t="s">
        <v>26</v>
      </c>
      <c r="E8" s="83" t="s">
        <v>27</v>
      </c>
    </row>
    <row r="9" spans="1:5" x14ac:dyDescent="0.25">
      <c r="A9" s="110" t="s">
        <v>28</v>
      </c>
      <c r="B9" s="107" t="s">
        <v>29</v>
      </c>
      <c r="D9" s="82" t="s">
        <v>30</v>
      </c>
      <c r="E9" s="83" t="s">
        <v>31</v>
      </c>
    </row>
    <row r="10" spans="1:5" x14ac:dyDescent="0.25">
      <c r="A10" s="154" t="s">
        <v>32</v>
      </c>
      <c r="B10" s="147" t="s">
        <v>33</v>
      </c>
      <c r="D10" s="394"/>
      <c r="E10" s="83" t="s">
        <v>34</v>
      </c>
    </row>
    <row r="11" spans="1:5" x14ac:dyDescent="0.25">
      <c r="A11" s="110" t="s">
        <v>35</v>
      </c>
      <c r="B11" s="107" t="s">
        <v>36</v>
      </c>
    </row>
    <row r="12" spans="1:5" ht="18" x14ac:dyDescent="0.35">
      <c r="A12" s="157" t="s">
        <v>37</v>
      </c>
      <c r="B12" s="146" t="s">
        <v>38</v>
      </c>
    </row>
    <row r="13" spans="1:5" x14ac:dyDescent="0.25">
      <c r="A13" s="110" t="s">
        <v>3830</v>
      </c>
      <c r="B13" s="107" t="s">
        <v>3824</v>
      </c>
    </row>
    <row r="14" spans="1:5" x14ac:dyDescent="0.25">
      <c r="A14" s="110" t="s">
        <v>39</v>
      </c>
      <c r="B14" s="107" t="s">
        <v>40</v>
      </c>
    </row>
    <row r="15" spans="1:5" x14ac:dyDescent="0.25">
      <c r="A15" s="110" t="s">
        <v>41</v>
      </c>
      <c r="B15" s="107" t="s">
        <v>42</v>
      </c>
      <c r="D15" s="158"/>
    </row>
    <row r="16" spans="1:5" x14ac:dyDescent="0.25">
      <c r="A16" s="110" t="s">
        <v>43</v>
      </c>
      <c r="B16" s="107" t="s">
        <v>44</v>
      </c>
    </row>
    <row r="17" spans="1:4" x14ac:dyDescent="0.25">
      <c r="A17" s="154" t="s">
        <v>45</v>
      </c>
      <c r="B17" s="147" t="s">
        <v>46</v>
      </c>
    </row>
    <row r="18" spans="1:4" x14ac:dyDescent="0.25">
      <c r="A18" s="110" t="s">
        <v>47</v>
      </c>
      <c r="B18" s="107" t="s">
        <v>48</v>
      </c>
    </row>
    <row r="19" spans="1:4" x14ac:dyDescent="0.25">
      <c r="A19" s="157" t="s">
        <v>49</v>
      </c>
      <c r="B19" s="146" t="s">
        <v>50</v>
      </c>
      <c r="D19" s="159"/>
    </row>
    <row r="20" spans="1:4" x14ac:dyDescent="0.25">
      <c r="A20" s="110" t="s">
        <v>51</v>
      </c>
      <c r="B20" s="107" t="s">
        <v>52</v>
      </c>
    </row>
    <row r="21" spans="1:4" x14ac:dyDescent="0.25">
      <c r="A21" s="110" t="s">
        <v>53</v>
      </c>
      <c r="B21" s="107" t="s">
        <v>54</v>
      </c>
    </row>
    <row r="22" spans="1:4" x14ac:dyDescent="0.25">
      <c r="A22" s="110" t="s">
        <v>55</v>
      </c>
      <c r="B22" s="107" t="s">
        <v>56</v>
      </c>
    </row>
    <row r="23" spans="1:4" x14ac:dyDescent="0.25">
      <c r="A23" s="110" t="s">
        <v>57</v>
      </c>
      <c r="B23" s="107" t="s">
        <v>58</v>
      </c>
    </row>
    <row r="24" spans="1:4" x14ac:dyDescent="0.25">
      <c r="A24" s="110" t="s">
        <v>59</v>
      </c>
      <c r="B24" s="107" t="s">
        <v>60</v>
      </c>
    </row>
    <row r="25" spans="1:4" x14ac:dyDescent="0.25">
      <c r="A25" s="110" t="s">
        <v>61</v>
      </c>
      <c r="B25" s="107" t="s">
        <v>62</v>
      </c>
    </row>
    <row r="26" spans="1:4" x14ac:dyDescent="0.25">
      <c r="A26" s="110" t="s">
        <v>63</v>
      </c>
      <c r="B26" s="107" t="s">
        <v>64</v>
      </c>
    </row>
    <row r="27" spans="1:4" x14ac:dyDescent="0.25">
      <c r="A27" s="110" t="s">
        <v>65</v>
      </c>
      <c r="B27" s="107" t="s">
        <v>66</v>
      </c>
    </row>
    <row r="28" spans="1:4" x14ac:dyDescent="0.25">
      <c r="A28" s="110" t="s">
        <v>67</v>
      </c>
      <c r="B28" s="107" t="s">
        <v>68</v>
      </c>
    </row>
    <row r="29" spans="1:4" x14ac:dyDescent="0.25">
      <c r="A29" s="154" t="s">
        <v>69</v>
      </c>
      <c r="B29" s="147" t="s">
        <v>70</v>
      </c>
    </row>
    <row r="30" spans="1:4" x14ac:dyDescent="0.25">
      <c r="A30" s="110" t="s">
        <v>71</v>
      </c>
      <c r="B30" s="107" t="s">
        <v>72</v>
      </c>
    </row>
    <row r="31" spans="1:4" x14ac:dyDescent="0.25">
      <c r="A31" s="155" t="s">
        <v>73</v>
      </c>
      <c r="B31" s="156" t="s">
        <v>74</v>
      </c>
    </row>
    <row r="32" spans="1:4" x14ac:dyDescent="0.25">
      <c r="A32" s="110" t="s">
        <v>3825</v>
      </c>
      <c r="B32" s="410" t="s">
        <v>3826</v>
      </c>
    </row>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sheetData>
  <sheetProtection algorithmName="SHA-512" hashValue="abBwEk10KIn8Y2n5FltSAajKoUNm+WRlErDAtOphMRpZ7DMQUgo7dNSxPjzJWJVSF60KEG7OiPxwIYOo1FMwcw==" saltValue="tjlHJBrte4tMjG0lTHjG7Q==" spinCount="100000" sheet="1" objects="1" scenario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E3569-9E41-4714-BEF6-36246A6AD9F8}">
  <sheetPr codeName="Sheet19">
    <tabColor rgb="FFFFE699"/>
  </sheetPr>
  <dimension ref="A1:O40"/>
  <sheetViews>
    <sheetView workbookViewId="0">
      <selection activeCell="A12" sqref="A12"/>
    </sheetView>
  </sheetViews>
  <sheetFormatPr defaultColWidth="0" defaultRowHeight="15" zeroHeight="1" x14ac:dyDescent="0.25"/>
  <cols>
    <col min="1" max="1" width="42.42578125" customWidth="1"/>
    <col min="2" max="2" width="29.140625" customWidth="1"/>
    <col min="3" max="4" width="19.85546875" customWidth="1"/>
    <col min="5" max="5" width="20.28515625" bestFit="1" customWidth="1"/>
    <col min="6" max="7" width="20.28515625" customWidth="1"/>
    <col min="8" max="8" width="21.28515625" customWidth="1"/>
    <col min="9" max="9" width="21" customWidth="1"/>
    <col min="10" max="10" width="45.7109375" style="83" customWidth="1"/>
    <col min="11" max="15" width="8.85546875" style="83" customWidth="1"/>
    <col min="16" max="16384" width="9.140625" hidden="1"/>
  </cols>
  <sheetData>
    <row r="1" spans="1:10" s="83" customFormat="1" x14ac:dyDescent="0.25">
      <c r="A1" s="86" t="s">
        <v>438</v>
      </c>
      <c r="I1" s="84" t="s">
        <v>3807</v>
      </c>
    </row>
    <row r="2" spans="1:10" s="83" customFormat="1" x14ac:dyDescent="0.25">
      <c r="A2" s="83" t="str">
        <f>IF('Res-Outdoor Variances'!B55="1% Threshold Equation","Fill out as many rows as necessary for crop types","This page is blank unless the residential agriculture variance is being utilized with the 1% threshold method")</f>
        <v>This page is blank unless the residential agriculture variance is being utilized with the 1% threshold method</v>
      </c>
      <c r="I2" s="84"/>
    </row>
    <row r="3" spans="1:10" s="83" customFormat="1" x14ac:dyDescent="0.25">
      <c r="A3" s="86" t="s">
        <v>439</v>
      </c>
      <c r="I3" s="84"/>
    </row>
    <row r="4" spans="1:10" s="83" customFormat="1" x14ac:dyDescent="0.25">
      <c r="A4" s="83" t="s">
        <v>3817</v>
      </c>
      <c r="I4" s="84"/>
    </row>
    <row r="5" spans="1:10" s="83" customFormat="1" x14ac:dyDescent="0.25">
      <c r="A5" s="84" t="s">
        <v>440</v>
      </c>
      <c r="I5" s="84"/>
    </row>
    <row r="6" spans="1:10" s="83" customFormat="1" x14ac:dyDescent="0.25">
      <c r="A6" s="84" t="s">
        <v>441</v>
      </c>
      <c r="I6" s="84"/>
    </row>
    <row r="7" spans="1:10" s="83" customFormat="1" x14ac:dyDescent="0.25">
      <c r="A7" s="84" t="s">
        <v>442</v>
      </c>
      <c r="I7" s="84"/>
    </row>
    <row r="8" spans="1:10" s="83" customFormat="1" x14ac:dyDescent="0.25">
      <c r="A8" s="84" t="s">
        <v>443</v>
      </c>
      <c r="I8" s="84"/>
    </row>
    <row r="9" spans="1:10" s="83" customFormat="1" x14ac:dyDescent="0.25">
      <c r="A9" s="83" t="s">
        <v>444</v>
      </c>
      <c r="I9" s="84"/>
    </row>
    <row r="10" spans="1:10" s="83" customFormat="1" x14ac:dyDescent="0.25">
      <c r="A10" s="86"/>
      <c r="I10" s="84"/>
    </row>
    <row r="11" spans="1:10" ht="60" x14ac:dyDescent="0.25">
      <c r="A11" s="19" t="s">
        <v>445</v>
      </c>
      <c r="B11" s="19" t="s">
        <v>446</v>
      </c>
      <c r="C11" s="19" t="s">
        <v>447</v>
      </c>
      <c r="D11" s="19" t="s">
        <v>448</v>
      </c>
      <c r="E11" s="19" t="s">
        <v>449</v>
      </c>
      <c r="F11" s="19" t="s">
        <v>450</v>
      </c>
      <c r="G11" s="19" t="s">
        <v>451</v>
      </c>
      <c r="H11" s="19" t="s">
        <v>452</v>
      </c>
      <c r="I11" s="19" t="s">
        <v>453</v>
      </c>
      <c r="J11" s="274" t="s">
        <v>144</v>
      </c>
    </row>
    <row r="12" spans="1:10" x14ac:dyDescent="0.25">
      <c r="A12" s="4"/>
      <c r="B12" s="4"/>
      <c r="C12" s="312"/>
      <c r="D12" s="312"/>
      <c r="E12" s="77"/>
      <c r="F12" s="4"/>
      <c r="G12" s="4"/>
      <c r="H12" s="77"/>
      <c r="I12" s="76"/>
      <c r="J12" s="265"/>
    </row>
    <row r="13" spans="1:10" x14ac:dyDescent="0.25">
      <c r="A13" s="4"/>
      <c r="B13" s="4"/>
      <c r="C13" s="4"/>
      <c r="D13" s="4"/>
      <c r="E13" s="77" t="str">
        <f t="shared" ref="E13:E35" si="0">IF(D13&gt;0,C13/D13,"")</f>
        <v/>
      </c>
      <c r="F13" s="4"/>
      <c r="G13" s="4"/>
      <c r="H13" s="77" t="str">
        <f t="shared" ref="H13:H35" si="1">IF(G13="","",F13-G13)</f>
        <v/>
      </c>
      <c r="I13" s="76" t="str">
        <f t="shared" ref="I13:I35" si="2">IF(B13&gt;0,E13*B13*H13*0.62,"")</f>
        <v/>
      </c>
      <c r="J13" s="265"/>
    </row>
    <row r="14" spans="1:10" x14ac:dyDescent="0.25">
      <c r="A14" s="4"/>
      <c r="B14" s="4"/>
      <c r="C14" s="4"/>
      <c r="D14" s="4"/>
      <c r="E14" s="77" t="str">
        <f t="shared" si="0"/>
        <v/>
      </c>
      <c r="F14" s="4"/>
      <c r="G14" s="4"/>
      <c r="H14" s="77" t="str">
        <f t="shared" si="1"/>
        <v/>
      </c>
      <c r="I14" s="76" t="str">
        <f t="shared" si="2"/>
        <v/>
      </c>
      <c r="J14" s="265"/>
    </row>
    <row r="15" spans="1:10" x14ac:dyDescent="0.25">
      <c r="A15" s="4"/>
      <c r="B15" s="4"/>
      <c r="C15" s="4"/>
      <c r="D15" s="4"/>
      <c r="E15" s="77" t="str">
        <f t="shared" si="0"/>
        <v/>
      </c>
      <c r="F15" s="4"/>
      <c r="G15" s="4"/>
      <c r="H15" s="77" t="str">
        <f t="shared" si="1"/>
        <v/>
      </c>
      <c r="I15" s="76" t="str">
        <f t="shared" si="2"/>
        <v/>
      </c>
      <c r="J15" s="265"/>
    </row>
    <row r="16" spans="1:10" x14ac:dyDescent="0.25">
      <c r="A16" s="4"/>
      <c r="B16" s="4"/>
      <c r="C16" s="4"/>
      <c r="D16" s="4"/>
      <c r="E16" s="77" t="str">
        <f t="shared" si="0"/>
        <v/>
      </c>
      <c r="F16" s="4"/>
      <c r="G16" s="4"/>
      <c r="H16" s="77" t="str">
        <f t="shared" si="1"/>
        <v/>
      </c>
      <c r="I16" s="76" t="str">
        <f t="shared" si="2"/>
        <v/>
      </c>
      <c r="J16" s="265"/>
    </row>
    <row r="17" spans="1:10" x14ac:dyDescent="0.25">
      <c r="A17" s="4"/>
      <c r="B17" s="4"/>
      <c r="C17" s="4"/>
      <c r="D17" s="4"/>
      <c r="E17" s="77" t="str">
        <f t="shared" si="0"/>
        <v/>
      </c>
      <c r="F17" s="4"/>
      <c r="G17" s="4"/>
      <c r="H17" s="77" t="str">
        <f t="shared" si="1"/>
        <v/>
      </c>
      <c r="I17" s="76" t="str">
        <f t="shared" si="2"/>
        <v/>
      </c>
      <c r="J17" s="265"/>
    </row>
    <row r="18" spans="1:10" x14ac:dyDescent="0.25">
      <c r="A18" s="4"/>
      <c r="B18" s="4"/>
      <c r="C18" s="4"/>
      <c r="D18" s="4"/>
      <c r="E18" s="77" t="str">
        <f t="shared" si="0"/>
        <v/>
      </c>
      <c r="F18" s="4"/>
      <c r="G18" s="4"/>
      <c r="H18" s="77" t="str">
        <f t="shared" si="1"/>
        <v/>
      </c>
      <c r="I18" s="76" t="str">
        <f t="shared" si="2"/>
        <v/>
      </c>
      <c r="J18" s="265"/>
    </row>
    <row r="19" spans="1:10" x14ac:dyDescent="0.25">
      <c r="A19" s="4"/>
      <c r="B19" s="4"/>
      <c r="C19" s="4"/>
      <c r="D19" s="4"/>
      <c r="E19" s="77" t="str">
        <f t="shared" si="0"/>
        <v/>
      </c>
      <c r="F19" s="4"/>
      <c r="G19" s="4"/>
      <c r="H19" s="77" t="str">
        <f t="shared" si="1"/>
        <v/>
      </c>
      <c r="I19" s="76" t="str">
        <f t="shared" si="2"/>
        <v/>
      </c>
      <c r="J19" s="265"/>
    </row>
    <row r="20" spans="1:10" x14ac:dyDescent="0.25">
      <c r="A20" s="4"/>
      <c r="B20" s="4"/>
      <c r="C20" s="4"/>
      <c r="D20" s="4"/>
      <c r="E20" s="77" t="str">
        <f t="shared" si="0"/>
        <v/>
      </c>
      <c r="F20" s="4"/>
      <c r="G20" s="4"/>
      <c r="H20" s="77" t="str">
        <f t="shared" si="1"/>
        <v/>
      </c>
      <c r="I20" s="76" t="str">
        <f t="shared" si="2"/>
        <v/>
      </c>
      <c r="J20" s="265"/>
    </row>
    <row r="21" spans="1:10" x14ac:dyDescent="0.25">
      <c r="A21" s="4"/>
      <c r="B21" s="4"/>
      <c r="C21" s="4"/>
      <c r="D21" s="4"/>
      <c r="E21" s="77" t="str">
        <f t="shared" si="0"/>
        <v/>
      </c>
      <c r="F21" s="4"/>
      <c r="G21" s="4"/>
      <c r="H21" s="77" t="str">
        <f t="shared" si="1"/>
        <v/>
      </c>
      <c r="I21" s="76" t="str">
        <f t="shared" si="2"/>
        <v/>
      </c>
      <c r="J21" s="265"/>
    </row>
    <row r="22" spans="1:10" x14ac:dyDescent="0.25">
      <c r="A22" s="4"/>
      <c r="B22" s="4"/>
      <c r="C22" s="4"/>
      <c r="D22" s="4"/>
      <c r="E22" s="77" t="str">
        <f t="shared" si="0"/>
        <v/>
      </c>
      <c r="F22" s="4"/>
      <c r="G22" s="4"/>
      <c r="H22" s="77" t="str">
        <f t="shared" si="1"/>
        <v/>
      </c>
      <c r="I22" s="76" t="str">
        <f t="shared" si="2"/>
        <v/>
      </c>
      <c r="J22" s="265"/>
    </row>
    <row r="23" spans="1:10" x14ac:dyDescent="0.25">
      <c r="A23" s="4"/>
      <c r="B23" s="4"/>
      <c r="C23" s="4"/>
      <c r="D23" s="4"/>
      <c r="E23" s="77" t="str">
        <f t="shared" si="0"/>
        <v/>
      </c>
      <c r="F23" s="4"/>
      <c r="G23" s="4"/>
      <c r="H23" s="77" t="str">
        <f t="shared" si="1"/>
        <v/>
      </c>
      <c r="I23" s="76" t="str">
        <f t="shared" si="2"/>
        <v/>
      </c>
      <c r="J23" s="265"/>
    </row>
    <row r="24" spans="1:10" x14ac:dyDescent="0.25">
      <c r="A24" s="4"/>
      <c r="B24" s="4"/>
      <c r="C24" s="4"/>
      <c r="D24" s="4"/>
      <c r="E24" s="77" t="str">
        <f t="shared" si="0"/>
        <v/>
      </c>
      <c r="F24" s="4"/>
      <c r="G24" s="4"/>
      <c r="H24" s="77" t="str">
        <f t="shared" si="1"/>
        <v/>
      </c>
      <c r="I24" s="76" t="str">
        <f t="shared" si="2"/>
        <v/>
      </c>
      <c r="J24" s="265"/>
    </row>
    <row r="25" spans="1:10" x14ac:dyDescent="0.25">
      <c r="A25" s="4"/>
      <c r="B25" s="4"/>
      <c r="C25" s="4"/>
      <c r="D25" s="4"/>
      <c r="E25" s="77" t="str">
        <f t="shared" si="0"/>
        <v/>
      </c>
      <c r="F25" s="4"/>
      <c r="G25" s="4"/>
      <c r="H25" s="77" t="str">
        <f t="shared" si="1"/>
        <v/>
      </c>
      <c r="I25" s="76" t="str">
        <f t="shared" si="2"/>
        <v/>
      </c>
      <c r="J25" s="265"/>
    </row>
    <row r="26" spans="1:10" x14ac:dyDescent="0.25">
      <c r="A26" s="4"/>
      <c r="B26" s="4"/>
      <c r="C26" s="4"/>
      <c r="D26" s="4"/>
      <c r="E26" s="77" t="str">
        <f t="shared" si="0"/>
        <v/>
      </c>
      <c r="F26" s="4"/>
      <c r="G26" s="4"/>
      <c r="H26" s="77" t="str">
        <f t="shared" si="1"/>
        <v/>
      </c>
      <c r="I26" s="76" t="str">
        <f t="shared" si="2"/>
        <v/>
      </c>
      <c r="J26" s="265"/>
    </row>
    <row r="27" spans="1:10" x14ac:dyDescent="0.25">
      <c r="A27" s="4"/>
      <c r="B27" s="4"/>
      <c r="C27" s="4"/>
      <c r="D27" s="4"/>
      <c r="E27" s="77" t="str">
        <f t="shared" si="0"/>
        <v/>
      </c>
      <c r="F27" s="4"/>
      <c r="G27" s="4"/>
      <c r="H27" s="77" t="str">
        <f t="shared" si="1"/>
        <v/>
      </c>
      <c r="I27" s="76" t="str">
        <f t="shared" si="2"/>
        <v/>
      </c>
      <c r="J27" s="265"/>
    </row>
    <row r="28" spans="1:10" x14ac:dyDescent="0.25">
      <c r="A28" s="4"/>
      <c r="B28" s="4"/>
      <c r="C28" s="4"/>
      <c r="D28" s="4"/>
      <c r="E28" s="77" t="str">
        <f t="shared" si="0"/>
        <v/>
      </c>
      <c r="F28" s="4"/>
      <c r="G28" s="4"/>
      <c r="H28" s="77" t="str">
        <f t="shared" si="1"/>
        <v/>
      </c>
      <c r="I28" s="76" t="str">
        <f t="shared" si="2"/>
        <v/>
      </c>
      <c r="J28" s="265"/>
    </row>
    <row r="29" spans="1:10" x14ac:dyDescent="0.25">
      <c r="A29" s="4"/>
      <c r="B29" s="4"/>
      <c r="C29" s="4"/>
      <c r="D29" s="4"/>
      <c r="E29" s="77" t="str">
        <f t="shared" si="0"/>
        <v/>
      </c>
      <c r="F29" s="4"/>
      <c r="G29" s="4"/>
      <c r="H29" s="77" t="str">
        <f t="shared" si="1"/>
        <v/>
      </c>
      <c r="I29" s="76" t="str">
        <f t="shared" si="2"/>
        <v/>
      </c>
      <c r="J29" s="265"/>
    </row>
    <row r="30" spans="1:10" x14ac:dyDescent="0.25">
      <c r="A30" s="4"/>
      <c r="B30" s="4"/>
      <c r="C30" s="4"/>
      <c r="D30" s="4"/>
      <c r="E30" s="77" t="str">
        <f t="shared" si="0"/>
        <v/>
      </c>
      <c r="F30" s="4"/>
      <c r="G30" s="4"/>
      <c r="H30" s="77" t="str">
        <f t="shared" si="1"/>
        <v/>
      </c>
      <c r="I30" s="76" t="str">
        <f t="shared" si="2"/>
        <v/>
      </c>
      <c r="J30" s="265"/>
    </row>
    <row r="31" spans="1:10" x14ac:dyDescent="0.25">
      <c r="A31" s="4"/>
      <c r="B31" s="4"/>
      <c r="C31" s="4"/>
      <c r="D31" s="4"/>
      <c r="E31" s="77" t="str">
        <f t="shared" si="0"/>
        <v/>
      </c>
      <c r="F31" s="4"/>
      <c r="G31" s="4"/>
      <c r="H31" s="77" t="str">
        <f t="shared" si="1"/>
        <v/>
      </c>
      <c r="I31" s="76" t="str">
        <f t="shared" si="2"/>
        <v/>
      </c>
      <c r="J31" s="265"/>
    </row>
    <row r="32" spans="1:10" x14ac:dyDescent="0.25">
      <c r="A32" s="4"/>
      <c r="B32" s="4"/>
      <c r="C32" s="4"/>
      <c r="D32" s="4"/>
      <c r="E32" s="77" t="str">
        <f t="shared" si="0"/>
        <v/>
      </c>
      <c r="F32" s="4"/>
      <c r="G32" s="4"/>
      <c r="H32" s="77" t="str">
        <f t="shared" si="1"/>
        <v/>
      </c>
      <c r="I32" s="76" t="str">
        <f t="shared" si="2"/>
        <v/>
      </c>
      <c r="J32" s="265"/>
    </row>
    <row r="33" spans="1:10" x14ac:dyDescent="0.25">
      <c r="A33" s="4"/>
      <c r="B33" s="4"/>
      <c r="C33" s="4"/>
      <c r="D33" s="4"/>
      <c r="E33" s="77" t="str">
        <f t="shared" si="0"/>
        <v/>
      </c>
      <c r="F33" s="4"/>
      <c r="G33" s="4"/>
      <c r="H33" s="77" t="str">
        <f t="shared" si="1"/>
        <v/>
      </c>
      <c r="I33" s="76" t="str">
        <f t="shared" si="2"/>
        <v/>
      </c>
      <c r="J33" s="265"/>
    </row>
    <row r="34" spans="1:10" x14ac:dyDescent="0.25">
      <c r="A34" s="4"/>
      <c r="B34" s="4"/>
      <c r="C34" s="4"/>
      <c r="D34" s="4"/>
      <c r="E34" s="77" t="str">
        <f t="shared" si="0"/>
        <v/>
      </c>
      <c r="F34" s="4"/>
      <c r="G34" s="4"/>
      <c r="H34" s="77" t="str">
        <f t="shared" si="1"/>
        <v/>
      </c>
      <c r="I34" s="76" t="str">
        <f t="shared" si="2"/>
        <v/>
      </c>
      <c r="J34" s="265"/>
    </row>
    <row r="35" spans="1:10" x14ac:dyDescent="0.25">
      <c r="A35" s="4"/>
      <c r="B35" s="4"/>
      <c r="C35" s="4"/>
      <c r="D35" s="4"/>
      <c r="E35" s="77" t="str">
        <f t="shared" si="0"/>
        <v/>
      </c>
      <c r="F35" s="4"/>
      <c r="G35" s="4"/>
      <c r="H35" s="77" t="str">
        <f t="shared" si="1"/>
        <v/>
      </c>
      <c r="I35" s="76" t="str">
        <f t="shared" si="2"/>
        <v/>
      </c>
      <c r="J35" s="265"/>
    </row>
    <row r="36" spans="1:10" ht="31.5" x14ac:dyDescent="0.25">
      <c r="A36" s="83"/>
      <c r="B36" s="83"/>
      <c r="C36" s="83"/>
      <c r="D36" s="83"/>
      <c r="E36" s="83"/>
      <c r="F36" s="83"/>
      <c r="G36" s="83"/>
      <c r="H36" s="47" t="s">
        <v>454</v>
      </c>
      <c r="I36" s="48">
        <f>SUM(I12:I35)</f>
        <v>0</v>
      </c>
      <c r="J36" s="265"/>
    </row>
    <row r="37" spans="1:10" s="83" customFormat="1" x14ac:dyDescent="0.25"/>
    <row r="38" spans="1:10" s="83" customFormat="1" x14ac:dyDescent="0.25"/>
    <row r="39" spans="1:10" s="83" customFormat="1" x14ac:dyDescent="0.25"/>
    <row r="40" spans="1:10" s="83" customFormat="1" x14ac:dyDescent="0.25"/>
  </sheetData>
  <sheetProtection algorithmName="SHA-512" hashValue="hq9JlxhLOVd1B2p/zZE/yK0upebkVL/AhCy+G4cfrsbZUf8n157aGg9n9zbutaxZqDDU2VM4heAeJvWe4c+Lhw==" saltValue="cYaU5BIQGjk+pjBu6yHoqg==" spinCount="100000" sheet="1" objects="1" scenarios="1"/>
  <protectedRanges>
    <protectedRange sqref="A12:D35 F12:G35 J12:J36" name="Range1"/>
  </protectedRanges>
  <dataValidations xWindow="766" yWindow="729" count="3">
    <dataValidation type="decimal" operator="greaterThanOrEqual" allowBlank="1" showInputMessage="1" showErrorMessage="1" sqref="F12:G35 B12:B35 C13:D35" xr:uid="{EBF197E4-6FEC-43B5-B195-BCA001A4D11E}">
      <formula1>0</formula1>
    </dataValidation>
    <dataValidation allowBlank="1" showInputMessage="1" showErrorMessage="1" prompt="Calculate according to 968(g)(3)(C) in the regulatory text" sqref="C11:C12" xr:uid="{762FD06F-2428-46E3-AAF3-760F90AC6D31}"/>
    <dataValidation allowBlank="1" showInputMessage="1" showErrorMessage="1" prompt="Calculate according to 968(g)(3)(B) in the regulatory text" sqref="D11:D12" xr:uid="{38E86C64-2BD0-4FA3-9A4A-108D6007DB66}"/>
  </dataValidations>
  <hyperlinks>
    <hyperlink ref="A5" r:id="rId1" xr:uid="{CC98D054-B86D-4117-8D6C-5999DE002D4C}"/>
    <hyperlink ref="A6" r:id="rId2" xr:uid="{D9625775-C71B-4CBD-8BF7-AA81F5E5C68F}"/>
    <hyperlink ref="A7" r:id="rId3" xr:uid="{E9910476-DD7E-40FC-B09F-B4FDE8D6CDB8}"/>
    <hyperlink ref="A8" r:id="rId4" xr:uid="{F0BF3CCB-C44F-4546-87D8-D91A4086C1B6}"/>
    <hyperlink ref="I1" location="'Landing Page and Navigation'!E1" display="Back to Table of Contents" xr:uid="{6A488B34-2A59-4888-9A85-D4DBC9C1E646}"/>
  </hyperlinks>
  <pageMargins left="0.7" right="0.7" top="0.75" bottom="0.75" header="0.3" footer="0.3"/>
  <pageSetup orientation="portrait" r:id="rId5"/>
  <extLst>
    <ext xmlns:x14="http://schemas.microsoft.com/office/spreadsheetml/2009/9/main" uri="{78C0D931-6437-407d-A8EE-F0AAD7539E65}">
      <x14:conditionalFormattings>
        <x14:conditionalFormatting xmlns:xm="http://schemas.microsoft.com/office/excel/2006/main">
          <x14:cfRule type="expression" priority="1" id="{13A1C570-8B6F-4E52-8BA6-7D3154976584}">
            <xm:f>OR('Res-Outdoor Variances'!$B$55&lt;&gt;"1% Threshold Equation",'Res-Outdoor Variances'!$B$8&lt;&gt;"Yes")</xm:f>
            <x14:dxf>
              <font>
                <color theme="0"/>
              </font>
              <fill>
                <patternFill>
                  <bgColor theme="0"/>
                </patternFill>
              </fill>
              <border>
                <left/>
                <right/>
                <top/>
                <bottom/>
                <vertical/>
                <horizontal/>
              </border>
            </x14:dxf>
          </x14:cfRule>
          <xm:sqref>A3:K37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5AA5-4909-42D4-837D-91E4A3AD00EE}">
  <sheetPr codeName="Sheet7">
    <tabColor theme="4"/>
  </sheetPr>
  <dimension ref="A1:P153"/>
  <sheetViews>
    <sheetView workbookViewId="0"/>
  </sheetViews>
  <sheetFormatPr defaultColWidth="0" defaultRowHeight="14.45" customHeight="1" zeroHeight="1" x14ac:dyDescent="0.25"/>
  <cols>
    <col min="1" max="1" width="98.7109375" customWidth="1"/>
    <col min="2" max="2" width="25.7109375" customWidth="1"/>
    <col min="3" max="3" width="17.7109375" style="5" customWidth="1"/>
    <col min="4" max="4" width="70.7109375" customWidth="1"/>
    <col min="5" max="5" width="19.7109375" customWidth="1"/>
    <col min="6" max="6" width="3.42578125" style="83" customWidth="1"/>
    <col min="7" max="15" width="9.140625" style="83" customWidth="1"/>
    <col min="16" max="16" width="0" style="83" hidden="1" customWidth="1"/>
    <col min="17" max="16384" width="9.140625" hidden="1"/>
  </cols>
  <sheetData>
    <row r="1" spans="1:7" ht="18.75" x14ac:dyDescent="0.25">
      <c r="A1" s="17" t="s">
        <v>534</v>
      </c>
      <c r="B1" s="18" t="s">
        <v>140</v>
      </c>
      <c r="C1" s="17" t="s">
        <v>141</v>
      </c>
      <c r="D1" s="17" t="s">
        <v>142</v>
      </c>
      <c r="E1" s="17" t="s">
        <v>143</v>
      </c>
      <c r="G1" s="84" t="s">
        <v>145</v>
      </c>
    </row>
    <row r="2" spans="1:7" ht="15" x14ac:dyDescent="0.25">
      <c r="A2" s="112" t="s">
        <v>535</v>
      </c>
      <c r="B2" s="57">
        <f>B33</f>
        <v>0</v>
      </c>
      <c r="C2" s="112" t="s">
        <v>163</v>
      </c>
      <c r="D2" s="98" t="s">
        <v>536</v>
      </c>
      <c r="E2" s="112" t="s">
        <v>170</v>
      </c>
      <c r="G2" s="84" t="s">
        <v>537</v>
      </c>
    </row>
    <row r="3" spans="1:7" ht="15" x14ac:dyDescent="0.25">
      <c r="A3" s="112" t="s">
        <v>171</v>
      </c>
      <c r="B3" s="57">
        <f>B38</f>
        <v>0</v>
      </c>
      <c r="C3" s="112" t="s">
        <v>163</v>
      </c>
      <c r="D3" s="98" t="s">
        <v>538</v>
      </c>
      <c r="E3" s="112" t="s">
        <v>172</v>
      </c>
    </row>
    <row r="4" spans="1:7" ht="15" x14ac:dyDescent="0.25">
      <c r="A4" s="112" t="s">
        <v>173</v>
      </c>
      <c r="B4" s="57">
        <f>B48</f>
        <v>0</v>
      </c>
      <c r="C4" s="112" t="s">
        <v>163</v>
      </c>
      <c r="D4" s="98" t="s">
        <v>539</v>
      </c>
      <c r="E4" s="112" t="s">
        <v>174</v>
      </c>
    </row>
    <row r="5" spans="1:7" ht="31.5" x14ac:dyDescent="0.25">
      <c r="A5" s="45" t="s">
        <v>540</v>
      </c>
      <c r="B5" s="48">
        <f>SUM(B2:B4)</f>
        <v>0</v>
      </c>
      <c r="C5" s="47"/>
      <c r="D5" s="47" t="s">
        <v>541</v>
      </c>
      <c r="E5" s="55"/>
    </row>
    <row r="6" spans="1:7" s="83" customFormat="1" ht="15" x14ac:dyDescent="0.25">
      <c r="A6" s="99"/>
      <c r="B6" s="111"/>
      <c r="C6" s="99"/>
      <c r="D6" s="99"/>
      <c r="E6" s="99"/>
    </row>
    <row r="7" spans="1:7" ht="18.75" x14ac:dyDescent="0.25">
      <c r="A7" s="58" t="s">
        <v>196</v>
      </c>
      <c r="B7" s="62" t="s">
        <v>140</v>
      </c>
      <c r="C7" s="61" t="s">
        <v>141</v>
      </c>
      <c r="D7" s="61" t="s">
        <v>142</v>
      </c>
      <c r="E7" s="61" t="s">
        <v>143</v>
      </c>
    </row>
    <row r="8" spans="1:7" ht="15" x14ac:dyDescent="0.25">
      <c r="A8" s="97" t="s">
        <v>542</v>
      </c>
      <c r="B8" s="72">
        <f>B5*0.05</f>
        <v>0</v>
      </c>
      <c r="C8" s="97" t="s">
        <v>198</v>
      </c>
      <c r="D8" s="97" t="s">
        <v>310</v>
      </c>
      <c r="E8" s="97"/>
    </row>
    <row r="9" spans="1:7" ht="15" x14ac:dyDescent="0.25">
      <c r="A9" s="97" t="s">
        <v>543</v>
      </c>
      <c r="B9" s="72">
        <f>B5*0.01</f>
        <v>0</v>
      </c>
      <c r="C9" s="97" t="s">
        <v>198</v>
      </c>
      <c r="D9" s="97" t="s">
        <v>312</v>
      </c>
      <c r="E9" s="97"/>
    </row>
    <row r="10" spans="1:7" ht="30" x14ac:dyDescent="0.25">
      <c r="A10" s="97" t="s">
        <v>544</v>
      </c>
      <c r="B10" s="93" t="s">
        <v>109</v>
      </c>
      <c r="C10" s="97" t="s">
        <v>545</v>
      </c>
      <c r="D10" s="98" t="s">
        <v>546</v>
      </c>
      <c r="E10" s="97"/>
    </row>
    <row r="11" spans="1:7" ht="30" x14ac:dyDescent="0.25">
      <c r="A11" s="97" t="s">
        <v>547</v>
      </c>
      <c r="B11" s="93" t="s">
        <v>109</v>
      </c>
      <c r="C11" s="97" t="s">
        <v>545</v>
      </c>
      <c r="D11" s="98" t="s">
        <v>548</v>
      </c>
      <c r="E11" s="97"/>
    </row>
    <row r="12" spans="1:7" ht="60" x14ac:dyDescent="0.25">
      <c r="A12" s="97" t="s">
        <v>549</v>
      </c>
      <c r="B12" s="93" t="s">
        <v>550</v>
      </c>
      <c r="C12" s="97" t="s">
        <v>545</v>
      </c>
      <c r="D12" s="98" t="s">
        <v>551</v>
      </c>
      <c r="E12" s="97"/>
    </row>
    <row r="13" spans="1:7" ht="30" x14ac:dyDescent="0.25">
      <c r="A13" s="97" t="s">
        <v>552</v>
      </c>
      <c r="B13" s="93" t="s">
        <v>109</v>
      </c>
      <c r="C13" s="97" t="s">
        <v>545</v>
      </c>
      <c r="D13" s="98" t="s">
        <v>553</v>
      </c>
      <c r="E13" s="97"/>
    </row>
    <row r="14" spans="1:7" ht="30" x14ac:dyDescent="0.25">
      <c r="A14" s="97" t="s">
        <v>554</v>
      </c>
      <c r="B14" s="93" t="s">
        <v>109</v>
      </c>
      <c r="C14" s="97" t="s">
        <v>545</v>
      </c>
      <c r="D14" s="98" t="s">
        <v>555</v>
      </c>
      <c r="E14" s="97"/>
    </row>
    <row r="15" spans="1:7" ht="30" x14ac:dyDescent="0.25">
      <c r="A15" s="97" t="s">
        <v>556</v>
      </c>
      <c r="B15" s="93" t="s">
        <v>109</v>
      </c>
      <c r="C15" s="97" t="s">
        <v>545</v>
      </c>
      <c r="D15" s="98" t="s">
        <v>557</v>
      </c>
      <c r="E15" s="97"/>
    </row>
    <row r="16" spans="1:7" ht="30" x14ac:dyDescent="0.25">
      <c r="A16" s="97" t="s">
        <v>558</v>
      </c>
      <c r="B16" s="93" t="s">
        <v>109</v>
      </c>
      <c r="C16" s="97" t="s">
        <v>545</v>
      </c>
      <c r="D16" s="98" t="s">
        <v>559</v>
      </c>
      <c r="E16" s="97"/>
    </row>
    <row r="17" spans="1:5" ht="30" x14ac:dyDescent="0.25">
      <c r="A17" s="97" t="s">
        <v>560</v>
      </c>
      <c r="B17" s="93" t="s">
        <v>109</v>
      </c>
      <c r="C17" s="97" t="s">
        <v>545</v>
      </c>
      <c r="D17" s="98" t="s">
        <v>561</v>
      </c>
      <c r="E17" s="97"/>
    </row>
    <row r="18" spans="1:5" ht="30" x14ac:dyDescent="0.25">
      <c r="A18" s="97" t="s">
        <v>562</v>
      </c>
      <c r="B18" s="93" t="s">
        <v>109</v>
      </c>
      <c r="C18" s="97" t="s">
        <v>545</v>
      </c>
      <c r="D18" s="98" t="s">
        <v>563</v>
      </c>
      <c r="E18" s="97"/>
    </row>
    <row r="19" spans="1:5" ht="31.5" x14ac:dyDescent="0.25">
      <c r="A19" s="47" t="s">
        <v>564</v>
      </c>
      <c r="B19" s="48" t="e">
        <f>B138+B133+IF(B125&gt;=B8,B125,0)+IF(B120&gt;=B8,B120,0)+IF(B99="5% Threshold Equation",IF(B103&gt;=B8,B103,0),IF((B113+B114)&gt;=B9,(B113+B114),0))+IF(B79="Special Landscape Area",0,IF(B79="5% Threshold Equation",IF(B90&gt;=B8,B90,0),IF(B92&gt;=B9,B92,0)))+IF(B75&gt;=B8,B75,0)+IF(B66&gt;=B8,B66,0)+B96</f>
        <v>#VALUE!</v>
      </c>
      <c r="C19" s="47" t="s">
        <v>163</v>
      </c>
      <c r="D19" s="47" t="s">
        <v>217</v>
      </c>
      <c r="E19" s="55"/>
    </row>
    <row r="20" spans="1:5" s="83" customFormat="1" ht="15.75" x14ac:dyDescent="0.25">
      <c r="A20" s="113"/>
      <c r="B20" s="114"/>
      <c r="C20" s="113"/>
      <c r="D20" s="115"/>
      <c r="E20" s="116"/>
    </row>
    <row r="21" spans="1:5" s="83" customFormat="1" ht="18.75" x14ac:dyDescent="0.3">
      <c r="A21" s="102" t="s">
        <v>333</v>
      </c>
      <c r="B21" s="114"/>
      <c r="C21" s="113"/>
      <c r="D21" s="115"/>
      <c r="E21" s="116"/>
    </row>
    <row r="22" spans="1:5" ht="18.75" x14ac:dyDescent="0.25">
      <c r="A22" s="17" t="s">
        <v>334</v>
      </c>
      <c r="B22" s="18" t="s">
        <v>140</v>
      </c>
      <c r="C22" s="17" t="s">
        <v>141</v>
      </c>
      <c r="D22" s="17" t="s">
        <v>142</v>
      </c>
      <c r="E22" s="17" t="s">
        <v>143</v>
      </c>
    </row>
    <row r="23" spans="1:5" ht="15" x14ac:dyDescent="0.25">
      <c r="A23" s="97" t="s">
        <v>335</v>
      </c>
      <c r="B23" s="31" cm="1">
        <f t="array" ref="B23">IFERROR(
    SUMPRODUCT(
        IFERROR((CLIMATE_ETO) * (CLIMATE_ORG_ID_LIST = ORG_ID_REF) * (LAM_II_SQFT) * (LAM_ORG_ID_LIST = ORG_ID_REF), 0)
    ) / IFERROR(
        SUMPRODUCT((LAM_II_SQFT) * (LAM_ORG_ID_LIST = ORG_ID_REF)), 1
    ), 0
)</f>
        <v>0</v>
      </c>
      <c r="C23" s="97" t="s">
        <v>336</v>
      </c>
      <c r="D23" s="98" t="s">
        <v>337</v>
      </c>
      <c r="E23" s="97" t="s">
        <v>338</v>
      </c>
    </row>
    <row r="24" spans="1:5" ht="15" x14ac:dyDescent="0.25">
      <c r="A24" s="97" t="s">
        <v>339</v>
      </c>
      <c r="B24" s="31" cm="1">
        <f t="array" ref="B24">IFERROR(
    SUMPRODUCT(
        IFERROR((CLIMATE_PEFF) * (CLIMATE_ORG_ID_LIST = ORG_ID_REF) * (LAM_II_SQFT) * (LAM_ORG_ID_LIST = ORG_ID_REF), 0)
    ) / IFERROR(
        SUMPRODUCT((LAM_II_SQFT) * (LAM_ORG_ID_LIST = ORG_ID_REF)), 1
    ), 0
)</f>
        <v>0</v>
      </c>
      <c r="C24" s="97" t="s">
        <v>336</v>
      </c>
      <c r="D24" s="98" t="s">
        <v>337</v>
      </c>
      <c r="E24" s="97" t="s">
        <v>340</v>
      </c>
    </row>
    <row r="25" spans="1:5" ht="18" x14ac:dyDescent="0.25">
      <c r="A25" s="97" t="s">
        <v>341</v>
      </c>
      <c r="B25" s="74">
        <f>B23-B24</f>
        <v>0</v>
      </c>
      <c r="C25" s="97" t="s">
        <v>336</v>
      </c>
      <c r="D25" s="97" t="s">
        <v>342</v>
      </c>
      <c r="E25" s="97" t="s">
        <v>343</v>
      </c>
    </row>
    <row r="26" spans="1:5" s="83" customFormat="1" ht="15" x14ac:dyDescent="0.25">
      <c r="C26" s="89"/>
    </row>
    <row r="27" spans="1:5" ht="37.5" x14ac:dyDescent="0.25">
      <c r="A27" s="17" t="s">
        <v>565</v>
      </c>
      <c r="B27" s="18" t="s">
        <v>140</v>
      </c>
      <c r="C27" s="17" t="s">
        <v>141</v>
      </c>
      <c r="D27" s="17" t="s">
        <v>142</v>
      </c>
      <c r="E27" s="17" t="s">
        <v>143</v>
      </c>
    </row>
    <row r="28" spans="1:5" ht="33" x14ac:dyDescent="0.25">
      <c r="A28" s="97" t="s">
        <v>396</v>
      </c>
      <c r="B28" s="36">
        <v>0.62</v>
      </c>
      <c r="C28" s="97" t="s">
        <v>397</v>
      </c>
      <c r="D28" s="97" t="s">
        <v>398</v>
      </c>
      <c r="E28" s="117"/>
    </row>
    <row r="29" spans="1:5" ht="15" x14ac:dyDescent="0.25">
      <c r="A29" s="97" t="s">
        <v>566</v>
      </c>
      <c r="B29" s="36">
        <v>0.8</v>
      </c>
      <c r="C29" s="97" t="s">
        <v>406</v>
      </c>
      <c r="D29" s="97"/>
      <c r="E29" s="97" t="s">
        <v>567</v>
      </c>
    </row>
    <row r="30" spans="1:5" ht="15" x14ac:dyDescent="0.25">
      <c r="A30" s="97" t="s">
        <v>568</v>
      </c>
      <c r="B30" s="30" cm="1">
        <f t="array" ref="B30">SUMIF(LAM_ORG_ID_LIST, ORG_ID_REF, LAM_II_SQFT)</f>
        <v>0</v>
      </c>
      <c r="C30" s="97" t="s">
        <v>375</v>
      </c>
      <c r="D30" s="98" t="s">
        <v>376</v>
      </c>
      <c r="E30" s="97" t="s">
        <v>569</v>
      </c>
    </row>
    <row r="31" spans="1:5" ht="15" x14ac:dyDescent="0.25">
      <c r="A31" s="97" t="s">
        <v>570</v>
      </c>
      <c r="B31" s="16"/>
      <c r="C31" s="97" t="s">
        <v>375</v>
      </c>
      <c r="D31" s="97" t="s">
        <v>571</v>
      </c>
      <c r="E31" s="97" t="s">
        <v>572</v>
      </c>
    </row>
    <row r="32" spans="1:5" ht="45" x14ac:dyDescent="0.25">
      <c r="A32" s="97" t="s">
        <v>573</v>
      </c>
      <c r="B32" s="71">
        <f>B30-B43-B44-B31-B42</f>
        <v>0</v>
      </c>
      <c r="C32" s="97" t="s">
        <v>375</v>
      </c>
      <c r="D32" s="97" t="s">
        <v>574</v>
      </c>
      <c r="E32" s="97"/>
    </row>
    <row r="33" spans="1:5" ht="34.5" customHeight="1" x14ac:dyDescent="0.25">
      <c r="A33" s="43" t="s">
        <v>169</v>
      </c>
      <c r="B33" s="44">
        <f>(B32)*B25*B29*B28</f>
        <v>0</v>
      </c>
      <c r="C33" s="43" t="s">
        <v>163</v>
      </c>
      <c r="D33" s="43" t="s">
        <v>575</v>
      </c>
      <c r="E33" s="43" t="s">
        <v>170</v>
      </c>
    </row>
    <row r="34" spans="1:5" s="83" customFormat="1" ht="18" hidden="1" customHeight="1" x14ac:dyDescent="0.25">
      <c r="A34" s="118"/>
      <c r="B34" s="119"/>
      <c r="C34" s="118"/>
      <c r="D34" s="118"/>
      <c r="E34" s="118"/>
    </row>
    <row r="35" spans="1:5" ht="34.5" hidden="1" customHeight="1" x14ac:dyDescent="0.25">
      <c r="A35" s="17" t="s">
        <v>576</v>
      </c>
      <c r="B35" s="18" t="s">
        <v>140</v>
      </c>
      <c r="C35" s="17" t="s">
        <v>141</v>
      </c>
      <c r="D35" s="17" t="s">
        <v>142</v>
      </c>
      <c r="E35" s="17" t="s">
        <v>143</v>
      </c>
    </row>
    <row r="36" spans="1:5" ht="15" hidden="1" x14ac:dyDescent="0.25">
      <c r="A36" s="97" t="s">
        <v>577</v>
      </c>
      <c r="B36" s="38">
        <v>0.55000000000000004</v>
      </c>
      <c r="C36" s="97" t="s">
        <v>406</v>
      </c>
      <c r="D36" s="97"/>
      <c r="E36" s="97" t="s">
        <v>578</v>
      </c>
    </row>
    <row r="37" spans="1:5" ht="15" hidden="1" x14ac:dyDescent="0.25">
      <c r="A37" s="97" t="s">
        <v>579</v>
      </c>
      <c r="B37" s="16"/>
      <c r="C37" s="97" t="s">
        <v>375</v>
      </c>
      <c r="D37" s="97" t="s">
        <v>571</v>
      </c>
      <c r="E37" s="97" t="s">
        <v>580</v>
      </c>
    </row>
    <row r="38" spans="1:5" ht="18" hidden="1" x14ac:dyDescent="0.25">
      <c r="A38" s="43" t="s">
        <v>581</v>
      </c>
      <c r="B38" s="44">
        <f>B37*B36*B28*B25</f>
        <v>0</v>
      </c>
      <c r="C38" s="43" t="s">
        <v>163</v>
      </c>
      <c r="D38" s="43" t="s">
        <v>582</v>
      </c>
      <c r="E38" s="43" t="s">
        <v>172</v>
      </c>
    </row>
    <row r="39" spans="1:5" s="83" customFormat="1" ht="15" hidden="1" x14ac:dyDescent="0.25">
      <c r="A39" s="118"/>
      <c r="B39" s="119"/>
      <c r="C39" s="118"/>
      <c r="D39" s="120"/>
      <c r="E39" s="118"/>
    </row>
    <row r="40" spans="1:5" ht="18.75" hidden="1" x14ac:dyDescent="0.25">
      <c r="A40" s="17" t="s">
        <v>583</v>
      </c>
      <c r="B40" s="18" t="s">
        <v>140</v>
      </c>
      <c r="C40" s="17" t="s">
        <v>141</v>
      </c>
      <c r="D40" s="17" t="s">
        <v>142</v>
      </c>
      <c r="E40" s="17" t="s">
        <v>143</v>
      </c>
    </row>
    <row r="41" spans="1:5" ht="15" hidden="1" x14ac:dyDescent="0.25">
      <c r="A41" s="97" t="s">
        <v>584</v>
      </c>
      <c r="B41" s="37">
        <v>1</v>
      </c>
      <c r="C41" s="97" t="s">
        <v>406</v>
      </c>
      <c r="D41" s="97"/>
      <c r="E41" s="97" t="s">
        <v>585</v>
      </c>
    </row>
    <row r="42" spans="1:5" ht="20.25" hidden="1" customHeight="1" x14ac:dyDescent="0.25">
      <c r="A42" s="121" t="s">
        <v>586</v>
      </c>
      <c r="B42" s="56" cm="1">
        <f t="array" ref="B42">SUMIF(LAM_ORG_ID_LIST, ORG_ID_REF, LAM_POOL_SQFT)</f>
        <v>0</v>
      </c>
      <c r="C42" s="121" t="s">
        <v>375</v>
      </c>
      <c r="D42" s="123" t="s">
        <v>376</v>
      </c>
      <c r="E42" s="121" t="s">
        <v>587</v>
      </c>
    </row>
    <row r="43" spans="1:5" ht="19.5" hidden="1" customHeight="1" x14ac:dyDescent="0.25">
      <c r="A43" s="97" t="s">
        <v>588</v>
      </c>
      <c r="B43" s="16"/>
      <c r="C43" s="97" t="s">
        <v>375</v>
      </c>
      <c r="D43" s="97" t="s">
        <v>571</v>
      </c>
      <c r="E43" s="97" t="s">
        <v>589</v>
      </c>
    </row>
    <row r="44" spans="1:5" ht="17.25" hidden="1" customHeight="1" x14ac:dyDescent="0.25">
      <c r="A44" s="97" t="s">
        <v>590</v>
      </c>
      <c r="B44" s="16"/>
      <c r="C44" s="97" t="s">
        <v>375</v>
      </c>
      <c r="D44" s="97" t="s">
        <v>571</v>
      </c>
      <c r="E44" s="97" t="s">
        <v>589</v>
      </c>
    </row>
    <row r="45" spans="1:5" ht="20.25" hidden="1" customHeight="1" x14ac:dyDescent="0.25">
      <c r="A45" s="97" t="s">
        <v>591</v>
      </c>
      <c r="B45" s="16"/>
      <c r="C45" s="97" t="s">
        <v>375</v>
      </c>
      <c r="D45" s="124" t="s">
        <v>571</v>
      </c>
      <c r="E45" s="125" t="s">
        <v>172</v>
      </c>
    </row>
    <row r="46" spans="1:5" ht="18" hidden="1" customHeight="1" x14ac:dyDescent="0.25">
      <c r="A46" s="122" t="s">
        <v>592</v>
      </c>
      <c r="B46" s="66"/>
      <c r="C46" s="122" t="s">
        <v>375</v>
      </c>
      <c r="D46" s="126" t="s">
        <v>571</v>
      </c>
      <c r="E46" s="127" t="s">
        <v>174</v>
      </c>
    </row>
    <row r="47" spans="1:5" ht="45" hidden="1" x14ac:dyDescent="0.25">
      <c r="A47" s="97" t="s">
        <v>593</v>
      </c>
      <c r="B47" s="71">
        <f>IF(B79="Special Landscape Area",B86,0)</f>
        <v>0</v>
      </c>
      <c r="C47" s="97" t="s">
        <v>163</v>
      </c>
      <c r="D47" s="98" t="s">
        <v>594</v>
      </c>
      <c r="E47" s="128" t="s">
        <v>412</v>
      </c>
    </row>
    <row r="48" spans="1:5" ht="33" hidden="1" x14ac:dyDescent="0.25">
      <c r="A48" s="54" t="s">
        <v>173</v>
      </c>
      <c r="B48" s="67">
        <f>(B43+B44+B42+B45+B46)*B41*B28*B25+B47</f>
        <v>0</v>
      </c>
      <c r="C48" s="54" t="s">
        <v>163</v>
      </c>
      <c r="D48" s="54" t="s">
        <v>595</v>
      </c>
      <c r="E48" s="54"/>
    </row>
    <row r="49" spans="1:5" ht="30" hidden="1" x14ac:dyDescent="0.25">
      <c r="A49" s="112" t="s">
        <v>596</v>
      </c>
      <c r="B49" s="129"/>
      <c r="C49" s="130"/>
      <c r="D49" s="98" t="s">
        <v>597</v>
      </c>
      <c r="E49" s="112" t="s">
        <v>598</v>
      </c>
    </row>
    <row r="50" spans="1:5" s="83" customFormat="1" ht="15" hidden="1" x14ac:dyDescent="0.25">
      <c r="C50" s="89"/>
    </row>
    <row r="51" spans="1:5" ht="18.75" hidden="1" x14ac:dyDescent="0.25">
      <c r="A51" s="17" t="s">
        <v>599</v>
      </c>
      <c r="B51" s="18" t="s">
        <v>140</v>
      </c>
      <c r="C51" s="17" t="s">
        <v>141</v>
      </c>
      <c r="D51" s="17" t="s">
        <v>142</v>
      </c>
      <c r="E51" s="17" t="s">
        <v>143</v>
      </c>
    </row>
    <row r="52" spans="1:5" ht="15" hidden="1" x14ac:dyDescent="0.25">
      <c r="A52" s="97" t="s">
        <v>600</v>
      </c>
      <c r="B52" s="30" cm="1">
        <f t="array" ref="B52">SUMIF(LAM_ORG_ID_LIST, ORG_ID_REF, LAM_INI_SQFT)</f>
        <v>0</v>
      </c>
      <c r="C52" s="97" t="s">
        <v>375</v>
      </c>
      <c r="D52" s="98" t="s">
        <v>376</v>
      </c>
      <c r="E52" s="97" t="s">
        <v>601</v>
      </c>
    </row>
    <row r="53" spans="1:5" ht="33" hidden="1" x14ac:dyDescent="0.25">
      <c r="A53" s="43" t="s">
        <v>602</v>
      </c>
      <c r="B53" s="44">
        <f>(0.2*B52)*B25*B29*B28</f>
        <v>0</v>
      </c>
      <c r="C53" s="43" t="s">
        <v>163</v>
      </c>
      <c r="D53" s="43" t="s">
        <v>603</v>
      </c>
      <c r="E53" s="43" t="s">
        <v>601</v>
      </c>
    </row>
    <row r="54" spans="1:5" s="83" customFormat="1" ht="15" x14ac:dyDescent="0.25">
      <c r="A54" s="99"/>
      <c r="B54" s="111"/>
      <c r="C54" s="99"/>
      <c r="D54" s="99"/>
      <c r="E54" s="99"/>
    </row>
    <row r="55" spans="1:5" s="83" customFormat="1" ht="17.25" customHeight="1" x14ac:dyDescent="0.3">
      <c r="A55" s="102" t="s">
        <v>604</v>
      </c>
      <c r="B55" s="131"/>
      <c r="C55" s="132"/>
      <c r="D55" s="133"/>
      <c r="E55" s="88"/>
    </row>
    <row r="56" spans="1:5" s="83" customFormat="1" ht="15.75" x14ac:dyDescent="0.25">
      <c r="A56" s="105" t="s">
        <v>605</v>
      </c>
      <c r="B56" s="131"/>
      <c r="C56" s="132"/>
      <c r="D56" s="133"/>
      <c r="E56" s="88"/>
    </row>
    <row r="57" spans="1:5" ht="18.75" x14ac:dyDescent="0.25">
      <c r="A57" s="58" t="s">
        <v>344</v>
      </c>
      <c r="B57" s="62" t="s">
        <v>140</v>
      </c>
      <c r="C57" s="61" t="s">
        <v>141</v>
      </c>
      <c r="D57" s="61" t="s">
        <v>142</v>
      </c>
      <c r="E57" s="61" t="s">
        <v>143</v>
      </c>
    </row>
    <row r="58" spans="1:5" ht="30" x14ac:dyDescent="0.25">
      <c r="A58" s="106" t="s">
        <v>606</v>
      </c>
      <c r="B58" s="25"/>
      <c r="C58" s="106" t="s">
        <v>349</v>
      </c>
      <c r="D58" s="106"/>
      <c r="E58" s="106" t="s">
        <v>358</v>
      </c>
    </row>
    <row r="59" spans="1:5" ht="30" x14ac:dyDescent="0.25">
      <c r="A59" s="106" t="s">
        <v>607</v>
      </c>
      <c r="B59" s="39">
        <v>8</v>
      </c>
      <c r="C59" s="106" t="s">
        <v>353</v>
      </c>
      <c r="D59" s="107"/>
      <c r="E59" s="106" t="s">
        <v>358</v>
      </c>
    </row>
    <row r="60" spans="1:5" ht="17.25" customHeight="1" x14ac:dyDescent="0.25">
      <c r="A60" s="106" t="s">
        <v>360</v>
      </c>
      <c r="B60" s="25"/>
      <c r="C60" s="106" t="s">
        <v>349</v>
      </c>
      <c r="D60" s="107"/>
      <c r="E60" s="106" t="s">
        <v>361</v>
      </c>
    </row>
    <row r="61" spans="1:5" ht="30" x14ac:dyDescent="0.25">
      <c r="A61" s="107" t="s">
        <v>362</v>
      </c>
      <c r="B61" s="35">
        <v>11</v>
      </c>
      <c r="C61" s="106" t="s">
        <v>353</v>
      </c>
      <c r="D61" s="107"/>
      <c r="E61" s="107" t="s">
        <v>361</v>
      </c>
    </row>
    <row r="62" spans="1:5" ht="18" customHeight="1" x14ac:dyDescent="0.25">
      <c r="A62" s="107" t="s">
        <v>363</v>
      </c>
      <c r="B62" s="14"/>
      <c r="C62" s="106" t="s">
        <v>349</v>
      </c>
      <c r="D62" s="107"/>
      <c r="E62" s="107" t="s">
        <v>364</v>
      </c>
    </row>
    <row r="63" spans="1:5" ht="30" x14ac:dyDescent="0.25">
      <c r="A63" s="107" t="s">
        <v>365</v>
      </c>
      <c r="B63" s="35">
        <v>13</v>
      </c>
      <c r="C63" s="106" t="s">
        <v>353</v>
      </c>
      <c r="D63" s="107"/>
      <c r="E63" s="107" t="s">
        <v>364</v>
      </c>
    </row>
    <row r="64" spans="1:5" ht="15.75" customHeight="1" x14ac:dyDescent="0.25">
      <c r="A64" s="107" t="s">
        <v>366</v>
      </c>
      <c r="B64" s="14"/>
      <c r="C64" s="106" t="s">
        <v>349</v>
      </c>
      <c r="D64" s="107"/>
      <c r="E64" s="107" t="s">
        <v>367</v>
      </c>
    </row>
    <row r="65" spans="1:5" ht="30" x14ac:dyDescent="0.25">
      <c r="A65" s="107" t="s">
        <v>368</v>
      </c>
      <c r="B65" s="35">
        <v>16</v>
      </c>
      <c r="C65" s="106" t="s">
        <v>353</v>
      </c>
      <c r="D65" s="107"/>
      <c r="E65" s="107" t="s">
        <v>367</v>
      </c>
    </row>
    <row r="66" spans="1:5" ht="15" x14ac:dyDescent="0.25">
      <c r="A66" s="53" t="s">
        <v>369</v>
      </c>
      <c r="B66" s="50">
        <f>(B58*B59*NDAYS_YEAR)+(B60*B61*NDAYS_YEAR)+(B62*B63*NDAYS_YEAR)+(B64*B65*NDAYS_YEAR)</f>
        <v>0</v>
      </c>
      <c r="C66" s="49" t="s">
        <v>198</v>
      </c>
      <c r="D66" s="52"/>
      <c r="E66" s="53" t="s">
        <v>370</v>
      </c>
    </row>
    <row r="67" spans="1:5" ht="15" x14ac:dyDescent="0.25">
      <c r="A67" s="110" t="s">
        <v>371</v>
      </c>
      <c r="B67" s="73" t="str">
        <f>IF(B66&gt;=B8,"Yes","No")</f>
        <v>Yes</v>
      </c>
      <c r="C67" s="106"/>
      <c r="D67" s="107"/>
      <c r="E67" s="110"/>
    </row>
    <row r="68" spans="1:5" s="83" customFormat="1" ht="15" x14ac:dyDescent="0.25">
      <c r="A68" s="86"/>
      <c r="B68" s="109"/>
      <c r="C68" s="89"/>
      <c r="E68" s="86"/>
    </row>
    <row r="69" spans="1:5" ht="18.75" x14ac:dyDescent="0.25">
      <c r="A69" s="58" t="s">
        <v>372</v>
      </c>
      <c r="B69" s="62" t="s">
        <v>140</v>
      </c>
      <c r="C69" s="61" t="s">
        <v>141</v>
      </c>
      <c r="D69" s="61" t="s">
        <v>142</v>
      </c>
      <c r="E69" s="61" t="s">
        <v>143</v>
      </c>
    </row>
    <row r="70" spans="1:5" ht="15" x14ac:dyDescent="0.25">
      <c r="A70" s="106" t="s">
        <v>374</v>
      </c>
      <c r="B70" s="32" cm="1">
        <f t="array" ref="B70">SUMIF(LAM_ORG_ID_LIST, ORG_ID_REF, LAM_HCL)</f>
        <v>0</v>
      </c>
      <c r="C70" s="106" t="s">
        <v>375</v>
      </c>
      <c r="D70" s="98" t="s">
        <v>376</v>
      </c>
      <c r="E70" s="106" t="s">
        <v>377</v>
      </c>
    </row>
    <row r="71" spans="1:5" ht="15" x14ac:dyDescent="0.25">
      <c r="A71" s="106" t="s">
        <v>378</v>
      </c>
      <c r="B71" s="32" t="e" cm="1">
        <f t="array" ref="B71">INDEX(CZ_TREE_WATER, MATCH(ORG_ID_REF, CZ_ORG_ID_LIST, 0))</f>
        <v>#N/A</v>
      </c>
      <c r="C71" s="106" t="s">
        <v>379</v>
      </c>
      <c r="D71" s="98" t="s">
        <v>380</v>
      </c>
      <c r="E71" s="107" t="s">
        <v>381</v>
      </c>
    </row>
    <row r="72" spans="1:5" ht="15" x14ac:dyDescent="0.25">
      <c r="A72" s="107" t="s">
        <v>382</v>
      </c>
      <c r="B72" s="76" t="e">
        <f>B71*52</f>
        <v>#N/A</v>
      </c>
      <c r="C72" s="106" t="s">
        <v>383</v>
      </c>
      <c r="D72" s="107" t="s">
        <v>384</v>
      </c>
      <c r="E72" s="107" t="s">
        <v>381</v>
      </c>
    </row>
    <row r="73" spans="1:5" ht="15" x14ac:dyDescent="0.25">
      <c r="A73" s="107" t="s">
        <v>385</v>
      </c>
      <c r="B73" s="40">
        <v>2.1000000000000001E-2</v>
      </c>
      <c r="C73" s="106"/>
      <c r="D73" s="107"/>
      <c r="E73" s="107" t="s">
        <v>386</v>
      </c>
    </row>
    <row r="74" spans="1:5" ht="15" x14ac:dyDescent="0.25">
      <c r="A74" s="107" t="s">
        <v>387</v>
      </c>
      <c r="B74" s="40">
        <v>7.48</v>
      </c>
      <c r="C74" s="106"/>
      <c r="D74" s="107"/>
      <c r="E74" s="107" t="s">
        <v>386</v>
      </c>
    </row>
    <row r="75" spans="1:5" ht="15" x14ac:dyDescent="0.25">
      <c r="A75" s="53" t="s">
        <v>388</v>
      </c>
      <c r="B75" s="50" t="e">
        <f>B70*B72*B73*B74</f>
        <v>#N/A</v>
      </c>
      <c r="C75" s="51"/>
      <c r="D75" s="52"/>
      <c r="E75" s="53" t="s">
        <v>386</v>
      </c>
    </row>
    <row r="76" spans="1:5" ht="15" x14ac:dyDescent="0.25">
      <c r="A76" s="110" t="s">
        <v>389</v>
      </c>
      <c r="B76" s="73" t="e">
        <f>IF(B75&gt;=B8,"Yes","No")</f>
        <v>#N/A</v>
      </c>
      <c r="C76" s="106"/>
      <c r="D76" s="107"/>
      <c r="E76" s="110"/>
    </row>
    <row r="77" spans="1:5" s="83" customFormat="1" ht="15" x14ac:dyDescent="0.25">
      <c r="A77" s="86"/>
      <c r="B77" s="109"/>
      <c r="C77" s="89"/>
      <c r="E77" s="86"/>
    </row>
    <row r="78" spans="1:5" ht="19.5" thickBot="1" x14ac:dyDescent="0.3">
      <c r="A78" s="58" t="s">
        <v>608</v>
      </c>
      <c r="B78" s="79" t="s">
        <v>140</v>
      </c>
      <c r="C78" s="61" t="s">
        <v>141</v>
      </c>
      <c r="D78" s="61" t="s">
        <v>142</v>
      </c>
      <c r="E78" s="61" t="s">
        <v>143</v>
      </c>
    </row>
    <row r="79" spans="1:5" ht="60.75" thickBot="1" x14ac:dyDescent="0.3">
      <c r="A79" s="134" t="s">
        <v>609</v>
      </c>
      <c r="B79" s="96" t="s">
        <v>610</v>
      </c>
      <c r="C79" s="135"/>
      <c r="D79" s="136" t="s">
        <v>611</v>
      </c>
      <c r="E79" s="128" t="s">
        <v>412</v>
      </c>
    </row>
    <row r="80" spans="1:5" ht="15" x14ac:dyDescent="0.25">
      <c r="A80" s="106" t="s">
        <v>395</v>
      </c>
      <c r="B80" s="95" cm="1">
        <f t="array" ref="B80">SUMIF(LAM_ORG_ID_LIST, ORG_ID_REF, LAM_AG_SQFT)</f>
        <v>0</v>
      </c>
      <c r="C80" s="106" t="s">
        <v>375</v>
      </c>
      <c r="D80" s="98" t="s">
        <v>376</v>
      </c>
      <c r="E80" s="106" t="s">
        <v>612</v>
      </c>
    </row>
    <row r="81" spans="1:5" ht="33" x14ac:dyDescent="0.25">
      <c r="A81" s="107" t="s">
        <v>396</v>
      </c>
      <c r="B81" s="40">
        <v>0.62</v>
      </c>
      <c r="C81" s="97" t="s">
        <v>397</v>
      </c>
      <c r="D81" s="97" t="s">
        <v>398</v>
      </c>
      <c r="E81" s="107"/>
    </row>
    <row r="82" spans="1:5" ht="15" x14ac:dyDescent="0.25">
      <c r="A82" s="107" t="s">
        <v>399</v>
      </c>
      <c r="B82" s="29" cm="1">
        <f t="array" ref="B82">IFERROR(
    SUMPRODUCT(
        IFERROR((SEASONAL_ETO) * (SEASONAL_ORG_ID_LIST = ORG_ID_REF) * (LAM_II_SQFT) * (LAM_ORG_ID_LIST = ORG_ID_REF), 0)
    ) / IFERROR(
        SUMPRODUCT((LAM_II_SQFT) * (LAM_ORG_ID_LIST = ORG_ID_REF)), 1
    ), 0
)</f>
        <v>0</v>
      </c>
      <c r="C82" s="106" t="s">
        <v>336</v>
      </c>
      <c r="D82" s="148" t="s">
        <v>400</v>
      </c>
      <c r="E82" s="107" t="s">
        <v>612</v>
      </c>
    </row>
    <row r="83" spans="1:5" ht="15" x14ac:dyDescent="0.25">
      <c r="A83" s="107" t="s">
        <v>401</v>
      </c>
      <c r="B83" s="29" cm="1">
        <f t="array" ref="B83">IFERROR(
    SUMPRODUCT(
        IFERROR((SEASONAL_PEFF) * (SEASONAL_ORG_ID_LIST = ORG_ID_REF) * (LAM_II_SQFT) * (LAM_ORG_ID_LIST = ORG_ID_REF), 0)
    ) / IFERROR(
        SUMPRODUCT((LAM_II_SQFT) * (LAM_ORG_ID_LIST = ORG_ID_REF)), 1
    ), 0
)</f>
        <v>0</v>
      </c>
      <c r="C83" s="106" t="s">
        <v>336</v>
      </c>
      <c r="D83" s="148" t="s">
        <v>400</v>
      </c>
      <c r="E83" s="107" t="s">
        <v>612</v>
      </c>
    </row>
    <row r="84" spans="1:5" ht="15" x14ac:dyDescent="0.25">
      <c r="A84" s="107" t="s">
        <v>402</v>
      </c>
      <c r="B84" s="70">
        <f>B82-B83</f>
        <v>0</v>
      </c>
      <c r="C84" s="106" t="s">
        <v>336</v>
      </c>
      <c r="D84" s="107"/>
      <c r="E84" s="107" t="s">
        <v>612</v>
      </c>
    </row>
    <row r="85" spans="1:5" ht="15" hidden="1" x14ac:dyDescent="0.25">
      <c r="A85" s="107" t="s">
        <v>613</v>
      </c>
      <c r="B85" s="41">
        <v>1</v>
      </c>
      <c r="C85" s="106" t="s">
        <v>406</v>
      </c>
      <c r="D85" s="107"/>
      <c r="E85" s="107" t="s">
        <v>585</v>
      </c>
    </row>
    <row r="86" spans="1:5" ht="18" hidden="1" x14ac:dyDescent="0.35">
      <c r="A86" s="49" t="s">
        <v>614</v>
      </c>
      <c r="B86" s="50">
        <f>B80*B85*B84*B81</f>
        <v>0</v>
      </c>
      <c r="C86" s="49" t="s">
        <v>198</v>
      </c>
      <c r="D86" s="53" t="s">
        <v>615</v>
      </c>
      <c r="E86" s="53" t="s">
        <v>612</v>
      </c>
    </row>
    <row r="87" spans="1:5" ht="15" x14ac:dyDescent="0.25">
      <c r="A87" s="106" t="s">
        <v>616</v>
      </c>
      <c r="B87" s="29" cm="1">
        <f t="array" ref="B87">IFERROR(
    SUMPRODUCT(
        IFERROR((SEASONAL_CROP_COEFF) * (SEASONAL_ORG_ID_LIST = ORG_ID_REF) * (LAM_II_SQFT) * (LAM_ORG_ID_LIST = ORG_ID_REF), 0)
    ) / IFERROR(
        SUMPRODUCT((LAM_II_SQFT) * (LAM_ORG_ID_LIST = ORG_ID_REF)), 1
    ), 0
)</f>
        <v>0</v>
      </c>
      <c r="C87" s="106"/>
      <c r="D87" s="148" t="s">
        <v>400</v>
      </c>
      <c r="E87" s="107"/>
    </row>
    <row r="88" spans="1:5" ht="15" x14ac:dyDescent="0.25">
      <c r="A88" s="106" t="s">
        <v>617</v>
      </c>
      <c r="B88" s="33" cm="1">
        <f t="array" ref="B88">IFERROR(
    SUMPRODUCT(
        IFERROR((SEASONAL_IRR_EFF) * (SEASONAL_ORG_ID_LIST = ORG_ID_REF) * (LAM_II_SQFT) * (LAM_ORG_ID_LIST = ORG_ID_REF), 0)
    ) / IFERROR(
        SUMPRODUCT((LAM_II_SQFT) * (LAM_ORG_ID_LIST = ORG_ID_REF)), 1
    ), 0
)</f>
        <v>0</v>
      </c>
      <c r="C88" s="106"/>
      <c r="D88" s="148" t="s">
        <v>400</v>
      </c>
      <c r="E88" s="107"/>
    </row>
    <row r="89" spans="1:5" ht="15" x14ac:dyDescent="0.25">
      <c r="A89" s="107" t="s">
        <v>618</v>
      </c>
      <c r="B89" s="29" cm="1">
        <f t="array" ref="B89">IFERROR(
    SUMPRODUCT(
        IFERROR((SEASONAL_ETF) * (SEASONAL_ORG_ID_LIST = ORG_ID_REF) * (LAM_II_SQFT) * (LAM_ORG_ID_LIST = ORG_ID_REF), 0)
    ) / IFERROR(
        SUMPRODUCT((LAM_II_SQFT) * (LAM_ORG_ID_LIST = ORG_ID_REF)), 1
    ), 0
)</f>
        <v>0</v>
      </c>
      <c r="C89" s="106" t="s">
        <v>406</v>
      </c>
      <c r="D89" s="148" t="s">
        <v>400</v>
      </c>
      <c r="E89" s="107" t="s">
        <v>394</v>
      </c>
    </row>
    <row r="90" spans="1:5" ht="15" x14ac:dyDescent="0.25">
      <c r="A90" s="53" t="s">
        <v>408</v>
      </c>
      <c r="B90" s="50">
        <f>B80*B81*B84*B89</f>
        <v>0</v>
      </c>
      <c r="C90" s="51" t="s">
        <v>198</v>
      </c>
      <c r="D90" s="52"/>
      <c r="E90" s="53" t="s">
        <v>394</v>
      </c>
    </row>
    <row r="91" spans="1:5" ht="15" x14ac:dyDescent="0.25">
      <c r="A91" s="110" t="s">
        <v>409</v>
      </c>
      <c r="B91" s="73" t="str">
        <f>IF(B90&gt;=B8,"Yes","No")</f>
        <v>Yes</v>
      </c>
      <c r="C91" s="106"/>
      <c r="D91" s="107"/>
      <c r="E91" s="110"/>
    </row>
    <row r="92" spans="1:5" ht="30" hidden="1" x14ac:dyDescent="0.25">
      <c r="A92" s="53" t="s">
        <v>410</v>
      </c>
      <c r="B92" s="50">
        <f>'Residential Agriculture 1%'!I36</f>
        <v>0</v>
      </c>
      <c r="C92" s="49" t="s">
        <v>198</v>
      </c>
      <c r="D92" s="94" t="s">
        <v>619</v>
      </c>
      <c r="E92" s="53" t="s">
        <v>412</v>
      </c>
    </row>
    <row r="93" spans="1:5" ht="15" hidden="1" x14ac:dyDescent="0.25">
      <c r="A93" s="107" t="s">
        <v>413</v>
      </c>
      <c r="B93" s="70" t="str">
        <f>IF(B92&gt;=B9,"Yes","No")</f>
        <v>Yes</v>
      </c>
      <c r="C93" s="106"/>
      <c r="D93" s="137"/>
      <c r="E93" s="107"/>
    </row>
    <row r="94" spans="1:5" s="83" customFormat="1" ht="21" customHeight="1" x14ac:dyDescent="0.25">
      <c r="A94" s="86"/>
      <c r="B94" s="138"/>
      <c r="C94" s="89"/>
      <c r="D94" s="139"/>
      <c r="E94" s="86"/>
    </row>
    <row r="95" spans="1:5" ht="30.75" customHeight="1" x14ac:dyDescent="0.25">
      <c r="A95" s="58" t="s">
        <v>469</v>
      </c>
      <c r="B95" s="62" t="s">
        <v>140</v>
      </c>
      <c r="C95" s="61" t="s">
        <v>141</v>
      </c>
      <c r="D95" s="61" t="s">
        <v>142</v>
      </c>
      <c r="E95" s="61" t="s">
        <v>143</v>
      </c>
    </row>
    <row r="96" spans="1:5" ht="15" x14ac:dyDescent="0.25">
      <c r="A96" s="106" t="s">
        <v>620</v>
      </c>
      <c r="B96" s="25"/>
      <c r="C96" s="106" t="s">
        <v>198</v>
      </c>
      <c r="D96" s="106"/>
      <c r="E96" s="106" t="s">
        <v>621</v>
      </c>
    </row>
    <row r="97" spans="1:5" ht="15" x14ac:dyDescent="0.25">
      <c r="A97" s="85"/>
      <c r="B97" s="140"/>
      <c r="C97" s="85"/>
      <c r="D97" s="85"/>
      <c r="E97" s="85"/>
    </row>
    <row r="98" spans="1:5" ht="19.5" thickBot="1" x14ac:dyDescent="0.3">
      <c r="A98" s="58" t="s">
        <v>479</v>
      </c>
      <c r="B98" s="79" t="s">
        <v>140</v>
      </c>
      <c r="C98" s="61" t="s">
        <v>141</v>
      </c>
      <c r="D98" s="61" t="s">
        <v>142</v>
      </c>
      <c r="E98" s="61" t="s">
        <v>143</v>
      </c>
    </row>
    <row r="99" spans="1:5" ht="29.25" customHeight="1" thickBot="1" x14ac:dyDescent="0.3">
      <c r="A99" s="141" t="s">
        <v>494</v>
      </c>
      <c r="B99" s="81" t="s">
        <v>610</v>
      </c>
      <c r="C99" s="142"/>
      <c r="D99" s="143" t="s">
        <v>495</v>
      </c>
      <c r="E99" s="143" t="s">
        <v>496</v>
      </c>
    </row>
    <row r="100" spans="1:5" ht="15" x14ac:dyDescent="0.25">
      <c r="A100" s="106" t="s">
        <v>622</v>
      </c>
      <c r="B100" s="80"/>
      <c r="C100" s="106" t="s">
        <v>375</v>
      </c>
      <c r="D100" s="106"/>
      <c r="E100" s="106" t="s">
        <v>623</v>
      </c>
    </row>
    <row r="101" spans="1:5" ht="30" x14ac:dyDescent="0.25">
      <c r="A101" s="106" t="s">
        <v>501</v>
      </c>
      <c r="B101" s="11"/>
      <c r="C101" s="106" t="s">
        <v>53</v>
      </c>
      <c r="D101" s="106" t="s">
        <v>502</v>
      </c>
      <c r="E101" s="106" t="s">
        <v>503</v>
      </c>
    </row>
    <row r="102" spans="1:5" ht="15" x14ac:dyDescent="0.25">
      <c r="A102" s="106" t="s">
        <v>624</v>
      </c>
      <c r="B102" s="68" t="str">
        <f>IF(B101&gt;1600,0.26,IF(B101&lt;1,"",0.000371*(B101-900)))</f>
        <v/>
      </c>
      <c r="C102" s="106" t="s">
        <v>406</v>
      </c>
      <c r="D102" s="106"/>
      <c r="E102" s="106" t="s">
        <v>503</v>
      </c>
    </row>
    <row r="103" spans="1:5" ht="15" x14ac:dyDescent="0.25">
      <c r="A103" s="49" t="s">
        <v>509</v>
      </c>
      <c r="B103" s="42">
        <f>IFERROR(B100*B102*B28*B25,0)</f>
        <v>0</v>
      </c>
      <c r="C103" s="49" t="s">
        <v>198</v>
      </c>
      <c r="D103" s="51"/>
      <c r="E103" s="49" t="s">
        <v>503</v>
      </c>
    </row>
    <row r="104" spans="1:5" ht="15" x14ac:dyDescent="0.25">
      <c r="A104" s="106" t="s">
        <v>510</v>
      </c>
      <c r="B104" s="69" t="str">
        <f>IF(B103&gt;=B8,"Yes","No")</f>
        <v>Yes</v>
      </c>
      <c r="C104" s="106"/>
      <c r="D104" s="106"/>
      <c r="E104" s="106"/>
    </row>
    <row r="105" spans="1:5" ht="15" hidden="1" x14ac:dyDescent="0.25">
      <c r="A105" s="6" t="s">
        <v>511</v>
      </c>
      <c r="B105" s="12"/>
      <c r="C105" s="6"/>
      <c r="D105" s="6"/>
      <c r="E105" s="6" t="s">
        <v>513</v>
      </c>
    </row>
    <row r="106" spans="1:5" ht="15" hidden="1" x14ac:dyDescent="0.25">
      <c r="A106" s="6" t="s">
        <v>514</v>
      </c>
      <c r="B106" s="12"/>
      <c r="C106" s="6" t="s">
        <v>28</v>
      </c>
      <c r="D106" s="6"/>
      <c r="E106" s="6" t="s">
        <v>516</v>
      </c>
    </row>
    <row r="107" spans="1:5" ht="15" hidden="1" x14ac:dyDescent="0.25">
      <c r="A107" s="6" t="s">
        <v>517</v>
      </c>
      <c r="B107" s="11"/>
      <c r="C107" s="6" t="s">
        <v>28</v>
      </c>
      <c r="D107" s="6"/>
      <c r="E107" s="6" t="s">
        <v>516</v>
      </c>
    </row>
    <row r="108" spans="1:5" ht="15" hidden="1" x14ac:dyDescent="0.25">
      <c r="A108" s="6" t="s">
        <v>518</v>
      </c>
      <c r="B108" s="68">
        <f>IFERROR(B106/(5*B107)-B106,0)</f>
        <v>0</v>
      </c>
      <c r="C108" s="6"/>
      <c r="D108" s="6"/>
      <c r="E108" s="6" t="s">
        <v>516</v>
      </c>
    </row>
    <row r="109" spans="1:5" ht="15" hidden="1" x14ac:dyDescent="0.25">
      <c r="A109" s="6" t="s">
        <v>519</v>
      </c>
      <c r="B109" s="68">
        <f>B105/(0.75*(1-B108))</f>
        <v>0</v>
      </c>
      <c r="C109" s="6"/>
      <c r="D109" s="6"/>
      <c r="E109" s="6" t="s">
        <v>520</v>
      </c>
    </row>
    <row r="110" spans="1:5" ht="15" hidden="1" x14ac:dyDescent="0.25">
      <c r="A110" s="6" t="s">
        <v>521</v>
      </c>
      <c r="B110" s="68">
        <f>B105/(0.81*(1-B108))</f>
        <v>0</v>
      </c>
      <c r="C110" s="6"/>
      <c r="D110" s="6"/>
      <c r="E110" s="6" t="s">
        <v>522</v>
      </c>
    </row>
    <row r="111" spans="1:5" ht="15" hidden="1" x14ac:dyDescent="0.25">
      <c r="A111" s="6" t="s">
        <v>625</v>
      </c>
      <c r="B111" s="25"/>
      <c r="C111" s="6"/>
      <c r="D111" s="6"/>
      <c r="E111" s="6" t="s">
        <v>460</v>
      </c>
    </row>
    <row r="112" spans="1:5" ht="15" hidden="1" x14ac:dyDescent="0.25">
      <c r="A112" s="6" t="s">
        <v>626</v>
      </c>
      <c r="B112" s="25"/>
      <c r="C112" s="6"/>
      <c r="D112" s="6"/>
      <c r="E112" s="6" t="s">
        <v>460</v>
      </c>
    </row>
    <row r="113" spans="1:5" ht="15" hidden="1" x14ac:dyDescent="0.25">
      <c r="A113" s="49" t="s">
        <v>627</v>
      </c>
      <c r="B113" s="42">
        <f>(B109-1)*B111*B28*B25</f>
        <v>0</v>
      </c>
      <c r="C113" s="51" t="s">
        <v>198</v>
      </c>
      <c r="D113" s="51"/>
      <c r="E113" s="49" t="s">
        <v>460</v>
      </c>
    </row>
    <row r="114" spans="1:5" ht="15" hidden="1" x14ac:dyDescent="0.25">
      <c r="A114" s="49" t="s">
        <v>628</v>
      </c>
      <c r="B114" s="42">
        <f>(B110-1)*B112*B28*B25</f>
        <v>0</v>
      </c>
      <c r="C114" s="51" t="s">
        <v>198</v>
      </c>
      <c r="D114" s="51"/>
      <c r="E114" s="49" t="s">
        <v>460</v>
      </c>
    </row>
    <row r="115" spans="1:5" ht="15" hidden="1" x14ac:dyDescent="0.25">
      <c r="A115" s="6" t="s">
        <v>532</v>
      </c>
      <c r="B115" s="69" t="str">
        <f>IF((B113+B114)&gt;=B9,"Yes","No")</f>
        <v>Yes</v>
      </c>
      <c r="C115" s="6"/>
      <c r="D115" s="6"/>
      <c r="E115" s="6"/>
    </row>
    <row r="116" spans="1:5" s="83" customFormat="1" ht="15" x14ac:dyDescent="0.25">
      <c r="A116" s="85"/>
      <c r="B116" s="144"/>
      <c r="C116" s="89"/>
      <c r="D116" s="89"/>
      <c r="E116" s="85"/>
    </row>
    <row r="117" spans="1:5" ht="18.75" x14ac:dyDescent="0.25">
      <c r="A117" s="58" t="s">
        <v>629</v>
      </c>
      <c r="B117" s="62" t="s">
        <v>140</v>
      </c>
      <c r="C117" s="61" t="s">
        <v>141</v>
      </c>
      <c r="D117" s="61" t="s">
        <v>142</v>
      </c>
      <c r="E117" s="61" t="s">
        <v>143</v>
      </c>
    </row>
    <row r="118" spans="1:5" ht="15" customHeight="1" x14ac:dyDescent="0.25">
      <c r="A118" s="6" t="s">
        <v>630</v>
      </c>
      <c r="B118" s="25"/>
      <c r="C118" s="6" t="s">
        <v>375</v>
      </c>
      <c r="D118" s="6"/>
      <c r="E118" s="6" t="s">
        <v>417</v>
      </c>
    </row>
    <row r="119" spans="1:5" ht="15" x14ac:dyDescent="0.25">
      <c r="A119" s="6" t="s">
        <v>418</v>
      </c>
      <c r="B119" s="28" cm="1">
        <f t="array" ref="B119">IFERROR(
    SUMPRODUCT(
        IFERROR((CLIMATE_TOTAL_PREC) * (CLIMATE_ORG_ID_LIST = ORG_ID_REF) * (LAM_II_SQFT) * (LAM_ORG_ID_LIST = ORG_ID_REF), 0)
    ) / IFERROR(
        SUMPRODUCT((LAM_II_SQFT) * (LAM_ORG_ID_LIST = ORG_ID_REF)), 1
    ), 0
)</f>
        <v>0</v>
      </c>
      <c r="C119" s="6" t="s">
        <v>336</v>
      </c>
      <c r="D119" s="98" t="s">
        <v>337</v>
      </c>
      <c r="E119" s="6" t="s">
        <v>417</v>
      </c>
    </row>
    <row r="120" spans="1:5" ht="15" x14ac:dyDescent="0.25">
      <c r="A120" s="49" t="s">
        <v>419</v>
      </c>
      <c r="B120" s="65">
        <f>1.1*B118*(B23-B119)*B28</f>
        <v>0</v>
      </c>
      <c r="C120" s="51" t="s">
        <v>198</v>
      </c>
      <c r="D120" s="51"/>
      <c r="E120" s="49" t="s">
        <v>417</v>
      </c>
    </row>
    <row r="121" spans="1:5" ht="15" x14ac:dyDescent="0.25">
      <c r="A121" s="106" t="s">
        <v>631</v>
      </c>
      <c r="B121" s="69" t="str">
        <f>IF(B120&gt;=B8,"Yes","No")</f>
        <v>Yes</v>
      </c>
      <c r="C121" s="106"/>
      <c r="D121" s="106"/>
      <c r="E121" s="106"/>
    </row>
    <row r="122" spans="1:5" ht="15" x14ac:dyDescent="0.25">
      <c r="A122" s="85"/>
      <c r="B122" s="144"/>
      <c r="C122" s="89"/>
      <c r="D122" s="89"/>
      <c r="E122" s="85"/>
    </row>
    <row r="123" spans="1:5" ht="18.75" x14ac:dyDescent="0.25">
      <c r="A123" s="58" t="s">
        <v>632</v>
      </c>
      <c r="B123" s="62" t="s">
        <v>140</v>
      </c>
      <c r="C123" s="61" t="s">
        <v>141</v>
      </c>
      <c r="D123" s="61" t="s">
        <v>142</v>
      </c>
      <c r="E123" s="61" t="s">
        <v>143</v>
      </c>
    </row>
    <row r="124" spans="1:5" ht="15" x14ac:dyDescent="0.25">
      <c r="A124" s="106" t="s">
        <v>633</v>
      </c>
      <c r="B124" s="25"/>
      <c r="C124" s="106" t="s">
        <v>375</v>
      </c>
      <c r="D124" s="106"/>
      <c r="E124" s="106" t="s">
        <v>634</v>
      </c>
    </row>
    <row r="125" spans="1:5" ht="15" x14ac:dyDescent="0.25">
      <c r="A125" s="49" t="s">
        <v>635</v>
      </c>
      <c r="B125" s="65">
        <f>B124*0.08*B28*B25</f>
        <v>0</v>
      </c>
      <c r="C125" s="51" t="s">
        <v>198</v>
      </c>
      <c r="D125" s="51"/>
      <c r="E125" s="49" t="s">
        <v>636</v>
      </c>
    </row>
    <row r="126" spans="1:5" ht="15" x14ac:dyDescent="0.25">
      <c r="A126" s="106" t="s">
        <v>637</v>
      </c>
      <c r="B126" s="69" t="str">
        <f>IF(B125&gt;=B8,"Yes","No")</f>
        <v>Yes</v>
      </c>
      <c r="C126" s="106"/>
      <c r="D126" s="106"/>
      <c r="E126" s="106"/>
    </row>
    <row r="127" spans="1:5" ht="15" x14ac:dyDescent="0.25">
      <c r="A127" s="85"/>
      <c r="B127" s="144"/>
      <c r="C127" s="89"/>
      <c r="D127" s="89"/>
      <c r="E127" s="85"/>
    </row>
    <row r="128" spans="1:5" ht="18.75" x14ac:dyDescent="0.25">
      <c r="A128" s="58" t="s">
        <v>420</v>
      </c>
      <c r="B128" s="62" t="s">
        <v>140</v>
      </c>
      <c r="C128" s="61" t="s">
        <v>141</v>
      </c>
      <c r="D128" s="61" t="s">
        <v>142</v>
      </c>
      <c r="E128" s="61" t="s">
        <v>143</v>
      </c>
    </row>
    <row r="129" spans="1:5" ht="15" x14ac:dyDescent="0.25">
      <c r="A129" s="97" t="s">
        <v>638</v>
      </c>
      <c r="B129" s="38">
        <v>0.85</v>
      </c>
      <c r="C129" s="97" t="s">
        <v>112</v>
      </c>
      <c r="D129" s="97"/>
      <c r="E129" s="97" t="s">
        <v>424</v>
      </c>
    </row>
    <row r="130" spans="1:5" ht="30" x14ac:dyDescent="0.25">
      <c r="A130" s="97" t="s">
        <v>639</v>
      </c>
      <c r="B130" s="16"/>
      <c r="C130" s="97" t="s">
        <v>426</v>
      </c>
      <c r="D130" s="97"/>
      <c r="E130" s="97" t="s">
        <v>424</v>
      </c>
    </row>
    <row r="131" spans="1:5" ht="15" x14ac:dyDescent="0.25">
      <c r="A131" s="97" t="s">
        <v>640</v>
      </c>
      <c r="B131" s="30" t="str" cm="1">
        <f t="array" ref="B131">IFERROR(INDEX(CZ_TREE_WATER, MATCH(ORG_ID_REF, CZ_ORG_ID_LIST, 0)), "")</f>
        <v/>
      </c>
      <c r="C131" s="106" t="s">
        <v>379</v>
      </c>
      <c r="D131" s="98" t="s">
        <v>380</v>
      </c>
      <c r="E131" s="97" t="s">
        <v>424</v>
      </c>
    </row>
    <row r="132" spans="1:5" ht="15" x14ac:dyDescent="0.25">
      <c r="A132" s="97" t="s">
        <v>641</v>
      </c>
      <c r="B132" s="71" t="e">
        <f>B131*52</f>
        <v>#VALUE!</v>
      </c>
      <c r="C132" s="106" t="s">
        <v>383</v>
      </c>
      <c r="D132" s="107" t="s">
        <v>384</v>
      </c>
      <c r="E132" s="97" t="s">
        <v>424</v>
      </c>
    </row>
    <row r="133" spans="1:5" ht="15" x14ac:dyDescent="0.25">
      <c r="A133" s="43" t="s">
        <v>429</v>
      </c>
      <c r="B133" s="44" t="e">
        <f>B130*4*B132*B136*B28*B25</f>
        <v>#VALUE!</v>
      </c>
      <c r="C133" s="43" t="s">
        <v>163</v>
      </c>
      <c r="D133" s="75"/>
      <c r="E133" s="43" t="s">
        <v>424</v>
      </c>
    </row>
    <row r="134" spans="1:5" ht="15" x14ac:dyDescent="0.25">
      <c r="A134" s="104"/>
      <c r="B134" s="145"/>
      <c r="C134" s="104"/>
      <c r="D134" s="99"/>
      <c r="E134" s="104"/>
    </row>
    <row r="135" spans="1:5" ht="18.75" x14ac:dyDescent="0.25">
      <c r="A135" s="60" t="s">
        <v>430</v>
      </c>
      <c r="B135" s="64" t="s">
        <v>140</v>
      </c>
      <c r="C135" s="63" t="s">
        <v>141</v>
      </c>
      <c r="D135" s="63" t="s">
        <v>142</v>
      </c>
      <c r="E135" s="63" t="s">
        <v>143</v>
      </c>
    </row>
    <row r="136" spans="1:5" ht="15" x14ac:dyDescent="0.25">
      <c r="A136" s="97" t="s">
        <v>642</v>
      </c>
      <c r="B136" s="38">
        <v>0.85</v>
      </c>
      <c r="C136" s="97" t="s">
        <v>112</v>
      </c>
      <c r="D136" s="97"/>
      <c r="E136" s="97" t="s">
        <v>433</v>
      </c>
    </row>
    <row r="137" spans="1:5" ht="30" x14ac:dyDescent="0.25">
      <c r="A137" s="97" t="s">
        <v>643</v>
      </c>
      <c r="B137" s="26"/>
      <c r="C137" s="97" t="s">
        <v>375</v>
      </c>
      <c r="D137" s="97" t="s">
        <v>644</v>
      </c>
      <c r="E137" s="97" t="s">
        <v>433</v>
      </c>
    </row>
    <row r="138" spans="1:5" ht="15" x14ac:dyDescent="0.25">
      <c r="A138" s="43" t="s">
        <v>436</v>
      </c>
      <c r="B138" s="44">
        <f>B137*B136*B28*B25</f>
        <v>0</v>
      </c>
      <c r="C138" s="43" t="s">
        <v>163</v>
      </c>
      <c r="D138" s="75"/>
      <c r="E138" s="43" t="s">
        <v>433</v>
      </c>
    </row>
    <row r="139" spans="1:5" s="83" customFormat="1" ht="15" x14ac:dyDescent="0.25">
      <c r="C139" s="89"/>
    </row>
    <row r="140" spans="1:5" s="83" customFormat="1" ht="15" x14ac:dyDescent="0.25">
      <c r="A140" s="83" t="s">
        <v>645</v>
      </c>
      <c r="C140" s="89"/>
    </row>
    <row r="141" spans="1:5" ht="15" x14ac:dyDescent="0.25"/>
    <row r="142" spans="1:5" ht="15" x14ac:dyDescent="0.25"/>
    <row r="143" spans="1:5" ht="15" x14ac:dyDescent="0.25"/>
    <row r="144" spans="1:5" ht="15" x14ac:dyDescent="0.25"/>
    <row r="145" spans="3:3" ht="15" x14ac:dyDescent="0.25"/>
    <row r="146" spans="3:3" ht="15" x14ac:dyDescent="0.25"/>
    <row r="147" spans="3:3" ht="15" x14ac:dyDescent="0.25"/>
    <row r="148" spans="3:3" ht="15" x14ac:dyDescent="0.25"/>
    <row r="149" spans="3:3" s="83" customFormat="1" ht="15" x14ac:dyDescent="0.25">
      <c r="C149" s="89"/>
    </row>
    <row r="150" spans="3:3" s="83" customFormat="1" ht="15" x14ac:dyDescent="0.25">
      <c r="C150" s="89"/>
    </row>
    <row r="151" spans="3:3" s="83" customFormat="1" ht="15" x14ac:dyDescent="0.25">
      <c r="C151" s="89"/>
    </row>
    <row r="152" spans="3:3" s="83" customFormat="1" ht="14.25" customHeight="1" x14ac:dyDescent="0.25">
      <c r="C152" s="89"/>
    </row>
    <row r="153" spans="3:3" s="83" customFormat="1" ht="15" x14ac:dyDescent="0.25">
      <c r="C153" s="89"/>
    </row>
  </sheetData>
  <sheetProtection formatRows="0"/>
  <protectedRanges>
    <protectedRange sqref="B96" name="LOCAL_EMERGENCY"/>
    <protectedRange sqref="B10:B18" name="VARIANCE_TOGGLE"/>
    <protectedRange sqref="B118 B124 B130 B137" name="REMAINING_FILL_IN"/>
    <protectedRange sqref="B100:B101" name="HIGH_TDS_5PCT"/>
    <protectedRange sqref="B99" name="HIGH_TDS_DROPDOWN"/>
    <protectedRange sqref="B58 B60 B62 B64" name="LIVESTOCK"/>
    <protectedRange sqref="B43:B46" name="SLA"/>
    <protectedRange sqref="B79" name="RESAG_DROPDOWN"/>
    <protectedRange sqref="B105:B107 B111:B112" name="HIGH_TDS_1pct"/>
    <protectedRange sqref="B31" name="MISCLASSIFIED_CII"/>
    <protectedRange sqref="B37" name="NEW_CONSTRUCTION"/>
  </protectedRanges>
  <conditionalFormatting sqref="A49:E49">
    <cfRule type="expression" dxfId="9" priority="2">
      <formula>AND(($B$44=0),($B$46=0))</formula>
    </cfRule>
  </conditionalFormatting>
  <conditionalFormatting sqref="A80:E91">
    <cfRule type="expression" dxfId="8" priority="1">
      <formula>$B$79="1% Threshold Equation"</formula>
    </cfRule>
  </conditionalFormatting>
  <conditionalFormatting sqref="A85:E86 A92:E93">
    <cfRule type="expression" dxfId="7" priority="3">
      <formula>$B$79="5% Threshold Equation"</formula>
    </cfRule>
  </conditionalFormatting>
  <conditionalFormatting sqref="A87:E93">
    <cfRule type="expression" dxfId="6" priority="4">
      <formula>$B$79="Special Landscape Area"</formula>
    </cfRule>
  </conditionalFormatting>
  <conditionalFormatting sqref="A100:E104">
    <cfRule type="expression" dxfId="5" priority="5">
      <formula>$B$99="1% Threshold Equation"</formula>
    </cfRule>
  </conditionalFormatting>
  <conditionalFormatting sqref="A105:E116">
    <cfRule type="expression" dxfId="4" priority="6">
      <formula>$B$99="5% Threshold Equation"</formula>
    </cfRule>
  </conditionalFormatting>
  <dataValidations count="6">
    <dataValidation type="decimal" allowBlank="1" showInputMessage="1" showErrorMessage="1" sqref="B137 B37 B58 B60 B62 B64 B31 B105:B107 B111:B112 B118 B124 B130 B100 B42:B47 B96:B97" xr:uid="{86DA9AC5-3F7A-4A61-86B6-F56AFC2B01DD}">
      <formula1>0</formula1>
      <formula2>999999999999</formula2>
    </dataValidation>
    <dataValidation type="list" allowBlank="1" showInputMessage="1" showErrorMessage="1" sqref="B12" xr:uid="{2AB37707-65AA-4BC8-8CCD-7E6F42AC36BC}">
      <formula1>"No (Any classified Res-Ag will be SLA),Yes "</formula1>
    </dataValidation>
    <dataValidation type="list" allowBlank="1" showInputMessage="1" showErrorMessage="1" sqref="B10:B11 B13:B18" xr:uid="{A282815F-2D98-441C-A12D-89F9E38692DA}">
      <formula1>"No,Yes"</formula1>
    </dataValidation>
    <dataValidation type="decimal" allowBlank="1" showInputMessage="1" showErrorMessage="1" sqref="B101" xr:uid="{1A41BC11-3B0F-4C5F-AB1F-56A325ACCD51}">
      <formula1>900</formula1>
      <formula2>999999999999</formula2>
    </dataValidation>
    <dataValidation type="list" allowBlank="1" showInputMessage="1" showErrorMessage="1" sqref="B79" xr:uid="{D57C328C-62CA-4966-9EE7-C1DAA9B6BF90}">
      <formula1>"Special Landscape Area,5% Threshold Equation, 1% Threshold Equation"</formula1>
    </dataValidation>
    <dataValidation type="list" allowBlank="1" showInputMessage="1" showErrorMessage="1" sqref="B99" xr:uid="{05663F41-777C-4ED0-97FD-A540A4C29BEB}">
      <formula1>"5% Threshold Equation,1% Threshold Equation"</formula1>
    </dataValidation>
  </dataValidations>
  <hyperlinks>
    <hyperlink ref="D92" location="'Residential Agriculture 1%'!A1" display="Go to the &quot;Residential Agriculture 1%&quot; tab to fill out the crop-specific information." xr:uid="{349D51E1-F976-4595-B5BC-63994A1FEF81}"/>
    <hyperlink ref="G1" location="'Landing Page and Navigation'!A1" display="Back to Navigation List" xr:uid="{0CB47D1D-ADC6-4388-BAD4-3D1FB3774787}"/>
    <hyperlink ref="D30" r:id="rId1" xr:uid="{C379D993-CCD4-4BCD-B443-A841FBC21327}"/>
    <hyperlink ref="D52" r:id="rId2" xr:uid="{AE6448C3-63B8-4CDF-8E2F-D372BE555CBC}"/>
    <hyperlink ref="D42" r:id="rId3" xr:uid="{C6BA956C-68CE-4E68-9260-CB512FF2CF07}"/>
    <hyperlink ref="D70" r:id="rId4" xr:uid="{5BFE737F-A1C4-42A4-8BF0-A948F22A46CC}"/>
    <hyperlink ref="D80" r:id="rId5" xr:uid="{C578DF5D-BC64-43BA-8179-E1AFE35D61D6}"/>
    <hyperlink ref="G2" location="Objective!A4" display="Back to Objective Tab" xr:uid="{83CC7884-FEA1-464E-AF2D-9DEE80CB7D38}"/>
    <hyperlink ref="D2" location="'Residential Outdoor Budget'!A27" display="Calculated below, starting on row 27" xr:uid="{8542AEDE-33C3-4E7D-BA1A-2C8ACE8C1589}"/>
    <hyperlink ref="D3" location="'Residential Outdoor Budget'!A35" display="Calculated below, starting on row 35" xr:uid="{C41F4526-C648-4519-B23F-9435335F3DD0}"/>
    <hyperlink ref="D4" location="'Residential Outdoor Budget'!A40" display="Calculated below, starting on row 40" xr:uid="{96F6291A-CF7F-412C-A055-CAB660DD0A7A}"/>
    <hyperlink ref="D49" location="'Recycled Water Network'!A1" display="If the values in  D35 and/or D37 are greater than 0, click here to navigate to the Recycled Water Systems tab and fill out the requisite information" xr:uid="{728F9E9B-61E3-4786-8D60-6408844F156D}"/>
    <hyperlink ref="D47" location="'Residential Outdoor Budget'!B79" display="If &quot;Special Landscape Area&quot; is selected in cell B79, the calculated volume is included here. Otherwise, the calculated volume will be included in the variances sum in cell B19." xr:uid="{384DB20C-8F03-47D3-86D9-C61FC152DA38}"/>
    <hyperlink ref="D10" location="'Residential Outdoor Budget'!A57" display="If B10 is &quot;Yes&quot;, the table to fill out the information for the Livestock Water Use Variance will be revealed" xr:uid="{FE444F6A-E563-4FD1-A199-4F95BB79539A}"/>
    <hyperlink ref="D11" location="'Residential Outdoor Budget'!A69" display="If B11 is &quot;Yes&quot;, the table to fill out the information for the Dust Control Variance will be revealed" xr:uid="{96641FD7-1A08-4764-88C5-62716131DAC8}"/>
    <hyperlink ref="D12" location="'Residential Outdoor Budget'!A78" display="If B12 is &quot;No (Any classified Res-Ag will be SLA)&quot; then any water associated with the residential agriculture budget will be added to the Residential Special Landscapes Budget. If B12 is &quot;Yes&quot;, go to the table for the Residential Agriculture variance to choose the appropriate method. " xr:uid="{FF34E909-3EC9-47DD-956C-167B7EFE0F0E}"/>
    <hyperlink ref="D13" location="'Residential Outdoor Budget'!A95" display="If B13 is &quot;Yes&quot;, the table to fill out the information for the State or Local Emergency Variance will be revealed." xr:uid="{62BFCA76-7E0D-4C3E-BEA0-6F308D887F00}"/>
    <hyperlink ref="D14" location="'Residential Outdoor Budget'!A98" display="If B14 is &quot;Yes&quot;, the table to fill out the information for the High TDS Variance will be revealed." xr:uid="{9D453031-F7D7-4961-B82F-1018B9A7CBF5}"/>
    <hyperlink ref="D15" location="'Residential Outdoor Budget'!A117" display="If B15 is &quot;Yes&quot;, the table to fill out the information for the Ponds and Lakes Variance will be revealed." xr:uid="{C0FF41FB-E5CF-4C06-8FB2-AFACF11705D7}"/>
    <hyperlink ref="D16" location="'Residential Outdoor Budget'!A123" display="If B16 is &quot;Yes&quot;, the table to fill out the information for the Existing Residential Trees Variance will be revealed." xr:uid="{7899F4F7-B7AB-42C1-968B-AF692F109F50}"/>
    <hyperlink ref="D17" location="'Residential Outdoor Budget'!A128" display="If B17 is &quot;Yes&quot;, the table to fill out the information for the New Climate-Ready Trees Provision will be revealed." xr:uid="{B0965CCA-1B5B-4C03-9930-B639A561E72A}"/>
    <hyperlink ref="D18" location="'Residential Outdoor Budget'!A135" display="If B18 is &quot;Yes&quot;, the table to fill out the information for the Qualifying Landscapes Provision will be revealed." xr:uid="{B7FE1A5F-AFAB-4DA7-BBA2-49E4DDC1E897}"/>
    <hyperlink ref="D23" r:id="rId6" xr:uid="{97E9222F-C043-4B84-AD16-43DFB6738CAC}"/>
    <hyperlink ref="D24" r:id="rId7" xr:uid="{A7CA54AE-8730-436F-8A04-0A03A9638AD0}"/>
    <hyperlink ref="D71" location="'Climate Zone'!A1" display="See Climate Zone table" xr:uid="{AD3838D1-820C-4228-A286-7F5330CC0B45}"/>
    <hyperlink ref="D82" r:id="rId8" xr:uid="{020A1A1A-2596-422F-9BF9-5C8611B53FEF}"/>
    <hyperlink ref="D83" r:id="rId9" xr:uid="{A1B838E6-8433-4E0C-BAAA-94C632CAAC1E}"/>
    <hyperlink ref="D131" location="'Climate Zone'!A1" display="See Climate Zone table" xr:uid="{4123620F-DD66-4949-93AF-E97C72E6162F}"/>
    <hyperlink ref="D119" r:id="rId10" xr:uid="{34480BC8-A409-4D8F-9BE6-F7CFBCD5A122}"/>
    <hyperlink ref="D87" r:id="rId11" xr:uid="{A87AE2B3-113D-4546-AFF7-110F961EC94A}"/>
    <hyperlink ref="D88" r:id="rId12" xr:uid="{3DFF0A22-D832-41AB-9736-7D623A54031B}"/>
    <hyperlink ref="D89" r:id="rId13" xr:uid="{CBCB56C3-2385-443C-931E-71D2BB2F55E7}"/>
  </hyperlinks>
  <pageMargins left="0.7" right="0.7" top="0.75" bottom="0.75" header="0.3" footer="0.3"/>
  <pageSetup orientation="portrait" verticalDpi="0" r:id="rId14"/>
  <drawing r:id="rId1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A7F55-21F8-40D4-9253-A2EB7E119F36}">
  <sheetPr codeName="Sheet8">
    <tabColor rgb="FFFFE699"/>
  </sheetPr>
  <dimension ref="A1:Q50"/>
  <sheetViews>
    <sheetView topLeftCell="A24" workbookViewId="0">
      <selection activeCell="A2" sqref="A2"/>
    </sheetView>
  </sheetViews>
  <sheetFormatPr defaultColWidth="0" defaultRowHeight="14.45" customHeight="1" zeroHeight="1" x14ac:dyDescent="0.25"/>
  <cols>
    <col min="1" max="1" width="75.7109375" customWidth="1"/>
    <col min="2" max="2" width="20.7109375" customWidth="1"/>
    <col min="3" max="3" width="17.7109375" style="5" customWidth="1"/>
    <col min="4" max="4" width="70.7109375" customWidth="1"/>
    <col min="5" max="5" width="15.7109375" customWidth="1"/>
    <col min="6" max="6" width="45.7109375" customWidth="1"/>
    <col min="7" max="7" width="3.42578125" style="83" customWidth="1"/>
    <col min="8" max="16" width="9.140625" style="83" customWidth="1"/>
    <col min="17" max="17" width="0" style="83" hidden="1" customWidth="1"/>
    <col min="18" max="16384" width="9.140625" hidden="1"/>
  </cols>
  <sheetData>
    <row r="1" spans="1:6" s="83" customFormat="1" ht="18.75" x14ac:dyDescent="0.3">
      <c r="A1" s="102" t="s">
        <v>646</v>
      </c>
      <c r="B1" s="114"/>
      <c r="C1" s="113"/>
      <c r="D1" s="115"/>
      <c r="E1" s="116"/>
      <c r="F1" s="84" t="s">
        <v>3807</v>
      </c>
    </row>
    <row r="2" spans="1:6" ht="37.5" x14ac:dyDescent="0.25">
      <c r="A2" s="314" t="s">
        <v>647</v>
      </c>
      <c r="B2" s="315" t="s">
        <v>140</v>
      </c>
      <c r="C2" s="314" t="s">
        <v>141</v>
      </c>
      <c r="D2" s="314" t="s">
        <v>142</v>
      </c>
      <c r="E2" s="314" t="s">
        <v>143</v>
      </c>
      <c r="F2" s="314" t="s">
        <v>144</v>
      </c>
    </row>
    <row r="3" spans="1:6" ht="30" x14ac:dyDescent="0.25">
      <c r="A3" s="97" t="s">
        <v>335</v>
      </c>
      <c r="B3" s="31" cm="1">
        <f t="array" ref="B3">IFERROR(
    SUMPRODUCT(
        IFERROR((CLIMATE_ETO) * (CLIMATE_ORG_ID_LIST = ORG_ID_REF) * (LAM_II_SQFT) * (LAM_ORG_ID_LIST = ORG_ID_REF), 0)
    ) / IFERROR(
        SUMPRODUCT((LAM_II_SQFT) * (LAM_ORG_ID_LIST = ORG_ID_REF)), 1
    ), 0
)</f>
        <v>0</v>
      </c>
      <c r="C3" s="97" t="s">
        <v>336</v>
      </c>
      <c r="D3" s="98" t="s">
        <v>3833</v>
      </c>
      <c r="E3" s="97" t="s">
        <v>338</v>
      </c>
      <c r="F3" s="255"/>
    </row>
    <row r="4" spans="1:6" ht="30" x14ac:dyDescent="0.25">
      <c r="A4" s="97" t="s">
        <v>339</v>
      </c>
      <c r="B4" s="31" cm="1">
        <f t="array" ref="B4">IFERROR(
    SUMPRODUCT(
        IFERROR((CLIMATE_PEFF) * (CLIMATE_ORG_ID_LIST = ORG_ID_REF) * (LAM_II_SQFT) * (LAM_ORG_ID_LIST = ORG_ID_REF), 0)
    ) / IFERROR(
        SUMPRODUCT((LAM_II_SQFT) * (LAM_ORG_ID_LIST = ORG_ID_REF)), 1
    ), 0
)</f>
        <v>0</v>
      </c>
      <c r="C4" s="97" t="s">
        <v>336</v>
      </c>
      <c r="D4" s="98" t="s">
        <v>3833</v>
      </c>
      <c r="E4" s="97" t="s">
        <v>340</v>
      </c>
      <c r="F4" s="255"/>
    </row>
    <row r="5" spans="1:6" ht="18" x14ac:dyDescent="0.25">
      <c r="A5" s="97" t="s">
        <v>341</v>
      </c>
      <c r="B5" s="74">
        <f>B3-B4</f>
        <v>0</v>
      </c>
      <c r="C5" s="97" t="s">
        <v>336</v>
      </c>
      <c r="D5" s="97" t="s">
        <v>342</v>
      </c>
      <c r="E5" s="97" t="s">
        <v>343</v>
      </c>
      <c r="F5" s="255"/>
    </row>
    <row r="6" spans="1:6" s="83" customFormat="1" ht="15" x14ac:dyDescent="0.25">
      <c r="C6" s="89"/>
    </row>
    <row r="7" spans="1:6" ht="37.5" x14ac:dyDescent="0.25">
      <c r="A7" s="314" t="s">
        <v>565</v>
      </c>
      <c r="B7" s="315" t="s">
        <v>140</v>
      </c>
      <c r="C7" s="314" t="s">
        <v>141</v>
      </c>
      <c r="D7" s="314" t="s">
        <v>142</v>
      </c>
      <c r="E7" s="314" t="s">
        <v>143</v>
      </c>
      <c r="F7" s="314" t="s">
        <v>144</v>
      </c>
    </row>
    <row r="8" spans="1:6" ht="33" x14ac:dyDescent="0.25">
      <c r="A8" s="97" t="s">
        <v>396</v>
      </c>
      <c r="B8" s="36">
        <v>0.62</v>
      </c>
      <c r="C8" s="97" t="s">
        <v>397</v>
      </c>
      <c r="D8" s="97" t="s">
        <v>398</v>
      </c>
      <c r="E8" s="117"/>
      <c r="F8" s="402"/>
    </row>
    <row r="9" spans="1:6" ht="15" x14ac:dyDescent="0.25">
      <c r="A9" s="97" t="s">
        <v>566</v>
      </c>
      <c r="B9" s="36">
        <v>0.8</v>
      </c>
      <c r="C9" s="97" t="s">
        <v>406</v>
      </c>
      <c r="D9" s="97"/>
      <c r="E9" s="97" t="s">
        <v>567</v>
      </c>
      <c r="F9" s="255"/>
    </row>
    <row r="10" spans="1:6" ht="30" x14ac:dyDescent="0.25">
      <c r="A10" s="97" t="s">
        <v>568</v>
      </c>
      <c r="B10" s="30" cm="1">
        <f t="array" ref="B10">SUMIF(LAM_ORG_ID_LIST, ORG_ID_REF, LAM_II_SQFT)</f>
        <v>0</v>
      </c>
      <c r="C10" s="97" t="s">
        <v>375</v>
      </c>
      <c r="D10" s="98" t="s">
        <v>648</v>
      </c>
      <c r="E10" s="97" t="s">
        <v>569</v>
      </c>
      <c r="F10" s="255"/>
    </row>
    <row r="11" spans="1:6" ht="30" x14ac:dyDescent="0.25">
      <c r="A11" s="97" t="s">
        <v>649</v>
      </c>
      <c r="B11" s="215"/>
      <c r="C11" s="97" t="s">
        <v>375</v>
      </c>
      <c r="D11" s="97"/>
      <c r="E11" s="97" t="s">
        <v>572</v>
      </c>
      <c r="F11" s="255"/>
    </row>
    <row r="12" spans="1:6" ht="30" x14ac:dyDescent="0.25">
      <c r="A12" s="97" t="s">
        <v>573</v>
      </c>
      <c r="B12" s="71">
        <f>B10-B11-B23-IF(ISBLANK(B28),B24,B28)-IF(ISBLANK(B29),B25,B29)-IF(B32&gt;0,'Res-Outdoor Variances'!B56,0)</f>
        <v>0</v>
      </c>
      <c r="C12" s="97" t="s">
        <v>375</v>
      </c>
      <c r="D12" s="97" t="s">
        <v>650</v>
      </c>
      <c r="E12" s="97"/>
      <c r="F12" s="255"/>
    </row>
    <row r="13" spans="1:6" ht="34.5" customHeight="1" x14ac:dyDescent="0.25">
      <c r="A13" s="43" t="s">
        <v>169</v>
      </c>
      <c r="B13" s="44">
        <f>(B12)*B5*B9*B8</f>
        <v>0</v>
      </c>
      <c r="C13" s="43" t="s">
        <v>163</v>
      </c>
      <c r="D13" s="43" t="s">
        <v>575</v>
      </c>
      <c r="E13" s="43" t="s">
        <v>170</v>
      </c>
      <c r="F13" s="273"/>
    </row>
    <row r="14" spans="1:6" s="83" customFormat="1" ht="18" customHeight="1" x14ac:dyDescent="0.25">
      <c r="A14" s="118"/>
      <c r="B14" s="119"/>
      <c r="C14" s="118"/>
      <c r="D14" s="118"/>
      <c r="E14" s="118"/>
      <c r="F14" s="118"/>
    </row>
    <row r="15" spans="1:6" ht="34.5" customHeight="1" x14ac:dyDescent="0.25">
      <c r="A15" s="314" t="s">
        <v>576</v>
      </c>
      <c r="B15" s="315" t="s">
        <v>140</v>
      </c>
      <c r="C15" s="314" t="s">
        <v>141</v>
      </c>
      <c r="D15" s="314" t="s">
        <v>142</v>
      </c>
      <c r="E15" s="314" t="s">
        <v>143</v>
      </c>
      <c r="F15" s="314" t="s">
        <v>144</v>
      </c>
    </row>
    <row r="16" spans="1:6" ht="30" x14ac:dyDescent="0.25">
      <c r="A16" s="97" t="s">
        <v>577</v>
      </c>
      <c r="B16" s="38">
        <v>0.55000000000000004</v>
      </c>
      <c r="C16" s="97" t="s">
        <v>406</v>
      </c>
      <c r="D16" s="97"/>
      <c r="E16" s="97" t="s">
        <v>578</v>
      </c>
      <c r="F16" s="255"/>
    </row>
    <row r="17" spans="1:6" ht="30" x14ac:dyDescent="0.25">
      <c r="A17" s="97" t="s">
        <v>651</v>
      </c>
      <c r="B17" s="30" cm="1">
        <f t="array" ref="B17">SUMIF(LAM_ORG_ID_LIST, ORG_ID_REF, LAM_NEW_SQFT)</f>
        <v>0</v>
      </c>
      <c r="C17" s="97" t="s">
        <v>375</v>
      </c>
      <c r="D17" s="97"/>
      <c r="E17" s="97" t="s">
        <v>580</v>
      </c>
      <c r="F17" s="255"/>
    </row>
    <row r="18" spans="1:6" ht="60" x14ac:dyDescent="0.25">
      <c r="A18" s="97" t="s">
        <v>652</v>
      </c>
      <c r="B18" s="214"/>
      <c r="C18" s="106" t="s">
        <v>375</v>
      </c>
      <c r="D18" s="106" t="s">
        <v>653</v>
      </c>
      <c r="E18" s="110"/>
      <c r="F18" s="269"/>
    </row>
    <row r="19" spans="1:6" ht="18" x14ac:dyDescent="0.25">
      <c r="A19" s="43" t="s">
        <v>581</v>
      </c>
      <c r="B19" s="44">
        <f>IF(ISBLANK(B18),B17,B18)*B16*B8*B5</f>
        <v>0</v>
      </c>
      <c r="C19" s="43" t="s">
        <v>163</v>
      </c>
      <c r="D19" s="43" t="s">
        <v>582</v>
      </c>
      <c r="E19" s="43" t="s">
        <v>172</v>
      </c>
      <c r="F19" s="273"/>
    </row>
    <row r="20" spans="1:6" s="83" customFormat="1" ht="15" x14ac:dyDescent="0.25">
      <c r="A20" s="118"/>
      <c r="B20" s="119"/>
      <c r="C20" s="118"/>
      <c r="D20" s="120"/>
      <c r="E20" s="118"/>
      <c r="F20" s="118"/>
    </row>
    <row r="21" spans="1:6" ht="37.5" x14ac:dyDescent="0.25">
      <c r="A21" s="314" t="s">
        <v>583</v>
      </c>
      <c r="B21" s="315" t="s">
        <v>140</v>
      </c>
      <c r="C21" s="314" t="s">
        <v>141</v>
      </c>
      <c r="D21" s="314" t="s">
        <v>142</v>
      </c>
      <c r="E21" s="397" t="s">
        <v>143</v>
      </c>
      <c r="F21" s="314" t="s">
        <v>144</v>
      </c>
    </row>
    <row r="22" spans="1:6" ht="15" x14ac:dyDescent="0.25">
      <c r="A22" s="97" t="s">
        <v>584</v>
      </c>
      <c r="B22" s="37">
        <v>1</v>
      </c>
      <c r="C22" s="97" t="s">
        <v>406</v>
      </c>
      <c r="D22" s="97"/>
      <c r="E22" s="124" t="s">
        <v>585</v>
      </c>
      <c r="F22" s="255"/>
    </row>
    <row r="23" spans="1:6" ht="20.25" customHeight="1" x14ac:dyDescent="0.25">
      <c r="A23" s="121" t="s">
        <v>586</v>
      </c>
      <c r="B23" s="56" cm="1">
        <f t="array" ref="B23">SUMIF(LAM_ORG_ID_LIST, ORG_ID_REF, LAM_POOL_SQFT)</f>
        <v>0</v>
      </c>
      <c r="C23" s="121" t="s">
        <v>375</v>
      </c>
      <c r="D23" s="123" t="s">
        <v>376</v>
      </c>
      <c r="E23" s="343" t="s">
        <v>587</v>
      </c>
      <c r="F23" s="255"/>
    </row>
    <row r="24" spans="1:6" ht="30" customHeight="1" x14ac:dyDescent="0.25">
      <c r="A24" s="97" t="s">
        <v>654</v>
      </c>
      <c r="B24" s="56" cm="1">
        <f t="array" ref="B24">SUMIF(LAM_ORG_ID_LIST, ORG_ID_REF, LAM_SLA_NOREC_SQFT)</f>
        <v>0</v>
      </c>
      <c r="C24" s="121" t="s">
        <v>375</v>
      </c>
      <c r="D24" s="123" t="s">
        <v>376</v>
      </c>
      <c r="E24" s="343" t="s">
        <v>3835</v>
      </c>
      <c r="F24" s="255"/>
    </row>
    <row r="25" spans="1:6" ht="32.25" customHeight="1" x14ac:dyDescent="0.25">
      <c r="A25" s="97" t="s">
        <v>655</v>
      </c>
      <c r="B25" s="56" cm="1">
        <f t="array" ref="B25">SUMIF(LAM_ORG_ID_LIST, ORG_ID_REF, LAM_SLA_REC_SQFT)</f>
        <v>0</v>
      </c>
      <c r="C25" s="121" t="s">
        <v>375</v>
      </c>
      <c r="D25" s="123" t="s">
        <v>376</v>
      </c>
      <c r="E25" s="343" t="s">
        <v>499</v>
      </c>
      <c r="F25" s="255"/>
    </row>
    <row r="26" spans="1:6" ht="20.25" customHeight="1" x14ac:dyDescent="0.25">
      <c r="A26" s="97" t="s">
        <v>656</v>
      </c>
      <c r="B26" s="56" cm="1">
        <f t="array" ref="B26">SUMIF(LAM_ORG_ID_LIST, ORG_ID_REF, LAM_NEW_NOREC_SQFT)</f>
        <v>0</v>
      </c>
      <c r="C26" s="121" t="s">
        <v>375</v>
      </c>
      <c r="D26" s="123" t="s">
        <v>376</v>
      </c>
      <c r="E26" s="343" t="s">
        <v>3834</v>
      </c>
      <c r="F26" s="255"/>
    </row>
    <row r="27" spans="1:6" ht="20.25" customHeight="1" x14ac:dyDescent="0.25">
      <c r="A27" s="122" t="s">
        <v>657</v>
      </c>
      <c r="B27" s="56" cm="1">
        <f t="array" ref="B27">SUMIF(LAM_ORG_ID_LIST, ORG_ID_REF, LAM_NEW_REC_SQFT)</f>
        <v>0</v>
      </c>
      <c r="C27" s="121" t="s">
        <v>375</v>
      </c>
      <c r="D27" s="123" t="s">
        <v>376</v>
      </c>
      <c r="E27" s="343"/>
      <c r="F27" s="255"/>
    </row>
    <row r="28" spans="1:6" ht="60" x14ac:dyDescent="0.25">
      <c r="A28" s="97" t="s">
        <v>658</v>
      </c>
      <c r="B28" s="215"/>
      <c r="C28" s="97" t="s">
        <v>375</v>
      </c>
      <c r="D28" s="106" t="s">
        <v>659</v>
      </c>
      <c r="E28" s="124" t="s">
        <v>589</v>
      </c>
      <c r="F28" s="255"/>
    </row>
    <row r="29" spans="1:6" ht="60" x14ac:dyDescent="0.25">
      <c r="A29" s="97" t="s">
        <v>660</v>
      </c>
      <c r="B29" s="215"/>
      <c r="C29" s="97" t="s">
        <v>375</v>
      </c>
      <c r="D29" s="106" t="s">
        <v>661</v>
      </c>
      <c r="E29" s="124" t="s">
        <v>589</v>
      </c>
      <c r="F29" s="255"/>
    </row>
    <row r="30" spans="1:6" ht="60" x14ac:dyDescent="0.25">
      <c r="A30" s="97" t="s">
        <v>662</v>
      </c>
      <c r="B30" s="215"/>
      <c r="C30" s="97" t="s">
        <v>375</v>
      </c>
      <c r="D30" s="106" t="s">
        <v>663</v>
      </c>
      <c r="E30" s="398" t="s">
        <v>172</v>
      </c>
      <c r="F30" s="265"/>
    </row>
    <row r="31" spans="1:6" ht="60" x14ac:dyDescent="0.25">
      <c r="A31" s="122" t="s">
        <v>664</v>
      </c>
      <c r="B31" s="215"/>
      <c r="C31" s="122" t="s">
        <v>375</v>
      </c>
      <c r="D31" s="106" t="s">
        <v>665</v>
      </c>
      <c r="E31" s="399" t="s">
        <v>174</v>
      </c>
      <c r="F31" s="265"/>
    </row>
    <row r="32" spans="1:6" ht="30" x14ac:dyDescent="0.25">
      <c r="A32" s="97" t="s">
        <v>666</v>
      </c>
      <c r="B32" s="71">
        <f>IF('Res-Outdoor Variances'!B8&lt;&gt;"Yes",'Res-Outdoor Variances'!B56*'Res-Outdoor Variances'!B57*'Res-Outdoor Variances'!B60*1,0)</f>
        <v>0</v>
      </c>
      <c r="C32" s="97" t="s">
        <v>163</v>
      </c>
      <c r="D32" s="106" t="s">
        <v>667</v>
      </c>
      <c r="E32" s="400" t="s">
        <v>412</v>
      </c>
      <c r="F32" s="270"/>
    </row>
    <row r="33" spans="1:6" ht="33" x14ac:dyDescent="0.25">
      <c r="A33" s="54" t="s">
        <v>173</v>
      </c>
      <c r="B33" s="67">
        <f>(B23+IF(ISBLANK(B28),B24,B28)+IF(ISBLANK(B29),B25,B29)+IF(ISBLANK(B30),B26,B30)+IF(ISBLANK(B31),B27,B31))*B22*B8*B5+B32</f>
        <v>0</v>
      </c>
      <c r="C33" s="54" t="s">
        <v>163</v>
      </c>
      <c r="D33" s="54" t="s">
        <v>595</v>
      </c>
      <c r="E33" s="401"/>
      <c r="F33" s="273"/>
    </row>
    <row r="34" spans="1:6" s="83" customFormat="1" ht="15" x14ac:dyDescent="0.25">
      <c r="C34" s="89"/>
    </row>
    <row r="35" spans="1:6" s="83" customFormat="1" ht="15" x14ac:dyDescent="0.25">
      <c r="A35" s="83" t="s">
        <v>668</v>
      </c>
      <c r="C35" s="89"/>
    </row>
    <row r="36" spans="1:6" ht="15" x14ac:dyDescent="0.25">
      <c r="F36" s="83"/>
    </row>
    <row r="37" spans="1:6" ht="15" x14ac:dyDescent="0.25">
      <c r="F37" s="83"/>
    </row>
    <row r="38" spans="1:6" ht="15" x14ac:dyDescent="0.25">
      <c r="F38" s="83"/>
    </row>
    <row r="39" spans="1:6" ht="15" x14ac:dyDescent="0.25">
      <c r="F39" s="83"/>
    </row>
    <row r="40" spans="1:6" ht="15" x14ac:dyDescent="0.25">
      <c r="F40" s="83"/>
    </row>
    <row r="41" spans="1:6" ht="15" x14ac:dyDescent="0.25">
      <c r="F41" s="83"/>
    </row>
    <row r="42" spans="1:6" ht="15" x14ac:dyDescent="0.25">
      <c r="F42" s="83"/>
    </row>
    <row r="43" spans="1:6" ht="15" x14ac:dyDescent="0.25">
      <c r="F43" s="83"/>
    </row>
    <row r="44" spans="1:6" s="83" customFormat="1" ht="15" x14ac:dyDescent="0.25">
      <c r="C44" s="89"/>
    </row>
    <row r="45" spans="1:6" s="83" customFormat="1" ht="15" x14ac:dyDescent="0.25">
      <c r="C45" s="89"/>
    </row>
    <row r="46" spans="1:6" s="83" customFormat="1" ht="15" x14ac:dyDescent="0.25">
      <c r="C46" s="89"/>
    </row>
    <row r="47" spans="1:6" s="83" customFormat="1" ht="14.25" customHeight="1" x14ac:dyDescent="0.25">
      <c r="C47" s="89"/>
    </row>
    <row r="48" spans="1:6" s="83" customFormat="1" ht="15" x14ac:dyDescent="0.25">
      <c r="C48" s="89"/>
    </row>
    <row r="49" spans="1:3" ht="14.45" customHeight="1" x14ac:dyDescent="0.25"/>
    <row r="50" spans="1:3" s="83" customFormat="1" ht="14.45" customHeight="1" x14ac:dyDescent="0.25">
      <c r="A50" s="84" t="s">
        <v>3807</v>
      </c>
      <c r="C50" s="89"/>
    </row>
  </sheetData>
  <sheetProtection algorithmName="SHA-512" hashValue="EVj/M3/zVDT7DUpyz0cCe21F/OOg4y+9DKyJ0BfIu7bejaIzzuPhpPSjd6jUyv9a8dzsfog5xwmA7rzhtMzGOg==" saltValue="sOnuBWwxfyp0OlhYLLB5pg==" spinCount="100000" sheet="1" formatRows="0"/>
  <protectedRanges>
    <protectedRange sqref="F3:F5 F8:F13 F16:F19 F22:F33" name="notes"/>
    <protectedRange sqref="B11" name="MISCLASSIFIED_CII"/>
    <protectedRange sqref="B18" name="new_construction"/>
    <protectedRange sqref="B28:B31" name="sla"/>
  </protectedRanges>
  <conditionalFormatting sqref="B18:F18">
    <cfRule type="expression" dxfId="3" priority="5">
      <formula>$B$39="1% Threshold Equation"</formula>
    </cfRule>
  </conditionalFormatting>
  <conditionalFormatting sqref="D28:D32">
    <cfRule type="expression" dxfId="2" priority="4">
      <formula>$B$39="1% Threshold Equation"</formula>
    </cfRule>
  </conditionalFormatting>
  <dataValidations count="1">
    <dataValidation type="decimal" allowBlank="1" showInputMessage="1" showErrorMessage="1" sqref="B11 B28:B32" xr:uid="{429035B2-D261-4AC9-8A9B-D44E5B77B1ED}">
      <formula1>0</formula1>
      <formula2>999999999999</formula2>
    </dataValidation>
  </dataValidations>
  <hyperlinks>
    <hyperlink ref="D10" r:id="rId1" display="Obtained from Landscape Area Measurement Table" xr:uid="{AA5E18AC-8B77-4944-B275-98FC3AA3C341}"/>
    <hyperlink ref="D23" r:id="rId2" xr:uid="{BCA77F57-689C-4611-9FB8-C00146B0BCAA}"/>
    <hyperlink ref="D3" r:id="rId3" display="Obtained from Annual Weather Data Table" xr:uid="{154730C0-C001-4745-9277-7ABD8FF51C8C}"/>
    <hyperlink ref="D24" r:id="rId4" xr:uid="{1E30AD30-B39A-43F0-8A0C-CB4EEC13EB6F}"/>
    <hyperlink ref="D25" r:id="rId5" xr:uid="{CC366D62-7CBE-47FE-B9DE-25CF8DF33061}"/>
    <hyperlink ref="D26" r:id="rId6" xr:uid="{A39F21AD-9CBD-41F8-BF1C-63106D10CD69}"/>
    <hyperlink ref="D27" r:id="rId7" xr:uid="{97E033B7-39FB-4CE3-8E12-68AE0D35CF9B}"/>
    <hyperlink ref="D4" r:id="rId8" display="Obtained from Annual Weather Data Table" xr:uid="{93B9E517-7850-4F24-BB54-BB2E72B4373C}"/>
    <hyperlink ref="A50" location="'Landing Page and Navigation'!E1" display="Back to Table of Contents" xr:uid="{28976D1E-0EAB-448E-A05D-723B58141693}"/>
    <hyperlink ref="F1" location="'Landing Page and Navigation'!E1" display="Back to Table of Contents" xr:uid="{1B42EBF0-2ECC-47BC-8BD0-BD9C1E206D7B}"/>
  </hyperlinks>
  <pageMargins left="0.7" right="0.7" top="0.75" bottom="0.75" header="0.3" footer="0.3"/>
  <pageSetup orientation="portrait" verticalDpi="0" r:id="rId9"/>
  <drawing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BB16-183D-47FD-84E8-D7591F37DAEA}">
  <sheetPr codeName="Sheet10">
    <tabColor rgb="FFFFE699"/>
  </sheetPr>
  <dimension ref="A1:XFC36"/>
  <sheetViews>
    <sheetView workbookViewId="0">
      <selection activeCell="B2" sqref="B2"/>
    </sheetView>
  </sheetViews>
  <sheetFormatPr defaultColWidth="148.85546875" defaultRowHeight="15" zeroHeight="1" outlineLevelCol="1" x14ac:dyDescent="0.25"/>
  <cols>
    <col min="1" max="1" width="1.5703125" style="83" customWidth="1"/>
    <col min="2" max="2" width="80.85546875" style="165" customWidth="1"/>
    <col min="3" max="3" width="8.85546875" style="83" customWidth="1"/>
    <col min="4" max="4" width="172.140625" style="83" customWidth="1"/>
    <col min="5" max="5" width="67.140625" style="299" hidden="1" customWidth="1"/>
    <col min="6" max="64" width="148.85546875" hidden="1" customWidth="1"/>
    <col min="65" max="65" width="0" hidden="1" customWidth="1" outlineLevel="1"/>
    <col min="66" max="66" width="0" hidden="1" customWidth="1" collapsed="1"/>
    <col min="67" max="16383" width="0" hidden="1" customWidth="1"/>
    <col min="16384" max="16384" width="148.85546875" hidden="1" customWidth="1"/>
  </cols>
  <sheetData>
    <row r="1" spans="2:5" ht="45" x14ac:dyDescent="0.25">
      <c r="B1" s="373" t="s">
        <v>669</v>
      </c>
    </row>
    <row r="2" spans="2:5" ht="84" customHeight="1" thickBot="1" x14ac:dyDescent="0.3">
      <c r="B2" s="374" t="s">
        <v>3828</v>
      </c>
    </row>
    <row r="3" spans="2:5" x14ac:dyDescent="0.25">
      <c r="B3" s="166" t="s">
        <v>670</v>
      </c>
    </row>
    <row r="4" spans="2:5" x14ac:dyDescent="0.25">
      <c r="B4" s="168" t="s">
        <v>671</v>
      </c>
      <c r="E4" s="299" t="s">
        <v>671</v>
      </c>
    </row>
    <row r="5" spans="2:5" x14ac:dyDescent="0.25">
      <c r="B5" s="167" t="s">
        <v>672</v>
      </c>
      <c r="E5" s="299" t="s">
        <v>673</v>
      </c>
    </row>
    <row r="6" spans="2:5" x14ac:dyDescent="0.25">
      <c r="B6" s="168" t="s">
        <v>671</v>
      </c>
      <c r="E6" s="299" t="s">
        <v>674</v>
      </c>
    </row>
    <row r="7" spans="2:5" ht="15.75" thickBot="1" x14ac:dyDescent="0.3">
      <c r="E7" s="299" t="s">
        <v>675</v>
      </c>
    </row>
    <row r="8" spans="2:5" x14ac:dyDescent="0.25">
      <c r="B8" s="166" t="s">
        <v>670</v>
      </c>
      <c r="E8" s="299" t="s">
        <v>676</v>
      </c>
    </row>
    <row r="9" spans="2:5" x14ac:dyDescent="0.25">
      <c r="B9" s="168" t="s">
        <v>671</v>
      </c>
      <c r="E9" s="299" t="s">
        <v>677</v>
      </c>
    </row>
    <row r="10" spans="2:5" x14ac:dyDescent="0.25">
      <c r="B10" s="167" t="s">
        <v>672</v>
      </c>
      <c r="E10" s="299" t="s">
        <v>678</v>
      </c>
    </row>
    <row r="11" spans="2:5" x14ac:dyDescent="0.25">
      <c r="B11" s="168" t="s">
        <v>671</v>
      </c>
      <c r="E11" s="310"/>
    </row>
    <row r="12" spans="2:5" ht="15.75" thickBot="1" x14ac:dyDescent="0.3">
      <c r="E12"/>
    </row>
    <row r="13" spans="2:5" x14ac:dyDescent="0.25">
      <c r="B13" s="166" t="s">
        <v>670</v>
      </c>
    </row>
    <row r="14" spans="2:5" x14ac:dyDescent="0.25">
      <c r="B14" s="168" t="s">
        <v>671</v>
      </c>
    </row>
    <row r="15" spans="2:5" x14ac:dyDescent="0.25">
      <c r="B15" s="167" t="s">
        <v>672</v>
      </c>
    </row>
    <row r="16" spans="2:5" x14ac:dyDescent="0.25">
      <c r="B16" s="168" t="s">
        <v>671</v>
      </c>
    </row>
    <row r="17" spans="2:5" ht="15.75" thickBot="1" x14ac:dyDescent="0.3"/>
    <row r="18" spans="2:5" x14ac:dyDescent="0.25">
      <c r="B18" s="166" t="s">
        <v>670</v>
      </c>
    </row>
    <row r="19" spans="2:5" x14ac:dyDescent="0.25">
      <c r="B19" s="168" t="s">
        <v>671</v>
      </c>
    </row>
    <row r="20" spans="2:5" x14ac:dyDescent="0.25">
      <c r="B20" s="167" t="s">
        <v>672</v>
      </c>
    </row>
    <row r="21" spans="2:5" x14ac:dyDescent="0.25">
      <c r="B21" s="168" t="s">
        <v>671</v>
      </c>
    </row>
    <row r="22" spans="2:5" ht="15.75" thickBot="1" x14ac:dyDescent="0.3"/>
    <row r="23" spans="2:5" x14ac:dyDescent="0.25">
      <c r="B23" s="166" t="s">
        <v>670</v>
      </c>
    </row>
    <row r="24" spans="2:5" x14ac:dyDescent="0.25">
      <c r="B24" s="168" t="s">
        <v>671</v>
      </c>
    </row>
    <row r="25" spans="2:5" x14ac:dyDescent="0.25">
      <c r="B25" s="167" t="s">
        <v>672</v>
      </c>
    </row>
    <row r="26" spans="2:5" x14ac:dyDescent="0.25">
      <c r="B26" s="168" t="s">
        <v>671</v>
      </c>
    </row>
    <row r="27" spans="2:5" ht="15.75" thickBot="1" x14ac:dyDescent="0.3"/>
    <row r="28" spans="2:5" x14ac:dyDescent="0.25">
      <c r="B28" s="166" t="s">
        <v>670</v>
      </c>
    </row>
    <row r="29" spans="2:5" x14ac:dyDescent="0.25">
      <c r="B29" s="168" t="s">
        <v>671</v>
      </c>
    </row>
    <row r="30" spans="2:5" x14ac:dyDescent="0.25">
      <c r="B30" s="167" t="s">
        <v>672</v>
      </c>
    </row>
    <row r="31" spans="2:5" x14ac:dyDescent="0.25">
      <c r="B31" s="168" t="s">
        <v>671</v>
      </c>
    </row>
    <row r="32" spans="2:5" s="83" customFormat="1" x14ac:dyDescent="0.25">
      <c r="B32" s="227"/>
      <c r="E32" s="375"/>
    </row>
    <row r="33" spans="2:5" s="83" customFormat="1" x14ac:dyDescent="0.25">
      <c r="B33" s="227"/>
      <c r="E33" s="375"/>
    </row>
    <row r="34" spans="2:5" s="83" customFormat="1" x14ac:dyDescent="0.25">
      <c r="B34" s="227"/>
      <c r="E34" s="375"/>
    </row>
    <row r="35" spans="2:5" s="83" customFormat="1" x14ac:dyDescent="0.25">
      <c r="B35" s="227"/>
      <c r="E35" s="375"/>
    </row>
    <row r="36" spans="2:5" s="83" customFormat="1" x14ac:dyDescent="0.25">
      <c r="B36" s="84" t="s">
        <v>3807</v>
      </c>
      <c r="E36" s="375"/>
    </row>
  </sheetData>
  <sheetProtection algorithmName="SHA-512" hashValue="X7vy+Ow0gYl5jP+zBt8YQLct0rhm0OuvxCi6FDkDH+h03aoOTjIn8OUWreQcni42WwD12XFpViJxgc82eq478A==" saltValue="kYyY9hLVgNE3BlV+q+Hdvg==" spinCount="100000" sheet="1" scenarios="1"/>
  <protectedRanges>
    <protectedRange sqref="B4 B6 B9 B11 B14 B16 B19 B21 B24 B26 B29 B31" name="drop downs"/>
  </protectedRanges>
  <dataValidations count="2">
    <dataValidation type="list" allowBlank="1" showErrorMessage="1" sqref="B4 B14 B9 B19 B24 B29" xr:uid="{4145ADE7-A1EB-467C-8BD6-03D76BDCB3F6}">
      <formula1>$E$4:$E$10</formula1>
    </dataValidation>
    <dataValidation type="list" allowBlank="1" showInputMessage="1" showErrorMessage="1" sqref="B6 B11 B16 B21 B26 B31" xr:uid="{F7222F17-35EB-42A5-AE0A-122DB0C62C6B}">
      <formula1>"Select from drop down, Preparing to submit, Have submitted to DWR, Received approval for alternative data/method"</formula1>
    </dataValidation>
  </dataValidations>
  <hyperlinks>
    <hyperlink ref="B36" location="'Landing Page and Navigation'!E1" display="Back to Table of Contents" xr:uid="{C189CD7A-34BB-47A2-8114-E878163A515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5F3FF-B30F-42C2-A772-BE4BA2BA6B22}">
  <sheetPr codeName="Sheet23">
    <tabColor theme="8" tint="0.39997558519241921"/>
  </sheetPr>
  <dimension ref="A1:N530"/>
  <sheetViews>
    <sheetView workbookViewId="0"/>
  </sheetViews>
  <sheetFormatPr defaultRowHeight="15" x14ac:dyDescent="0.25"/>
  <cols>
    <col min="1" max="1" width="9.85546875" style="234" bestFit="1" customWidth="1"/>
    <col min="2" max="2" width="61.7109375" bestFit="1" customWidth="1"/>
    <col min="3" max="3" width="10.28515625" bestFit="1" customWidth="1"/>
    <col min="4" max="4" width="42.7109375" bestFit="1" customWidth="1"/>
    <col min="5" max="5" width="16.7109375" bestFit="1" customWidth="1"/>
    <col min="6" max="6" width="19.5703125" bestFit="1" customWidth="1"/>
    <col min="7" max="7" width="11.5703125" bestFit="1" customWidth="1"/>
    <col min="8" max="8" width="10.5703125" bestFit="1" customWidth="1"/>
    <col min="9" max="9" width="53.7109375" bestFit="1" customWidth="1"/>
    <col min="10" max="10" width="25.5703125" bestFit="1" customWidth="1"/>
    <col min="13" max="13" width="13.85546875" bestFit="1" customWidth="1"/>
  </cols>
  <sheetData>
    <row r="1" spans="1:14" x14ac:dyDescent="0.25">
      <c r="A1" s="234" t="s">
        <v>679</v>
      </c>
      <c r="B1" t="s">
        <v>680</v>
      </c>
      <c r="C1" t="s">
        <v>61</v>
      </c>
      <c r="D1" t="s">
        <v>681</v>
      </c>
      <c r="E1" t="s">
        <v>682</v>
      </c>
      <c r="F1" t="s">
        <v>683</v>
      </c>
      <c r="G1" s="232" t="s">
        <v>684</v>
      </c>
      <c r="H1" s="232" t="s">
        <v>685</v>
      </c>
      <c r="I1" s="232" t="s">
        <v>686</v>
      </c>
      <c r="J1" s="233" t="s">
        <v>687</v>
      </c>
      <c r="M1" t="s">
        <v>688</v>
      </c>
      <c r="N1" t="str">
        <f>ORG_ID_REF</f>
        <v/>
      </c>
    </row>
    <row r="2" spans="1:14" x14ac:dyDescent="0.25">
      <c r="A2" s="234" t="s">
        <v>689</v>
      </c>
      <c r="B2" t="s">
        <v>690</v>
      </c>
      <c r="C2" t="s">
        <v>691</v>
      </c>
      <c r="D2" t="s">
        <v>692</v>
      </c>
      <c r="E2" t="s">
        <v>693</v>
      </c>
      <c r="F2" t="s">
        <v>109</v>
      </c>
      <c r="G2" s="245" t="str" cm="1">
        <f t="array" ref="G2">IF(IFERROR(INDEX(LAM_II_SQFT, MATCH(Crosswalk_API!$A2, LAM_ORG_ID_LIST, 0)), 0) = 0, "No", "Yes")</f>
        <v>Yes</v>
      </c>
      <c r="H2" s="245" t="str">
        <f>IF(OR(G2="Not Applicable", IFERROR(INDEX('Landing Page and Navigation'!$F$31:$F$48, MATCH(C2, 'Landing Page and Navigation'!$A$31:$A$48, 0)), "No") = "No"), "No", "Yes")</f>
        <v>No</v>
      </c>
      <c r="I2" s="245" t="str">
        <f>_xlfn.TEXTJOIN(" - ", TRUE, CW_API_TABLE[[#This Row],[PWSID]],CW_API_TABLE[[#This Row],[PWS_NAME]])</f>
        <v>CA3610001 - ADELANTO, CITY OF</v>
      </c>
      <c r="J2" s="246" cm="1">
        <f t="array" ref="J2">IFERROR(SUMPRODUCT((PD_PWSID_LIST=Crosswalk_API!$C2)*(PD_SUM_DEL&gt;0)), 0)</f>
        <v>12</v>
      </c>
      <c r="M2" t="s">
        <v>694</v>
      </c>
      <c r="N2" t="str" cm="1">
        <f t="array" ref="N2">IF(IFERROR(INDEX(LAM_II_SQFT, MATCH(ORG_ID_REF, LAM_ORG_ID_LIST, 0)), 0) = 0, "No", "Yes")</f>
        <v>No</v>
      </c>
    </row>
    <row r="3" spans="1:14" x14ac:dyDescent="0.25">
      <c r="A3" s="234" t="s">
        <v>695</v>
      </c>
      <c r="B3" t="s">
        <v>95</v>
      </c>
      <c r="C3" t="s">
        <v>696</v>
      </c>
      <c r="D3" t="s">
        <v>697</v>
      </c>
      <c r="E3" t="s">
        <v>698</v>
      </c>
      <c r="F3" t="s">
        <v>109</v>
      </c>
      <c r="G3" s="245" t="str" cm="1">
        <f t="array" ref="G3">IF(IFERROR(INDEX(LAM_II_SQFT, MATCH(Crosswalk_API!$A3, LAM_ORG_ID_LIST, 0)), 0) = 0, "No", "Yes")</f>
        <v>Yes</v>
      </c>
      <c r="H3" s="245" t="str">
        <f>IF(OR(G3="Not Applicable", IFERROR(INDEX('Landing Page and Navigation'!$F$31:$F$48, MATCH(C3, 'Landing Page and Navigation'!$A$31:$A$48, 0)), "No") = "No"), "No", "Yes")</f>
        <v>No</v>
      </c>
      <c r="I3" s="245" t="str">
        <f>_xlfn.TEXTJOIN(" - ", TRUE, CW_API_TABLE[[#This Row],[PWSID]],CW_API_TABLE[[#This Row],[PWS_NAME]])</f>
        <v>CA0110001 - ALAMEDA COUNTY WATER DISTRICT</v>
      </c>
      <c r="J3" s="246" cm="1">
        <f t="array" ref="J3">IFERROR(SUMPRODUCT((PD_PWSID_LIST=Crosswalk_API!$C3)*(PD_SUM_DEL&gt;0)), 0)</f>
        <v>12</v>
      </c>
    </row>
    <row r="4" spans="1:14" x14ac:dyDescent="0.25">
      <c r="A4" s="234" t="s">
        <v>699</v>
      </c>
      <c r="B4" t="s">
        <v>700</v>
      </c>
      <c r="C4" t="s">
        <v>701</v>
      </c>
      <c r="D4" t="s">
        <v>702</v>
      </c>
      <c r="E4" t="s">
        <v>703</v>
      </c>
      <c r="F4" t="s">
        <v>109</v>
      </c>
      <c r="G4" s="245" t="str" cm="1">
        <f t="array" ref="G4">IF(IFERROR(INDEX(LAM_II_SQFT, MATCH(Crosswalk_API!$A4, LAM_ORG_ID_LIST, 0)), 0) = 0, "No", "Yes")</f>
        <v>Yes</v>
      </c>
      <c r="H4" s="245" t="str">
        <f>IF(OR(G4="Not Applicable", IFERROR(INDEX('Landing Page and Navigation'!$F$31:$F$48, MATCH(C4, 'Landing Page and Navigation'!$A$31:$A$48, 0)), "No") = "No"), "No", "Yes")</f>
        <v>No</v>
      </c>
      <c r="I4" s="245" t="str">
        <f>_xlfn.TEXTJOIN(" - ", TRUE, CW_API_TABLE[[#This Row],[PWSID]],CW_API_TABLE[[#This Row],[PWS_NAME]])</f>
        <v>CA2710001 - ALCO WATER SERVICE</v>
      </c>
      <c r="J4" s="246" cm="1">
        <f t="array" ref="J4">IFERROR(SUMPRODUCT((PD_PWSID_LIST=Crosswalk_API!$C4)*(PD_SUM_DEL&gt;0)), 0)</f>
        <v>12</v>
      </c>
    </row>
    <row r="5" spans="1:14" x14ac:dyDescent="0.25">
      <c r="A5" s="234" t="s">
        <v>704</v>
      </c>
      <c r="B5" t="s">
        <v>705</v>
      </c>
      <c r="C5" t="s">
        <v>706</v>
      </c>
      <c r="D5" t="s">
        <v>707</v>
      </c>
      <c r="E5" t="s">
        <v>708</v>
      </c>
      <c r="F5" t="s">
        <v>109</v>
      </c>
      <c r="G5" s="245" t="str" cm="1">
        <f t="array" ref="G5">IF(IFERROR(INDEX(LAM_II_SQFT, MATCH(Crosswalk_API!$A5, LAM_ORG_ID_LIST, 0)), 0) = 0, "No", "Yes")</f>
        <v>Yes</v>
      </c>
      <c r="H5" s="245" t="str">
        <f>IF(OR(G5="Not Applicable", IFERROR(INDEX('Landing Page and Navigation'!$F$31:$F$48, MATCH(C5, 'Landing Page and Navigation'!$A$31:$A$48, 0)), "No") = "No"), "No", "Yes")</f>
        <v>No</v>
      </c>
      <c r="I5" s="245" t="str">
        <f>_xlfn.TEXTJOIN(" - ", TRUE, CW_API_TABLE[[#This Row],[PWSID]],CW_API_TABLE[[#This Row],[PWS_NAME]])</f>
        <v>CA1910001 - CITY OF ALHAMBRA</v>
      </c>
      <c r="J5" s="246" cm="1">
        <f t="array" ref="J5">IFERROR(SUMPRODUCT((PD_PWSID_LIST=Crosswalk_API!$C5)*(PD_SUM_DEL&gt;0)), 0)</f>
        <v>12</v>
      </c>
    </row>
    <row r="6" spans="1:14" x14ac:dyDescent="0.25">
      <c r="A6" s="234" t="s">
        <v>709</v>
      </c>
      <c r="B6" t="s">
        <v>710</v>
      </c>
      <c r="C6" t="s">
        <v>711</v>
      </c>
      <c r="D6" t="s">
        <v>712</v>
      </c>
      <c r="E6" t="s">
        <v>713</v>
      </c>
      <c r="F6" t="s">
        <v>109</v>
      </c>
      <c r="G6" s="245" t="str" cm="1">
        <f t="array" ref="G6">IF(IFERROR(INDEX(LAM_II_SQFT, MATCH(Crosswalk_API!$A6, LAM_ORG_ID_LIST, 0)), 0) = 0, "No", "Yes")</f>
        <v>Yes</v>
      </c>
      <c r="H6" s="245" t="str">
        <f>IF(OR(G6="Not Applicable", IFERROR(INDEX('Landing Page and Navigation'!$F$31:$F$48, MATCH(C6, 'Landing Page and Navigation'!$A$31:$A$48, 0)), "No") = "No"), "No", "Yes")</f>
        <v>No</v>
      </c>
      <c r="I6" s="245" t="str">
        <f>_xlfn.TEXTJOIN(" - ", TRUE, CW_API_TABLE[[#This Row],[PWSID]],CW_API_TABLE[[#This Row],[PWS_NAME]])</f>
        <v>CA0310002 - AWA, IONE</v>
      </c>
      <c r="J6" s="246" cm="1">
        <f t="array" ref="J6">IFERROR(SUMPRODUCT((PD_PWSID_LIST=Crosswalk_API!$C6)*(PD_SUM_DEL&gt;0)), 0)</f>
        <v>12</v>
      </c>
    </row>
    <row r="7" spans="1:14" x14ac:dyDescent="0.25">
      <c r="A7" s="234" t="s">
        <v>709</v>
      </c>
      <c r="B7" t="s">
        <v>710</v>
      </c>
      <c r="C7" t="s">
        <v>714</v>
      </c>
      <c r="D7" t="s">
        <v>715</v>
      </c>
      <c r="E7" t="s">
        <v>713</v>
      </c>
      <c r="F7" t="s">
        <v>109</v>
      </c>
      <c r="G7" s="245" t="str" cm="1">
        <f t="array" ref="G7">IF(IFERROR(INDEX(LAM_II_SQFT, MATCH(Crosswalk_API!$A7, LAM_ORG_ID_LIST, 0)), 0) = 0, "No", "Yes")</f>
        <v>Yes</v>
      </c>
      <c r="H7" s="245" t="str">
        <f>IF(OR(G7="Not Applicable", IFERROR(INDEX('Landing Page and Navigation'!$F$31:$F$48, MATCH(C7, 'Landing Page and Navigation'!$A$31:$A$48, 0)), "No") = "No"), "No", "Yes")</f>
        <v>No</v>
      </c>
      <c r="I7" s="245" t="str">
        <f>_xlfn.TEXTJOIN(" - ", TRUE, CW_API_TABLE[[#This Row],[PWSID]],CW_API_TABLE[[#This Row],[PWS_NAME]])</f>
        <v>CA0310003 - AWA, TANNER</v>
      </c>
      <c r="J7" s="246" cm="1">
        <f t="array" ref="J7">IFERROR(SUMPRODUCT((PD_PWSID_LIST=Crosswalk_API!$C7)*(PD_SUM_DEL&gt;0)), 0)</f>
        <v>12</v>
      </c>
    </row>
    <row r="8" spans="1:14" x14ac:dyDescent="0.25">
      <c r="A8" s="234" t="s">
        <v>709</v>
      </c>
      <c r="B8" t="s">
        <v>710</v>
      </c>
      <c r="C8" t="s">
        <v>716</v>
      </c>
      <c r="D8" t="s">
        <v>717</v>
      </c>
      <c r="E8" t="s">
        <v>713</v>
      </c>
      <c r="F8" t="s">
        <v>109</v>
      </c>
      <c r="G8" s="245" t="str" cm="1">
        <f t="array" ref="G8">IF(IFERROR(INDEX(LAM_II_SQFT, MATCH(Crosswalk_API!$A8, LAM_ORG_ID_LIST, 0)), 0) = 0, "No", "Yes")</f>
        <v>Yes</v>
      </c>
      <c r="H8" s="245" t="str">
        <f>IF(OR(G8="Not Applicable", IFERROR(INDEX('Landing Page and Navigation'!$F$31:$F$48, MATCH(C8, 'Landing Page and Navigation'!$A$31:$A$48, 0)), "No") = "No"), "No", "Yes")</f>
        <v>No</v>
      </c>
      <c r="I8" s="245" t="str">
        <f>_xlfn.TEXTJOIN(" - ", TRUE, CW_API_TABLE[[#This Row],[PWSID]],CW_API_TABLE[[#This Row],[PWS_NAME]])</f>
        <v>CA0310012 - AWA BUCKHORN PLANT</v>
      </c>
      <c r="J8" s="246" cm="1">
        <f t="array" ref="J8">IFERROR(SUMPRODUCT((PD_PWSID_LIST=Crosswalk_API!$C8)*(PD_SUM_DEL&gt;0)), 0)</f>
        <v>12</v>
      </c>
    </row>
    <row r="9" spans="1:14" x14ac:dyDescent="0.25">
      <c r="A9" s="234" t="s">
        <v>709</v>
      </c>
      <c r="B9" t="s">
        <v>710</v>
      </c>
      <c r="C9" t="s">
        <v>718</v>
      </c>
      <c r="D9" t="s">
        <v>719</v>
      </c>
      <c r="E9" t="s">
        <v>713</v>
      </c>
      <c r="F9" t="s">
        <v>109</v>
      </c>
      <c r="G9" s="245" t="str" cm="1">
        <f t="array" ref="G9">IF(IFERROR(INDEX(LAM_II_SQFT, MATCH(Crosswalk_API!$A9, LAM_ORG_ID_LIST, 0)), 0) = 0, "No", "Yes")</f>
        <v>Yes</v>
      </c>
      <c r="H9" s="245" t="str">
        <f>IF(OR(G9="Not Applicable", IFERROR(INDEX('Landing Page and Navigation'!$F$31:$F$48, MATCH(C9, 'Landing Page and Navigation'!$A$31:$A$48, 0)), "No") = "No"), "No", "Yes")</f>
        <v>No</v>
      </c>
      <c r="I9" s="245" t="str">
        <f>_xlfn.TEXTJOIN(" - ", TRUE, CW_API_TABLE[[#This Row],[PWSID]],CW_API_TABLE[[#This Row],[PWS_NAME]])</f>
        <v>CA0310019 - AWA LA MEL HEIGHTS #3</v>
      </c>
      <c r="J9" s="246" cm="1">
        <f t="array" ref="J9">IFERROR(SUMPRODUCT((PD_PWSID_LIST=Crosswalk_API!$C9)*(PD_SUM_DEL&gt;0)), 0)</f>
        <v>12</v>
      </c>
    </row>
    <row r="10" spans="1:14" x14ac:dyDescent="0.25">
      <c r="A10" s="234" t="s">
        <v>709</v>
      </c>
      <c r="B10" t="s">
        <v>710</v>
      </c>
      <c r="C10" t="s">
        <v>720</v>
      </c>
      <c r="D10" t="s">
        <v>721</v>
      </c>
      <c r="E10" t="s">
        <v>713</v>
      </c>
      <c r="F10" t="s">
        <v>109</v>
      </c>
      <c r="G10" s="245" t="str" cm="1">
        <f t="array" ref="G10">IF(IFERROR(INDEX(LAM_II_SQFT, MATCH(Crosswalk_API!$A10, LAM_ORG_ID_LIST, 0)), 0) = 0, "No", "Yes")</f>
        <v>Yes</v>
      </c>
      <c r="H10" s="245" t="str">
        <f>IF(OR(G10="Not Applicable", IFERROR(INDEX('Landing Page and Navigation'!$F$31:$F$48, MATCH(C10, 'Landing Page and Navigation'!$A$31:$A$48, 0)), "No") = "No"), "No", "Yes")</f>
        <v>No</v>
      </c>
      <c r="I10" s="245" t="str">
        <f>_xlfn.TEXTJOIN(" - ", TRUE, CW_API_TABLE[[#This Row],[PWSID]],CW_API_TABLE[[#This Row],[PWS_NAME]])</f>
        <v>CA0310021 - AWA - CAMANCHE VILLAGE</v>
      </c>
      <c r="J10" s="246" cm="1">
        <f t="array" ref="J10">IFERROR(SUMPRODUCT((PD_PWSID_LIST=Crosswalk_API!$C10)*(PD_SUM_DEL&gt;0)), 0)</f>
        <v>12</v>
      </c>
    </row>
    <row r="11" spans="1:14" x14ac:dyDescent="0.25">
      <c r="A11" s="234" t="s">
        <v>722</v>
      </c>
      <c r="B11" t="s">
        <v>723</v>
      </c>
      <c r="C11" t="s">
        <v>724</v>
      </c>
      <c r="D11" t="s">
        <v>725</v>
      </c>
      <c r="E11" t="s">
        <v>726</v>
      </c>
      <c r="F11" t="s">
        <v>109</v>
      </c>
      <c r="G11" s="245" t="str" cm="1">
        <f t="array" ref="G11">IF(IFERROR(INDEX(LAM_II_SQFT, MATCH(Crosswalk_API!$A11, LAM_ORG_ID_LIST, 0)), 0) = 0, "No", "Yes")</f>
        <v>Yes</v>
      </c>
      <c r="H11" s="245" t="str">
        <f>IF(OR(G11="Not Applicable", IFERROR(INDEX('Landing Page and Navigation'!$F$31:$F$48, MATCH(C11, 'Landing Page and Navigation'!$A$31:$A$48, 0)), "No") = "No"), "No", "Yes")</f>
        <v>No</v>
      </c>
      <c r="I11" s="245" t="str">
        <f>_xlfn.TEXTJOIN(" - ", TRUE, CW_API_TABLE[[#This Row],[PWSID]],CW_API_TABLE[[#This Row],[PWS_NAME]])</f>
        <v>CA2810005 - AMERICAN CANYON, CITY OF</v>
      </c>
      <c r="J11" s="246" cm="1">
        <f t="array" ref="J11">IFERROR(SUMPRODUCT((PD_PWSID_LIST=Crosswalk_API!$C11)*(PD_SUM_DEL&gt;0)), 0)</f>
        <v>12</v>
      </c>
    </row>
    <row r="12" spans="1:14" x14ac:dyDescent="0.25">
      <c r="A12" s="234" t="s">
        <v>727</v>
      </c>
      <c r="B12" t="s">
        <v>728</v>
      </c>
      <c r="C12" t="s">
        <v>729</v>
      </c>
      <c r="D12" t="s">
        <v>730</v>
      </c>
      <c r="E12" t="s">
        <v>731</v>
      </c>
      <c r="F12" t="s">
        <v>109</v>
      </c>
      <c r="G12" s="245" t="str" cm="1">
        <f t="array" ref="G12">IF(IFERROR(INDEX(LAM_II_SQFT, MATCH(Crosswalk_API!$A12, LAM_ORG_ID_LIST, 0)), 0) = 0, "No", "Yes")</f>
        <v>Yes</v>
      </c>
      <c r="H12" s="245" t="str">
        <f>IF(OR(G12="Not Applicable", IFERROR(INDEX('Landing Page and Navigation'!$F$31:$F$48, MATCH(C12, 'Landing Page and Navigation'!$A$31:$A$48, 0)), "No") = "No"), "No", "Yes")</f>
        <v>No</v>
      </c>
      <c r="I12" s="245" t="str">
        <f>_xlfn.TEXTJOIN(" - ", TRUE, CW_API_TABLE[[#This Row],[PWSID]],CW_API_TABLE[[#This Row],[PWS_NAME]])</f>
        <v>CA3010001 - CITY OF ANAHEIM</v>
      </c>
      <c r="J12" s="246" cm="1">
        <f t="array" ref="J12">IFERROR(SUMPRODUCT((PD_PWSID_LIST=Crosswalk_API!$C12)*(PD_SUM_DEL&gt;0)), 0)</f>
        <v>12</v>
      </c>
    </row>
    <row r="13" spans="1:14" x14ac:dyDescent="0.25">
      <c r="A13" s="234" t="s">
        <v>732</v>
      </c>
      <c r="B13" t="s">
        <v>733</v>
      </c>
      <c r="C13" t="s">
        <v>734</v>
      </c>
      <c r="D13" t="s">
        <v>735</v>
      </c>
      <c r="E13" t="s">
        <v>736</v>
      </c>
      <c r="F13" t="s">
        <v>109</v>
      </c>
      <c r="G13" s="245" t="str" cm="1">
        <f t="array" ref="G13">IF(IFERROR(INDEX(LAM_II_SQFT, MATCH(Crosswalk_API!$A13, LAM_ORG_ID_LIST, 0)), 0) = 0, "No", "Yes")</f>
        <v>Yes</v>
      </c>
      <c r="H13" s="245" t="str">
        <f>IF(OR(G13="Not Applicable", IFERROR(INDEX('Landing Page and Navigation'!$F$31:$F$48, MATCH(C13, 'Landing Page and Navigation'!$A$31:$A$48, 0)), "No") = "No"), "No", "Yes")</f>
        <v>No</v>
      </c>
      <c r="I13" s="245" t="str">
        <f>_xlfn.TEXTJOIN(" - ", TRUE, CW_API_TABLE[[#This Row],[PWSID]],CW_API_TABLE[[#This Row],[PWS_NAME]])</f>
        <v>CA4510001 - CITY OF ANDERSON</v>
      </c>
      <c r="J13" s="246" cm="1">
        <f t="array" ref="J13">IFERROR(SUMPRODUCT((PD_PWSID_LIST=Crosswalk_API!$C13)*(PD_SUM_DEL&gt;0)), 0)</f>
        <v>12</v>
      </c>
    </row>
    <row r="14" spans="1:14" x14ac:dyDescent="0.25">
      <c r="A14" s="234" t="s">
        <v>737</v>
      </c>
      <c r="B14" t="s">
        <v>738</v>
      </c>
      <c r="C14" t="s">
        <v>739</v>
      </c>
      <c r="D14" t="s">
        <v>740</v>
      </c>
      <c r="E14" t="s">
        <v>741</v>
      </c>
      <c r="F14" t="s">
        <v>109</v>
      </c>
      <c r="G14" s="245" t="str" cm="1">
        <f t="array" ref="G14">IF(IFERROR(INDEX(LAM_II_SQFT, MATCH(Crosswalk_API!$A14, LAM_ORG_ID_LIST, 0)), 0) = 0, "No", "Yes")</f>
        <v>Yes</v>
      </c>
      <c r="H14" s="245" t="str">
        <f>IF(OR(G14="Not Applicable", IFERROR(INDEX('Landing Page and Navigation'!$F$31:$F$48, MATCH(C14, 'Landing Page and Navigation'!$A$31:$A$48, 0)), "No") = "No"), "No", "Yes")</f>
        <v>No</v>
      </c>
      <c r="I14" s="245" t="str">
        <f>_xlfn.TEXTJOIN(" - ", TRUE, CW_API_TABLE[[#This Row],[PWSID]],CW_API_TABLE[[#This Row],[PWS_NAME]])</f>
        <v>CA0710001 - CITY OF ANTIOCH</v>
      </c>
      <c r="J14" s="246" cm="1">
        <f t="array" ref="J14">IFERROR(SUMPRODUCT((PD_PWSID_LIST=Crosswalk_API!$C14)*(PD_SUM_DEL&gt;0)), 0)</f>
        <v>12</v>
      </c>
    </row>
    <row r="15" spans="1:14" x14ac:dyDescent="0.25">
      <c r="A15" s="234" t="s">
        <v>742</v>
      </c>
      <c r="B15" t="s">
        <v>743</v>
      </c>
      <c r="C15" t="s">
        <v>744</v>
      </c>
      <c r="D15" t="s">
        <v>745</v>
      </c>
      <c r="E15" t="s">
        <v>693</v>
      </c>
      <c r="F15" t="s">
        <v>109</v>
      </c>
      <c r="G15" s="245" t="str" cm="1">
        <f t="array" ref="G15">IF(IFERROR(INDEX(LAM_II_SQFT, MATCH(Crosswalk_API!$A15, LAM_ORG_ID_LIST, 0)), 0) = 0, "No", "Yes")</f>
        <v>Yes</v>
      </c>
      <c r="H15" s="245" t="str">
        <f>IF(OR(G15="Not Applicable", IFERROR(INDEX('Landing Page and Navigation'!$F$31:$F$48, MATCH(C15, 'Landing Page and Navigation'!$A$31:$A$48, 0)), "No") = "No"), "No", "Yes")</f>
        <v>No</v>
      </c>
      <c r="I15" s="245" t="str">
        <f>_xlfn.TEXTJOIN(" - ", TRUE, CW_API_TABLE[[#This Row],[PWSID]],CW_API_TABLE[[#This Row],[PWS_NAME]])</f>
        <v>CA3610003 - LIBERTY UTILITIES (AV RANCHOS) CORP.</v>
      </c>
      <c r="J15" s="246" cm="1">
        <f t="array" ref="J15">IFERROR(SUMPRODUCT((PD_PWSID_LIST=Crosswalk_API!$C15)*(PD_SUM_DEL&gt;0)), 0)</f>
        <v>12</v>
      </c>
    </row>
    <row r="16" spans="1:14" x14ac:dyDescent="0.25">
      <c r="A16" s="234" t="s">
        <v>746</v>
      </c>
      <c r="B16" t="s">
        <v>747</v>
      </c>
      <c r="C16" t="s">
        <v>748</v>
      </c>
      <c r="D16" t="s">
        <v>749</v>
      </c>
      <c r="E16" t="s">
        <v>708</v>
      </c>
      <c r="F16" t="s">
        <v>109</v>
      </c>
      <c r="G16" s="245" t="str" cm="1">
        <f t="array" ref="G16">IF(IFERROR(INDEX(LAM_II_SQFT, MATCH(Crosswalk_API!$A16, LAM_ORG_ID_LIST, 0)), 0) = 0, "No", "Yes")</f>
        <v>Yes</v>
      </c>
      <c r="H16" s="245" t="str">
        <f>IF(OR(G16="Not Applicable", IFERROR(INDEX('Landing Page and Navigation'!$F$31:$F$48, MATCH(C16, 'Landing Page and Navigation'!$A$31:$A$48, 0)), "No") = "No"), "No", "Yes")</f>
        <v>No</v>
      </c>
      <c r="I16" s="245" t="str">
        <f>_xlfn.TEXTJOIN(" - ", TRUE, CW_API_TABLE[[#This Row],[PWSID]],CW_API_TABLE[[#This Row],[PWS_NAME]])</f>
        <v>CA1910003 - CITY OF ARCADIA</v>
      </c>
      <c r="J16" s="246" cm="1">
        <f t="array" ref="J16">IFERROR(SUMPRODUCT((PD_PWSID_LIST=Crosswalk_API!$C16)*(PD_SUM_DEL&gt;0)), 0)</f>
        <v>12</v>
      </c>
    </row>
    <row r="17" spans="1:10" x14ac:dyDescent="0.25">
      <c r="A17" s="234" t="s">
        <v>750</v>
      </c>
      <c r="B17" t="s">
        <v>751</v>
      </c>
      <c r="C17" t="s">
        <v>752</v>
      </c>
      <c r="D17" t="s">
        <v>753</v>
      </c>
      <c r="E17" t="s">
        <v>754</v>
      </c>
      <c r="F17" t="s">
        <v>109</v>
      </c>
      <c r="G17" s="245" t="str" cm="1">
        <f t="array" ref="G17">IF(IFERROR(INDEX(LAM_II_SQFT, MATCH(Crosswalk_API!$A17, LAM_ORG_ID_LIST, 0)), 0) = 0, "No", "Yes")</f>
        <v>Yes</v>
      </c>
      <c r="H17" s="245" t="str">
        <f>IF(OR(G17="Not Applicable", IFERROR(INDEX('Landing Page and Navigation'!$F$31:$F$48, MATCH(C17, 'Landing Page and Navigation'!$A$31:$A$48, 0)), "No") = "No"), "No", "Yes")</f>
        <v>No</v>
      </c>
      <c r="I17" s="245" t="str">
        <f>_xlfn.TEXTJOIN(" - ", TRUE, CW_API_TABLE[[#This Row],[PWSID]],CW_API_TABLE[[#This Row],[PWS_NAME]])</f>
        <v>CA1210001 - ARCATA, CITY OF</v>
      </c>
      <c r="J17" s="246" cm="1">
        <f t="array" ref="J17">IFERROR(SUMPRODUCT((PD_PWSID_LIST=Crosswalk_API!$C17)*(PD_SUM_DEL&gt;0)), 0)</f>
        <v>12</v>
      </c>
    </row>
    <row r="18" spans="1:10" x14ac:dyDescent="0.25">
      <c r="A18" s="234" t="s">
        <v>750</v>
      </c>
      <c r="B18" t="s">
        <v>751</v>
      </c>
      <c r="C18" t="s">
        <v>755</v>
      </c>
      <c r="D18" t="s">
        <v>756</v>
      </c>
      <c r="E18" t="s">
        <v>754</v>
      </c>
      <c r="F18" t="s">
        <v>109</v>
      </c>
      <c r="G18" s="245" t="str" cm="1">
        <f t="array" ref="G18">IF(IFERROR(INDEX(LAM_II_SQFT, MATCH(Crosswalk_API!$A18, LAM_ORG_ID_LIST, 0)), 0) = 0, "No", "Yes")</f>
        <v>Yes</v>
      </c>
      <c r="H18" s="245" t="str">
        <f>IF(OR(G18="Not Applicable", IFERROR(INDEX('Landing Page and Navigation'!$F$31:$F$48, MATCH(C18, 'Landing Page and Navigation'!$A$31:$A$48, 0)), "No") = "No"), "No", "Yes")</f>
        <v>No</v>
      </c>
      <c r="I18" s="245" t="str">
        <f>_xlfn.TEXTJOIN(" - ", TRUE, CW_API_TABLE[[#This Row],[PWSID]],CW_API_TABLE[[#This Row],[PWS_NAME]])</f>
        <v>CA1210021 - JACOBY CREEK CSD</v>
      </c>
      <c r="J18" s="246" cm="1">
        <f t="array" ref="J18">IFERROR(SUMPRODUCT((PD_PWSID_LIST=Crosswalk_API!$C18)*(PD_SUM_DEL&gt;0)), 0)</f>
        <v>12</v>
      </c>
    </row>
    <row r="19" spans="1:10" x14ac:dyDescent="0.25">
      <c r="A19" s="234" t="s">
        <v>757</v>
      </c>
      <c r="B19" t="s">
        <v>758</v>
      </c>
      <c r="C19" t="s">
        <v>759</v>
      </c>
      <c r="D19" t="s">
        <v>760</v>
      </c>
      <c r="E19" t="s">
        <v>761</v>
      </c>
      <c r="F19" t="s">
        <v>109</v>
      </c>
      <c r="G19" s="245" t="str" cm="1">
        <f t="array" ref="G19">IF(IFERROR(INDEX(LAM_II_SQFT, MATCH(Crosswalk_API!$A19, LAM_ORG_ID_LIST, 0)), 0) = 0, "No", "Yes")</f>
        <v>Yes</v>
      </c>
      <c r="H19" s="245" t="str">
        <f>IF(OR(G19="Not Applicable", IFERROR(INDEX('Landing Page and Navigation'!$F$31:$F$48, MATCH(C19, 'Landing Page and Navigation'!$A$31:$A$48, 0)), "No") = "No"), "No", "Yes")</f>
        <v>No</v>
      </c>
      <c r="I19" s="245" t="str">
        <f>_xlfn.TEXTJOIN(" - ", TRUE, CW_API_TABLE[[#This Row],[PWSID]],CW_API_TABLE[[#This Row],[PWS_NAME]])</f>
        <v>CA4010001 - ARROYO GRANDE, WATER DEPARTMENT</v>
      </c>
      <c r="J19" s="246" cm="1">
        <f t="array" ref="J19">IFERROR(SUMPRODUCT((PD_PWSID_LIST=Crosswalk_API!$C19)*(PD_SUM_DEL&gt;0)), 0)</f>
        <v>12</v>
      </c>
    </row>
    <row r="20" spans="1:10" x14ac:dyDescent="0.25">
      <c r="A20" s="234" t="s">
        <v>762</v>
      </c>
      <c r="B20" t="s">
        <v>763</v>
      </c>
      <c r="C20" t="s">
        <v>764</v>
      </c>
      <c r="D20" t="s">
        <v>765</v>
      </c>
      <c r="E20" t="s">
        <v>766</v>
      </c>
      <c r="F20" t="s">
        <v>109</v>
      </c>
      <c r="G20" s="245" t="str" cm="1">
        <f t="array" ref="G20">IF(IFERROR(INDEX(LAM_II_SQFT, MATCH(Crosswalk_API!$A20, LAM_ORG_ID_LIST, 0)), 0) = 0, "No", "Yes")</f>
        <v>Yes</v>
      </c>
      <c r="H20" s="245" t="str">
        <f>IF(OR(G20="Not Applicable", IFERROR(INDEX('Landing Page and Navigation'!$F$31:$F$48, MATCH(C20, 'Landing Page and Navigation'!$A$31:$A$48, 0)), "No") = "No"), "No", "Yes")</f>
        <v>No</v>
      </c>
      <c r="I20" s="245" t="str">
        <f>_xlfn.TEXTJOIN(" - ", TRUE, CW_API_TABLE[[#This Row],[PWSID]],CW_API_TABLE[[#This Row],[PWS_NAME]])</f>
        <v>CA1510001 - ARVIN COMMUNITY SERVICES DIST</v>
      </c>
      <c r="J20" s="246" cm="1">
        <f t="array" ref="J20">IFERROR(SUMPRODUCT((PD_PWSID_LIST=Crosswalk_API!$C20)*(PD_SUM_DEL&gt;0)), 0)</f>
        <v>12</v>
      </c>
    </row>
    <row r="21" spans="1:10" x14ac:dyDescent="0.25">
      <c r="A21" s="234" t="s">
        <v>767</v>
      </c>
      <c r="B21" t="s">
        <v>768</v>
      </c>
      <c r="C21" t="s">
        <v>769</v>
      </c>
      <c r="D21" t="s">
        <v>770</v>
      </c>
      <c r="E21" t="s">
        <v>761</v>
      </c>
      <c r="F21" t="s">
        <v>109</v>
      </c>
      <c r="G21" s="245" t="str" cm="1">
        <f t="array" ref="G21">IF(IFERROR(INDEX(LAM_II_SQFT, MATCH(Crosswalk_API!$A21, LAM_ORG_ID_LIST, 0)), 0) = 0, "No", "Yes")</f>
        <v>Yes</v>
      </c>
      <c r="H21" s="245" t="str">
        <f>IF(OR(G21="Not Applicable", IFERROR(INDEX('Landing Page and Navigation'!$F$31:$F$48, MATCH(C21, 'Landing Page and Navigation'!$A$31:$A$48, 0)), "No") = "No"), "No", "Yes")</f>
        <v>No</v>
      </c>
      <c r="I21" s="245" t="str">
        <f>_xlfn.TEXTJOIN(" - ", TRUE, CW_API_TABLE[[#This Row],[PWSID]],CW_API_TABLE[[#This Row],[PWS_NAME]])</f>
        <v>CA4010002 - ATASCADERO MUTUAL WATER CO</v>
      </c>
      <c r="J21" s="246" cm="1">
        <f t="array" ref="J21">IFERROR(SUMPRODUCT((PD_PWSID_LIST=Crosswalk_API!$C21)*(PD_SUM_DEL&gt;0)), 0)</f>
        <v>12</v>
      </c>
    </row>
    <row r="22" spans="1:10" x14ac:dyDescent="0.25">
      <c r="A22" s="234" t="s">
        <v>771</v>
      </c>
      <c r="B22" t="s">
        <v>772</v>
      </c>
      <c r="C22" t="s">
        <v>773</v>
      </c>
      <c r="D22" t="s">
        <v>774</v>
      </c>
      <c r="E22" t="s">
        <v>775</v>
      </c>
      <c r="F22" t="s">
        <v>109</v>
      </c>
      <c r="G22" s="245" t="str" cm="1">
        <f t="array" ref="G22">IF(IFERROR(INDEX(LAM_II_SQFT, MATCH(Crosswalk_API!$A22, LAM_ORG_ID_LIST, 0)), 0) = 0, "No", "Yes")</f>
        <v>Yes</v>
      </c>
      <c r="H22" s="245" t="str">
        <f>IF(OR(G22="Not Applicable", IFERROR(INDEX('Landing Page and Navigation'!$F$31:$F$48, MATCH(C22, 'Landing Page and Navigation'!$A$31:$A$48, 0)), "No") = "No"), "No", "Yes")</f>
        <v>No</v>
      </c>
      <c r="I22" s="245" t="str">
        <f>_xlfn.TEXTJOIN(" - ", TRUE, CW_API_TABLE[[#This Row],[PWSID]],CW_API_TABLE[[#This Row],[PWS_NAME]])</f>
        <v>CA2410001 - CITY OF ATWATER</v>
      </c>
      <c r="J22" s="246" cm="1">
        <f t="array" ref="J22">IFERROR(SUMPRODUCT((PD_PWSID_LIST=Crosswalk_API!$C22)*(PD_SUM_DEL&gt;0)), 0)</f>
        <v>12</v>
      </c>
    </row>
    <row r="23" spans="1:10" x14ac:dyDescent="0.25">
      <c r="A23" s="234" t="s">
        <v>776</v>
      </c>
      <c r="B23" t="s">
        <v>777</v>
      </c>
      <c r="C23" t="s">
        <v>778</v>
      </c>
      <c r="D23" t="s">
        <v>779</v>
      </c>
      <c r="E23" t="s">
        <v>708</v>
      </c>
      <c r="F23" t="s">
        <v>109</v>
      </c>
      <c r="G23" s="245" t="str" cm="1">
        <f t="array" ref="G23">IF(IFERROR(INDEX(LAM_II_SQFT, MATCH(Crosswalk_API!$A23, LAM_ORG_ID_LIST, 0)), 0) = 0, "No", "Yes")</f>
        <v>Yes</v>
      </c>
      <c r="H23" s="245" t="str">
        <f>IF(OR(G23="Not Applicable", IFERROR(INDEX('Landing Page and Navigation'!$F$31:$F$48, MATCH(C23, 'Landing Page and Navigation'!$A$31:$A$48, 0)), "No") = "No"), "No", "Yes")</f>
        <v>No</v>
      </c>
      <c r="I23" s="245" t="str">
        <f>_xlfn.TEXTJOIN(" - ", TRUE, CW_API_TABLE[[#This Row],[PWSID]],CW_API_TABLE[[#This Row],[PWS_NAME]])</f>
        <v>CA1910007 - AZUSA LIGHT AND WATER</v>
      </c>
      <c r="J23" s="246" cm="1">
        <f t="array" ref="J23">IFERROR(SUMPRODUCT((PD_PWSID_LIST=Crosswalk_API!$C23)*(PD_SUM_DEL&gt;0)), 0)</f>
        <v>12</v>
      </c>
    </row>
    <row r="24" spans="1:10" x14ac:dyDescent="0.25">
      <c r="A24" s="234" t="s">
        <v>780</v>
      </c>
      <c r="B24" t="s">
        <v>781</v>
      </c>
      <c r="C24" t="s">
        <v>782</v>
      </c>
      <c r="D24" t="s">
        <v>783</v>
      </c>
      <c r="E24" t="s">
        <v>766</v>
      </c>
      <c r="F24" t="s">
        <v>109</v>
      </c>
      <c r="G24" s="245" t="str" cm="1">
        <f t="array" ref="G24">IF(IFERROR(INDEX(LAM_II_SQFT, MATCH(Crosswalk_API!$A24, LAM_ORG_ID_LIST, 0)), 0) = 0, "No", "Yes")</f>
        <v>Yes</v>
      </c>
      <c r="H24" s="245" t="str">
        <f>IF(OR(G24="Not Applicable", IFERROR(INDEX('Landing Page and Navigation'!$F$31:$F$48, MATCH(C24, 'Landing Page and Navigation'!$A$31:$A$48, 0)), "No") = "No"), "No", "Yes")</f>
        <v>No</v>
      </c>
      <c r="I24" s="245" t="str">
        <f>_xlfn.TEXTJOIN(" - ", TRUE, CW_API_TABLE[[#This Row],[PWSID]],CW_API_TABLE[[#This Row],[PWS_NAME]])</f>
        <v>CA1510031 - BAKERSFIELD, CITY OF</v>
      </c>
      <c r="J24" s="246" cm="1">
        <f t="array" ref="J24">IFERROR(SUMPRODUCT((PD_PWSID_LIST=Crosswalk_API!$C24)*(PD_SUM_DEL&gt;0)), 0)</f>
        <v>12</v>
      </c>
    </row>
    <row r="25" spans="1:10" x14ac:dyDescent="0.25">
      <c r="A25" s="234" t="s">
        <v>784</v>
      </c>
      <c r="B25" t="s">
        <v>785</v>
      </c>
      <c r="C25" t="s">
        <v>786</v>
      </c>
      <c r="D25" t="s">
        <v>787</v>
      </c>
      <c r="E25" t="s">
        <v>788</v>
      </c>
      <c r="F25" t="s">
        <v>109</v>
      </c>
      <c r="G25" s="245" t="str" cm="1">
        <f t="array" ref="G25">IF(IFERROR(INDEX(LAM_II_SQFT, MATCH(Crosswalk_API!$A25, LAM_ORG_ID_LIST, 0)), 0) = 0, "No", "Yes")</f>
        <v>Yes</v>
      </c>
      <c r="H25" s="245" t="str">
        <f>IF(OR(G25="Not Applicable", IFERROR(INDEX('Landing Page and Navigation'!$F$31:$F$48, MATCH(C25, 'Landing Page and Navigation'!$A$31:$A$48, 0)), "No") = "No"), "No", "Yes")</f>
        <v>No</v>
      </c>
      <c r="I25" s="245" t="str">
        <f>_xlfn.TEXTJOIN(" - ", TRUE, CW_API_TABLE[[#This Row],[PWSID]],CW_API_TABLE[[#This Row],[PWS_NAME]])</f>
        <v>CA1010001 - BAKMAN WATER COMPANY</v>
      </c>
      <c r="J25" s="246" cm="1">
        <f t="array" ref="J25">IFERROR(SUMPRODUCT((PD_PWSID_LIST=Crosswalk_API!$C25)*(PD_SUM_DEL&gt;0)), 0)</f>
        <v>12</v>
      </c>
    </row>
    <row r="26" spans="1:10" x14ac:dyDescent="0.25">
      <c r="A26" s="234" t="s">
        <v>789</v>
      </c>
      <c r="B26" t="s">
        <v>790</v>
      </c>
      <c r="C26" t="s">
        <v>791</v>
      </c>
      <c r="D26" t="s">
        <v>792</v>
      </c>
      <c r="E26" t="s">
        <v>793</v>
      </c>
      <c r="F26" t="s">
        <v>109</v>
      </c>
      <c r="G26" s="245" t="str" cm="1">
        <f t="array" ref="G26">IF(IFERROR(INDEX(LAM_II_SQFT, MATCH(Crosswalk_API!$A26, LAM_ORG_ID_LIST, 0)), 0) = 0, "No", "Yes")</f>
        <v>Yes</v>
      </c>
      <c r="H26" s="245" t="str">
        <f>IF(OR(G26="Not Applicable", IFERROR(INDEX('Landing Page and Navigation'!$F$31:$F$48, MATCH(C26, 'Landing Page and Navigation'!$A$31:$A$48, 0)), "No") = "No"), "No", "Yes")</f>
        <v>No</v>
      </c>
      <c r="I26" s="245" t="str">
        <f>_xlfn.TEXTJOIN(" - ", TRUE, CW_API_TABLE[[#This Row],[PWSID]],CW_API_TABLE[[#This Row],[PWS_NAME]])</f>
        <v>CA3310006 - BANNING, CITY OF</v>
      </c>
      <c r="J26" s="246" cm="1">
        <f t="array" ref="J26">IFERROR(SUMPRODUCT((PD_PWSID_LIST=Crosswalk_API!$C26)*(PD_SUM_DEL&gt;0)), 0)</f>
        <v>12</v>
      </c>
    </row>
    <row r="27" spans="1:10" x14ac:dyDescent="0.25">
      <c r="A27" s="234" t="s">
        <v>794</v>
      </c>
      <c r="B27" t="s">
        <v>795</v>
      </c>
      <c r="C27" t="s">
        <v>796</v>
      </c>
      <c r="D27" t="s">
        <v>797</v>
      </c>
      <c r="E27" t="s">
        <v>766</v>
      </c>
      <c r="F27" t="s">
        <v>109</v>
      </c>
      <c r="G27" s="245" t="str" cm="1">
        <f t="array" ref="G27">IF(IFERROR(INDEX(LAM_II_SQFT, MATCH(Crosswalk_API!$A27, LAM_ORG_ID_LIST, 0)), 0) = 0, "No", "Yes")</f>
        <v>No</v>
      </c>
      <c r="H27" s="245" t="str">
        <f>IF(OR(G27="Not Applicable", IFERROR(INDEX('Landing Page and Navigation'!$F$31:$F$48, MATCH(C27, 'Landing Page and Navigation'!$A$31:$A$48, 0)), "No") = "No"), "No", "Yes")</f>
        <v>No</v>
      </c>
      <c r="I27" s="245" t="str">
        <f>_xlfn.TEXTJOIN(" - ", TRUE, CW_API_TABLE[[#This Row],[PWSID]],CW_API_TABLE[[#This Row],[PWS_NAME]])</f>
        <v>CA1510038 - BEAR VALLEY CSD</v>
      </c>
      <c r="J27" s="246" cm="1">
        <f t="array" ref="J27">IFERROR(SUMPRODUCT((PD_PWSID_LIST=Crosswalk_API!$C27)*(PD_SUM_DEL&gt;0)), 0)</f>
        <v>12</v>
      </c>
    </row>
    <row r="28" spans="1:10" x14ac:dyDescent="0.25">
      <c r="A28" s="234" t="s">
        <v>798</v>
      </c>
      <c r="B28" t="s">
        <v>799</v>
      </c>
      <c r="C28" t="s">
        <v>800</v>
      </c>
      <c r="D28" t="s">
        <v>801</v>
      </c>
      <c r="E28" t="s">
        <v>793</v>
      </c>
      <c r="F28" t="s">
        <v>109</v>
      </c>
      <c r="G28" s="245" t="str" cm="1">
        <f t="array" ref="G28">IF(IFERROR(INDEX(LAM_II_SQFT, MATCH(Crosswalk_API!$A28, LAM_ORG_ID_LIST, 0)), 0) = 0, "No", "Yes")</f>
        <v>Yes</v>
      </c>
      <c r="H28" s="245" t="str">
        <f>IF(OR(G28="Not Applicable", IFERROR(INDEX('Landing Page and Navigation'!$F$31:$F$48, MATCH(C28, 'Landing Page and Navigation'!$A$31:$A$48, 0)), "No") = "No"), "No", "Yes")</f>
        <v>No</v>
      </c>
      <c r="I28" s="245" t="str">
        <f>_xlfn.TEXTJOIN(" - ", TRUE, CW_API_TABLE[[#This Row],[PWSID]],CW_API_TABLE[[#This Row],[PWS_NAME]])</f>
        <v>CA3310002 - BEAUMONT CHERRY VALLEY WD</v>
      </c>
      <c r="J28" s="246" cm="1">
        <f t="array" ref="J28">IFERROR(SUMPRODUCT((PD_PWSID_LIST=Crosswalk_API!$C28)*(PD_SUM_DEL&gt;0)), 0)</f>
        <v>12</v>
      </c>
    </row>
    <row r="29" spans="1:10" x14ac:dyDescent="0.25">
      <c r="A29" s="234" t="s">
        <v>802</v>
      </c>
      <c r="B29" t="s">
        <v>803</v>
      </c>
      <c r="C29" t="s">
        <v>804</v>
      </c>
      <c r="D29" t="s">
        <v>805</v>
      </c>
      <c r="E29" t="s">
        <v>736</v>
      </c>
      <c r="F29" t="s">
        <v>109</v>
      </c>
      <c r="G29" s="245" t="str" cm="1">
        <f t="array" ref="G29">IF(IFERROR(INDEX(LAM_II_SQFT, MATCH(Crosswalk_API!$A29, LAM_ORG_ID_LIST, 0)), 0) = 0, "No", "Yes")</f>
        <v>Yes</v>
      </c>
      <c r="H29" s="245" t="str">
        <f>IF(OR(G29="Not Applicable", IFERROR(INDEX('Landing Page and Navigation'!$F$31:$F$48, MATCH(C29, 'Landing Page and Navigation'!$A$31:$A$48, 0)), "No") = "No"), "No", "Yes")</f>
        <v>No</v>
      </c>
      <c r="I29" s="245" t="str">
        <f>_xlfn.TEXTJOIN(" - ", TRUE, CW_API_TABLE[[#This Row],[PWSID]],CW_API_TABLE[[#This Row],[PWS_NAME]])</f>
        <v>CA4510014 - BELLA VISTA WATER DISTRICT</v>
      </c>
      <c r="J29" s="246" cm="1">
        <f t="array" ref="J29">IFERROR(SUMPRODUCT((PD_PWSID_LIST=Crosswalk_API!$C29)*(PD_SUM_DEL&gt;0)), 0)</f>
        <v>12</v>
      </c>
    </row>
    <row r="30" spans="1:10" x14ac:dyDescent="0.25">
      <c r="A30" s="234" t="s">
        <v>806</v>
      </c>
      <c r="B30" t="s">
        <v>807</v>
      </c>
      <c r="C30" t="s">
        <v>808</v>
      </c>
      <c r="D30" t="s">
        <v>809</v>
      </c>
      <c r="E30" t="s">
        <v>708</v>
      </c>
      <c r="F30" t="s">
        <v>109</v>
      </c>
      <c r="G30" s="245" t="str" cm="1">
        <f t="array" ref="G30">IF(IFERROR(INDEX(LAM_II_SQFT, MATCH(Crosswalk_API!$A30, LAM_ORG_ID_LIST, 0)), 0) = 0, "No", "Yes")</f>
        <v>Yes</v>
      </c>
      <c r="H30" s="245" t="str">
        <f>IF(OR(G30="Not Applicable", IFERROR(INDEX('Landing Page and Navigation'!$F$31:$F$48, MATCH(C30, 'Landing Page and Navigation'!$A$31:$A$48, 0)), "No") = "No"), "No", "Yes")</f>
        <v>No</v>
      </c>
      <c r="I30" s="245" t="str">
        <f>_xlfn.TEXTJOIN(" - ", TRUE, CW_API_TABLE[[#This Row],[PWSID]],CW_API_TABLE[[#This Row],[PWS_NAME]])</f>
        <v>CA1910013 - BELLFLOWER - SOMERSET MWC</v>
      </c>
      <c r="J30" s="246" cm="1">
        <f t="array" ref="J30">IFERROR(SUMPRODUCT((PD_PWSID_LIST=Crosswalk_API!$C30)*(PD_SUM_DEL&gt;0)), 0)</f>
        <v>12</v>
      </c>
    </row>
    <row r="31" spans="1:10" x14ac:dyDescent="0.25">
      <c r="A31" s="234" t="s">
        <v>810</v>
      </c>
      <c r="B31" t="s">
        <v>811</v>
      </c>
      <c r="C31" t="s">
        <v>812</v>
      </c>
      <c r="D31" t="s">
        <v>813</v>
      </c>
      <c r="E31" t="s">
        <v>814</v>
      </c>
      <c r="F31" t="s">
        <v>109</v>
      </c>
      <c r="G31" s="245" t="str" cm="1">
        <f t="array" ref="G31">IF(IFERROR(INDEX(LAM_II_SQFT, MATCH(Crosswalk_API!$A31, LAM_ORG_ID_LIST, 0)), 0) = 0, "No", "Yes")</f>
        <v>Yes</v>
      </c>
      <c r="H31" s="245" t="str">
        <f>IF(OR(G31="Not Applicable", IFERROR(INDEX('Landing Page and Navigation'!$F$31:$F$48, MATCH(C31, 'Landing Page and Navigation'!$A$31:$A$48, 0)), "No") = "No"), "No", "Yes")</f>
        <v>No</v>
      </c>
      <c r="I31" s="245" t="str">
        <f>_xlfn.TEXTJOIN(" - ", TRUE, CW_API_TABLE[[#This Row],[PWSID]],CW_API_TABLE[[#This Row],[PWS_NAME]])</f>
        <v>CA4810001 - CITY OF BENICIA</v>
      </c>
      <c r="J31" s="246" cm="1">
        <f t="array" ref="J31">IFERROR(SUMPRODUCT((PD_PWSID_LIST=Crosswalk_API!$C31)*(PD_SUM_DEL&gt;0)), 0)</f>
        <v>12</v>
      </c>
    </row>
    <row r="32" spans="1:10" x14ac:dyDescent="0.25">
      <c r="A32" s="234" t="s">
        <v>815</v>
      </c>
      <c r="B32" t="s">
        <v>816</v>
      </c>
      <c r="C32" t="s">
        <v>817</v>
      </c>
      <c r="D32" t="s">
        <v>818</v>
      </c>
      <c r="E32" t="s">
        <v>708</v>
      </c>
      <c r="F32" t="s">
        <v>109</v>
      </c>
      <c r="G32" s="245" t="str" cm="1">
        <f t="array" ref="G32">IF(IFERROR(INDEX(LAM_II_SQFT, MATCH(Crosswalk_API!$A32, LAM_ORG_ID_LIST, 0)), 0) = 0, "No", "Yes")</f>
        <v>Yes</v>
      </c>
      <c r="H32" s="245" t="str">
        <f>IF(OR(G32="Not Applicable", IFERROR(INDEX('Landing Page and Navigation'!$F$31:$F$48, MATCH(C32, 'Landing Page and Navigation'!$A$31:$A$48, 0)), "No") = "No"), "No", "Yes")</f>
        <v>No</v>
      </c>
      <c r="I32" s="245" t="str">
        <f>_xlfn.TEXTJOIN(" - ", TRUE, CW_API_TABLE[[#This Row],[PWSID]],CW_API_TABLE[[#This Row],[PWS_NAME]])</f>
        <v>CA1910156 - BEVERLY HILLS-CITY, WATER DEPT.</v>
      </c>
      <c r="J32" s="246" cm="1">
        <f t="array" ref="J32">IFERROR(SUMPRODUCT((PD_PWSID_LIST=Crosswalk_API!$C32)*(PD_SUM_DEL&gt;0)), 0)</f>
        <v>12</v>
      </c>
    </row>
    <row r="33" spans="1:10" x14ac:dyDescent="0.25">
      <c r="A33" s="234" t="s">
        <v>819</v>
      </c>
      <c r="B33" t="s">
        <v>820</v>
      </c>
      <c r="C33" t="s">
        <v>821</v>
      </c>
      <c r="D33" t="s">
        <v>822</v>
      </c>
      <c r="E33" t="s">
        <v>693</v>
      </c>
      <c r="F33" t="s">
        <v>109</v>
      </c>
      <c r="G33" s="245" t="str" cm="1">
        <f t="array" ref="G33">IF(IFERROR(INDEX(LAM_II_SQFT, MATCH(Crosswalk_API!$A33, LAM_ORG_ID_LIST, 0)), 0) = 0, "No", "Yes")</f>
        <v>Yes</v>
      </c>
      <c r="H33" s="245" t="str">
        <f>IF(OR(G33="Not Applicable", IFERROR(INDEX('Landing Page and Navigation'!$F$31:$F$48, MATCH(C33, 'Landing Page and Navigation'!$A$31:$A$48, 0)), "No") = "No"), "No", "Yes")</f>
        <v>No</v>
      </c>
      <c r="I33" s="245" t="str">
        <f>_xlfn.TEXTJOIN(" - ", TRUE, CW_API_TABLE[[#This Row],[PWSID]],CW_API_TABLE[[#This Row],[PWS_NAME]])</f>
        <v>CA3610008 - BIG BEAR CITY CSD</v>
      </c>
      <c r="J33" s="246" cm="1">
        <f t="array" ref="J33">IFERROR(SUMPRODUCT((PD_PWSID_LIST=Crosswalk_API!$C33)*(PD_SUM_DEL&gt;0)), 0)</f>
        <v>12</v>
      </c>
    </row>
    <row r="34" spans="1:10" x14ac:dyDescent="0.25">
      <c r="A34" s="234" t="s">
        <v>823</v>
      </c>
      <c r="B34" t="s">
        <v>824</v>
      </c>
      <c r="C34" t="s">
        <v>825</v>
      </c>
      <c r="D34" t="s">
        <v>826</v>
      </c>
      <c r="E34" t="s">
        <v>693</v>
      </c>
      <c r="F34" t="s">
        <v>109</v>
      </c>
      <c r="G34" s="245" t="str" cm="1">
        <f t="array" ref="G34">IF(IFERROR(INDEX(LAM_II_SQFT, MATCH(Crosswalk_API!$A34, LAM_ORG_ID_LIST, 0)), 0) = 0, "No", "Yes")</f>
        <v>Yes</v>
      </c>
      <c r="H34" s="245" t="str">
        <f>IF(OR(G34="Not Applicable", IFERROR(INDEX('Landing Page and Navigation'!$F$31:$F$48, MATCH(C34, 'Landing Page and Navigation'!$A$31:$A$48, 0)), "No") = "No"), "No", "Yes")</f>
        <v>No</v>
      </c>
      <c r="I34" s="245" t="str">
        <f>_xlfn.TEXTJOIN(" - ", TRUE, CW_API_TABLE[[#This Row],[PWSID]],CW_API_TABLE[[#This Row],[PWS_NAME]])</f>
        <v>CA3600283 - DEPARTMENT OF WATER AND POWER</v>
      </c>
      <c r="J34" s="246" cm="1">
        <f t="array" ref="J34">IFERROR(SUMPRODUCT((PD_PWSID_LIST=Crosswalk_API!$C34)*(PD_SUM_DEL&gt;0)), 0)</f>
        <v>12</v>
      </c>
    </row>
    <row r="35" spans="1:10" x14ac:dyDescent="0.25">
      <c r="A35" s="234" t="s">
        <v>823</v>
      </c>
      <c r="B35" t="s">
        <v>824</v>
      </c>
      <c r="C35" t="s">
        <v>827</v>
      </c>
      <c r="D35" t="s">
        <v>828</v>
      </c>
      <c r="E35" t="s">
        <v>693</v>
      </c>
      <c r="F35" t="s">
        <v>109</v>
      </c>
      <c r="G35" s="245" t="str" cm="1">
        <f t="array" ref="G35">IF(IFERROR(INDEX(LAM_II_SQFT, MATCH(Crosswalk_API!$A35, LAM_ORG_ID_LIST, 0)), 0) = 0, "No", "Yes")</f>
        <v>Yes</v>
      </c>
      <c r="H35" s="245" t="str">
        <f>IF(OR(G35="Not Applicable", IFERROR(INDEX('Landing Page and Navigation'!$F$31:$F$48, MATCH(C35, 'Landing Page and Navigation'!$A$31:$A$48, 0)), "No") = "No"), "No", "Yes")</f>
        <v>No</v>
      </c>
      <c r="I35" s="245" t="str">
        <f>_xlfn.TEXTJOIN(" - ", TRUE, CW_API_TABLE[[#This Row],[PWSID]],CW_API_TABLE[[#This Row],[PWS_NAME]])</f>
        <v>CA3600395 - BIG BEAR SHORES RV RESORT</v>
      </c>
      <c r="J35" s="246" cm="1">
        <f t="array" ref="J35">IFERROR(SUMPRODUCT((PD_PWSID_LIST=Crosswalk_API!$C35)*(PD_SUM_DEL&gt;0)), 0)</f>
        <v>0</v>
      </c>
    </row>
    <row r="36" spans="1:10" x14ac:dyDescent="0.25">
      <c r="A36" s="234" t="s">
        <v>823</v>
      </c>
      <c r="B36" t="s">
        <v>824</v>
      </c>
      <c r="C36" t="s">
        <v>829</v>
      </c>
      <c r="D36" t="s">
        <v>830</v>
      </c>
      <c r="E36" t="s">
        <v>693</v>
      </c>
      <c r="F36" t="s">
        <v>109</v>
      </c>
      <c r="G36" s="245" t="str" cm="1">
        <f t="array" ref="G36">IF(IFERROR(INDEX(LAM_II_SQFT, MATCH(Crosswalk_API!$A36, LAM_ORG_ID_LIST, 0)), 0) = 0, "No", "Yes")</f>
        <v>Yes</v>
      </c>
      <c r="H36" s="245" t="str">
        <f>IF(OR(G36="Not Applicable", IFERROR(INDEX('Landing Page and Navigation'!$F$31:$F$48, MATCH(C36, 'Landing Page and Navigation'!$A$31:$A$48, 0)), "No") = "No"), "No", "Yes")</f>
        <v>No</v>
      </c>
      <c r="I36" s="245" t="str">
        <f>_xlfn.TEXTJOIN(" - ", TRUE, CW_API_TABLE[[#This Row],[PWSID]],CW_API_TABLE[[#This Row],[PWS_NAME]])</f>
        <v>CA3610022 - DWP - FAWNSKIN</v>
      </c>
      <c r="J36" s="246" cm="1">
        <f t="array" ref="J36">IFERROR(SUMPRODUCT((PD_PWSID_LIST=Crosswalk_API!$C36)*(PD_SUM_DEL&gt;0)), 0)</f>
        <v>12</v>
      </c>
    </row>
    <row r="37" spans="1:10" x14ac:dyDescent="0.25">
      <c r="A37" s="234" t="s">
        <v>823</v>
      </c>
      <c r="B37" t="s">
        <v>824</v>
      </c>
      <c r="C37" t="s">
        <v>831</v>
      </c>
      <c r="D37" t="s">
        <v>832</v>
      </c>
      <c r="E37" t="s">
        <v>693</v>
      </c>
      <c r="F37" t="s">
        <v>109</v>
      </c>
      <c r="G37" s="245" t="str" cm="1">
        <f t="array" ref="G37">IF(IFERROR(INDEX(LAM_II_SQFT, MATCH(Crosswalk_API!$A37, LAM_ORG_ID_LIST, 0)), 0) = 0, "No", "Yes")</f>
        <v>Yes</v>
      </c>
      <c r="H37" s="245" t="str">
        <f>IF(OR(G37="Not Applicable", IFERROR(INDEX('Landing Page and Navigation'!$F$31:$F$48, MATCH(C37, 'Landing Page and Navigation'!$A$31:$A$48, 0)), "No") = "No"), "No", "Yes")</f>
        <v>No</v>
      </c>
      <c r="I37" s="245" t="str">
        <f>_xlfn.TEXTJOIN(" - ", TRUE, CW_API_TABLE[[#This Row],[PWSID]],CW_API_TABLE[[#This Row],[PWS_NAME]])</f>
        <v>CA3610044 - BIG BEAR LAKE DWP - BIG BEAR SYSTEM</v>
      </c>
      <c r="J37" s="246" cm="1">
        <f t="array" ref="J37">IFERROR(SUMPRODUCT((PD_PWSID_LIST=Crosswalk_API!$C37)*(PD_SUM_DEL&gt;0)), 0)</f>
        <v>12</v>
      </c>
    </row>
    <row r="38" spans="1:10" x14ac:dyDescent="0.25">
      <c r="A38" s="234" t="s">
        <v>833</v>
      </c>
      <c r="B38" t="s">
        <v>834</v>
      </c>
      <c r="C38" t="s">
        <v>835</v>
      </c>
      <c r="D38" t="s">
        <v>836</v>
      </c>
      <c r="E38" t="s">
        <v>793</v>
      </c>
      <c r="F38" t="s">
        <v>109</v>
      </c>
      <c r="G38" s="245" t="str" cm="1">
        <f t="array" ref="G38">IF(IFERROR(INDEX(LAM_II_SQFT, MATCH(Crosswalk_API!$A38, LAM_ORG_ID_LIST, 0)), 0) = 0, "No", "Yes")</f>
        <v>Yes</v>
      </c>
      <c r="H38" s="245" t="str">
        <f>IF(OR(G38="Not Applicable", IFERROR(INDEX('Landing Page and Navigation'!$F$31:$F$48, MATCH(C38, 'Landing Page and Navigation'!$A$31:$A$48, 0)), "No") = "No"), "No", "Yes")</f>
        <v>No</v>
      </c>
      <c r="I38" s="245" t="str">
        <f>_xlfn.TEXTJOIN(" - ", TRUE, CW_API_TABLE[[#This Row],[PWSID]],CW_API_TABLE[[#This Row],[PWS_NAME]])</f>
        <v>CA3310003 - BLYTHE - CITY OF</v>
      </c>
      <c r="J38" s="246" cm="1">
        <f t="array" ref="J38">IFERROR(SUMPRODUCT((PD_PWSID_LIST=Crosswalk_API!$C38)*(PD_SUM_DEL&gt;0)), 0)</f>
        <v>12</v>
      </c>
    </row>
    <row r="39" spans="1:10" x14ac:dyDescent="0.25">
      <c r="A39" s="234" t="s">
        <v>837</v>
      </c>
      <c r="B39" t="s">
        <v>838</v>
      </c>
      <c r="C39" t="s">
        <v>839</v>
      </c>
      <c r="D39" t="s">
        <v>840</v>
      </c>
      <c r="E39" t="s">
        <v>841</v>
      </c>
      <c r="F39" t="s">
        <v>109</v>
      </c>
      <c r="G39" s="245" t="str" cm="1">
        <f t="array" ref="G39">IF(IFERROR(INDEX(LAM_II_SQFT, MATCH(Crosswalk_API!$A39, LAM_ORG_ID_LIST, 0)), 0) = 0, "No", "Yes")</f>
        <v>Yes</v>
      </c>
      <c r="H39" s="245" t="str">
        <f>IF(OR(G39="Not Applicable", IFERROR(INDEX('Landing Page and Navigation'!$F$31:$F$48, MATCH(C39, 'Landing Page and Navigation'!$A$31:$A$48, 0)), "No") = "No"), "No", "Yes")</f>
        <v>No</v>
      </c>
      <c r="I39" s="245" t="str">
        <f>_xlfn.TEXTJOIN(" - ", TRUE, CW_API_TABLE[[#This Row],[PWSID]],CW_API_TABLE[[#This Row],[PWS_NAME]])</f>
        <v>CA1310001 - BRAWLEY, CITY OF</v>
      </c>
      <c r="J39" s="246" cm="1">
        <f t="array" ref="J39">IFERROR(SUMPRODUCT((PD_PWSID_LIST=Crosswalk_API!$C39)*(PD_SUM_DEL&gt;0)), 0)</f>
        <v>12</v>
      </c>
    </row>
    <row r="40" spans="1:10" x14ac:dyDescent="0.25">
      <c r="A40" s="234" t="s">
        <v>842</v>
      </c>
      <c r="B40" t="s">
        <v>843</v>
      </c>
      <c r="C40" t="s">
        <v>844</v>
      </c>
      <c r="D40" t="s">
        <v>845</v>
      </c>
      <c r="E40" t="s">
        <v>731</v>
      </c>
      <c r="F40" t="s">
        <v>109</v>
      </c>
      <c r="G40" s="245" t="str" cm="1">
        <f t="array" ref="G40">IF(IFERROR(INDEX(LAM_II_SQFT, MATCH(Crosswalk_API!$A40, LAM_ORG_ID_LIST, 0)), 0) = 0, "No", "Yes")</f>
        <v>Yes</v>
      </c>
      <c r="H40" s="245" t="str">
        <f>IF(OR(G40="Not Applicable", IFERROR(INDEX('Landing Page and Navigation'!$F$31:$F$48, MATCH(C40, 'Landing Page and Navigation'!$A$31:$A$48, 0)), "No") = "No"), "No", "Yes")</f>
        <v>No</v>
      </c>
      <c r="I40" s="245" t="str">
        <f>_xlfn.TEXTJOIN(" - ", TRUE, CW_API_TABLE[[#This Row],[PWSID]],CW_API_TABLE[[#This Row],[PWS_NAME]])</f>
        <v>CA3010002 - CITY OF BREA</v>
      </c>
      <c r="J40" s="246" cm="1">
        <f t="array" ref="J40">IFERROR(SUMPRODUCT((PD_PWSID_LIST=Crosswalk_API!$C40)*(PD_SUM_DEL&gt;0)), 0)</f>
        <v>12</v>
      </c>
    </row>
    <row r="41" spans="1:10" x14ac:dyDescent="0.25">
      <c r="A41" s="234" t="s">
        <v>846</v>
      </c>
      <c r="B41" t="s">
        <v>847</v>
      </c>
      <c r="C41" t="s">
        <v>848</v>
      </c>
      <c r="D41" t="s">
        <v>849</v>
      </c>
      <c r="E41" t="s">
        <v>741</v>
      </c>
      <c r="F41" t="s">
        <v>109</v>
      </c>
      <c r="G41" s="245" t="str" cm="1">
        <f t="array" ref="G41">IF(IFERROR(INDEX(LAM_II_SQFT, MATCH(Crosswalk_API!$A41, LAM_ORG_ID_LIST, 0)), 0) = 0, "No", "Yes")</f>
        <v>Yes</v>
      </c>
      <c r="H41" s="245" t="str">
        <f>IF(OR(G41="Not Applicable", IFERROR(INDEX('Landing Page and Navigation'!$F$31:$F$48, MATCH(C41, 'Landing Page and Navigation'!$A$31:$A$48, 0)), "No") = "No"), "No", "Yes")</f>
        <v>No</v>
      </c>
      <c r="I41" s="245" t="str">
        <f>_xlfn.TEXTJOIN(" - ", TRUE, CW_API_TABLE[[#This Row],[PWSID]],CW_API_TABLE[[#This Row],[PWS_NAME]])</f>
        <v>CA0710004 - BRENTWOOD</v>
      </c>
      <c r="J41" s="246" cm="1">
        <f t="array" ref="J41">IFERROR(SUMPRODUCT((PD_PWSID_LIST=Crosswalk_API!$C41)*(PD_SUM_DEL&gt;0)), 0)</f>
        <v>12</v>
      </c>
    </row>
    <row r="42" spans="1:10" x14ac:dyDescent="0.25">
      <c r="A42" s="234" t="s">
        <v>850</v>
      </c>
      <c r="B42" t="s">
        <v>851</v>
      </c>
      <c r="C42" t="s">
        <v>852</v>
      </c>
      <c r="D42" t="s">
        <v>853</v>
      </c>
      <c r="E42" t="s">
        <v>731</v>
      </c>
      <c r="F42" t="s">
        <v>109</v>
      </c>
      <c r="G42" s="245" t="str" cm="1">
        <f t="array" ref="G42">IF(IFERROR(INDEX(LAM_II_SQFT, MATCH(Crosswalk_API!$A42, LAM_ORG_ID_LIST, 0)), 0) = 0, "No", "Yes")</f>
        <v>Yes</v>
      </c>
      <c r="H42" s="245" t="str">
        <f>IF(OR(G42="Not Applicable", IFERROR(INDEX('Landing Page and Navigation'!$F$31:$F$48, MATCH(C42, 'Landing Page and Navigation'!$A$31:$A$48, 0)), "No") = "No"), "No", "Yes")</f>
        <v>No</v>
      </c>
      <c r="I42" s="245" t="str">
        <f>_xlfn.TEXTJOIN(" - ", TRUE, CW_API_TABLE[[#This Row],[PWSID]],CW_API_TABLE[[#This Row],[PWS_NAME]])</f>
        <v>CA3010003 - CITY OF BUENA PARK</v>
      </c>
      <c r="J42" s="246" cm="1">
        <f t="array" ref="J42">IFERROR(SUMPRODUCT((PD_PWSID_LIST=Crosswalk_API!$C42)*(PD_SUM_DEL&gt;0)), 0)</f>
        <v>12</v>
      </c>
    </row>
    <row r="43" spans="1:10" x14ac:dyDescent="0.25">
      <c r="A43" s="234" t="s">
        <v>854</v>
      </c>
      <c r="B43" t="s">
        <v>855</v>
      </c>
      <c r="C43" t="s">
        <v>856</v>
      </c>
      <c r="D43" t="s">
        <v>857</v>
      </c>
      <c r="E43" t="s">
        <v>708</v>
      </c>
      <c r="F43" t="s">
        <v>109</v>
      </c>
      <c r="G43" s="245" t="str" cm="1">
        <f t="array" ref="G43">IF(IFERROR(INDEX(LAM_II_SQFT, MATCH(Crosswalk_API!$A43, LAM_ORG_ID_LIST, 0)), 0) = 0, "No", "Yes")</f>
        <v>Yes</v>
      </c>
      <c r="H43" s="245" t="str">
        <f>IF(OR(G43="Not Applicable", IFERROR(INDEX('Landing Page and Navigation'!$F$31:$F$48, MATCH(C43, 'Landing Page and Navigation'!$A$31:$A$48, 0)), "No") = "No"), "No", "Yes")</f>
        <v>No</v>
      </c>
      <c r="I43" s="245" t="str">
        <f>_xlfn.TEXTJOIN(" - ", TRUE, CW_API_TABLE[[#This Row],[PWSID]],CW_API_TABLE[[#This Row],[PWS_NAME]])</f>
        <v>CA1910179 - BURBANK-CITY, WATER DEPT.</v>
      </c>
      <c r="J43" s="246" cm="1">
        <f t="array" ref="J43">IFERROR(SUMPRODUCT((PD_PWSID_LIST=Crosswalk_API!$C43)*(PD_SUM_DEL&gt;0)), 0)</f>
        <v>12</v>
      </c>
    </row>
    <row r="44" spans="1:10" x14ac:dyDescent="0.25">
      <c r="A44" s="234" t="s">
        <v>858</v>
      </c>
      <c r="B44" t="s">
        <v>859</v>
      </c>
      <c r="C44" t="s">
        <v>860</v>
      </c>
      <c r="D44" t="s">
        <v>861</v>
      </c>
      <c r="E44" t="s">
        <v>862</v>
      </c>
      <c r="F44" t="s">
        <v>109</v>
      </c>
      <c r="G44" s="245" t="str" cm="1">
        <f t="array" ref="G44">IF(IFERROR(INDEX(LAM_II_SQFT, MATCH(Crosswalk_API!$A44, LAM_ORG_ID_LIST, 0)), 0) = 0, "No", "Yes")</f>
        <v>Yes</v>
      </c>
      <c r="H44" s="245" t="str">
        <f>IF(OR(G44="Not Applicable", IFERROR(INDEX('Landing Page and Navigation'!$F$31:$F$48, MATCH(C44, 'Landing Page and Navigation'!$A$31:$A$48, 0)), "No") = "No"), "No", "Yes")</f>
        <v>No</v>
      </c>
      <c r="I44" s="245" t="str">
        <f>_xlfn.TEXTJOIN(" - ", TRUE, CW_API_TABLE[[#This Row],[PWSID]],CW_API_TABLE[[#This Row],[PWS_NAME]])</f>
        <v>CA4110003 - CITY OF BURLINGAME</v>
      </c>
      <c r="J44" s="246" cm="1">
        <f t="array" ref="J44">IFERROR(SUMPRODUCT((PD_PWSID_LIST=Crosswalk_API!$C44)*(PD_SUM_DEL&gt;0)), 0)</f>
        <v>12</v>
      </c>
    </row>
    <row r="45" spans="1:10" x14ac:dyDescent="0.25">
      <c r="A45" s="234" t="s">
        <v>863</v>
      </c>
      <c r="B45" t="s">
        <v>864</v>
      </c>
      <c r="C45" t="s">
        <v>865</v>
      </c>
      <c r="D45" t="s">
        <v>866</v>
      </c>
      <c r="E45" t="s">
        <v>867</v>
      </c>
      <c r="F45" t="s">
        <v>109</v>
      </c>
      <c r="G45" s="245" t="str" cm="1">
        <f t="array" ref="G45">IF(IFERROR(INDEX(LAM_II_SQFT, MATCH(Crosswalk_API!$A45, LAM_ORG_ID_LIST, 0)), 0) = 0, "No", "Yes")</f>
        <v>Yes</v>
      </c>
      <c r="H45" s="245" t="str">
        <f>IF(OR(G45="Not Applicable", IFERROR(INDEX('Landing Page and Navigation'!$F$31:$F$48, MATCH(C45, 'Landing Page and Navigation'!$A$31:$A$48, 0)), "No") = "No"), "No", "Yes")</f>
        <v>No</v>
      </c>
      <c r="I45" s="245" t="str">
        <f>_xlfn.TEXTJOIN(" - ", TRUE, CW_API_TABLE[[#This Row],[PWSID]],CW_API_TABLE[[#This Row],[PWS_NAME]])</f>
        <v>CA0510004 - CCWD - SHEEP RANCH</v>
      </c>
      <c r="J45" s="246" cm="1">
        <f t="array" ref="J45">IFERROR(SUMPRODUCT((PD_PWSID_LIST=Crosswalk_API!$C45)*(PD_SUM_DEL&gt;0)), 0)</f>
        <v>12</v>
      </c>
    </row>
    <row r="46" spans="1:10" x14ac:dyDescent="0.25">
      <c r="A46" s="234" t="s">
        <v>863</v>
      </c>
      <c r="B46" t="s">
        <v>864</v>
      </c>
      <c r="C46" t="s">
        <v>868</v>
      </c>
      <c r="D46" t="s">
        <v>869</v>
      </c>
      <c r="E46" t="s">
        <v>867</v>
      </c>
      <c r="F46" t="s">
        <v>109</v>
      </c>
      <c r="G46" s="245" t="str" cm="1">
        <f t="array" ref="G46">IF(IFERROR(INDEX(LAM_II_SQFT, MATCH(Crosswalk_API!$A46, LAM_ORG_ID_LIST, 0)), 0) = 0, "No", "Yes")</f>
        <v>Yes</v>
      </c>
      <c r="H46" s="245" t="str">
        <f>IF(OR(G46="Not Applicable", IFERROR(INDEX('Landing Page and Navigation'!$F$31:$F$48, MATCH(C46, 'Landing Page and Navigation'!$A$31:$A$48, 0)), "No") = "No"), "No", "Yes")</f>
        <v>No</v>
      </c>
      <c r="I46" s="245" t="str">
        <f>_xlfn.TEXTJOIN(" - ", TRUE, CW_API_TABLE[[#This Row],[PWSID]],CW_API_TABLE[[#This Row],[PWS_NAME]])</f>
        <v>CA0510005 - CCWD - WEST POINT</v>
      </c>
      <c r="J46" s="246" cm="1">
        <f t="array" ref="J46">IFERROR(SUMPRODUCT((PD_PWSID_LIST=Crosswalk_API!$C46)*(PD_SUM_DEL&gt;0)), 0)</f>
        <v>12</v>
      </c>
    </row>
    <row r="47" spans="1:10" x14ac:dyDescent="0.25">
      <c r="A47" s="234" t="s">
        <v>863</v>
      </c>
      <c r="B47" t="s">
        <v>864</v>
      </c>
      <c r="C47" t="s">
        <v>870</v>
      </c>
      <c r="D47" t="s">
        <v>871</v>
      </c>
      <c r="E47" t="s">
        <v>867</v>
      </c>
      <c r="F47" t="s">
        <v>109</v>
      </c>
      <c r="G47" s="245" t="str" cm="1">
        <f t="array" ref="G47">IF(IFERROR(INDEX(LAM_II_SQFT, MATCH(Crosswalk_API!$A47, LAM_ORG_ID_LIST, 0)), 0) = 0, "No", "Yes")</f>
        <v>Yes</v>
      </c>
      <c r="H47" s="245" t="str">
        <f>IF(OR(G47="Not Applicable", IFERROR(INDEX('Landing Page and Navigation'!$F$31:$F$48, MATCH(C47, 'Landing Page and Navigation'!$A$31:$A$48, 0)), "No") = "No"), "No", "Yes")</f>
        <v>No</v>
      </c>
      <c r="I47" s="245" t="str">
        <f>_xlfn.TEXTJOIN(" - ", TRUE, CW_API_TABLE[[#This Row],[PWSID]],CW_API_TABLE[[#This Row],[PWS_NAME]])</f>
        <v>CA0510006 - CCWD - JENNY LIND</v>
      </c>
      <c r="J47" s="246" cm="1">
        <f t="array" ref="J47">IFERROR(SUMPRODUCT((PD_PWSID_LIST=Crosswalk_API!$C47)*(PD_SUM_DEL&gt;0)), 0)</f>
        <v>12</v>
      </c>
    </row>
    <row r="48" spans="1:10" x14ac:dyDescent="0.25">
      <c r="A48" s="234" t="s">
        <v>863</v>
      </c>
      <c r="B48" t="s">
        <v>864</v>
      </c>
      <c r="C48" t="s">
        <v>872</v>
      </c>
      <c r="D48" t="s">
        <v>873</v>
      </c>
      <c r="E48" t="s">
        <v>867</v>
      </c>
      <c r="F48" t="s">
        <v>109</v>
      </c>
      <c r="G48" s="245" t="str" cm="1">
        <f t="array" ref="G48">IF(IFERROR(INDEX(LAM_II_SQFT, MATCH(Crosswalk_API!$A48, LAM_ORG_ID_LIST, 0)), 0) = 0, "No", "Yes")</f>
        <v>Yes</v>
      </c>
      <c r="H48" s="245" t="str">
        <f>IF(OR(G48="Not Applicable", IFERROR(INDEX('Landing Page and Navigation'!$F$31:$F$48, MATCH(C48, 'Landing Page and Navigation'!$A$31:$A$48, 0)), "No") = "No"), "No", "Yes")</f>
        <v>No</v>
      </c>
      <c r="I48" s="245" t="str">
        <f>_xlfn.TEXTJOIN(" - ", TRUE, CW_API_TABLE[[#This Row],[PWSID]],CW_API_TABLE[[#This Row],[PWS_NAME]])</f>
        <v>CA0510016 - CCWD - EBBETTS PASS</v>
      </c>
      <c r="J48" s="246" cm="1">
        <f t="array" ref="J48">IFERROR(SUMPRODUCT((PD_PWSID_LIST=Crosswalk_API!$C48)*(PD_SUM_DEL&gt;0)), 0)</f>
        <v>12</v>
      </c>
    </row>
    <row r="49" spans="1:10" x14ac:dyDescent="0.25">
      <c r="A49" s="234" t="s">
        <v>863</v>
      </c>
      <c r="B49" t="s">
        <v>864</v>
      </c>
      <c r="C49" t="s">
        <v>874</v>
      </c>
      <c r="D49" t="s">
        <v>875</v>
      </c>
      <c r="E49" t="s">
        <v>867</v>
      </c>
      <c r="F49" t="s">
        <v>109</v>
      </c>
      <c r="G49" s="245" t="str" cm="1">
        <f t="array" ref="G49">IF(IFERROR(INDEX(LAM_II_SQFT, MATCH(Crosswalk_API!$A49, LAM_ORG_ID_LIST, 0)), 0) = 0, "No", "Yes")</f>
        <v>Yes</v>
      </c>
      <c r="H49" s="245" t="str">
        <f>IF(OR(G49="Not Applicable", IFERROR(INDEX('Landing Page and Navigation'!$F$31:$F$48, MATCH(C49, 'Landing Page and Navigation'!$A$31:$A$48, 0)), "No") = "No"), "No", "Yes")</f>
        <v>No</v>
      </c>
      <c r="I49" s="245" t="str">
        <f>_xlfn.TEXTJOIN(" - ", TRUE, CW_API_TABLE[[#This Row],[PWSID]],CW_API_TABLE[[#This Row],[PWS_NAME]])</f>
        <v>CA0510017 - CCWD - COPPER COVE</v>
      </c>
      <c r="J49" s="246" cm="1">
        <f t="array" ref="J49">IFERROR(SUMPRODUCT((PD_PWSID_LIST=Crosswalk_API!$C49)*(PD_SUM_DEL&gt;0)), 0)</f>
        <v>12</v>
      </c>
    </row>
    <row r="50" spans="1:10" x14ac:dyDescent="0.25">
      <c r="A50" s="234" t="s">
        <v>863</v>
      </c>
      <c r="B50" t="s">
        <v>864</v>
      </c>
      <c r="C50" t="s">
        <v>876</v>
      </c>
      <c r="D50" t="s">
        <v>877</v>
      </c>
      <c r="E50" t="s">
        <v>867</v>
      </c>
      <c r="F50" t="s">
        <v>109</v>
      </c>
      <c r="G50" s="245" t="str" cm="1">
        <f t="array" ref="G50">IF(IFERROR(INDEX(LAM_II_SQFT, MATCH(Crosswalk_API!$A50, LAM_ORG_ID_LIST, 0)), 0) = 0, "No", "Yes")</f>
        <v>Yes</v>
      </c>
      <c r="H50" s="245" t="str">
        <f>IF(OR(G50="Not Applicable", IFERROR(INDEX('Landing Page and Navigation'!$F$31:$F$48, MATCH(C50, 'Landing Page and Navigation'!$A$31:$A$48, 0)), "No") = "No"), "No", "Yes")</f>
        <v>No</v>
      </c>
      <c r="I50" s="245" t="str">
        <f>_xlfn.TEXTJOIN(" - ", TRUE, CW_API_TABLE[[#This Row],[PWSID]],CW_API_TABLE[[#This Row],[PWS_NAME]])</f>
        <v>CA0510019 - CCWD - WALLACE</v>
      </c>
      <c r="J50" s="246" cm="1">
        <f t="array" ref="J50">IFERROR(SUMPRODUCT((PD_PWSID_LIST=Crosswalk_API!$C50)*(PD_SUM_DEL&gt;0)), 0)</f>
        <v>12</v>
      </c>
    </row>
    <row r="51" spans="1:10" x14ac:dyDescent="0.25">
      <c r="A51" s="234" t="s">
        <v>878</v>
      </c>
      <c r="B51" t="s">
        <v>879</v>
      </c>
      <c r="C51" t="s">
        <v>880</v>
      </c>
      <c r="D51" t="s">
        <v>881</v>
      </c>
      <c r="E51" t="s">
        <v>841</v>
      </c>
      <c r="F51" t="s">
        <v>109</v>
      </c>
      <c r="G51" s="245" t="str" cm="1">
        <f t="array" ref="G51">IF(IFERROR(INDEX(LAM_II_SQFT, MATCH(Crosswalk_API!$A51, LAM_ORG_ID_LIST, 0)), 0) = 0, "No", "Yes")</f>
        <v>Yes</v>
      </c>
      <c r="H51" s="245" t="str">
        <f>IF(OR(G51="Not Applicable", IFERROR(INDEX('Landing Page and Navigation'!$F$31:$F$48, MATCH(C51, 'Landing Page and Navigation'!$A$31:$A$48, 0)), "No") = "No"), "No", "Yes")</f>
        <v>No</v>
      </c>
      <c r="I51" s="245" t="str">
        <f>_xlfn.TEXTJOIN(" - ", TRUE, CW_API_TABLE[[#This Row],[PWSID]],CW_API_TABLE[[#This Row],[PWS_NAME]])</f>
        <v>CA1310002 - CALEXICO, CITY OF</v>
      </c>
      <c r="J51" s="246" cm="1">
        <f t="array" ref="J51">IFERROR(SUMPRODUCT((PD_PWSID_LIST=Crosswalk_API!$C51)*(PD_SUM_DEL&gt;0)), 0)</f>
        <v>12</v>
      </c>
    </row>
    <row r="52" spans="1:10" x14ac:dyDescent="0.25">
      <c r="A52" s="234" t="s">
        <v>882</v>
      </c>
      <c r="B52" t="s">
        <v>883</v>
      </c>
      <c r="C52" t="s">
        <v>884</v>
      </c>
      <c r="D52" t="s">
        <v>885</v>
      </c>
      <c r="E52" t="s">
        <v>708</v>
      </c>
      <c r="F52" t="s">
        <v>109</v>
      </c>
      <c r="G52" s="245" t="str" cm="1">
        <f t="array" ref="G52">IF(IFERROR(INDEX(LAM_II_SQFT, MATCH(Crosswalk_API!$A52, LAM_ORG_ID_LIST, 0)), 0) = 0, "No", "Yes")</f>
        <v>Yes</v>
      </c>
      <c r="H52" s="245" t="str">
        <f>IF(OR(G52="Not Applicable", IFERROR(INDEX('Landing Page and Navigation'!$F$31:$F$48, MATCH(C52, 'Landing Page and Navigation'!$A$31:$A$48, 0)), "No") = "No"), "No", "Yes")</f>
        <v>No</v>
      </c>
      <c r="I52" s="245" t="str">
        <f>_xlfn.TEXTJOIN(" - ", TRUE, CW_API_TABLE[[#This Row],[PWSID]],CW_API_TABLE[[#This Row],[PWS_NAME]])</f>
        <v>CA1910052 - CAL/AM WATER COMPANY - BALDWIN HILLS</v>
      </c>
      <c r="J52" s="246" cm="1">
        <f t="array" ref="J52">IFERROR(SUMPRODUCT((PD_PWSID_LIST=Crosswalk_API!$C52)*(PD_SUM_DEL&gt;0)), 0)</f>
        <v>12</v>
      </c>
    </row>
    <row r="53" spans="1:10" x14ac:dyDescent="0.25">
      <c r="A53" s="234" t="s">
        <v>882</v>
      </c>
      <c r="B53" t="s">
        <v>883</v>
      </c>
      <c r="C53" t="s">
        <v>886</v>
      </c>
      <c r="D53" t="s">
        <v>887</v>
      </c>
      <c r="E53" t="s">
        <v>708</v>
      </c>
      <c r="F53" t="s">
        <v>109</v>
      </c>
      <c r="G53" s="245" t="str" cm="1">
        <f t="array" ref="G53">IF(IFERROR(INDEX(LAM_II_SQFT, MATCH(Crosswalk_API!$A53, LAM_ORG_ID_LIST, 0)), 0) = 0, "No", "Yes")</f>
        <v>Yes</v>
      </c>
      <c r="H53" s="245" t="str">
        <f>IF(OR(G53="Not Applicable", IFERROR(INDEX('Landing Page and Navigation'!$F$31:$F$48, MATCH(C53, 'Landing Page and Navigation'!$A$31:$A$48, 0)), "No") = "No"), "No", "Yes")</f>
        <v>No</v>
      </c>
      <c r="I53" s="245" t="str">
        <f>_xlfn.TEXTJOIN(" - ", TRUE, CW_API_TABLE[[#This Row],[PWSID]],CW_API_TABLE[[#This Row],[PWS_NAME]])</f>
        <v>CA1910139 - CAL/AM WATER COMPANY - SAN MARINO</v>
      </c>
      <c r="J53" s="246" cm="1">
        <f t="array" ref="J53">IFERROR(SUMPRODUCT((PD_PWSID_LIST=Crosswalk_API!$C53)*(PD_SUM_DEL&gt;0)), 0)</f>
        <v>12</v>
      </c>
    </row>
    <row r="54" spans="1:10" x14ac:dyDescent="0.25">
      <c r="A54" s="234" t="s">
        <v>882</v>
      </c>
      <c r="B54" t="s">
        <v>883</v>
      </c>
      <c r="C54" t="s">
        <v>888</v>
      </c>
      <c r="D54" t="s">
        <v>889</v>
      </c>
      <c r="E54" t="s">
        <v>708</v>
      </c>
      <c r="F54" t="s">
        <v>109</v>
      </c>
      <c r="G54" s="245" t="str" cm="1">
        <f t="array" ref="G54">IF(IFERROR(INDEX(LAM_II_SQFT, MATCH(Crosswalk_API!$A54, LAM_ORG_ID_LIST, 0)), 0) = 0, "No", "Yes")</f>
        <v>Yes</v>
      </c>
      <c r="H54" s="245" t="str">
        <f>IF(OR(G54="Not Applicable", IFERROR(INDEX('Landing Page and Navigation'!$F$31:$F$48, MATCH(C54, 'Landing Page and Navigation'!$A$31:$A$48, 0)), "No") = "No"), "No", "Yes")</f>
        <v>No</v>
      </c>
      <c r="I54" s="245" t="str">
        <f>_xlfn.TEXTJOIN(" - ", TRUE, CW_API_TABLE[[#This Row],[PWSID]],CW_API_TABLE[[#This Row],[PWS_NAME]])</f>
        <v>CA1910186 - CAL-AM WATER COMPANY - DUARTE</v>
      </c>
      <c r="J54" s="246" cm="1">
        <f t="array" ref="J54">IFERROR(SUMPRODUCT((PD_PWSID_LIST=Crosswalk_API!$C54)*(PD_SUM_DEL&gt;0)), 0)</f>
        <v>12</v>
      </c>
    </row>
    <row r="55" spans="1:10" x14ac:dyDescent="0.25">
      <c r="A55" s="234" t="s">
        <v>890</v>
      </c>
      <c r="B55" t="s">
        <v>891</v>
      </c>
      <c r="C55" t="s">
        <v>892</v>
      </c>
      <c r="D55" t="s">
        <v>893</v>
      </c>
      <c r="E55" t="s">
        <v>703</v>
      </c>
      <c r="F55" t="s">
        <v>109</v>
      </c>
      <c r="G55" s="245" t="str" cm="1">
        <f t="array" ref="G55">IF(IFERROR(INDEX(LAM_II_SQFT, MATCH(Crosswalk_API!$A55, LAM_ORG_ID_LIST, 0)), 0) = 0, "No", "Yes")</f>
        <v>Yes</v>
      </c>
      <c r="H55" s="245" t="str">
        <f>IF(OR(G55="Not Applicable", IFERROR(INDEX('Landing Page and Navigation'!$F$31:$F$48, MATCH(C55, 'Landing Page and Navigation'!$A$31:$A$48, 0)), "No") = "No"), "No", "Yes")</f>
        <v>No</v>
      </c>
      <c r="I55" s="245" t="str">
        <f>_xlfn.TEXTJOIN(" - ", TRUE, CW_API_TABLE[[#This Row],[PWSID]],CW_API_TABLE[[#This Row],[PWS_NAME]])</f>
        <v>CA2701202 - CAL AM WATER COMPANY - CHUALAR</v>
      </c>
      <c r="J55" s="246" cm="1">
        <f t="array" ref="J55">IFERROR(SUMPRODUCT((PD_PWSID_LIST=Crosswalk_API!$C55)*(PD_SUM_DEL&gt;0)), 0)</f>
        <v>12</v>
      </c>
    </row>
    <row r="56" spans="1:10" x14ac:dyDescent="0.25">
      <c r="A56" s="234" t="s">
        <v>890</v>
      </c>
      <c r="B56" t="s">
        <v>891</v>
      </c>
      <c r="C56" t="s">
        <v>894</v>
      </c>
      <c r="D56" t="s">
        <v>895</v>
      </c>
      <c r="E56" t="s">
        <v>703</v>
      </c>
      <c r="F56" t="s">
        <v>109</v>
      </c>
      <c r="G56" s="245" t="str" cm="1">
        <f t="array" ref="G56">IF(IFERROR(INDEX(LAM_II_SQFT, MATCH(Crosswalk_API!$A56, LAM_ORG_ID_LIST, 0)), 0) = 0, "No", "Yes")</f>
        <v>Yes</v>
      </c>
      <c r="H56" s="245" t="str">
        <f>IF(OR(G56="Not Applicable", IFERROR(INDEX('Landing Page and Navigation'!$F$31:$F$48, MATCH(C56, 'Landing Page and Navigation'!$A$31:$A$48, 0)), "No") = "No"), "No", "Yes")</f>
        <v>No</v>
      </c>
      <c r="I56" s="245" t="str">
        <f>_xlfn.TEXTJOIN(" - ", TRUE, CW_API_TABLE[[#This Row],[PWSID]],CW_API_TABLE[[#This Row],[PWS_NAME]])</f>
        <v>CA2701257 - CAL AM WATER COMPANY - GARRAPATA</v>
      </c>
      <c r="J56" s="246" cm="1">
        <f t="array" ref="J56">IFERROR(SUMPRODUCT((PD_PWSID_LIST=Crosswalk_API!$C56)*(PD_SUM_DEL&gt;0)), 0)</f>
        <v>12</v>
      </c>
    </row>
    <row r="57" spans="1:10" x14ac:dyDescent="0.25">
      <c r="A57" s="234" t="s">
        <v>890</v>
      </c>
      <c r="B57" t="s">
        <v>891</v>
      </c>
      <c r="C57" t="s">
        <v>896</v>
      </c>
      <c r="D57" t="s">
        <v>897</v>
      </c>
      <c r="E57" t="s">
        <v>703</v>
      </c>
      <c r="F57" t="s">
        <v>109</v>
      </c>
      <c r="G57" s="245" t="str" cm="1">
        <f t="array" ref="G57">IF(IFERROR(INDEX(LAM_II_SQFT, MATCH(Crosswalk_API!$A57, LAM_ORG_ID_LIST, 0)), 0) = 0, "No", "Yes")</f>
        <v>Yes</v>
      </c>
      <c r="H57" s="245" t="str">
        <f>IF(OR(G57="Not Applicable", IFERROR(INDEX('Landing Page and Navigation'!$F$31:$F$48, MATCH(C57, 'Landing Page and Navigation'!$A$31:$A$48, 0)), "No") = "No"), "No", "Yes")</f>
        <v>No</v>
      </c>
      <c r="I57" s="245" t="str">
        <f>_xlfn.TEXTJOIN(" - ", TRUE, CW_API_TABLE[[#This Row],[PWSID]],CW_API_TABLE[[#This Row],[PWS_NAME]])</f>
        <v>CA2702004 - CAL AM WATER COMPANY - RALPH LANE</v>
      </c>
      <c r="J57" s="246" cm="1">
        <f t="array" ref="J57">IFERROR(SUMPRODUCT((PD_PWSID_LIST=Crosswalk_API!$C57)*(PD_SUM_DEL&gt;0)), 0)</f>
        <v>12</v>
      </c>
    </row>
    <row r="58" spans="1:10" x14ac:dyDescent="0.25">
      <c r="A58" s="234" t="s">
        <v>890</v>
      </c>
      <c r="B58" t="s">
        <v>891</v>
      </c>
      <c r="C58" t="s">
        <v>898</v>
      </c>
      <c r="D58" t="s">
        <v>899</v>
      </c>
      <c r="E58" t="s">
        <v>703</v>
      </c>
      <c r="F58" t="s">
        <v>109</v>
      </c>
      <c r="G58" s="245" t="str" cm="1">
        <f t="array" ref="G58">IF(IFERROR(INDEX(LAM_II_SQFT, MATCH(Crosswalk_API!$A58, LAM_ORG_ID_LIST, 0)), 0) = 0, "No", "Yes")</f>
        <v>Yes</v>
      </c>
      <c r="H58" s="245" t="str">
        <f>IF(OR(G58="Not Applicable", IFERROR(INDEX('Landing Page and Navigation'!$F$31:$F$48, MATCH(C58, 'Landing Page and Navigation'!$A$31:$A$48, 0)), "No") = "No"), "No", "Yes")</f>
        <v>No</v>
      </c>
      <c r="I58" s="245" t="str">
        <f>_xlfn.TEXTJOIN(" - ", TRUE, CW_API_TABLE[[#This Row],[PWSID]],CW_API_TABLE[[#This Row],[PWS_NAME]])</f>
        <v>CA2710004 - CAL AM WATER COMPANY - MONTEREY</v>
      </c>
      <c r="J58" s="246" cm="1">
        <f t="array" ref="J58">IFERROR(SUMPRODUCT((PD_PWSID_LIST=Crosswalk_API!$C58)*(PD_SUM_DEL&gt;0)), 0)</f>
        <v>12</v>
      </c>
    </row>
    <row r="59" spans="1:10" x14ac:dyDescent="0.25">
      <c r="A59" s="234" t="s">
        <v>890</v>
      </c>
      <c r="B59" t="s">
        <v>891</v>
      </c>
      <c r="C59" t="s">
        <v>900</v>
      </c>
      <c r="D59" t="s">
        <v>901</v>
      </c>
      <c r="E59" t="s">
        <v>703</v>
      </c>
      <c r="F59" t="s">
        <v>109</v>
      </c>
      <c r="G59" s="245" t="str" cm="1">
        <f t="array" ref="G59">IF(IFERROR(INDEX(LAM_II_SQFT, MATCH(Crosswalk_API!$A59, LAM_ORG_ID_LIST, 0)), 0) = 0, "No", "Yes")</f>
        <v>Yes</v>
      </c>
      <c r="H59" s="245" t="str">
        <f>IF(OR(G59="Not Applicable", IFERROR(INDEX('Landing Page and Navigation'!$F$31:$F$48, MATCH(C59, 'Landing Page and Navigation'!$A$31:$A$48, 0)), "No") = "No"), "No", "Yes")</f>
        <v>No</v>
      </c>
      <c r="I59" s="245" t="str">
        <f>_xlfn.TEXTJOIN(" - ", TRUE, CW_API_TABLE[[#This Row],[PWSID]],CW_API_TABLE[[#This Row],[PWS_NAME]])</f>
        <v>CA2710006 - CAL AM WATER COMPANY - AMBLER PARK</v>
      </c>
      <c r="J59" s="246" cm="1">
        <f t="array" ref="J59">IFERROR(SUMPRODUCT((PD_PWSID_LIST=Crosswalk_API!$C59)*(PD_SUM_DEL&gt;0)), 0)</f>
        <v>12</v>
      </c>
    </row>
    <row r="60" spans="1:10" x14ac:dyDescent="0.25">
      <c r="A60" s="234" t="s">
        <v>890</v>
      </c>
      <c r="B60" t="s">
        <v>891</v>
      </c>
      <c r="C60" t="s">
        <v>902</v>
      </c>
      <c r="D60" t="s">
        <v>903</v>
      </c>
      <c r="E60" t="s">
        <v>703</v>
      </c>
      <c r="F60" t="s">
        <v>109</v>
      </c>
      <c r="G60" s="245" t="str" cm="1">
        <f t="array" ref="G60">IF(IFERROR(INDEX(LAM_II_SQFT, MATCH(Crosswalk_API!$A60, LAM_ORG_ID_LIST, 0)), 0) = 0, "No", "Yes")</f>
        <v>Yes</v>
      </c>
      <c r="H60" s="245" t="str">
        <f>IF(OR(G60="Not Applicable", IFERROR(INDEX('Landing Page and Navigation'!$F$31:$F$48, MATCH(C60, 'Landing Page and Navigation'!$A$31:$A$48, 0)), "No") = "No"), "No", "Yes")</f>
        <v>No</v>
      </c>
      <c r="I60" s="245" t="str">
        <f>_xlfn.TEXTJOIN(" - ", TRUE, CW_API_TABLE[[#This Row],[PWSID]],CW_API_TABLE[[#This Row],[PWS_NAME]])</f>
        <v>CA2710021 - CAL AM WATER COMPANY - TORO</v>
      </c>
      <c r="J60" s="246" cm="1">
        <f t="array" ref="J60">IFERROR(SUMPRODUCT((PD_PWSID_LIST=Crosswalk_API!$C60)*(PD_SUM_DEL&gt;0)), 0)</f>
        <v>12</v>
      </c>
    </row>
    <row r="61" spans="1:10" x14ac:dyDescent="0.25">
      <c r="A61" s="234" t="s">
        <v>890</v>
      </c>
      <c r="B61" t="s">
        <v>891</v>
      </c>
      <c r="C61" t="s">
        <v>904</v>
      </c>
      <c r="D61" t="s">
        <v>905</v>
      </c>
      <c r="E61" t="s">
        <v>703</v>
      </c>
      <c r="F61" t="s">
        <v>109</v>
      </c>
      <c r="G61" s="245" t="str" cm="1">
        <f t="array" ref="G61">IF(IFERROR(INDEX(LAM_II_SQFT, MATCH(Crosswalk_API!$A61, LAM_ORG_ID_LIST, 0)), 0) = 0, "No", "Yes")</f>
        <v>Yes</v>
      </c>
      <c r="H61" s="245" t="str">
        <f>IF(OR(G61="Not Applicable", IFERROR(INDEX('Landing Page and Navigation'!$F$31:$F$48, MATCH(C61, 'Landing Page and Navigation'!$A$31:$A$48, 0)), "No") = "No"), "No", "Yes")</f>
        <v>No</v>
      </c>
      <c r="I61" s="245" t="str">
        <f>_xlfn.TEXTJOIN(" - ", TRUE, CW_API_TABLE[[#This Row],[PWSID]],CW_API_TABLE[[#This Row],[PWS_NAME]])</f>
        <v>CA2710022 - CAL AM WATER COMPANY - HIDDEN HILLS</v>
      </c>
      <c r="J61" s="246" cm="1">
        <f t="array" ref="J61">IFERROR(SUMPRODUCT((PD_PWSID_LIST=Crosswalk_API!$C61)*(PD_SUM_DEL&gt;0)), 0)</f>
        <v>12</v>
      </c>
    </row>
    <row r="62" spans="1:10" x14ac:dyDescent="0.25">
      <c r="A62" s="234" t="s">
        <v>906</v>
      </c>
      <c r="B62" t="s">
        <v>907</v>
      </c>
      <c r="C62" t="s">
        <v>908</v>
      </c>
      <c r="D62" t="s">
        <v>909</v>
      </c>
      <c r="E62" t="s">
        <v>910</v>
      </c>
      <c r="F62" t="s">
        <v>109</v>
      </c>
      <c r="G62" s="245" t="str" cm="1">
        <f t="array" ref="G62">IF(IFERROR(INDEX(LAM_II_SQFT, MATCH(Crosswalk_API!$A62, LAM_ORG_ID_LIST, 0)), 0) = 0, "No", "Yes")</f>
        <v>Yes</v>
      </c>
      <c r="H62" s="245" t="str">
        <f>IF(OR(G62="Not Applicable", IFERROR(INDEX('Landing Page and Navigation'!$F$31:$F$48, MATCH(C62, 'Landing Page and Navigation'!$A$31:$A$48, 0)), "No") = "No"), "No", "Yes")</f>
        <v>No</v>
      </c>
      <c r="I62" s="245" t="str">
        <f>_xlfn.TEXTJOIN(" - ", TRUE, CW_API_TABLE[[#This Row],[PWSID]],CW_API_TABLE[[#This Row],[PWS_NAME]])</f>
        <v>CA3110150 - CAL AM - WEST PLACER</v>
      </c>
      <c r="J62" s="246" cm="1">
        <f t="array" ref="J62">IFERROR(SUMPRODUCT((PD_PWSID_LIST=Crosswalk_API!$C62)*(PD_SUM_DEL&gt;0)), 0)</f>
        <v>12</v>
      </c>
    </row>
    <row r="63" spans="1:10" x14ac:dyDescent="0.25">
      <c r="A63" s="234" t="s">
        <v>906</v>
      </c>
      <c r="B63" t="s">
        <v>907</v>
      </c>
      <c r="C63" t="s">
        <v>911</v>
      </c>
      <c r="D63" t="s">
        <v>912</v>
      </c>
      <c r="E63" t="s">
        <v>913</v>
      </c>
      <c r="F63" t="s">
        <v>109</v>
      </c>
      <c r="G63" s="245" t="str" cm="1">
        <f t="array" ref="G63">IF(IFERROR(INDEX(LAM_II_SQFT, MATCH(Crosswalk_API!$A63, LAM_ORG_ID_LIST, 0)), 0) = 0, "No", "Yes")</f>
        <v>Yes</v>
      </c>
      <c r="H63" s="245" t="str">
        <f>IF(OR(G63="Not Applicable", IFERROR(INDEX('Landing Page and Navigation'!$F$31:$F$48, MATCH(C63, 'Landing Page and Navigation'!$A$31:$A$48, 0)), "No") = "No"), "No", "Yes")</f>
        <v>No</v>
      </c>
      <c r="I63" s="245" t="str">
        <f>_xlfn.TEXTJOIN(" - ", TRUE, CW_API_TABLE[[#This Row],[PWSID]],CW_API_TABLE[[#This Row],[PWS_NAME]])</f>
        <v>CA3410010 - CAL AM - SUBURBAN ROSEMONT</v>
      </c>
      <c r="J63" s="246" cm="1">
        <f t="array" ref="J63">IFERROR(SUMPRODUCT((PD_PWSID_LIST=Crosswalk_API!$C63)*(PD_SUM_DEL&gt;0)), 0)</f>
        <v>12</v>
      </c>
    </row>
    <row r="64" spans="1:10" x14ac:dyDescent="0.25">
      <c r="A64" s="234" t="s">
        <v>906</v>
      </c>
      <c r="B64" t="s">
        <v>907</v>
      </c>
      <c r="C64" t="s">
        <v>914</v>
      </c>
      <c r="D64" t="s">
        <v>915</v>
      </c>
      <c r="E64" t="s">
        <v>913</v>
      </c>
      <c r="F64" t="s">
        <v>109</v>
      </c>
      <c r="G64" s="245" t="str" cm="1">
        <f t="array" ref="G64">IF(IFERROR(INDEX(LAM_II_SQFT, MATCH(Crosswalk_API!$A64, LAM_ORG_ID_LIST, 0)), 0) = 0, "No", "Yes")</f>
        <v>Yes</v>
      </c>
      <c r="H64" s="245" t="str">
        <f>IF(OR(G64="Not Applicable", IFERROR(INDEX('Landing Page and Navigation'!$F$31:$F$48, MATCH(C64, 'Landing Page and Navigation'!$A$31:$A$48, 0)), "No") = "No"), "No", "Yes")</f>
        <v>No</v>
      </c>
      <c r="I64" s="245" t="str">
        <f>_xlfn.TEXTJOIN(" - ", TRUE, CW_API_TABLE[[#This Row],[PWSID]],CW_API_TABLE[[#This Row],[PWS_NAME]])</f>
        <v>CA3410012 - CAL AM - ISLETON</v>
      </c>
      <c r="J64" s="246" cm="1">
        <f t="array" ref="J64">IFERROR(SUMPRODUCT((PD_PWSID_LIST=Crosswalk_API!$C64)*(PD_SUM_DEL&gt;0)), 0)</f>
        <v>12</v>
      </c>
    </row>
    <row r="65" spans="1:10" x14ac:dyDescent="0.25">
      <c r="A65" s="234" t="s">
        <v>906</v>
      </c>
      <c r="B65" t="s">
        <v>907</v>
      </c>
      <c r="C65" t="s">
        <v>916</v>
      </c>
      <c r="D65" t="s">
        <v>917</v>
      </c>
      <c r="E65" t="s">
        <v>913</v>
      </c>
      <c r="F65" t="s">
        <v>109</v>
      </c>
      <c r="G65" s="245" t="str" cm="1">
        <f t="array" ref="G65">IF(IFERROR(INDEX(LAM_II_SQFT, MATCH(Crosswalk_API!$A65, LAM_ORG_ID_LIST, 0)), 0) = 0, "No", "Yes")</f>
        <v>Yes</v>
      </c>
      <c r="H65" s="245" t="str">
        <f>IF(OR(G65="Not Applicable", IFERROR(INDEX('Landing Page and Navigation'!$F$31:$F$48, MATCH(C65, 'Landing Page and Navigation'!$A$31:$A$48, 0)), "No") = "No"), "No", "Yes")</f>
        <v>No</v>
      </c>
      <c r="I65" s="245" t="str">
        <f>_xlfn.TEXTJOIN(" - ", TRUE, CW_API_TABLE[[#This Row],[PWSID]],CW_API_TABLE[[#This Row],[PWS_NAME]])</f>
        <v>CA3410013 - CAL AM - LINCOLN OAKS</v>
      </c>
      <c r="J65" s="246" cm="1">
        <f t="array" ref="J65">IFERROR(SUMPRODUCT((PD_PWSID_LIST=Crosswalk_API!$C65)*(PD_SUM_DEL&gt;0)), 0)</f>
        <v>12</v>
      </c>
    </row>
    <row r="66" spans="1:10" x14ac:dyDescent="0.25">
      <c r="A66" s="234" t="s">
        <v>906</v>
      </c>
      <c r="B66" t="s">
        <v>907</v>
      </c>
      <c r="C66" t="s">
        <v>918</v>
      </c>
      <c r="D66" t="s">
        <v>919</v>
      </c>
      <c r="E66" t="s">
        <v>913</v>
      </c>
      <c r="F66" t="s">
        <v>109</v>
      </c>
      <c r="G66" s="245" t="str" cm="1">
        <f t="array" ref="G66">IF(IFERROR(INDEX(LAM_II_SQFT, MATCH(Crosswalk_API!$A66, LAM_ORG_ID_LIST, 0)), 0) = 0, "No", "Yes")</f>
        <v>Yes</v>
      </c>
      <c r="H66" s="245" t="str">
        <f>IF(OR(G66="Not Applicable", IFERROR(INDEX('Landing Page and Navigation'!$F$31:$F$48, MATCH(C66, 'Landing Page and Navigation'!$A$31:$A$48, 0)), "No") = "No"), "No", "Yes")</f>
        <v>No</v>
      </c>
      <c r="I66" s="245" t="str">
        <f>_xlfn.TEXTJOIN(" - ", TRUE, CW_API_TABLE[[#This Row],[PWSID]],CW_API_TABLE[[#This Row],[PWS_NAME]])</f>
        <v>CA3410017 - CAL AM - PARKWAY</v>
      </c>
      <c r="J66" s="246" cm="1">
        <f t="array" ref="J66">IFERROR(SUMPRODUCT((PD_PWSID_LIST=Crosswalk_API!$C66)*(PD_SUM_DEL&gt;0)), 0)</f>
        <v>12</v>
      </c>
    </row>
    <row r="67" spans="1:10" x14ac:dyDescent="0.25">
      <c r="A67" s="234" t="s">
        <v>906</v>
      </c>
      <c r="B67" t="s">
        <v>907</v>
      </c>
      <c r="C67" t="s">
        <v>920</v>
      </c>
      <c r="D67" t="s">
        <v>921</v>
      </c>
      <c r="E67" t="s">
        <v>913</v>
      </c>
      <c r="F67" t="s">
        <v>109</v>
      </c>
      <c r="G67" s="245" t="str" cm="1">
        <f t="array" ref="G67">IF(IFERROR(INDEX(LAM_II_SQFT, MATCH(Crosswalk_API!$A67, LAM_ORG_ID_LIST, 0)), 0) = 0, "No", "Yes")</f>
        <v>Yes</v>
      </c>
      <c r="H67" s="245" t="str">
        <f>IF(OR(G67="Not Applicable", IFERROR(INDEX('Landing Page and Navigation'!$F$31:$F$48, MATCH(C67, 'Landing Page and Navigation'!$A$31:$A$48, 0)), "No") = "No"), "No", "Yes")</f>
        <v>No</v>
      </c>
      <c r="I67" s="245" t="str">
        <f>_xlfn.TEXTJOIN(" - ", TRUE, CW_API_TABLE[[#This Row],[PWSID]],CW_API_TABLE[[#This Row],[PWS_NAME]])</f>
        <v>CA3410027 - CAL AM - SECURITY PARK</v>
      </c>
      <c r="J67" s="246" cm="1">
        <f t="array" ref="J67">IFERROR(SUMPRODUCT((PD_PWSID_LIST=Crosswalk_API!$C67)*(PD_SUM_DEL&gt;0)), 0)</f>
        <v>0</v>
      </c>
    </row>
    <row r="68" spans="1:10" x14ac:dyDescent="0.25">
      <c r="A68" s="234" t="s">
        <v>906</v>
      </c>
      <c r="B68" t="s">
        <v>907</v>
      </c>
      <c r="C68" t="s">
        <v>922</v>
      </c>
      <c r="D68" t="s">
        <v>923</v>
      </c>
      <c r="E68" t="s">
        <v>913</v>
      </c>
      <c r="F68" t="s">
        <v>109</v>
      </c>
      <c r="G68" s="245" t="str" cm="1">
        <f t="array" ref="G68">IF(IFERROR(INDEX(LAM_II_SQFT, MATCH(Crosswalk_API!$A68, LAM_ORG_ID_LIST, 0)), 0) = 0, "No", "Yes")</f>
        <v>Yes</v>
      </c>
      <c r="H68" s="245" t="str">
        <f>IF(OR(G68="Not Applicable", IFERROR(INDEX('Landing Page and Navigation'!$F$31:$F$48, MATCH(C68, 'Landing Page and Navigation'!$A$31:$A$48, 0)), "No") = "No"), "No", "Yes")</f>
        <v>No</v>
      </c>
      <c r="I68" s="245" t="str">
        <f>_xlfn.TEXTJOIN(" - ", TRUE, CW_API_TABLE[[#This Row],[PWSID]],CW_API_TABLE[[#This Row],[PWS_NAME]])</f>
        <v>CA3410031 - CAL AM - ANTELOPE</v>
      </c>
      <c r="J68" s="246" cm="1">
        <f t="array" ref="J68">IFERROR(SUMPRODUCT((PD_PWSID_LIST=Crosswalk_API!$C68)*(PD_SUM_DEL&gt;0)), 0)</f>
        <v>12</v>
      </c>
    </row>
    <row r="69" spans="1:10" x14ac:dyDescent="0.25">
      <c r="A69" s="234" t="s">
        <v>906</v>
      </c>
      <c r="B69" t="s">
        <v>907</v>
      </c>
      <c r="C69" t="s">
        <v>924</v>
      </c>
      <c r="D69" t="s">
        <v>925</v>
      </c>
      <c r="E69" t="s">
        <v>913</v>
      </c>
      <c r="F69" t="s">
        <v>109</v>
      </c>
      <c r="G69" s="245" t="str" cm="1">
        <f t="array" ref="G69">IF(IFERROR(INDEX(LAM_II_SQFT, MATCH(Crosswalk_API!$A69, LAM_ORG_ID_LIST, 0)), 0) = 0, "No", "Yes")</f>
        <v>Yes</v>
      </c>
      <c r="H69" s="245" t="str">
        <f>IF(OR(G69="Not Applicable", IFERROR(INDEX('Landing Page and Navigation'!$F$31:$F$48, MATCH(C69, 'Landing Page and Navigation'!$A$31:$A$48, 0)), "No") = "No"), "No", "Yes")</f>
        <v>No</v>
      </c>
      <c r="I69" s="245" t="str">
        <f>_xlfn.TEXTJOIN(" - ", TRUE, CW_API_TABLE[[#This Row],[PWSID]],CW_API_TABLE[[#This Row],[PWS_NAME]])</f>
        <v>CA3410045 - CAL AM - ARDEN</v>
      </c>
      <c r="J69" s="246" cm="1">
        <f t="array" ref="J69">IFERROR(SUMPRODUCT((PD_PWSID_LIST=Crosswalk_API!$C69)*(PD_SUM_DEL&gt;0)), 0)</f>
        <v>12</v>
      </c>
    </row>
    <row r="70" spans="1:10" x14ac:dyDescent="0.25">
      <c r="A70" s="234" t="s">
        <v>906</v>
      </c>
      <c r="B70" t="s">
        <v>907</v>
      </c>
      <c r="C70" t="s">
        <v>926</v>
      </c>
      <c r="D70" t="s">
        <v>927</v>
      </c>
      <c r="E70" t="s">
        <v>913</v>
      </c>
      <c r="F70" t="s">
        <v>109</v>
      </c>
      <c r="G70" s="245" t="str" cm="1">
        <f t="array" ref="G70">IF(IFERROR(INDEX(LAM_II_SQFT, MATCH(Crosswalk_API!$A70, LAM_ORG_ID_LIST, 0)), 0) = 0, "No", "Yes")</f>
        <v>Yes</v>
      </c>
      <c r="H70" s="245" t="str">
        <f>IF(OR(G70="Not Applicable", IFERROR(INDEX('Landing Page and Navigation'!$F$31:$F$48, MATCH(C70, 'Landing Page and Navigation'!$A$31:$A$48, 0)), "No") = "No"), "No", "Yes")</f>
        <v>No</v>
      </c>
      <c r="I70" s="245" t="str">
        <f>_xlfn.TEXTJOIN(" - ", TRUE, CW_API_TABLE[[#This Row],[PWSID]],CW_API_TABLE[[#This Row],[PWS_NAME]])</f>
        <v>CA3410047 - CAL AM - WALNUT GROVE</v>
      </c>
      <c r="J70" s="246" cm="1">
        <f t="array" ref="J70">IFERROR(SUMPRODUCT((PD_PWSID_LIST=Crosswalk_API!$C70)*(PD_SUM_DEL&gt;0)), 0)</f>
        <v>12</v>
      </c>
    </row>
    <row r="71" spans="1:10" x14ac:dyDescent="0.25">
      <c r="A71" s="234" t="s">
        <v>906</v>
      </c>
      <c r="B71" t="s">
        <v>907</v>
      </c>
      <c r="C71" t="s">
        <v>928</v>
      </c>
      <c r="D71" t="s">
        <v>929</v>
      </c>
      <c r="E71" t="s">
        <v>930</v>
      </c>
      <c r="F71" t="s">
        <v>109</v>
      </c>
      <c r="G71" s="245" t="str" cm="1">
        <f t="array" ref="G71">IF(IFERROR(INDEX(LAM_II_SQFT, MATCH(Crosswalk_API!$A71, LAM_ORG_ID_LIST, 0)), 0) = 0, "No", "Yes")</f>
        <v>Yes</v>
      </c>
      <c r="H71" s="245" t="str">
        <f>IF(OR(G71="Not Applicable", IFERROR(INDEX('Landing Page and Navigation'!$F$31:$F$48, MATCH(C71, 'Landing Page and Navigation'!$A$31:$A$48, 0)), "No") = "No"), "No", "Yes")</f>
        <v>No</v>
      </c>
      <c r="I71" s="245" t="str">
        <f>_xlfn.TEXTJOIN(" - ", TRUE, CW_API_TABLE[[#This Row],[PWSID]],CW_API_TABLE[[#This Row],[PWS_NAME]])</f>
        <v>CA5700712 - CAL AM - DUNNIGAN</v>
      </c>
      <c r="J71" s="246" cm="1">
        <f t="array" ref="J71">IFERROR(SUMPRODUCT((PD_PWSID_LIST=Crosswalk_API!$C71)*(PD_SUM_DEL&gt;0)), 0)</f>
        <v>12</v>
      </c>
    </row>
    <row r="72" spans="1:10" x14ac:dyDescent="0.25">
      <c r="A72" s="234" t="s">
        <v>906</v>
      </c>
      <c r="B72" t="s">
        <v>907</v>
      </c>
      <c r="C72" t="s">
        <v>931</v>
      </c>
      <c r="D72" t="s">
        <v>932</v>
      </c>
      <c r="E72" t="s">
        <v>913</v>
      </c>
      <c r="F72" t="s">
        <v>109</v>
      </c>
      <c r="G72" s="245" t="str" cm="1">
        <f t="array" ref="G72">IF(IFERROR(INDEX(LAM_II_SQFT, MATCH(Crosswalk_API!$A72, LAM_ORG_ID_LIST, 0)), 0) = 0, "No", "Yes")</f>
        <v>Yes</v>
      </c>
      <c r="H72" s="245" t="str">
        <f>IF(OR(G72="Not Applicable", IFERROR(INDEX('Landing Page and Navigation'!$F$31:$F$48, MATCH(C72, 'Landing Page and Navigation'!$A$31:$A$48, 0)), "No") = "No"), "No", "Yes")</f>
        <v>No</v>
      </c>
      <c r="I72" s="245" t="str">
        <f>_xlfn.TEXTJOIN(" - ", TRUE, CW_API_TABLE[[#This Row],[PWSID]],CW_API_TABLE[[#This Row],[PWS_NAME]])</f>
        <v>CA3410023 - CAL AM - FRUITRIDGE VISTA</v>
      </c>
      <c r="J72" s="246" cm="1">
        <f t="array" ref="J72">IFERROR(SUMPRODUCT((PD_PWSID_LIST=Crosswalk_API!$C72)*(PD_SUM_DEL&gt;0)), 0)</f>
        <v>6</v>
      </c>
    </row>
    <row r="73" spans="1:10" x14ac:dyDescent="0.25">
      <c r="A73" s="234" t="s">
        <v>933</v>
      </c>
      <c r="B73" t="s">
        <v>934</v>
      </c>
      <c r="C73" t="s">
        <v>935</v>
      </c>
      <c r="D73" t="s">
        <v>936</v>
      </c>
      <c r="E73" t="s">
        <v>937</v>
      </c>
      <c r="F73" t="s">
        <v>109</v>
      </c>
      <c r="G73" s="245" t="str" cm="1">
        <f t="array" ref="G73">IF(IFERROR(INDEX(LAM_II_SQFT, MATCH(Crosswalk_API!$A73, LAM_ORG_ID_LIST, 0)), 0) = 0, "No", "Yes")</f>
        <v>Yes</v>
      </c>
      <c r="H73" s="245" t="str">
        <f>IF(OR(G73="Not Applicable", IFERROR(INDEX('Landing Page and Navigation'!$F$31:$F$48, MATCH(C73, 'Landing Page and Navigation'!$A$31:$A$48, 0)), "No") = "No"), "No", "Yes")</f>
        <v>No</v>
      </c>
      <c r="I73" s="245" t="str">
        <f>_xlfn.TEXTJOIN(" - ", TRUE, CW_API_TABLE[[#This Row],[PWSID]],CW_API_TABLE[[#This Row],[PWS_NAME]])</f>
        <v>CA3710001 - CAL-AM WATER CORONADO</v>
      </c>
      <c r="J73" s="246" cm="1">
        <f t="array" ref="J73">IFERROR(SUMPRODUCT((PD_PWSID_LIST=Crosswalk_API!$C73)*(PD_SUM_DEL&gt;0)), 0)</f>
        <v>12</v>
      </c>
    </row>
    <row r="74" spans="1:10" x14ac:dyDescent="0.25">
      <c r="A74" s="234" t="s">
        <v>938</v>
      </c>
      <c r="B74" t="s">
        <v>939</v>
      </c>
      <c r="C74" t="s">
        <v>940</v>
      </c>
      <c r="D74" t="s">
        <v>941</v>
      </c>
      <c r="E74" t="s">
        <v>942</v>
      </c>
      <c r="F74" t="s">
        <v>109</v>
      </c>
      <c r="G74" s="245" t="str" cm="1">
        <f t="array" ref="G74">IF(IFERROR(INDEX(LAM_II_SQFT, MATCH(Crosswalk_API!$A74, LAM_ORG_ID_LIST, 0)), 0) = 0, "No", "Yes")</f>
        <v>Yes</v>
      </c>
      <c r="H74" s="245" t="str">
        <f>IF(OR(G74="Not Applicable", IFERROR(INDEX('Landing Page and Navigation'!$F$31:$F$48, MATCH(C74, 'Landing Page and Navigation'!$A$31:$A$48, 0)), "No") = "No"), "No", "Yes")</f>
        <v>No</v>
      </c>
      <c r="I74" s="245" t="str">
        <f>_xlfn.TEXTJOIN(" - ", TRUE, CW_API_TABLE[[#This Row],[PWSID]],CW_API_TABLE[[#This Row],[PWS_NAME]])</f>
        <v>CA5610040 - CAL AMERICAN WATER CO</v>
      </c>
      <c r="J74" s="246" cm="1">
        <f t="array" ref="J74">IFERROR(SUMPRODUCT((PD_PWSID_LIST=Crosswalk_API!$C74)*(PD_SUM_DEL&gt;0)), 0)</f>
        <v>12</v>
      </c>
    </row>
    <row r="75" spans="1:10" x14ac:dyDescent="0.25">
      <c r="A75" s="234" t="s">
        <v>938</v>
      </c>
      <c r="B75" t="s">
        <v>939</v>
      </c>
      <c r="C75" t="s">
        <v>943</v>
      </c>
      <c r="D75" t="s">
        <v>944</v>
      </c>
      <c r="E75" t="s">
        <v>942</v>
      </c>
      <c r="F75" t="s">
        <v>109</v>
      </c>
      <c r="G75" s="245" t="str" cm="1">
        <f t="array" ref="G75">IF(IFERROR(INDEX(LAM_II_SQFT, MATCH(Crosswalk_API!$A75, LAM_ORG_ID_LIST, 0)), 0) = 0, "No", "Yes")</f>
        <v>Yes</v>
      </c>
      <c r="H75" s="245" t="str">
        <f>IF(OR(G75="Not Applicable", IFERROR(INDEX('Landing Page and Navigation'!$F$31:$F$48, MATCH(C75, 'Landing Page and Navigation'!$A$31:$A$48, 0)), "No") = "No"), "No", "Yes")</f>
        <v>No</v>
      </c>
      <c r="I75" s="245" t="str">
        <f>_xlfn.TEXTJOIN(" - ", TRUE, CW_API_TABLE[[#This Row],[PWSID]],CW_API_TABLE[[#This Row],[PWS_NAME]])</f>
        <v>CA5610081 - CAL AMERICAN WC - LAS POSAS ESTATES</v>
      </c>
      <c r="J75" s="246" cm="1">
        <f t="array" ref="J75">IFERROR(SUMPRODUCT((PD_PWSID_LIST=Crosswalk_API!$C75)*(PD_SUM_DEL&gt;0)), 0)</f>
        <v>12</v>
      </c>
    </row>
    <row r="76" spans="1:10" x14ac:dyDescent="0.25">
      <c r="A76" s="234" t="s">
        <v>945</v>
      </c>
      <c r="B76" t="s">
        <v>946</v>
      </c>
      <c r="C76" t="s">
        <v>947</v>
      </c>
      <c r="D76" t="s">
        <v>948</v>
      </c>
      <c r="E76" t="s">
        <v>766</v>
      </c>
      <c r="F76" t="s">
        <v>109</v>
      </c>
      <c r="G76" s="245" t="str" cm="1">
        <f t="array" ref="G76">IF(IFERROR(INDEX(LAM_II_SQFT, MATCH(Crosswalk_API!$A76, LAM_ORG_ID_LIST, 0)), 0) = 0, "No", "Yes")</f>
        <v>Yes</v>
      </c>
      <c r="H76" s="245" t="str">
        <f>IF(OR(G76="Not Applicable", IFERROR(INDEX('Landing Page and Navigation'!$F$31:$F$48, MATCH(C76, 'Landing Page and Navigation'!$A$31:$A$48, 0)), "No") = "No"), "No", "Yes")</f>
        <v>No</v>
      </c>
      <c r="I76" s="245" t="str">
        <f>_xlfn.TEXTJOIN(" - ", TRUE, CW_API_TABLE[[#This Row],[PWSID]],CW_API_TABLE[[#This Row],[PWS_NAME]])</f>
        <v>CA1510032 - CALIFORNIA CITY, CITY OF</v>
      </c>
      <c r="J76" s="246" cm="1">
        <f t="array" ref="J76">IFERROR(SUMPRODUCT((PD_PWSID_LIST=Crosswalk_API!$C76)*(PD_SUM_DEL&gt;0)), 0)</f>
        <v>12</v>
      </c>
    </row>
    <row r="77" spans="1:10" x14ac:dyDescent="0.25">
      <c r="A77" s="234" t="s">
        <v>949</v>
      </c>
      <c r="B77" t="s">
        <v>950</v>
      </c>
      <c r="C77" t="s">
        <v>951</v>
      </c>
      <c r="D77" t="s">
        <v>952</v>
      </c>
      <c r="E77" t="s">
        <v>766</v>
      </c>
      <c r="F77" t="s">
        <v>109</v>
      </c>
      <c r="G77" s="245" t="str" cm="1">
        <f t="array" ref="G77">IF(IFERROR(INDEX(LAM_II_SQFT, MATCH(Crosswalk_API!$A77, LAM_ORG_ID_LIST, 0)), 0) = 0, "No", "Yes")</f>
        <v>Yes</v>
      </c>
      <c r="H77" s="245" t="str">
        <f>IF(OR(G77="Not Applicable", IFERROR(INDEX('Landing Page and Navigation'!$F$31:$F$48, MATCH(C77, 'Landing Page and Navigation'!$A$31:$A$48, 0)), "No") = "No"), "No", "Yes")</f>
        <v>No</v>
      </c>
      <c r="I77" s="245" t="str">
        <f>_xlfn.TEXTJOIN(" - ", TRUE, CW_API_TABLE[[#This Row],[PWSID]],CW_API_TABLE[[#This Row],[PWS_NAME]])</f>
        <v>CA1510003 - CWS - BAKERSFIELD</v>
      </c>
      <c r="J77" s="246" cm="1">
        <f t="array" ref="J77">IFERROR(SUMPRODUCT((PD_PWSID_LIST=Crosswalk_API!$C77)*(PD_SUM_DEL&gt;0)), 0)</f>
        <v>12</v>
      </c>
    </row>
    <row r="78" spans="1:10" x14ac:dyDescent="0.25">
      <c r="A78" s="234" t="s">
        <v>949</v>
      </c>
      <c r="B78" t="s">
        <v>950</v>
      </c>
      <c r="C78" t="s">
        <v>953</v>
      </c>
      <c r="D78" t="s">
        <v>954</v>
      </c>
      <c r="E78" t="s">
        <v>766</v>
      </c>
      <c r="F78" t="s">
        <v>109</v>
      </c>
      <c r="G78" s="245" t="str" cm="1">
        <f t="array" ref="G78">IF(IFERROR(INDEX(LAM_II_SQFT, MATCH(Crosswalk_API!$A78, LAM_ORG_ID_LIST, 0)), 0) = 0, "No", "Yes")</f>
        <v>Yes</v>
      </c>
      <c r="H78" s="245" t="str">
        <f>IF(OR(G78="Not Applicable", IFERROR(INDEX('Landing Page and Navigation'!$F$31:$F$48, MATCH(C78, 'Landing Page and Navigation'!$A$31:$A$48, 0)), "No") = "No"), "No", "Yes")</f>
        <v>No</v>
      </c>
      <c r="I78" s="245" t="str">
        <f>_xlfn.TEXTJOIN(" - ", TRUE, CW_API_TABLE[[#This Row],[PWSID]],CW_API_TABLE[[#This Row],[PWS_NAME]])</f>
        <v>CA1510055 - CWS - NORTH GARDEN</v>
      </c>
      <c r="J78" s="246" cm="1">
        <f t="array" ref="J78">IFERROR(SUMPRODUCT((PD_PWSID_LIST=Crosswalk_API!$C78)*(PD_SUM_DEL&gt;0)), 0)</f>
        <v>12</v>
      </c>
    </row>
    <row r="79" spans="1:10" x14ac:dyDescent="0.25">
      <c r="A79" s="234" t="s">
        <v>955</v>
      </c>
      <c r="B79" t="s">
        <v>956</v>
      </c>
      <c r="C79" t="s">
        <v>957</v>
      </c>
      <c r="D79" t="s">
        <v>958</v>
      </c>
      <c r="E79" t="s">
        <v>862</v>
      </c>
      <c r="F79" t="s">
        <v>109</v>
      </c>
      <c r="G79" s="245" t="str" cm="1">
        <f t="array" ref="G79">IF(IFERROR(INDEX(LAM_II_SQFT, MATCH(Crosswalk_API!$A79, LAM_ORG_ID_LIST, 0)), 0) = 0, "No", "Yes")</f>
        <v>Yes</v>
      </c>
      <c r="H79" s="245" t="str">
        <f>IF(OR(G79="Not Applicable", IFERROR(INDEX('Landing Page and Navigation'!$F$31:$F$48, MATCH(C79, 'Landing Page and Navigation'!$A$31:$A$48, 0)), "No") = "No"), "No", "Yes")</f>
        <v>No</v>
      </c>
      <c r="I79" s="245" t="str">
        <f>_xlfn.TEXTJOIN(" - ", TRUE, CW_API_TABLE[[#This Row],[PWSID]],CW_API_TABLE[[#This Row],[PWS_NAME]])</f>
        <v>CA4110006 - CALIFORNIA WATER SERVICE - BEAR GULCH</v>
      </c>
      <c r="J79" s="246" cm="1">
        <f t="array" ref="J79">IFERROR(SUMPRODUCT((PD_PWSID_LIST=Crosswalk_API!$C79)*(PD_SUM_DEL&gt;0)), 0)</f>
        <v>12</v>
      </c>
    </row>
    <row r="80" spans="1:10" x14ac:dyDescent="0.25">
      <c r="A80" s="234" t="s">
        <v>959</v>
      </c>
      <c r="B80" t="s">
        <v>960</v>
      </c>
      <c r="C80" t="s">
        <v>961</v>
      </c>
      <c r="D80" t="s">
        <v>962</v>
      </c>
      <c r="E80" t="s">
        <v>963</v>
      </c>
      <c r="F80" t="s">
        <v>109</v>
      </c>
      <c r="G80" s="245" t="str" cm="1">
        <f t="array" ref="G80">IF(IFERROR(INDEX(LAM_II_SQFT, MATCH(Crosswalk_API!$A80, LAM_ORG_ID_LIST, 0)), 0) = 0, "No", "Yes")</f>
        <v>Yes</v>
      </c>
      <c r="H80" s="245" t="str">
        <f>IF(OR(G80="Not Applicable", IFERROR(INDEX('Landing Page and Navigation'!$F$31:$F$48, MATCH(C80, 'Landing Page and Navigation'!$A$31:$A$48, 0)), "No") = "No"), "No", "Yes")</f>
        <v>No</v>
      </c>
      <c r="I80" s="245" t="str">
        <f>_xlfn.TEXTJOIN(" - ", TRUE, CW_API_TABLE[[#This Row],[PWSID]],CW_API_TABLE[[#This Row],[PWS_NAME]])</f>
        <v>CA0410002 - CAL-WATER SERVICE CO.-CHICO</v>
      </c>
      <c r="J80" s="246" cm="1">
        <f t="array" ref="J80">IFERROR(SUMPRODUCT((PD_PWSID_LIST=Crosswalk_API!$C80)*(PD_SUM_DEL&gt;0)), 0)</f>
        <v>12</v>
      </c>
    </row>
    <row r="81" spans="1:10" x14ac:dyDescent="0.25">
      <c r="A81" s="234" t="s">
        <v>959</v>
      </c>
      <c r="B81" t="s">
        <v>960</v>
      </c>
      <c r="C81" t="s">
        <v>964</v>
      </c>
      <c r="D81" t="s">
        <v>965</v>
      </c>
      <c r="E81" t="s">
        <v>966</v>
      </c>
      <c r="F81" t="s">
        <v>109</v>
      </c>
      <c r="G81" s="245" t="str" cm="1">
        <f t="array" ref="G81">IF(IFERROR(INDEX(LAM_II_SQFT, MATCH(Crosswalk_API!$A81, LAM_ORG_ID_LIST, 0)), 0) = 0, "No", "Yes")</f>
        <v>Yes</v>
      </c>
      <c r="H81" s="245" t="str">
        <f>IF(OR(G81="Not Applicable", IFERROR(INDEX('Landing Page and Navigation'!$F$31:$F$48, MATCH(C81, 'Landing Page and Navigation'!$A$31:$A$48, 0)), "No") = "No"), "No", "Yes")</f>
        <v>No</v>
      </c>
      <c r="I81" s="245" t="str">
        <f>_xlfn.TEXTJOIN(" - ", TRUE, CW_API_TABLE[[#This Row],[PWSID]],CW_API_TABLE[[#This Row],[PWS_NAME]])</f>
        <v>CA1110002 - CAL-WATER SERVICE CO.-HAMILTON CITY</v>
      </c>
      <c r="J81" s="246" cm="1">
        <f t="array" ref="J81">IFERROR(SUMPRODUCT((PD_PWSID_LIST=Crosswalk_API!$C81)*(PD_SUM_DEL&gt;0)), 0)</f>
        <v>12</v>
      </c>
    </row>
    <row r="82" spans="1:10" x14ac:dyDescent="0.25">
      <c r="A82" s="234" t="s">
        <v>967</v>
      </c>
      <c r="B82" t="s">
        <v>968</v>
      </c>
      <c r="C82" t="s">
        <v>969</v>
      </c>
      <c r="D82" t="s">
        <v>970</v>
      </c>
      <c r="E82" t="s">
        <v>814</v>
      </c>
      <c r="F82" t="s">
        <v>109</v>
      </c>
      <c r="G82" s="245" t="str" cm="1">
        <f t="array" ref="G82">IF(IFERROR(INDEX(LAM_II_SQFT, MATCH(Crosswalk_API!$A82, LAM_ORG_ID_LIST, 0)), 0) = 0, "No", "Yes")</f>
        <v>No</v>
      </c>
      <c r="H82" s="245" t="str">
        <f>IF(OR(G82="Not Applicable", IFERROR(INDEX('Landing Page and Navigation'!$F$31:$F$48, MATCH(C82, 'Landing Page and Navigation'!$A$31:$A$48, 0)), "No") = "No"), "No", "Yes")</f>
        <v>No</v>
      </c>
      <c r="I82" s="245" t="str">
        <f>_xlfn.TEXTJOIN(" - ", TRUE, CW_API_TABLE[[#This Row],[PWSID]],CW_API_TABLE[[#This Row],[PWS_NAME]])</f>
        <v>CA4810002 - CALIFORNIA WATER SERVICE CO. - DIXON</v>
      </c>
      <c r="J82" s="246" cm="1">
        <f t="array" ref="J82">IFERROR(SUMPRODUCT((PD_PWSID_LIST=Crosswalk_API!$C82)*(PD_SUM_DEL&gt;0)), 0)</f>
        <v>12</v>
      </c>
    </row>
    <row r="83" spans="1:10" x14ac:dyDescent="0.25">
      <c r="A83" s="234" t="s">
        <v>971</v>
      </c>
      <c r="B83" t="s">
        <v>972</v>
      </c>
      <c r="C83" t="s">
        <v>973</v>
      </c>
      <c r="D83" t="s">
        <v>974</v>
      </c>
      <c r="E83" t="s">
        <v>708</v>
      </c>
      <c r="F83" t="s">
        <v>109</v>
      </c>
      <c r="G83" s="245" t="str" cm="1">
        <f t="array" ref="G83">IF(IFERROR(INDEX(LAM_II_SQFT, MATCH(Crosswalk_API!$A83, LAM_ORG_ID_LIST, 0)), 0) = 0, "No", "Yes")</f>
        <v>Yes</v>
      </c>
      <c r="H83" s="245" t="str">
        <f>IF(OR(G83="Not Applicable", IFERROR(INDEX('Landing Page and Navigation'!$F$31:$F$48, MATCH(C83, 'Landing Page and Navigation'!$A$31:$A$48, 0)), "No") = "No"), "No", "Yes")</f>
        <v>No</v>
      </c>
      <c r="I83" s="245" t="str">
        <f>_xlfn.TEXTJOIN(" - ", TRUE, CW_API_TABLE[[#This Row],[PWSID]],CW_API_TABLE[[#This Row],[PWS_NAME]])</f>
        <v>CA1910033 - CALIFORNIA WATER SERVICE CO. - DOMINGUEZ</v>
      </c>
      <c r="J83" s="246" cm="1">
        <f t="array" ref="J83">IFERROR(SUMPRODUCT((PD_PWSID_LIST=Crosswalk_API!$C83)*(PD_SUM_DEL&gt;0)), 0)</f>
        <v>12</v>
      </c>
    </row>
    <row r="84" spans="1:10" x14ac:dyDescent="0.25">
      <c r="A84" s="234" t="s">
        <v>975</v>
      </c>
      <c r="B84" t="s">
        <v>976</v>
      </c>
      <c r="C84" t="s">
        <v>977</v>
      </c>
      <c r="D84" t="s">
        <v>978</v>
      </c>
      <c r="E84" t="s">
        <v>708</v>
      </c>
      <c r="F84" t="s">
        <v>109</v>
      </c>
      <c r="G84" s="245" t="str" cm="1">
        <f t="array" ref="G84">IF(IFERROR(INDEX(LAM_II_SQFT, MATCH(Crosswalk_API!$A84, LAM_ORG_ID_LIST, 0)), 0) = 0, "No", "Yes")</f>
        <v>Yes</v>
      </c>
      <c r="H84" s="245" t="str">
        <f>IF(OR(G84="Not Applicable", IFERROR(INDEX('Landing Page and Navigation'!$F$31:$F$48, MATCH(C84, 'Landing Page and Navigation'!$A$31:$A$48, 0)), "No") = "No"), "No", "Yes")</f>
        <v>No</v>
      </c>
      <c r="I84" s="245" t="str">
        <f>_xlfn.TEXTJOIN(" - ", TRUE, CW_API_TABLE[[#This Row],[PWSID]],CW_API_TABLE[[#This Row],[PWS_NAME]])</f>
        <v>CA1910036 - CALIFORNIA WATER SERVICE CO. - ELA</v>
      </c>
      <c r="J84" s="246" cm="1">
        <f t="array" ref="J84">IFERROR(SUMPRODUCT((PD_PWSID_LIST=Crosswalk_API!$C84)*(PD_SUM_DEL&gt;0)), 0)</f>
        <v>12</v>
      </c>
    </row>
    <row r="85" spans="1:10" x14ac:dyDescent="0.25">
      <c r="A85" s="234" t="s">
        <v>979</v>
      </c>
      <c r="B85" t="s">
        <v>980</v>
      </c>
      <c r="C85" t="s">
        <v>981</v>
      </c>
      <c r="D85" t="s">
        <v>982</v>
      </c>
      <c r="E85" t="s">
        <v>708</v>
      </c>
      <c r="F85" t="s">
        <v>109</v>
      </c>
      <c r="G85" s="245" t="str" cm="1">
        <f t="array" ref="G85">IF(IFERROR(INDEX(LAM_II_SQFT, MATCH(Crosswalk_API!$A85, LAM_ORG_ID_LIST, 0)), 0) = 0, "No", "Yes")</f>
        <v>Yes</v>
      </c>
      <c r="H85" s="245" t="str">
        <f>IF(OR(G85="Not Applicable", IFERROR(INDEX('Landing Page and Navigation'!$F$31:$F$48, MATCH(C85, 'Landing Page and Navigation'!$A$31:$A$48, 0)), "No") = "No"), "No", "Yes")</f>
        <v>No</v>
      </c>
      <c r="I85" s="245" t="str">
        <f>_xlfn.TEXTJOIN(" - ", TRUE, CW_API_TABLE[[#This Row],[PWSID]],CW_API_TABLE[[#This Row],[PWS_NAME]])</f>
        <v>CA1910134 - CALIFORNIA WATER SERVICE CO. - HERM/REDO</v>
      </c>
      <c r="J85" s="246" cm="1">
        <f t="array" ref="J85">IFERROR(SUMPRODUCT((PD_PWSID_LIST=Crosswalk_API!$C85)*(PD_SUM_DEL&gt;0)), 0)</f>
        <v>12</v>
      </c>
    </row>
    <row r="86" spans="1:10" x14ac:dyDescent="0.25">
      <c r="A86" s="234" t="s">
        <v>983</v>
      </c>
      <c r="B86" t="s">
        <v>984</v>
      </c>
      <c r="C86" t="s">
        <v>985</v>
      </c>
      <c r="D86" t="s">
        <v>986</v>
      </c>
      <c r="E86" t="s">
        <v>766</v>
      </c>
      <c r="F86" t="s">
        <v>109</v>
      </c>
      <c r="G86" s="245" t="str" cm="1">
        <f t="array" ref="G86">IF(IFERROR(INDEX(LAM_II_SQFT, MATCH(Crosswalk_API!$A86, LAM_ORG_ID_LIST, 0)), 0) = 0, "No", "Yes")</f>
        <v>No</v>
      </c>
      <c r="H86" s="245" t="str">
        <f>IF(OR(G86="Not Applicable", IFERROR(INDEX('Landing Page and Navigation'!$F$31:$F$48, MATCH(C86, 'Landing Page and Navigation'!$A$31:$A$48, 0)), "No") = "No"), "No", "Yes")</f>
        <v>No</v>
      </c>
      <c r="I86" s="245" t="str">
        <f>_xlfn.TEXTJOIN(" - ", TRUE, CW_API_TABLE[[#This Row],[PWSID]],CW_API_TABLE[[#This Row],[PWS_NAME]])</f>
        <v>CA1500407 - CWS-SPLIT MOUNTAIN WATER SYSTEM</v>
      </c>
      <c r="J86" s="246" cm="1">
        <f t="array" ref="J86">IFERROR(SUMPRODUCT((PD_PWSID_LIST=Crosswalk_API!$C86)*(PD_SUM_DEL&gt;0)), 0)</f>
        <v>12</v>
      </c>
    </row>
    <row r="87" spans="1:10" x14ac:dyDescent="0.25">
      <c r="A87" s="234" t="s">
        <v>983</v>
      </c>
      <c r="B87" t="s">
        <v>984</v>
      </c>
      <c r="C87" t="s">
        <v>987</v>
      </c>
      <c r="D87" t="s">
        <v>988</v>
      </c>
      <c r="E87" t="s">
        <v>766</v>
      </c>
      <c r="F87" t="s">
        <v>109</v>
      </c>
      <c r="G87" s="245" t="str" cm="1">
        <f t="array" ref="G87">IF(IFERROR(INDEX(LAM_II_SQFT, MATCH(Crosswalk_API!$A87, LAM_ORG_ID_LIST, 0)), 0) = 0, "No", "Yes")</f>
        <v>No</v>
      </c>
      <c r="H87" s="245" t="str">
        <f>IF(OR(G87="Not Applicable", IFERROR(INDEX('Landing Page and Navigation'!$F$31:$F$48, MATCH(C87, 'Landing Page and Navigation'!$A$31:$A$48, 0)), "No") = "No"), "No", "Yes")</f>
        <v>No</v>
      </c>
      <c r="I87" s="245" t="str">
        <f>_xlfn.TEXTJOIN(" - ", TRUE, CW_API_TABLE[[#This Row],[PWSID]],CW_API_TABLE[[#This Row],[PWS_NAME]])</f>
        <v>CA1510026 - CWS - UPPER BODFISH WATER SYSTEM</v>
      </c>
      <c r="J87" s="246" cm="1">
        <f t="array" ref="J87">IFERROR(SUMPRODUCT((PD_PWSID_LIST=Crosswalk_API!$C87)*(PD_SUM_DEL&gt;0)), 0)</f>
        <v>12</v>
      </c>
    </row>
    <row r="88" spans="1:10" x14ac:dyDescent="0.25">
      <c r="A88" s="234" t="s">
        <v>983</v>
      </c>
      <c r="B88" t="s">
        <v>984</v>
      </c>
      <c r="C88" t="s">
        <v>989</v>
      </c>
      <c r="D88" t="s">
        <v>990</v>
      </c>
      <c r="E88" t="s">
        <v>766</v>
      </c>
      <c r="F88" t="s">
        <v>109</v>
      </c>
      <c r="G88" s="245" t="str" cm="1">
        <f t="array" ref="G88">IF(IFERROR(INDEX(LAM_II_SQFT, MATCH(Crosswalk_API!$A88, LAM_ORG_ID_LIST, 0)), 0) = 0, "No", "Yes")</f>
        <v>No</v>
      </c>
      <c r="H88" s="245" t="str">
        <f>IF(OR(G88="Not Applicable", IFERROR(INDEX('Landing Page and Navigation'!$F$31:$F$48, MATCH(C88, 'Landing Page and Navigation'!$A$31:$A$48, 0)), "No") = "No"), "No", "Yes")</f>
        <v>No</v>
      </c>
      <c r="I88" s="245" t="str">
        <f>_xlfn.TEXTJOIN(" - ", TRUE, CW_API_TABLE[[#This Row],[PWSID]],CW_API_TABLE[[#This Row],[PWS_NAME]])</f>
        <v>CA1510033 - CWS - KERNVILLE</v>
      </c>
      <c r="J88" s="246" cm="1">
        <f t="array" ref="J88">IFERROR(SUMPRODUCT((PD_PWSID_LIST=Crosswalk_API!$C88)*(PD_SUM_DEL&gt;0)), 0)</f>
        <v>12</v>
      </c>
    </row>
    <row r="89" spans="1:10" x14ac:dyDescent="0.25">
      <c r="A89" s="234" t="s">
        <v>983</v>
      </c>
      <c r="B89" t="s">
        <v>984</v>
      </c>
      <c r="C89" t="s">
        <v>991</v>
      </c>
      <c r="D89" t="s">
        <v>992</v>
      </c>
      <c r="E89" t="s">
        <v>766</v>
      </c>
      <c r="F89" t="s">
        <v>109</v>
      </c>
      <c r="G89" s="245" t="str" cm="1">
        <f t="array" ref="G89">IF(IFERROR(INDEX(LAM_II_SQFT, MATCH(Crosswalk_API!$A89, LAM_ORG_ID_LIST, 0)), 0) = 0, "No", "Yes")</f>
        <v>No</v>
      </c>
      <c r="H89" s="245" t="str">
        <f>IF(OR(G89="Not Applicable", IFERROR(INDEX('Landing Page and Navigation'!$F$31:$F$48, MATCH(C89, 'Landing Page and Navigation'!$A$31:$A$48, 0)), "No") = "No"), "No", "Yes")</f>
        <v>No</v>
      </c>
      <c r="I89" s="245" t="str">
        <f>_xlfn.TEXTJOIN(" - ", TRUE, CW_API_TABLE[[#This Row],[PWSID]],CW_API_TABLE[[#This Row],[PWS_NAME]])</f>
        <v>CA1510039 - CWS SOUTHLAKE SYSTEM</v>
      </c>
      <c r="J89" s="246" cm="1">
        <f t="array" ref="J89">IFERROR(SUMPRODUCT((PD_PWSID_LIST=Crosswalk_API!$C89)*(PD_SUM_DEL&gt;0)), 0)</f>
        <v>12</v>
      </c>
    </row>
    <row r="90" spans="1:10" x14ac:dyDescent="0.25">
      <c r="A90" s="234" t="s">
        <v>983</v>
      </c>
      <c r="B90" t="s">
        <v>984</v>
      </c>
      <c r="C90" t="s">
        <v>993</v>
      </c>
      <c r="D90" t="s">
        <v>994</v>
      </c>
      <c r="E90" t="s">
        <v>766</v>
      </c>
      <c r="F90" t="s">
        <v>109</v>
      </c>
      <c r="G90" s="245" t="str" cm="1">
        <f t="array" ref="G90">IF(IFERROR(INDEX(LAM_II_SQFT, MATCH(Crosswalk_API!$A90, LAM_ORG_ID_LIST, 0)), 0) = 0, "No", "Yes")</f>
        <v>No</v>
      </c>
      <c r="H90" s="245" t="str">
        <f>IF(OR(G90="Not Applicable", IFERROR(INDEX('Landing Page and Navigation'!$F$31:$F$48, MATCH(C90, 'Landing Page and Navigation'!$A$31:$A$48, 0)), "No") = "No"), "No", "Yes")</f>
        <v>No</v>
      </c>
      <c r="I90" s="245" t="str">
        <f>_xlfn.TEXTJOIN(" - ", TRUE, CW_API_TABLE[[#This Row],[PWSID]],CW_API_TABLE[[#This Row],[PWS_NAME]])</f>
        <v>CA1510043 - CWS-ONYX WATER SYSTEM</v>
      </c>
      <c r="J90" s="246" cm="1">
        <f t="array" ref="J90">IFERROR(SUMPRODUCT((PD_PWSID_LIST=Crosswalk_API!$C90)*(PD_SUM_DEL&gt;0)), 0)</f>
        <v>12</v>
      </c>
    </row>
    <row r="91" spans="1:10" x14ac:dyDescent="0.25">
      <c r="A91" s="234" t="s">
        <v>983</v>
      </c>
      <c r="B91" t="s">
        <v>984</v>
      </c>
      <c r="C91" t="s">
        <v>995</v>
      </c>
      <c r="D91" t="s">
        <v>996</v>
      </c>
      <c r="E91" t="s">
        <v>766</v>
      </c>
      <c r="F91" t="s">
        <v>109</v>
      </c>
      <c r="G91" s="245" t="str" cm="1">
        <f t="array" ref="G91">IF(IFERROR(INDEX(LAM_II_SQFT, MATCH(Crosswalk_API!$A91, LAM_ORG_ID_LIST, 0)), 0) = 0, "No", "Yes")</f>
        <v>No</v>
      </c>
      <c r="H91" s="245" t="str">
        <f>IF(OR(G91="Not Applicable", IFERROR(INDEX('Landing Page and Navigation'!$F$31:$F$48, MATCH(C91, 'Landing Page and Navigation'!$A$31:$A$48, 0)), "No") = "No"), "No", "Yes")</f>
        <v>No</v>
      </c>
      <c r="I91" s="245" t="str">
        <f>_xlfn.TEXTJOIN(" - ", TRUE, CW_API_TABLE[[#This Row],[PWSID]],CW_API_TABLE[[#This Row],[PWS_NAME]])</f>
        <v>CA1510049 - CWS - LAKELAND</v>
      </c>
      <c r="J91" s="246" cm="1">
        <f t="array" ref="J91">IFERROR(SUMPRODUCT((PD_PWSID_LIST=Crosswalk_API!$C91)*(PD_SUM_DEL&gt;0)), 0)</f>
        <v>12</v>
      </c>
    </row>
    <row r="92" spans="1:10" x14ac:dyDescent="0.25">
      <c r="A92" s="234" t="s">
        <v>983</v>
      </c>
      <c r="B92" t="s">
        <v>984</v>
      </c>
      <c r="C92" t="s">
        <v>997</v>
      </c>
      <c r="D92" t="s">
        <v>998</v>
      </c>
      <c r="E92" t="s">
        <v>766</v>
      </c>
      <c r="F92" t="s">
        <v>109</v>
      </c>
      <c r="G92" s="245" t="str" cm="1">
        <f t="array" ref="G92">IF(IFERROR(INDEX(LAM_II_SQFT, MATCH(Crosswalk_API!$A92, LAM_ORG_ID_LIST, 0)), 0) = 0, "No", "Yes")</f>
        <v>No</v>
      </c>
      <c r="H92" s="245" t="str">
        <f>IF(OR(G92="Not Applicable", IFERROR(INDEX('Landing Page and Navigation'!$F$31:$F$48, MATCH(C92, 'Landing Page and Navigation'!$A$31:$A$48, 0)), "No") = "No"), "No", "Yes")</f>
        <v>No</v>
      </c>
      <c r="I92" s="245" t="str">
        <f>_xlfn.TEXTJOIN(" - ", TRUE, CW_API_TABLE[[#This Row],[PWSID]],CW_API_TABLE[[#This Row],[PWS_NAME]])</f>
        <v>CA1510056 - CWS - LOWER BODFISH WATER SYSTEM</v>
      </c>
      <c r="J92" s="246" cm="1">
        <f t="array" ref="J92">IFERROR(SUMPRODUCT((PD_PWSID_LIST=Crosswalk_API!$C92)*(PD_SUM_DEL&gt;0)), 0)</f>
        <v>11</v>
      </c>
    </row>
    <row r="93" spans="1:10" x14ac:dyDescent="0.25">
      <c r="A93" s="234" t="s">
        <v>999</v>
      </c>
      <c r="B93" t="s">
        <v>1000</v>
      </c>
      <c r="C93" t="s">
        <v>1001</v>
      </c>
      <c r="D93" t="s">
        <v>1002</v>
      </c>
      <c r="E93" t="s">
        <v>698</v>
      </c>
      <c r="F93" t="s">
        <v>109</v>
      </c>
      <c r="G93" s="245" t="str" cm="1">
        <f t="array" ref="G93">IF(IFERROR(INDEX(LAM_II_SQFT, MATCH(Crosswalk_API!$A93, LAM_ORG_ID_LIST, 0)), 0) = 0, "No", "Yes")</f>
        <v>Yes</v>
      </c>
      <c r="H93" s="245" t="str">
        <f>IF(OR(G93="Not Applicable", IFERROR(INDEX('Landing Page and Navigation'!$F$31:$F$48, MATCH(C93, 'Landing Page and Navigation'!$A$31:$A$48, 0)), "No") = "No"), "No", "Yes")</f>
        <v>No</v>
      </c>
      <c r="I93" s="245" t="str">
        <f>_xlfn.TEXTJOIN(" - ", TRUE, CW_API_TABLE[[#This Row],[PWSID]],CW_API_TABLE[[#This Row],[PWS_NAME]])</f>
        <v>CA0110003 - CALIFORNIA WATER SERVICE - LIVERMORE</v>
      </c>
      <c r="J93" s="246" cm="1">
        <f t="array" ref="J93">IFERROR(SUMPRODUCT((PD_PWSID_LIST=Crosswalk_API!$C93)*(PD_SUM_DEL&gt;0)), 0)</f>
        <v>12</v>
      </c>
    </row>
    <row r="94" spans="1:10" x14ac:dyDescent="0.25">
      <c r="A94" s="234" t="s">
        <v>1003</v>
      </c>
      <c r="B94" t="s">
        <v>1004</v>
      </c>
      <c r="C94" t="s">
        <v>1005</v>
      </c>
      <c r="D94" t="s">
        <v>1006</v>
      </c>
      <c r="E94" t="s">
        <v>1007</v>
      </c>
      <c r="F94" t="s">
        <v>109</v>
      </c>
      <c r="G94" s="245" t="str" cm="1">
        <f t="array" ref="G94">IF(IFERROR(INDEX(LAM_II_SQFT, MATCH(Crosswalk_API!$A94, LAM_ORG_ID_LIST, 0)), 0) = 0, "No", "Yes")</f>
        <v>Yes</v>
      </c>
      <c r="H94" s="245" t="str">
        <f>IF(OR(G94="Not Applicable", IFERROR(INDEX('Landing Page and Navigation'!$F$31:$F$48, MATCH(C94, 'Landing Page and Navigation'!$A$31:$A$48, 0)), "No") = "No"), "No", "Yes")</f>
        <v>No</v>
      </c>
      <c r="I94" s="245" t="str">
        <f>_xlfn.TEXTJOIN(" - ", TRUE, CW_API_TABLE[[#This Row],[PWSID]],CW_API_TABLE[[#This Row],[PWS_NAME]])</f>
        <v>CA4310001 - CWSC LOS ALTOS SUBURBAN</v>
      </c>
      <c r="J94" s="246" cm="1">
        <f t="array" ref="J94">IFERROR(SUMPRODUCT((PD_PWSID_LIST=Crosswalk_API!$C94)*(PD_SUM_DEL&gt;0)), 0)</f>
        <v>12</v>
      </c>
    </row>
    <row r="95" spans="1:10" x14ac:dyDescent="0.25">
      <c r="A95" s="234" t="s">
        <v>1008</v>
      </c>
      <c r="B95" t="s">
        <v>1009</v>
      </c>
      <c r="C95" t="s">
        <v>1010</v>
      </c>
      <c r="D95" t="s">
        <v>1011</v>
      </c>
      <c r="E95" t="s">
        <v>1012</v>
      </c>
      <c r="F95" t="s">
        <v>109</v>
      </c>
      <c r="G95" s="245" t="str" cm="1">
        <f t="array" ref="G95">IF(IFERROR(INDEX(LAM_II_SQFT, MATCH(Crosswalk_API!$A95, LAM_ORG_ID_LIST, 0)), 0) = 0, "No", "Yes")</f>
        <v>Yes</v>
      </c>
      <c r="H95" s="245" t="str">
        <f>IF(OR(G95="Not Applicable", IFERROR(INDEX('Landing Page and Navigation'!$F$31:$F$48, MATCH(C95, 'Landing Page and Navigation'!$A$31:$A$48, 0)), "No") = "No"), "No", "Yes")</f>
        <v>No</v>
      </c>
      <c r="I95" s="245" t="str">
        <f>_xlfn.TEXTJOIN(" - ", TRUE, CW_API_TABLE[[#This Row],[PWSID]],CW_API_TABLE[[#This Row],[PWS_NAME]])</f>
        <v>CA5810001 - CAL-WATER SERVICE CO.-MARYSVILLE</v>
      </c>
      <c r="J95" s="246" cm="1">
        <f t="array" ref="J95">IFERROR(SUMPRODUCT((PD_PWSID_LIST=Crosswalk_API!$C95)*(PD_SUM_DEL&gt;0)), 0)</f>
        <v>12</v>
      </c>
    </row>
    <row r="96" spans="1:10" x14ac:dyDescent="0.25">
      <c r="A96" s="234" t="s">
        <v>1013</v>
      </c>
      <c r="B96" t="s">
        <v>1014</v>
      </c>
      <c r="C96" t="s">
        <v>1015</v>
      </c>
      <c r="D96" t="s">
        <v>1016</v>
      </c>
      <c r="E96" t="s">
        <v>963</v>
      </c>
      <c r="F96" t="s">
        <v>109</v>
      </c>
      <c r="G96" s="245" t="str" cm="1">
        <f t="array" ref="G96">IF(IFERROR(INDEX(LAM_II_SQFT, MATCH(Crosswalk_API!$A96, LAM_ORG_ID_LIST, 0)), 0) = 0, "No", "Yes")</f>
        <v>Yes</v>
      </c>
      <c r="H96" s="245" t="str">
        <f>IF(OR(G96="Not Applicable", IFERROR(INDEX('Landing Page and Navigation'!$F$31:$F$48, MATCH(C96, 'Landing Page and Navigation'!$A$31:$A$48, 0)), "No") = "No"), "No", "Yes")</f>
        <v>No</v>
      </c>
      <c r="I96" s="245" t="str">
        <f>_xlfn.TEXTJOIN(" - ", TRUE, CW_API_TABLE[[#This Row],[PWSID]],CW_API_TABLE[[#This Row],[PWS_NAME]])</f>
        <v>CA0410005 - CAL-WATER SERVICE CO.-OROVILLE</v>
      </c>
      <c r="J96" s="246" cm="1">
        <f t="array" ref="J96">IFERROR(SUMPRODUCT((PD_PWSID_LIST=Crosswalk_API!$C96)*(PD_SUM_DEL&gt;0)), 0)</f>
        <v>12</v>
      </c>
    </row>
    <row r="97" spans="1:10" x14ac:dyDescent="0.25">
      <c r="A97" s="234" t="s">
        <v>1017</v>
      </c>
      <c r="B97" t="s">
        <v>1018</v>
      </c>
      <c r="C97" t="s">
        <v>1019</v>
      </c>
      <c r="D97" t="s">
        <v>1020</v>
      </c>
      <c r="E97" t="s">
        <v>708</v>
      </c>
      <c r="F97" t="s">
        <v>109</v>
      </c>
      <c r="G97" s="245" t="str" cm="1">
        <f t="array" ref="G97">IF(IFERROR(INDEX(LAM_II_SQFT, MATCH(Crosswalk_API!$A97, LAM_ORG_ID_LIST, 0)), 0) = 0, "No", "Yes")</f>
        <v>Yes</v>
      </c>
      <c r="H97" s="245" t="str">
        <f>IF(OR(G97="Not Applicable", IFERROR(INDEX('Landing Page and Navigation'!$F$31:$F$48, MATCH(C97, 'Landing Page and Navigation'!$A$31:$A$48, 0)), "No") = "No"), "No", "Yes")</f>
        <v>No</v>
      </c>
      <c r="I97" s="245" t="str">
        <f>_xlfn.TEXTJOIN(" - ", TRUE, CW_API_TABLE[[#This Row],[PWSID]],CW_API_TABLE[[#This Row],[PWS_NAME]])</f>
        <v>CA1910104 - CALIFORNIA WATER SERVICE CO. - PALOS VER</v>
      </c>
      <c r="J97" s="246" cm="1">
        <f t="array" ref="J97">IFERROR(SUMPRODUCT((PD_PWSID_LIST=Crosswalk_API!$C97)*(PD_SUM_DEL&gt;0)), 0)</f>
        <v>12</v>
      </c>
    </row>
    <row r="98" spans="1:10" x14ac:dyDescent="0.25">
      <c r="A98" s="234" t="s">
        <v>1021</v>
      </c>
      <c r="B98" t="s">
        <v>1022</v>
      </c>
      <c r="C98" t="s">
        <v>1023</v>
      </c>
      <c r="D98" t="s">
        <v>1024</v>
      </c>
      <c r="E98" t="s">
        <v>703</v>
      </c>
      <c r="F98" t="s">
        <v>109</v>
      </c>
      <c r="G98" s="245" t="str" cm="1">
        <f t="array" ref="G98">IF(IFERROR(INDEX(LAM_II_SQFT, MATCH(Crosswalk_API!$A98, LAM_ORG_ID_LIST, 0)), 0) = 0, "No", "Yes")</f>
        <v>Yes</v>
      </c>
      <c r="H98" s="245" t="str">
        <f>IF(OR(G98="Not Applicable", IFERROR(INDEX('Landing Page and Navigation'!$F$31:$F$48, MATCH(C98, 'Landing Page and Navigation'!$A$31:$A$48, 0)), "No") = "No"), "No", "Yes")</f>
        <v>No</v>
      </c>
      <c r="I98" s="245" t="str">
        <f>_xlfn.TEXTJOIN(" - ", TRUE, CW_API_TABLE[[#This Row],[PWSID]],CW_API_TABLE[[#This Row],[PWS_NAME]])</f>
        <v>CA2701929 - COUNTRY MEADOWS MWC</v>
      </c>
      <c r="J98" s="246" cm="1">
        <f t="array" ref="J98">IFERROR(SUMPRODUCT((PD_PWSID_LIST=Crosswalk_API!$C98)*(PD_SUM_DEL&gt;0)), 0)</f>
        <v>12</v>
      </c>
    </row>
    <row r="99" spans="1:10" x14ac:dyDescent="0.25">
      <c r="A99" s="234" t="s">
        <v>1021</v>
      </c>
      <c r="B99" t="s">
        <v>1022</v>
      </c>
      <c r="C99" t="s">
        <v>1025</v>
      </c>
      <c r="D99" t="s">
        <v>1026</v>
      </c>
      <c r="E99" t="s">
        <v>703</v>
      </c>
      <c r="F99" t="s">
        <v>109</v>
      </c>
      <c r="G99" s="245" t="str" cm="1">
        <f t="array" ref="G99">IF(IFERROR(INDEX(LAM_II_SQFT, MATCH(Crosswalk_API!$A99, LAM_ORG_ID_LIST, 0)), 0) = 0, "No", "Yes")</f>
        <v>Yes</v>
      </c>
      <c r="H99" s="245" t="str">
        <f>IF(OR(G99="Not Applicable", IFERROR(INDEX('Landing Page and Navigation'!$F$31:$F$48, MATCH(C99, 'Landing Page and Navigation'!$A$31:$A$48, 0)), "No") = "No"), "No", "Yes")</f>
        <v>No</v>
      </c>
      <c r="I99" s="245" t="str">
        <f>_xlfn.TEXTJOIN(" - ", TRUE, CW_API_TABLE[[#This Row],[PWSID]],CW_API_TABLE[[#This Row],[PWS_NAME]])</f>
        <v>CA2710010 - CWSC SALINAS</v>
      </c>
      <c r="J99" s="246" cm="1">
        <f t="array" ref="J99">IFERROR(SUMPRODUCT((PD_PWSID_LIST=Crosswalk_API!$C99)*(PD_SUM_DEL&gt;0)), 0)</f>
        <v>12</v>
      </c>
    </row>
    <row r="100" spans="1:10" x14ac:dyDescent="0.25">
      <c r="A100" s="234" t="s">
        <v>1021</v>
      </c>
      <c r="B100" t="s">
        <v>1022</v>
      </c>
      <c r="C100" t="s">
        <v>1027</v>
      </c>
      <c r="D100" t="s">
        <v>1028</v>
      </c>
      <c r="E100" t="s">
        <v>703</v>
      </c>
      <c r="F100" t="s">
        <v>109</v>
      </c>
      <c r="G100" s="245" t="str" cm="1">
        <f t="array" ref="G100">IF(IFERROR(INDEX(LAM_II_SQFT, MATCH(Crosswalk_API!$A100, LAM_ORG_ID_LIST, 0)), 0) = 0, "No", "Yes")</f>
        <v>Yes</v>
      </c>
      <c r="H100" s="245" t="str">
        <f>IF(OR(G100="Not Applicable", IFERROR(INDEX('Landing Page and Navigation'!$F$31:$F$48, MATCH(C100, 'Landing Page and Navigation'!$A$31:$A$48, 0)), "No") = "No"), "No", "Yes")</f>
        <v>No</v>
      </c>
      <c r="I100" s="245" t="str">
        <f>_xlfn.TEXTJOIN(" - ", TRUE, CW_API_TABLE[[#This Row],[PWSID]],CW_API_TABLE[[#This Row],[PWS_NAME]])</f>
        <v>CA2710012 - CWSC SALINAS HILLS</v>
      </c>
      <c r="J100" s="246" cm="1">
        <f t="array" ref="J100">IFERROR(SUMPRODUCT((PD_PWSID_LIST=Crosswalk_API!$C100)*(PD_SUM_DEL&gt;0)), 0)</f>
        <v>12</v>
      </c>
    </row>
    <row r="101" spans="1:10" x14ac:dyDescent="0.25">
      <c r="A101" s="234" t="s">
        <v>1021</v>
      </c>
      <c r="B101" t="s">
        <v>1022</v>
      </c>
      <c r="C101" t="s">
        <v>1029</v>
      </c>
      <c r="D101" t="s">
        <v>1030</v>
      </c>
      <c r="E101" t="s">
        <v>703</v>
      </c>
      <c r="F101" t="s">
        <v>109</v>
      </c>
      <c r="G101" s="245" t="str" cm="1">
        <f t="array" ref="G101">IF(IFERROR(INDEX(LAM_II_SQFT, MATCH(Crosswalk_API!$A101, LAM_ORG_ID_LIST, 0)), 0) = 0, "No", "Yes")</f>
        <v>Yes</v>
      </c>
      <c r="H101" s="245" t="str">
        <f>IF(OR(G101="Not Applicable", IFERROR(INDEX('Landing Page and Navigation'!$F$31:$F$48, MATCH(C101, 'Landing Page and Navigation'!$A$31:$A$48, 0)), "No") = "No"), "No", "Yes")</f>
        <v>No</v>
      </c>
      <c r="I101" s="245" t="str">
        <f>_xlfn.TEXTJOIN(" - ", TRUE, CW_API_TABLE[[#This Row],[PWSID]],CW_API_TABLE[[#This Row],[PWS_NAME]])</f>
        <v>CA2710013 - CWSC LAS LOMAS</v>
      </c>
      <c r="J101" s="246" cm="1">
        <f t="array" ref="J101">IFERROR(SUMPRODUCT((PD_PWSID_LIST=Crosswalk_API!$C101)*(PD_SUM_DEL&gt;0)), 0)</f>
        <v>12</v>
      </c>
    </row>
    <row r="102" spans="1:10" x14ac:dyDescent="0.25">
      <c r="A102" s="234" t="s">
        <v>1021</v>
      </c>
      <c r="B102" t="s">
        <v>1022</v>
      </c>
      <c r="C102" t="s">
        <v>1031</v>
      </c>
      <c r="D102" t="s">
        <v>1032</v>
      </c>
      <c r="E102" t="s">
        <v>703</v>
      </c>
      <c r="F102" t="s">
        <v>109</v>
      </c>
      <c r="G102" s="245" t="str" cm="1">
        <f t="array" ref="G102">IF(IFERROR(INDEX(LAM_II_SQFT, MATCH(Crosswalk_API!$A102, LAM_ORG_ID_LIST, 0)), 0) = 0, "No", "Yes")</f>
        <v>Yes</v>
      </c>
      <c r="H102" s="245" t="str">
        <f>IF(OR(G102="Not Applicable", IFERROR(INDEX('Landing Page and Navigation'!$F$31:$F$48, MATCH(C102, 'Landing Page and Navigation'!$A$31:$A$48, 0)), "No") = "No"), "No", "Yes")</f>
        <v>No</v>
      </c>
      <c r="I102" s="245" t="str">
        <f>_xlfn.TEXTJOIN(" - ", TRUE, CW_API_TABLE[[#This Row],[PWSID]],CW_API_TABLE[[#This Row],[PWS_NAME]])</f>
        <v>CA2710019 - CWSC OAK HILLS</v>
      </c>
      <c r="J102" s="246" cm="1">
        <f t="array" ref="J102">IFERROR(SUMPRODUCT((PD_PWSID_LIST=Crosswalk_API!$C102)*(PD_SUM_DEL&gt;0)), 0)</f>
        <v>12</v>
      </c>
    </row>
    <row r="103" spans="1:10" x14ac:dyDescent="0.25">
      <c r="A103" s="234" t="s">
        <v>1033</v>
      </c>
      <c r="B103" t="s">
        <v>1034</v>
      </c>
      <c r="C103" t="s">
        <v>1035</v>
      </c>
      <c r="D103" t="s">
        <v>1036</v>
      </c>
      <c r="E103" t="s">
        <v>862</v>
      </c>
      <c r="F103" t="s">
        <v>109</v>
      </c>
      <c r="G103" s="245" t="str" cm="1">
        <f t="array" ref="G103">IF(IFERROR(INDEX(LAM_II_SQFT, MATCH(Crosswalk_API!$A103, LAM_ORG_ID_LIST, 0)), 0) = 0, "No", "Yes")</f>
        <v>Yes</v>
      </c>
      <c r="H103" s="245" t="str">
        <f>IF(OR(G103="Not Applicable", IFERROR(INDEX('Landing Page and Navigation'!$F$31:$F$48, MATCH(C103, 'Landing Page and Navigation'!$A$31:$A$48, 0)), "No") = "No"), "No", "Yes")</f>
        <v>No</v>
      </c>
      <c r="I103" s="245" t="str">
        <f>_xlfn.TEXTJOIN(" - ", TRUE, CW_API_TABLE[[#This Row],[PWSID]],CW_API_TABLE[[#This Row],[PWS_NAME]])</f>
        <v>CA4110007 - CALIFORNIA WATER SERVICE - SAN CARLOS</v>
      </c>
      <c r="J103" s="246" cm="1">
        <f t="array" ref="J103">IFERROR(SUMPRODUCT((PD_PWSID_LIST=Crosswalk_API!$C103)*(PD_SUM_DEL&gt;0)), 0)</f>
        <v>12</v>
      </c>
    </row>
    <row r="104" spans="1:10" x14ac:dyDescent="0.25">
      <c r="A104" s="234" t="s">
        <v>1033</v>
      </c>
      <c r="B104" t="s">
        <v>1034</v>
      </c>
      <c r="C104" t="s">
        <v>1037</v>
      </c>
      <c r="D104" t="s">
        <v>1038</v>
      </c>
      <c r="E104" t="s">
        <v>862</v>
      </c>
      <c r="F104" t="s">
        <v>109</v>
      </c>
      <c r="G104" s="245" t="str" cm="1">
        <f t="array" ref="G104">IF(IFERROR(INDEX(LAM_II_SQFT, MATCH(Crosswalk_API!$A104, LAM_ORG_ID_LIST, 0)), 0) = 0, "No", "Yes")</f>
        <v>Yes</v>
      </c>
      <c r="H104" s="245" t="str">
        <f>IF(OR(G104="Not Applicable", IFERROR(INDEX('Landing Page and Navigation'!$F$31:$F$48, MATCH(C104, 'Landing Page and Navigation'!$A$31:$A$48, 0)), "No") = "No"), "No", "Yes")</f>
        <v>No</v>
      </c>
      <c r="I104" s="245" t="str">
        <f>_xlfn.TEXTJOIN(" - ", TRUE, CW_API_TABLE[[#This Row],[PWSID]],CW_API_TABLE[[#This Row],[PWS_NAME]])</f>
        <v>CA4110008 - CALIFORNIA WATER SERVICE - SAN MATEO</v>
      </c>
      <c r="J104" s="246" cm="1">
        <f t="array" ref="J104">IFERROR(SUMPRODUCT((PD_PWSID_LIST=Crosswalk_API!$C104)*(PD_SUM_DEL&gt;0)), 0)</f>
        <v>12</v>
      </c>
    </row>
    <row r="105" spans="1:10" x14ac:dyDescent="0.25">
      <c r="A105" s="234" t="s">
        <v>1039</v>
      </c>
      <c r="B105" t="s">
        <v>1040</v>
      </c>
      <c r="C105" t="s">
        <v>1041</v>
      </c>
      <c r="D105" t="s">
        <v>1042</v>
      </c>
      <c r="E105" t="s">
        <v>788</v>
      </c>
      <c r="F105" t="s">
        <v>109</v>
      </c>
      <c r="G105" s="245" t="str" cm="1">
        <f t="array" ref="G105">IF(IFERROR(INDEX(LAM_II_SQFT, MATCH(Crosswalk_API!$A105, LAM_ORG_ID_LIST, 0)), 0) = 0, "No", "Yes")</f>
        <v>Yes</v>
      </c>
      <c r="H105" s="245" t="str">
        <f>IF(OR(G105="Not Applicable", IFERROR(INDEX('Landing Page and Navigation'!$F$31:$F$48, MATCH(C105, 'Landing Page and Navigation'!$A$31:$A$48, 0)), "No") = "No"), "No", "Yes")</f>
        <v>No</v>
      </c>
      <c r="I105" s="245" t="str">
        <f>_xlfn.TEXTJOIN(" - ", TRUE, CW_API_TABLE[[#This Row],[PWSID]],CW_API_TABLE[[#This Row],[PWS_NAME]])</f>
        <v>CA1010024 - CWS - SELMA</v>
      </c>
      <c r="J105" s="246" cm="1">
        <f t="array" ref="J105">IFERROR(SUMPRODUCT((PD_PWSID_LIST=Crosswalk_API!$C105)*(PD_SUM_DEL&gt;0)), 0)</f>
        <v>12</v>
      </c>
    </row>
    <row r="106" spans="1:10" x14ac:dyDescent="0.25">
      <c r="A106" s="234" t="s">
        <v>1043</v>
      </c>
      <c r="B106" t="s">
        <v>1044</v>
      </c>
      <c r="C106" t="s">
        <v>1045</v>
      </c>
      <c r="D106" t="s">
        <v>1046</v>
      </c>
      <c r="E106" t="s">
        <v>862</v>
      </c>
      <c r="F106" t="s">
        <v>109</v>
      </c>
      <c r="G106" s="245" t="str" cm="1">
        <f t="array" ref="G106">IF(IFERROR(INDEX(LAM_II_SQFT, MATCH(Crosswalk_API!$A106, LAM_ORG_ID_LIST, 0)), 0) = 0, "No", "Yes")</f>
        <v>Yes</v>
      </c>
      <c r="H106" s="245" t="str">
        <f>IF(OR(G106="Not Applicable", IFERROR(INDEX('Landing Page and Navigation'!$F$31:$F$48, MATCH(C106, 'Landing Page and Navigation'!$A$31:$A$48, 0)), "No") = "No"), "No", "Yes")</f>
        <v>No</v>
      </c>
      <c r="I106" s="245" t="str">
        <f>_xlfn.TEXTJOIN(" - ", TRUE, CW_API_TABLE[[#This Row],[PWSID]],CW_API_TABLE[[#This Row],[PWS_NAME]])</f>
        <v>CA4110009 - CALIFORNIA WATER SERVICE-S SAN FRANCISCO</v>
      </c>
      <c r="J106" s="246" cm="1">
        <f t="array" ref="J106">IFERROR(SUMPRODUCT((PD_PWSID_LIST=Crosswalk_API!$C106)*(PD_SUM_DEL&gt;0)), 0)</f>
        <v>12</v>
      </c>
    </row>
    <row r="107" spans="1:10" x14ac:dyDescent="0.25">
      <c r="A107" s="234" t="s">
        <v>1047</v>
      </c>
      <c r="B107" t="s">
        <v>1048</v>
      </c>
      <c r="C107" t="s">
        <v>1049</v>
      </c>
      <c r="D107" t="s">
        <v>1050</v>
      </c>
      <c r="E107" t="s">
        <v>1051</v>
      </c>
      <c r="F107" t="s">
        <v>109</v>
      </c>
      <c r="G107" s="245" t="str" cm="1">
        <f t="array" ref="G107">IF(IFERROR(INDEX(LAM_II_SQFT, MATCH(Crosswalk_API!$A107, LAM_ORG_ID_LIST, 0)), 0) = 0, "No", "Yes")</f>
        <v>Yes</v>
      </c>
      <c r="H107" s="245" t="str">
        <f>IF(OR(G107="Not Applicable", IFERROR(INDEX('Landing Page and Navigation'!$F$31:$F$48, MATCH(C107, 'Landing Page and Navigation'!$A$31:$A$48, 0)), "No") = "No"), "No", "Yes")</f>
        <v>No</v>
      </c>
      <c r="I107" s="245" t="str">
        <f>_xlfn.TEXTJOIN(" - ", TRUE, CW_API_TABLE[[#This Row],[PWSID]],CW_API_TABLE[[#This Row],[PWS_NAME]])</f>
        <v>CA3910001 - CALIFORNIA WATER SERVICE - STOCKTON</v>
      </c>
      <c r="J107" s="246" cm="1">
        <f t="array" ref="J107">IFERROR(SUMPRODUCT((PD_PWSID_LIST=Crosswalk_API!$C107)*(PD_SUM_DEL&gt;0)), 0)</f>
        <v>12</v>
      </c>
    </row>
    <row r="108" spans="1:10" x14ac:dyDescent="0.25">
      <c r="A108" s="234" t="s">
        <v>1052</v>
      </c>
      <c r="B108" t="s">
        <v>1053</v>
      </c>
      <c r="C108" t="s">
        <v>1054</v>
      </c>
      <c r="D108" t="s">
        <v>1055</v>
      </c>
      <c r="E108" t="s">
        <v>1056</v>
      </c>
      <c r="F108" t="s">
        <v>109</v>
      </c>
      <c r="G108" s="245" t="str" cm="1">
        <f t="array" ref="G108">IF(IFERROR(INDEX(LAM_II_SQFT, MATCH(Crosswalk_API!$A108, LAM_ORG_ID_LIST, 0)), 0) = 0, "No", "Yes")</f>
        <v>Yes</v>
      </c>
      <c r="H108" s="245" t="str">
        <f>IF(OR(G108="Not Applicable", IFERROR(INDEX('Landing Page and Navigation'!$F$31:$F$48, MATCH(C108, 'Landing Page and Navigation'!$A$31:$A$48, 0)), "No") = "No"), "No", "Yes")</f>
        <v>No</v>
      </c>
      <c r="I108" s="245" t="str">
        <f>_xlfn.TEXTJOIN(" - ", TRUE, CW_API_TABLE[[#This Row],[PWSID]],CW_API_TABLE[[#This Row],[PWS_NAME]])</f>
        <v>CA5400935 - CWS - MULLEN WATER COMPANY</v>
      </c>
      <c r="J108" s="246" cm="1">
        <f t="array" ref="J108">IFERROR(SUMPRODUCT((PD_PWSID_LIST=Crosswalk_API!$C108)*(PD_SUM_DEL&gt;0)), 0)</f>
        <v>12</v>
      </c>
    </row>
    <row r="109" spans="1:10" x14ac:dyDescent="0.25">
      <c r="A109" s="234" t="s">
        <v>1052</v>
      </c>
      <c r="B109" t="s">
        <v>1053</v>
      </c>
      <c r="C109" t="s">
        <v>1057</v>
      </c>
      <c r="D109" t="s">
        <v>1058</v>
      </c>
      <c r="E109" t="s">
        <v>1056</v>
      </c>
      <c r="F109" t="s">
        <v>109</v>
      </c>
      <c r="G109" s="245" t="str" cm="1">
        <f t="array" ref="G109">IF(IFERROR(INDEX(LAM_II_SQFT, MATCH(Crosswalk_API!$A109, LAM_ORG_ID_LIST, 0)), 0) = 0, "No", "Yes")</f>
        <v>Yes</v>
      </c>
      <c r="H109" s="245" t="str">
        <f>IF(OR(G109="Not Applicable", IFERROR(INDEX('Landing Page and Navigation'!$F$31:$F$48, MATCH(C109, 'Landing Page and Navigation'!$A$31:$A$48, 0)), "No") = "No"), "No", "Yes")</f>
        <v>No</v>
      </c>
      <c r="I109" s="245" t="str">
        <f>_xlfn.TEXTJOIN(" - ", TRUE, CW_API_TABLE[[#This Row],[PWSID]],CW_API_TABLE[[#This Row],[PWS_NAME]])</f>
        <v>CA5410016 - CWS - VISALIA</v>
      </c>
      <c r="J109" s="246" cm="1">
        <f t="array" ref="J109">IFERROR(SUMPRODUCT((PD_PWSID_LIST=Crosswalk_API!$C109)*(PD_SUM_DEL&gt;0)), 0)</f>
        <v>12</v>
      </c>
    </row>
    <row r="110" spans="1:10" x14ac:dyDescent="0.25">
      <c r="A110" s="234" t="s">
        <v>1052</v>
      </c>
      <c r="B110" t="s">
        <v>1053</v>
      </c>
      <c r="C110" t="s">
        <v>1059</v>
      </c>
      <c r="D110" t="s">
        <v>1060</v>
      </c>
      <c r="E110" t="s">
        <v>1056</v>
      </c>
      <c r="F110" t="s">
        <v>109</v>
      </c>
      <c r="G110" s="245" t="str" cm="1">
        <f t="array" ref="G110">IF(IFERROR(INDEX(LAM_II_SQFT, MATCH(Crosswalk_API!$A110, LAM_ORG_ID_LIST, 0)), 0) = 0, "No", "Yes")</f>
        <v>Yes</v>
      </c>
      <c r="H110" s="245" t="str">
        <f>IF(OR(G110="Not Applicable", IFERROR(INDEX('Landing Page and Navigation'!$F$31:$F$48, MATCH(C110, 'Landing Page and Navigation'!$A$31:$A$48, 0)), "No") = "No"), "No", "Yes")</f>
        <v>No</v>
      </c>
      <c r="I110" s="245" t="str">
        <f>_xlfn.TEXTJOIN(" - ", TRUE, CW_API_TABLE[[#This Row],[PWSID]],CW_API_TABLE[[#This Row],[PWS_NAME]])</f>
        <v>CA5410041 - CWS - TULCO WATER COMPANY</v>
      </c>
      <c r="J110" s="246" cm="1">
        <f t="array" ref="J110">IFERROR(SUMPRODUCT((PD_PWSID_LIST=Crosswalk_API!$C110)*(PD_SUM_DEL&gt;0)), 0)</f>
        <v>12</v>
      </c>
    </row>
    <row r="111" spans="1:10" x14ac:dyDescent="0.25">
      <c r="A111" s="234" t="s">
        <v>1061</v>
      </c>
      <c r="B111" t="s">
        <v>1062</v>
      </c>
      <c r="C111" t="s">
        <v>1063</v>
      </c>
      <c r="D111" t="s">
        <v>1064</v>
      </c>
      <c r="E111" t="s">
        <v>942</v>
      </c>
      <c r="F111" t="s">
        <v>109</v>
      </c>
      <c r="G111" s="245" t="str" cm="1">
        <f t="array" ref="G111">IF(IFERROR(INDEX(LAM_II_SQFT, MATCH(Crosswalk_API!$A111, LAM_ORG_ID_LIST, 0)), 0) = 0, "No", "Yes")</f>
        <v>Yes</v>
      </c>
      <c r="H111" s="245" t="str">
        <f>IF(OR(G111="Not Applicable", IFERROR(INDEX('Landing Page and Navigation'!$F$31:$F$48, MATCH(C111, 'Landing Page and Navigation'!$A$31:$A$48, 0)), "No") = "No"), "No", "Yes")</f>
        <v>No</v>
      </c>
      <c r="I111" s="245" t="str">
        <f>_xlfn.TEXTJOIN(" - ", TRUE, CW_API_TABLE[[#This Row],[PWSID]],CW_API_TABLE[[#This Row],[PWS_NAME]])</f>
        <v>CA5610016 - CALIFORNIA WATER SERVICE CO - WESTLAKE</v>
      </c>
      <c r="J111" s="246" cm="1">
        <f t="array" ref="J111">IFERROR(SUMPRODUCT((PD_PWSID_LIST=Crosswalk_API!$C111)*(PD_SUM_DEL&gt;0)), 0)</f>
        <v>12</v>
      </c>
    </row>
    <row r="112" spans="1:10" x14ac:dyDescent="0.25">
      <c r="A112" s="234" t="s">
        <v>1065</v>
      </c>
      <c r="B112" t="s">
        <v>1066</v>
      </c>
      <c r="C112" t="s">
        <v>1067</v>
      </c>
      <c r="D112" t="s">
        <v>1068</v>
      </c>
      <c r="E112" t="s">
        <v>942</v>
      </c>
      <c r="F112" t="s">
        <v>109</v>
      </c>
      <c r="G112" s="245" t="str" cm="1">
        <f t="array" ref="G112">IF(IFERROR(INDEX(LAM_II_SQFT, MATCH(Crosswalk_API!$A112, LAM_ORG_ID_LIST, 0)), 0) = 0, "No", "Yes")</f>
        <v>Yes</v>
      </c>
      <c r="H112" s="245" t="str">
        <f>IF(OR(G112="Not Applicable", IFERROR(INDEX('Landing Page and Navigation'!$F$31:$F$48, MATCH(C112, 'Landing Page and Navigation'!$A$31:$A$48, 0)), "No") = "No"), "No", "Yes")</f>
        <v>No</v>
      </c>
      <c r="I112" s="245" t="str">
        <f>_xlfn.TEXTJOIN(" - ", TRUE, CW_API_TABLE[[#This Row],[PWSID]],CW_API_TABLE[[#This Row],[PWS_NAME]])</f>
        <v>CA5610019 - CAMARILLO WATER DEPT</v>
      </c>
      <c r="J112" s="246" cm="1">
        <f t="array" ref="J112">IFERROR(SUMPRODUCT((PD_PWSID_LIST=Crosswalk_API!$C112)*(PD_SUM_DEL&gt;0)), 0)</f>
        <v>12</v>
      </c>
    </row>
    <row r="113" spans="1:10" x14ac:dyDescent="0.25">
      <c r="A113" s="234" t="s">
        <v>1069</v>
      </c>
      <c r="B113" t="s">
        <v>1070</v>
      </c>
      <c r="C113" t="s">
        <v>1071</v>
      </c>
      <c r="D113" t="s">
        <v>1072</v>
      </c>
      <c r="E113" t="s">
        <v>761</v>
      </c>
      <c r="F113" t="s">
        <v>109</v>
      </c>
      <c r="G113" s="245" t="str" cm="1">
        <f t="array" ref="G113">IF(IFERROR(INDEX(LAM_II_SQFT, MATCH(Crosswalk_API!$A113, LAM_ORG_ID_LIST, 0)), 0) = 0, "No", "Yes")</f>
        <v>Yes</v>
      </c>
      <c r="H113" s="245" t="str">
        <f>IF(OR(G113="Not Applicable", IFERROR(INDEX('Landing Page and Navigation'!$F$31:$F$48, MATCH(C113, 'Landing Page and Navigation'!$A$31:$A$48, 0)), "No") = "No"), "No", "Yes")</f>
        <v>No</v>
      </c>
      <c r="I113" s="245" t="str">
        <f>_xlfn.TEXTJOIN(" - ", TRUE, CW_API_TABLE[[#This Row],[PWSID]],CW_API_TABLE[[#This Row],[PWS_NAME]])</f>
        <v>CA4010014 - CAMBRIA COMM SERVICES DIST</v>
      </c>
      <c r="J113" s="246" cm="1">
        <f t="array" ref="J113">IFERROR(SUMPRODUCT((PD_PWSID_LIST=Crosswalk_API!$C113)*(PD_SUM_DEL&gt;0)), 0)</f>
        <v>12</v>
      </c>
    </row>
    <row r="114" spans="1:10" x14ac:dyDescent="0.25">
      <c r="A114" s="234" t="s">
        <v>1073</v>
      </c>
      <c r="B114" t="s">
        <v>1074</v>
      </c>
      <c r="C114" t="s">
        <v>1075</v>
      </c>
      <c r="D114" t="s">
        <v>1076</v>
      </c>
      <c r="E114" t="s">
        <v>942</v>
      </c>
      <c r="F114" t="s">
        <v>109</v>
      </c>
      <c r="G114" s="245" t="str" cm="1">
        <f t="array" ref="G114">IF(IFERROR(INDEX(LAM_II_SQFT, MATCH(Crosswalk_API!$A114, LAM_ORG_ID_LIST, 0)), 0) = 0, "No", "Yes")</f>
        <v>Yes</v>
      </c>
      <c r="H114" s="245" t="str">
        <f>IF(OR(G114="Not Applicable", IFERROR(INDEX('Landing Page and Navigation'!$F$31:$F$48, MATCH(C114, 'Landing Page and Navigation'!$A$31:$A$48, 0)), "No") = "No"), "No", "Yes")</f>
        <v>No</v>
      </c>
      <c r="I114" s="245" t="str">
        <f>_xlfn.TEXTJOIN(" - ", TRUE, CW_API_TABLE[[#This Row],[PWSID]],CW_API_TABLE[[#This Row],[PWS_NAME]])</f>
        <v>CA5610063 - CAMROSA WATER DISTRICT</v>
      </c>
      <c r="J114" s="246" cm="1">
        <f t="array" ref="J114">IFERROR(SUMPRODUCT((PD_PWSID_LIST=Crosswalk_API!$C114)*(PD_SUM_DEL&gt;0)), 0)</f>
        <v>12</v>
      </c>
    </row>
    <row r="115" spans="1:10" x14ac:dyDescent="0.25">
      <c r="A115" s="234" t="s">
        <v>1077</v>
      </c>
      <c r="B115" t="s">
        <v>1078</v>
      </c>
      <c r="C115" t="s">
        <v>1079</v>
      </c>
      <c r="D115" t="s">
        <v>1080</v>
      </c>
      <c r="E115" t="s">
        <v>937</v>
      </c>
      <c r="F115" t="s">
        <v>109</v>
      </c>
      <c r="G115" s="245" t="str" cm="1">
        <f t="array" ref="G115">IF(IFERROR(INDEX(LAM_II_SQFT, MATCH(Crosswalk_API!$A115, LAM_ORG_ID_LIST, 0)), 0) = 0, "No", "Yes")</f>
        <v>Yes</v>
      </c>
      <c r="H115" s="245" t="str">
        <f>IF(OR(G115="Not Applicable", IFERROR(INDEX('Landing Page and Navigation'!$F$31:$F$48, MATCH(C115, 'Landing Page and Navigation'!$A$31:$A$48, 0)), "No") = "No"), "No", "Yes")</f>
        <v>No</v>
      </c>
      <c r="I115" s="245" t="str">
        <f>_xlfn.TEXTJOIN(" - ", TRUE, CW_API_TABLE[[#This Row],[PWSID]],CW_API_TABLE[[#This Row],[PWS_NAME]])</f>
        <v>CA3710005 - CARLSBAD MWD</v>
      </c>
      <c r="J115" s="246" cm="1">
        <f t="array" ref="J115">IFERROR(SUMPRODUCT((PD_PWSID_LIST=Crosswalk_API!$C115)*(PD_SUM_DEL&gt;0)), 0)</f>
        <v>12</v>
      </c>
    </row>
    <row r="116" spans="1:10" x14ac:dyDescent="0.25">
      <c r="A116" s="234" t="s">
        <v>1081</v>
      </c>
      <c r="B116" t="s">
        <v>1082</v>
      </c>
      <c r="C116" t="s">
        <v>1083</v>
      </c>
      <c r="D116" t="s">
        <v>1084</v>
      </c>
      <c r="E116" t="s">
        <v>913</v>
      </c>
      <c r="F116" t="s">
        <v>109</v>
      </c>
      <c r="G116" s="245" t="str" cm="1">
        <f t="array" ref="G116">IF(IFERROR(INDEX(LAM_II_SQFT, MATCH(Crosswalk_API!$A116, LAM_ORG_ID_LIST, 0)), 0) = 0, "No", "Yes")</f>
        <v>Yes</v>
      </c>
      <c r="H116" s="245" t="str">
        <f>IF(OR(G116="Not Applicable", IFERROR(INDEX('Landing Page and Navigation'!$F$31:$F$48, MATCH(C116, 'Landing Page and Navigation'!$A$31:$A$48, 0)), "No") = "No"), "No", "Yes")</f>
        <v>No</v>
      </c>
      <c r="I116" s="245" t="str">
        <f>_xlfn.TEXTJOIN(" - ", TRUE, CW_API_TABLE[[#This Row],[PWSID]],CW_API_TABLE[[#This Row],[PWS_NAME]])</f>
        <v>CA3410004 - CARMICHAEL WATER DISTRICT</v>
      </c>
      <c r="J116" s="246" cm="1">
        <f t="array" ref="J116">IFERROR(SUMPRODUCT((PD_PWSID_LIST=Crosswalk_API!$C116)*(PD_SUM_DEL&gt;0)), 0)</f>
        <v>12</v>
      </c>
    </row>
    <row r="117" spans="1:10" x14ac:dyDescent="0.25">
      <c r="A117" s="234" t="s">
        <v>1085</v>
      </c>
      <c r="B117" t="s">
        <v>1086</v>
      </c>
      <c r="C117" t="s">
        <v>1087</v>
      </c>
      <c r="D117" t="s">
        <v>1088</v>
      </c>
      <c r="E117" t="s">
        <v>1089</v>
      </c>
      <c r="F117" t="s">
        <v>109</v>
      </c>
      <c r="G117" s="245" t="str" cm="1">
        <f t="array" ref="G117">IF(IFERROR(INDEX(LAM_II_SQFT, MATCH(Crosswalk_API!$A117, LAM_ORG_ID_LIST, 0)), 0) = 0, "No", "Yes")</f>
        <v>Yes</v>
      </c>
      <c r="H117" s="245" t="str">
        <f>IF(OR(G117="Not Applicable", IFERROR(INDEX('Landing Page and Navigation'!$F$31:$F$48, MATCH(C117, 'Landing Page and Navigation'!$A$31:$A$48, 0)), "No") = "No"), "No", "Yes")</f>
        <v>No</v>
      </c>
      <c r="I117" s="245" t="str">
        <f>_xlfn.TEXTJOIN(" - ", TRUE, CW_API_TABLE[[#This Row],[PWSID]],CW_API_TABLE[[#This Row],[PWS_NAME]])</f>
        <v>CA4210001 - CARPINTERIA VALLEY WATER DISTRICT</v>
      </c>
      <c r="J117" s="246" cm="1">
        <f t="array" ref="J117">IFERROR(SUMPRODUCT((PD_PWSID_LIST=Crosswalk_API!$C117)*(PD_SUM_DEL&gt;0)), 0)</f>
        <v>12</v>
      </c>
    </row>
    <row r="118" spans="1:10" x14ac:dyDescent="0.25">
      <c r="A118" s="234" t="s">
        <v>1090</v>
      </c>
      <c r="B118" t="s">
        <v>1091</v>
      </c>
      <c r="C118" t="s">
        <v>1092</v>
      </c>
      <c r="D118" t="s">
        <v>1093</v>
      </c>
      <c r="E118" t="s">
        <v>942</v>
      </c>
      <c r="F118" t="s">
        <v>109</v>
      </c>
      <c r="G118" s="245" t="str" cm="1">
        <f t="array" ref="G118">IF(IFERROR(INDEX(LAM_II_SQFT, MATCH(Crosswalk_API!$A118, LAM_ORG_ID_LIST, 0)), 0) = 0, "No", "Yes")</f>
        <v>Yes</v>
      </c>
      <c r="H118" s="245" t="str">
        <f>IF(OR(G118="Not Applicable", IFERROR(INDEX('Landing Page and Navigation'!$F$31:$F$48, MATCH(C118, 'Landing Page and Navigation'!$A$31:$A$48, 0)), "No") = "No"), "No", "Yes")</f>
        <v>No</v>
      </c>
      <c r="I118" s="245" t="str">
        <f>_xlfn.TEXTJOIN(" - ", TRUE, CW_API_TABLE[[#This Row],[PWSID]],CW_API_TABLE[[#This Row],[PWS_NAME]])</f>
        <v>CA5610014 - OJAI WATER SYSTEM</v>
      </c>
      <c r="J118" s="246" cm="1">
        <f t="array" ref="J118">IFERROR(SUMPRODUCT((PD_PWSID_LIST=Crosswalk_API!$C118)*(PD_SUM_DEL&gt;0)), 0)</f>
        <v>12</v>
      </c>
    </row>
    <row r="119" spans="1:10" x14ac:dyDescent="0.25">
      <c r="A119" s="234" t="s">
        <v>1090</v>
      </c>
      <c r="B119" t="s">
        <v>1091</v>
      </c>
      <c r="C119" t="s">
        <v>1094</v>
      </c>
      <c r="D119" t="s">
        <v>1095</v>
      </c>
      <c r="E119" t="s">
        <v>942</v>
      </c>
      <c r="F119" t="s">
        <v>109</v>
      </c>
      <c r="G119" s="245" t="str" cm="1">
        <f t="array" ref="G119">IF(IFERROR(INDEX(LAM_II_SQFT, MATCH(Crosswalk_API!$A119, LAM_ORG_ID_LIST, 0)), 0) = 0, "No", "Yes")</f>
        <v>Yes</v>
      </c>
      <c r="H119" s="245" t="str">
        <f>IF(OR(G119="Not Applicable", IFERROR(INDEX('Landing Page and Navigation'!$F$31:$F$48, MATCH(C119, 'Landing Page and Navigation'!$A$31:$A$48, 0)), "No") = "No"), "No", "Yes")</f>
        <v>No</v>
      </c>
      <c r="I119" s="245" t="str">
        <f>_xlfn.TEXTJOIN(" - ", TRUE, CW_API_TABLE[[#This Row],[PWSID]],CW_API_TABLE[[#This Row],[PWS_NAME]])</f>
        <v>CA5610024 - CASITAS MUNICIPAL WATER DIST</v>
      </c>
      <c r="J119" s="246" cm="1">
        <f t="array" ref="J119">IFERROR(SUMPRODUCT((PD_PWSID_LIST=Crosswalk_API!$C119)*(PD_SUM_DEL&gt;0)), 0)</f>
        <v>12</v>
      </c>
    </row>
    <row r="120" spans="1:10" x14ac:dyDescent="0.25">
      <c r="A120" s="234" t="s">
        <v>1096</v>
      </c>
      <c r="B120" t="s">
        <v>1097</v>
      </c>
      <c r="C120" t="s">
        <v>1098</v>
      </c>
      <c r="D120" t="s">
        <v>1099</v>
      </c>
      <c r="E120" t="s">
        <v>1100</v>
      </c>
      <c r="F120" t="s">
        <v>109</v>
      </c>
      <c r="G120" s="245" t="str" cm="1">
        <f t="array" ref="G120">IF(IFERROR(INDEX(LAM_II_SQFT, MATCH(Crosswalk_API!$A120, LAM_ORG_ID_LIST, 0)), 0) = 0, "No", "Yes")</f>
        <v>Yes</v>
      </c>
      <c r="H120" s="245" t="str">
        <f>IF(OR(G120="Not Applicable", IFERROR(INDEX('Landing Page and Navigation'!$F$31:$F$48, MATCH(C120, 'Landing Page and Navigation'!$A$31:$A$48, 0)), "No") = "No"), "No", "Yes")</f>
        <v>No</v>
      </c>
      <c r="I120" s="245" t="str">
        <f>_xlfn.TEXTJOIN(" - ", TRUE, CW_API_TABLE[[#This Row],[PWSID]],CW_API_TABLE[[#This Row],[PWS_NAME]])</f>
        <v>CA5010028 - CERES, CITY OF</v>
      </c>
      <c r="J120" s="246" cm="1">
        <f t="array" ref="J120">IFERROR(SUMPRODUCT((PD_PWSID_LIST=Crosswalk_API!$C120)*(PD_SUM_DEL&gt;0)), 0)</f>
        <v>12</v>
      </c>
    </row>
    <row r="121" spans="1:10" x14ac:dyDescent="0.25">
      <c r="A121" s="234" t="s">
        <v>1101</v>
      </c>
      <c r="B121" t="s">
        <v>1102</v>
      </c>
      <c r="C121" t="s">
        <v>1103</v>
      </c>
      <c r="D121" t="s">
        <v>1104</v>
      </c>
      <c r="E121" t="s">
        <v>708</v>
      </c>
      <c r="F121" t="s">
        <v>109</v>
      </c>
      <c r="G121" s="245" t="str" cm="1">
        <f t="array" ref="G121">IF(IFERROR(INDEX(LAM_II_SQFT, MATCH(Crosswalk_API!$A121, LAM_ORG_ID_LIST, 0)), 0) = 0, "No", "Yes")</f>
        <v>Yes</v>
      </c>
      <c r="H121" s="245" t="str">
        <f>IF(OR(G121="Not Applicable", IFERROR(INDEX('Landing Page and Navigation'!$F$31:$F$48, MATCH(C121, 'Landing Page and Navigation'!$A$31:$A$48, 0)), "No") = "No"), "No", "Yes")</f>
        <v>No</v>
      </c>
      <c r="I121" s="245" t="str">
        <f>_xlfn.TEXTJOIN(" - ", TRUE, CW_API_TABLE[[#This Row],[PWSID]],CW_API_TABLE[[#This Row],[PWS_NAME]])</f>
        <v>CA1910019 - CERRITOS - CITY, WATER DEPT.</v>
      </c>
      <c r="J121" s="246" cm="1">
        <f t="array" ref="J121">IFERROR(SUMPRODUCT((PD_PWSID_LIST=Crosswalk_API!$C121)*(PD_SUM_DEL&gt;0)), 0)</f>
        <v>12</v>
      </c>
    </row>
    <row r="122" spans="1:10" x14ac:dyDescent="0.25">
      <c r="A122" s="234" t="s">
        <v>1105</v>
      </c>
      <c r="B122" t="s">
        <v>1106</v>
      </c>
      <c r="C122" t="s">
        <v>1107</v>
      </c>
      <c r="D122" t="s">
        <v>1108</v>
      </c>
      <c r="E122" t="s">
        <v>693</v>
      </c>
      <c r="F122" t="s">
        <v>109</v>
      </c>
      <c r="G122" s="245" t="str" cm="1">
        <f t="array" ref="G122">IF(IFERROR(INDEX(LAM_II_SQFT, MATCH(Crosswalk_API!$A122, LAM_ORG_ID_LIST, 0)), 0) = 0, "No", "Yes")</f>
        <v>Yes</v>
      </c>
      <c r="H122" s="245" t="str">
        <f>IF(OR(G122="Not Applicable", IFERROR(INDEX('Landing Page and Navigation'!$F$31:$F$48, MATCH(C122, 'Landing Page and Navigation'!$A$31:$A$48, 0)), "No") = "No"), "No", "Yes")</f>
        <v>No</v>
      </c>
      <c r="I122" s="245" t="str">
        <f>_xlfn.TEXTJOIN(" - ", TRUE, CW_API_TABLE[[#This Row],[PWSID]],CW_API_TABLE[[#This Row],[PWS_NAME]])</f>
        <v>CA3610012 - CHINO, CITY OF</v>
      </c>
      <c r="J122" s="246" cm="1">
        <f t="array" ref="J122">IFERROR(SUMPRODUCT((PD_PWSID_LIST=Crosswalk_API!$C122)*(PD_SUM_DEL&gt;0)), 0)</f>
        <v>12</v>
      </c>
    </row>
    <row r="123" spans="1:10" x14ac:dyDescent="0.25">
      <c r="A123" s="234" t="s">
        <v>1109</v>
      </c>
      <c r="B123" t="s">
        <v>1110</v>
      </c>
      <c r="C123" t="s">
        <v>1111</v>
      </c>
      <c r="D123" t="s">
        <v>1112</v>
      </c>
      <c r="E123" t="s">
        <v>693</v>
      </c>
      <c r="F123" t="s">
        <v>109</v>
      </c>
      <c r="G123" s="245" t="str" cm="1">
        <f t="array" ref="G123">IF(IFERROR(INDEX(LAM_II_SQFT, MATCH(Crosswalk_API!$A123, LAM_ORG_ID_LIST, 0)), 0) = 0, "No", "Yes")</f>
        <v>Yes</v>
      </c>
      <c r="H123" s="245" t="str">
        <f>IF(OR(G123="Not Applicable", IFERROR(INDEX('Landing Page and Navigation'!$F$31:$F$48, MATCH(C123, 'Landing Page and Navigation'!$A$31:$A$48, 0)), "No") = "No"), "No", "Yes")</f>
        <v>No</v>
      </c>
      <c r="I123" s="245" t="str">
        <f>_xlfn.TEXTJOIN(" - ", TRUE, CW_API_TABLE[[#This Row],[PWSID]],CW_API_TABLE[[#This Row],[PWS_NAME]])</f>
        <v>CA3610036 - CHINO HILLS, CITY OF</v>
      </c>
      <c r="J123" s="246" cm="1">
        <f t="array" ref="J123">IFERROR(SUMPRODUCT((PD_PWSID_LIST=Crosswalk_API!$C123)*(PD_SUM_DEL&gt;0)), 0)</f>
        <v>12</v>
      </c>
    </row>
    <row r="124" spans="1:10" x14ac:dyDescent="0.25">
      <c r="A124" s="234" t="s">
        <v>1113</v>
      </c>
      <c r="B124" t="s">
        <v>1114</v>
      </c>
      <c r="C124" t="s">
        <v>1115</v>
      </c>
      <c r="D124" t="s">
        <v>1116</v>
      </c>
      <c r="E124" t="s">
        <v>913</v>
      </c>
      <c r="F124" t="s">
        <v>109</v>
      </c>
      <c r="G124" s="245" t="str" cm="1">
        <f t="array" ref="G124">IF(IFERROR(INDEX(LAM_II_SQFT, MATCH(Crosswalk_API!$A124, LAM_ORG_ID_LIST, 0)), 0) = 0, "No", "Yes")</f>
        <v>Yes</v>
      </c>
      <c r="H124" s="245" t="str">
        <f>IF(OR(G124="Not Applicable", IFERROR(INDEX('Landing Page and Navigation'!$F$31:$F$48, MATCH(C124, 'Landing Page and Navigation'!$A$31:$A$48, 0)), "No") = "No"), "No", "Yes")</f>
        <v>No</v>
      </c>
      <c r="I124" s="245" t="str">
        <f>_xlfn.TEXTJOIN(" - ", TRUE, CW_API_TABLE[[#This Row],[PWSID]],CW_API_TABLE[[#This Row],[PWS_NAME]])</f>
        <v>CA3410006 - CITRUS HEIGHTS WATER DISTRICT</v>
      </c>
      <c r="J124" s="246" cm="1">
        <f t="array" ref="J124">IFERROR(SUMPRODUCT((PD_PWSID_LIST=Crosswalk_API!$C124)*(PD_SUM_DEL&gt;0)), 0)</f>
        <v>12</v>
      </c>
    </row>
    <row r="125" spans="1:10" x14ac:dyDescent="0.25">
      <c r="A125" s="234" t="s">
        <v>1117</v>
      </c>
      <c r="B125" t="s">
        <v>1118</v>
      </c>
      <c r="C125" t="s">
        <v>1119</v>
      </c>
      <c r="D125" t="s">
        <v>1120</v>
      </c>
      <c r="E125" t="s">
        <v>1121</v>
      </c>
      <c r="F125" t="s">
        <v>109</v>
      </c>
      <c r="G125" s="245" t="str" cm="1">
        <f t="array" ref="G125">IF(IFERROR(INDEX(LAM_II_SQFT, MATCH(Crosswalk_API!$A125, LAM_ORG_ID_LIST, 0)), 0) = 0, "No", "Yes")</f>
        <v>Yes</v>
      </c>
      <c r="H125" s="245" t="str">
        <f>IF(OR(G125="Not Applicable", IFERROR(INDEX('Landing Page and Navigation'!$F$31:$F$48, MATCH(C125, 'Landing Page and Navigation'!$A$31:$A$48, 0)), "No") = "No"), "No", "Yes")</f>
        <v>No</v>
      </c>
      <c r="I125" s="245" t="str">
        <f>_xlfn.TEXTJOIN(" - ", TRUE, CW_API_TABLE[[#This Row],[PWSID]],CW_API_TABLE[[#This Row],[PWS_NAME]])</f>
        <v>CA4910002 - CLOVERDALE, CITY OF</v>
      </c>
      <c r="J125" s="246" cm="1">
        <f t="array" ref="J125">IFERROR(SUMPRODUCT((PD_PWSID_LIST=Crosswalk_API!$C125)*(PD_SUM_DEL&gt;0)), 0)</f>
        <v>12</v>
      </c>
    </row>
    <row r="126" spans="1:10" x14ac:dyDescent="0.25">
      <c r="A126" s="234" t="s">
        <v>1122</v>
      </c>
      <c r="B126" t="s">
        <v>1123</v>
      </c>
      <c r="C126" t="s">
        <v>1124</v>
      </c>
      <c r="D126" t="s">
        <v>1125</v>
      </c>
      <c r="E126" t="s">
        <v>788</v>
      </c>
      <c r="F126" t="s">
        <v>109</v>
      </c>
      <c r="G126" s="245" t="str" cm="1">
        <f t="array" ref="G126">IF(IFERROR(INDEX(LAM_II_SQFT, MATCH(Crosswalk_API!$A126, LAM_ORG_ID_LIST, 0)), 0) = 0, "No", "Yes")</f>
        <v>Yes</v>
      </c>
      <c r="H126" s="245" t="str">
        <f>IF(OR(G126="Not Applicable", IFERROR(INDEX('Landing Page and Navigation'!$F$31:$F$48, MATCH(C126, 'Landing Page and Navigation'!$A$31:$A$48, 0)), "No") = "No"), "No", "Yes")</f>
        <v>No</v>
      </c>
      <c r="I126" s="245" t="str">
        <f>_xlfn.TEXTJOIN(" - ", TRUE, CW_API_TABLE[[#This Row],[PWSID]],CW_API_TABLE[[#This Row],[PWS_NAME]])</f>
        <v>CA1010003 - CITY OF CLOVIS</v>
      </c>
      <c r="J126" s="246" cm="1">
        <f t="array" ref="J126">IFERROR(SUMPRODUCT((PD_PWSID_LIST=Crosswalk_API!$C126)*(PD_SUM_DEL&gt;0)), 0)</f>
        <v>12</v>
      </c>
    </row>
    <row r="127" spans="1:10" x14ac:dyDescent="0.25">
      <c r="A127" s="234" t="s">
        <v>1126</v>
      </c>
      <c r="B127" t="s">
        <v>1127</v>
      </c>
      <c r="C127" t="s">
        <v>1128</v>
      </c>
      <c r="D127" t="s">
        <v>1129</v>
      </c>
      <c r="E127" t="s">
        <v>793</v>
      </c>
      <c r="F127" t="s">
        <v>109</v>
      </c>
      <c r="G127" s="245" t="str" cm="1">
        <f t="array" ref="G127">IF(IFERROR(INDEX(LAM_II_SQFT, MATCH(Crosswalk_API!$A127, LAM_ORG_ID_LIST, 0)), 0) = 0, "No", "Yes")</f>
        <v>Yes</v>
      </c>
      <c r="H127" s="245" t="str">
        <f>IF(OR(G127="Not Applicable", IFERROR(INDEX('Landing Page and Navigation'!$F$31:$F$48, MATCH(C127, 'Landing Page and Navigation'!$A$31:$A$48, 0)), "No") = "No"), "No", "Yes")</f>
        <v>No</v>
      </c>
      <c r="I127" s="245" t="str">
        <f>_xlfn.TEXTJOIN(" - ", TRUE, CW_API_TABLE[[#This Row],[PWSID]],CW_API_TABLE[[#This Row],[PWS_NAME]])</f>
        <v>CA3310007 - COACHELLA WATER AUTHORITY</v>
      </c>
      <c r="J127" s="246" cm="1">
        <f t="array" ref="J127">IFERROR(SUMPRODUCT((PD_PWSID_LIST=Crosswalk_API!$C127)*(PD_SUM_DEL&gt;0)), 0)</f>
        <v>12</v>
      </c>
    </row>
    <row r="128" spans="1:10" x14ac:dyDescent="0.25">
      <c r="A128" s="234" t="s">
        <v>1130</v>
      </c>
      <c r="B128" t="s">
        <v>1131</v>
      </c>
      <c r="C128" t="s">
        <v>1132</v>
      </c>
      <c r="D128" t="s">
        <v>1133</v>
      </c>
      <c r="E128" t="s">
        <v>793</v>
      </c>
      <c r="F128" t="s">
        <v>109</v>
      </c>
      <c r="G128" s="245" t="str" cm="1">
        <f t="array" ref="G128">IF(IFERROR(INDEX(LAM_II_SQFT, MATCH(Crosswalk_API!$A128, LAM_ORG_ID_LIST, 0)), 0) = 0, "No", "Yes")</f>
        <v>Yes</v>
      </c>
      <c r="H128" s="245" t="str">
        <f>IF(OR(G128="Not Applicable", IFERROR(INDEX('Landing Page and Navigation'!$F$31:$F$48, MATCH(C128, 'Landing Page and Navigation'!$A$31:$A$48, 0)), "No") = "No"), "No", "Yes")</f>
        <v>No</v>
      </c>
      <c r="I128" s="245" t="str">
        <f>_xlfn.TEXTJOIN(" - ", TRUE, CW_API_TABLE[[#This Row],[PWSID]],CW_API_TABLE[[#This Row],[PWS_NAME]])</f>
        <v>CA3310001 - COACHELLA VWD: COVE COMMUNITY</v>
      </c>
      <c r="J128" s="246" cm="1">
        <f t="array" ref="J128">IFERROR(SUMPRODUCT((PD_PWSID_LIST=Crosswalk_API!$C128)*(PD_SUM_DEL&gt;0)), 0)</f>
        <v>12</v>
      </c>
    </row>
    <row r="129" spans="1:10" x14ac:dyDescent="0.25">
      <c r="A129" s="234" t="s">
        <v>1130</v>
      </c>
      <c r="B129" t="s">
        <v>1131</v>
      </c>
      <c r="C129" t="s">
        <v>1134</v>
      </c>
      <c r="D129" t="s">
        <v>1135</v>
      </c>
      <c r="E129" t="s">
        <v>793</v>
      </c>
      <c r="F129" t="s">
        <v>109</v>
      </c>
      <c r="G129" s="245" t="str" cm="1">
        <f t="array" ref="G129">IF(IFERROR(INDEX(LAM_II_SQFT, MATCH(Crosswalk_API!$A129, LAM_ORG_ID_LIST, 0)), 0) = 0, "No", "Yes")</f>
        <v>Yes</v>
      </c>
      <c r="H129" s="245" t="str">
        <f>IF(OR(G129="Not Applicable", IFERROR(INDEX('Landing Page and Navigation'!$F$31:$F$48, MATCH(C129, 'Landing Page and Navigation'!$A$31:$A$48, 0)), "No") = "No"), "No", "Yes")</f>
        <v>No</v>
      </c>
      <c r="I129" s="245" t="str">
        <f>_xlfn.TEXTJOIN(" - ", TRUE, CW_API_TABLE[[#This Row],[PWSID]],CW_API_TABLE[[#This Row],[PWS_NAME]])</f>
        <v>CA3310048 - COACHELLA VWD: I.D. NO. 8</v>
      </c>
      <c r="J129" s="246" cm="1">
        <f t="array" ref="J129">IFERROR(SUMPRODUCT((PD_PWSID_LIST=Crosswalk_API!$C129)*(PD_SUM_DEL&gt;0)), 0)</f>
        <v>12</v>
      </c>
    </row>
    <row r="130" spans="1:10" x14ac:dyDescent="0.25">
      <c r="A130" s="234" t="s">
        <v>1136</v>
      </c>
      <c r="B130" t="s">
        <v>1137</v>
      </c>
      <c r="C130" t="s">
        <v>1138</v>
      </c>
      <c r="D130" t="s">
        <v>1139</v>
      </c>
      <c r="E130" t="s">
        <v>788</v>
      </c>
      <c r="F130" t="s">
        <v>109</v>
      </c>
      <c r="G130" s="245" t="str" cm="1">
        <f t="array" ref="G130">IF(IFERROR(INDEX(LAM_II_SQFT, MATCH(Crosswalk_API!$A130, LAM_ORG_ID_LIST, 0)), 0) = 0, "No", "Yes")</f>
        <v>Yes</v>
      </c>
      <c r="H130" s="245" t="str">
        <f>IF(OR(G130="Not Applicable", IFERROR(INDEX('Landing Page and Navigation'!$F$31:$F$48, MATCH(C130, 'Landing Page and Navigation'!$A$31:$A$48, 0)), "No") = "No"), "No", "Yes")</f>
        <v>No</v>
      </c>
      <c r="I130" s="245" t="str">
        <f>_xlfn.TEXTJOIN(" - ", TRUE, CW_API_TABLE[[#This Row],[PWSID]],CW_API_TABLE[[#This Row],[PWS_NAME]])</f>
        <v>CA1010004 - COALINGA-CITY</v>
      </c>
      <c r="J130" s="246" cm="1">
        <f t="array" ref="J130">IFERROR(SUMPRODUCT((PD_PWSID_LIST=Crosswalk_API!$C130)*(PD_SUM_DEL&gt;0)), 0)</f>
        <v>12</v>
      </c>
    </row>
    <row r="131" spans="1:10" x14ac:dyDescent="0.25">
      <c r="A131" s="234" t="s">
        <v>1140</v>
      </c>
      <c r="B131" t="s">
        <v>1141</v>
      </c>
      <c r="C131" t="s">
        <v>1142</v>
      </c>
      <c r="D131" t="s">
        <v>1143</v>
      </c>
      <c r="E131" t="s">
        <v>862</v>
      </c>
      <c r="F131" t="s">
        <v>109</v>
      </c>
      <c r="G131" s="245" t="str" cm="1">
        <f t="array" ref="G131">IF(IFERROR(INDEX(LAM_II_SQFT, MATCH(Crosswalk_API!$A131, LAM_ORG_ID_LIST, 0)), 0) = 0, "No", "Yes")</f>
        <v>Yes</v>
      </c>
      <c r="H131" s="245" t="str">
        <f>IF(OR(G131="Not Applicable", IFERROR(INDEX('Landing Page and Navigation'!$F$31:$F$48, MATCH(C131, 'Landing Page and Navigation'!$A$31:$A$48, 0)), "No") = "No"), "No", "Yes")</f>
        <v>No</v>
      </c>
      <c r="I131" s="245" t="str">
        <f>_xlfn.TEXTJOIN(" - ", TRUE, CW_API_TABLE[[#This Row],[PWSID]],CW_API_TABLE[[#This Row],[PWS_NAME]])</f>
        <v>CA4110011 - COASTSIDE COUNTY WATER DISTRICT</v>
      </c>
      <c r="J131" s="246" cm="1">
        <f t="array" ref="J131">IFERROR(SUMPRODUCT((PD_PWSID_LIST=Crosswalk_API!$C131)*(PD_SUM_DEL&gt;0)), 0)</f>
        <v>12</v>
      </c>
    </row>
    <row r="132" spans="1:10" x14ac:dyDescent="0.25">
      <c r="A132" s="234" t="s">
        <v>1144</v>
      </c>
      <c r="B132" t="s">
        <v>1145</v>
      </c>
      <c r="C132" t="s">
        <v>1146</v>
      </c>
      <c r="D132" t="s">
        <v>1147</v>
      </c>
      <c r="E132" t="s">
        <v>693</v>
      </c>
      <c r="F132" t="s">
        <v>109</v>
      </c>
      <c r="G132" s="245" t="str" cm="1">
        <f t="array" ref="G132">IF(IFERROR(INDEX(LAM_II_SQFT, MATCH(Crosswalk_API!$A132, LAM_ORG_ID_LIST, 0)), 0) = 0, "No", "Yes")</f>
        <v>Yes</v>
      </c>
      <c r="H132" s="245" t="str">
        <f>IF(OR(G132="Not Applicable", IFERROR(INDEX('Landing Page and Navigation'!$F$31:$F$48, MATCH(C132, 'Landing Page and Navigation'!$A$31:$A$48, 0)), "No") = "No"), "No", "Yes")</f>
        <v>No</v>
      </c>
      <c r="I132" s="245" t="str">
        <f>_xlfn.TEXTJOIN(" - ", TRUE, CW_API_TABLE[[#This Row],[PWSID]],CW_API_TABLE[[#This Row],[PWS_NAME]])</f>
        <v>CA3610014 - COLTON, CITY OF</v>
      </c>
      <c r="J132" s="246" cm="1">
        <f t="array" ref="J132">IFERROR(SUMPRODUCT((PD_PWSID_LIST=Crosswalk_API!$C132)*(PD_SUM_DEL&gt;0)), 0)</f>
        <v>12</v>
      </c>
    </row>
    <row r="133" spans="1:10" x14ac:dyDescent="0.25">
      <c r="A133" s="234" t="s">
        <v>1148</v>
      </c>
      <c r="B133" t="s">
        <v>1149</v>
      </c>
      <c r="C133" t="s">
        <v>1150</v>
      </c>
      <c r="D133" t="s">
        <v>1151</v>
      </c>
      <c r="E133" t="s">
        <v>708</v>
      </c>
      <c r="F133" t="s">
        <v>109</v>
      </c>
      <c r="G133" s="245" t="str" cm="1">
        <f t="array" ref="G133">IF(IFERROR(INDEX(LAM_II_SQFT, MATCH(Crosswalk_API!$A133, LAM_ORG_ID_LIST, 0)), 0) = 0, "No", "Yes")</f>
        <v>Yes</v>
      </c>
      <c r="H133" s="245" t="str">
        <f>IF(OR(G133="Not Applicable", IFERROR(INDEX('Landing Page and Navigation'!$F$31:$F$48, MATCH(C133, 'Landing Page and Navigation'!$A$31:$A$48, 0)), "No") = "No"), "No", "Yes")</f>
        <v>No</v>
      </c>
      <c r="I133" s="245" t="str">
        <f>_xlfn.TEXTJOIN(" - ", TRUE, CW_API_TABLE[[#This Row],[PWSID]],CW_API_TABLE[[#This Row],[PWS_NAME]])</f>
        <v>CA1910026 - COMPTON-CITY, WATER DEPT.</v>
      </c>
      <c r="J133" s="246" cm="1">
        <f t="array" ref="J133">IFERROR(SUMPRODUCT((PD_PWSID_LIST=Crosswalk_API!$C133)*(PD_SUM_DEL&gt;0)), 0)</f>
        <v>12</v>
      </c>
    </row>
    <row r="134" spans="1:10" x14ac:dyDescent="0.25">
      <c r="A134" s="234" t="s">
        <v>1152</v>
      </c>
      <c r="B134" t="s">
        <v>1153</v>
      </c>
      <c r="C134" t="s">
        <v>1154</v>
      </c>
      <c r="D134" t="s">
        <v>1155</v>
      </c>
      <c r="E134" t="s">
        <v>741</v>
      </c>
      <c r="F134" t="s">
        <v>109</v>
      </c>
      <c r="G134" s="245" t="str" cm="1">
        <f t="array" ref="G134">IF(IFERROR(INDEX(LAM_II_SQFT, MATCH(Crosswalk_API!$A134, LAM_ORG_ID_LIST, 0)), 0) = 0, "No", "Yes")</f>
        <v>Yes</v>
      </c>
      <c r="H134" s="245" t="str">
        <f>IF(OR(G134="Not Applicable", IFERROR(INDEX('Landing Page and Navigation'!$F$31:$F$48, MATCH(C134, 'Landing Page and Navigation'!$A$31:$A$48, 0)), "No") = "No"), "No", "Yes")</f>
        <v>No</v>
      </c>
      <c r="I134" s="245" t="str">
        <f>_xlfn.TEXTJOIN(" - ", TRUE, CW_API_TABLE[[#This Row],[PWSID]],CW_API_TABLE[[#This Row],[PWS_NAME]])</f>
        <v>CA0710003 - CONTRA COSTA WATER DISTRICT</v>
      </c>
      <c r="J134" s="246" cm="1">
        <f t="array" ref="J134">IFERROR(SUMPRODUCT((PD_PWSID_LIST=Crosswalk_API!$C134)*(PD_SUM_DEL&gt;0)), 0)</f>
        <v>12</v>
      </c>
    </row>
    <row r="135" spans="1:10" x14ac:dyDescent="0.25">
      <c r="A135" s="234" t="s">
        <v>1156</v>
      </c>
      <c r="B135" t="s">
        <v>1157</v>
      </c>
      <c r="C135" t="s">
        <v>1158</v>
      </c>
      <c r="D135" t="s">
        <v>1159</v>
      </c>
      <c r="E135" t="s">
        <v>1160</v>
      </c>
      <c r="F135" t="s">
        <v>109</v>
      </c>
      <c r="G135" s="245" t="str" cm="1">
        <f t="array" ref="G135">IF(IFERROR(INDEX(LAM_II_SQFT, MATCH(Crosswalk_API!$A135, LAM_ORG_ID_LIST, 0)), 0) = 0, "No", "Yes")</f>
        <v>Yes</v>
      </c>
      <c r="H135" s="245" t="str">
        <f>IF(OR(G135="Not Applicable", IFERROR(INDEX('Landing Page and Navigation'!$F$31:$F$48, MATCH(C135, 'Landing Page and Navigation'!$A$31:$A$48, 0)), "No") = "No"), "No", "Yes")</f>
        <v>No</v>
      </c>
      <c r="I135" s="245" t="str">
        <f>_xlfn.TEXTJOIN(" - ", TRUE, CW_API_TABLE[[#This Row],[PWSID]],CW_API_TABLE[[#This Row],[PWS_NAME]])</f>
        <v>CA1610004 - CORCORAN, CITY OF</v>
      </c>
      <c r="J135" s="246" cm="1">
        <f t="array" ref="J135">IFERROR(SUMPRODUCT((PD_PWSID_LIST=Crosswalk_API!$C135)*(PD_SUM_DEL&gt;0)), 0)</f>
        <v>12</v>
      </c>
    </row>
    <row r="136" spans="1:10" x14ac:dyDescent="0.25">
      <c r="A136" s="234" t="s">
        <v>1161</v>
      </c>
      <c r="B136" t="s">
        <v>1162</v>
      </c>
      <c r="C136" t="s">
        <v>1163</v>
      </c>
      <c r="D136" t="s">
        <v>1164</v>
      </c>
      <c r="E136" t="s">
        <v>793</v>
      </c>
      <c r="F136" t="s">
        <v>109</v>
      </c>
      <c r="G136" s="245" t="str" cm="1">
        <f t="array" ref="G136">IF(IFERROR(INDEX(LAM_II_SQFT, MATCH(Crosswalk_API!$A136, LAM_ORG_ID_LIST, 0)), 0) = 0, "No", "Yes")</f>
        <v>Yes</v>
      </c>
      <c r="H136" s="245" t="str">
        <f>IF(OR(G136="Not Applicable", IFERROR(INDEX('Landing Page and Navigation'!$F$31:$F$48, MATCH(C136, 'Landing Page and Navigation'!$A$31:$A$48, 0)), "No") = "No"), "No", "Yes")</f>
        <v>No</v>
      </c>
      <c r="I136" s="245" t="str">
        <f>_xlfn.TEXTJOIN(" - ", TRUE, CW_API_TABLE[[#This Row],[PWSID]],CW_API_TABLE[[#This Row],[PWS_NAME]])</f>
        <v>CA3310037 - CORONA, CITY OF</v>
      </c>
      <c r="J136" s="246" cm="1">
        <f t="array" ref="J136">IFERROR(SUMPRODUCT((PD_PWSID_LIST=Crosswalk_API!$C136)*(PD_SUM_DEL&gt;0)), 0)</f>
        <v>12</v>
      </c>
    </row>
    <row r="137" spans="1:10" x14ac:dyDescent="0.25">
      <c r="A137" s="234" t="s">
        <v>1165</v>
      </c>
      <c r="B137" t="s">
        <v>1166</v>
      </c>
      <c r="C137" t="s">
        <v>1167</v>
      </c>
      <c r="D137" t="s">
        <v>1168</v>
      </c>
      <c r="E137" t="s">
        <v>708</v>
      </c>
      <c r="F137" t="s">
        <v>109</v>
      </c>
      <c r="G137" s="245" t="str" cm="1">
        <f t="array" ref="G137">IF(IFERROR(INDEX(LAM_II_SQFT, MATCH(Crosswalk_API!$A137, LAM_ORG_ID_LIST, 0)), 0) = 0, "No", "Yes")</f>
        <v>Yes</v>
      </c>
      <c r="H137" s="245" t="str">
        <f>IF(OR(G137="Not Applicable", IFERROR(INDEX('Landing Page and Navigation'!$F$31:$F$48, MATCH(C137, 'Landing Page and Navigation'!$A$31:$A$48, 0)), "No") = "No"), "No", "Yes")</f>
        <v>No</v>
      </c>
      <c r="I137" s="245" t="str">
        <f>_xlfn.TEXTJOIN(" - ", TRUE, CW_API_TABLE[[#This Row],[PWSID]],CW_API_TABLE[[#This Row],[PWS_NAME]])</f>
        <v>CA1910127 - COVINA-CITY, WATER DEPT.</v>
      </c>
      <c r="J137" s="246" cm="1">
        <f t="array" ref="J137">IFERROR(SUMPRODUCT((PD_PWSID_LIST=Crosswalk_API!$C137)*(PD_SUM_DEL&gt;0)), 0)</f>
        <v>12</v>
      </c>
    </row>
    <row r="138" spans="1:10" x14ac:dyDescent="0.25">
      <c r="A138" s="234" t="s">
        <v>1169</v>
      </c>
      <c r="B138" t="s">
        <v>1170</v>
      </c>
      <c r="C138" t="s">
        <v>1171</v>
      </c>
      <c r="D138" t="s">
        <v>1172</v>
      </c>
      <c r="E138" t="s">
        <v>1173</v>
      </c>
      <c r="F138" t="s">
        <v>109</v>
      </c>
      <c r="G138" s="245" t="str" cm="1">
        <f t="array" ref="G138">IF(IFERROR(INDEX(LAM_II_SQFT, MATCH(Crosswalk_API!$A138, LAM_ORG_ID_LIST, 0)), 0) = 0, "No", "Yes")</f>
        <v>Yes</v>
      </c>
      <c r="H138" s="245" t="str">
        <f>IF(OR(G138="Not Applicable", IFERROR(INDEX('Landing Page and Navigation'!$F$31:$F$48, MATCH(C138, 'Landing Page and Navigation'!$A$31:$A$48, 0)), "No") = "No"), "No", "Yes")</f>
        <v>No</v>
      </c>
      <c r="I138" s="245" t="str">
        <f>_xlfn.TEXTJOIN(" - ", TRUE, CW_API_TABLE[[#This Row],[PWSID]],CW_API_TABLE[[#This Row],[PWS_NAME]])</f>
        <v>CA0810001 - CITY OF CRESCENT CITY</v>
      </c>
      <c r="J138" s="246" cm="1">
        <f t="array" ref="J138">IFERROR(SUMPRODUCT((PD_PWSID_LIST=Crosswalk_API!$C138)*(PD_SUM_DEL&gt;0)), 0)</f>
        <v>12</v>
      </c>
    </row>
    <row r="139" spans="1:10" x14ac:dyDescent="0.25">
      <c r="A139" s="234" t="s">
        <v>1174</v>
      </c>
      <c r="B139" t="s">
        <v>1175</v>
      </c>
      <c r="C139" t="s">
        <v>1176</v>
      </c>
      <c r="D139" t="s">
        <v>1177</v>
      </c>
      <c r="E139" t="s">
        <v>708</v>
      </c>
      <c r="F139" t="s">
        <v>109</v>
      </c>
      <c r="G139" s="245" t="str" cm="1">
        <f t="array" ref="G139">IF(IFERROR(INDEX(LAM_II_SQFT, MATCH(Crosswalk_API!$A139, LAM_ORG_ID_LIST, 0)), 0) = 0, "No", "Yes")</f>
        <v>Yes</v>
      </c>
      <c r="H139" s="245" t="str">
        <f>IF(OR(G139="Not Applicable", IFERROR(INDEX('Landing Page and Navigation'!$F$31:$F$48, MATCH(C139, 'Landing Page and Navigation'!$A$31:$A$48, 0)), "No") = "No"), "No", "Yes")</f>
        <v>No</v>
      </c>
      <c r="I139" s="245" t="str">
        <f>_xlfn.TEXTJOIN(" - ", TRUE, CW_API_TABLE[[#This Row],[PWSID]],CW_API_TABLE[[#This Row],[PWS_NAME]])</f>
        <v>CA1910028 - CRESCENTA VALLEY CWD</v>
      </c>
      <c r="J139" s="246" cm="1">
        <f t="array" ref="J139">IFERROR(SUMPRODUCT((PD_PWSID_LIST=Crosswalk_API!$C139)*(PD_SUM_DEL&gt;0)), 0)</f>
        <v>12</v>
      </c>
    </row>
    <row r="140" spans="1:10" x14ac:dyDescent="0.25">
      <c r="A140" s="234" t="s">
        <v>1178</v>
      </c>
      <c r="B140" t="s">
        <v>1179</v>
      </c>
      <c r="C140" t="s">
        <v>1180</v>
      </c>
      <c r="D140" t="s">
        <v>1181</v>
      </c>
      <c r="E140" t="s">
        <v>693</v>
      </c>
      <c r="F140" t="s">
        <v>109</v>
      </c>
      <c r="G140" s="245" t="str" cm="1">
        <f t="array" ref="G140">IF(IFERROR(INDEX(LAM_II_SQFT, MATCH(Crosswalk_API!$A140, LAM_ORG_ID_LIST, 0)), 0) = 0, "No", "Yes")</f>
        <v>Yes</v>
      </c>
      <c r="H140" s="245" t="str">
        <f>IF(OR(G140="Not Applicable", IFERROR(INDEX('Landing Page and Navigation'!$F$31:$F$48, MATCH(C140, 'Landing Page and Navigation'!$A$31:$A$48, 0)), "No") = "No"), "No", "Yes")</f>
        <v>No</v>
      </c>
      <c r="I140" s="245" t="str">
        <f>_xlfn.TEXTJOIN(" - ", TRUE, CW_API_TABLE[[#This Row],[PWSID]],CW_API_TABLE[[#This Row],[PWS_NAME]])</f>
        <v>CA3610015 - CRESTLINE VILLAGE CWD - DIVISION 10</v>
      </c>
      <c r="J140" s="246" cm="1">
        <f t="array" ref="J140">IFERROR(SUMPRODUCT((PD_PWSID_LIST=Crosswalk_API!$C140)*(PD_SUM_DEL&gt;0)), 0)</f>
        <v>12</v>
      </c>
    </row>
    <row r="141" spans="1:10" x14ac:dyDescent="0.25">
      <c r="A141" s="234" t="s">
        <v>1182</v>
      </c>
      <c r="B141" t="s">
        <v>1183</v>
      </c>
      <c r="C141" t="s">
        <v>1184</v>
      </c>
      <c r="D141" t="s">
        <v>1185</v>
      </c>
      <c r="E141" t="s">
        <v>693</v>
      </c>
      <c r="F141" t="s">
        <v>109</v>
      </c>
      <c r="G141" s="245" t="str" cm="1">
        <f t="array" ref="G141">IF(IFERROR(INDEX(LAM_II_SQFT, MATCH(Crosswalk_API!$A141, LAM_ORG_ID_LIST, 0)), 0) = 0, "No", "Yes")</f>
        <v>Yes</v>
      </c>
      <c r="H141" s="245" t="str">
        <f>IF(OR(G141="Not Applicable", IFERROR(INDEX('Landing Page and Navigation'!$F$31:$F$48, MATCH(C141, 'Landing Page and Navigation'!$A$31:$A$48, 0)), "No") = "No"), "No", "Yes")</f>
        <v>No</v>
      </c>
      <c r="I141" s="245" t="str">
        <f>_xlfn.TEXTJOIN(" - ", TRUE, CW_API_TABLE[[#This Row],[PWSID]],CW_API_TABLE[[#This Row],[PWS_NAME]])</f>
        <v>CA3610018 - CUCAMONGA VALLEY WATER DISTRICT</v>
      </c>
      <c r="J141" s="246" cm="1">
        <f t="array" ref="J141">IFERROR(SUMPRODUCT((PD_PWSID_LIST=Crosswalk_API!$C141)*(PD_SUM_DEL&gt;0)), 0)</f>
        <v>12</v>
      </c>
    </row>
    <row r="142" spans="1:10" x14ac:dyDescent="0.25">
      <c r="A142" s="234" t="s">
        <v>1186</v>
      </c>
      <c r="B142" t="s">
        <v>1187</v>
      </c>
      <c r="C142" t="s">
        <v>1188</v>
      </c>
      <c r="D142" t="s">
        <v>1189</v>
      </c>
      <c r="E142" t="s">
        <v>862</v>
      </c>
      <c r="F142" t="s">
        <v>109</v>
      </c>
      <c r="G142" s="245" t="str" cm="1">
        <f t="array" ref="G142">IF(IFERROR(INDEX(LAM_II_SQFT, MATCH(Crosswalk_API!$A142, LAM_ORG_ID_LIST, 0)), 0) = 0, "No", "Yes")</f>
        <v>Yes</v>
      </c>
      <c r="H142" s="245" t="str">
        <f>IF(OR(G142="Not Applicable", IFERROR(INDEX('Landing Page and Navigation'!$F$31:$F$48, MATCH(C142, 'Landing Page and Navigation'!$A$31:$A$48, 0)), "No") = "No"), "No", "Yes")</f>
        <v>No</v>
      </c>
      <c r="I142" s="245" t="str">
        <f>_xlfn.TEXTJOIN(" - ", TRUE, CW_API_TABLE[[#This Row],[PWSID]],CW_API_TABLE[[#This Row],[PWS_NAME]])</f>
        <v>CA4110013 - CITY OF DALY CITY</v>
      </c>
      <c r="J142" s="246" cm="1">
        <f t="array" ref="J142">IFERROR(SUMPRODUCT((PD_PWSID_LIST=Crosswalk_API!$C142)*(PD_SUM_DEL&gt;0)), 0)</f>
        <v>12</v>
      </c>
    </row>
    <row r="143" spans="1:10" x14ac:dyDescent="0.25">
      <c r="A143" s="234" t="s">
        <v>1190</v>
      </c>
      <c r="B143" t="s">
        <v>1191</v>
      </c>
      <c r="C143" t="s">
        <v>1192</v>
      </c>
      <c r="D143" t="s">
        <v>1193</v>
      </c>
      <c r="E143" t="s">
        <v>930</v>
      </c>
      <c r="F143" t="s">
        <v>109</v>
      </c>
      <c r="G143" s="245" t="str" cm="1">
        <f t="array" ref="G143">IF(IFERROR(INDEX(LAM_II_SQFT, MATCH(Crosswalk_API!$A143, LAM_ORG_ID_LIST, 0)), 0) = 0, "No", "Yes")</f>
        <v>Yes</v>
      </c>
      <c r="H143" s="245" t="str">
        <f>IF(OR(G143="Not Applicable", IFERROR(INDEX('Landing Page and Navigation'!$F$31:$F$48, MATCH(C143, 'Landing Page and Navigation'!$A$31:$A$48, 0)), "No") = "No"), "No", "Yes")</f>
        <v>No</v>
      </c>
      <c r="I143" s="245" t="str">
        <f>_xlfn.TEXTJOIN(" - ", TRUE, CW_API_TABLE[[#This Row],[PWSID]],CW_API_TABLE[[#This Row],[PWS_NAME]])</f>
        <v>CA5710001 - CITY OF DAVIS</v>
      </c>
      <c r="J143" s="246" cm="1">
        <f t="array" ref="J143">IFERROR(SUMPRODUCT((PD_PWSID_LIST=Crosswalk_API!$C143)*(PD_SUM_DEL&gt;0)), 0)</f>
        <v>12</v>
      </c>
    </row>
    <row r="144" spans="1:10" x14ac:dyDescent="0.25">
      <c r="A144" s="234" t="s">
        <v>1194</v>
      </c>
      <c r="B144" t="s">
        <v>1195</v>
      </c>
      <c r="C144" t="s">
        <v>1196</v>
      </c>
      <c r="D144" t="s">
        <v>1197</v>
      </c>
      <c r="E144" t="s">
        <v>963</v>
      </c>
      <c r="F144" t="s">
        <v>109</v>
      </c>
      <c r="G144" s="245" t="str" cm="1">
        <f t="array" ref="G144">IF(IFERROR(INDEX(LAM_II_SQFT, MATCH(Crosswalk_API!$A144, LAM_ORG_ID_LIST, 0)), 0) = 0, "No", "Yes")</f>
        <v>Yes</v>
      </c>
      <c r="H144" s="245" t="str">
        <f>IF(OR(G144="Not Applicable", IFERROR(INDEX('Landing Page and Navigation'!$F$31:$F$48, MATCH(C144, 'Landing Page and Navigation'!$A$31:$A$48, 0)), "No") = "No"), "No", "Yes")</f>
        <v>No</v>
      </c>
      <c r="I144" s="245" t="str">
        <f>_xlfn.TEXTJOIN(" - ", TRUE, CW_API_TABLE[[#This Row],[PWSID]],CW_API_TABLE[[#This Row],[PWS_NAME]])</f>
        <v>CA0410011 - DEL ORO WATER CO.-PARADISE PINES</v>
      </c>
      <c r="J144" s="246" cm="1">
        <f t="array" ref="J144">IFERROR(SUMPRODUCT((PD_PWSID_LIST=Crosswalk_API!$C144)*(PD_SUM_DEL&gt;0)), 0)</f>
        <v>12</v>
      </c>
    </row>
    <row r="145" spans="1:10" x14ac:dyDescent="0.25">
      <c r="A145" s="234" t="s">
        <v>1198</v>
      </c>
      <c r="B145" t="s">
        <v>1199</v>
      </c>
      <c r="C145" t="s">
        <v>1200</v>
      </c>
      <c r="D145" t="s">
        <v>1201</v>
      </c>
      <c r="E145" t="s">
        <v>766</v>
      </c>
      <c r="F145" t="s">
        <v>109</v>
      </c>
      <c r="G145" s="245" t="str" cm="1">
        <f t="array" ref="G145">IF(IFERROR(INDEX(LAM_II_SQFT, MATCH(Crosswalk_API!$A145, LAM_ORG_ID_LIST, 0)), 0) = 0, "No", "Yes")</f>
        <v>Yes</v>
      </c>
      <c r="H145" s="245" t="str">
        <f>IF(OR(G145="Not Applicable", IFERROR(INDEX('Landing Page and Navigation'!$F$31:$F$48, MATCH(C145, 'Landing Page and Navigation'!$A$31:$A$48, 0)), "No") = "No"), "No", "Yes")</f>
        <v>No</v>
      </c>
      <c r="I145" s="245" t="str">
        <f>_xlfn.TEXTJOIN(" - ", TRUE, CW_API_TABLE[[#This Row],[PWSID]],CW_API_TABLE[[#This Row],[PWS_NAME]])</f>
        <v>CA1510005 - DELANO, CITY OF</v>
      </c>
      <c r="J145" s="246" cm="1">
        <f t="array" ref="J145">IFERROR(SUMPRODUCT((PD_PWSID_LIST=Crosswalk_API!$C145)*(PD_SUM_DEL&gt;0)), 0)</f>
        <v>12</v>
      </c>
    </row>
    <row r="146" spans="1:10" x14ac:dyDescent="0.25">
      <c r="A146" s="234" t="s">
        <v>1202</v>
      </c>
      <c r="B146" t="s">
        <v>1203</v>
      </c>
      <c r="C146" t="s">
        <v>1204</v>
      </c>
      <c r="D146" t="s">
        <v>1205</v>
      </c>
      <c r="E146" t="s">
        <v>793</v>
      </c>
      <c r="F146" t="s">
        <v>109</v>
      </c>
      <c r="G146" s="245" t="str" cm="1">
        <f t="array" ref="G146">IF(IFERROR(INDEX(LAM_II_SQFT, MATCH(Crosswalk_API!$A146, LAM_ORG_ID_LIST, 0)), 0) = 0, "No", "Yes")</f>
        <v>Yes</v>
      </c>
      <c r="H146" s="245" t="str">
        <f>IF(OR(G146="Not Applicable", IFERROR(INDEX('Landing Page and Navigation'!$F$31:$F$48, MATCH(C146, 'Landing Page and Navigation'!$A$31:$A$48, 0)), "No") = "No"), "No", "Yes")</f>
        <v>No</v>
      </c>
      <c r="I146" s="245" t="str">
        <f>_xlfn.TEXTJOIN(" - ", TRUE, CW_API_TABLE[[#This Row],[PWSID]],CW_API_TABLE[[#This Row],[PWS_NAME]])</f>
        <v>CA3310005 - DESERT WATER AGENCY</v>
      </c>
      <c r="J146" s="246" cm="1">
        <f t="array" ref="J146">IFERROR(SUMPRODUCT((PD_PWSID_LIST=Crosswalk_API!$C146)*(PD_SUM_DEL&gt;0)), 0)</f>
        <v>12</v>
      </c>
    </row>
    <row r="147" spans="1:10" x14ac:dyDescent="0.25">
      <c r="A147" s="234" t="s">
        <v>1206</v>
      </c>
      <c r="B147" t="s">
        <v>1207</v>
      </c>
      <c r="C147" t="s">
        <v>1208</v>
      </c>
      <c r="D147" t="s">
        <v>1209</v>
      </c>
      <c r="E147" t="s">
        <v>741</v>
      </c>
      <c r="F147" t="s">
        <v>109</v>
      </c>
      <c r="G147" s="245" t="str" cm="1">
        <f t="array" ref="G147">IF(IFERROR(INDEX(LAM_II_SQFT, MATCH(Crosswalk_API!$A147, LAM_ORG_ID_LIST, 0)), 0) = 0, "No", "Yes")</f>
        <v>Yes</v>
      </c>
      <c r="H147" s="245" t="str">
        <f>IF(OR(G147="Not Applicable", IFERROR(INDEX('Landing Page and Navigation'!$F$31:$F$48, MATCH(C147, 'Landing Page and Navigation'!$A$31:$A$48, 0)), "No") = "No"), "No", "Yes")</f>
        <v>No</v>
      </c>
      <c r="I147" s="245" t="str">
        <f>_xlfn.TEXTJOIN(" - ", TRUE, CW_API_TABLE[[#This Row],[PWSID]],CW_API_TABLE[[#This Row],[PWS_NAME]])</f>
        <v>CA0710007 - DIABLO WATER DISTRICT</v>
      </c>
      <c r="J147" s="246" cm="1">
        <f t="array" ref="J147">IFERROR(SUMPRODUCT((PD_PWSID_LIST=Crosswalk_API!$C147)*(PD_SUM_DEL&gt;0)), 0)</f>
        <v>12</v>
      </c>
    </row>
    <row r="148" spans="1:10" x14ac:dyDescent="0.25">
      <c r="A148" s="234" t="s">
        <v>1210</v>
      </c>
      <c r="B148" t="s">
        <v>1211</v>
      </c>
      <c r="C148" t="s">
        <v>1212</v>
      </c>
      <c r="D148" t="s">
        <v>1213</v>
      </c>
      <c r="E148" t="s">
        <v>1056</v>
      </c>
      <c r="F148" t="s">
        <v>109</v>
      </c>
      <c r="G148" s="245" t="str" cm="1">
        <f t="array" ref="G148">IF(IFERROR(INDEX(LAM_II_SQFT, MATCH(Crosswalk_API!$A148, LAM_ORG_ID_LIST, 0)), 0) = 0, "No", "Yes")</f>
        <v>Yes</v>
      </c>
      <c r="H148" s="245" t="str">
        <f>IF(OR(G148="Not Applicable", IFERROR(INDEX('Landing Page and Navigation'!$F$31:$F$48, MATCH(C148, 'Landing Page and Navigation'!$A$31:$A$48, 0)), "No") = "No"), "No", "Yes")</f>
        <v>No</v>
      </c>
      <c r="I148" s="245" t="str">
        <f>_xlfn.TEXTJOIN(" - ", TRUE, CW_API_TABLE[[#This Row],[PWSID]],CW_API_TABLE[[#This Row],[PWS_NAME]])</f>
        <v>CA5410002 - DINUBA, CITY OF</v>
      </c>
      <c r="J148" s="246" cm="1">
        <f t="array" ref="J148">IFERROR(SUMPRODUCT((PD_PWSID_LIST=Crosswalk_API!$C148)*(PD_SUM_DEL&gt;0)), 0)</f>
        <v>12</v>
      </c>
    </row>
    <row r="149" spans="1:10" x14ac:dyDescent="0.25">
      <c r="A149" s="234" t="s">
        <v>1214</v>
      </c>
      <c r="B149" t="s">
        <v>1215</v>
      </c>
      <c r="C149" t="s">
        <v>1216</v>
      </c>
      <c r="D149" t="s">
        <v>1217</v>
      </c>
      <c r="E149" t="s">
        <v>741</v>
      </c>
      <c r="F149" t="s">
        <v>109</v>
      </c>
      <c r="G149" s="245" t="str" cm="1">
        <f t="array" ref="G149">IF(IFERROR(INDEX(LAM_II_SQFT, MATCH(Crosswalk_API!$A149, LAM_ORG_ID_LIST, 0)), 0) = 0, "No", "Yes")</f>
        <v>Yes</v>
      </c>
      <c r="H149" s="245" t="str">
        <f>IF(OR(G149="Not Applicable", IFERROR(INDEX('Landing Page and Navigation'!$F$31:$F$48, MATCH(C149, 'Landing Page and Navigation'!$A$31:$A$48, 0)), "No") = "No"), "No", "Yes")</f>
        <v>No</v>
      </c>
      <c r="I149" s="245" t="str">
        <f>_xlfn.TEXTJOIN(" - ", TRUE, CW_API_TABLE[[#This Row],[PWSID]],CW_API_TABLE[[#This Row],[PWS_NAME]])</f>
        <v>CA0710009 - TOWN OF DISCOVERY BAY</v>
      </c>
      <c r="J149" s="246" cm="1">
        <f t="array" ref="J149">IFERROR(SUMPRODUCT((PD_PWSID_LIST=Crosswalk_API!$C149)*(PD_SUM_DEL&gt;0)), 0)</f>
        <v>12</v>
      </c>
    </row>
    <row r="150" spans="1:10" x14ac:dyDescent="0.25">
      <c r="A150" s="234" t="s">
        <v>1218</v>
      </c>
      <c r="B150" t="s">
        <v>1219</v>
      </c>
      <c r="C150" t="s">
        <v>1220</v>
      </c>
      <c r="D150" t="s">
        <v>1221</v>
      </c>
      <c r="E150" t="s">
        <v>708</v>
      </c>
      <c r="F150" t="s">
        <v>109</v>
      </c>
      <c r="G150" s="245" t="str" cm="1">
        <f t="array" ref="G150">IF(IFERROR(INDEX(LAM_II_SQFT, MATCH(Crosswalk_API!$A150, LAM_ORG_ID_LIST, 0)), 0) = 0, "No", "Yes")</f>
        <v>Yes</v>
      </c>
      <c r="H150" s="245" t="str">
        <f>IF(OR(G150="Not Applicable", IFERROR(INDEX('Landing Page and Navigation'!$F$31:$F$48, MATCH(C150, 'Landing Page and Navigation'!$A$31:$A$48, 0)), "No") = "No"), "No", "Yes")</f>
        <v>No</v>
      </c>
      <c r="I150" s="245" t="str">
        <f>_xlfn.TEXTJOIN(" - ", TRUE, CW_API_TABLE[[#This Row],[PWSID]],CW_API_TABLE[[#This Row],[PWS_NAME]])</f>
        <v>CA1910034 - DOWNEY - CITY, WATER DEPT.</v>
      </c>
      <c r="J150" s="246" cm="1">
        <f t="array" ref="J150">IFERROR(SUMPRODUCT((PD_PWSID_LIST=Crosswalk_API!$C150)*(PD_SUM_DEL&gt;0)), 0)</f>
        <v>12</v>
      </c>
    </row>
    <row r="151" spans="1:10" x14ac:dyDescent="0.25">
      <c r="A151" s="234" t="s">
        <v>1222</v>
      </c>
      <c r="B151" t="s">
        <v>1223</v>
      </c>
      <c r="C151" t="s">
        <v>1224</v>
      </c>
      <c r="D151" t="s">
        <v>1225</v>
      </c>
      <c r="E151" t="s">
        <v>698</v>
      </c>
      <c r="F151" t="s">
        <v>109</v>
      </c>
      <c r="G151" s="245" t="str" cm="1">
        <f t="array" ref="G151">IF(IFERROR(INDEX(LAM_II_SQFT, MATCH(Crosswalk_API!$A151, LAM_ORG_ID_LIST, 0)), 0) = 0, "No", "Yes")</f>
        <v>Yes</v>
      </c>
      <c r="H151" s="245" t="str">
        <f>IF(OR(G151="Not Applicable", IFERROR(INDEX('Landing Page and Navigation'!$F$31:$F$48, MATCH(C151, 'Landing Page and Navigation'!$A$31:$A$48, 0)), "No") = "No"), "No", "Yes")</f>
        <v>No</v>
      </c>
      <c r="I151" s="245" t="str">
        <f>_xlfn.TEXTJOIN(" - ", TRUE, CW_API_TABLE[[#This Row],[PWSID]],CW_API_TABLE[[#This Row],[PWS_NAME]])</f>
        <v>CA0110009 - DUBLIN SAN RAMON SERVICES DISTRICT</v>
      </c>
      <c r="J151" s="246" cm="1">
        <f t="array" ref="J151">IFERROR(SUMPRODUCT((PD_PWSID_LIST=Crosswalk_API!$C151)*(PD_SUM_DEL&gt;0)), 0)</f>
        <v>12</v>
      </c>
    </row>
    <row r="152" spans="1:10" x14ac:dyDescent="0.25">
      <c r="A152" s="234" t="s">
        <v>1226</v>
      </c>
      <c r="B152" t="s">
        <v>1227</v>
      </c>
      <c r="C152" t="s">
        <v>1228</v>
      </c>
      <c r="D152" t="s">
        <v>1229</v>
      </c>
      <c r="E152" t="s">
        <v>698</v>
      </c>
      <c r="F152" t="s">
        <v>109</v>
      </c>
      <c r="G152" s="245" t="str" cm="1">
        <f t="array" ref="G152">IF(IFERROR(INDEX(LAM_II_SQFT, MATCH(Crosswalk_API!$A152, LAM_ORG_ID_LIST, 0)), 0) = 0, "No", "Yes")</f>
        <v>Yes</v>
      </c>
      <c r="H152" s="245" t="str">
        <f>IF(OR(G152="Not Applicable", IFERROR(INDEX('Landing Page and Navigation'!$F$31:$F$48, MATCH(C152, 'Landing Page and Navigation'!$A$31:$A$48, 0)), "No") = "No"), "No", "Yes")</f>
        <v>No</v>
      </c>
      <c r="I152" s="245" t="str">
        <f>_xlfn.TEXTJOIN(" - ", TRUE, CW_API_TABLE[[#This Row],[PWSID]],CW_API_TABLE[[#This Row],[PWS_NAME]])</f>
        <v>CA0110005 - EAST BAY MUD</v>
      </c>
      <c r="J152" s="246" cm="1">
        <f t="array" ref="J152">IFERROR(SUMPRODUCT((PD_PWSID_LIST=Crosswalk_API!$C152)*(PD_SUM_DEL&gt;0)), 0)</f>
        <v>12</v>
      </c>
    </row>
    <row r="153" spans="1:10" x14ac:dyDescent="0.25">
      <c r="A153" s="234" t="s">
        <v>1230</v>
      </c>
      <c r="B153" t="s">
        <v>1231</v>
      </c>
      <c r="C153" t="s">
        <v>1232</v>
      </c>
      <c r="D153" t="s">
        <v>1233</v>
      </c>
      <c r="E153" t="s">
        <v>766</v>
      </c>
      <c r="F153" t="s">
        <v>109</v>
      </c>
      <c r="G153" s="245" t="str" cm="1">
        <f t="array" ref="G153">IF(IFERROR(INDEX(LAM_II_SQFT, MATCH(Crosswalk_API!$A153, LAM_ORG_ID_LIST, 0)), 0) = 0, "No", "Yes")</f>
        <v>Yes</v>
      </c>
      <c r="H153" s="245" t="str">
        <f>IF(OR(G153="Not Applicable", IFERROR(INDEX('Landing Page and Navigation'!$F$31:$F$48, MATCH(C153, 'Landing Page and Navigation'!$A$31:$A$48, 0)), "No") = "No"), "No", "Yes")</f>
        <v>No</v>
      </c>
      <c r="I153" s="245" t="str">
        <f>_xlfn.TEXTJOIN(" - ", TRUE, CW_API_TABLE[[#This Row],[PWSID]],CW_API_TABLE[[#This Row],[PWS_NAME]])</f>
        <v>CA1510006 - EAST NILES CSD</v>
      </c>
      <c r="J153" s="246" cm="1">
        <f t="array" ref="J153">IFERROR(SUMPRODUCT((PD_PWSID_LIST=Crosswalk_API!$C153)*(PD_SUM_DEL&gt;0)), 0)</f>
        <v>12</v>
      </c>
    </row>
    <row r="154" spans="1:10" x14ac:dyDescent="0.25">
      <c r="A154" s="234" t="s">
        <v>1234</v>
      </c>
      <c r="B154" t="s">
        <v>1235</v>
      </c>
      <c r="C154" t="s">
        <v>1236</v>
      </c>
      <c r="D154" t="s">
        <v>1237</v>
      </c>
      <c r="E154" t="s">
        <v>862</v>
      </c>
      <c r="F154" t="s">
        <v>109</v>
      </c>
      <c r="G154" s="245" t="str" cm="1">
        <f t="array" ref="G154">IF(IFERROR(INDEX(LAM_II_SQFT, MATCH(Crosswalk_API!$A154, LAM_ORG_ID_LIST, 0)), 0) = 0, "No", "Yes")</f>
        <v>Yes</v>
      </c>
      <c r="H154" s="245" t="str">
        <f>IF(OR(G154="Not Applicable", IFERROR(INDEX('Landing Page and Navigation'!$F$31:$F$48, MATCH(C154, 'Landing Page and Navigation'!$A$31:$A$48, 0)), "No") = "No"), "No", "Yes")</f>
        <v>No</v>
      </c>
      <c r="I154" s="245" t="str">
        <f>_xlfn.TEXTJOIN(" - ", TRUE, CW_API_TABLE[[#This Row],[PWSID]],CW_API_TABLE[[#This Row],[PWS_NAME]])</f>
        <v>CA4110024 - CITY OF EAST PALO ALTO</v>
      </c>
      <c r="J154" s="246" cm="1">
        <f t="array" ref="J154">IFERROR(SUMPRODUCT((PD_PWSID_LIST=Crosswalk_API!$C154)*(PD_SUM_DEL&gt;0)), 0)</f>
        <v>12</v>
      </c>
    </row>
    <row r="155" spans="1:10" x14ac:dyDescent="0.25">
      <c r="A155" s="234" t="s">
        <v>1238</v>
      </c>
      <c r="B155" t="s">
        <v>1239</v>
      </c>
      <c r="C155" t="s">
        <v>1240</v>
      </c>
      <c r="D155" t="s">
        <v>1241</v>
      </c>
      <c r="E155" t="s">
        <v>693</v>
      </c>
      <c r="F155" t="s">
        <v>109</v>
      </c>
      <c r="G155" s="245" t="str" cm="1">
        <f t="array" ref="G155">IF(IFERROR(INDEX(LAM_II_SQFT, MATCH(Crosswalk_API!$A155, LAM_ORG_ID_LIST, 0)), 0) = 0, "No", "Yes")</f>
        <v>Yes</v>
      </c>
      <c r="H155" s="245" t="str">
        <f>IF(OR(G155="Not Applicable", IFERROR(INDEX('Landing Page and Navigation'!$F$31:$F$48, MATCH(C155, 'Landing Page and Navigation'!$A$31:$A$48, 0)), "No") = "No"), "No", "Yes")</f>
        <v>No</v>
      </c>
      <c r="I155" s="245" t="str">
        <f>_xlfn.TEXTJOIN(" - ", TRUE, CW_API_TABLE[[#This Row],[PWSID]],CW_API_TABLE[[#This Row],[PWS_NAME]])</f>
        <v>CA3610064 - EAST VALLEY WATER DISTRICT</v>
      </c>
      <c r="J155" s="246" cm="1">
        <f t="array" ref="J155">IFERROR(SUMPRODUCT((PD_PWSID_LIST=Crosswalk_API!$C155)*(PD_SUM_DEL&gt;0)), 0)</f>
        <v>12</v>
      </c>
    </row>
    <row r="156" spans="1:10" x14ac:dyDescent="0.25">
      <c r="A156" s="234" t="s">
        <v>1242</v>
      </c>
      <c r="B156" t="s">
        <v>1243</v>
      </c>
      <c r="C156" t="s">
        <v>1244</v>
      </c>
      <c r="D156" t="s">
        <v>1245</v>
      </c>
      <c r="E156" t="s">
        <v>793</v>
      </c>
      <c r="F156" t="s">
        <v>109</v>
      </c>
      <c r="G156" s="245" t="str" cm="1">
        <f t="array" ref="G156">IF(IFERROR(INDEX(LAM_II_SQFT, MATCH(Crosswalk_API!$A156, LAM_ORG_ID_LIST, 0)), 0) = 0, "No", "Yes")</f>
        <v>Yes</v>
      </c>
      <c r="H156" s="245" t="str">
        <f>IF(OR(G156="Not Applicable", IFERROR(INDEX('Landing Page and Navigation'!$F$31:$F$48, MATCH(C156, 'Landing Page and Navigation'!$A$31:$A$48, 0)), "No") = "No"), "No", "Yes")</f>
        <v>No</v>
      </c>
      <c r="I156" s="245" t="str">
        <f>_xlfn.TEXTJOIN(" - ", TRUE, CW_API_TABLE[[#This Row],[PWSID]],CW_API_TABLE[[#This Row],[PWS_NAME]])</f>
        <v>CA3310009 - EASTERN MUNICIPAL WD</v>
      </c>
      <c r="J156" s="246" cm="1">
        <f t="array" ref="J156">IFERROR(SUMPRODUCT((PD_PWSID_LIST=Crosswalk_API!$C156)*(PD_SUM_DEL&gt;0)), 0)</f>
        <v>12</v>
      </c>
    </row>
    <row r="157" spans="1:10" x14ac:dyDescent="0.25">
      <c r="A157" s="234" t="s">
        <v>1246</v>
      </c>
      <c r="B157" t="s">
        <v>1247</v>
      </c>
      <c r="C157" t="s">
        <v>1248</v>
      </c>
      <c r="D157" t="s">
        <v>1249</v>
      </c>
      <c r="E157" t="s">
        <v>841</v>
      </c>
      <c r="F157" t="s">
        <v>109</v>
      </c>
      <c r="G157" s="245" t="str" cm="1">
        <f t="array" ref="G157">IF(IFERROR(INDEX(LAM_II_SQFT, MATCH(Crosswalk_API!$A157, LAM_ORG_ID_LIST, 0)), 0) = 0, "No", "Yes")</f>
        <v>Yes</v>
      </c>
      <c r="H157" s="245" t="str">
        <f>IF(OR(G157="Not Applicable", IFERROR(INDEX('Landing Page and Navigation'!$F$31:$F$48, MATCH(C157, 'Landing Page and Navigation'!$A$31:$A$48, 0)), "No") = "No"), "No", "Yes")</f>
        <v>No</v>
      </c>
      <c r="I157" s="245" t="str">
        <f>_xlfn.TEXTJOIN(" - ", TRUE, CW_API_TABLE[[#This Row],[PWSID]],CW_API_TABLE[[#This Row],[PWS_NAME]])</f>
        <v>CA1310004 - EL CENTRO, CITY OF</v>
      </c>
      <c r="J157" s="246" cm="1">
        <f t="array" ref="J157">IFERROR(SUMPRODUCT((PD_PWSID_LIST=Crosswalk_API!$C157)*(PD_SUM_DEL&gt;0)), 0)</f>
        <v>12</v>
      </c>
    </row>
    <row r="158" spans="1:10" x14ac:dyDescent="0.25">
      <c r="A158" s="234" t="s">
        <v>1250</v>
      </c>
      <c r="B158" t="s">
        <v>1251</v>
      </c>
      <c r="C158" t="s">
        <v>1252</v>
      </c>
      <c r="D158" t="s">
        <v>1253</v>
      </c>
      <c r="E158" t="s">
        <v>1254</v>
      </c>
      <c r="F158" t="s">
        <v>109</v>
      </c>
      <c r="G158" s="245" t="str" cm="1">
        <f t="array" ref="G158">IF(IFERROR(INDEX(LAM_II_SQFT, MATCH(Crosswalk_API!$A158, LAM_ORG_ID_LIST, 0)), 0) = 0, "No", "Yes")</f>
        <v>Yes</v>
      </c>
      <c r="H158" s="245" t="str">
        <f>IF(OR(G158="Not Applicable", IFERROR(INDEX('Landing Page and Navigation'!$F$31:$F$48, MATCH(C158, 'Landing Page and Navigation'!$A$31:$A$48, 0)), "No") = "No"), "No", "Yes")</f>
        <v>No</v>
      </c>
      <c r="I158" s="245" t="str">
        <f>_xlfn.TEXTJOIN(" - ", TRUE, CW_API_TABLE[[#This Row],[PWSID]],CW_API_TABLE[[#This Row],[PWS_NAME]])</f>
        <v>CA0910001 - EL DORADO ID - MAIN</v>
      </c>
      <c r="J158" s="246" cm="1">
        <f t="array" ref="J158">IFERROR(SUMPRODUCT((PD_PWSID_LIST=Crosswalk_API!$C158)*(PD_SUM_DEL&gt;0)), 0)</f>
        <v>12</v>
      </c>
    </row>
    <row r="159" spans="1:10" x14ac:dyDescent="0.25">
      <c r="A159" s="234" t="s">
        <v>1250</v>
      </c>
      <c r="B159" t="s">
        <v>1251</v>
      </c>
      <c r="C159" t="s">
        <v>1255</v>
      </c>
      <c r="D159" t="s">
        <v>1256</v>
      </c>
      <c r="E159" t="s">
        <v>1254</v>
      </c>
      <c r="F159" t="s">
        <v>109</v>
      </c>
      <c r="G159" s="245" t="str" cm="1">
        <f t="array" ref="G159">IF(IFERROR(INDEX(LAM_II_SQFT, MATCH(Crosswalk_API!$A159, LAM_ORG_ID_LIST, 0)), 0) = 0, "No", "Yes")</f>
        <v>Yes</v>
      </c>
      <c r="H159" s="245" t="str">
        <f>IF(OR(G159="Not Applicable", IFERROR(INDEX('Landing Page and Navigation'!$F$31:$F$48, MATCH(C159, 'Landing Page and Navigation'!$A$31:$A$48, 0)), "No") = "No"), "No", "Yes")</f>
        <v>No</v>
      </c>
      <c r="I159" s="245" t="str">
        <f>_xlfn.TEXTJOIN(" - ", TRUE, CW_API_TABLE[[#This Row],[PWSID]],CW_API_TABLE[[#This Row],[PWS_NAME]])</f>
        <v>CA0910017 - EL DORADO ID - STRAWBERRY</v>
      </c>
      <c r="J159" s="246" cm="1">
        <f t="array" ref="J159">IFERROR(SUMPRODUCT((PD_PWSID_LIST=Crosswalk_API!$C159)*(PD_SUM_DEL&gt;0)), 0)</f>
        <v>12</v>
      </c>
    </row>
    <row r="160" spans="1:10" x14ac:dyDescent="0.25">
      <c r="A160" s="234" t="s">
        <v>1250</v>
      </c>
      <c r="B160" t="s">
        <v>1251</v>
      </c>
      <c r="C160" t="s">
        <v>1257</v>
      </c>
      <c r="D160" t="s">
        <v>1258</v>
      </c>
      <c r="E160" t="s">
        <v>1254</v>
      </c>
      <c r="F160" t="s">
        <v>109</v>
      </c>
      <c r="G160" s="245" t="str" cm="1">
        <f t="array" ref="G160">IF(IFERROR(INDEX(LAM_II_SQFT, MATCH(Crosswalk_API!$A160, LAM_ORG_ID_LIST, 0)), 0) = 0, "No", "Yes")</f>
        <v>Yes</v>
      </c>
      <c r="H160" s="245" t="str">
        <f>IF(OR(G160="Not Applicable", IFERROR(INDEX('Landing Page and Navigation'!$F$31:$F$48, MATCH(C160, 'Landing Page and Navigation'!$A$31:$A$48, 0)), "No") = "No"), "No", "Yes")</f>
        <v>No</v>
      </c>
      <c r="I160" s="245" t="str">
        <f>_xlfn.TEXTJOIN(" - ", TRUE, CW_API_TABLE[[#This Row],[PWSID]],CW_API_TABLE[[#This Row],[PWS_NAME]])</f>
        <v>CA0910018 - EL DORADO ID - OUTINGDALE</v>
      </c>
      <c r="J160" s="246" cm="1">
        <f t="array" ref="J160">IFERROR(SUMPRODUCT((PD_PWSID_LIST=Crosswalk_API!$C160)*(PD_SUM_DEL&gt;0)), 0)</f>
        <v>12</v>
      </c>
    </row>
    <row r="161" spans="1:10" x14ac:dyDescent="0.25">
      <c r="A161" s="234" t="s">
        <v>1259</v>
      </c>
      <c r="B161" t="s">
        <v>1260</v>
      </c>
      <c r="C161" t="s">
        <v>1261</v>
      </c>
      <c r="D161" t="s">
        <v>1262</v>
      </c>
      <c r="E161" t="s">
        <v>708</v>
      </c>
      <c r="F161" t="s">
        <v>109</v>
      </c>
      <c r="G161" s="245" t="str" cm="1">
        <f t="array" ref="G161">IF(IFERROR(INDEX(LAM_II_SQFT, MATCH(Crosswalk_API!$A161, LAM_ORG_ID_LIST, 0)), 0) = 0, "No", "Yes")</f>
        <v>Yes</v>
      </c>
      <c r="H161" s="245" t="str">
        <f>IF(OR(G161="Not Applicable", IFERROR(INDEX('Landing Page and Navigation'!$F$31:$F$48, MATCH(C161, 'Landing Page and Navigation'!$A$31:$A$48, 0)), "No") = "No"), "No", "Yes")</f>
        <v>No</v>
      </c>
      <c r="I161" s="245" t="str">
        <f>_xlfn.TEXTJOIN(" - ", TRUE, CW_API_TABLE[[#This Row],[PWSID]],CW_API_TABLE[[#This Row],[PWS_NAME]])</f>
        <v>CA1910038 - EL MONTE-CITY, WATER DEPT.</v>
      </c>
      <c r="J161" s="246" cm="1">
        <f t="array" ref="J161">IFERROR(SUMPRODUCT((PD_PWSID_LIST=Crosswalk_API!$C161)*(PD_SUM_DEL&gt;0)), 0)</f>
        <v>9</v>
      </c>
    </row>
    <row r="162" spans="1:10" x14ac:dyDescent="0.25">
      <c r="A162" s="234" t="s">
        <v>1263</v>
      </c>
      <c r="B162" t="s">
        <v>1264</v>
      </c>
      <c r="C162" t="s">
        <v>1265</v>
      </c>
      <c r="D162" t="s">
        <v>1266</v>
      </c>
      <c r="E162" t="s">
        <v>708</v>
      </c>
      <c r="F162" t="s">
        <v>109</v>
      </c>
      <c r="G162" s="245" t="str" cm="1">
        <f t="array" ref="G162">IF(IFERROR(INDEX(LAM_II_SQFT, MATCH(Crosswalk_API!$A162, LAM_ORG_ID_LIST, 0)), 0) = 0, "No", "Yes")</f>
        <v>Yes</v>
      </c>
      <c r="H162" s="245" t="str">
        <f>IF(OR(G162="Not Applicable", IFERROR(INDEX('Landing Page and Navigation'!$F$31:$F$48, MATCH(C162, 'Landing Page and Navigation'!$A$31:$A$48, 0)), "No") = "No"), "No", "Yes")</f>
        <v>No</v>
      </c>
      <c r="I162" s="245" t="str">
        <f>_xlfn.TEXTJOIN(" - ", TRUE, CW_API_TABLE[[#This Row],[PWSID]],CW_API_TABLE[[#This Row],[PWS_NAME]])</f>
        <v>CA1910040 - EL SEGUNDO-CITY, WATER DEPT.</v>
      </c>
      <c r="J162" s="246" cm="1">
        <f t="array" ref="J162">IFERROR(SUMPRODUCT((PD_PWSID_LIST=Crosswalk_API!$C162)*(PD_SUM_DEL&gt;0)), 0)</f>
        <v>12</v>
      </c>
    </row>
    <row r="163" spans="1:10" x14ac:dyDescent="0.25">
      <c r="A163" s="234" t="s">
        <v>1267</v>
      </c>
      <c r="B163" t="s">
        <v>1268</v>
      </c>
      <c r="C163" t="s">
        <v>1269</v>
      </c>
      <c r="D163" t="s">
        <v>1270</v>
      </c>
      <c r="E163" t="s">
        <v>731</v>
      </c>
      <c r="F163" t="s">
        <v>109</v>
      </c>
      <c r="G163" s="245" t="str" cm="1">
        <f t="array" ref="G163">IF(IFERROR(INDEX(LAM_II_SQFT, MATCH(Crosswalk_API!$A163, LAM_ORG_ID_LIST, 0)), 0) = 0, "No", "Yes")</f>
        <v>Yes</v>
      </c>
      <c r="H163" s="245" t="str">
        <f>IF(OR(G163="Not Applicable", IFERROR(INDEX('Landing Page and Navigation'!$F$31:$F$48, MATCH(C163, 'Landing Page and Navigation'!$A$31:$A$48, 0)), "No") = "No"), "No", "Yes")</f>
        <v>No</v>
      </c>
      <c r="I163" s="245" t="str">
        <f>_xlfn.TEXTJOIN(" - ", TRUE, CW_API_TABLE[[#This Row],[PWSID]],CW_API_TABLE[[#This Row],[PWS_NAME]])</f>
        <v>CA3010079 - EL TORO WATER DISTRICT</v>
      </c>
      <c r="J163" s="246" cm="1">
        <f t="array" ref="J163">IFERROR(SUMPRODUCT((PD_PWSID_LIST=Crosswalk_API!$C163)*(PD_SUM_DEL&gt;0)), 0)</f>
        <v>12</v>
      </c>
    </row>
    <row r="164" spans="1:10" x14ac:dyDescent="0.25">
      <c r="A164" s="234" t="s">
        <v>1271</v>
      </c>
      <c r="B164" t="s">
        <v>1272</v>
      </c>
      <c r="C164" t="s">
        <v>1273</v>
      </c>
      <c r="D164" t="s">
        <v>1274</v>
      </c>
      <c r="E164" t="s">
        <v>913</v>
      </c>
      <c r="F164" t="s">
        <v>109</v>
      </c>
      <c r="G164" s="245" t="str" cm="1">
        <f t="array" ref="G164">IF(IFERROR(INDEX(LAM_II_SQFT, MATCH(Crosswalk_API!$A164, LAM_ORG_ID_LIST, 0)), 0) = 0, "No", "Yes")</f>
        <v>Yes</v>
      </c>
      <c r="H164" s="245" t="str">
        <f>IF(OR(G164="Not Applicable", IFERROR(INDEX('Landing Page and Navigation'!$F$31:$F$48, MATCH(C164, 'Landing Page and Navigation'!$A$31:$A$48, 0)), "No") = "No"), "No", "Yes")</f>
        <v>No</v>
      </c>
      <c r="I164" s="245" t="str">
        <f>_xlfn.TEXTJOIN(" - ", TRUE, CW_API_TABLE[[#This Row],[PWSID]],CW_API_TABLE[[#This Row],[PWS_NAME]])</f>
        <v>CA3410008 - ELK GROVE WATER SERVICE</v>
      </c>
      <c r="J164" s="246" cm="1">
        <f t="array" ref="J164">IFERROR(SUMPRODUCT((PD_PWSID_LIST=Crosswalk_API!$C164)*(PD_SUM_DEL&gt;0)), 0)</f>
        <v>12</v>
      </c>
    </row>
    <row r="165" spans="1:10" x14ac:dyDescent="0.25">
      <c r="A165" s="234" t="s">
        <v>1275</v>
      </c>
      <c r="B165" t="s">
        <v>1276</v>
      </c>
      <c r="C165" t="s">
        <v>1277</v>
      </c>
      <c r="D165" t="s">
        <v>1278</v>
      </c>
      <c r="E165" t="s">
        <v>793</v>
      </c>
      <c r="F165" t="s">
        <v>109</v>
      </c>
      <c r="G165" s="245" t="str" cm="1">
        <f t="array" ref="G165">IF(IFERROR(INDEX(LAM_II_SQFT, MATCH(Crosswalk_API!$A165, LAM_ORG_ID_LIST, 0)), 0) = 0, "No", "Yes")</f>
        <v>Yes</v>
      </c>
      <c r="H165" s="245" t="str">
        <f>IF(OR(G165="Not Applicable", IFERROR(INDEX('Landing Page and Navigation'!$F$31:$F$48, MATCH(C165, 'Landing Page and Navigation'!$A$31:$A$48, 0)), "No") = "No"), "No", "Yes")</f>
        <v>No</v>
      </c>
      <c r="I165" s="245" t="str">
        <f>_xlfn.TEXTJOIN(" - ", TRUE, CW_API_TABLE[[#This Row],[PWSID]],CW_API_TABLE[[#This Row],[PWS_NAME]])</f>
        <v>CA3310012 - ELSINORE VALLEY MWD</v>
      </c>
      <c r="J165" s="246" cm="1">
        <f t="array" ref="J165">IFERROR(SUMPRODUCT((PD_PWSID_LIST=Crosswalk_API!$C165)*(PD_SUM_DEL&gt;0)), 0)</f>
        <v>12</v>
      </c>
    </row>
    <row r="166" spans="1:10" x14ac:dyDescent="0.25">
      <c r="A166" s="234" t="s">
        <v>1279</v>
      </c>
      <c r="B166" t="s">
        <v>1280</v>
      </c>
      <c r="C166" t="s">
        <v>1281</v>
      </c>
      <c r="D166" t="s">
        <v>1282</v>
      </c>
      <c r="E166" t="s">
        <v>937</v>
      </c>
      <c r="F166" t="s">
        <v>109</v>
      </c>
      <c r="G166" s="245" t="str" cm="1">
        <f t="array" ref="G166">IF(IFERROR(INDEX(LAM_II_SQFT, MATCH(Crosswalk_API!$A166, LAM_ORG_ID_LIST, 0)), 0) = 0, "No", "Yes")</f>
        <v>Yes</v>
      </c>
      <c r="H166" s="245" t="str">
        <f>IF(OR(G166="Not Applicable", IFERROR(INDEX('Landing Page and Navigation'!$F$31:$F$48, MATCH(C166, 'Landing Page and Navigation'!$A$31:$A$48, 0)), "No") = "No"), "No", "Yes")</f>
        <v>No</v>
      </c>
      <c r="I166" s="245" t="str">
        <f>_xlfn.TEXTJOIN(" - ", TRUE, CW_API_TABLE[[#This Row],[PWSID]],CW_API_TABLE[[#This Row],[PWS_NAME]])</f>
        <v>CA3710006 - ESCONDIDO, CITY OF</v>
      </c>
      <c r="J166" s="246" cm="1">
        <f t="array" ref="J166">IFERROR(SUMPRODUCT((PD_PWSID_LIST=Crosswalk_API!$C166)*(PD_SUM_DEL&gt;0)), 0)</f>
        <v>12</v>
      </c>
    </row>
    <row r="167" spans="1:10" x14ac:dyDescent="0.25">
      <c r="A167" s="234" t="s">
        <v>1283</v>
      </c>
      <c r="B167" t="s">
        <v>1284</v>
      </c>
      <c r="C167" t="s">
        <v>1285</v>
      </c>
      <c r="D167" t="s">
        <v>1286</v>
      </c>
      <c r="E167" t="s">
        <v>862</v>
      </c>
      <c r="F167" t="s">
        <v>109</v>
      </c>
      <c r="G167" s="245" t="str" cm="1">
        <f t="array" ref="G167">IF(IFERROR(INDEX(LAM_II_SQFT, MATCH(Crosswalk_API!$A167, LAM_ORG_ID_LIST, 0)), 0) = 0, "No", "Yes")</f>
        <v>Yes</v>
      </c>
      <c r="H167" s="245" t="str">
        <f>IF(OR(G167="Not Applicable", IFERROR(INDEX('Landing Page and Navigation'!$F$31:$F$48, MATCH(C167, 'Landing Page and Navigation'!$A$31:$A$48, 0)), "No") = "No"), "No", "Yes")</f>
        <v>No</v>
      </c>
      <c r="I167" s="245" t="str">
        <f>_xlfn.TEXTJOIN(" - ", TRUE, CW_API_TABLE[[#This Row],[PWSID]],CW_API_TABLE[[#This Row],[PWS_NAME]])</f>
        <v>CA4110021 - ESTERO MUNICIPAL IMPROVEMENT DISTRICT</v>
      </c>
      <c r="J167" s="246" cm="1">
        <f t="array" ref="J167">IFERROR(SUMPRODUCT((PD_PWSID_LIST=Crosswalk_API!$C167)*(PD_SUM_DEL&gt;0)), 0)</f>
        <v>12</v>
      </c>
    </row>
    <row r="168" spans="1:10" x14ac:dyDescent="0.25">
      <c r="A168" s="234" t="s">
        <v>1287</v>
      </c>
      <c r="B168" t="s">
        <v>1288</v>
      </c>
      <c r="C168" t="s">
        <v>1289</v>
      </c>
      <c r="D168" t="s">
        <v>1290</v>
      </c>
      <c r="E168" t="s">
        <v>754</v>
      </c>
      <c r="F168" t="s">
        <v>109</v>
      </c>
      <c r="G168" s="245" t="str" cm="1">
        <f t="array" ref="G168">IF(IFERROR(INDEX(LAM_II_SQFT, MATCH(Crosswalk_API!$A168, LAM_ORG_ID_LIST, 0)), 0) = 0, "No", "Yes")</f>
        <v>Yes</v>
      </c>
      <c r="H168" s="245" t="str">
        <f>IF(OR(G168="Not Applicable", IFERROR(INDEX('Landing Page and Navigation'!$F$31:$F$48, MATCH(C168, 'Landing Page and Navigation'!$A$31:$A$48, 0)), "No") = "No"), "No", "Yes")</f>
        <v>No</v>
      </c>
      <c r="I168" s="245" t="str">
        <f>_xlfn.TEXTJOIN(" - ", TRUE, CW_API_TABLE[[#This Row],[PWSID]],CW_API_TABLE[[#This Row],[PWS_NAME]])</f>
        <v>CA1210004 - EUREKA, CITY OF</v>
      </c>
      <c r="J168" s="246" cm="1">
        <f t="array" ref="J168">IFERROR(SUMPRODUCT((PD_PWSID_LIST=Crosswalk_API!$C168)*(PD_SUM_DEL&gt;0)), 0)</f>
        <v>12</v>
      </c>
    </row>
    <row r="169" spans="1:10" x14ac:dyDescent="0.25">
      <c r="A169" s="234" t="s">
        <v>1291</v>
      </c>
      <c r="B169" t="s">
        <v>1292</v>
      </c>
      <c r="C169" t="s">
        <v>1293</v>
      </c>
      <c r="D169" t="s">
        <v>1294</v>
      </c>
      <c r="E169" t="s">
        <v>1056</v>
      </c>
      <c r="F169" t="s">
        <v>109</v>
      </c>
      <c r="G169" s="245" t="str" cm="1">
        <f t="array" ref="G169">IF(IFERROR(INDEX(LAM_II_SQFT, MATCH(Crosswalk_API!$A169, LAM_ORG_ID_LIST, 0)), 0) = 0, "No", "Yes")</f>
        <v>Yes</v>
      </c>
      <c r="H169" s="245" t="str">
        <f>IF(OR(G169="Not Applicable", IFERROR(INDEX('Landing Page and Navigation'!$F$31:$F$48, MATCH(C169, 'Landing Page and Navigation'!$A$31:$A$48, 0)), "No") = "No"), "No", "Yes")</f>
        <v>No</v>
      </c>
      <c r="I169" s="245" t="str">
        <f>_xlfn.TEXTJOIN(" - ", TRUE, CW_API_TABLE[[#This Row],[PWSID]],CW_API_TABLE[[#This Row],[PWS_NAME]])</f>
        <v>CA5410003 - EXETER, CITY OF</v>
      </c>
      <c r="J169" s="246" cm="1">
        <f t="array" ref="J169">IFERROR(SUMPRODUCT((PD_PWSID_LIST=Crosswalk_API!$C169)*(PD_SUM_DEL&gt;0)), 0)</f>
        <v>12</v>
      </c>
    </row>
    <row r="170" spans="1:10" x14ac:dyDescent="0.25">
      <c r="A170" s="234" t="s">
        <v>1295</v>
      </c>
      <c r="B170" t="s">
        <v>1296</v>
      </c>
      <c r="C170" t="s">
        <v>1297</v>
      </c>
      <c r="D170" t="s">
        <v>1298</v>
      </c>
      <c r="E170" t="s">
        <v>913</v>
      </c>
      <c r="F170" t="s">
        <v>109</v>
      </c>
      <c r="G170" s="245" t="str" cm="1">
        <f t="array" ref="G170">IF(IFERROR(INDEX(LAM_II_SQFT, MATCH(Crosswalk_API!$A170, LAM_ORG_ID_LIST, 0)), 0) = 0, "No", "Yes")</f>
        <v>Yes</v>
      </c>
      <c r="H170" s="245" t="str">
        <f>IF(OR(G170="Not Applicable", IFERROR(INDEX('Landing Page and Navigation'!$F$31:$F$48, MATCH(C170, 'Landing Page and Navigation'!$A$31:$A$48, 0)), "No") = "No"), "No", "Yes")</f>
        <v>No</v>
      </c>
      <c r="I170" s="245" t="str">
        <f>_xlfn.TEXTJOIN(" - ", TRUE, CW_API_TABLE[[#This Row],[PWSID]],CW_API_TABLE[[#This Row],[PWS_NAME]])</f>
        <v>CA3410009 - FAIR OAKS WATER DISTRICT</v>
      </c>
      <c r="J170" s="246" cm="1">
        <f t="array" ref="J170">IFERROR(SUMPRODUCT((PD_PWSID_LIST=Crosswalk_API!$C170)*(PD_SUM_DEL&gt;0)), 0)</f>
        <v>12</v>
      </c>
    </row>
    <row r="171" spans="1:10" x14ac:dyDescent="0.25">
      <c r="A171" s="234" t="s">
        <v>1299</v>
      </c>
      <c r="B171" t="s">
        <v>1300</v>
      </c>
      <c r="C171" t="s">
        <v>1301</v>
      </c>
      <c r="D171" t="s">
        <v>1302</v>
      </c>
      <c r="E171" t="s">
        <v>814</v>
      </c>
      <c r="F171" t="s">
        <v>109</v>
      </c>
      <c r="G171" s="245" t="str" cm="1">
        <f t="array" ref="G171">IF(IFERROR(INDEX(LAM_II_SQFT, MATCH(Crosswalk_API!$A171, LAM_ORG_ID_LIST, 0)), 0) = 0, "No", "Yes")</f>
        <v>Yes</v>
      </c>
      <c r="H171" s="245" t="str">
        <f>IF(OR(G171="Not Applicable", IFERROR(INDEX('Landing Page and Navigation'!$F$31:$F$48, MATCH(C171, 'Landing Page and Navigation'!$A$31:$A$48, 0)), "No") = "No"), "No", "Yes")</f>
        <v>No</v>
      </c>
      <c r="I171" s="245" t="str">
        <f>_xlfn.TEXTJOIN(" - ", TRUE, CW_API_TABLE[[#This Row],[PWSID]],CW_API_TABLE[[#This Row],[PWS_NAME]])</f>
        <v>CA4810003 - CITY OF FAIRFIELD</v>
      </c>
      <c r="J171" s="246" cm="1">
        <f t="array" ref="J171">IFERROR(SUMPRODUCT((PD_PWSID_LIST=Crosswalk_API!$C171)*(PD_SUM_DEL&gt;0)), 0)</f>
        <v>12</v>
      </c>
    </row>
    <row r="172" spans="1:10" x14ac:dyDescent="0.25">
      <c r="A172" s="234" t="s">
        <v>1303</v>
      </c>
      <c r="B172" t="s">
        <v>1304</v>
      </c>
      <c r="C172" t="s">
        <v>1305</v>
      </c>
      <c r="D172" t="s">
        <v>1306</v>
      </c>
      <c r="E172" t="s">
        <v>937</v>
      </c>
      <c r="F172" t="s">
        <v>109</v>
      </c>
      <c r="G172" s="245" t="str" cm="1">
        <f t="array" ref="G172">IF(IFERROR(INDEX(LAM_II_SQFT, MATCH(Crosswalk_API!$A172, LAM_ORG_ID_LIST, 0)), 0) = 0, "No", "Yes")</f>
        <v>Yes</v>
      </c>
      <c r="H172" s="245" t="str">
        <f>IF(OR(G172="Not Applicable", IFERROR(INDEX('Landing Page and Navigation'!$F$31:$F$48, MATCH(C172, 'Landing Page and Navigation'!$A$31:$A$48, 0)), "No") = "No"), "No", "Yes")</f>
        <v>No</v>
      </c>
      <c r="I172" s="245" t="str">
        <f>_xlfn.TEXTJOIN(" - ", TRUE, CW_API_TABLE[[#This Row],[PWSID]],CW_API_TABLE[[#This Row],[PWS_NAME]])</f>
        <v>CA3710008 - FALLBROOK PUD</v>
      </c>
      <c r="J172" s="246" cm="1">
        <f t="array" ref="J172">IFERROR(SUMPRODUCT((PD_PWSID_LIST=Crosswalk_API!$C172)*(PD_SUM_DEL&gt;0)), 0)</f>
        <v>12</v>
      </c>
    </row>
    <row r="173" spans="1:10" x14ac:dyDescent="0.25">
      <c r="A173" s="234" t="s">
        <v>1307</v>
      </c>
      <c r="B173" t="s">
        <v>1308</v>
      </c>
      <c r="C173" t="s">
        <v>1309</v>
      </c>
      <c r="D173" t="s">
        <v>1310</v>
      </c>
      <c r="E173" t="s">
        <v>942</v>
      </c>
      <c r="F173" t="s">
        <v>109</v>
      </c>
      <c r="G173" s="245" t="str" cm="1">
        <f t="array" ref="G173">IF(IFERROR(INDEX(LAM_II_SQFT, MATCH(Crosswalk_API!$A173, LAM_ORG_ID_LIST, 0)), 0) = 0, "No", "Yes")</f>
        <v>Yes</v>
      </c>
      <c r="H173" s="245" t="str">
        <f>IF(OR(G173="Not Applicable", IFERROR(INDEX('Landing Page and Navigation'!$F$31:$F$48, MATCH(C173, 'Landing Page and Navigation'!$A$31:$A$48, 0)), "No") = "No"), "No", "Yes")</f>
        <v>No</v>
      </c>
      <c r="I173" s="245" t="str">
        <f>_xlfn.TEXTJOIN(" - ", TRUE, CW_API_TABLE[[#This Row],[PWSID]],CW_API_TABLE[[#This Row],[PWS_NAME]])</f>
        <v>CA5610002 - FILLMORE WATER DEPT</v>
      </c>
      <c r="J173" s="246" cm="1">
        <f t="array" ref="J173">IFERROR(SUMPRODUCT((PD_PWSID_LIST=Crosswalk_API!$C173)*(PD_SUM_DEL&gt;0)), 0)</f>
        <v>12</v>
      </c>
    </row>
    <row r="174" spans="1:10" x14ac:dyDescent="0.25">
      <c r="A174" s="234" t="s">
        <v>1311</v>
      </c>
      <c r="B174" t="s">
        <v>1312</v>
      </c>
      <c r="C174" t="s">
        <v>1313</v>
      </c>
      <c r="D174" t="s">
        <v>1314</v>
      </c>
      <c r="E174" t="s">
        <v>913</v>
      </c>
      <c r="F174" t="s">
        <v>109</v>
      </c>
      <c r="G174" s="245" t="str" cm="1">
        <f t="array" ref="G174">IF(IFERROR(INDEX(LAM_II_SQFT, MATCH(Crosswalk_API!$A174, LAM_ORG_ID_LIST, 0)), 0) = 0, "No", "Yes")</f>
        <v>Yes</v>
      </c>
      <c r="H174" s="245" t="str">
        <f>IF(OR(G174="Not Applicable", IFERROR(INDEX('Landing Page and Navigation'!$F$31:$F$48, MATCH(C174, 'Landing Page and Navigation'!$A$31:$A$48, 0)), "No") = "No"), "No", "Yes")</f>
        <v>No</v>
      </c>
      <c r="I174" s="245" t="str">
        <f>_xlfn.TEXTJOIN(" - ", TRUE, CW_API_TABLE[[#This Row],[PWSID]],CW_API_TABLE[[#This Row],[PWS_NAME]])</f>
        <v>CA3410014 - FOLSOM, CITY OF - MAIN</v>
      </c>
      <c r="J174" s="246" cm="1">
        <f t="array" ref="J174">IFERROR(SUMPRODUCT((PD_PWSID_LIST=Crosswalk_API!$C174)*(PD_SUM_DEL&gt;0)), 0)</f>
        <v>12</v>
      </c>
    </row>
    <row r="175" spans="1:10" x14ac:dyDescent="0.25">
      <c r="A175" s="234" t="s">
        <v>1311</v>
      </c>
      <c r="B175" t="s">
        <v>1312</v>
      </c>
      <c r="C175" t="s">
        <v>1315</v>
      </c>
      <c r="D175" t="s">
        <v>1316</v>
      </c>
      <c r="E175" t="s">
        <v>913</v>
      </c>
      <c r="F175" t="s">
        <v>109</v>
      </c>
      <c r="G175" s="245" t="str" cm="1">
        <f t="array" ref="G175">IF(IFERROR(INDEX(LAM_II_SQFT, MATCH(Crosswalk_API!$A175, LAM_ORG_ID_LIST, 0)), 0) = 0, "No", "Yes")</f>
        <v>Yes</v>
      </c>
      <c r="H175" s="245" t="str">
        <f>IF(OR(G175="Not Applicable", IFERROR(INDEX('Landing Page and Navigation'!$F$31:$F$48, MATCH(C175, 'Landing Page and Navigation'!$A$31:$A$48, 0)), "No") = "No"), "No", "Yes")</f>
        <v>No</v>
      </c>
      <c r="I175" s="245" t="str">
        <f>_xlfn.TEXTJOIN(" - ", TRUE, CW_API_TABLE[[#This Row],[PWSID]],CW_API_TABLE[[#This Row],[PWS_NAME]])</f>
        <v>CA3410030 - FOLSOM, CITY OF - ASHLAND</v>
      </c>
      <c r="J175" s="246" cm="1">
        <f t="array" ref="J175">IFERROR(SUMPRODUCT((PD_PWSID_LIST=Crosswalk_API!$C175)*(PD_SUM_DEL&gt;0)), 0)</f>
        <v>12</v>
      </c>
    </row>
    <row r="176" spans="1:10" x14ac:dyDescent="0.25">
      <c r="A176" s="234" t="s">
        <v>1317</v>
      </c>
      <c r="B176" t="s">
        <v>1318</v>
      </c>
      <c r="C176" t="s">
        <v>1319</v>
      </c>
      <c r="D176" t="s">
        <v>1320</v>
      </c>
      <c r="E176" t="s">
        <v>754</v>
      </c>
      <c r="F176" t="s">
        <v>109</v>
      </c>
      <c r="G176" s="245" t="str" cm="1">
        <f t="array" ref="G176">IF(IFERROR(INDEX(LAM_II_SQFT, MATCH(Crosswalk_API!$A176, LAM_ORG_ID_LIST, 0)), 0) = 0, "No", "Yes")</f>
        <v>Yes</v>
      </c>
      <c r="H176" s="245" t="str">
        <f>IF(OR(G176="Not Applicable", IFERROR(INDEX('Landing Page and Navigation'!$F$31:$F$48, MATCH(C176, 'Landing Page and Navigation'!$A$31:$A$48, 0)), "No") = "No"), "No", "Yes")</f>
        <v>No</v>
      </c>
      <c r="I176" s="245" t="str">
        <f>_xlfn.TEXTJOIN(" - ", TRUE, CW_API_TABLE[[#This Row],[PWSID]],CW_API_TABLE[[#This Row],[PWS_NAME]])</f>
        <v>CA1210006 - FORTUNA, CITY OF</v>
      </c>
      <c r="J176" s="246" cm="1">
        <f t="array" ref="J176">IFERROR(SUMPRODUCT((PD_PWSID_LIST=Crosswalk_API!$C176)*(PD_SUM_DEL&gt;0)), 0)</f>
        <v>12</v>
      </c>
    </row>
    <row r="177" spans="1:10" x14ac:dyDescent="0.25">
      <c r="A177" s="234" t="s">
        <v>1321</v>
      </c>
      <c r="B177" t="s">
        <v>1322</v>
      </c>
      <c r="C177" t="s">
        <v>1323</v>
      </c>
      <c r="D177" t="s">
        <v>1324</v>
      </c>
      <c r="E177" t="s">
        <v>731</v>
      </c>
      <c r="F177" t="s">
        <v>109</v>
      </c>
      <c r="G177" s="245" t="str" cm="1">
        <f t="array" ref="G177">IF(IFERROR(INDEX(LAM_II_SQFT, MATCH(Crosswalk_API!$A177, LAM_ORG_ID_LIST, 0)), 0) = 0, "No", "Yes")</f>
        <v>Yes</v>
      </c>
      <c r="H177" s="245" t="str">
        <f>IF(OR(G177="Not Applicable", IFERROR(INDEX('Landing Page and Navigation'!$F$31:$F$48, MATCH(C177, 'Landing Page and Navigation'!$A$31:$A$48, 0)), "No") = "No"), "No", "Yes")</f>
        <v>No</v>
      </c>
      <c r="I177" s="245" t="str">
        <f>_xlfn.TEXTJOIN(" - ", TRUE, CW_API_TABLE[[#This Row],[PWSID]],CW_API_TABLE[[#This Row],[PWS_NAME]])</f>
        <v>CA3010069 - CITY OF FOUNTAIN VALLEY</v>
      </c>
      <c r="J177" s="246" cm="1">
        <f t="array" ref="J177">IFERROR(SUMPRODUCT((PD_PWSID_LIST=Crosswalk_API!$C177)*(PD_SUM_DEL&gt;0)), 0)</f>
        <v>12</v>
      </c>
    </row>
    <row r="178" spans="1:10" x14ac:dyDescent="0.25">
      <c r="A178" s="234" t="s">
        <v>1325</v>
      </c>
      <c r="B178" t="s">
        <v>1326</v>
      </c>
      <c r="C178" t="s">
        <v>1327</v>
      </c>
      <c r="D178" t="s">
        <v>1328</v>
      </c>
      <c r="E178" t="s">
        <v>788</v>
      </c>
      <c r="F178" t="s">
        <v>109</v>
      </c>
      <c r="G178" s="245" t="str" cm="1">
        <f t="array" ref="G178">IF(IFERROR(INDEX(LAM_II_SQFT, MATCH(Crosswalk_API!$A178, LAM_ORG_ID_LIST, 0)), 0) = 0, "No", "Yes")</f>
        <v>Yes</v>
      </c>
      <c r="H178" s="245" t="str">
        <f>IF(OR(G178="Not Applicable", IFERROR(INDEX('Landing Page and Navigation'!$F$31:$F$48, MATCH(C178, 'Landing Page and Navigation'!$A$31:$A$48, 0)), "No") = "No"), "No", "Yes")</f>
        <v>No</v>
      </c>
      <c r="I178" s="245" t="str">
        <f>_xlfn.TEXTJOIN(" - ", TRUE, CW_API_TABLE[[#This Row],[PWSID]],CW_API_TABLE[[#This Row],[PWS_NAME]])</f>
        <v>CA1010007 - CITY OF FRESNO</v>
      </c>
      <c r="J178" s="246" cm="1">
        <f t="array" ref="J178">IFERROR(SUMPRODUCT((PD_PWSID_LIST=Crosswalk_API!$C178)*(PD_SUM_DEL&gt;0)), 0)</f>
        <v>12</v>
      </c>
    </row>
    <row r="179" spans="1:10" x14ac:dyDescent="0.25">
      <c r="A179" s="234" t="s">
        <v>1329</v>
      </c>
      <c r="B179" t="s">
        <v>1330</v>
      </c>
      <c r="C179" t="s">
        <v>1331</v>
      </c>
      <c r="D179" t="s">
        <v>1332</v>
      </c>
      <c r="E179" t="s">
        <v>731</v>
      </c>
      <c r="F179" t="s">
        <v>109</v>
      </c>
      <c r="G179" s="245" t="str" cm="1">
        <f t="array" ref="G179">IF(IFERROR(INDEX(LAM_II_SQFT, MATCH(Crosswalk_API!$A179, LAM_ORG_ID_LIST, 0)), 0) = 0, "No", "Yes")</f>
        <v>Yes</v>
      </c>
      <c r="H179" s="245" t="str">
        <f>IF(OR(G179="Not Applicable", IFERROR(INDEX('Landing Page and Navigation'!$F$31:$F$48, MATCH(C179, 'Landing Page and Navigation'!$A$31:$A$48, 0)), "No") = "No"), "No", "Yes")</f>
        <v>No</v>
      </c>
      <c r="I179" s="245" t="str">
        <f>_xlfn.TEXTJOIN(" - ", TRUE, CW_API_TABLE[[#This Row],[PWSID]],CW_API_TABLE[[#This Row],[PWS_NAME]])</f>
        <v>CA3010010 - CITY OF FULLERTON</v>
      </c>
      <c r="J179" s="246" cm="1">
        <f t="array" ref="J179">IFERROR(SUMPRODUCT((PD_PWSID_LIST=Crosswalk_API!$C179)*(PD_SUM_DEL&gt;0)), 0)</f>
        <v>12</v>
      </c>
    </row>
    <row r="180" spans="1:10" x14ac:dyDescent="0.25">
      <c r="A180" s="234" t="s">
        <v>1333</v>
      </c>
      <c r="B180" t="s">
        <v>1334</v>
      </c>
      <c r="C180" t="s">
        <v>1335</v>
      </c>
      <c r="D180" t="s">
        <v>1336</v>
      </c>
      <c r="E180" t="s">
        <v>913</v>
      </c>
      <c r="F180" t="s">
        <v>109</v>
      </c>
      <c r="G180" s="245" t="str" cm="1">
        <f t="array" ref="G180">IF(IFERROR(INDEX(LAM_II_SQFT, MATCH(Crosswalk_API!$A180, LAM_ORG_ID_LIST, 0)), 0) = 0, "No", "Yes")</f>
        <v>Yes</v>
      </c>
      <c r="H180" s="245" t="str">
        <f>IF(OR(G180="Not Applicable", IFERROR(INDEX('Landing Page and Navigation'!$F$31:$F$48, MATCH(C180, 'Landing Page and Navigation'!$A$31:$A$48, 0)), "No") = "No"), "No", "Yes")</f>
        <v>No</v>
      </c>
      <c r="I180" s="245" t="str">
        <f>_xlfn.TEXTJOIN(" - ", TRUE, CW_API_TABLE[[#This Row],[PWSID]],CW_API_TABLE[[#This Row],[PWS_NAME]])</f>
        <v>CA3410011 - GALT, CITY OF</v>
      </c>
      <c r="J180" s="246" cm="1">
        <f t="array" ref="J180">IFERROR(SUMPRODUCT((PD_PWSID_LIST=Crosswalk_API!$C180)*(PD_SUM_DEL&gt;0)), 0)</f>
        <v>12</v>
      </c>
    </row>
    <row r="181" spans="1:10" x14ac:dyDescent="0.25">
      <c r="A181" s="234" t="s">
        <v>1337</v>
      </c>
      <c r="B181" t="s">
        <v>1338</v>
      </c>
      <c r="C181" t="s">
        <v>1339</v>
      </c>
      <c r="D181" t="s">
        <v>1340</v>
      </c>
      <c r="E181" t="s">
        <v>731</v>
      </c>
      <c r="F181" t="s">
        <v>109</v>
      </c>
      <c r="G181" s="245" t="str" cm="1">
        <f t="array" ref="G181">IF(IFERROR(INDEX(LAM_II_SQFT, MATCH(Crosswalk_API!$A181, LAM_ORG_ID_LIST, 0)), 0) = 0, "No", "Yes")</f>
        <v>Yes</v>
      </c>
      <c r="H181" s="245" t="str">
        <f>IF(OR(G181="Not Applicable", IFERROR(INDEX('Landing Page and Navigation'!$F$31:$F$48, MATCH(C181, 'Landing Page and Navigation'!$A$31:$A$48, 0)), "No") = "No"), "No", "Yes")</f>
        <v>No</v>
      </c>
      <c r="I181" s="245" t="str">
        <f>_xlfn.TEXTJOIN(" - ", TRUE, CW_API_TABLE[[#This Row],[PWSID]],CW_API_TABLE[[#This Row],[PWS_NAME]])</f>
        <v>CA3010062 - CITY OF GARDEN GROVE</v>
      </c>
      <c r="J181" s="246" cm="1">
        <f t="array" ref="J181">IFERROR(SUMPRODUCT((PD_PWSID_LIST=Crosswalk_API!$C181)*(PD_SUM_DEL&gt;0)), 0)</f>
        <v>12</v>
      </c>
    </row>
    <row r="182" spans="1:10" x14ac:dyDescent="0.25">
      <c r="A182" s="234" t="s">
        <v>1341</v>
      </c>
      <c r="B182" t="s">
        <v>1342</v>
      </c>
      <c r="C182" t="s">
        <v>1343</v>
      </c>
      <c r="D182" t="s">
        <v>1344</v>
      </c>
      <c r="E182" t="s">
        <v>1254</v>
      </c>
      <c r="F182" t="s">
        <v>109</v>
      </c>
      <c r="G182" s="245" t="str" cm="1">
        <f t="array" ref="G182">IF(IFERROR(INDEX(LAM_II_SQFT, MATCH(Crosswalk_API!$A182, LAM_ORG_ID_LIST, 0)), 0) = 0, "No", "Yes")</f>
        <v>Yes</v>
      </c>
      <c r="H182" s="245" t="str">
        <f>IF(OR(G182="Not Applicable", IFERROR(INDEX('Landing Page and Navigation'!$F$31:$F$48, MATCH(C182, 'Landing Page and Navigation'!$A$31:$A$48, 0)), "No") = "No"), "No", "Yes")</f>
        <v>No</v>
      </c>
      <c r="I182" s="245" t="str">
        <f>_xlfn.TEXTJOIN(" - ", TRUE, CW_API_TABLE[[#This Row],[PWSID]],CW_API_TABLE[[#This Row],[PWS_NAME]])</f>
        <v>CA0910013 - GEORGETOWN DIVIDE PUD</v>
      </c>
      <c r="J182" s="246" cm="1">
        <f t="array" ref="J182">IFERROR(SUMPRODUCT((PD_PWSID_LIST=Crosswalk_API!$C182)*(PD_SUM_DEL&gt;0)), 0)</f>
        <v>12</v>
      </c>
    </row>
    <row r="183" spans="1:10" x14ac:dyDescent="0.25">
      <c r="A183" s="234" t="s">
        <v>1345</v>
      </c>
      <c r="B183" t="s">
        <v>1346</v>
      </c>
      <c r="C183" t="s">
        <v>1347</v>
      </c>
      <c r="D183" t="s">
        <v>1348</v>
      </c>
      <c r="E183" t="s">
        <v>1007</v>
      </c>
      <c r="F183" t="s">
        <v>109</v>
      </c>
      <c r="G183" s="245" t="str" cm="1">
        <f t="array" ref="G183">IF(IFERROR(INDEX(LAM_II_SQFT, MATCH(Crosswalk_API!$A183, LAM_ORG_ID_LIST, 0)), 0) = 0, "No", "Yes")</f>
        <v>Yes</v>
      </c>
      <c r="H183" s="245" t="str">
        <f>IF(OR(G183="Not Applicable", IFERROR(INDEX('Landing Page and Navigation'!$F$31:$F$48, MATCH(C183, 'Landing Page and Navigation'!$A$31:$A$48, 0)), "No") = "No"), "No", "Yes")</f>
        <v>No</v>
      </c>
      <c r="I183" s="245" t="str">
        <f>_xlfn.TEXTJOIN(" - ", TRUE, CW_API_TABLE[[#This Row],[PWSID]],CW_API_TABLE[[#This Row],[PWS_NAME]])</f>
        <v>CA4310004 - CITY OF GILROY</v>
      </c>
      <c r="J183" s="246" cm="1">
        <f t="array" ref="J183">IFERROR(SUMPRODUCT((PD_PWSID_LIST=Crosswalk_API!$C183)*(PD_SUM_DEL&gt;0)), 0)</f>
        <v>12</v>
      </c>
    </row>
    <row r="184" spans="1:10" x14ac:dyDescent="0.25">
      <c r="A184" s="234" t="s">
        <v>1349</v>
      </c>
      <c r="B184" t="s">
        <v>1350</v>
      </c>
      <c r="C184" t="s">
        <v>1351</v>
      </c>
      <c r="D184" t="s">
        <v>1352</v>
      </c>
      <c r="E184" t="s">
        <v>708</v>
      </c>
      <c r="F184" t="s">
        <v>109</v>
      </c>
      <c r="G184" s="245" t="str" cm="1">
        <f t="array" ref="G184">IF(IFERROR(INDEX(LAM_II_SQFT, MATCH(Crosswalk_API!$A184, LAM_ORG_ID_LIST, 0)), 0) = 0, "No", "Yes")</f>
        <v>Yes</v>
      </c>
      <c r="H184" s="245" t="str">
        <f>IF(OR(G184="Not Applicable", IFERROR(INDEX('Landing Page and Navigation'!$F$31:$F$48, MATCH(C184, 'Landing Page and Navigation'!$A$31:$A$48, 0)), "No") = "No"), "No", "Yes")</f>
        <v>No</v>
      </c>
      <c r="I184" s="245" t="str">
        <f>_xlfn.TEXTJOIN(" - ", TRUE, CW_API_TABLE[[#This Row],[PWSID]],CW_API_TABLE[[#This Row],[PWS_NAME]])</f>
        <v>CA1910043 - GLENDALE-CITY, WATER DEPT.</v>
      </c>
      <c r="J184" s="246" cm="1">
        <f t="array" ref="J184">IFERROR(SUMPRODUCT((PD_PWSID_LIST=Crosswalk_API!$C184)*(PD_SUM_DEL&gt;0)), 0)</f>
        <v>12</v>
      </c>
    </row>
    <row r="185" spans="1:10" x14ac:dyDescent="0.25">
      <c r="A185" s="234" t="s">
        <v>1353</v>
      </c>
      <c r="B185" t="s">
        <v>1354</v>
      </c>
      <c r="C185" t="s">
        <v>1355</v>
      </c>
      <c r="D185" t="s">
        <v>1356</v>
      </c>
      <c r="E185" t="s">
        <v>708</v>
      </c>
      <c r="F185" t="s">
        <v>109</v>
      </c>
      <c r="G185" s="245" t="str" cm="1">
        <f t="array" ref="G185">IF(IFERROR(INDEX(LAM_II_SQFT, MATCH(Crosswalk_API!$A185, LAM_ORG_ID_LIST, 0)), 0) = 0, "No", "Yes")</f>
        <v>Yes</v>
      </c>
      <c r="H185" s="245" t="str">
        <f>IF(OR(G185="Not Applicable", IFERROR(INDEX('Landing Page and Navigation'!$F$31:$F$48, MATCH(C185, 'Landing Page and Navigation'!$A$31:$A$48, 0)), "No") = "No"), "No", "Yes")</f>
        <v>No</v>
      </c>
      <c r="I185" s="245" t="str">
        <f>_xlfn.TEXTJOIN(" - ", TRUE, CW_API_TABLE[[#This Row],[PWSID]],CW_API_TABLE[[#This Row],[PWS_NAME]])</f>
        <v>CA1910044 - GLENDORA-CITY, WATER DEPT.</v>
      </c>
      <c r="J185" s="246" cm="1">
        <f t="array" ref="J185">IFERROR(SUMPRODUCT((PD_PWSID_LIST=Crosswalk_API!$C185)*(PD_SUM_DEL&gt;0)), 0)</f>
        <v>12</v>
      </c>
    </row>
    <row r="186" spans="1:10" x14ac:dyDescent="0.25">
      <c r="A186" s="234" t="s">
        <v>1357</v>
      </c>
      <c r="B186" t="s">
        <v>1358</v>
      </c>
      <c r="C186" t="s">
        <v>1359</v>
      </c>
      <c r="D186" t="s">
        <v>1360</v>
      </c>
      <c r="E186" t="s">
        <v>708</v>
      </c>
      <c r="F186" t="s">
        <v>109</v>
      </c>
      <c r="G186" s="245" t="str" cm="1">
        <f t="array" ref="G186">IF(IFERROR(INDEX(LAM_II_SQFT, MATCH(Crosswalk_API!$A186, LAM_ORG_ID_LIST, 0)), 0) = 0, "No", "Yes")</f>
        <v>Yes</v>
      </c>
      <c r="H186" s="245" t="str">
        <f>IF(OR(G186="Not Applicable", IFERROR(INDEX('Landing Page and Navigation'!$F$31:$F$48, MATCH(C186, 'Landing Page and Navigation'!$A$31:$A$48, 0)), "No") = "No"), "No", "Yes")</f>
        <v>No</v>
      </c>
      <c r="I186" s="245" t="str">
        <f>_xlfn.TEXTJOIN(" - ", TRUE, CW_API_TABLE[[#This Row],[PWSID]],CW_API_TABLE[[#This Row],[PWS_NAME]])</f>
        <v>CA1910004 - GSWC - ARTESIA</v>
      </c>
      <c r="J186" s="246" cm="1">
        <f t="array" ref="J186">IFERROR(SUMPRODUCT((PD_PWSID_LIST=Crosswalk_API!$C186)*(PD_SUM_DEL&gt;0)), 0)</f>
        <v>12</v>
      </c>
    </row>
    <row r="187" spans="1:10" x14ac:dyDescent="0.25">
      <c r="A187" s="234" t="s">
        <v>1361</v>
      </c>
      <c r="B187" t="s">
        <v>1362</v>
      </c>
      <c r="C187" t="s">
        <v>1363</v>
      </c>
      <c r="D187" t="s">
        <v>1364</v>
      </c>
      <c r="E187" t="s">
        <v>693</v>
      </c>
      <c r="F187" t="s">
        <v>109</v>
      </c>
      <c r="G187" s="245" t="str" cm="1">
        <f t="array" ref="G187">IF(IFERROR(INDEX(LAM_II_SQFT, MATCH(Crosswalk_API!$A187, LAM_ORG_ID_LIST, 0)), 0) = 0, "No", "Yes")</f>
        <v>Yes</v>
      </c>
      <c r="H187" s="245" t="str">
        <f>IF(OR(G187="Not Applicable", IFERROR(INDEX('Landing Page and Navigation'!$F$31:$F$48, MATCH(C187, 'Landing Page and Navigation'!$A$31:$A$48, 0)), "No") = "No"), "No", "Yes")</f>
        <v>No</v>
      </c>
      <c r="I187" s="245" t="str">
        <f>_xlfn.TEXTJOIN(" - ", TRUE, CW_API_TABLE[[#This Row],[PWSID]],CW_API_TABLE[[#This Row],[PWS_NAME]])</f>
        <v>CA3610043 - GOLDEN STATE WATER CO - BARSTOW</v>
      </c>
      <c r="J187" s="246" cm="1">
        <f t="array" ref="J187">IFERROR(SUMPRODUCT((PD_PWSID_LIST=Crosswalk_API!$C187)*(PD_SUM_DEL&gt;0)), 0)</f>
        <v>12</v>
      </c>
    </row>
    <row r="188" spans="1:10" x14ac:dyDescent="0.25">
      <c r="A188" s="234" t="s">
        <v>1365</v>
      </c>
      <c r="B188" t="s">
        <v>1366</v>
      </c>
      <c r="C188" t="s">
        <v>1367</v>
      </c>
      <c r="D188" t="s">
        <v>1368</v>
      </c>
      <c r="E188" t="s">
        <v>741</v>
      </c>
      <c r="F188" t="s">
        <v>109</v>
      </c>
      <c r="G188" s="245" t="str" cm="1">
        <f t="array" ref="G188">IF(IFERROR(INDEX(LAM_II_SQFT, MATCH(Crosswalk_API!$A188, LAM_ORG_ID_LIST, 0)), 0) = 0, "No", "Yes")</f>
        <v>Yes</v>
      </c>
      <c r="H188" s="245" t="str">
        <f>IF(OR(G188="Not Applicable", IFERROR(INDEX('Landing Page and Navigation'!$F$31:$F$48, MATCH(C188, 'Landing Page and Navigation'!$A$31:$A$48, 0)), "No") = "No"), "No", "Yes")</f>
        <v>No</v>
      </c>
      <c r="I188" s="245" t="str">
        <f>_xlfn.TEXTJOIN(" - ", TRUE, CW_API_TABLE[[#This Row],[PWSID]],CW_API_TABLE[[#This Row],[PWS_NAME]])</f>
        <v>CA0710002 - GOLDEN STATE WATER COMPANY - BAY POINT</v>
      </c>
      <c r="J188" s="246" cm="1">
        <f t="array" ref="J188">IFERROR(SUMPRODUCT((PD_PWSID_LIST=Crosswalk_API!$C188)*(PD_SUM_DEL&gt;0)), 0)</f>
        <v>12</v>
      </c>
    </row>
    <row r="189" spans="1:10" x14ac:dyDescent="0.25">
      <c r="A189" s="234" t="s">
        <v>1369</v>
      </c>
      <c r="B189" t="s">
        <v>1370</v>
      </c>
      <c r="C189" t="s">
        <v>1371</v>
      </c>
      <c r="D189" t="s">
        <v>1372</v>
      </c>
      <c r="E189" t="s">
        <v>708</v>
      </c>
      <c r="F189" t="s">
        <v>109</v>
      </c>
      <c r="G189" s="245" t="str" cm="1">
        <f t="array" ref="G189">IF(IFERROR(INDEX(LAM_II_SQFT, MATCH(Crosswalk_API!$A189, LAM_ORG_ID_LIST, 0)), 0) = 0, "No", "Yes")</f>
        <v>Yes</v>
      </c>
      <c r="H189" s="245" t="str">
        <f>IF(OR(G189="Not Applicable", IFERROR(INDEX('Landing Page and Navigation'!$F$31:$F$48, MATCH(C189, 'Landing Page and Navigation'!$A$31:$A$48, 0)), "No") = "No"), "No", "Yes")</f>
        <v>No</v>
      </c>
      <c r="I189" s="245" t="str">
        <f>_xlfn.TEXTJOIN(" - ", TRUE, CW_API_TABLE[[#This Row],[PWSID]],CW_API_TABLE[[#This Row],[PWS_NAME]])</f>
        <v>CA1910011 - GSWC - BELL, BELL GARDENS</v>
      </c>
      <c r="J189" s="246" cm="1">
        <f t="array" ref="J189">IFERROR(SUMPRODUCT((PD_PWSID_LIST=Crosswalk_API!$C189)*(PD_SUM_DEL&gt;0)), 0)</f>
        <v>12</v>
      </c>
    </row>
    <row r="190" spans="1:10" x14ac:dyDescent="0.25">
      <c r="A190" s="234" t="s">
        <v>1373</v>
      </c>
      <c r="B190" t="s">
        <v>1374</v>
      </c>
      <c r="C190" t="s">
        <v>1375</v>
      </c>
      <c r="D190" t="s">
        <v>1376</v>
      </c>
      <c r="E190" t="s">
        <v>708</v>
      </c>
      <c r="F190" t="s">
        <v>109</v>
      </c>
      <c r="G190" s="245" t="str" cm="1">
        <f t="array" ref="G190">IF(IFERROR(INDEX(LAM_II_SQFT, MATCH(Crosswalk_API!$A190, LAM_ORG_ID_LIST, 0)), 0) = 0, "No", "Yes")</f>
        <v>Yes</v>
      </c>
      <c r="H190" s="245" t="str">
        <f>IF(OR(G190="Not Applicable", IFERROR(INDEX('Landing Page and Navigation'!$F$31:$F$48, MATCH(C190, 'Landing Page and Navigation'!$A$31:$A$48, 0)), "No") = "No"), "No", "Yes")</f>
        <v>No</v>
      </c>
      <c r="I190" s="245" t="str">
        <f>_xlfn.TEXTJOIN(" - ", TRUE, CW_API_TABLE[[#This Row],[PWSID]],CW_API_TABLE[[#This Row],[PWS_NAME]])</f>
        <v>CA1910024 - GSWC - CLAREMONT</v>
      </c>
      <c r="J190" s="246" cm="1">
        <f t="array" ref="J190">IFERROR(SUMPRODUCT((PD_PWSID_LIST=Crosswalk_API!$C190)*(PD_SUM_DEL&gt;0)), 0)</f>
        <v>12</v>
      </c>
    </row>
    <row r="191" spans="1:10" x14ac:dyDescent="0.25">
      <c r="A191" s="234" t="s">
        <v>1377</v>
      </c>
      <c r="B191" t="s">
        <v>1378</v>
      </c>
      <c r="C191" t="s">
        <v>1379</v>
      </c>
      <c r="D191" t="s">
        <v>1380</v>
      </c>
      <c r="E191" t="s">
        <v>913</v>
      </c>
      <c r="F191" t="s">
        <v>109</v>
      </c>
      <c r="G191" s="245" t="str" cm="1">
        <f t="array" ref="G191">IF(IFERROR(INDEX(LAM_II_SQFT, MATCH(Crosswalk_API!$A191, LAM_ORG_ID_LIST, 0)), 0) = 0, "No", "Yes")</f>
        <v>Yes</v>
      </c>
      <c r="H191" s="245" t="str">
        <f>IF(OR(G191="Not Applicable", IFERROR(INDEX('Landing Page and Navigation'!$F$31:$F$48, MATCH(C191, 'Landing Page and Navigation'!$A$31:$A$48, 0)), "No") = "No"), "No", "Yes")</f>
        <v>No</v>
      </c>
      <c r="I191" s="245" t="str">
        <f>_xlfn.TEXTJOIN(" - ", TRUE, CW_API_TABLE[[#This Row],[PWSID]],CW_API_TABLE[[#This Row],[PWS_NAME]])</f>
        <v>CA3410015 - GOLDEN STATE WATER CO. - CORDOVA</v>
      </c>
      <c r="J191" s="246" cm="1">
        <f t="array" ref="J191">IFERROR(SUMPRODUCT((PD_PWSID_LIST=Crosswalk_API!$C191)*(PD_SUM_DEL&gt;0)), 0)</f>
        <v>12</v>
      </c>
    </row>
    <row r="192" spans="1:10" x14ac:dyDescent="0.25">
      <c r="A192" s="234" t="s">
        <v>1381</v>
      </c>
      <c r="B192" t="s">
        <v>1382</v>
      </c>
      <c r="C192" t="s">
        <v>1383</v>
      </c>
      <c r="D192" t="s">
        <v>1384</v>
      </c>
      <c r="E192" t="s">
        <v>708</v>
      </c>
      <c r="F192" t="s">
        <v>109</v>
      </c>
      <c r="G192" s="245" t="str" cm="1">
        <f t="array" ref="G192">IF(IFERROR(INDEX(LAM_II_SQFT, MATCH(Crosswalk_API!$A192, LAM_ORG_ID_LIST, 0)), 0) = 0, "No", "Yes")</f>
        <v>Yes</v>
      </c>
      <c r="H192" s="245" t="str">
        <f>IF(OR(G192="Not Applicable", IFERROR(INDEX('Landing Page and Navigation'!$F$31:$F$48, MATCH(C192, 'Landing Page and Navigation'!$A$31:$A$48, 0)), "No") = "No"), "No", "Yes")</f>
        <v>No</v>
      </c>
      <c r="I192" s="245" t="str">
        <f>_xlfn.TEXTJOIN(" - ", TRUE, CW_API_TABLE[[#This Row],[PWSID]],CW_API_TABLE[[#This Row],[PWS_NAME]])</f>
        <v>CA1910030 - GSWC - CULVER CITY</v>
      </c>
      <c r="J192" s="246" cm="1">
        <f t="array" ref="J192">IFERROR(SUMPRODUCT((PD_PWSID_LIST=Crosswalk_API!$C192)*(PD_SUM_DEL&gt;0)), 0)</f>
        <v>12</v>
      </c>
    </row>
    <row r="193" spans="1:10" x14ac:dyDescent="0.25">
      <c r="A193" s="234" t="s">
        <v>1385</v>
      </c>
      <c r="B193" t="s">
        <v>1386</v>
      </c>
      <c r="C193" t="s">
        <v>1387</v>
      </c>
      <c r="D193" t="s">
        <v>1388</v>
      </c>
      <c r="E193" t="s">
        <v>708</v>
      </c>
      <c r="F193" t="s">
        <v>109</v>
      </c>
      <c r="G193" s="245" t="str" cm="1">
        <f t="array" ref="G193">IF(IFERROR(INDEX(LAM_II_SQFT, MATCH(Crosswalk_API!$A193, LAM_ORG_ID_LIST, 0)), 0) = 0, "No", "Yes")</f>
        <v>Yes</v>
      </c>
      <c r="H193" s="245" t="str">
        <f>IF(OR(G193="Not Applicable", IFERROR(INDEX('Landing Page and Navigation'!$F$31:$F$48, MATCH(C193, 'Landing Page and Navigation'!$A$31:$A$48, 0)), "No") = "No"), "No", "Yes")</f>
        <v>No</v>
      </c>
      <c r="I193" s="245" t="str">
        <f>_xlfn.TEXTJOIN(" - ", TRUE, CW_API_TABLE[[#This Row],[PWSID]],CW_API_TABLE[[#This Row],[PWS_NAME]])</f>
        <v>CA1910077 - GSWC - FLORENCE/GRAHAM</v>
      </c>
      <c r="J193" s="246" cm="1">
        <f t="array" ref="J193">IFERROR(SUMPRODUCT((PD_PWSID_LIST=Crosswalk_API!$C193)*(PD_SUM_DEL&gt;0)), 0)</f>
        <v>12</v>
      </c>
    </row>
    <row r="194" spans="1:10" x14ac:dyDescent="0.25">
      <c r="A194" s="234" t="s">
        <v>1389</v>
      </c>
      <c r="B194" t="s">
        <v>1390</v>
      </c>
      <c r="C194" t="s">
        <v>1391</v>
      </c>
      <c r="D194" t="s">
        <v>1392</v>
      </c>
      <c r="E194" t="s">
        <v>708</v>
      </c>
      <c r="F194" t="s">
        <v>109</v>
      </c>
      <c r="G194" s="245" t="str" cm="1">
        <f t="array" ref="G194">IF(IFERROR(INDEX(LAM_II_SQFT, MATCH(Crosswalk_API!$A194, LAM_ORG_ID_LIST, 0)), 0) = 0, "No", "Yes")</f>
        <v>Yes</v>
      </c>
      <c r="H194" s="245" t="str">
        <f>IF(OR(G194="Not Applicable", IFERROR(INDEX('Landing Page and Navigation'!$F$31:$F$48, MATCH(C194, 'Landing Page and Navigation'!$A$31:$A$48, 0)), "No") = "No"), "No", "Yes")</f>
        <v>No</v>
      </c>
      <c r="I194" s="245" t="str">
        <f>_xlfn.TEXTJOIN(" - ", TRUE, CW_API_TABLE[[#This Row],[PWSID]],CW_API_TABLE[[#This Row],[PWS_NAME]])</f>
        <v>CA1910098 - GSWC - NORWALK</v>
      </c>
      <c r="J194" s="246" cm="1">
        <f t="array" ref="J194">IFERROR(SUMPRODUCT((PD_PWSID_LIST=Crosswalk_API!$C194)*(PD_SUM_DEL&gt;0)), 0)</f>
        <v>12</v>
      </c>
    </row>
    <row r="195" spans="1:10" x14ac:dyDescent="0.25">
      <c r="A195" s="234" t="s">
        <v>1393</v>
      </c>
      <c r="B195" t="s">
        <v>1394</v>
      </c>
      <c r="C195" t="s">
        <v>1395</v>
      </c>
      <c r="D195" t="s">
        <v>1396</v>
      </c>
      <c r="E195" t="s">
        <v>1089</v>
      </c>
      <c r="F195" t="s">
        <v>109</v>
      </c>
      <c r="G195" s="245" t="str" cm="1">
        <f t="array" ref="G195">IF(IFERROR(INDEX(LAM_II_SQFT, MATCH(Crosswalk_API!$A195, LAM_ORG_ID_LIST, 0)), 0) = 0, "No", "Yes")</f>
        <v>Yes</v>
      </c>
      <c r="H195" s="245" t="str">
        <f>IF(OR(G195="Not Applicable", IFERROR(INDEX('Landing Page and Navigation'!$F$31:$F$48, MATCH(C195, 'Landing Page and Navigation'!$A$31:$A$48, 0)), "No") = "No"), "No", "Yes")</f>
        <v>No</v>
      </c>
      <c r="I195" s="245" t="str">
        <f>_xlfn.TEXTJOIN(" - ", TRUE, CW_API_TABLE[[#This Row],[PWSID]],CW_API_TABLE[[#This Row],[PWS_NAME]])</f>
        <v>CA4210016 - GOLDEN STATE WATER COMPANY - ORCUTT</v>
      </c>
      <c r="J195" s="246" cm="1">
        <f t="array" ref="J195">IFERROR(SUMPRODUCT((PD_PWSID_LIST=Crosswalk_API!$C195)*(PD_SUM_DEL&gt;0)), 0)</f>
        <v>12</v>
      </c>
    </row>
    <row r="196" spans="1:10" x14ac:dyDescent="0.25">
      <c r="A196" s="234" t="s">
        <v>1397</v>
      </c>
      <c r="B196" t="s">
        <v>1398</v>
      </c>
      <c r="C196" t="s">
        <v>1399</v>
      </c>
      <c r="D196" t="s">
        <v>1400</v>
      </c>
      <c r="E196" t="s">
        <v>731</v>
      </c>
      <c r="F196" t="s">
        <v>109</v>
      </c>
      <c r="G196" s="245" t="str" cm="1">
        <f t="array" ref="G196">IF(IFERROR(INDEX(LAM_II_SQFT, MATCH(Crosswalk_API!$A196, LAM_ORG_ID_LIST, 0)), 0) = 0, "No", "Yes")</f>
        <v>Yes</v>
      </c>
      <c r="H196" s="245" t="str">
        <f>IF(OR(G196="Not Applicable", IFERROR(INDEX('Landing Page and Navigation'!$F$31:$F$48, MATCH(C196, 'Landing Page and Navigation'!$A$31:$A$48, 0)), "No") = "No"), "No", "Yes")</f>
        <v>No</v>
      </c>
      <c r="I196" s="245" t="str">
        <f>_xlfn.TEXTJOIN(" - ", TRUE, CW_API_TABLE[[#This Row],[PWSID]],CW_API_TABLE[[#This Row],[PWS_NAME]])</f>
        <v>CA3010035 - GOLDEN STATE WC - PLACENTIA/YORBA LINDA</v>
      </c>
      <c r="J196" s="246" cm="1">
        <f t="array" ref="J196">IFERROR(SUMPRODUCT((PD_PWSID_LIST=Crosswalk_API!$C196)*(PD_SUM_DEL&gt;0)), 0)</f>
        <v>12</v>
      </c>
    </row>
    <row r="197" spans="1:10" x14ac:dyDescent="0.25">
      <c r="A197" s="234" t="s">
        <v>1401</v>
      </c>
      <c r="B197" t="s">
        <v>1402</v>
      </c>
      <c r="C197" t="s">
        <v>1403</v>
      </c>
      <c r="D197" t="s">
        <v>1404</v>
      </c>
      <c r="E197" t="s">
        <v>708</v>
      </c>
      <c r="F197" t="s">
        <v>109</v>
      </c>
      <c r="G197" s="245" t="str" cm="1">
        <f t="array" ref="G197">IF(IFERROR(INDEX(LAM_II_SQFT, MATCH(Crosswalk_API!$A197, LAM_ORG_ID_LIST, 0)), 0) = 0, "No", "Yes")</f>
        <v>Yes</v>
      </c>
      <c r="H197" s="245" t="str">
        <f>IF(OR(G197="Not Applicable", IFERROR(INDEX('Landing Page and Navigation'!$F$31:$F$48, MATCH(C197, 'Landing Page and Navigation'!$A$31:$A$48, 0)), "No") = "No"), "No", "Yes")</f>
        <v>No</v>
      </c>
      <c r="I197" s="245" t="str">
        <f>_xlfn.TEXTJOIN(" - ", TRUE, CW_API_TABLE[[#This Row],[PWSID]],CW_API_TABLE[[#This Row],[PWS_NAME]])</f>
        <v>CA1910142 - GSWC-SAN DIMAS</v>
      </c>
      <c r="J197" s="246" cm="1">
        <f t="array" ref="J197">IFERROR(SUMPRODUCT((PD_PWSID_LIST=Crosswalk_API!$C197)*(PD_SUM_DEL&gt;0)), 0)</f>
        <v>12</v>
      </c>
    </row>
    <row r="198" spans="1:10" x14ac:dyDescent="0.25">
      <c r="A198" s="234" t="s">
        <v>1405</v>
      </c>
      <c r="B198" t="s">
        <v>1406</v>
      </c>
      <c r="C198" t="s">
        <v>1407</v>
      </c>
      <c r="D198" t="s">
        <v>1408</v>
      </c>
      <c r="E198" t="s">
        <v>942</v>
      </c>
      <c r="F198" t="s">
        <v>109</v>
      </c>
      <c r="G198" s="245" t="str" cm="1">
        <f t="array" ref="G198">IF(IFERROR(INDEX(LAM_II_SQFT, MATCH(Crosswalk_API!$A198, LAM_ORG_ID_LIST, 0)), 0) = 0, "No", "Yes")</f>
        <v>Yes</v>
      </c>
      <c r="H198" s="245" t="str">
        <f>IF(OR(G198="Not Applicable", IFERROR(INDEX('Landing Page and Navigation'!$F$31:$F$48, MATCH(C198, 'Landing Page and Navigation'!$A$31:$A$48, 0)), "No") = "No"), "No", "Yes")</f>
        <v>No</v>
      </c>
      <c r="I198" s="245" t="str">
        <f>_xlfn.TEXTJOIN(" - ", TRUE, CW_API_TABLE[[#This Row],[PWSID]],CW_API_TABLE[[#This Row],[PWS_NAME]])</f>
        <v>CA5610059 - GOLDEN STATE WATER COMPANY - SIMI VALLEY</v>
      </c>
      <c r="J198" s="246" cm="1">
        <f t="array" ref="J198">IFERROR(SUMPRODUCT((PD_PWSID_LIST=Crosswalk_API!$C198)*(PD_SUM_DEL&gt;0)), 0)</f>
        <v>12</v>
      </c>
    </row>
    <row r="199" spans="1:10" x14ac:dyDescent="0.25">
      <c r="A199" s="234" t="s">
        <v>1409</v>
      </c>
      <c r="B199" t="s">
        <v>1410</v>
      </c>
      <c r="C199" t="s">
        <v>1411</v>
      </c>
      <c r="D199" t="s">
        <v>1412</v>
      </c>
      <c r="E199" t="s">
        <v>708</v>
      </c>
      <c r="F199" t="s">
        <v>109</v>
      </c>
      <c r="G199" s="245" t="str" cm="1">
        <f t="array" ref="G199">IF(IFERROR(INDEX(LAM_II_SQFT, MATCH(Crosswalk_API!$A199, LAM_ORG_ID_LIST, 0)), 0) = 0, "No", "Yes")</f>
        <v>Yes</v>
      </c>
      <c r="H199" s="245" t="str">
        <f>IF(OR(G199="Not Applicable", IFERROR(INDEX('Landing Page and Navigation'!$F$31:$F$48, MATCH(C199, 'Landing Page and Navigation'!$A$31:$A$48, 0)), "No") = "No"), "No", "Yes")</f>
        <v>No</v>
      </c>
      <c r="I199" s="245" t="str">
        <f>_xlfn.TEXTJOIN(" - ", TRUE, CW_API_TABLE[[#This Row],[PWSID]],CW_API_TABLE[[#This Row],[PWS_NAME]])</f>
        <v>CA1910212 - GSWC-SOUTH ARCADIA</v>
      </c>
      <c r="J199" s="246" cm="1">
        <f t="array" ref="J199">IFERROR(SUMPRODUCT((PD_PWSID_LIST=Crosswalk_API!$C199)*(PD_SUM_DEL&gt;0)), 0)</f>
        <v>12</v>
      </c>
    </row>
    <row r="200" spans="1:10" x14ac:dyDescent="0.25">
      <c r="A200" s="234" t="s">
        <v>1413</v>
      </c>
      <c r="B200" t="s">
        <v>1414</v>
      </c>
      <c r="C200" t="s">
        <v>1415</v>
      </c>
      <c r="D200" t="s">
        <v>1416</v>
      </c>
      <c r="E200" t="s">
        <v>708</v>
      </c>
      <c r="F200" t="s">
        <v>109</v>
      </c>
      <c r="G200" s="245" t="str" cm="1">
        <f t="array" ref="G200">IF(IFERROR(INDEX(LAM_II_SQFT, MATCH(Crosswalk_API!$A200, LAM_ORG_ID_LIST, 0)), 0) = 0, "No", "Yes")</f>
        <v>Yes</v>
      </c>
      <c r="H200" s="245" t="str">
        <f>IF(OR(G200="Not Applicable", IFERROR(INDEX('Landing Page and Navigation'!$F$31:$F$48, MATCH(C200, 'Landing Page and Navigation'!$A$31:$A$48, 0)), "No") = "No"), "No", "Yes")</f>
        <v>No</v>
      </c>
      <c r="I200" s="245" t="str">
        <f>_xlfn.TEXTJOIN(" - ", TRUE, CW_API_TABLE[[#This Row],[PWSID]],CW_API_TABLE[[#This Row],[PWS_NAME]])</f>
        <v>CA1910223 - GSWC-SOUTH SAN GABRIEL</v>
      </c>
      <c r="J200" s="246" cm="1">
        <f t="array" ref="J200">IFERROR(SUMPRODUCT((PD_PWSID_LIST=Crosswalk_API!$C200)*(PD_SUM_DEL&gt;0)), 0)</f>
        <v>12</v>
      </c>
    </row>
    <row r="201" spans="1:10" x14ac:dyDescent="0.25">
      <c r="A201" s="234" t="s">
        <v>1417</v>
      </c>
      <c r="B201" t="s">
        <v>1418</v>
      </c>
      <c r="C201" t="s">
        <v>1419</v>
      </c>
      <c r="D201" t="s">
        <v>1420</v>
      </c>
      <c r="E201" t="s">
        <v>708</v>
      </c>
      <c r="F201" t="s">
        <v>109</v>
      </c>
      <c r="G201" s="245" t="str" cm="1">
        <f t="array" ref="G201">IF(IFERROR(INDEX(LAM_II_SQFT, MATCH(Crosswalk_API!$A201, LAM_ORG_ID_LIST, 0)), 0) = 0, "No", "Yes")</f>
        <v>Yes</v>
      </c>
      <c r="H201" s="245" t="str">
        <f>IF(OR(G201="Not Applicable", IFERROR(INDEX('Landing Page and Navigation'!$F$31:$F$48, MATCH(C201, 'Landing Page and Navigation'!$A$31:$A$48, 0)), "No") = "No"), "No", "Yes")</f>
        <v>No</v>
      </c>
      <c r="I201" s="245" t="str">
        <f>_xlfn.TEXTJOIN(" - ", TRUE, CW_API_TABLE[[#This Row],[PWSID]],CW_API_TABLE[[#This Row],[PWS_NAME]])</f>
        <v>CA1910155 - GSWC - SOUTHWEST</v>
      </c>
      <c r="J201" s="246" cm="1">
        <f t="array" ref="J201">IFERROR(SUMPRODUCT((PD_PWSID_LIST=Crosswalk_API!$C201)*(PD_SUM_DEL&gt;0)), 0)</f>
        <v>12</v>
      </c>
    </row>
    <row r="202" spans="1:10" x14ac:dyDescent="0.25">
      <c r="A202" s="234" t="s">
        <v>1421</v>
      </c>
      <c r="B202" t="s">
        <v>1422</v>
      </c>
      <c r="C202" t="s">
        <v>1423</v>
      </c>
      <c r="D202" t="s">
        <v>1424</v>
      </c>
      <c r="E202" t="s">
        <v>731</v>
      </c>
      <c r="F202" t="s">
        <v>109</v>
      </c>
      <c r="G202" s="245" t="str" cm="1">
        <f t="array" ref="G202">IF(IFERROR(INDEX(LAM_II_SQFT, MATCH(Crosswalk_API!$A202, LAM_ORG_ID_LIST, 0)), 0) = 0, "No", "Yes")</f>
        <v>Yes</v>
      </c>
      <c r="H202" s="245" t="str">
        <f>IF(OR(G202="Not Applicable", IFERROR(INDEX('Landing Page and Navigation'!$F$31:$F$48, MATCH(C202, 'Landing Page and Navigation'!$A$31:$A$48, 0)), "No") = "No"), "No", "Yes")</f>
        <v>No</v>
      </c>
      <c r="I202" s="245" t="str">
        <f>_xlfn.TEXTJOIN(" - ", TRUE, CW_API_TABLE[[#This Row],[PWSID]],CW_API_TABLE[[#This Row],[PWS_NAME]])</f>
        <v>CA3010022 - GOLDEN STATE WC - WEST ORANGE COUNTY</v>
      </c>
      <c r="J202" s="246" cm="1">
        <f t="array" ref="J202">IFERROR(SUMPRODUCT((PD_PWSID_LIST=Crosswalk_API!$C202)*(PD_SUM_DEL&gt;0)), 0)</f>
        <v>12</v>
      </c>
    </row>
    <row r="203" spans="1:10" x14ac:dyDescent="0.25">
      <c r="A203" s="234" t="s">
        <v>1425</v>
      </c>
      <c r="B203" t="s">
        <v>1426</v>
      </c>
      <c r="C203" t="s">
        <v>1427</v>
      </c>
      <c r="D203" t="s">
        <v>1428</v>
      </c>
      <c r="E203" t="s">
        <v>1089</v>
      </c>
      <c r="F203" t="s">
        <v>109</v>
      </c>
      <c r="G203" s="245" t="str" cm="1">
        <f t="array" ref="G203">IF(IFERROR(INDEX(LAM_II_SQFT, MATCH(Crosswalk_API!$A203, LAM_ORG_ID_LIST, 0)), 0) = 0, "No", "Yes")</f>
        <v>Yes</v>
      </c>
      <c r="H203" s="245" t="str">
        <f>IF(OR(G203="Not Applicable", IFERROR(INDEX('Landing Page and Navigation'!$F$31:$F$48, MATCH(C203, 'Landing Page and Navigation'!$A$31:$A$48, 0)), "No") = "No"), "No", "Yes")</f>
        <v>No</v>
      </c>
      <c r="I203" s="245" t="str">
        <f>_xlfn.TEXTJOIN(" - ", TRUE, CW_API_TABLE[[#This Row],[PWSID]],CW_API_TABLE[[#This Row],[PWS_NAME]])</f>
        <v>CA4210004 - GOLETA WATER DISTRICT</v>
      </c>
      <c r="J203" s="246" cm="1">
        <f t="array" ref="J203">IFERROR(SUMPRODUCT((PD_PWSID_LIST=Crosswalk_API!$C203)*(PD_SUM_DEL&gt;0)), 0)</f>
        <v>12</v>
      </c>
    </row>
    <row r="204" spans="1:10" x14ac:dyDescent="0.25">
      <c r="A204" s="234" t="s">
        <v>1429</v>
      </c>
      <c r="B204" t="s">
        <v>1430</v>
      </c>
      <c r="C204" t="s">
        <v>1431</v>
      </c>
      <c r="D204" t="s">
        <v>1432</v>
      </c>
      <c r="E204" t="s">
        <v>1007</v>
      </c>
      <c r="F204" t="s">
        <v>109</v>
      </c>
      <c r="G204" s="245" t="str" cm="1">
        <f t="array" ref="G204">IF(IFERROR(INDEX(LAM_II_SQFT, MATCH(Crosswalk_API!$A204, LAM_ORG_ID_LIST, 0)), 0) = 0, "No", "Yes")</f>
        <v>Yes</v>
      </c>
      <c r="H204" s="245" t="str">
        <f>IF(OR(G204="Not Applicable", IFERROR(INDEX('Landing Page and Navigation'!$F$31:$F$48, MATCH(C204, 'Landing Page and Navigation'!$A$31:$A$48, 0)), "No") = "No"), "No", "Yes")</f>
        <v>No</v>
      </c>
      <c r="I204" s="245" t="str">
        <f>_xlfn.TEXTJOIN(" - ", TRUE, CW_API_TABLE[[#This Row],[PWSID]],CW_API_TABLE[[#This Row],[PWS_NAME]])</f>
        <v>CA4310022 - GREAT OAKS WC INC</v>
      </c>
      <c r="J204" s="246" cm="1">
        <f t="array" ref="J204">IFERROR(SUMPRODUCT((PD_PWSID_LIST=Crosswalk_API!$C204)*(PD_SUM_DEL&gt;0)), 0)</f>
        <v>12</v>
      </c>
    </row>
    <row r="205" spans="1:10" x14ac:dyDescent="0.25">
      <c r="A205" s="234" t="s">
        <v>1433</v>
      </c>
      <c r="B205" t="s">
        <v>1434</v>
      </c>
      <c r="C205" t="s">
        <v>1435</v>
      </c>
      <c r="D205" t="s">
        <v>1436</v>
      </c>
      <c r="E205" t="s">
        <v>703</v>
      </c>
      <c r="F205" t="s">
        <v>109</v>
      </c>
      <c r="G205" s="245" t="str" cm="1">
        <f t="array" ref="G205">IF(IFERROR(INDEX(LAM_II_SQFT, MATCH(Crosswalk_API!$A205, LAM_ORG_ID_LIST, 0)), 0) = 0, "No", "Yes")</f>
        <v>Yes</v>
      </c>
      <c r="H205" s="245" t="str">
        <f>IF(OR(G205="Not Applicable", IFERROR(INDEX('Landing Page and Navigation'!$F$31:$F$48, MATCH(C205, 'Landing Page and Navigation'!$A$31:$A$48, 0)), "No") = "No"), "No", "Yes")</f>
        <v>No</v>
      </c>
      <c r="I205" s="245" t="str">
        <f>_xlfn.TEXTJOIN(" - ", TRUE, CW_API_TABLE[[#This Row],[PWSID]],CW_API_TABLE[[#This Row],[PWS_NAME]])</f>
        <v>CA2710008 - GREENFIELD, CITY OF</v>
      </c>
      <c r="J205" s="246" cm="1">
        <f t="array" ref="J205">IFERROR(SUMPRODUCT((PD_PWSID_LIST=Crosswalk_API!$C205)*(PD_SUM_DEL&gt;0)), 0)</f>
        <v>12</v>
      </c>
    </row>
    <row r="206" spans="1:10" x14ac:dyDescent="0.25">
      <c r="A206" s="234" t="s">
        <v>1437</v>
      </c>
      <c r="B206" t="s">
        <v>1438</v>
      </c>
      <c r="C206" t="s">
        <v>1439</v>
      </c>
      <c r="D206" t="s">
        <v>1440</v>
      </c>
      <c r="E206" t="s">
        <v>766</v>
      </c>
      <c r="F206" t="s">
        <v>109</v>
      </c>
      <c r="G206" s="245" t="str" cm="1">
        <f t="array" ref="G206">IF(IFERROR(INDEX(LAM_II_SQFT, MATCH(Crosswalk_API!$A206, LAM_ORG_ID_LIST, 0)), 0) = 0, "No", "Yes")</f>
        <v>Yes</v>
      </c>
      <c r="H206" s="245" t="str">
        <f>IF(OR(G206="Not Applicable", IFERROR(INDEX('Landing Page and Navigation'!$F$31:$F$48, MATCH(C206, 'Landing Page and Navigation'!$A$31:$A$48, 0)), "No") = "No"), "No", "Yes")</f>
        <v>No</v>
      </c>
      <c r="I206" s="245" t="str">
        <f>_xlfn.TEXTJOIN(" - ", TRUE, CW_API_TABLE[[#This Row],[PWSID]],CW_API_TABLE[[#This Row],[PWS_NAME]])</f>
        <v>CA1510024 - GREENFIELD COUNTY WD</v>
      </c>
      <c r="J206" s="246" cm="1">
        <f t="array" ref="J206">IFERROR(SUMPRODUCT((PD_PWSID_LIST=Crosswalk_API!$C206)*(PD_SUM_DEL&gt;0)), 0)</f>
        <v>12</v>
      </c>
    </row>
    <row r="207" spans="1:10" x14ac:dyDescent="0.25">
      <c r="A207" s="234" t="s">
        <v>1441</v>
      </c>
      <c r="B207" t="s">
        <v>1442</v>
      </c>
      <c r="C207" t="s">
        <v>1443</v>
      </c>
      <c r="D207" t="s">
        <v>1444</v>
      </c>
      <c r="E207" t="s">
        <v>1445</v>
      </c>
      <c r="F207" t="s">
        <v>109</v>
      </c>
      <c r="G207" s="245" t="str" cm="1">
        <f t="array" ref="G207">IF(IFERROR(INDEX(LAM_II_SQFT, MATCH(Crosswalk_API!$A207, LAM_ORG_ID_LIST, 0)), 0) = 0, "No", "Yes")</f>
        <v>Yes</v>
      </c>
      <c r="H207" s="245" t="str">
        <f>IF(OR(G207="Not Applicable", IFERROR(INDEX('Landing Page and Navigation'!$F$31:$F$48, MATCH(C207, 'Landing Page and Navigation'!$A$31:$A$48, 0)), "No") = "No"), "No", "Yes")</f>
        <v>No</v>
      </c>
      <c r="I207" s="245" t="str">
        <f>_xlfn.TEXTJOIN(" - ", TRUE, CW_API_TABLE[[#This Row],[PWSID]],CW_API_TABLE[[#This Row],[PWS_NAME]])</f>
        <v>CA5510009 - GROVELAND COMMUNITY SERV DIST</v>
      </c>
      <c r="J207" s="246" cm="1">
        <f t="array" ref="J207">IFERROR(SUMPRODUCT((PD_PWSID_LIST=Crosswalk_API!$C207)*(PD_SUM_DEL&gt;0)), 0)</f>
        <v>12</v>
      </c>
    </row>
    <row r="208" spans="1:10" x14ac:dyDescent="0.25">
      <c r="A208" s="234" t="s">
        <v>1446</v>
      </c>
      <c r="B208" t="s">
        <v>1447</v>
      </c>
      <c r="C208" t="s">
        <v>1448</v>
      </c>
      <c r="D208" t="s">
        <v>1449</v>
      </c>
      <c r="E208" t="s">
        <v>761</v>
      </c>
      <c r="F208" t="s">
        <v>109</v>
      </c>
      <c r="G208" s="245" t="str" cm="1">
        <f t="array" ref="G208">IF(IFERROR(INDEX(LAM_II_SQFT, MATCH(Crosswalk_API!$A208, LAM_ORG_ID_LIST, 0)), 0) = 0, "No", "Yes")</f>
        <v>Yes</v>
      </c>
      <c r="H208" s="245" t="str">
        <f>IF(OR(G208="Not Applicable", IFERROR(INDEX('Landing Page and Navigation'!$F$31:$F$48, MATCH(C208, 'Landing Page and Navigation'!$A$31:$A$48, 0)), "No") = "No"), "No", "Yes")</f>
        <v>No</v>
      </c>
      <c r="I208" s="245" t="str">
        <f>_xlfn.TEXTJOIN(" - ", TRUE, CW_API_TABLE[[#This Row],[PWSID]],CW_API_TABLE[[#This Row],[PWS_NAME]])</f>
        <v>CA4010004 - GROVER BEACH WATER DEPARTMENT</v>
      </c>
      <c r="J208" s="246" cm="1">
        <f t="array" ref="J208">IFERROR(SUMPRODUCT((PD_PWSID_LIST=Crosswalk_API!$C208)*(PD_SUM_DEL&gt;0)), 0)</f>
        <v>12</v>
      </c>
    </row>
    <row r="209" spans="1:10" x14ac:dyDescent="0.25">
      <c r="A209" s="234" t="s">
        <v>1450</v>
      </c>
      <c r="B209" t="s">
        <v>1451</v>
      </c>
      <c r="C209" t="s">
        <v>1452</v>
      </c>
      <c r="D209" t="s">
        <v>1453</v>
      </c>
      <c r="E209" t="s">
        <v>1160</v>
      </c>
      <c r="F209" t="s">
        <v>109</v>
      </c>
      <c r="G209" s="245" t="str" cm="1">
        <f t="array" ref="G209">IF(IFERROR(INDEX(LAM_II_SQFT, MATCH(Crosswalk_API!$A209, LAM_ORG_ID_LIST, 0)), 0) = 0, "No", "Yes")</f>
        <v>Yes</v>
      </c>
      <c r="H209" s="245" t="str">
        <f>IF(OR(G209="Not Applicable", IFERROR(INDEX('Landing Page and Navigation'!$F$31:$F$48, MATCH(C209, 'Landing Page and Navigation'!$A$31:$A$48, 0)), "No") = "No"), "No", "Yes")</f>
        <v>No</v>
      </c>
      <c r="I209" s="245" t="str">
        <f>_xlfn.TEXTJOIN(" - ", TRUE, CW_API_TABLE[[#This Row],[PWSID]],CW_API_TABLE[[#This Row],[PWS_NAME]])</f>
        <v>CA1610003 - HANFORD, CITY OF</v>
      </c>
      <c r="J209" s="246" cm="1">
        <f t="array" ref="J209">IFERROR(SUMPRODUCT((PD_PWSID_LIST=Crosswalk_API!$C209)*(PD_SUM_DEL&gt;0)), 0)</f>
        <v>12</v>
      </c>
    </row>
    <row r="210" spans="1:10" x14ac:dyDescent="0.25">
      <c r="A210" s="234" t="s">
        <v>1454</v>
      </c>
      <c r="B210" t="s">
        <v>1455</v>
      </c>
      <c r="C210" t="s">
        <v>1456</v>
      </c>
      <c r="D210" t="s">
        <v>1457</v>
      </c>
      <c r="E210" t="s">
        <v>708</v>
      </c>
      <c r="F210" t="s">
        <v>109</v>
      </c>
      <c r="G210" s="245" t="str" cm="1">
        <f t="array" ref="G210">IF(IFERROR(INDEX(LAM_II_SQFT, MATCH(Crosswalk_API!$A210, LAM_ORG_ID_LIST, 0)), 0) = 0, "No", "Yes")</f>
        <v>Yes</v>
      </c>
      <c r="H210" s="245" t="str">
        <f>IF(OR(G210="Not Applicable", IFERROR(INDEX('Landing Page and Navigation'!$F$31:$F$48, MATCH(C210, 'Landing Page and Navigation'!$A$31:$A$48, 0)), "No") = "No"), "No", "Yes")</f>
        <v>No</v>
      </c>
      <c r="I210" s="245" t="str">
        <f>_xlfn.TEXTJOIN(" - ", TRUE, CW_API_TABLE[[#This Row],[PWSID]],CW_API_TABLE[[#This Row],[PWS_NAME]])</f>
        <v>CA1910047 - HAWTHORNE-CITY WATER DEPT.</v>
      </c>
      <c r="J210" s="246" cm="1">
        <f t="array" ref="J210">IFERROR(SUMPRODUCT((PD_PWSID_LIST=Crosswalk_API!$C210)*(PD_SUM_DEL&gt;0)), 0)</f>
        <v>12</v>
      </c>
    </row>
    <row r="211" spans="1:10" x14ac:dyDescent="0.25">
      <c r="A211" s="234" t="s">
        <v>1458</v>
      </c>
      <c r="B211" t="s">
        <v>1459</v>
      </c>
      <c r="C211" t="s">
        <v>1460</v>
      </c>
      <c r="D211" t="s">
        <v>1461</v>
      </c>
      <c r="E211" t="s">
        <v>698</v>
      </c>
      <c r="F211" t="s">
        <v>109</v>
      </c>
      <c r="G211" s="245" t="str" cm="1">
        <f t="array" ref="G211">IF(IFERROR(INDEX(LAM_II_SQFT, MATCH(Crosswalk_API!$A211, LAM_ORG_ID_LIST, 0)), 0) = 0, "No", "Yes")</f>
        <v>Yes</v>
      </c>
      <c r="H211" s="245" t="str">
        <f>IF(OR(G211="Not Applicable", IFERROR(INDEX('Landing Page and Navigation'!$F$31:$F$48, MATCH(C211, 'Landing Page and Navigation'!$A$31:$A$48, 0)), "No") = "No"), "No", "Yes")</f>
        <v>No</v>
      </c>
      <c r="I211" s="245" t="str">
        <f>_xlfn.TEXTJOIN(" - ", TRUE, CW_API_TABLE[[#This Row],[PWSID]],CW_API_TABLE[[#This Row],[PWS_NAME]])</f>
        <v>CA0110006 - CITY OF HAYWARD</v>
      </c>
      <c r="J211" s="246" cm="1">
        <f t="array" ref="J211">IFERROR(SUMPRODUCT((PD_PWSID_LIST=Crosswalk_API!$C211)*(PD_SUM_DEL&gt;0)), 0)</f>
        <v>12</v>
      </c>
    </row>
    <row r="212" spans="1:10" x14ac:dyDescent="0.25">
      <c r="A212" s="234" t="s">
        <v>1462</v>
      </c>
      <c r="B212" t="s">
        <v>1463</v>
      </c>
      <c r="C212" t="s">
        <v>1464</v>
      </c>
      <c r="D212" t="s">
        <v>1465</v>
      </c>
      <c r="E212" t="s">
        <v>1121</v>
      </c>
      <c r="F212" t="s">
        <v>109</v>
      </c>
      <c r="G212" s="245" t="str" cm="1">
        <f t="array" ref="G212">IF(IFERROR(INDEX(LAM_II_SQFT, MATCH(Crosswalk_API!$A212, LAM_ORG_ID_LIST, 0)), 0) = 0, "No", "Yes")</f>
        <v>Yes</v>
      </c>
      <c r="H212" s="245" t="str">
        <f>IF(OR(G212="Not Applicable", IFERROR(INDEX('Landing Page and Navigation'!$F$31:$F$48, MATCH(C212, 'Landing Page and Navigation'!$A$31:$A$48, 0)), "No") = "No"), "No", "Yes")</f>
        <v>No</v>
      </c>
      <c r="I212" s="245" t="str">
        <f>_xlfn.TEXTJOIN(" - ", TRUE, CW_API_TABLE[[#This Row],[PWSID]],CW_API_TABLE[[#This Row],[PWS_NAME]])</f>
        <v>CA4910005 - HEALDSBURG, CITY OF</v>
      </c>
      <c r="J212" s="246" cm="1">
        <f t="array" ref="J212">IFERROR(SUMPRODUCT((PD_PWSID_LIST=Crosswalk_API!$C212)*(PD_SUM_DEL&gt;0)), 0)</f>
        <v>12</v>
      </c>
    </row>
    <row r="213" spans="1:10" x14ac:dyDescent="0.25">
      <c r="A213" s="234" t="s">
        <v>1466</v>
      </c>
      <c r="B213" t="s">
        <v>1467</v>
      </c>
      <c r="C213" t="s">
        <v>1468</v>
      </c>
      <c r="D213" t="s">
        <v>1469</v>
      </c>
      <c r="E213" t="s">
        <v>937</v>
      </c>
      <c r="F213" t="s">
        <v>109</v>
      </c>
      <c r="G213" s="245" t="str" cm="1">
        <f t="array" ref="G213">IF(IFERROR(INDEX(LAM_II_SQFT, MATCH(Crosswalk_API!$A213, LAM_ORG_ID_LIST, 0)), 0) = 0, "No", "Yes")</f>
        <v>Yes</v>
      </c>
      <c r="H213" s="245" t="str">
        <f>IF(OR(G213="Not Applicable", IFERROR(INDEX('Landing Page and Navigation'!$F$31:$F$48, MATCH(C213, 'Landing Page and Navigation'!$A$31:$A$48, 0)), "No") = "No"), "No", "Yes")</f>
        <v>No</v>
      </c>
      <c r="I213" s="245" t="str">
        <f>_xlfn.TEXTJOIN(" - ", TRUE, CW_API_TABLE[[#This Row],[PWSID]],CW_API_TABLE[[#This Row],[PWS_NAME]])</f>
        <v>CA3710010 - HELIX WATER DISTRICT</v>
      </c>
      <c r="J213" s="246" cm="1">
        <f t="array" ref="J213">IFERROR(SUMPRODUCT((PD_PWSID_LIST=Crosswalk_API!$C213)*(PD_SUM_DEL&gt;0)), 0)</f>
        <v>12</v>
      </c>
    </row>
    <row r="214" spans="1:10" x14ac:dyDescent="0.25">
      <c r="A214" s="234" t="s">
        <v>1470</v>
      </c>
      <c r="B214" t="s">
        <v>1471</v>
      </c>
      <c r="C214" t="s">
        <v>1472</v>
      </c>
      <c r="D214" t="s">
        <v>1473</v>
      </c>
      <c r="E214" t="s">
        <v>793</v>
      </c>
      <c r="F214" t="s">
        <v>109</v>
      </c>
      <c r="G214" s="245" t="str" cm="1">
        <f t="array" ref="G214">IF(IFERROR(INDEX(LAM_II_SQFT, MATCH(Crosswalk_API!$A214, LAM_ORG_ID_LIST, 0)), 0) = 0, "No", "Yes")</f>
        <v>Yes</v>
      </c>
      <c r="H214" s="245" t="str">
        <f>IF(OR(G214="Not Applicable", IFERROR(INDEX('Landing Page and Navigation'!$F$31:$F$48, MATCH(C214, 'Landing Page and Navigation'!$A$31:$A$48, 0)), "No") = "No"), "No", "Yes")</f>
        <v>No</v>
      </c>
      <c r="I214" s="245" t="str">
        <f>_xlfn.TEXTJOIN(" - ", TRUE, CW_API_TABLE[[#This Row],[PWSID]],CW_API_TABLE[[#This Row],[PWS_NAME]])</f>
        <v>CA3310016 - HEMET, CITY OF</v>
      </c>
      <c r="J214" s="246" cm="1">
        <f t="array" ref="J214">IFERROR(SUMPRODUCT((PD_PWSID_LIST=Crosswalk_API!$C214)*(PD_SUM_DEL&gt;0)), 0)</f>
        <v>12</v>
      </c>
    </row>
    <row r="215" spans="1:10" x14ac:dyDescent="0.25">
      <c r="A215" s="234" t="s">
        <v>1474</v>
      </c>
      <c r="B215" t="s">
        <v>1475</v>
      </c>
      <c r="C215" t="s">
        <v>1476</v>
      </c>
      <c r="D215" t="s">
        <v>1477</v>
      </c>
      <c r="E215" t="s">
        <v>693</v>
      </c>
      <c r="F215" t="s">
        <v>109</v>
      </c>
      <c r="G215" s="245" t="str" cm="1">
        <f t="array" ref="G215">IF(IFERROR(INDEX(LAM_II_SQFT, MATCH(Crosswalk_API!$A215, LAM_ORG_ID_LIST, 0)), 0) = 0, "No", "Yes")</f>
        <v>Yes</v>
      </c>
      <c r="H215" s="245" t="str">
        <f>IF(OR(G215="Not Applicable", IFERROR(INDEX('Landing Page and Navigation'!$F$31:$F$48, MATCH(C215, 'Landing Page and Navigation'!$A$31:$A$48, 0)), "No") = "No"), "No", "Yes")</f>
        <v>No</v>
      </c>
      <c r="I215" s="245" t="str">
        <f>_xlfn.TEXTJOIN(" - ", TRUE, CW_API_TABLE[[#This Row],[PWSID]],CW_API_TABLE[[#This Row],[PWS_NAME]])</f>
        <v>CA3610024 - HESPERIA WD</v>
      </c>
      <c r="J215" s="246" cm="1">
        <f t="array" ref="J215">IFERROR(SUMPRODUCT((PD_PWSID_LIST=Crosswalk_API!$C215)*(PD_SUM_DEL&gt;0)), 0)</f>
        <v>12</v>
      </c>
    </row>
    <row r="216" spans="1:10" x14ac:dyDescent="0.25">
      <c r="A216" s="234" t="s">
        <v>1478</v>
      </c>
      <c r="B216" t="s">
        <v>1479</v>
      </c>
      <c r="C216" t="s">
        <v>1480</v>
      </c>
      <c r="D216" t="s">
        <v>1481</v>
      </c>
      <c r="E216" t="s">
        <v>693</v>
      </c>
      <c r="F216" t="s">
        <v>109</v>
      </c>
      <c r="G216" s="245" t="str" cm="1">
        <f t="array" ref="G216">IF(IFERROR(INDEX(LAM_II_SQFT, MATCH(Crosswalk_API!$A216, LAM_ORG_ID_LIST, 0)), 0) = 0, "No", "Yes")</f>
        <v>Yes</v>
      </c>
      <c r="H216" s="245" t="str">
        <f>IF(OR(G216="Not Applicable", IFERROR(INDEX('Landing Page and Navigation'!$F$31:$F$48, MATCH(C216, 'Landing Page and Navigation'!$A$31:$A$48, 0)), "No") = "No"), "No", "Yes")</f>
        <v>No</v>
      </c>
      <c r="I216" s="245" t="str">
        <f>_xlfn.TEXTJOIN(" - ", TRUE, CW_API_TABLE[[#This Row],[PWSID]],CW_API_TABLE[[#This Row],[PWS_NAME]])</f>
        <v>CA3610073 - HI DESERT WD</v>
      </c>
      <c r="J216" s="246" cm="1">
        <f t="array" ref="J216">IFERROR(SUMPRODUCT((PD_PWSID_LIST=Crosswalk_API!$C216)*(PD_SUM_DEL&gt;0)), 0)</f>
        <v>12</v>
      </c>
    </row>
    <row r="217" spans="1:10" x14ac:dyDescent="0.25">
      <c r="A217" s="234" t="s">
        <v>1482</v>
      </c>
      <c r="B217" t="s">
        <v>1483</v>
      </c>
      <c r="C217" t="s">
        <v>1484</v>
      </c>
      <c r="D217" t="s">
        <v>1485</v>
      </c>
      <c r="E217" t="s">
        <v>862</v>
      </c>
      <c r="F217" t="s">
        <v>109</v>
      </c>
      <c r="G217" s="245" t="str" cm="1">
        <f t="array" ref="G217">IF(IFERROR(INDEX(LAM_II_SQFT, MATCH(Crosswalk_API!$A217, LAM_ORG_ID_LIST, 0)), 0) = 0, "No", "Yes")</f>
        <v>Yes</v>
      </c>
      <c r="H217" s="245" t="str">
        <f>IF(OR(G217="Not Applicable", IFERROR(INDEX('Landing Page and Navigation'!$F$31:$F$48, MATCH(C217, 'Landing Page and Navigation'!$A$31:$A$48, 0)), "No") = "No"), "No", "Yes")</f>
        <v>No</v>
      </c>
      <c r="I217" s="245" t="str">
        <f>_xlfn.TEXTJOIN(" - ", TRUE, CW_API_TABLE[[#This Row],[PWSID]],CW_API_TABLE[[#This Row],[PWS_NAME]])</f>
        <v>CA4110016 - TOWN OF HILLSBOROUGH</v>
      </c>
      <c r="J217" s="246" cm="1">
        <f t="array" ref="J217">IFERROR(SUMPRODUCT((PD_PWSID_LIST=Crosswalk_API!$C217)*(PD_SUM_DEL&gt;0)), 0)</f>
        <v>12</v>
      </c>
    </row>
    <row r="218" spans="1:10" x14ac:dyDescent="0.25">
      <c r="A218" s="234" t="s">
        <v>1486</v>
      </c>
      <c r="B218" t="s">
        <v>1487</v>
      </c>
      <c r="C218" t="s">
        <v>1488</v>
      </c>
      <c r="D218" t="s">
        <v>1489</v>
      </c>
      <c r="E218" t="s">
        <v>1490</v>
      </c>
      <c r="F218" t="s">
        <v>109</v>
      </c>
      <c r="G218" s="245" t="str" cm="1">
        <f t="array" ref="G218">IF(IFERROR(INDEX(LAM_II_SQFT, MATCH(Crosswalk_API!$A218, LAM_ORG_ID_LIST, 0)), 0) = 0, "No", "Yes")</f>
        <v>Yes</v>
      </c>
      <c r="H218" s="245" t="str">
        <f>IF(OR(G218="Not Applicable", IFERROR(INDEX('Landing Page and Navigation'!$F$31:$F$48, MATCH(C218, 'Landing Page and Navigation'!$A$31:$A$48, 0)), "No") = "No"), "No", "Yes")</f>
        <v>No</v>
      </c>
      <c r="I218" s="245" t="str">
        <f>_xlfn.TEXTJOIN(" - ", TRUE, CW_API_TABLE[[#This Row],[PWSID]],CW_API_TABLE[[#This Row],[PWS_NAME]])</f>
        <v>CA3510001 - HOLLISTER, CITY OF</v>
      </c>
      <c r="J218" s="246" cm="1">
        <f t="array" ref="J218">IFERROR(SUMPRODUCT((PD_PWSID_LIST=Crosswalk_API!$C218)*(PD_SUM_DEL&gt;0)), 0)</f>
        <v>12</v>
      </c>
    </row>
    <row r="219" spans="1:10" x14ac:dyDescent="0.25">
      <c r="A219" s="234" t="s">
        <v>1491</v>
      </c>
      <c r="B219" t="s">
        <v>1492</v>
      </c>
      <c r="C219" t="s">
        <v>1493</v>
      </c>
      <c r="D219" t="s">
        <v>1494</v>
      </c>
      <c r="E219" t="s">
        <v>754</v>
      </c>
      <c r="F219" t="s">
        <v>109</v>
      </c>
      <c r="G219" s="245" t="str" cm="1">
        <f t="array" ref="G219">IF(IFERROR(INDEX(LAM_II_SQFT, MATCH(Crosswalk_API!$A219, LAM_ORG_ID_LIST, 0)), 0) = 0, "No", "Yes")</f>
        <v>Yes</v>
      </c>
      <c r="H219" s="245" t="str">
        <f>IF(OR(G219="Not Applicable", IFERROR(INDEX('Landing Page and Navigation'!$F$31:$F$48, MATCH(C219, 'Landing Page and Navigation'!$A$31:$A$48, 0)), "No") = "No"), "No", "Yes")</f>
        <v>No</v>
      </c>
      <c r="I219" s="245" t="str">
        <f>_xlfn.TEXTJOIN(" - ", TRUE, CW_API_TABLE[[#This Row],[PWSID]],CW_API_TABLE[[#This Row],[PWS_NAME]])</f>
        <v>CA1210009 - HUMBOLDT C.S.D.</v>
      </c>
      <c r="J219" s="246" cm="1">
        <f t="array" ref="J219">IFERROR(SUMPRODUCT((PD_PWSID_LIST=Crosswalk_API!$C219)*(PD_SUM_DEL&gt;0)), 0)</f>
        <v>12</v>
      </c>
    </row>
    <row r="220" spans="1:10" x14ac:dyDescent="0.25">
      <c r="A220" s="234" t="s">
        <v>1495</v>
      </c>
      <c r="B220" t="s">
        <v>1496</v>
      </c>
      <c r="C220" t="s">
        <v>1497</v>
      </c>
      <c r="D220" t="s">
        <v>1498</v>
      </c>
      <c r="E220" t="s">
        <v>731</v>
      </c>
      <c r="F220" t="s">
        <v>109</v>
      </c>
      <c r="G220" s="245" t="str" cm="1">
        <f t="array" ref="G220">IF(IFERROR(INDEX(LAM_II_SQFT, MATCH(Crosswalk_API!$A220, LAM_ORG_ID_LIST, 0)), 0) = 0, "No", "Yes")</f>
        <v>Yes</v>
      </c>
      <c r="H220" s="245" t="str">
        <f>IF(OR(G220="Not Applicable", IFERROR(INDEX('Landing Page and Navigation'!$F$31:$F$48, MATCH(C220, 'Landing Page and Navigation'!$A$31:$A$48, 0)), "No") = "No"), "No", "Yes")</f>
        <v>No</v>
      </c>
      <c r="I220" s="245" t="str">
        <f>_xlfn.TEXTJOIN(" - ", TRUE, CW_API_TABLE[[#This Row],[PWSID]],CW_API_TABLE[[#This Row],[PWS_NAME]])</f>
        <v>CA3010053 - CITY OF HUNTINGTON BEACH</v>
      </c>
      <c r="J220" s="246" cm="1">
        <f t="array" ref="J220">IFERROR(SUMPRODUCT((PD_PWSID_LIST=Crosswalk_API!$C220)*(PD_SUM_DEL&gt;0)), 0)</f>
        <v>12</v>
      </c>
    </row>
    <row r="221" spans="1:10" x14ac:dyDescent="0.25">
      <c r="A221" s="234" t="s">
        <v>1499</v>
      </c>
      <c r="B221" t="s">
        <v>1500</v>
      </c>
      <c r="C221" t="s">
        <v>1501</v>
      </c>
      <c r="D221" t="s">
        <v>1502</v>
      </c>
      <c r="E221" t="s">
        <v>708</v>
      </c>
      <c r="F221" t="s">
        <v>109</v>
      </c>
      <c r="G221" s="245" t="str" cm="1">
        <f t="array" ref="G221">IF(IFERROR(INDEX(LAM_II_SQFT, MATCH(Crosswalk_API!$A221, LAM_ORG_ID_LIST, 0)), 0) = 0, "No", "Yes")</f>
        <v>Yes</v>
      </c>
      <c r="H221" s="245" t="str">
        <f>IF(OR(G221="Not Applicable", IFERROR(INDEX('Landing Page and Navigation'!$F$31:$F$48, MATCH(C221, 'Landing Page and Navigation'!$A$31:$A$48, 0)), "No") = "No"), "No", "Yes")</f>
        <v>No</v>
      </c>
      <c r="I221" s="245" t="str">
        <f>_xlfn.TEXTJOIN(" - ", TRUE, CW_API_TABLE[[#This Row],[PWSID]],CW_API_TABLE[[#This Row],[PWS_NAME]])</f>
        <v>CA1910049 - HUNTINGTON PARK-CITY, WATER DEPT.</v>
      </c>
      <c r="J221" s="246" cm="1">
        <f t="array" ref="J221">IFERROR(SUMPRODUCT((PD_PWSID_LIST=Crosswalk_API!$C221)*(PD_SUM_DEL&gt;0)), 0)</f>
        <v>12</v>
      </c>
    </row>
    <row r="222" spans="1:10" x14ac:dyDescent="0.25">
      <c r="A222" s="234" t="s">
        <v>1503</v>
      </c>
      <c r="B222" t="s">
        <v>1504</v>
      </c>
      <c r="C222" t="s">
        <v>1505</v>
      </c>
      <c r="D222" t="s">
        <v>1506</v>
      </c>
      <c r="E222" t="s">
        <v>841</v>
      </c>
      <c r="F222" t="s">
        <v>109</v>
      </c>
      <c r="G222" s="245" t="str" cm="1">
        <f t="array" ref="G222">IF(IFERROR(INDEX(LAM_II_SQFT, MATCH(Crosswalk_API!$A222, LAM_ORG_ID_LIST, 0)), 0) = 0, "No", "Yes")</f>
        <v>Yes</v>
      </c>
      <c r="H222" s="245" t="str">
        <f>IF(OR(G222="Not Applicable", IFERROR(INDEX('Landing Page and Navigation'!$F$31:$F$48, MATCH(C222, 'Landing Page and Navigation'!$A$31:$A$48, 0)), "No") = "No"), "No", "Yes")</f>
        <v>No</v>
      </c>
      <c r="I222" s="245" t="str">
        <f>_xlfn.TEXTJOIN(" - ", TRUE, CW_API_TABLE[[#This Row],[PWSID]],CW_API_TABLE[[#This Row],[PWS_NAME]])</f>
        <v>CA1310006 - IMPERIAL, CITY OF</v>
      </c>
      <c r="J222" s="246" cm="1">
        <f t="array" ref="J222">IFERROR(SUMPRODUCT((PD_PWSID_LIST=Crosswalk_API!$C222)*(PD_SUM_DEL&gt;0)), 0)</f>
        <v>12</v>
      </c>
    </row>
    <row r="223" spans="1:10" x14ac:dyDescent="0.25">
      <c r="A223" s="234" t="s">
        <v>1507</v>
      </c>
      <c r="B223" t="s">
        <v>1508</v>
      </c>
      <c r="C223" t="s">
        <v>1509</v>
      </c>
      <c r="D223" t="s">
        <v>1510</v>
      </c>
      <c r="E223" t="s">
        <v>766</v>
      </c>
      <c r="F223" t="s">
        <v>109</v>
      </c>
      <c r="G223" s="245" t="str" cm="1">
        <f t="array" ref="G223">IF(IFERROR(INDEX(LAM_II_SQFT, MATCH(Crosswalk_API!$A223, LAM_ORG_ID_LIST, 0)), 0) = 0, "No", "Yes")</f>
        <v>Yes</v>
      </c>
      <c r="H223" s="245" t="str">
        <f>IF(OR(G223="Not Applicable", IFERROR(INDEX('Landing Page and Navigation'!$F$31:$F$48, MATCH(C223, 'Landing Page and Navigation'!$A$31:$A$48, 0)), "No") = "No"), "No", "Yes")</f>
        <v>No</v>
      </c>
      <c r="I223" s="245" t="str">
        <f>_xlfn.TEXTJOIN(" - ", TRUE, CW_API_TABLE[[#This Row],[PWSID]],CW_API_TABLE[[#This Row],[PWS_NAME]])</f>
        <v>CA1510017 - INDIAN WELLS VALLEY W.D.</v>
      </c>
      <c r="J223" s="246" cm="1">
        <f t="array" ref="J223">IFERROR(SUMPRODUCT((PD_PWSID_LIST=Crosswalk_API!$C223)*(PD_SUM_DEL&gt;0)), 0)</f>
        <v>12</v>
      </c>
    </row>
    <row r="224" spans="1:10" x14ac:dyDescent="0.25">
      <c r="A224" s="234" t="s">
        <v>1511</v>
      </c>
      <c r="B224" t="s">
        <v>1512</v>
      </c>
      <c r="C224" t="s">
        <v>1513</v>
      </c>
      <c r="D224" t="s">
        <v>1514</v>
      </c>
      <c r="E224" t="s">
        <v>793</v>
      </c>
      <c r="F224" t="s">
        <v>109</v>
      </c>
      <c r="G224" s="245" t="str" cm="1">
        <f t="array" ref="G224">IF(IFERROR(INDEX(LAM_II_SQFT, MATCH(Crosswalk_API!$A224, LAM_ORG_ID_LIST, 0)), 0) = 0, "No", "Yes")</f>
        <v>Yes</v>
      </c>
      <c r="H224" s="245" t="str">
        <f>IF(OR(G224="Not Applicable", IFERROR(INDEX('Landing Page and Navigation'!$F$31:$F$48, MATCH(C224, 'Landing Page and Navigation'!$A$31:$A$48, 0)), "No") = "No"), "No", "Yes")</f>
        <v>No</v>
      </c>
      <c r="I224" s="245" t="str">
        <f>_xlfn.TEXTJOIN(" - ", TRUE, CW_API_TABLE[[#This Row],[PWSID]],CW_API_TABLE[[#This Row],[PWS_NAME]])</f>
        <v>CA3310020 - INDIO WATER AUTHORITY</v>
      </c>
      <c r="J224" s="246" cm="1">
        <f t="array" ref="J224">IFERROR(SUMPRODUCT((PD_PWSID_LIST=Crosswalk_API!$C224)*(PD_SUM_DEL&gt;0)), 0)</f>
        <v>12</v>
      </c>
    </row>
    <row r="225" spans="1:10" x14ac:dyDescent="0.25">
      <c r="A225" s="234" t="s">
        <v>1515</v>
      </c>
      <c r="B225" t="s">
        <v>1516</v>
      </c>
      <c r="C225" t="s">
        <v>1517</v>
      </c>
      <c r="D225" t="s">
        <v>1518</v>
      </c>
      <c r="E225" t="s">
        <v>708</v>
      </c>
      <c r="F225" t="s">
        <v>109</v>
      </c>
      <c r="G225" s="245" t="str" cm="1">
        <f t="array" ref="G225">IF(IFERROR(INDEX(LAM_II_SQFT, MATCH(Crosswalk_API!$A225, LAM_ORG_ID_LIST, 0)), 0) = 0, "No", "Yes")</f>
        <v>Yes</v>
      </c>
      <c r="H225" s="245" t="str">
        <f>IF(OR(G225="Not Applicable", IFERROR(INDEX('Landing Page and Navigation'!$F$31:$F$48, MATCH(C225, 'Landing Page and Navigation'!$A$31:$A$48, 0)), "No") = "No"), "No", "Yes")</f>
        <v>No</v>
      </c>
      <c r="I225" s="245" t="str">
        <f>_xlfn.TEXTJOIN(" - ", TRUE, CW_API_TABLE[[#This Row],[PWSID]],CW_API_TABLE[[#This Row],[PWS_NAME]])</f>
        <v>CA1910051 - INGLEWOOD- CITY, WATER DEPT.</v>
      </c>
      <c r="J225" s="246" cm="1">
        <f t="array" ref="J225">IFERROR(SUMPRODUCT((PD_PWSID_LIST=Crosswalk_API!$C225)*(PD_SUM_DEL&gt;0)), 0)</f>
        <v>12</v>
      </c>
    </row>
    <row r="226" spans="1:10" x14ac:dyDescent="0.25">
      <c r="A226" s="234" t="s">
        <v>1519</v>
      </c>
      <c r="B226" t="s">
        <v>1520</v>
      </c>
      <c r="C226" t="s">
        <v>1521</v>
      </c>
      <c r="D226" t="s">
        <v>1522</v>
      </c>
      <c r="E226" t="s">
        <v>731</v>
      </c>
      <c r="F226" t="s">
        <v>109</v>
      </c>
      <c r="G226" s="245" t="str" cm="1">
        <f t="array" ref="G226">IF(IFERROR(INDEX(LAM_II_SQFT, MATCH(Crosswalk_API!$A226, LAM_ORG_ID_LIST, 0)), 0) = 0, "No", "Yes")</f>
        <v>Yes</v>
      </c>
      <c r="H226" s="245" t="str">
        <f>IF(OR(G226="Not Applicable", IFERROR(INDEX('Landing Page and Navigation'!$F$31:$F$48, MATCH(C226, 'Landing Page and Navigation'!$A$31:$A$48, 0)), "No") = "No"), "No", "Yes")</f>
        <v>No</v>
      </c>
      <c r="I226" s="245" t="str">
        <f>_xlfn.TEXTJOIN(" - ", TRUE, CW_API_TABLE[[#This Row],[PWSID]],CW_API_TABLE[[#This Row],[PWS_NAME]])</f>
        <v>CA3010092 - IRVINE RANCH WATER DISTRICT</v>
      </c>
      <c r="J226" s="246" cm="1">
        <f t="array" ref="J226">IFERROR(SUMPRODUCT((PD_PWSID_LIST=Crosswalk_API!$C226)*(PD_SUM_DEL&gt;0)), 0)</f>
        <v>12</v>
      </c>
    </row>
    <row r="227" spans="1:10" x14ac:dyDescent="0.25">
      <c r="A227" s="234" t="s">
        <v>1523</v>
      </c>
      <c r="B227" t="s">
        <v>1524</v>
      </c>
      <c r="C227" t="s">
        <v>1525</v>
      </c>
      <c r="D227" t="s">
        <v>1526</v>
      </c>
      <c r="E227" t="s">
        <v>693</v>
      </c>
      <c r="F227" t="s">
        <v>109</v>
      </c>
      <c r="G227" s="245" t="str" cm="1">
        <f t="array" ref="G227">IF(IFERROR(INDEX(LAM_II_SQFT, MATCH(Crosswalk_API!$A227, LAM_ORG_ID_LIST, 0)), 0) = 0, "No", "Yes")</f>
        <v>Yes</v>
      </c>
      <c r="H227" s="245" t="str">
        <f>IF(OR(G227="Not Applicable", IFERROR(INDEX('Landing Page and Navigation'!$F$31:$F$48, MATCH(C227, 'Landing Page and Navigation'!$A$31:$A$48, 0)), "No") = "No"), "No", "Yes")</f>
        <v>No</v>
      </c>
      <c r="I227" s="245" t="str">
        <f>_xlfn.TEXTJOIN(" - ", TRUE, CW_API_TABLE[[#This Row],[PWSID]],CW_API_TABLE[[#This Row],[PWS_NAME]])</f>
        <v>CA3610025 - JOSHUA BASIN WATER DISTRICT</v>
      </c>
      <c r="J227" s="246" cm="1">
        <f t="array" ref="J227">IFERROR(SUMPRODUCT((PD_PWSID_LIST=Crosswalk_API!$C227)*(PD_SUM_DEL&gt;0)), 0)</f>
        <v>12</v>
      </c>
    </row>
    <row r="228" spans="1:10" x14ac:dyDescent="0.25">
      <c r="A228" s="234" t="s">
        <v>1527</v>
      </c>
      <c r="B228" t="s">
        <v>1528</v>
      </c>
      <c r="C228" t="s">
        <v>1529</v>
      </c>
      <c r="D228" t="s">
        <v>1530</v>
      </c>
      <c r="E228" t="s">
        <v>793</v>
      </c>
      <c r="F228" t="s">
        <v>109</v>
      </c>
      <c r="G228" s="245" t="str" cm="1">
        <f t="array" ref="G228">IF(IFERROR(INDEX(LAM_II_SQFT, MATCH(Crosswalk_API!$A228, LAM_ORG_ID_LIST, 0)), 0) = 0, "No", "Yes")</f>
        <v>Yes</v>
      </c>
      <c r="H228" s="245" t="str">
        <f>IF(OR(G228="Not Applicable", IFERROR(INDEX('Landing Page and Navigation'!$F$31:$F$48, MATCH(C228, 'Landing Page and Navigation'!$A$31:$A$48, 0)), "No") = "No"), "No", "Yes")</f>
        <v>No</v>
      </c>
      <c r="I228" s="245" t="str">
        <f>_xlfn.TEXTJOIN(" - ", TRUE, CW_API_TABLE[[#This Row],[PWSID]],CW_API_TABLE[[#This Row],[PWS_NAME]])</f>
        <v>CA3310021 - JURUPA COMMUNITY SD</v>
      </c>
      <c r="J228" s="246" cm="1">
        <f t="array" ref="J228">IFERROR(SUMPRODUCT((PD_PWSID_LIST=Crosswalk_API!$C228)*(PD_SUM_DEL&gt;0)), 0)</f>
        <v>12</v>
      </c>
    </row>
    <row r="229" spans="1:10" x14ac:dyDescent="0.25">
      <c r="A229" s="234" t="s">
        <v>1531</v>
      </c>
      <c r="B229" t="s">
        <v>1532</v>
      </c>
      <c r="C229" t="s">
        <v>1533</v>
      </c>
      <c r="D229" t="s">
        <v>1534</v>
      </c>
      <c r="E229" t="s">
        <v>788</v>
      </c>
      <c r="F229" t="s">
        <v>109</v>
      </c>
      <c r="G229" s="245" t="str" cm="1">
        <f t="array" ref="G229">IF(IFERROR(INDEX(LAM_II_SQFT, MATCH(Crosswalk_API!$A229, LAM_ORG_ID_LIST, 0)), 0) = 0, "No", "Yes")</f>
        <v>Yes</v>
      </c>
      <c r="H229" s="245" t="str">
        <f>IF(OR(G229="Not Applicable", IFERROR(INDEX('Landing Page and Navigation'!$F$31:$F$48, MATCH(C229, 'Landing Page and Navigation'!$A$31:$A$48, 0)), "No") = "No"), "No", "Yes")</f>
        <v>No</v>
      </c>
      <c r="I229" s="245" t="str">
        <f>_xlfn.TEXTJOIN(" - ", TRUE, CW_API_TABLE[[#This Row],[PWSID]],CW_API_TABLE[[#This Row],[PWS_NAME]])</f>
        <v>CA1010018 - KERMAN, CITY OF</v>
      </c>
      <c r="J229" s="246" cm="1">
        <f t="array" ref="J229">IFERROR(SUMPRODUCT((PD_PWSID_LIST=Crosswalk_API!$C229)*(PD_SUM_DEL&gt;0)), 0)</f>
        <v>12</v>
      </c>
    </row>
    <row r="230" spans="1:10" x14ac:dyDescent="0.25">
      <c r="A230" s="234" t="s">
        <v>1535</v>
      </c>
      <c r="B230" t="s">
        <v>1536</v>
      </c>
      <c r="C230" t="s">
        <v>1537</v>
      </c>
      <c r="D230" t="s">
        <v>1538</v>
      </c>
      <c r="E230" t="s">
        <v>788</v>
      </c>
      <c r="F230" t="s">
        <v>109</v>
      </c>
      <c r="G230" s="245" t="str" cm="1">
        <f t="array" ref="G230">IF(IFERROR(INDEX(LAM_II_SQFT, MATCH(Crosswalk_API!$A230, LAM_ORG_ID_LIST, 0)), 0) = 0, "No", "Yes")</f>
        <v>Yes</v>
      </c>
      <c r="H230" s="245" t="str">
        <f>IF(OR(G230="Not Applicable", IFERROR(INDEX('Landing Page and Navigation'!$F$31:$F$48, MATCH(C230, 'Landing Page and Navigation'!$A$31:$A$48, 0)), "No") = "No"), "No", "Yes")</f>
        <v>No</v>
      </c>
      <c r="I230" s="245" t="str">
        <f>_xlfn.TEXTJOIN(" - ", TRUE, CW_API_TABLE[[#This Row],[PWSID]],CW_API_TABLE[[#This Row],[PWS_NAME]])</f>
        <v>CA1010019 - KINGSBURG, CITY OF</v>
      </c>
      <c r="J230" s="246" cm="1">
        <f t="array" ref="J230">IFERROR(SUMPRODUCT((PD_PWSID_LIST=Crosswalk_API!$C230)*(PD_SUM_DEL&gt;0)), 0)</f>
        <v>12</v>
      </c>
    </row>
    <row r="231" spans="1:10" x14ac:dyDescent="0.25">
      <c r="A231" s="234" t="s">
        <v>1539</v>
      </c>
      <c r="B231" t="s">
        <v>1540</v>
      </c>
      <c r="C231" t="s">
        <v>1541</v>
      </c>
      <c r="D231" t="s">
        <v>1542</v>
      </c>
      <c r="E231" t="s">
        <v>731</v>
      </c>
      <c r="F231" t="s">
        <v>109</v>
      </c>
      <c r="G231" s="245" t="str" cm="1">
        <f t="array" ref="G231">IF(IFERROR(INDEX(LAM_II_SQFT, MATCH(Crosswalk_API!$A231, LAM_ORG_ID_LIST, 0)), 0) = 0, "No", "Yes")</f>
        <v>Yes</v>
      </c>
      <c r="H231" s="245" t="str">
        <f>IF(OR(G231="Not Applicable", IFERROR(INDEX('Landing Page and Navigation'!$F$31:$F$48, MATCH(C231, 'Landing Page and Navigation'!$A$31:$A$48, 0)), "No") = "No"), "No", "Yes")</f>
        <v>No</v>
      </c>
      <c r="I231" s="245" t="str">
        <f>_xlfn.TEXTJOIN(" - ", TRUE, CW_API_TABLE[[#This Row],[PWSID]],CW_API_TABLE[[#This Row],[PWS_NAME]])</f>
        <v>CA3010018 - CITY OF LA HABRA</v>
      </c>
      <c r="J231" s="246" cm="1">
        <f t="array" ref="J231">IFERROR(SUMPRODUCT((PD_PWSID_LIST=Crosswalk_API!$C231)*(PD_SUM_DEL&gt;0)), 0)</f>
        <v>12</v>
      </c>
    </row>
    <row r="232" spans="1:10" x14ac:dyDescent="0.25">
      <c r="A232" s="234" t="s">
        <v>1543</v>
      </c>
      <c r="B232" t="s">
        <v>1544</v>
      </c>
      <c r="C232" t="s">
        <v>1545</v>
      </c>
      <c r="D232" t="s">
        <v>1546</v>
      </c>
      <c r="E232" t="s">
        <v>731</v>
      </c>
      <c r="F232" t="s">
        <v>109</v>
      </c>
      <c r="G232" s="245" t="str" cm="1">
        <f t="array" ref="G232">IF(IFERROR(INDEX(LAM_II_SQFT, MATCH(Crosswalk_API!$A232, LAM_ORG_ID_LIST, 0)), 0) = 0, "No", "Yes")</f>
        <v>Yes</v>
      </c>
      <c r="H232" s="245" t="str">
        <f>IF(OR(G232="Not Applicable", IFERROR(INDEX('Landing Page and Navigation'!$F$31:$F$48, MATCH(C232, 'Landing Page and Navigation'!$A$31:$A$48, 0)), "No") = "No"), "No", "Yes")</f>
        <v>No</v>
      </c>
      <c r="I232" s="245" t="str">
        <f>_xlfn.TEXTJOIN(" - ", TRUE, CW_API_TABLE[[#This Row],[PWSID]],CW_API_TABLE[[#This Row],[PWS_NAME]])</f>
        <v>CA3010100 - CITY OF LA PALMA</v>
      </c>
      <c r="J232" s="246" cm="1">
        <f t="array" ref="J232">IFERROR(SUMPRODUCT((PD_PWSID_LIST=Crosswalk_API!$C232)*(PD_SUM_DEL&gt;0)), 0)</f>
        <v>12</v>
      </c>
    </row>
    <row r="233" spans="1:10" x14ac:dyDescent="0.25">
      <c r="A233" s="234" t="s">
        <v>1547</v>
      </c>
      <c r="B233" t="s">
        <v>1548</v>
      </c>
      <c r="C233" t="s">
        <v>1549</v>
      </c>
      <c r="D233" t="s">
        <v>1550</v>
      </c>
      <c r="E233" t="s">
        <v>708</v>
      </c>
      <c r="F233" t="s">
        <v>109</v>
      </c>
      <c r="G233" s="245" t="str" cm="1">
        <f t="array" ref="G233">IF(IFERROR(INDEX(LAM_II_SQFT, MATCH(Crosswalk_API!$A233, LAM_ORG_ID_LIST, 0)), 0) = 0, "No", "Yes")</f>
        <v>Yes</v>
      </c>
      <c r="H233" s="245" t="str">
        <f>IF(OR(G233="Not Applicable", IFERROR(INDEX('Landing Page and Navigation'!$F$31:$F$48, MATCH(C233, 'Landing Page and Navigation'!$A$31:$A$48, 0)), "No") = "No"), "No", "Yes")</f>
        <v>No</v>
      </c>
      <c r="I233" s="245" t="str">
        <f>_xlfn.TEXTJOIN(" - ", TRUE, CW_API_TABLE[[#This Row],[PWSID]],CW_API_TABLE[[#This Row],[PWS_NAME]])</f>
        <v>CA1910062 - LA VERNE, CITY WD</v>
      </c>
      <c r="J233" s="246" cm="1">
        <f t="array" ref="J233">IFERROR(SUMPRODUCT((PD_PWSID_LIST=Crosswalk_API!$C233)*(PD_SUM_DEL&gt;0)), 0)</f>
        <v>12</v>
      </c>
    </row>
    <row r="234" spans="1:10" x14ac:dyDescent="0.25">
      <c r="A234" s="234" t="s">
        <v>1551</v>
      </c>
      <c r="B234" t="s">
        <v>1552</v>
      </c>
      <c r="C234" t="s">
        <v>1553</v>
      </c>
      <c r="D234" t="s">
        <v>1554</v>
      </c>
      <c r="E234" t="s">
        <v>731</v>
      </c>
      <c r="F234" t="s">
        <v>109</v>
      </c>
      <c r="G234" s="245" t="str" cm="1">
        <f t="array" ref="G234">IF(IFERROR(INDEX(LAM_II_SQFT, MATCH(Crosswalk_API!$A234, LAM_ORG_ID_LIST, 0)), 0) = 0, "No", "Yes")</f>
        <v>Yes</v>
      </c>
      <c r="H234" s="245" t="str">
        <f>IF(OR(G234="Not Applicable", IFERROR(INDEX('Landing Page and Navigation'!$F$31:$F$48, MATCH(C234, 'Landing Page and Navigation'!$A$31:$A$48, 0)), "No") = "No"), "No", "Yes")</f>
        <v>No</v>
      </c>
      <c r="I234" s="245" t="str">
        <f>_xlfn.TEXTJOIN(" - ", TRUE, CW_API_TABLE[[#This Row],[PWSID]],CW_API_TABLE[[#This Row],[PWS_NAME]])</f>
        <v>CA3010017 - LAGUNA BEACH COUNTY WD</v>
      </c>
      <c r="J234" s="246" cm="1">
        <f t="array" ref="J234">IFERROR(SUMPRODUCT((PD_PWSID_LIST=Crosswalk_API!$C234)*(PD_SUM_DEL&gt;0)), 0)</f>
        <v>12</v>
      </c>
    </row>
    <row r="235" spans="1:10" x14ac:dyDescent="0.25">
      <c r="A235" s="234" t="s">
        <v>1555</v>
      </c>
      <c r="B235" t="s">
        <v>1556</v>
      </c>
      <c r="C235" t="s">
        <v>1557</v>
      </c>
      <c r="D235" t="s">
        <v>1558</v>
      </c>
      <c r="E235" t="s">
        <v>693</v>
      </c>
      <c r="F235" t="s">
        <v>109</v>
      </c>
      <c r="G235" s="245" t="str" cm="1">
        <f t="array" ref="G235">IF(IFERROR(INDEX(LAM_II_SQFT, MATCH(Crosswalk_API!$A235, LAM_ORG_ID_LIST, 0)), 0) = 0, "No", "Yes")</f>
        <v>Yes</v>
      </c>
      <c r="H235" s="245" t="str">
        <f>IF(OR(G235="Not Applicable", IFERROR(INDEX('Landing Page and Navigation'!$F$31:$F$48, MATCH(C235, 'Landing Page and Navigation'!$A$31:$A$48, 0)), "No") = "No"), "No", "Yes")</f>
        <v>No</v>
      </c>
      <c r="I235" s="245" t="str">
        <f>_xlfn.TEXTJOIN(" - ", TRUE, CW_API_TABLE[[#This Row],[PWSID]],CW_API_TABLE[[#This Row],[PWS_NAME]])</f>
        <v>CA3610005 - LAKE ARROWHEAD CSD</v>
      </c>
      <c r="J235" s="246" cm="1">
        <f t="array" ref="J235">IFERROR(SUMPRODUCT((PD_PWSID_LIST=Crosswalk_API!$C235)*(PD_SUM_DEL&gt;0)), 0)</f>
        <v>12</v>
      </c>
    </row>
    <row r="236" spans="1:10" x14ac:dyDescent="0.25">
      <c r="A236" s="234" t="s">
        <v>1559</v>
      </c>
      <c r="B236" t="s">
        <v>1560</v>
      </c>
      <c r="C236" t="s">
        <v>1561</v>
      </c>
      <c r="D236" t="s">
        <v>1562</v>
      </c>
      <c r="E236" t="s">
        <v>793</v>
      </c>
      <c r="F236" t="s">
        <v>109</v>
      </c>
      <c r="G236" s="245" t="str" cm="1">
        <f t="array" ref="G236">IF(IFERROR(INDEX(LAM_II_SQFT, MATCH(Crosswalk_API!$A236, LAM_ORG_ID_LIST, 0)), 0) = 0, "No", "Yes")</f>
        <v>Yes</v>
      </c>
      <c r="H236" s="245" t="str">
        <f>IF(OR(G236="Not Applicable", IFERROR(INDEX('Landing Page and Navigation'!$F$31:$F$48, MATCH(C236, 'Landing Page and Navigation'!$A$31:$A$48, 0)), "No") = "No"), "No", "Yes")</f>
        <v>No</v>
      </c>
      <c r="I236" s="245" t="str">
        <f>_xlfn.TEXTJOIN(" - ", TRUE, CW_API_TABLE[[#This Row],[PWSID]],CW_API_TABLE[[#This Row],[PWS_NAME]])</f>
        <v>CA3310022 - LAKE HEMET MWD</v>
      </c>
      <c r="J236" s="246" cm="1">
        <f t="array" ref="J236">IFERROR(SUMPRODUCT((PD_PWSID_LIST=Crosswalk_API!$C236)*(PD_SUM_DEL&gt;0)), 0)</f>
        <v>12</v>
      </c>
    </row>
    <row r="237" spans="1:10" x14ac:dyDescent="0.25">
      <c r="A237" s="234" t="s">
        <v>1563</v>
      </c>
      <c r="B237" t="s">
        <v>1564</v>
      </c>
      <c r="C237" t="s">
        <v>1565</v>
      </c>
      <c r="D237" t="s">
        <v>1566</v>
      </c>
      <c r="E237" t="s">
        <v>937</v>
      </c>
      <c r="F237" t="s">
        <v>109</v>
      </c>
      <c r="G237" s="245" t="str" cm="1">
        <f t="array" ref="G237">IF(IFERROR(INDEX(LAM_II_SQFT, MATCH(Crosswalk_API!$A237, LAM_ORG_ID_LIST, 0)), 0) = 0, "No", "Yes")</f>
        <v>Yes</v>
      </c>
      <c r="H237" s="245" t="str">
        <f>IF(OR(G237="Not Applicable", IFERROR(INDEX('Landing Page and Navigation'!$F$31:$F$48, MATCH(C237, 'Landing Page and Navigation'!$A$31:$A$48, 0)), "No") = "No"), "No", "Yes")</f>
        <v>No</v>
      </c>
      <c r="I237" s="245" t="str">
        <f>_xlfn.TEXTJOIN(" - ", TRUE, CW_API_TABLE[[#This Row],[PWSID]],CW_API_TABLE[[#This Row],[PWS_NAME]])</f>
        <v>CA3710013 - LAKESIDE WD</v>
      </c>
      <c r="J237" s="246" cm="1">
        <f t="array" ref="J237">IFERROR(SUMPRODUCT((PD_PWSID_LIST=Crosswalk_API!$C237)*(PD_SUM_DEL&gt;0)), 0)</f>
        <v>12</v>
      </c>
    </row>
    <row r="238" spans="1:10" x14ac:dyDescent="0.25">
      <c r="A238" s="234" t="s">
        <v>1567</v>
      </c>
      <c r="B238" t="s">
        <v>1568</v>
      </c>
      <c r="C238" t="s">
        <v>1569</v>
      </c>
      <c r="D238" t="s">
        <v>1570</v>
      </c>
      <c r="E238" t="s">
        <v>708</v>
      </c>
      <c r="F238" t="s">
        <v>109</v>
      </c>
      <c r="G238" s="245" t="str" cm="1">
        <f t="array" ref="G238">IF(IFERROR(INDEX(LAM_II_SQFT, MATCH(Crosswalk_API!$A238, LAM_ORG_ID_LIST, 0)), 0) = 0, "No", "Yes")</f>
        <v>Yes</v>
      </c>
      <c r="H238" s="245" t="str">
        <f>IF(OR(G238="Not Applicable", IFERROR(INDEX('Landing Page and Navigation'!$F$31:$F$48, MATCH(C238, 'Landing Page and Navigation'!$A$31:$A$48, 0)), "No") = "No"), "No", "Yes")</f>
        <v>No</v>
      </c>
      <c r="I238" s="245" t="str">
        <f>_xlfn.TEXTJOIN(" - ", TRUE, CW_API_TABLE[[#This Row],[PWSID]],CW_API_TABLE[[#This Row],[PWS_NAME]])</f>
        <v>CA1910239 - LAKEWOOD - CITY, WATER DEPT.</v>
      </c>
      <c r="J238" s="246" cm="1">
        <f t="array" ref="J238">IFERROR(SUMPRODUCT((PD_PWSID_LIST=Crosswalk_API!$C238)*(PD_SUM_DEL&gt;0)), 0)</f>
        <v>12</v>
      </c>
    </row>
    <row r="239" spans="1:10" x14ac:dyDescent="0.25">
      <c r="A239" s="234" t="s">
        <v>1571</v>
      </c>
      <c r="B239" t="s">
        <v>1572</v>
      </c>
      <c r="C239" t="s">
        <v>1573</v>
      </c>
      <c r="D239" t="s">
        <v>1574</v>
      </c>
      <c r="E239" t="s">
        <v>766</v>
      </c>
      <c r="F239" t="s">
        <v>109</v>
      </c>
      <c r="G239" s="245" t="str" cm="1">
        <f t="array" ref="G239">IF(IFERROR(INDEX(LAM_II_SQFT, MATCH(Crosswalk_API!$A239, LAM_ORG_ID_LIST, 0)), 0) = 0, "No", "Yes")</f>
        <v>Yes</v>
      </c>
      <c r="H239" s="245" t="str">
        <f>IF(OR(G239="Not Applicable", IFERROR(INDEX('Landing Page and Navigation'!$F$31:$F$48, MATCH(C239, 'Landing Page and Navigation'!$A$31:$A$48, 0)), "No") = "No"), "No", "Yes")</f>
        <v>No</v>
      </c>
      <c r="I239" s="245" t="str">
        <f>_xlfn.TEXTJOIN(" - ", TRUE, CW_API_TABLE[[#This Row],[PWSID]],CW_API_TABLE[[#This Row],[PWS_NAME]])</f>
        <v>CA1510012 - LAMONT PUBLIC UTILITY DIST</v>
      </c>
      <c r="J239" s="246" cm="1">
        <f t="array" ref="J239">IFERROR(SUMPRODUCT((PD_PWSID_LIST=Crosswalk_API!$C239)*(PD_SUM_DEL&gt;0)), 0)</f>
        <v>12</v>
      </c>
    </row>
    <row r="240" spans="1:10" x14ac:dyDescent="0.25">
      <c r="A240" s="234" t="s">
        <v>1575</v>
      </c>
      <c r="B240" t="s">
        <v>1576</v>
      </c>
      <c r="C240" t="s">
        <v>1577</v>
      </c>
      <c r="D240" t="s">
        <v>1578</v>
      </c>
      <c r="E240" t="s">
        <v>708</v>
      </c>
      <c r="F240" t="s">
        <v>109</v>
      </c>
      <c r="G240" s="245" t="str" cm="1">
        <f t="array" ref="G240">IF(IFERROR(INDEX(LAM_II_SQFT, MATCH(Crosswalk_API!$A240, LAM_ORG_ID_LIST, 0)), 0) = 0, "No", "Yes")</f>
        <v>Yes</v>
      </c>
      <c r="H240" s="245" t="str">
        <f>IF(OR(G240="Not Applicable", IFERROR(INDEX('Landing Page and Navigation'!$F$31:$F$48, MATCH(C240, 'Landing Page and Navigation'!$A$31:$A$48, 0)), "No") = "No"), "No", "Yes")</f>
        <v>No</v>
      </c>
      <c r="I240" s="245" t="str">
        <f>_xlfn.TEXTJOIN(" - ", TRUE, CW_API_TABLE[[#This Row],[PWSID]],CW_API_TABLE[[#This Row],[PWS_NAME]])</f>
        <v>CA1910225 - LAS VIRGENES MWD</v>
      </c>
      <c r="J240" s="246" cm="1">
        <f t="array" ref="J240">IFERROR(SUMPRODUCT((PD_PWSID_LIST=Crosswalk_API!$C240)*(PD_SUM_DEL&gt;0)), 0)</f>
        <v>12</v>
      </c>
    </row>
    <row r="241" spans="1:10" x14ac:dyDescent="0.25">
      <c r="A241" s="234" t="s">
        <v>1579</v>
      </c>
      <c r="B241" t="s">
        <v>1580</v>
      </c>
      <c r="C241" t="s">
        <v>1581</v>
      </c>
      <c r="D241" t="s">
        <v>1582</v>
      </c>
      <c r="E241" t="s">
        <v>1051</v>
      </c>
      <c r="F241" t="s">
        <v>109</v>
      </c>
      <c r="G241" s="245" t="str" cm="1">
        <f t="array" ref="G241">IF(IFERROR(INDEX(LAM_II_SQFT, MATCH(Crosswalk_API!$A241, LAM_ORG_ID_LIST, 0)), 0) = 0, "No", "Yes")</f>
        <v>Yes</v>
      </c>
      <c r="H241" s="245" t="str">
        <f>IF(OR(G241="Not Applicable", IFERROR(INDEX('Landing Page and Navigation'!$F$31:$F$48, MATCH(C241, 'Landing Page and Navigation'!$A$31:$A$48, 0)), "No") = "No"), "No", "Yes")</f>
        <v>No</v>
      </c>
      <c r="I241" s="245" t="str">
        <f>_xlfn.TEXTJOIN(" - ", TRUE, CW_API_TABLE[[#This Row],[PWSID]],CW_API_TABLE[[#This Row],[PWS_NAME]])</f>
        <v>CA3910015 - CITY OF LATHROP</v>
      </c>
      <c r="J241" s="246" cm="1">
        <f t="array" ref="J241">IFERROR(SUMPRODUCT((PD_PWSID_LIST=Crosswalk_API!$C241)*(PD_SUM_DEL&gt;0)), 0)</f>
        <v>12</v>
      </c>
    </row>
    <row r="242" spans="1:10" x14ac:dyDescent="0.25">
      <c r="A242" s="234" t="s">
        <v>1583</v>
      </c>
      <c r="B242" t="s">
        <v>1584</v>
      </c>
      <c r="C242" t="s">
        <v>1585</v>
      </c>
      <c r="D242" t="s">
        <v>1586</v>
      </c>
      <c r="E242" t="s">
        <v>793</v>
      </c>
      <c r="F242" t="s">
        <v>109</v>
      </c>
      <c r="G242" s="245" t="str" cm="1">
        <f t="array" ref="G242">IF(IFERROR(INDEX(LAM_II_SQFT, MATCH(Crosswalk_API!$A242, LAM_ORG_ID_LIST, 0)), 0) = 0, "No", "Yes")</f>
        <v>Yes</v>
      </c>
      <c r="H242" s="245" t="str">
        <f>IF(OR(G242="Not Applicable", IFERROR(INDEX('Landing Page and Navigation'!$F$31:$F$48, MATCH(C242, 'Landing Page and Navigation'!$A$31:$A$48, 0)), "No") = "No"), "No", "Yes")</f>
        <v>No</v>
      </c>
      <c r="I242" s="245" t="str">
        <f>_xlfn.TEXTJOIN(" - ", TRUE, CW_API_TABLE[[#This Row],[PWSID]],CW_API_TABLE[[#This Row],[PWS_NAME]])</f>
        <v>CA3310074 - TEMESCAL VALLEY WATER DISTRICT</v>
      </c>
      <c r="J242" s="246" cm="1">
        <f t="array" ref="J242">IFERROR(SUMPRODUCT((PD_PWSID_LIST=Crosswalk_API!$C242)*(PD_SUM_DEL&gt;0)), 0)</f>
        <v>12</v>
      </c>
    </row>
    <row r="243" spans="1:10" x14ac:dyDescent="0.25">
      <c r="A243" s="234" t="s">
        <v>1587</v>
      </c>
      <c r="B243" t="s">
        <v>1588</v>
      </c>
      <c r="C243" t="s">
        <v>1589</v>
      </c>
      <c r="D243" t="s">
        <v>1590</v>
      </c>
      <c r="E243" t="s">
        <v>1160</v>
      </c>
      <c r="F243" t="s">
        <v>109</v>
      </c>
      <c r="G243" s="245" t="str" cm="1">
        <f t="array" ref="G243">IF(IFERROR(INDEX(LAM_II_SQFT, MATCH(Crosswalk_API!$A243, LAM_ORG_ID_LIST, 0)), 0) = 0, "No", "Yes")</f>
        <v>Yes</v>
      </c>
      <c r="H243" s="245" t="str">
        <f>IF(OR(G243="Not Applicable", IFERROR(INDEX('Landing Page and Navigation'!$F$31:$F$48, MATCH(C243, 'Landing Page and Navigation'!$A$31:$A$48, 0)), "No") = "No"), "No", "Yes")</f>
        <v>No</v>
      </c>
      <c r="I243" s="245" t="str">
        <f>_xlfn.TEXTJOIN(" - ", TRUE, CW_API_TABLE[[#This Row],[PWSID]],CW_API_TABLE[[#This Row],[PWS_NAME]])</f>
        <v>CA1610005 - LEMOORE, CITY OF</v>
      </c>
      <c r="J243" s="246" cm="1">
        <f t="array" ref="J243">IFERROR(SUMPRODUCT((PD_PWSID_LIST=Crosswalk_API!$C243)*(PD_SUM_DEL&gt;0)), 0)</f>
        <v>12</v>
      </c>
    </row>
    <row r="244" spans="1:10" x14ac:dyDescent="0.25">
      <c r="A244" s="234" t="s">
        <v>1591</v>
      </c>
      <c r="B244" t="s">
        <v>1592</v>
      </c>
      <c r="C244" t="s">
        <v>1593</v>
      </c>
      <c r="D244" t="s">
        <v>1594</v>
      </c>
      <c r="E244" t="s">
        <v>910</v>
      </c>
      <c r="F244" t="s">
        <v>109</v>
      </c>
      <c r="G244" s="245" t="str" cm="1">
        <f t="array" ref="G244">IF(IFERROR(INDEX(LAM_II_SQFT, MATCH(Crosswalk_API!$A244, LAM_ORG_ID_LIST, 0)), 0) = 0, "No", "Yes")</f>
        <v>Yes</v>
      </c>
      <c r="H244" s="245" t="str">
        <f>IF(OR(G244="Not Applicable", IFERROR(INDEX('Landing Page and Navigation'!$F$31:$F$48, MATCH(C244, 'Landing Page and Navigation'!$A$31:$A$48, 0)), "No") = "No"), "No", "Yes")</f>
        <v>No</v>
      </c>
      <c r="I244" s="245" t="str">
        <f>_xlfn.TEXTJOIN(" - ", TRUE, CW_API_TABLE[[#This Row],[PWSID]],CW_API_TABLE[[#This Row],[PWS_NAME]])</f>
        <v>CA3110004 - CITY OF LINCOLN</v>
      </c>
      <c r="J244" s="246" cm="1">
        <f t="array" ref="J244">IFERROR(SUMPRODUCT((PD_PWSID_LIST=Crosswalk_API!$C244)*(PD_SUM_DEL&gt;0)), 0)</f>
        <v>12</v>
      </c>
    </row>
    <row r="245" spans="1:10" x14ac:dyDescent="0.25">
      <c r="A245" s="234" t="s">
        <v>1595</v>
      </c>
      <c r="B245" t="s">
        <v>1596</v>
      </c>
      <c r="C245" t="s">
        <v>1597</v>
      </c>
      <c r="D245" t="s">
        <v>1598</v>
      </c>
      <c r="E245" t="s">
        <v>708</v>
      </c>
      <c r="F245" t="s">
        <v>109</v>
      </c>
      <c r="G245" s="245" t="str" cm="1">
        <f t="array" ref="G245">IF(IFERROR(INDEX(LAM_II_SQFT, MATCH(Crosswalk_API!$A245, LAM_ORG_ID_LIST, 0)), 0) = 0, "No", "Yes")</f>
        <v>Yes</v>
      </c>
      <c r="H245" s="245" t="str">
        <f>IF(OR(G245="Not Applicable", IFERROR(INDEX('Landing Page and Navigation'!$F$31:$F$48, MATCH(C245, 'Landing Page and Navigation'!$A$31:$A$48, 0)), "No") = "No"), "No", "Yes")</f>
        <v>No</v>
      </c>
      <c r="I245" s="245" t="str">
        <f>_xlfn.TEXTJOIN(" - ", TRUE, CW_API_TABLE[[#This Row],[PWSID]],CW_API_TABLE[[#This Row],[PWS_NAME]])</f>
        <v>CA1910063 - LINCOLN AVENUE WATER CO.</v>
      </c>
      <c r="J245" s="246" cm="1">
        <f t="array" ref="J245">IFERROR(SUMPRODUCT((PD_PWSID_LIST=Crosswalk_API!$C245)*(PD_SUM_DEL&gt;0)), 0)</f>
        <v>12</v>
      </c>
    </row>
    <row r="246" spans="1:10" x14ac:dyDescent="0.25">
      <c r="A246" s="234" t="s">
        <v>1599</v>
      </c>
      <c r="B246" t="s">
        <v>1600</v>
      </c>
      <c r="C246" t="s">
        <v>1601</v>
      </c>
      <c r="D246" t="s">
        <v>1602</v>
      </c>
      <c r="E246" t="s">
        <v>1012</v>
      </c>
      <c r="F246" t="s">
        <v>109</v>
      </c>
      <c r="G246" s="245" t="str" cm="1">
        <f t="array" ref="G246">IF(IFERROR(INDEX(LAM_II_SQFT, MATCH(Crosswalk_API!$A246, LAM_ORG_ID_LIST, 0)), 0) = 0, "No", "Yes")</f>
        <v>Yes</v>
      </c>
      <c r="H246" s="245" t="str">
        <f>IF(OR(G246="Not Applicable", IFERROR(INDEX('Landing Page and Navigation'!$F$31:$F$48, MATCH(C246, 'Landing Page and Navigation'!$A$31:$A$48, 0)), "No") = "No"), "No", "Yes")</f>
        <v>No</v>
      </c>
      <c r="I246" s="245" t="str">
        <f>_xlfn.TEXTJOIN(" - ", TRUE, CW_API_TABLE[[#This Row],[PWSID]],CW_API_TABLE[[#This Row],[PWS_NAME]])</f>
        <v>CA5810002 - LINDA COUNTY WATER DISTRICT</v>
      </c>
      <c r="J246" s="246" cm="1">
        <f t="array" ref="J246">IFERROR(SUMPRODUCT((PD_PWSID_LIST=Crosswalk_API!$C246)*(PD_SUM_DEL&gt;0)), 0)</f>
        <v>12</v>
      </c>
    </row>
    <row r="247" spans="1:10" x14ac:dyDescent="0.25">
      <c r="A247" s="234" t="s">
        <v>1603</v>
      </c>
      <c r="B247" t="s">
        <v>1604</v>
      </c>
      <c r="C247" t="s">
        <v>1605</v>
      </c>
      <c r="D247" t="s">
        <v>1606</v>
      </c>
      <c r="E247" t="s">
        <v>1056</v>
      </c>
      <c r="F247" t="s">
        <v>109</v>
      </c>
      <c r="G247" s="245" t="str" cm="1">
        <f t="array" ref="G247">IF(IFERROR(INDEX(LAM_II_SQFT, MATCH(Crosswalk_API!$A247, LAM_ORG_ID_LIST, 0)), 0) = 0, "No", "Yes")</f>
        <v>No</v>
      </c>
      <c r="H247" s="245" t="str">
        <f>IF(OR(G247="Not Applicable", IFERROR(INDEX('Landing Page and Navigation'!$F$31:$F$48, MATCH(C247, 'Landing Page and Navigation'!$A$31:$A$48, 0)), "No") = "No"), "No", "Yes")</f>
        <v>No</v>
      </c>
      <c r="I247" s="245" t="str">
        <f>_xlfn.TEXTJOIN(" - ", TRUE, CW_API_TABLE[[#This Row],[PWSID]],CW_API_TABLE[[#This Row],[PWS_NAME]])</f>
        <v>CA5410006 - LINDSAY, CITY OF</v>
      </c>
      <c r="J247" s="246" cm="1">
        <f t="array" ref="J247">IFERROR(SUMPRODUCT((PD_PWSID_LIST=Crosswalk_API!$C247)*(PD_SUM_DEL&gt;0)), 0)</f>
        <v>12</v>
      </c>
    </row>
    <row r="248" spans="1:10" x14ac:dyDescent="0.25">
      <c r="A248" s="234" t="s">
        <v>1607</v>
      </c>
      <c r="B248" t="s">
        <v>1608</v>
      </c>
      <c r="C248" t="s">
        <v>1609</v>
      </c>
      <c r="D248" t="s">
        <v>1610</v>
      </c>
      <c r="E248" t="s">
        <v>698</v>
      </c>
      <c r="F248" t="s">
        <v>109</v>
      </c>
      <c r="G248" s="245" t="str" cm="1">
        <f t="array" ref="G248">IF(IFERROR(INDEX(LAM_II_SQFT, MATCH(Crosswalk_API!$A248, LAM_ORG_ID_LIST, 0)), 0) = 0, "No", "Yes")</f>
        <v>Yes</v>
      </c>
      <c r="H248" s="245" t="str">
        <f>IF(OR(G248="Not Applicable", IFERROR(INDEX('Landing Page and Navigation'!$F$31:$F$48, MATCH(C248, 'Landing Page and Navigation'!$A$31:$A$48, 0)), "No") = "No"), "No", "Yes")</f>
        <v>No</v>
      </c>
      <c r="I248" s="245" t="str">
        <f>_xlfn.TEXTJOIN(" - ", TRUE, CW_API_TABLE[[#This Row],[PWSID]],CW_API_TABLE[[#This Row],[PWS_NAME]])</f>
        <v>CA0110011 - CITY OF LIVERMORE</v>
      </c>
      <c r="J248" s="246" cm="1">
        <f t="array" ref="J248">IFERROR(SUMPRODUCT((PD_PWSID_LIST=Crosswalk_API!$C248)*(PD_SUM_DEL&gt;0)), 0)</f>
        <v>12</v>
      </c>
    </row>
    <row r="249" spans="1:10" x14ac:dyDescent="0.25">
      <c r="A249" s="234" t="s">
        <v>1611</v>
      </c>
      <c r="B249" t="s">
        <v>1612</v>
      </c>
      <c r="C249" t="s">
        <v>1613</v>
      </c>
      <c r="D249" t="s">
        <v>1614</v>
      </c>
      <c r="E249" t="s">
        <v>775</v>
      </c>
      <c r="F249" t="s">
        <v>109</v>
      </c>
      <c r="G249" s="245" t="str" cm="1">
        <f t="array" ref="G249">IF(IFERROR(INDEX(LAM_II_SQFT, MATCH(Crosswalk_API!$A249, LAM_ORG_ID_LIST, 0)), 0) = 0, "No", "Yes")</f>
        <v>Yes</v>
      </c>
      <c r="H249" s="245" t="str">
        <f>IF(OR(G249="Not Applicable", IFERROR(INDEX('Landing Page and Navigation'!$F$31:$F$48, MATCH(C249, 'Landing Page and Navigation'!$A$31:$A$48, 0)), "No") = "No"), "No", "Yes")</f>
        <v>No</v>
      </c>
      <c r="I249" s="245" t="str">
        <f>_xlfn.TEXTJOIN(" - ", TRUE, CW_API_TABLE[[#This Row],[PWSID]],CW_API_TABLE[[#This Row],[PWS_NAME]])</f>
        <v>CA2410004 - CITY OF LIVINGSTON</v>
      </c>
      <c r="J249" s="246" cm="1">
        <f t="array" ref="J249">IFERROR(SUMPRODUCT((PD_PWSID_LIST=Crosswalk_API!$C249)*(PD_SUM_DEL&gt;0)), 0)</f>
        <v>12</v>
      </c>
    </row>
    <row r="250" spans="1:10" x14ac:dyDescent="0.25">
      <c r="A250" s="234" t="s">
        <v>1615</v>
      </c>
      <c r="B250" t="s">
        <v>1616</v>
      </c>
      <c r="C250" t="s">
        <v>1617</v>
      </c>
      <c r="D250" t="s">
        <v>1618</v>
      </c>
      <c r="E250" t="s">
        <v>1051</v>
      </c>
      <c r="F250" t="s">
        <v>109</v>
      </c>
      <c r="G250" s="245" t="str" cm="1">
        <f t="array" ref="G250">IF(IFERROR(INDEX(LAM_II_SQFT, MATCH(Crosswalk_API!$A250, LAM_ORG_ID_LIST, 0)), 0) = 0, "No", "Yes")</f>
        <v>Yes</v>
      </c>
      <c r="H250" s="245" t="str">
        <f>IF(OR(G250="Not Applicable", IFERROR(INDEX('Landing Page and Navigation'!$F$31:$F$48, MATCH(C250, 'Landing Page and Navigation'!$A$31:$A$48, 0)), "No") = "No"), "No", "Yes")</f>
        <v>No</v>
      </c>
      <c r="I250" s="245" t="str">
        <f>_xlfn.TEXTJOIN(" - ", TRUE, CW_API_TABLE[[#This Row],[PWSID]],CW_API_TABLE[[#This Row],[PWS_NAME]])</f>
        <v>CA3910004 - LODI, CITY OF</v>
      </c>
      <c r="J250" s="246" cm="1">
        <f t="array" ref="J250">IFERROR(SUMPRODUCT((PD_PWSID_LIST=Crosswalk_API!$C250)*(PD_SUM_DEL&gt;0)), 0)</f>
        <v>12</v>
      </c>
    </row>
    <row r="251" spans="1:10" x14ac:dyDescent="0.25">
      <c r="A251" s="234" t="s">
        <v>1619</v>
      </c>
      <c r="B251" t="s">
        <v>1620</v>
      </c>
      <c r="C251" t="s">
        <v>1621</v>
      </c>
      <c r="D251" t="s">
        <v>1622</v>
      </c>
      <c r="E251" t="s">
        <v>693</v>
      </c>
      <c r="F251" t="s">
        <v>109</v>
      </c>
      <c r="G251" s="245" t="str" cm="1">
        <f t="array" ref="G251">IF(IFERROR(INDEX(LAM_II_SQFT, MATCH(Crosswalk_API!$A251, LAM_ORG_ID_LIST, 0)), 0) = 0, "No", "Yes")</f>
        <v>Yes</v>
      </c>
      <c r="H251" s="245" t="str">
        <f>IF(OR(G251="Not Applicable", IFERROR(INDEX('Landing Page and Navigation'!$F$31:$F$48, MATCH(C251, 'Landing Page and Navigation'!$A$31:$A$48, 0)), "No") = "No"), "No", "Yes")</f>
        <v>No</v>
      </c>
      <c r="I251" s="245" t="str">
        <f>_xlfn.TEXTJOIN(" - ", TRUE, CW_API_TABLE[[#This Row],[PWSID]],CW_API_TABLE[[#This Row],[PWS_NAME]])</f>
        <v>CA3610013 - LOMA LINDA, CITY OF</v>
      </c>
      <c r="J251" s="246" cm="1">
        <f t="array" ref="J251">IFERROR(SUMPRODUCT((PD_PWSID_LIST=Crosswalk_API!$C251)*(PD_SUM_DEL&gt;0)), 0)</f>
        <v>12</v>
      </c>
    </row>
    <row r="252" spans="1:10" x14ac:dyDescent="0.25">
      <c r="A252" s="234" t="s">
        <v>1623</v>
      </c>
      <c r="B252" t="s">
        <v>1624</v>
      </c>
      <c r="C252" t="s">
        <v>1625</v>
      </c>
      <c r="D252" t="s">
        <v>1626</v>
      </c>
      <c r="E252" t="s">
        <v>708</v>
      </c>
      <c r="F252" t="s">
        <v>109</v>
      </c>
      <c r="G252" s="245" t="str" cm="1">
        <f t="array" ref="G252">IF(IFERROR(INDEX(LAM_II_SQFT, MATCH(Crosswalk_API!$A252, LAM_ORG_ID_LIST, 0)), 0) = 0, "No", "Yes")</f>
        <v>Yes</v>
      </c>
      <c r="H252" s="245" t="str">
        <f>IF(OR(G252="Not Applicable", IFERROR(INDEX('Landing Page and Navigation'!$F$31:$F$48, MATCH(C252, 'Landing Page and Navigation'!$A$31:$A$48, 0)), "No") = "No"), "No", "Yes")</f>
        <v>No</v>
      </c>
      <c r="I252" s="245" t="str">
        <f>_xlfn.TEXTJOIN(" - ", TRUE, CW_API_TABLE[[#This Row],[PWSID]],CW_API_TABLE[[#This Row],[PWS_NAME]])</f>
        <v>CA1910073 - LOMITA-CITY, WATER DEPT.</v>
      </c>
      <c r="J252" s="246" cm="1">
        <f t="array" ref="J252">IFERROR(SUMPRODUCT((PD_PWSID_LIST=Crosswalk_API!$C252)*(PD_SUM_DEL&gt;0)), 0)</f>
        <v>12</v>
      </c>
    </row>
    <row r="253" spans="1:10" x14ac:dyDescent="0.25">
      <c r="A253" s="234" t="s">
        <v>1627</v>
      </c>
      <c r="B253" t="s">
        <v>1628</v>
      </c>
      <c r="C253" t="s">
        <v>1629</v>
      </c>
      <c r="D253" t="s">
        <v>1630</v>
      </c>
      <c r="E253" t="s">
        <v>1089</v>
      </c>
      <c r="F253" t="s">
        <v>109</v>
      </c>
      <c r="G253" s="245" t="str" cm="1">
        <f t="array" ref="G253">IF(IFERROR(INDEX(LAM_II_SQFT, MATCH(Crosswalk_API!$A253, LAM_ORG_ID_LIST, 0)), 0) = 0, "No", "Yes")</f>
        <v>Yes</v>
      </c>
      <c r="H253" s="245" t="str">
        <f>IF(OR(G253="Not Applicable", IFERROR(INDEX('Landing Page and Navigation'!$F$31:$F$48, MATCH(C253, 'Landing Page and Navigation'!$A$31:$A$48, 0)), "No") = "No"), "No", "Yes")</f>
        <v>No</v>
      </c>
      <c r="I253" s="245" t="str">
        <f>_xlfn.TEXTJOIN(" - ", TRUE, CW_API_TABLE[[#This Row],[PWSID]],CW_API_TABLE[[#This Row],[PWS_NAME]])</f>
        <v>CA4210006 - LOMPOC-CITY WATER UTILITY DIV</v>
      </c>
      <c r="J253" s="246" cm="1">
        <f t="array" ref="J253">IFERROR(SUMPRODUCT((PD_PWSID_LIST=Crosswalk_API!$C253)*(PD_SUM_DEL&gt;0)), 0)</f>
        <v>12</v>
      </c>
    </row>
    <row r="254" spans="1:10" x14ac:dyDescent="0.25">
      <c r="A254" s="234" t="s">
        <v>1631</v>
      </c>
      <c r="B254" t="s">
        <v>1632</v>
      </c>
      <c r="C254" t="s">
        <v>1633</v>
      </c>
      <c r="D254" t="s">
        <v>1634</v>
      </c>
      <c r="E254" t="s">
        <v>708</v>
      </c>
      <c r="F254" t="s">
        <v>109</v>
      </c>
      <c r="G254" s="245" t="str" cm="1">
        <f t="array" ref="G254">IF(IFERROR(INDEX(LAM_II_SQFT, MATCH(Crosswalk_API!$A254, LAM_ORG_ID_LIST, 0)), 0) = 0, "No", "Yes")</f>
        <v>Yes</v>
      </c>
      <c r="H254" s="245" t="str">
        <f>IF(OR(G254="Not Applicable", IFERROR(INDEX('Landing Page and Navigation'!$F$31:$F$48, MATCH(C254, 'Landing Page and Navigation'!$A$31:$A$48, 0)), "No") = "No"), "No", "Yes")</f>
        <v>No</v>
      </c>
      <c r="I254" s="245" t="str">
        <f>_xlfn.TEXTJOIN(" - ", TRUE, CW_API_TABLE[[#This Row],[PWSID]],CW_API_TABLE[[#This Row],[PWS_NAME]])</f>
        <v>CA1910065 - LONG BEACH-CITY, WATER DEPT.</v>
      </c>
      <c r="J254" s="246" cm="1">
        <f t="array" ref="J254">IFERROR(SUMPRODUCT((PD_PWSID_LIST=Crosswalk_API!$C254)*(PD_SUM_DEL&gt;0)), 0)</f>
        <v>12</v>
      </c>
    </row>
    <row r="255" spans="1:10" x14ac:dyDescent="0.25">
      <c r="A255" s="234" t="s">
        <v>1635</v>
      </c>
      <c r="B255" t="s">
        <v>1636</v>
      </c>
      <c r="C255" t="s">
        <v>1637</v>
      </c>
      <c r="D255" t="s">
        <v>1638</v>
      </c>
      <c r="E255" t="s">
        <v>708</v>
      </c>
      <c r="F255" t="s">
        <v>109</v>
      </c>
      <c r="G255" s="245" t="str" cm="1">
        <f t="array" ref="G255">IF(IFERROR(INDEX(LAM_II_SQFT, MATCH(Crosswalk_API!$A255, LAM_ORG_ID_LIST, 0)), 0) = 0, "No", "Yes")</f>
        <v>Yes</v>
      </c>
      <c r="H255" s="245" t="str">
        <f>IF(OR(G255="Not Applicable", IFERROR(INDEX('Landing Page and Navigation'!$F$31:$F$48, MATCH(C255, 'Landing Page and Navigation'!$A$31:$A$48, 0)), "No") = "No"), "No", "Yes")</f>
        <v>No</v>
      </c>
      <c r="I255" s="245" t="str">
        <f>_xlfn.TEXTJOIN(" - ", TRUE, CW_API_TABLE[[#This Row],[PWSID]],CW_API_TABLE[[#This Row],[PWS_NAME]])</f>
        <v>CA1910067 - LOS ANGELES-CITY, DEPT. OF WATER &amp; POWER</v>
      </c>
      <c r="J255" s="246" cm="1">
        <f t="array" ref="J255">IFERROR(SUMPRODUCT((PD_PWSID_LIST=Crosswalk_API!$C255)*(PD_SUM_DEL&gt;0)), 0)</f>
        <v>12</v>
      </c>
    </row>
    <row r="256" spans="1:10" x14ac:dyDescent="0.25">
      <c r="A256" s="234" t="s">
        <v>1639</v>
      </c>
      <c r="B256" t="s">
        <v>1640</v>
      </c>
      <c r="C256" t="s">
        <v>1641</v>
      </c>
      <c r="D256" t="s">
        <v>1642</v>
      </c>
      <c r="E256" t="s">
        <v>708</v>
      </c>
      <c r="F256" t="s">
        <v>109</v>
      </c>
      <c r="G256" s="245" t="str" cm="1">
        <f t="array" ref="G256">IF(IFERROR(INDEX(LAM_II_SQFT, MATCH(Crosswalk_API!$A256, LAM_ORG_ID_LIST, 0)), 0) = 0, "No", "Yes")</f>
        <v>Yes</v>
      </c>
      <c r="H256" s="245" t="str">
        <f>IF(OR(G256="Not Applicable", IFERROR(INDEX('Landing Page and Navigation'!$F$31:$F$48, MATCH(C256, 'Landing Page and Navigation'!$A$31:$A$48, 0)), "No") = "No"), "No", "Yes")</f>
        <v>No</v>
      </c>
      <c r="I256" s="245" t="str">
        <f>_xlfn.TEXTJOIN(" - ", TRUE, CW_API_TABLE[[#This Row],[PWSID]],CW_API_TABLE[[#This Row],[PWS_NAME]])</f>
        <v>CA1910204 - LOS ANGELES CWWD 29 &amp; 80-MALIBU</v>
      </c>
      <c r="J256" s="246" cm="1">
        <f t="array" ref="J256">IFERROR(SUMPRODUCT((PD_PWSID_LIST=Crosswalk_API!$C256)*(PD_SUM_DEL&gt;0)), 0)</f>
        <v>12</v>
      </c>
    </row>
    <row r="257" spans="1:10" x14ac:dyDescent="0.25">
      <c r="A257" s="234" t="s">
        <v>1643</v>
      </c>
      <c r="B257" t="s">
        <v>1644</v>
      </c>
      <c r="C257" t="s">
        <v>1645</v>
      </c>
      <c r="D257" t="s">
        <v>1646</v>
      </c>
      <c r="E257" t="s">
        <v>708</v>
      </c>
      <c r="F257" t="s">
        <v>109</v>
      </c>
      <c r="G257" s="245" t="str" cm="1">
        <f t="array" ref="G257">IF(IFERROR(INDEX(LAM_II_SQFT, MATCH(Crosswalk_API!$A257, LAM_ORG_ID_LIST, 0)), 0) = 0, "No", "Yes")</f>
        <v>Yes</v>
      </c>
      <c r="H257" s="245" t="str">
        <f>IF(OR(G257="Not Applicable", IFERROR(INDEX('Landing Page and Navigation'!$F$31:$F$48, MATCH(C257, 'Landing Page and Navigation'!$A$31:$A$48, 0)), "No") = "No"), "No", "Yes")</f>
        <v>No</v>
      </c>
      <c r="I257" s="245" t="str">
        <f>_xlfn.TEXTJOIN(" - ", TRUE, CW_API_TABLE[[#This Row],[PWSID]],CW_API_TABLE[[#This Row],[PWS_NAME]])</f>
        <v>CA1910005 - LOS ANGELES CWWD 40, REG. 38-LAKE LA</v>
      </c>
      <c r="J257" s="246" cm="1">
        <f t="array" ref="J257">IFERROR(SUMPRODUCT((PD_PWSID_LIST=Crosswalk_API!$C257)*(PD_SUM_DEL&gt;0)), 0)</f>
        <v>12</v>
      </c>
    </row>
    <row r="258" spans="1:10" x14ac:dyDescent="0.25">
      <c r="A258" s="234" t="s">
        <v>1643</v>
      </c>
      <c r="B258" t="s">
        <v>1644</v>
      </c>
      <c r="C258" t="s">
        <v>1647</v>
      </c>
      <c r="D258" t="s">
        <v>1648</v>
      </c>
      <c r="E258" t="s">
        <v>708</v>
      </c>
      <c r="F258" t="s">
        <v>109</v>
      </c>
      <c r="G258" s="245" t="str" cm="1">
        <f t="array" ref="G258">IF(IFERROR(INDEX(LAM_II_SQFT, MATCH(Crosswalk_API!$A258, LAM_ORG_ID_LIST, 0)), 0) = 0, "No", "Yes")</f>
        <v>Yes</v>
      </c>
      <c r="H258" s="245" t="str">
        <f>IF(OR(G258="Not Applicable", IFERROR(INDEX('Landing Page and Navigation'!$F$31:$F$48, MATCH(C258, 'Landing Page and Navigation'!$A$31:$A$48, 0)), "No") = "No"), "No", "Yes")</f>
        <v>No</v>
      </c>
      <c r="I258" s="245" t="str">
        <f>_xlfn.TEXTJOIN(" - ", TRUE, CW_API_TABLE[[#This Row],[PWSID]],CW_API_TABLE[[#This Row],[PWS_NAME]])</f>
        <v>CA1910025 - LOS ANGELES CWWD 40, REG. 39-ROCK CREEK</v>
      </c>
      <c r="J258" s="246" cm="1">
        <f t="array" ref="J258">IFERROR(SUMPRODUCT((PD_PWSID_LIST=Crosswalk_API!$C258)*(PD_SUM_DEL&gt;0)), 0)</f>
        <v>12</v>
      </c>
    </row>
    <row r="259" spans="1:10" x14ac:dyDescent="0.25">
      <c r="A259" s="234" t="s">
        <v>1643</v>
      </c>
      <c r="B259" t="s">
        <v>1644</v>
      </c>
      <c r="C259" t="s">
        <v>1649</v>
      </c>
      <c r="D259" t="s">
        <v>1650</v>
      </c>
      <c r="E259" t="s">
        <v>708</v>
      </c>
      <c r="F259" t="s">
        <v>109</v>
      </c>
      <c r="G259" s="245" t="str" cm="1">
        <f t="array" ref="G259">IF(IFERROR(INDEX(LAM_II_SQFT, MATCH(Crosswalk_API!$A259, LAM_ORG_ID_LIST, 0)), 0) = 0, "No", "Yes")</f>
        <v>Yes</v>
      </c>
      <c r="H259" s="245" t="str">
        <f>IF(OR(G259="Not Applicable", IFERROR(INDEX('Landing Page and Navigation'!$F$31:$F$48, MATCH(C259, 'Landing Page and Navigation'!$A$31:$A$48, 0)), "No") = "No"), "No", "Yes")</f>
        <v>No</v>
      </c>
      <c r="I259" s="245" t="str">
        <f>_xlfn.TEXTJOIN(" - ", TRUE, CW_API_TABLE[[#This Row],[PWSID]],CW_API_TABLE[[#This Row],[PWS_NAME]])</f>
        <v>CA1910027 - LOS ANGELES CWWD 40, REG. 35-N.E. L.A.</v>
      </c>
      <c r="J259" s="246" cm="1">
        <f t="array" ref="J259">IFERROR(SUMPRODUCT((PD_PWSID_LIST=Crosswalk_API!$C259)*(PD_SUM_DEL&gt;0)), 0)</f>
        <v>12</v>
      </c>
    </row>
    <row r="260" spans="1:10" x14ac:dyDescent="0.25">
      <c r="A260" s="234" t="s">
        <v>1643</v>
      </c>
      <c r="B260" t="s">
        <v>1644</v>
      </c>
      <c r="C260" t="s">
        <v>1651</v>
      </c>
      <c r="D260" t="s">
        <v>1652</v>
      </c>
      <c r="E260" t="s">
        <v>708</v>
      </c>
      <c r="F260" t="s">
        <v>109</v>
      </c>
      <c r="G260" s="245" t="str" cm="1">
        <f t="array" ref="G260">IF(IFERROR(INDEX(LAM_II_SQFT, MATCH(Crosswalk_API!$A260, LAM_ORG_ID_LIST, 0)), 0) = 0, "No", "Yes")</f>
        <v>Yes</v>
      </c>
      <c r="H260" s="245" t="str">
        <f>IF(OR(G260="Not Applicable", IFERROR(INDEX('Landing Page and Navigation'!$F$31:$F$48, MATCH(C260, 'Landing Page and Navigation'!$A$31:$A$48, 0)), "No") = "No"), "No", "Yes")</f>
        <v>No</v>
      </c>
      <c r="I260" s="245" t="str">
        <f>_xlfn.TEXTJOIN(" - ", TRUE, CW_API_TABLE[[#This Row],[PWSID]],CW_API_TABLE[[#This Row],[PWS_NAME]])</f>
        <v>CA1910070 - LOS ANGELES CWWD 40,REG 4 &amp; 34-LANCASTER</v>
      </c>
      <c r="J260" s="246" cm="1">
        <f t="array" ref="J260">IFERROR(SUMPRODUCT((PD_PWSID_LIST=Crosswalk_API!$C260)*(PD_SUM_DEL&gt;0)), 0)</f>
        <v>12</v>
      </c>
    </row>
    <row r="261" spans="1:10" x14ac:dyDescent="0.25">
      <c r="A261" s="234" t="s">
        <v>1643</v>
      </c>
      <c r="B261" t="s">
        <v>1644</v>
      </c>
      <c r="C261" t="s">
        <v>1653</v>
      </c>
      <c r="D261" t="s">
        <v>1654</v>
      </c>
      <c r="E261" t="s">
        <v>708</v>
      </c>
      <c r="F261" t="s">
        <v>109</v>
      </c>
      <c r="G261" s="245" t="str" cm="1">
        <f t="array" ref="G261">IF(IFERROR(INDEX(LAM_II_SQFT, MATCH(Crosswalk_API!$A261, LAM_ORG_ID_LIST, 0)), 0) = 0, "No", "Yes")</f>
        <v>Yes</v>
      </c>
      <c r="H261" s="245" t="str">
        <f>IF(OR(G261="Not Applicable", IFERROR(INDEX('Landing Page and Navigation'!$F$31:$F$48, MATCH(C261, 'Landing Page and Navigation'!$A$31:$A$48, 0)), "No") = "No"), "No", "Yes")</f>
        <v>No</v>
      </c>
      <c r="I261" s="245" t="str">
        <f>_xlfn.TEXTJOIN(" - ", TRUE, CW_API_TABLE[[#This Row],[PWSID]],CW_API_TABLE[[#This Row],[PWS_NAME]])</f>
        <v>CA1910203 - LOS ANGELES CWWD 40, R 24,27,33-PEARBLSM</v>
      </c>
      <c r="J261" s="246" cm="1">
        <f t="array" ref="J261">IFERROR(SUMPRODUCT((PD_PWSID_LIST=Crosswalk_API!$C261)*(PD_SUM_DEL&gt;0)), 0)</f>
        <v>12</v>
      </c>
    </row>
    <row r="262" spans="1:10" x14ac:dyDescent="0.25">
      <c r="A262" s="234" t="s">
        <v>1655</v>
      </c>
      <c r="B262" t="s">
        <v>1656</v>
      </c>
      <c r="C262" t="s">
        <v>1657</v>
      </c>
      <c r="D262" t="s">
        <v>1658</v>
      </c>
      <c r="E262" t="s">
        <v>775</v>
      </c>
      <c r="F262" t="s">
        <v>109</v>
      </c>
      <c r="G262" s="245" t="str" cm="1">
        <f t="array" ref="G262">IF(IFERROR(INDEX(LAM_II_SQFT, MATCH(Crosswalk_API!$A262, LAM_ORG_ID_LIST, 0)), 0) = 0, "No", "Yes")</f>
        <v>Yes</v>
      </c>
      <c r="H262" s="245" t="str">
        <f>IF(OR(G262="Not Applicable", IFERROR(INDEX('Landing Page and Navigation'!$F$31:$F$48, MATCH(C262, 'Landing Page and Navigation'!$A$31:$A$48, 0)), "No") = "No"), "No", "Yes")</f>
        <v>No</v>
      </c>
      <c r="I262" s="245" t="str">
        <f>_xlfn.TEXTJOIN(" - ", TRUE, CW_API_TABLE[[#This Row],[PWSID]],CW_API_TABLE[[#This Row],[PWS_NAME]])</f>
        <v>CA2410005 - CITY OF LOS BANOS</v>
      </c>
      <c r="J262" s="246" cm="1">
        <f t="array" ref="J262">IFERROR(SUMPRODUCT((PD_PWSID_LIST=Crosswalk_API!$C262)*(PD_SUM_DEL&gt;0)), 0)</f>
        <v>12</v>
      </c>
    </row>
    <row r="263" spans="1:10" x14ac:dyDescent="0.25">
      <c r="A263" s="234" t="s">
        <v>1659</v>
      </c>
      <c r="B263" t="s">
        <v>1660</v>
      </c>
      <c r="C263" t="s">
        <v>1661</v>
      </c>
      <c r="D263" t="s">
        <v>1662</v>
      </c>
      <c r="E263" t="s">
        <v>708</v>
      </c>
      <c r="F263" t="s">
        <v>109</v>
      </c>
      <c r="G263" s="245" t="str" cm="1">
        <f t="array" ref="G263">IF(IFERROR(INDEX(LAM_II_SQFT, MATCH(Crosswalk_API!$A263, LAM_ORG_ID_LIST, 0)), 0) = 0, "No", "Yes")</f>
        <v>Yes</v>
      </c>
      <c r="H263" s="245" t="str">
        <f>IF(OR(G263="Not Applicable", IFERROR(INDEX('Landing Page and Navigation'!$F$31:$F$48, MATCH(C263, 'Landing Page and Navigation'!$A$31:$A$48, 0)), "No") = "No"), "No", "Yes")</f>
        <v>No</v>
      </c>
      <c r="I263" s="245" t="str">
        <f>_xlfn.TEXTJOIN(" - ", TRUE, CW_API_TABLE[[#This Row],[PWSID]],CW_API_TABLE[[#This Row],[PWS_NAME]])</f>
        <v>CA1910079 - LYNWOOD-CITY, WATER DEPT.</v>
      </c>
      <c r="J263" s="246" cm="1">
        <f t="array" ref="J263">IFERROR(SUMPRODUCT((PD_PWSID_LIST=Crosswalk_API!$C263)*(PD_SUM_DEL&gt;0)), 0)</f>
        <v>12</v>
      </c>
    </row>
    <row r="264" spans="1:10" x14ac:dyDescent="0.25">
      <c r="A264" s="234" t="s">
        <v>1663</v>
      </c>
      <c r="B264" t="s">
        <v>1664</v>
      </c>
      <c r="C264" t="s">
        <v>1665</v>
      </c>
      <c r="D264" t="s">
        <v>1666</v>
      </c>
      <c r="E264" t="s">
        <v>1667</v>
      </c>
      <c r="F264" t="s">
        <v>109</v>
      </c>
      <c r="G264" s="245" t="str" cm="1">
        <f t="array" ref="G264">IF(IFERROR(INDEX(LAM_II_SQFT, MATCH(Crosswalk_API!$A264, LAM_ORG_ID_LIST, 0)), 0) = 0, "No", "Yes")</f>
        <v>Yes</v>
      </c>
      <c r="H264" s="245" t="str">
        <f>IF(OR(G264="Not Applicable", IFERROR(INDEX('Landing Page and Navigation'!$F$31:$F$48, MATCH(C264, 'Landing Page and Navigation'!$A$31:$A$48, 0)), "No") = "No"), "No", "Yes")</f>
        <v>No</v>
      </c>
      <c r="I264" s="245" t="str">
        <f>_xlfn.TEXTJOIN(" - ", TRUE, CW_API_TABLE[[#This Row],[PWSID]],CW_API_TABLE[[#This Row],[PWS_NAME]])</f>
        <v>CA2010002 - CITY OF MADERA</v>
      </c>
      <c r="J264" s="246" cm="1">
        <f t="array" ref="J264">IFERROR(SUMPRODUCT((PD_PWSID_LIST=Crosswalk_API!$C264)*(PD_SUM_DEL&gt;0)), 0)</f>
        <v>12</v>
      </c>
    </row>
    <row r="265" spans="1:10" x14ac:dyDescent="0.25">
      <c r="A265" s="234" t="s">
        <v>1668</v>
      </c>
      <c r="B265" t="s">
        <v>1669</v>
      </c>
      <c r="C265" t="s">
        <v>1670</v>
      </c>
      <c r="D265" t="s">
        <v>1671</v>
      </c>
      <c r="E265" t="s">
        <v>1672</v>
      </c>
      <c r="F265" t="s">
        <v>109</v>
      </c>
      <c r="G265" s="245" t="str" cm="1">
        <f t="array" ref="G265">IF(IFERROR(INDEX(LAM_II_SQFT, MATCH(Crosswalk_API!$A265, LAM_ORG_ID_LIST, 0)), 0) = 0, "No", "Yes")</f>
        <v>Yes</v>
      </c>
      <c r="H265" s="245" t="str">
        <f>IF(OR(G265="Not Applicable", IFERROR(INDEX('Landing Page and Navigation'!$F$31:$F$48, MATCH(C265, 'Landing Page and Navigation'!$A$31:$A$48, 0)), "No") = "No"), "No", "Yes")</f>
        <v>No</v>
      </c>
      <c r="I265" s="245" t="str">
        <f>_xlfn.TEXTJOIN(" - ", TRUE, CW_API_TABLE[[#This Row],[PWSID]],CW_API_TABLE[[#This Row],[PWS_NAME]])</f>
        <v>CA2610001 - MAMMOTH CWD</v>
      </c>
      <c r="J265" s="246" cm="1">
        <f t="array" ref="J265">IFERROR(SUMPRODUCT((PD_PWSID_LIST=Crosswalk_API!$C265)*(PD_SUM_DEL&gt;0)), 0)</f>
        <v>12</v>
      </c>
    </row>
    <row r="266" spans="1:10" x14ac:dyDescent="0.25">
      <c r="A266" s="234" t="s">
        <v>1673</v>
      </c>
      <c r="B266" t="s">
        <v>1674</v>
      </c>
      <c r="C266" t="s">
        <v>1675</v>
      </c>
      <c r="D266" t="s">
        <v>1676</v>
      </c>
      <c r="E266" t="s">
        <v>708</v>
      </c>
      <c r="F266" t="s">
        <v>109</v>
      </c>
      <c r="G266" s="245" t="str" cm="1">
        <f t="array" ref="G266">IF(IFERROR(INDEX(LAM_II_SQFT, MATCH(Crosswalk_API!$A266, LAM_ORG_ID_LIST, 0)), 0) = 0, "No", "Yes")</f>
        <v>Yes</v>
      </c>
      <c r="H266" s="245" t="str">
        <f>IF(OR(G266="Not Applicable", IFERROR(INDEX('Landing Page and Navigation'!$F$31:$F$48, MATCH(C266, 'Landing Page and Navigation'!$A$31:$A$48, 0)), "No") = "No"), "No", "Yes")</f>
        <v>No</v>
      </c>
      <c r="I266" s="245" t="str">
        <f>_xlfn.TEXTJOIN(" - ", TRUE, CW_API_TABLE[[#This Row],[PWSID]],CW_API_TABLE[[#This Row],[PWS_NAME]])</f>
        <v>CA1910083 - MANHATTAN BEACH-CITY, WATER DEPT.</v>
      </c>
      <c r="J266" s="246" cm="1">
        <f t="array" ref="J266">IFERROR(SUMPRODUCT((PD_PWSID_LIST=Crosswalk_API!$C266)*(PD_SUM_DEL&gt;0)), 0)</f>
        <v>12</v>
      </c>
    </row>
    <row r="267" spans="1:10" x14ac:dyDescent="0.25">
      <c r="A267" s="234" t="s">
        <v>1677</v>
      </c>
      <c r="B267" t="s">
        <v>1678</v>
      </c>
      <c r="C267" t="s">
        <v>1679</v>
      </c>
      <c r="D267" t="s">
        <v>1680</v>
      </c>
      <c r="E267" t="s">
        <v>1051</v>
      </c>
      <c r="F267" t="s">
        <v>109</v>
      </c>
      <c r="G267" s="245" t="str" cm="1">
        <f t="array" ref="G267">IF(IFERROR(INDEX(LAM_II_SQFT, MATCH(Crosswalk_API!$A267, LAM_ORG_ID_LIST, 0)), 0) = 0, "No", "Yes")</f>
        <v>Yes</v>
      </c>
      <c r="H267" s="245" t="str">
        <f>IF(OR(G267="Not Applicable", IFERROR(INDEX('Landing Page and Navigation'!$F$31:$F$48, MATCH(C267, 'Landing Page and Navigation'!$A$31:$A$48, 0)), "No") = "No"), "No", "Yes")</f>
        <v>No</v>
      </c>
      <c r="I267" s="245" t="str">
        <f>_xlfn.TEXTJOIN(" - ", TRUE, CW_API_TABLE[[#This Row],[PWSID]],CW_API_TABLE[[#This Row],[PWS_NAME]])</f>
        <v>CA3910005 - MANTECA, CITY OF</v>
      </c>
      <c r="J267" s="246" cm="1">
        <f t="array" ref="J267">IFERROR(SUMPRODUCT((PD_PWSID_LIST=Crosswalk_API!$C267)*(PD_SUM_DEL&gt;0)), 0)</f>
        <v>12</v>
      </c>
    </row>
    <row r="268" spans="1:10" x14ac:dyDescent="0.25">
      <c r="A268" s="234" t="s">
        <v>1681</v>
      </c>
      <c r="B268" t="s">
        <v>1682</v>
      </c>
      <c r="C268" t="s">
        <v>1683</v>
      </c>
      <c r="D268" t="s">
        <v>1684</v>
      </c>
      <c r="E268" t="s">
        <v>1685</v>
      </c>
      <c r="F268" t="s">
        <v>109</v>
      </c>
      <c r="G268" s="245" t="str" cm="1">
        <f t="array" ref="G268">IF(IFERROR(INDEX(LAM_II_SQFT, MATCH(Crosswalk_API!$A268, LAM_ORG_ID_LIST, 0)), 0) = 0, "No", "Yes")</f>
        <v>Yes</v>
      </c>
      <c r="H268" s="245" t="str">
        <f>IF(OR(G268="Not Applicable", IFERROR(INDEX('Landing Page and Navigation'!$F$31:$F$48, MATCH(C268, 'Landing Page and Navigation'!$A$31:$A$48, 0)), "No") = "No"), "No", "Yes")</f>
        <v>No</v>
      </c>
      <c r="I268" s="245" t="str">
        <f>_xlfn.TEXTJOIN(" - ", TRUE, CW_API_TABLE[[#This Row],[PWSID]],CW_API_TABLE[[#This Row],[PWS_NAME]])</f>
        <v>CA2110002 - MARIN MUNICIPAL WATER DISTRICT</v>
      </c>
      <c r="J268" s="246" cm="1">
        <f t="array" ref="J268">IFERROR(SUMPRODUCT((PD_PWSID_LIST=Crosswalk_API!$C268)*(PD_SUM_DEL&gt;0)), 0)</f>
        <v>12</v>
      </c>
    </row>
    <row r="269" spans="1:10" x14ac:dyDescent="0.25">
      <c r="A269" s="234" t="s">
        <v>1686</v>
      </c>
      <c r="B269" t="s">
        <v>1687</v>
      </c>
      <c r="C269" t="s">
        <v>1688</v>
      </c>
      <c r="D269" t="s">
        <v>1689</v>
      </c>
      <c r="E269" t="s">
        <v>703</v>
      </c>
      <c r="F269" t="s">
        <v>109</v>
      </c>
      <c r="G269" s="245" t="str" cm="1">
        <f t="array" ref="G269">IF(IFERROR(INDEX(LAM_II_SQFT, MATCH(Crosswalk_API!$A269, LAM_ORG_ID_LIST, 0)), 0) = 0, "No", "Yes")</f>
        <v>Yes</v>
      </c>
      <c r="H269" s="245" t="str">
        <f>IF(OR(G269="Not Applicable", IFERROR(INDEX('Landing Page and Navigation'!$F$31:$F$48, MATCH(C269, 'Landing Page and Navigation'!$A$31:$A$48, 0)), "No") = "No"), "No", "Yes")</f>
        <v>No</v>
      </c>
      <c r="I269" s="245" t="str">
        <f>_xlfn.TEXTJOIN(" - ", TRUE, CW_API_TABLE[[#This Row],[PWSID]],CW_API_TABLE[[#This Row],[PWS_NAME]])</f>
        <v>CA2710017 - MARINA COAST WATER DISTRICT</v>
      </c>
      <c r="J269" s="246" cm="1">
        <f t="array" ref="J269">IFERROR(SUMPRODUCT((PD_PWSID_LIST=Crosswalk_API!$C269)*(PD_SUM_DEL&gt;0)), 0)</f>
        <v>12</v>
      </c>
    </row>
    <row r="270" spans="1:10" x14ac:dyDescent="0.25">
      <c r="A270" s="234" t="s">
        <v>1690</v>
      </c>
      <c r="B270" t="s">
        <v>1691</v>
      </c>
      <c r="C270" t="s">
        <v>1692</v>
      </c>
      <c r="D270" t="s">
        <v>1693</v>
      </c>
      <c r="E270" t="s">
        <v>741</v>
      </c>
      <c r="F270" t="s">
        <v>109</v>
      </c>
      <c r="G270" s="245" t="str" cm="1">
        <f t="array" ref="G270">IF(IFERROR(INDEX(LAM_II_SQFT, MATCH(Crosswalk_API!$A270, LAM_ORG_ID_LIST, 0)), 0) = 0, "No", "Yes")</f>
        <v>Yes</v>
      </c>
      <c r="H270" s="245" t="str">
        <f>IF(OR(G270="Not Applicable", IFERROR(INDEX('Landing Page and Navigation'!$F$31:$F$48, MATCH(C270, 'Landing Page and Navigation'!$A$31:$A$48, 0)), "No") = "No"), "No", "Yes")</f>
        <v>No</v>
      </c>
      <c r="I270" s="245" t="str">
        <f>_xlfn.TEXTJOIN(" - ", TRUE, CW_API_TABLE[[#This Row],[PWSID]],CW_API_TABLE[[#This Row],[PWS_NAME]])</f>
        <v>CA0710006 - CITY OF MARTINEZ</v>
      </c>
      <c r="J270" s="246" cm="1">
        <f t="array" ref="J270">IFERROR(SUMPRODUCT((PD_PWSID_LIST=Crosswalk_API!$C270)*(PD_SUM_DEL&gt;0)), 0)</f>
        <v>12</v>
      </c>
    </row>
    <row r="271" spans="1:10" x14ac:dyDescent="0.25">
      <c r="A271" s="234" t="s">
        <v>1694</v>
      </c>
      <c r="B271" t="s">
        <v>1695</v>
      </c>
      <c r="C271" t="s">
        <v>1696</v>
      </c>
      <c r="D271" t="s">
        <v>1697</v>
      </c>
      <c r="E271" t="s">
        <v>754</v>
      </c>
      <c r="F271" t="s">
        <v>109</v>
      </c>
      <c r="G271" s="245" t="str" cm="1">
        <f t="array" ref="G271">IF(IFERROR(INDEX(LAM_II_SQFT, MATCH(Crosswalk_API!$A271, LAM_ORG_ID_LIST, 0)), 0) = 0, "No", "Yes")</f>
        <v>Yes</v>
      </c>
      <c r="H271" s="245" t="str">
        <f>IF(OR(G271="Not Applicable", IFERROR(INDEX('Landing Page and Navigation'!$F$31:$F$48, MATCH(C271, 'Landing Page and Navigation'!$A$31:$A$48, 0)), "No") = "No"), "No", "Yes")</f>
        <v>No</v>
      </c>
      <c r="I271" s="245" t="str">
        <f>_xlfn.TEXTJOIN(" - ", TRUE, CW_API_TABLE[[#This Row],[PWSID]],CW_API_TABLE[[#This Row],[PWS_NAME]])</f>
        <v>CA1210016 - MCKINLEYVILLE C.S.D.</v>
      </c>
      <c r="J271" s="246" cm="1">
        <f t="array" ref="J271">IFERROR(SUMPRODUCT((PD_PWSID_LIST=Crosswalk_API!$C271)*(PD_SUM_DEL&gt;0)), 0)</f>
        <v>12</v>
      </c>
    </row>
    <row r="272" spans="1:10" x14ac:dyDescent="0.25">
      <c r="A272" s="234" t="s">
        <v>1698</v>
      </c>
      <c r="B272" t="s">
        <v>1699</v>
      </c>
      <c r="C272" t="s">
        <v>1700</v>
      </c>
      <c r="D272" t="s">
        <v>1701</v>
      </c>
      <c r="E272" t="s">
        <v>862</v>
      </c>
      <c r="F272" t="s">
        <v>109</v>
      </c>
      <c r="G272" s="245" t="str" cm="1">
        <f t="array" ref="G272">IF(IFERROR(INDEX(LAM_II_SQFT, MATCH(Crosswalk_API!$A272, LAM_ORG_ID_LIST, 0)), 0) = 0, "No", "Yes")</f>
        <v>Yes</v>
      </c>
      <c r="H272" s="245" t="str">
        <f>IF(OR(G272="Not Applicable", IFERROR(INDEX('Landing Page and Navigation'!$F$31:$F$48, MATCH(C272, 'Landing Page and Navigation'!$A$31:$A$48, 0)), "No") = "No"), "No", "Yes")</f>
        <v>No</v>
      </c>
      <c r="I272" s="245" t="str">
        <f>_xlfn.TEXTJOIN(" - ", TRUE, CW_API_TABLE[[#This Row],[PWSID]],CW_API_TABLE[[#This Row],[PWS_NAME]])</f>
        <v>CA4110017 - MENLO PARK MUNICIPAL WATER</v>
      </c>
      <c r="J272" s="246" cm="1">
        <f t="array" ref="J272">IFERROR(SUMPRODUCT((PD_PWSID_LIST=Crosswalk_API!$C272)*(PD_SUM_DEL&gt;0)), 0)</f>
        <v>12</v>
      </c>
    </row>
    <row r="273" spans="1:10" x14ac:dyDescent="0.25">
      <c r="A273" s="234" t="s">
        <v>1702</v>
      </c>
      <c r="B273" t="s">
        <v>1703</v>
      </c>
      <c r="C273" t="s">
        <v>1704</v>
      </c>
      <c r="D273" t="s">
        <v>1705</v>
      </c>
      <c r="E273" t="s">
        <v>775</v>
      </c>
      <c r="F273" t="s">
        <v>109</v>
      </c>
      <c r="G273" s="245" t="str" cm="1">
        <f t="array" ref="G273">IF(IFERROR(INDEX(LAM_II_SQFT, MATCH(Crosswalk_API!$A273, LAM_ORG_ID_LIST, 0)), 0) = 0, "No", "Yes")</f>
        <v>Yes</v>
      </c>
      <c r="H273" s="245" t="str">
        <f>IF(OR(G273="Not Applicable", IFERROR(INDEX('Landing Page and Navigation'!$F$31:$F$48, MATCH(C273, 'Landing Page and Navigation'!$A$31:$A$48, 0)), "No") = "No"), "No", "Yes")</f>
        <v>No</v>
      </c>
      <c r="I273" s="245" t="str">
        <f>_xlfn.TEXTJOIN(" - ", TRUE, CW_API_TABLE[[#This Row],[PWSID]],CW_API_TABLE[[#This Row],[PWS_NAME]])</f>
        <v>CA2410009 - CITY OF MERCED</v>
      </c>
      <c r="J273" s="246" cm="1">
        <f t="array" ref="J273">IFERROR(SUMPRODUCT((PD_PWSID_LIST=Crosswalk_API!$C273)*(PD_SUM_DEL&gt;0)), 0)</f>
        <v>12</v>
      </c>
    </row>
    <row r="274" spans="1:10" x14ac:dyDescent="0.25">
      <c r="A274" s="234" t="s">
        <v>1706</v>
      </c>
      <c r="B274" t="s">
        <v>1707</v>
      </c>
      <c r="C274" t="s">
        <v>1708</v>
      </c>
      <c r="D274" t="s">
        <v>1709</v>
      </c>
      <c r="E274" t="s">
        <v>731</v>
      </c>
      <c r="F274" t="s">
        <v>109</v>
      </c>
      <c r="G274" s="245" t="str" cm="1">
        <f t="array" ref="G274">IF(IFERROR(INDEX(LAM_II_SQFT, MATCH(Crosswalk_API!$A274, LAM_ORG_ID_LIST, 0)), 0) = 0, "No", "Yes")</f>
        <v>Yes</v>
      </c>
      <c r="H274" s="245" t="str">
        <f>IF(OR(G274="Not Applicable", IFERROR(INDEX('Landing Page and Navigation'!$F$31:$F$48, MATCH(C274, 'Landing Page and Navigation'!$A$31:$A$48, 0)), "No") = "No"), "No", "Yes")</f>
        <v>No</v>
      </c>
      <c r="I274" s="245" t="str">
        <f>_xlfn.TEXTJOIN(" - ", TRUE, CW_API_TABLE[[#This Row],[PWSID]],CW_API_TABLE[[#This Row],[PWS_NAME]])</f>
        <v>CA3010004 - MESA  WATER DISTRICT</v>
      </c>
      <c r="J274" s="246" cm="1">
        <f t="array" ref="J274">IFERROR(SUMPRODUCT((PD_PWSID_LIST=Crosswalk_API!$C274)*(PD_SUM_DEL&gt;0)), 0)</f>
        <v>12</v>
      </c>
    </row>
    <row r="275" spans="1:10" x14ac:dyDescent="0.25">
      <c r="A275" s="234" t="s">
        <v>1710</v>
      </c>
      <c r="B275" t="s">
        <v>1711</v>
      </c>
      <c r="C275" t="s">
        <v>1712</v>
      </c>
      <c r="D275" t="s">
        <v>1713</v>
      </c>
      <c r="E275" t="s">
        <v>862</v>
      </c>
      <c r="F275" t="s">
        <v>109</v>
      </c>
      <c r="G275" s="245" t="str" cm="1">
        <f t="array" ref="G275">IF(IFERROR(INDEX(LAM_II_SQFT, MATCH(Crosswalk_API!$A275, LAM_ORG_ID_LIST, 0)), 0) = 0, "No", "Yes")</f>
        <v>Yes</v>
      </c>
      <c r="H275" s="245" t="str">
        <f>IF(OR(G275="Not Applicable", IFERROR(INDEX('Landing Page and Navigation'!$F$31:$F$48, MATCH(C275, 'Landing Page and Navigation'!$A$31:$A$48, 0)), "No") = "No"), "No", "Yes")</f>
        <v>No</v>
      </c>
      <c r="I275" s="245" t="str">
        <f>_xlfn.TEXTJOIN(" - ", TRUE, CW_API_TABLE[[#This Row],[PWSID]],CW_API_TABLE[[#This Row],[PWS_NAME]])</f>
        <v>CA4110001 - MID-PENINSULA WATER DISTRICT</v>
      </c>
      <c r="J275" s="246" cm="1">
        <f t="array" ref="J275">IFERROR(SUMPRODUCT((PD_PWSID_LIST=Crosswalk_API!$C275)*(PD_SUM_DEL&gt;0)), 0)</f>
        <v>12</v>
      </c>
    </row>
    <row r="276" spans="1:10" x14ac:dyDescent="0.25">
      <c r="A276" s="234" t="s">
        <v>1714</v>
      </c>
      <c r="B276" t="s">
        <v>1715</v>
      </c>
      <c r="C276" t="s">
        <v>1716</v>
      </c>
      <c r="D276" t="s">
        <v>1717</v>
      </c>
      <c r="E276" t="s">
        <v>862</v>
      </c>
      <c r="F276" t="s">
        <v>109</v>
      </c>
      <c r="G276" s="245" t="str" cm="1">
        <f t="array" ref="G276">IF(IFERROR(INDEX(LAM_II_SQFT, MATCH(Crosswalk_API!$A276, LAM_ORG_ID_LIST, 0)), 0) = 0, "No", "Yes")</f>
        <v>Yes</v>
      </c>
      <c r="H276" s="245" t="str">
        <f>IF(OR(G276="Not Applicable", IFERROR(INDEX('Landing Page and Navigation'!$F$31:$F$48, MATCH(C276, 'Landing Page and Navigation'!$A$31:$A$48, 0)), "No") = "No"), "No", "Yes")</f>
        <v>No</v>
      </c>
      <c r="I276" s="245" t="str">
        <f>_xlfn.TEXTJOIN(" - ", TRUE, CW_API_TABLE[[#This Row],[PWSID]],CW_API_TABLE[[#This Row],[PWS_NAME]])</f>
        <v>CA4110018 - CITY OF MILLBRAE</v>
      </c>
      <c r="J276" s="246" cm="1">
        <f t="array" ref="J276">IFERROR(SUMPRODUCT((PD_PWSID_LIST=Crosswalk_API!$C276)*(PD_SUM_DEL&gt;0)), 0)</f>
        <v>12</v>
      </c>
    </row>
    <row r="277" spans="1:10" x14ac:dyDescent="0.25">
      <c r="A277" s="234" t="s">
        <v>1718</v>
      </c>
      <c r="B277" t="s">
        <v>1719</v>
      </c>
      <c r="C277" t="s">
        <v>1720</v>
      </c>
      <c r="D277" t="s">
        <v>1721</v>
      </c>
      <c r="E277" t="s">
        <v>1007</v>
      </c>
      <c r="F277" t="s">
        <v>109</v>
      </c>
      <c r="G277" s="245" t="str" cm="1">
        <f t="array" ref="G277">IF(IFERROR(INDEX(LAM_II_SQFT, MATCH(Crosswalk_API!$A277, LAM_ORG_ID_LIST, 0)), 0) = 0, "No", "Yes")</f>
        <v>Yes</v>
      </c>
      <c r="H277" s="245" t="str">
        <f>IF(OR(G277="Not Applicable", IFERROR(INDEX('Landing Page and Navigation'!$F$31:$F$48, MATCH(C277, 'Landing Page and Navigation'!$A$31:$A$48, 0)), "No") = "No"), "No", "Yes")</f>
        <v>No</v>
      </c>
      <c r="I277" s="245" t="str">
        <f>_xlfn.TEXTJOIN(" - ", TRUE, CW_API_TABLE[[#This Row],[PWSID]],CW_API_TABLE[[#This Row],[PWS_NAME]])</f>
        <v>CA4310005 - CITY OF MILPITAS</v>
      </c>
      <c r="J277" s="246" cm="1">
        <f t="array" ref="J277">IFERROR(SUMPRODUCT((PD_PWSID_LIST=Crosswalk_API!$C277)*(PD_SUM_DEL&gt;0)), 0)</f>
        <v>12</v>
      </c>
    </row>
    <row r="278" spans="1:10" x14ac:dyDescent="0.25">
      <c r="A278" s="234" t="s">
        <v>1722</v>
      </c>
      <c r="B278" t="s">
        <v>1723</v>
      </c>
      <c r="C278" t="s">
        <v>1724</v>
      </c>
      <c r="D278" t="s">
        <v>1725</v>
      </c>
      <c r="E278" t="s">
        <v>793</v>
      </c>
      <c r="F278" t="s">
        <v>109</v>
      </c>
      <c r="G278" s="245" t="str" cm="1">
        <f t="array" ref="G278">IF(IFERROR(INDEX(LAM_II_SQFT, MATCH(Crosswalk_API!$A278, LAM_ORG_ID_LIST, 0)), 0) = 0, "No", "Yes")</f>
        <v>Yes</v>
      </c>
      <c r="H278" s="245" t="str">
        <f>IF(OR(G278="Not Applicable", IFERROR(INDEX('Landing Page and Navigation'!$F$31:$F$48, MATCH(C278, 'Landing Page and Navigation'!$A$31:$A$48, 0)), "No") = "No"), "No", "Yes")</f>
        <v>No</v>
      </c>
      <c r="I278" s="245" t="str">
        <f>_xlfn.TEXTJOIN(" - ", TRUE, CW_API_TABLE[[#This Row],[PWSID]],CW_API_TABLE[[#This Row],[PWS_NAME]])</f>
        <v>CA3310008 - MISSION SPRINGS WD</v>
      </c>
      <c r="J278" s="246" cm="1">
        <f t="array" ref="J278">IFERROR(SUMPRODUCT((PD_PWSID_LIST=Crosswalk_API!$C278)*(PD_SUM_DEL&gt;0)), 0)</f>
        <v>12</v>
      </c>
    </row>
    <row r="279" spans="1:10" x14ac:dyDescent="0.25">
      <c r="A279" s="234" t="s">
        <v>1722</v>
      </c>
      <c r="B279" t="s">
        <v>1723</v>
      </c>
      <c r="C279" t="s">
        <v>1726</v>
      </c>
      <c r="D279" t="s">
        <v>1727</v>
      </c>
      <c r="E279" t="s">
        <v>793</v>
      </c>
      <c r="F279" t="s">
        <v>109</v>
      </c>
      <c r="G279" s="245" t="str" cm="1">
        <f t="array" ref="G279">IF(IFERROR(INDEX(LAM_II_SQFT, MATCH(Crosswalk_API!$A279, LAM_ORG_ID_LIST, 0)), 0) = 0, "No", "Yes")</f>
        <v>Yes</v>
      </c>
      <c r="H279" s="245" t="str">
        <f>IF(OR(G279="Not Applicable", IFERROR(INDEX('Landing Page and Navigation'!$F$31:$F$48, MATCH(C279, 'Landing Page and Navigation'!$A$31:$A$48, 0)), "No") = "No"), "No", "Yes")</f>
        <v>No</v>
      </c>
      <c r="I279" s="245" t="str">
        <f>_xlfn.TEXTJOIN(" - ", TRUE, CW_API_TABLE[[#This Row],[PWSID]],CW_API_TABLE[[#This Row],[PWS_NAME]])</f>
        <v>CA3310078 - WEST PALM SPRINGS VILLAGE</v>
      </c>
      <c r="J279" s="246" cm="1">
        <f t="array" ref="J279">IFERROR(SUMPRODUCT((PD_PWSID_LIST=Crosswalk_API!$C279)*(PD_SUM_DEL&gt;0)), 0)</f>
        <v>12</v>
      </c>
    </row>
    <row r="280" spans="1:10" x14ac:dyDescent="0.25">
      <c r="A280" s="234" t="s">
        <v>1722</v>
      </c>
      <c r="B280" t="s">
        <v>1723</v>
      </c>
      <c r="C280" t="s">
        <v>1728</v>
      </c>
      <c r="D280" t="s">
        <v>1729</v>
      </c>
      <c r="E280" t="s">
        <v>793</v>
      </c>
      <c r="F280" t="s">
        <v>109</v>
      </c>
      <c r="G280" s="245" t="str" cm="1">
        <f t="array" ref="G280">IF(IFERROR(INDEX(LAM_II_SQFT, MATCH(Crosswalk_API!$A280, LAM_ORG_ID_LIST, 0)), 0) = 0, "No", "Yes")</f>
        <v>Yes</v>
      </c>
      <c r="H280" s="245" t="str">
        <f>IF(OR(G280="Not Applicable", IFERROR(INDEX('Landing Page and Navigation'!$F$31:$F$48, MATCH(C280, 'Landing Page and Navigation'!$A$31:$A$48, 0)), "No") = "No"), "No", "Yes")</f>
        <v>No</v>
      </c>
      <c r="I280" s="245" t="str">
        <f>_xlfn.TEXTJOIN(" - ", TRUE, CW_API_TABLE[[#This Row],[PWSID]],CW_API_TABLE[[#This Row],[PWS_NAME]])</f>
        <v>CA3310081 - PALM SPRINGS CREST</v>
      </c>
      <c r="J280" s="246" cm="1">
        <f t="array" ref="J280">IFERROR(SUMPRODUCT((PD_PWSID_LIST=Crosswalk_API!$C280)*(PD_SUM_DEL&gt;0)), 0)</f>
        <v>12</v>
      </c>
    </row>
    <row r="281" spans="1:10" x14ac:dyDescent="0.25">
      <c r="A281" s="234" t="s">
        <v>1730</v>
      </c>
      <c r="B281" t="s">
        <v>1731</v>
      </c>
      <c r="C281" t="s">
        <v>1732</v>
      </c>
      <c r="D281" t="s">
        <v>1733</v>
      </c>
      <c r="E281" t="s">
        <v>1100</v>
      </c>
      <c r="F281" t="s">
        <v>109</v>
      </c>
      <c r="G281" s="245" t="str" cm="1">
        <f t="array" ref="G281">IF(IFERROR(INDEX(LAM_II_SQFT, MATCH(Crosswalk_API!$A281, LAM_ORG_ID_LIST, 0)), 0) = 0, "No", "Yes")</f>
        <v>Yes</v>
      </c>
      <c r="H281" s="245" t="str">
        <f>IF(OR(G281="Not Applicable", IFERROR(INDEX('Landing Page and Navigation'!$F$31:$F$48, MATCH(C281, 'Landing Page and Navigation'!$A$31:$A$48, 0)), "No") = "No"), "No", "Yes")</f>
        <v>No</v>
      </c>
      <c r="I281" s="245" t="str">
        <f>_xlfn.TEXTJOIN(" - ", TRUE, CW_API_TABLE[[#This Row],[PWSID]],CW_API_TABLE[[#This Row],[PWS_NAME]])</f>
        <v>CA5010005 - CITY OF MODESTO - SALIDA</v>
      </c>
      <c r="J281" s="246" cm="1">
        <f t="array" ref="J281">IFERROR(SUMPRODUCT((PD_PWSID_LIST=Crosswalk_API!$C281)*(PD_SUM_DEL&gt;0)), 0)</f>
        <v>12</v>
      </c>
    </row>
    <row r="282" spans="1:10" x14ac:dyDescent="0.25">
      <c r="A282" s="234" t="s">
        <v>1730</v>
      </c>
      <c r="B282" t="s">
        <v>1731</v>
      </c>
      <c r="C282" t="s">
        <v>1734</v>
      </c>
      <c r="D282" t="s">
        <v>1735</v>
      </c>
      <c r="E282" t="s">
        <v>1100</v>
      </c>
      <c r="F282" t="s">
        <v>109</v>
      </c>
      <c r="G282" s="245" t="str" cm="1">
        <f t="array" ref="G282">IF(IFERROR(INDEX(LAM_II_SQFT, MATCH(Crosswalk_API!$A282, LAM_ORG_ID_LIST, 0)), 0) = 0, "No", "Yes")</f>
        <v>Yes</v>
      </c>
      <c r="H282" s="245" t="str">
        <f>IF(OR(G282="Not Applicable", IFERROR(INDEX('Landing Page and Navigation'!$F$31:$F$48, MATCH(C282, 'Landing Page and Navigation'!$A$31:$A$48, 0)), "No") = "No"), "No", "Yes")</f>
        <v>No</v>
      </c>
      <c r="I282" s="245" t="str">
        <f>_xlfn.TEXTJOIN(" - ", TRUE, CW_API_TABLE[[#This Row],[PWSID]],CW_API_TABLE[[#This Row],[PWS_NAME]])</f>
        <v>CA5010010 - MODESTO, CITY OF</v>
      </c>
      <c r="J282" s="246" cm="1">
        <f t="array" ref="J282">IFERROR(SUMPRODUCT((PD_PWSID_LIST=Crosswalk_API!$C282)*(PD_SUM_DEL&gt;0)), 0)</f>
        <v>12</v>
      </c>
    </row>
    <row r="283" spans="1:10" x14ac:dyDescent="0.25">
      <c r="A283" s="234" t="s">
        <v>1730</v>
      </c>
      <c r="B283" t="s">
        <v>1731</v>
      </c>
      <c r="C283" t="s">
        <v>1736</v>
      </c>
      <c r="D283" t="s">
        <v>1737</v>
      </c>
      <c r="E283" t="s">
        <v>1100</v>
      </c>
      <c r="F283" t="s">
        <v>109</v>
      </c>
      <c r="G283" s="245" t="str" cm="1">
        <f t="array" ref="G283">IF(IFERROR(INDEX(LAM_II_SQFT, MATCH(Crosswalk_API!$A283, LAM_ORG_ID_LIST, 0)), 0) = 0, "No", "Yes")</f>
        <v>Yes</v>
      </c>
      <c r="H283" s="245" t="str">
        <f>IF(OR(G283="Not Applicable", IFERROR(INDEX('Landing Page and Navigation'!$F$31:$F$48, MATCH(C283, 'Landing Page and Navigation'!$A$31:$A$48, 0)), "No") = "No"), "No", "Yes")</f>
        <v>No</v>
      </c>
      <c r="I283" s="245" t="str">
        <f>_xlfn.TEXTJOIN(" - ", TRUE, CW_API_TABLE[[#This Row],[PWSID]],CW_API_TABLE[[#This Row],[PWS_NAME]])</f>
        <v>CA5010023 - CITY OF MODESTO - SOUTH TURLOCK</v>
      </c>
      <c r="J283" s="246" cm="1">
        <f t="array" ref="J283">IFERROR(SUMPRODUCT((PD_PWSID_LIST=Crosswalk_API!$C283)*(PD_SUM_DEL&gt;0)), 0)</f>
        <v>12</v>
      </c>
    </row>
    <row r="284" spans="1:10" x14ac:dyDescent="0.25">
      <c r="A284" s="234" t="s">
        <v>1730</v>
      </c>
      <c r="B284" t="s">
        <v>1731</v>
      </c>
      <c r="C284" t="s">
        <v>1738</v>
      </c>
      <c r="D284" t="s">
        <v>1739</v>
      </c>
      <c r="E284" t="s">
        <v>1100</v>
      </c>
      <c r="F284" t="s">
        <v>109</v>
      </c>
      <c r="G284" s="245" t="str" cm="1">
        <f t="array" ref="G284">IF(IFERROR(INDEX(LAM_II_SQFT, MATCH(Crosswalk_API!$A284, LAM_ORG_ID_LIST, 0)), 0) = 0, "No", "Yes")</f>
        <v>Yes</v>
      </c>
      <c r="H284" s="245" t="str">
        <f>IF(OR(G284="Not Applicable", IFERROR(INDEX('Landing Page and Navigation'!$F$31:$F$48, MATCH(C284, 'Landing Page and Navigation'!$A$31:$A$48, 0)), "No") = "No"), "No", "Yes")</f>
        <v>No</v>
      </c>
      <c r="I284" s="245" t="str">
        <f>_xlfn.TEXTJOIN(" - ", TRUE, CW_API_TABLE[[#This Row],[PWSID]],CW_API_TABLE[[#This Row],[PWS_NAME]])</f>
        <v>CA5010029 - CITY OF MODESTO - DEL RIO</v>
      </c>
      <c r="J284" s="246" cm="1">
        <f t="array" ref="J284">IFERROR(SUMPRODUCT((PD_PWSID_LIST=Crosswalk_API!$C284)*(PD_SUM_DEL&gt;0)), 0)</f>
        <v>12</v>
      </c>
    </row>
    <row r="285" spans="1:10" x14ac:dyDescent="0.25">
      <c r="A285" s="234" t="s">
        <v>1730</v>
      </c>
      <c r="B285" t="s">
        <v>1731</v>
      </c>
      <c r="C285" t="s">
        <v>1740</v>
      </c>
      <c r="D285" t="s">
        <v>1741</v>
      </c>
      <c r="E285" t="s">
        <v>1100</v>
      </c>
      <c r="F285" t="s">
        <v>109</v>
      </c>
      <c r="G285" s="245" t="str" cm="1">
        <f t="array" ref="G285">IF(IFERROR(INDEX(LAM_II_SQFT, MATCH(Crosswalk_API!$A285, LAM_ORG_ID_LIST, 0)), 0) = 0, "No", "Yes")</f>
        <v>Yes</v>
      </c>
      <c r="H285" s="245" t="str">
        <f>IF(OR(G285="Not Applicable", IFERROR(INDEX('Landing Page and Navigation'!$F$31:$F$48, MATCH(C285, 'Landing Page and Navigation'!$A$31:$A$48, 0)), "No") = "No"), "No", "Yes")</f>
        <v>No</v>
      </c>
      <c r="I285" s="245" t="str">
        <f>_xlfn.TEXTJOIN(" - ", TRUE, CW_API_TABLE[[#This Row],[PWSID]],CW_API_TABLE[[#This Row],[PWS_NAME]])</f>
        <v>CA5010031 - CITY OF MODESTO - WALNUT MANOR</v>
      </c>
      <c r="J285" s="246" cm="1">
        <f t="array" ref="J285">IFERROR(SUMPRODUCT((PD_PWSID_LIST=Crosswalk_API!$C285)*(PD_SUM_DEL&gt;0)), 0)</f>
        <v>12</v>
      </c>
    </row>
    <row r="286" spans="1:10" x14ac:dyDescent="0.25">
      <c r="A286" s="234" t="s">
        <v>1730</v>
      </c>
      <c r="B286" t="s">
        <v>1731</v>
      </c>
      <c r="C286" t="s">
        <v>1742</v>
      </c>
      <c r="D286" t="s">
        <v>1743</v>
      </c>
      <c r="E286" t="s">
        <v>1100</v>
      </c>
      <c r="F286" t="s">
        <v>109</v>
      </c>
      <c r="G286" s="245" t="str" cm="1">
        <f t="array" ref="G286">IF(IFERROR(INDEX(LAM_II_SQFT, MATCH(Crosswalk_API!$A286, LAM_ORG_ID_LIST, 0)), 0) = 0, "No", "Yes")</f>
        <v>Yes</v>
      </c>
      <c r="H286" s="245" t="str">
        <f>IF(OR(G286="Not Applicable", IFERROR(INDEX('Landing Page and Navigation'!$F$31:$F$48, MATCH(C286, 'Landing Page and Navigation'!$A$31:$A$48, 0)), "No") = "No"), "No", "Yes")</f>
        <v>No</v>
      </c>
      <c r="I286" s="245" t="str">
        <f>_xlfn.TEXTJOIN(" - ", TRUE, CW_API_TABLE[[#This Row],[PWSID]],CW_API_TABLE[[#This Row],[PWS_NAME]])</f>
        <v>CA5010033 - CITY OF MODESTO - GRAYSON</v>
      </c>
      <c r="J286" s="246" cm="1">
        <f t="array" ref="J286">IFERROR(SUMPRODUCT((PD_PWSID_LIST=Crosswalk_API!$C286)*(PD_SUM_DEL&gt;0)), 0)</f>
        <v>12</v>
      </c>
    </row>
    <row r="287" spans="1:10" x14ac:dyDescent="0.25">
      <c r="A287" s="234" t="s">
        <v>1730</v>
      </c>
      <c r="B287" t="s">
        <v>1731</v>
      </c>
      <c r="C287" t="s">
        <v>1744</v>
      </c>
      <c r="D287" t="s">
        <v>1745</v>
      </c>
      <c r="E287" t="s">
        <v>1100</v>
      </c>
      <c r="F287" t="s">
        <v>109</v>
      </c>
      <c r="G287" s="245" t="str" cm="1">
        <f t="array" ref="G287">IF(IFERROR(INDEX(LAM_II_SQFT, MATCH(Crosswalk_API!$A287, LAM_ORG_ID_LIST, 0)), 0) = 0, "No", "Yes")</f>
        <v>Yes</v>
      </c>
      <c r="H287" s="245" t="str">
        <f>IF(OR(G287="Not Applicable", IFERROR(INDEX('Landing Page and Navigation'!$F$31:$F$48, MATCH(C287, 'Landing Page and Navigation'!$A$31:$A$48, 0)), "No") = "No"), "No", "Yes")</f>
        <v>No</v>
      </c>
      <c r="I287" s="245" t="str">
        <f>_xlfn.TEXTJOIN(" - ", TRUE, CW_API_TABLE[[#This Row],[PWSID]],CW_API_TABLE[[#This Row],[PWS_NAME]])</f>
        <v>CA5010034 - CITY OF MODESTO - NORTH TURLOCK</v>
      </c>
      <c r="J287" s="246" cm="1">
        <f t="array" ref="J287">IFERROR(SUMPRODUCT((PD_PWSID_LIST=Crosswalk_API!$C287)*(PD_SUM_DEL&gt;0)), 0)</f>
        <v>12</v>
      </c>
    </row>
    <row r="288" spans="1:10" x14ac:dyDescent="0.25">
      <c r="A288" s="234" t="s">
        <v>1730</v>
      </c>
      <c r="B288" t="s">
        <v>1731</v>
      </c>
      <c r="C288" t="s">
        <v>1746</v>
      </c>
      <c r="D288" t="s">
        <v>1747</v>
      </c>
      <c r="E288" t="s">
        <v>1100</v>
      </c>
      <c r="F288" t="s">
        <v>109</v>
      </c>
      <c r="G288" s="245" t="str" cm="1">
        <f t="array" ref="G288">IF(IFERROR(INDEX(LAM_II_SQFT, MATCH(Crosswalk_API!$A288, LAM_ORG_ID_LIST, 0)), 0) = 0, "No", "Yes")</f>
        <v>Yes</v>
      </c>
      <c r="H288" s="245" t="str">
        <f>IF(OR(G288="Not Applicable", IFERROR(INDEX('Landing Page and Navigation'!$F$31:$F$48, MATCH(C288, 'Landing Page and Navigation'!$A$31:$A$48, 0)), "No") = "No"), "No", "Yes")</f>
        <v>No</v>
      </c>
      <c r="I288" s="245" t="str">
        <f>_xlfn.TEXTJOIN(" - ", TRUE, CW_API_TABLE[[#This Row],[PWSID]],CW_API_TABLE[[#This Row],[PWS_NAME]])</f>
        <v>CA5010035 - CITY OF MODESTO - CENTRAL TURLOCK</v>
      </c>
      <c r="J288" s="246" cm="1">
        <f t="array" ref="J288">IFERROR(SUMPRODUCT((PD_PWSID_LIST=Crosswalk_API!$C288)*(PD_SUM_DEL&gt;0)), 0)</f>
        <v>12</v>
      </c>
    </row>
    <row r="289" spans="1:10" x14ac:dyDescent="0.25">
      <c r="A289" s="234" t="s">
        <v>1748</v>
      </c>
      <c r="B289" t="s">
        <v>1749</v>
      </c>
      <c r="C289" t="s">
        <v>1750</v>
      </c>
      <c r="D289" t="s">
        <v>1751</v>
      </c>
      <c r="E289" t="s">
        <v>708</v>
      </c>
      <c r="F289" t="s">
        <v>109</v>
      </c>
      <c r="G289" s="245" t="str" cm="1">
        <f t="array" ref="G289">IF(IFERROR(INDEX(LAM_II_SQFT, MATCH(Crosswalk_API!$A289, LAM_ORG_ID_LIST, 0)), 0) = 0, "No", "Yes")</f>
        <v>Yes</v>
      </c>
      <c r="H289" s="245" t="str">
        <f>IF(OR(G289="Not Applicable", IFERROR(INDEX('Landing Page and Navigation'!$F$31:$F$48, MATCH(C289, 'Landing Page and Navigation'!$A$31:$A$48, 0)), "No") = "No"), "No", "Yes")</f>
        <v>No</v>
      </c>
      <c r="I289" s="245" t="str">
        <f>_xlfn.TEXTJOIN(" - ", TRUE, CW_API_TABLE[[#This Row],[PWSID]],CW_API_TABLE[[#This Row],[PWS_NAME]])</f>
        <v>CA1910090 - MONROVIA-CITY, WATER DEPT.</v>
      </c>
      <c r="J289" s="246" cm="1">
        <f t="array" ref="J289">IFERROR(SUMPRODUCT((PD_PWSID_LIST=Crosswalk_API!$C289)*(PD_SUM_DEL&gt;0)), 0)</f>
        <v>12</v>
      </c>
    </row>
    <row r="290" spans="1:10" x14ac:dyDescent="0.25">
      <c r="A290" s="234" t="s">
        <v>1752</v>
      </c>
      <c r="B290" t="s">
        <v>1753</v>
      </c>
      <c r="C290" t="s">
        <v>1754</v>
      </c>
      <c r="D290" t="s">
        <v>1755</v>
      </c>
      <c r="E290" t="s">
        <v>693</v>
      </c>
      <c r="F290" t="s">
        <v>109</v>
      </c>
      <c r="G290" s="245" t="str" cm="1">
        <f t="array" ref="G290">IF(IFERROR(INDEX(LAM_II_SQFT, MATCH(Crosswalk_API!$A290, LAM_ORG_ID_LIST, 0)), 0) = 0, "No", "Yes")</f>
        <v>Yes</v>
      </c>
      <c r="H290" s="245" t="str">
        <f>IF(OR(G290="Not Applicable", IFERROR(INDEX('Landing Page and Navigation'!$F$31:$F$48, MATCH(C290, 'Landing Page and Navigation'!$A$31:$A$48, 0)), "No") = "No"), "No", "Yes")</f>
        <v>No</v>
      </c>
      <c r="I290" s="245" t="str">
        <f>_xlfn.TEXTJOIN(" - ", TRUE, CW_API_TABLE[[#This Row],[PWSID]],CW_API_TABLE[[#This Row],[PWS_NAME]])</f>
        <v>CA3610029 - MONTE VISTA CWD</v>
      </c>
      <c r="J290" s="246" cm="1">
        <f t="array" ref="J290">IFERROR(SUMPRODUCT((PD_PWSID_LIST=Crosswalk_API!$C290)*(PD_SUM_DEL&gt;0)), 0)</f>
        <v>12</v>
      </c>
    </row>
    <row r="291" spans="1:10" x14ac:dyDescent="0.25">
      <c r="A291" s="234" t="s">
        <v>1756</v>
      </c>
      <c r="B291" t="s">
        <v>1757</v>
      </c>
      <c r="C291" t="s">
        <v>1758</v>
      </c>
      <c r="D291" t="s">
        <v>1759</v>
      </c>
      <c r="E291" t="s">
        <v>708</v>
      </c>
      <c r="F291" t="s">
        <v>109</v>
      </c>
      <c r="G291" s="245" t="str" cm="1">
        <f t="array" ref="G291">IF(IFERROR(INDEX(LAM_II_SQFT, MATCH(Crosswalk_API!$A291, LAM_ORG_ID_LIST, 0)), 0) = 0, "No", "Yes")</f>
        <v>Yes</v>
      </c>
      <c r="H291" s="245" t="str">
        <f>IF(OR(G291="Not Applicable", IFERROR(INDEX('Landing Page and Navigation'!$F$31:$F$48, MATCH(C291, 'Landing Page and Navigation'!$A$31:$A$48, 0)), "No") = "No"), "No", "Yes")</f>
        <v>No</v>
      </c>
      <c r="I291" s="245" t="str">
        <f>_xlfn.TEXTJOIN(" - ", TRUE, CW_API_TABLE[[#This Row],[PWSID]],CW_API_TABLE[[#This Row],[PWS_NAME]])</f>
        <v>CA1910091 - MONTEBELLO LAND &amp; WATER CO.</v>
      </c>
      <c r="J291" s="246" cm="1">
        <f t="array" ref="J291">IFERROR(SUMPRODUCT((PD_PWSID_LIST=Crosswalk_API!$C291)*(PD_SUM_DEL&gt;0)), 0)</f>
        <v>12</v>
      </c>
    </row>
    <row r="292" spans="1:10" x14ac:dyDescent="0.25">
      <c r="A292" s="234" t="s">
        <v>1760</v>
      </c>
      <c r="B292" t="s">
        <v>1761</v>
      </c>
      <c r="C292" t="s">
        <v>1762</v>
      </c>
      <c r="D292" t="s">
        <v>1763</v>
      </c>
      <c r="E292" t="s">
        <v>1089</v>
      </c>
      <c r="F292" t="s">
        <v>109</v>
      </c>
      <c r="G292" s="245" t="str" cm="1">
        <f t="array" ref="G292">IF(IFERROR(INDEX(LAM_II_SQFT, MATCH(Crosswalk_API!$A292, LAM_ORG_ID_LIST, 0)), 0) = 0, "No", "Yes")</f>
        <v>Yes</v>
      </c>
      <c r="H292" s="245" t="str">
        <f>IF(OR(G292="Not Applicable", IFERROR(INDEX('Landing Page and Navigation'!$F$31:$F$48, MATCH(C292, 'Landing Page and Navigation'!$A$31:$A$48, 0)), "No") = "No"), "No", "Yes")</f>
        <v>No</v>
      </c>
      <c r="I292" s="245" t="str">
        <f>_xlfn.TEXTJOIN(" - ", TRUE, CW_API_TABLE[[#This Row],[PWSID]],CW_API_TABLE[[#This Row],[PWS_NAME]])</f>
        <v>CA4210007 - MONTECITO WATER DIST</v>
      </c>
      <c r="J292" s="246" cm="1">
        <f t="array" ref="J292">IFERROR(SUMPRODUCT((PD_PWSID_LIST=Crosswalk_API!$C292)*(PD_SUM_DEL&gt;0)), 0)</f>
        <v>12</v>
      </c>
    </row>
    <row r="293" spans="1:10" x14ac:dyDescent="0.25">
      <c r="A293" s="234" t="s">
        <v>1764</v>
      </c>
      <c r="B293" t="s">
        <v>1765</v>
      </c>
      <c r="C293" t="s">
        <v>1766</v>
      </c>
      <c r="D293" t="s">
        <v>1767</v>
      </c>
      <c r="E293" t="s">
        <v>708</v>
      </c>
      <c r="F293" t="s">
        <v>109</v>
      </c>
      <c r="G293" s="245" t="str" cm="1">
        <f t="array" ref="G293">IF(IFERROR(INDEX(LAM_II_SQFT, MATCH(Crosswalk_API!$A293, LAM_ORG_ID_LIST, 0)), 0) = 0, "No", "Yes")</f>
        <v>Yes</v>
      </c>
      <c r="H293" s="245" t="str">
        <f>IF(OR(G293="Not Applicable", IFERROR(INDEX('Landing Page and Navigation'!$F$31:$F$48, MATCH(C293, 'Landing Page and Navigation'!$A$31:$A$48, 0)), "No") = "No"), "No", "Yes")</f>
        <v>No</v>
      </c>
      <c r="I293" s="245" t="str">
        <f>_xlfn.TEXTJOIN(" - ", TRUE, CW_API_TABLE[[#This Row],[PWSID]],CW_API_TABLE[[#This Row],[PWS_NAME]])</f>
        <v>CA1910092 - MONTEREY PARK-CITY, WATER DEPT.</v>
      </c>
      <c r="J293" s="246" cm="1">
        <f t="array" ref="J293">IFERROR(SUMPRODUCT((PD_PWSID_LIST=Crosswalk_API!$C293)*(PD_SUM_DEL&gt;0)), 0)</f>
        <v>12</v>
      </c>
    </row>
    <row r="294" spans="1:10" x14ac:dyDescent="0.25">
      <c r="A294" s="234" t="s">
        <v>1768</v>
      </c>
      <c r="B294" t="s">
        <v>1769</v>
      </c>
      <c r="C294" t="s">
        <v>1770</v>
      </c>
      <c r="D294" t="s">
        <v>1771</v>
      </c>
      <c r="E294" t="s">
        <v>1007</v>
      </c>
      <c r="F294" t="s">
        <v>109</v>
      </c>
      <c r="G294" s="245" t="str" cm="1">
        <f t="array" ref="G294">IF(IFERROR(INDEX(LAM_II_SQFT, MATCH(Crosswalk_API!$A294, LAM_ORG_ID_LIST, 0)), 0) = 0, "No", "Yes")</f>
        <v>Yes</v>
      </c>
      <c r="H294" s="245" t="str">
        <f>IF(OR(G294="Not Applicable", IFERROR(INDEX('Landing Page and Navigation'!$F$31:$F$48, MATCH(C294, 'Landing Page and Navigation'!$A$31:$A$48, 0)), "No") = "No"), "No", "Yes")</f>
        <v>No</v>
      </c>
      <c r="I294" s="245" t="str">
        <f>_xlfn.TEXTJOIN(" - ", TRUE, CW_API_TABLE[[#This Row],[PWSID]],CW_API_TABLE[[#This Row],[PWS_NAME]])</f>
        <v>CA4310006 - CITY OF MORGAN HILL</v>
      </c>
      <c r="J294" s="246" cm="1">
        <f t="array" ref="J294">IFERROR(SUMPRODUCT((PD_PWSID_LIST=Crosswalk_API!$C294)*(PD_SUM_DEL&gt;0)), 0)</f>
        <v>12</v>
      </c>
    </row>
    <row r="295" spans="1:10" x14ac:dyDescent="0.25">
      <c r="A295" s="234" t="s">
        <v>1772</v>
      </c>
      <c r="B295" t="s">
        <v>1773</v>
      </c>
      <c r="C295" t="s">
        <v>1774</v>
      </c>
      <c r="D295" t="s">
        <v>1775</v>
      </c>
      <c r="E295" t="s">
        <v>761</v>
      </c>
      <c r="F295" t="s">
        <v>109</v>
      </c>
      <c r="G295" s="245" t="str" cm="1">
        <f t="array" ref="G295">IF(IFERROR(INDEX(LAM_II_SQFT, MATCH(Crosswalk_API!$A295, LAM_ORG_ID_LIST, 0)), 0) = 0, "No", "Yes")</f>
        <v>Yes</v>
      </c>
      <c r="H295" s="245" t="str">
        <f>IF(OR(G295="Not Applicable", IFERROR(INDEX('Landing Page and Navigation'!$F$31:$F$48, MATCH(C295, 'Landing Page and Navigation'!$A$31:$A$48, 0)), "No") = "No"), "No", "Yes")</f>
        <v>No</v>
      </c>
      <c r="I295" s="245" t="str">
        <f>_xlfn.TEXTJOIN(" - ", TRUE, CW_API_TABLE[[#This Row],[PWSID]],CW_API_TABLE[[#This Row],[PWS_NAME]])</f>
        <v>CA4010011 - MORRO BAY PW DEPT - WATER DIVISION</v>
      </c>
      <c r="J295" s="246" cm="1">
        <f t="array" ref="J295">IFERROR(SUMPRODUCT((PD_PWSID_LIST=Crosswalk_API!$C295)*(PD_SUM_DEL&gt;0)), 0)</f>
        <v>12</v>
      </c>
    </row>
    <row r="296" spans="1:10" x14ac:dyDescent="0.25">
      <c r="A296" s="234" t="s">
        <v>1776</v>
      </c>
      <c r="B296" t="s">
        <v>1777</v>
      </c>
      <c r="C296" t="s">
        <v>1778</v>
      </c>
      <c r="D296" t="s">
        <v>1779</v>
      </c>
      <c r="E296" t="s">
        <v>731</v>
      </c>
      <c r="F296" t="s">
        <v>109</v>
      </c>
      <c r="G296" s="245" t="str" cm="1">
        <f t="array" ref="G296">IF(IFERROR(INDEX(LAM_II_SQFT, MATCH(Crosswalk_API!$A296, LAM_ORG_ID_LIST, 0)), 0) = 0, "No", "Yes")</f>
        <v>Yes</v>
      </c>
      <c r="H296" s="245" t="str">
        <f>IF(OR(G296="Not Applicable", IFERROR(INDEX('Landing Page and Navigation'!$F$31:$F$48, MATCH(C296, 'Landing Page and Navigation'!$A$31:$A$48, 0)), "No") = "No"), "No", "Yes")</f>
        <v>No</v>
      </c>
      <c r="I296" s="245" t="str">
        <f>_xlfn.TEXTJOIN(" - ", TRUE, CW_API_TABLE[[#This Row],[PWSID]],CW_API_TABLE[[#This Row],[PWS_NAME]])</f>
        <v>CA3010073 - MOULTON NIGUEL WATER DISTRICT</v>
      </c>
      <c r="J296" s="246" cm="1">
        <f t="array" ref="J296">IFERROR(SUMPRODUCT((PD_PWSID_LIST=Crosswalk_API!$C296)*(PD_SUM_DEL&gt;0)), 0)</f>
        <v>12</v>
      </c>
    </row>
    <row r="297" spans="1:10" x14ac:dyDescent="0.25">
      <c r="A297" s="234" t="s">
        <v>1780</v>
      </c>
      <c r="B297" t="s">
        <v>1781</v>
      </c>
      <c r="C297" t="s">
        <v>1782</v>
      </c>
      <c r="D297" t="s">
        <v>1783</v>
      </c>
      <c r="E297" t="s">
        <v>1007</v>
      </c>
      <c r="F297" t="s">
        <v>109</v>
      </c>
      <c r="G297" s="245" t="str" cm="1">
        <f t="array" ref="G297">IF(IFERROR(INDEX(LAM_II_SQFT, MATCH(Crosswalk_API!$A297, LAM_ORG_ID_LIST, 0)), 0) = 0, "No", "Yes")</f>
        <v>Yes</v>
      </c>
      <c r="H297" s="245" t="str">
        <f>IF(OR(G297="Not Applicable", IFERROR(INDEX('Landing Page and Navigation'!$F$31:$F$48, MATCH(C297, 'Landing Page and Navigation'!$A$31:$A$48, 0)), "No") = "No"), "No", "Yes")</f>
        <v>No</v>
      </c>
      <c r="I297" s="245" t="str">
        <f>_xlfn.TEXTJOIN(" - ", TRUE, CW_API_TABLE[[#This Row],[PWSID]],CW_API_TABLE[[#This Row],[PWS_NAME]])</f>
        <v>CA4310007 - CITY OF MOUNTAIN VIEW</v>
      </c>
      <c r="J297" s="246" cm="1">
        <f t="array" ref="J297">IFERROR(SUMPRODUCT((PD_PWSID_LIST=Crosswalk_API!$C297)*(PD_SUM_DEL&gt;0)), 0)</f>
        <v>12</v>
      </c>
    </row>
    <row r="298" spans="1:10" x14ac:dyDescent="0.25">
      <c r="A298" s="234" t="s">
        <v>1784</v>
      </c>
      <c r="B298" t="s">
        <v>1785</v>
      </c>
      <c r="C298" t="s">
        <v>1786</v>
      </c>
      <c r="D298" t="s">
        <v>1787</v>
      </c>
      <c r="E298" t="s">
        <v>793</v>
      </c>
      <c r="F298" t="s">
        <v>109</v>
      </c>
      <c r="G298" s="245" t="str" cm="1">
        <f t="array" ref="G298">IF(IFERROR(INDEX(LAM_II_SQFT, MATCH(Crosswalk_API!$A298, LAM_ORG_ID_LIST, 0)), 0) = 0, "No", "Yes")</f>
        <v>Yes</v>
      </c>
      <c r="H298" s="245" t="str">
        <f>IF(OR(G298="Not Applicable", IFERROR(INDEX('Landing Page and Navigation'!$F$31:$F$48, MATCH(C298, 'Landing Page and Navigation'!$A$31:$A$48, 0)), "No") = "No"), "No", "Yes")</f>
        <v>No</v>
      </c>
      <c r="I298" s="245" t="str">
        <f>_xlfn.TEXTJOIN(" - ", TRUE, CW_API_TABLE[[#This Row],[PWSID]],CW_API_TABLE[[#This Row],[PWS_NAME]])</f>
        <v>CA3310051 - MYOMA DUNES MUTUAL WATER COMPANY</v>
      </c>
      <c r="J298" s="246" cm="1">
        <f t="array" ref="J298">IFERROR(SUMPRODUCT((PD_PWSID_LIST=Crosswalk_API!$C298)*(PD_SUM_DEL&gt;0)), 0)</f>
        <v>12</v>
      </c>
    </row>
    <row r="299" spans="1:10" x14ac:dyDescent="0.25">
      <c r="A299" s="234" t="s">
        <v>1788</v>
      </c>
      <c r="B299" t="s">
        <v>1789</v>
      </c>
      <c r="C299" t="s">
        <v>1790</v>
      </c>
      <c r="D299" t="s">
        <v>1791</v>
      </c>
      <c r="E299" t="s">
        <v>726</v>
      </c>
      <c r="F299" t="s">
        <v>109</v>
      </c>
      <c r="G299" s="245" t="str" cm="1">
        <f t="array" ref="G299">IF(IFERROR(INDEX(LAM_II_SQFT, MATCH(Crosswalk_API!$A299, LAM_ORG_ID_LIST, 0)), 0) = 0, "No", "Yes")</f>
        <v>Yes</v>
      </c>
      <c r="H299" s="245" t="str">
        <f>IF(OR(G299="Not Applicable", IFERROR(INDEX('Landing Page and Navigation'!$F$31:$F$48, MATCH(C299, 'Landing Page and Navigation'!$A$31:$A$48, 0)), "No") = "No"), "No", "Yes")</f>
        <v>No</v>
      </c>
      <c r="I299" s="245" t="str">
        <f>_xlfn.TEXTJOIN(" - ", TRUE, CW_API_TABLE[[#This Row],[PWSID]],CW_API_TABLE[[#This Row],[PWS_NAME]])</f>
        <v>CA2810003 - NAPA, CITY OF</v>
      </c>
      <c r="J299" s="246" cm="1">
        <f t="array" ref="J299">IFERROR(SUMPRODUCT((PD_PWSID_LIST=Crosswalk_API!$C299)*(PD_SUM_DEL&gt;0)), 0)</f>
        <v>12</v>
      </c>
    </row>
    <row r="300" spans="1:10" x14ac:dyDescent="0.25">
      <c r="A300" s="234" t="s">
        <v>1792</v>
      </c>
      <c r="B300" t="s">
        <v>1793</v>
      </c>
      <c r="C300" t="s">
        <v>1794</v>
      </c>
      <c r="D300" t="s">
        <v>1795</v>
      </c>
      <c r="E300" t="s">
        <v>1796</v>
      </c>
      <c r="F300" t="s">
        <v>109</v>
      </c>
      <c r="G300" s="245" t="str" cm="1">
        <f t="array" ref="G300">IF(IFERROR(INDEX(LAM_II_SQFT, MATCH(Crosswalk_API!$A300, LAM_ORG_ID_LIST, 0)), 0) = 0, "No", "Yes")</f>
        <v>Yes</v>
      </c>
      <c r="H300" s="245" t="str">
        <f>IF(OR(G300="Not Applicable", IFERROR(INDEX('Landing Page and Navigation'!$F$31:$F$48, MATCH(C300, 'Landing Page and Navigation'!$A$31:$A$48, 0)), "No") = "No"), "No", "Yes")</f>
        <v>No</v>
      </c>
      <c r="I300" s="245" t="str">
        <f>_xlfn.TEXTJOIN(" - ", TRUE, CW_API_TABLE[[#This Row],[PWSID]],CW_API_TABLE[[#This Row],[PWS_NAME]])</f>
        <v>CA2910004 - NEVADA ID - E. GEORGE, BANNER MOUNTAIN</v>
      </c>
      <c r="J300" s="246" cm="1">
        <f t="array" ref="J300">IFERROR(SUMPRODUCT((PD_PWSID_LIST=Crosswalk_API!$C300)*(PD_SUM_DEL&gt;0)), 0)</f>
        <v>12</v>
      </c>
    </row>
    <row r="301" spans="1:10" x14ac:dyDescent="0.25">
      <c r="A301" s="234" t="s">
        <v>1792</v>
      </c>
      <c r="B301" t="s">
        <v>1793</v>
      </c>
      <c r="C301" t="s">
        <v>1797</v>
      </c>
      <c r="D301" t="s">
        <v>1798</v>
      </c>
      <c r="E301" t="s">
        <v>1796</v>
      </c>
      <c r="F301" t="s">
        <v>109</v>
      </c>
      <c r="G301" s="245" t="str" cm="1">
        <f t="array" ref="G301">IF(IFERROR(INDEX(LAM_II_SQFT, MATCH(Crosswalk_API!$A301, LAM_ORG_ID_LIST, 0)), 0) = 0, "No", "Yes")</f>
        <v>Yes</v>
      </c>
      <c r="H301" s="245" t="str">
        <f>IF(OR(G301="Not Applicable", IFERROR(INDEX('Landing Page and Navigation'!$F$31:$F$48, MATCH(C301, 'Landing Page and Navigation'!$A$31:$A$48, 0)), "No") = "No"), "No", "Yes")</f>
        <v>No</v>
      </c>
      <c r="I301" s="245" t="str">
        <f>_xlfn.TEXTJOIN(" - ", TRUE, CW_API_TABLE[[#This Row],[PWSID]],CW_API_TABLE[[#This Row],[PWS_NAME]])</f>
        <v>CA2910006 - NEVADA ID - LOMA RICA</v>
      </c>
      <c r="J301" s="246" cm="1">
        <f t="array" ref="J301">IFERROR(SUMPRODUCT((PD_PWSID_LIST=Crosswalk_API!$C301)*(PD_SUM_DEL&gt;0)), 0)</f>
        <v>12</v>
      </c>
    </row>
    <row r="302" spans="1:10" x14ac:dyDescent="0.25">
      <c r="A302" s="234" t="s">
        <v>1792</v>
      </c>
      <c r="B302" t="s">
        <v>1793</v>
      </c>
      <c r="C302" t="s">
        <v>1799</v>
      </c>
      <c r="D302" t="s">
        <v>1800</v>
      </c>
      <c r="E302" t="s">
        <v>1796</v>
      </c>
      <c r="F302" t="s">
        <v>109</v>
      </c>
      <c r="G302" s="245" t="str" cm="1">
        <f t="array" ref="G302">IF(IFERROR(INDEX(LAM_II_SQFT, MATCH(Crosswalk_API!$A302, LAM_ORG_ID_LIST, 0)), 0) = 0, "No", "Yes")</f>
        <v>Yes</v>
      </c>
      <c r="H302" s="245" t="str">
        <f>IF(OR(G302="Not Applicable", IFERROR(INDEX('Landing Page and Navigation'!$F$31:$F$48, MATCH(C302, 'Landing Page and Navigation'!$A$31:$A$48, 0)), "No") = "No"), "No", "Yes")</f>
        <v>No</v>
      </c>
      <c r="I302" s="245" t="str">
        <f>_xlfn.TEXTJOIN(" - ", TRUE, CW_API_TABLE[[#This Row],[PWSID]],CW_API_TABLE[[#This Row],[PWS_NAME]])</f>
        <v>CA2910014 - NEVADA ID - LAKE OF PINES</v>
      </c>
      <c r="J302" s="246" cm="1">
        <f t="array" ref="J302">IFERROR(SUMPRODUCT((PD_PWSID_LIST=Crosswalk_API!$C302)*(PD_SUM_DEL&gt;0)), 0)</f>
        <v>12</v>
      </c>
    </row>
    <row r="303" spans="1:10" x14ac:dyDescent="0.25">
      <c r="A303" s="234" t="s">
        <v>1792</v>
      </c>
      <c r="B303" t="s">
        <v>1793</v>
      </c>
      <c r="C303" t="s">
        <v>1801</v>
      </c>
      <c r="D303" t="s">
        <v>1802</v>
      </c>
      <c r="E303" t="s">
        <v>1796</v>
      </c>
      <c r="F303" t="s">
        <v>109</v>
      </c>
      <c r="G303" s="245" t="str" cm="1">
        <f t="array" ref="G303">IF(IFERROR(INDEX(LAM_II_SQFT, MATCH(Crosswalk_API!$A303, LAM_ORG_ID_LIST, 0)), 0) = 0, "No", "Yes")</f>
        <v>Yes</v>
      </c>
      <c r="H303" s="245" t="str">
        <f>IF(OR(G303="Not Applicable", IFERROR(INDEX('Landing Page and Navigation'!$F$31:$F$48, MATCH(C303, 'Landing Page and Navigation'!$A$31:$A$48, 0)), "No") = "No"), "No", "Yes")</f>
        <v>No</v>
      </c>
      <c r="I303" s="245" t="str">
        <f>_xlfn.TEXTJOIN(" - ", TRUE, CW_API_TABLE[[#This Row],[PWSID]],CW_API_TABLE[[#This Row],[PWS_NAME]])</f>
        <v>CA2910023 - NEVADA ID - LAKE WILDWOOD</v>
      </c>
      <c r="J303" s="246" cm="1">
        <f t="array" ref="J303">IFERROR(SUMPRODUCT((PD_PWSID_LIST=Crosswalk_API!$C303)*(PD_SUM_DEL&gt;0)), 0)</f>
        <v>12</v>
      </c>
    </row>
    <row r="304" spans="1:10" x14ac:dyDescent="0.25">
      <c r="A304" s="234" t="s">
        <v>1792</v>
      </c>
      <c r="B304" t="s">
        <v>1793</v>
      </c>
      <c r="C304" t="s">
        <v>1803</v>
      </c>
      <c r="D304" t="s">
        <v>1804</v>
      </c>
      <c r="E304" t="s">
        <v>910</v>
      </c>
      <c r="F304" t="s">
        <v>109</v>
      </c>
      <c r="G304" s="245" t="str" cm="1">
        <f t="array" ref="G304">IF(IFERROR(INDEX(LAM_II_SQFT, MATCH(Crosswalk_API!$A304, LAM_ORG_ID_LIST, 0)), 0) = 0, "No", "Yes")</f>
        <v>Yes</v>
      </c>
      <c r="H304" s="245" t="str">
        <f>IF(OR(G304="Not Applicable", IFERROR(INDEX('Landing Page and Navigation'!$F$31:$F$48, MATCH(C304, 'Landing Page and Navigation'!$A$31:$A$48, 0)), "No") = "No"), "No", "Yes")</f>
        <v>No</v>
      </c>
      <c r="I304" s="245" t="str">
        <f>_xlfn.TEXTJOIN(" - ", TRUE, CW_API_TABLE[[#This Row],[PWSID]],CW_API_TABLE[[#This Row],[PWS_NAME]])</f>
        <v>CA3110026 - NEVADA ID - NORTH AUBURN</v>
      </c>
      <c r="J304" s="246" cm="1">
        <f t="array" ref="J304">IFERROR(SUMPRODUCT((PD_PWSID_LIST=Crosswalk_API!$C304)*(PD_SUM_DEL&gt;0)), 0)</f>
        <v>12</v>
      </c>
    </row>
    <row r="305" spans="1:10" x14ac:dyDescent="0.25">
      <c r="A305" s="234" t="s">
        <v>1792</v>
      </c>
      <c r="B305" t="s">
        <v>1793</v>
      </c>
      <c r="C305" t="s">
        <v>1805</v>
      </c>
      <c r="D305" t="s">
        <v>1806</v>
      </c>
      <c r="E305" t="s">
        <v>1012</v>
      </c>
      <c r="F305" t="s">
        <v>109</v>
      </c>
      <c r="G305" s="245" t="str" cm="1">
        <f t="array" ref="G305">IF(IFERROR(INDEX(LAM_II_SQFT, MATCH(Crosswalk_API!$A305, LAM_ORG_ID_LIST, 0)), 0) = 0, "No", "Yes")</f>
        <v>Yes</v>
      </c>
      <c r="H305" s="245" t="str">
        <f>IF(OR(G305="Not Applicable", IFERROR(INDEX('Landing Page and Navigation'!$F$31:$F$48, MATCH(C305, 'Landing Page and Navigation'!$A$31:$A$48, 0)), "No") = "No"), "No", "Yes")</f>
        <v>No</v>
      </c>
      <c r="I305" s="245" t="str">
        <f>_xlfn.TEXTJOIN(" - ", TRUE, CW_API_TABLE[[#This Row],[PWSID]],CW_API_TABLE[[#This Row],[PWS_NAME]])</f>
        <v>CA5810005 - NEVADA ID - SMARTSVILLE</v>
      </c>
      <c r="J305" s="246" cm="1">
        <f t="array" ref="J305">IFERROR(SUMPRODUCT((PD_PWSID_LIST=Crosswalk_API!$C305)*(PD_SUM_DEL&gt;0)), 0)</f>
        <v>12</v>
      </c>
    </row>
    <row r="306" spans="1:10" x14ac:dyDescent="0.25">
      <c r="A306" s="234" t="s">
        <v>1807</v>
      </c>
      <c r="B306" t="s">
        <v>1808</v>
      </c>
      <c r="C306" t="s">
        <v>1809</v>
      </c>
      <c r="D306" t="s">
        <v>1810</v>
      </c>
      <c r="E306" t="s">
        <v>1100</v>
      </c>
      <c r="F306" t="s">
        <v>109</v>
      </c>
      <c r="G306" s="245" t="str" cm="1">
        <f t="array" ref="G306">IF(IFERROR(INDEX(LAM_II_SQFT, MATCH(Crosswalk_API!$A306, LAM_ORG_ID_LIST, 0)), 0) = 0, "No", "Yes")</f>
        <v>Yes</v>
      </c>
      <c r="H306" s="245" t="str">
        <f>IF(OR(G306="Not Applicable", IFERROR(INDEX('Landing Page and Navigation'!$F$31:$F$48, MATCH(C306, 'Landing Page and Navigation'!$A$31:$A$48, 0)), "No") = "No"), "No", "Yes")</f>
        <v>No</v>
      </c>
      <c r="I306" s="245" t="str">
        <f>_xlfn.TEXTJOIN(" - ", TRUE, CW_API_TABLE[[#This Row],[PWSID]],CW_API_TABLE[[#This Row],[PWS_NAME]])</f>
        <v>CA5010013 - CITY OF NEWMAN-WATER DEPARTMENT</v>
      </c>
      <c r="J306" s="246" cm="1">
        <f t="array" ref="J306">IFERROR(SUMPRODUCT((PD_PWSID_LIST=Crosswalk_API!$C306)*(PD_SUM_DEL&gt;0)), 0)</f>
        <v>12</v>
      </c>
    </row>
    <row r="307" spans="1:10" x14ac:dyDescent="0.25">
      <c r="A307" s="234" t="s">
        <v>1811</v>
      </c>
      <c r="B307" t="s">
        <v>1812</v>
      </c>
      <c r="C307" t="s">
        <v>1813</v>
      </c>
      <c r="D307" t="s">
        <v>1814</v>
      </c>
      <c r="E307" t="s">
        <v>731</v>
      </c>
      <c r="F307" t="s">
        <v>109</v>
      </c>
      <c r="G307" s="245" t="str" cm="1">
        <f t="array" ref="G307">IF(IFERROR(INDEX(LAM_II_SQFT, MATCH(Crosswalk_API!$A307, LAM_ORG_ID_LIST, 0)), 0) = 0, "No", "Yes")</f>
        <v>Yes</v>
      </c>
      <c r="H307" s="245" t="str">
        <f>IF(OR(G307="Not Applicable", IFERROR(INDEX('Landing Page and Navigation'!$F$31:$F$48, MATCH(C307, 'Landing Page and Navigation'!$A$31:$A$48, 0)), "No") = "No"), "No", "Yes")</f>
        <v>No</v>
      </c>
      <c r="I307" s="245" t="str">
        <f>_xlfn.TEXTJOIN(" - ", TRUE, CW_API_TABLE[[#This Row],[PWSID]],CW_API_TABLE[[#This Row],[PWS_NAME]])</f>
        <v>CA3010023 - CITY OF NEWPORT BEACH</v>
      </c>
      <c r="J307" s="246" cm="1">
        <f t="array" ref="J307">IFERROR(SUMPRODUCT((PD_PWSID_LIST=Crosswalk_API!$C307)*(PD_SUM_DEL&gt;0)), 0)</f>
        <v>12</v>
      </c>
    </row>
    <row r="308" spans="1:10" x14ac:dyDescent="0.25">
      <c r="A308" s="234" t="s">
        <v>1815</v>
      </c>
      <c r="B308" t="s">
        <v>1816</v>
      </c>
      <c r="C308" t="s">
        <v>1817</v>
      </c>
      <c r="D308" t="s">
        <v>1818</v>
      </c>
      <c r="E308" t="s">
        <v>761</v>
      </c>
      <c r="F308" t="s">
        <v>109</v>
      </c>
      <c r="G308" s="245" t="str" cm="1">
        <f t="array" ref="G308">IF(IFERROR(INDEX(LAM_II_SQFT, MATCH(Crosswalk_API!$A308, LAM_ORG_ID_LIST, 0)), 0) = 0, "No", "Yes")</f>
        <v>Yes</v>
      </c>
      <c r="H308" s="245" t="str">
        <f>IF(OR(G308="Not Applicable", IFERROR(INDEX('Landing Page and Navigation'!$F$31:$F$48, MATCH(C308, 'Landing Page and Navigation'!$A$31:$A$48, 0)), "No") = "No"), "No", "Yes")</f>
        <v>No</v>
      </c>
      <c r="I308" s="245" t="str">
        <f>_xlfn.TEXTJOIN(" - ", TRUE, CW_API_TABLE[[#This Row],[PWSID]],CW_API_TABLE[[#This Row],[PWS_NAME]])</f>
        <v>CA4010026 - NIPOMO COMM SERVICES DIST</v>
      </c>
      <c r="J308" s="246" cm="1">
        <f t="array" ref="J308">IFERROR(SUMPRODUCT((PD_PWSID_LIST=Crosswalk_API!$C308)*(PD_SUM_DEL&gt;0)), 0)</f>
        <v>12</v>
      </c>
    </row>
    <row r="309" spans="1:10" x14ac:dyDescent="0.25">
      <c r="A309" s="234" t="s">
        <v>1819</v>
      </c>
      <c r="B309" t="s">
        <v>1820</v>
      </c>
      <c r="C309" t="s">
        <v>1821</v>
      </c>
      <c r="D309" t="s">
        <v>1822</v>
      </c>
      <c r="E309" t="s">
        <v>793</v>
      </c>
      <c r="F309" t="s">
        <v>109</v>
      </c>
      <c r="G309" s="245" t="str" cm="1">
        <f t="array" ref="G309">IF(IFERROR(INDEX(LAM_II_SQFT, MATCH(Crosswalk_API!$A309, LAM_ORG_ID_LIST, 0)), 0) = 0, "No", "Yes")</f>
        <v>Yes</v>
      </c>
      <c r="H309" s="245" t="str">
        <f>IF(OR(G309="Not Applicable", IFERROR(INDEX('Landing Page and Navigation'!$F$31:$F$48, MATCH(C309, 'Landing Page and Navigation'!$A$31:$A$48, 0)), "No") = "No"), "No", "Yes")</f>
        <v>No</v>
      </c>
      <c r="I309" s="245" t="str">
        <f>_xlfn.TEXTJOIN(" - ", TRUE, CW_API_TABLE[[#This Row],[PWSID]],CW_API_TABLE[[#This Row],[PWS_NAME]])</f>
        <v>CA3310025 - NORCO, CITY OF</v>
      </c>
      <c r="J309" s="246" cm="1">
        <f t="array" ref="J309">IFERROR(SUMPRODUCT((PD_PWSID_LIST=Crosswalk_API!$C309)*(PD_SUM_DEL&gt;0)), 0)</f>
        <v>12</v>
      </c>
    </row>
    <row r="310" spans="1:10" x14ac:dyDescent="0.25">
      <c r="A310" s="234" t="s">
        <v>1823</v>
      </c>
      <c r="B310" t="s">
        <v>1824</v>
      </c>
      <c r="C310" t="s">
        <v>1825</v>
      </c>
      <c r="D310" t="s">
        <v>1826</v>
      </c>
      <c r="E310" t="s">
        <v>862</v>
      </c>
      <c r="F310" t="s">
        <v>109</v>
      </c>
      <c r="G310" s="245" t="str" cm="1">
        <f t="array" ref="G310">IF(IFERROR(INDEX(LAM_II_SQFT, MATCH(Crosswalk_API!$A310, LAM_ORG_ID_LIST, 0)), 0) = 0, "No", "Yes")</f>
        <v>Yes</v>
      </c>
      <c r="H310" s="245" t="str">
        <f>IF(OR(G310="Not Applicable", IFERROR(INDEX('Landing Page and Navigation'!$F$31:$F$48, MATCH(C310, 'Landing Page and Navigation'!$A$31:$A$48, 0)), "No") = "No"), "No", "Yes")</f>
        <v>No</v>
      </c>
      <c r="I310" s="245" t="str">
        <f>_xlfn.TEXTJOIN(" - ", TRUE, CW_API_TABLE[[#This Row],[PWSID]],CW_API_TABLE[[#This Row],[PWS_NAME]])</f>
        <v>CA4110025 - NORTH COAST COUNTY WATER DIST</v>
      </c>
      <c r="J310" s="246" cm="1">
        <f t="array" ref="J310">IFERROR(SUMPRODUCT((PD_PWSID_LIST=Crosswalk_API!$C310)*(PD_SUM_DEL&gt;0)), 0)</f>
        <v>12</v>
      </c>
    </row>
    <row r="311" spans="1:10" x14ac:dyDescent="0.25">
      <c r="A311" s="234" t="s">
        <v>1827</v>
      </c>
      <c r="B311" t="s">
        <v>1828</v>
      </c>
      <c r="C311" t="s">
        <v>1829</v>
      </c>
      <c r="D311" t="s">
        <v>1830</v>
      </c>
      <c r="E311" t="s">
        <v>1685</v>
      </c>
      <c r="F311" t="s">
        <v>109</v>
      </c>
      <c r="G311" s="245" t="str" cm="1">
        <f t="array" ref="G311">IF(IFERROR(INDEX(LAM_II_SQFT, MATCH(Crosswalk_API!$A311, LAM_ORG_ID_LIST, 0)), 0) = 0, "No", "Yes")</f>
        <v>Yes</v>
      </c>
      <c r="H311" s="245" t="str">
        <f>IF(OR(G311="Not Applicable", IFERROR(INDEX('Landing Page and Navigation'!$F$31:$F$48, MATCH(C311, 'Landing Page and Navigation'!$A$31:$A$48, 0)), "No") = "No"), "No", "Yes")</f>
        <v>No</v>
      </c>
      <c r="I311" s="245" t="str">
        <f>_xlfn.TEXTJOIN(" - ", TRUE, CW_API_TABLE[[#This Row],[PWSID]],CW_API_TABLE[[#This Row],[PWS_NAME]])</f>
        <v>CA2110003 - NORTH MARIN WATER DISTRICT</v>
      </c>
      <c r="J311" s="246" cm="1">
        <f t="array" ref="J311">IFERROR(SUMPRODUCT((PD_PWSID_LIST=Crosswalk_API!$C311)*(PD_SUM_DEL&gt;0)), 0)</f>
        <v>12</v>
      </c>
    </row>
    <row r="312" spans="1:10" x14ac:dyDescent="0.25">
      <c r="A312" s="234" t="s">
        <v>1831</v>
      </c>
      <c r="B312" t="s">
        <v>1832</v>
      </c>
      <c r="C312" t="s">
        <v>1833</v>
      </c>
      <c r="D312" t="s">
        <v>1834</v>
      </c>
      <c r="E312" t="s">
        <v>910</v>
      </c>
      <c r="F312" t="s">
        <v>109</v>
      </c>
      <c r="G312" s="245" t="str" cm="1">
        <f t="array" ref="G312">IF(IFERROR(INDEX(LAM_II_SQFT, MATCH(Crosswalk_API!$A312, LAM_ORG_ID_LIST, 0)), 0) = 0, "No", "Yes")</f>
        <v>Yes</v>
      </c>
      <c r="H312" s="245" t="str">
        <f>IF(OR(G312="Not Applicable", IFERROR(INDEX('Landing Page and Navigation'!$F$31:$F$48, MATCH(C312, 'Landing Page and Navigation'!$A$31:$A$48, 0)), "No") = "No"), "No", "Yes")</f>
        <v>No</v>
      </c>
      <c r="I312" s="245" t="str">
        <f>_xlfn.TEXTJOIN(" - ", TRUE, CW_API_TABLE[[#This Row],[PWSID]],CW_API_TABLE[[#This Row],[PWS_NAME]])</f>
        <v>CA3110001 - NORTH TAHOE PUD - MAIN</v>
      </c>
      <c r="J312" s="246" cm="1">
        <f t="array" ref="J312">IFERROR(SUMPRODUCT((PD_PWSID_LIST=Crosswalk_API!$C312)*(PD_SUM_DEL&gt;0)), 0)</f>
        <v>12</v>
      </c>
    </row>
    <row r="313" spans="1:10" x14ac:dyDescent="0.25">
      <c r="A313" s="234" t="s">
        <v>1831</v>
      </c>
      <c r="B313" t="s">
        <v>1832</v>
      </c>
      <c r="C313" t="s">
        <v>1835</v>
      </c>
      <c r="D313" t="s">
        <v>1836</v>
      </c>
      <c r="E313" t="s">
        <v>910</v>
      </c>
      <c r="F313" t="s">
        <v>109</v>
      </c>
      <c r="G313" s="245" t="str" cm="1">
        <f t="array" ref="G313">IF(IFERROR(INDEX(LAM_II_SQFT, MATCH(Crosswalk_API!$A313, LAM_ORG_ID_LIST, 0)), 0) = 0, "No", "Yes")</f>
        <v>Yes</v>
      </c>
      <c r="H313" s="245" t="str">
        <f>IF(OR(G313="Not Applicable", IFERROR(INDEX('Landing Page and Navigation'!$F$31:$F$48, MATCH(C313, 'Landing Page and Navigation'!$A$31:$A$48, 0)), "No") = "No"), "No", "Yes")</f>
        <v>No</v>
      </c>
      <c r="I313" s="245" t="str">
        <f>_xlfn.TEXTJOIN(" - ", TRUE, CW_API_TABLE[[#This Row],[PWSID]],CW_API_TABLE[[#This Row],[PWS_NAME]])</f>
        <v>CA3110023 - NORTH TAHOE PUD - CARNELIAN WOODS</v>
      </c>
      <c r="J313" s="246" cm="1">
        <f t="array" ref="J313">IFERROR(SUMPRODUCT((PD_PWSID_LIST=Crosswalk_API!$C313)*(PD_SUM_DEL&gt;0)), 0)</f>
        <v>12</v>
      </c>
    </row>
    <row r="314" spans="1:10" x14ac:dyDescent="0.25">
      <c r="A314" s="234" t="s">
        <v>1831</v>
      </c>
      <c r="B314" t="s">
        <v>1832</v>
      </c>
      <c r="C314" t="s">
        <v>1837</v>
      </c>
      <c r="D314" t="s">
        <v>1838</v>
      </c>
      <c r="E314" t="s">
        <v>910</v>
      </c>
      <c r="F314" t="s">
        <v>109</v>
      </c>
      <c r="G314" s="245" t="str" cm="1">
        <f t="array" ref="G314">IF(IFERROR(INDEX(LAM_II_SQFT, MATCH(Crosswalk_API!$A314, LAM_ORG_ID_LIST, 0)), 0) = 0, "No", "Yes")</f>
        <v>Yes</v>
      </c>
      <c r="H314" s="245" t="str">
        <f>IF(OR(G314="Not Applicable", IFERROR(INDEX('Landing Page and Navigation'!$F$31:$F$48, MATCH(C314, 'Landing Page and Navigation'!$A$31:$A$48, 0)), "No") = "No"), "No", "Yes")</f>
        <v>No</v>
      </c>
      <c r="I314" s="245" t="str">
        <f>_xlfn.TEXTJOIN(" - ", TRUE, CW_API_TABLE[[#This Row],[PWSID]],CW_API_TABLE[[#This Row],[PWS_NAME]])</f>
        <v>CA3110036 - NORTH TAHOE PUD - DOLLAR COVE</v>
      </c>
      <c r="J314" s="246" cm="1">
        <f t="array" ref="J314">IFERROR(SUMPRODUCT((PD_PWSID_LIST=Crosswalk_API!$C314)*(PD_SUM_DEL&gt;0)), 0)</f>
        <v>12</v>
      </c>
    </row>
    <row r="315" spans="1:10" x14ac:dyDescent="0.25">
      <c r="A315" s="234" t="s">
        <v>1839</v>
      </c>
      <c r="B315" t="s">
        <v>1840</v>
      </c>
      <c r="C315" t="s">
        <v>1841</v>
      </c>
      <c r="D315" t="s">
        <v>1842</v>
      </c>
      <c r="E315" t="s">
        <v>708</v>
      </c>
      <c r="F315" t="s">
        <v>109</v>
      </c>
      <c r="G315" s="245" t="str" cm="1">
        <f t="array" ref="G315">IF(IFERROR(INDEX(LAM_II_SQFT, MATCH(Crosswalk_API!$A315, LAM_ORG_ID_LIST, 0)), 0) = 0, "No", "Yes")</f>
        <v>Yes</v>
      </c>
      <c r="H315" s="245" t="str">
        <f>IF(OR(G315="Not Applicable", IFERROR(INDEX('Landing Page and Navigation'!$F$31:$F$48, MATCH(C315, 'Landing Page and Navigation'!$A$31:$A$48, 0)), "No") = "No"), "No", "Yes")</f>
        <v>No</v>
      </c>
      <c r="I315" s="245" t="str">
        <f>_xlfn.TEXTJOIN(" - ", TRUE, CW_API_TABLE[[#This Row],[PWSID]],CW_API_TABLE[[#This Row],[PWS_NAME]])</f>
        <v>CA1910191 - NORWALK - CITY, WATER DEPT.</v>
      </c>
      <c r="J315" s="246" cm="1">
        <f t="array" ref="J315">IFERROR(SUMPRODUCT((PD_PWSID_LIST=Crosswalk_API!$C315)*(PD_SUM_DEL&gt;0)), 0)</f>
        <v>12</v>
      </c>
    </row>
    <row r="316" spans="1:10" x14ac:dyDescent="0.25">
      <c r="A316" s="234" t="s">
        <v>1843</v>
      </c>
      <c r="B316" t="s">
        <v>1844</v>
      </c>
      <c r="C316" t="s">
        <v>1845</v>
      </c>
      <c r="D316" t="s">
        <v>1846</v>
      </c>
      <c r="E316" t="s">
        <v>1100</v>
      </c>
      <c r="F316" t="s">
        <v>109</v>
      </c>
      <c r="G316" s="245" t="str" cm="1">
        <f t="array" ref="G316">IF(IFERROR(INDEX(LAM_II_SQFT, MATCH(Crosswalk_API!$A316, LAM_ORG_ID_LIST, 0)), 0) = 0, "No", "Yes")</f>
        <v>Yes</v>
      </c>
      <c r="H316" s="245" t="str">
        <f>IF(OR(G316="Not Applicable", IFERROR(INDEX('Landing Page and Navigation'!$F$31:$F$48, MATCH(C316, 'Landing Page and Navigation'!$A$31:$A$48, 0)), "No") = "No"), "No", "Yes")</f>
        <v>No</v>
      </c>
      <c r="I316" s="245" t="str">
        <f>_xlfn.TEXTJOIN(" - ", TRUE, CW_API_TABLE[[#This Row],[PWSID]],CW_API_TABLE[[#This Row],[PWS_NAME]])</f>
        <v>CA5010014 - OAKDALE, CITY OF</v>
      </c>
      <c r="J316" s="246" cm="1">
        <f t="array" ref="J316">IFERROR(SUMPRODUCT((PD_PWSID_LIST=Crosswalk_API!$C316)*(PD_SUM_DEL&gt;0)), 0)</f>
        <v>12</v>
      </c>
    </row>
    <row r="317" spans="1:10" x14ac:dyDescent="0.25">
      <c r="A317" s="234" t="s">
        <v>1847</v>
      </c>
      <c r="B317" t="s">
        <v>1848</v>
      </c>
      <c r="C317" t="s">
        <v>1849</v>
      </c>
      <c r="D317" t="s">
        <v>1850</v>
      </c>
      <c r="E317" t="s">
        <v>937</v>
      </c>
      <c r="F317" t="s">
        <v>109</v>
      </c>
      <c r="G317" s="245" t="str" cm="1">
        <f t="array" ref="G317">IF(IFERROR(INDEX(LAM_II_SQFT, MATCH(Crosswalk_API!$A317, LAM_ORG_ID_LIST, 0)), 0) = 0, "No", "Yes")</f>
        <v>Yes</v>
      </c>
      <c r="H317" s="245" t="str">
        <f>IF(OR(G317="Not Applicable", IFERROR(INDEX('Landing Page and Navigation'!$F$31:$F$48, MATCH(C317, 'Landing Page and Navigation'!$A$31:$A$48, 0)), "No") = "No"), "No", "Yes")</f>
        <v>No</v>
      </c>
      <c r="I317" s="245" t="str">
        <f>_xlfn.TEXTJOIN(" - ", TRUE, CW_API_TABLE[[#This Row],[PWSID]],CW_API_TABLE[[#This Row],[PWS_NAME]])</f>
        <v>CA3710014 - OCEANSIDE, CITY OF</v>
      </c>
      <c r="J317" s="246" cm="1">
        <f t="array" ref="J317">IFERROR(SUMPRODUCT((PD_PWSID_LIST=Crosswalk_API!$C317)*(PD_SUM_DEL&gt;0)), 0)</f>
        <v>12</v>
      </c>
    </row>
    <row r="318" spans="1:10" x14ac:dyDescent="0.25">
      <c r="A318" s="234" t="s">
        <v>1851</v>
      </c>
      <c r="B318" t="s">
        <v>1852</v>
      </c>
      <c r="C318" t="s">
        <v>1853</v>
      </c>
      <c r="D318" t="s">
        <v>1854</v>
      </c>
      <c r="E318" t="s">
        <v>766</v>
      </c>
      <c r="F318" t="s">
        <v>109</v>
      </c>
      <c r="G318" s="245" t="str" cm="1">
        <f t="array" ref="G318">IF(IFERROR(INDEX(LAM_II_SQFT, MATCH(Crosswalk_API!$A318, LAM_ORG_ID_LIST, 0)), 0) = 0, "No", "Yes")</f>
        <v>Yes</v>
      </c>
      <c r="H318" s="245" t="str">
        <f>IF(OR(G318="Not Applicable", IFERROR(INDEX('Landing Page and Navigation'!$F$31:$F$48, MATCH(C318, 'Landing Page and Navigation'!$A$31:$A$48, 0)), "No") = "No"), "No", "Yes")</f>
        <v>No</v>
      </c>
      <c r="I318" s="245" t="str">
        <f>_xlfn.TEXTJOIN(" - ", TRUE, CW_API_TABLE[[#This Row],[PWSID]],CW_API_TABLE[[#This Row],[PWS_NAME]])</f>
        <v>CA1510015 - OILDALE MWC</v>
      </c>
      <c r="J318" s="246" cm="1">
        <f t="array" ref="J318">IFERROR(SUMPRODUCT((PD_PWSID_LIST=Crosswalk_API!$C318)*(PD_SUM_DEL&gt;0)), 0)</f>
        <v>0</v>
      </c>
    </row>
    <row r="319" spans="1:10" x14ac:dyDescent="0.25">
      <c r="A319" s="234" t="s">
        <v>1855</v>
      </c>
      <c r="B319" t="s">
        <v>1856</v>
      </c>
      <c r="C319" t="s">
        <v>1857</v>
      </c>
      <c r="D319" t="s">
        <v>1858</v>
      </c>
      <c r="E319" t="s">
        <v>1012</v>
      </c>
      <c r="F319" t="s">
        <v>1859</v>
      </c>
      <c r="G319" s="245" t="str" cm="1">
        <f t="array" ref="G319">IF(IFERROR(INDEX(LAM_II_SQFT, MATCH(Crosswalk_API!$A319, LAM_ORG_ID_LIST, 0)), 0) = 0, "No", "Yes")</f>
        <v>Yes</v>
      </c>
      <c r="H319" s="245" t="str">
        <f>IF(OR(G319="Not Applicable", IFERROR(INDEX('Landing Page and Navigation'!$F$31:$F$48, MATCH(C319, 'Landing Page and Navigation'!$A$31:$A$48, 0)), "No") = "No"), "No", "Yes")</f>
        <v>No</v>
      </c>
      <c r="I319" s="245" t="str">
        <f>_xlfn.TEXTJOIN(" - ", TRUE, CW_API_TABLE[[#This Row],[PWSID]],CW_API_TABLE[[#This Row],[PWS_NAME]])</f>
        <v>CA5805001 - PLUMAS LAKE</v>
      </c>
      <c r="J319" s="246" cm="1">
        <f t="array" ref="J319">IFERROR(SUMPRODUCT((PD_PWSID_LIST=Crosswalk_API!$C319)*(PD_SUM_DEL&gt;0)), 0)</f>
        <v>12</v>
      </c>
    </row>
    <row r="320" spans="1:10" x14ac:dyDescent="0.25">
      <c r="A320" s="234" t="s">
        <v>1855</v>
      </c>
      <c r="B320" t="s">
        <v>1856</v>
      </c>
      <c r="C320" t="s">
        <v>1860</v>
      </c>
      <c r="D320" t="s">
        <v>1861</v>
      </c>
      <c r="E320" t="s">
        <v>1012</v>
      </c>
      <c r="F320" t="s">
        <v>109</v>
      </c>
      <c r="G320" s="245" t="str" cm="1">
        <f t="array" ref="G320">IF(IFERROR(INDEX(LAM_II_SQFT, MATCH(Crosswalk_API!$A320, LAM_ORG_ID_LIST, 0)), 0) = 0, "No", "Yes")</f>
        <v>Yes</v>
      </c>
      <c r="H320" s="245" t="str">
        <f>IF(OR(G320="Not Applicable", IFERROR(INDEX('Landing Page and Navigation'!$F$31:$F$48, MATCH(C320, 'Landing Page and Navigation'!$A$31:$A$48, 0)), "No") = "No"), "No", "Yes")</f>
        <v>No</v>
      </c>
      <c r="I320" s="245" t="str">
        <f>_xlfn.TEXTJOIN(" - ", TRUE, CW_API_TABLE[[#This Row],[PWSID]],CW_API_TABLE[[#This Row],[PWS_NAME]])</f>
        <v>CA5810003 - OLIVEHURST PUBLIC U.D.</v>
      </c>
      <c r="J320" s="246" cm="1">
        <f t="array" ref="J320">IFERROR(SUMPRODUCT((PD_PWSID_LIST=Crosswalk_API!$C320)*(PD_SUM_DEL&gt;0)), 0)</f>
        <v>12</v>
      </c>
    </row>
    <row r="321" spans="1:10" x14ac:dyDescent="0.25">
      <c r="A321" s="234" t="s">
        <v>1862</v>
      </c>
      <c r="B321" t="s">
        <v>1863</v>
      </c>
      <c r="C321" t="s">
        <v>1864</v>
      </c>
      <c r="D321" t="s">
        <v>1865</v>
      </c>
      <c r="E321" t="s">
        <v>937</v>
      </c>
      <c r="F321" t="s">
        <v>109</v>
      </c>
      <c r="G321" s="245" t="str" cm="1">
        <f t="array" ref="G321">IF(IFERROR(INDEX(LAM_II_SQFT, MATCH(Crosswalk_API!$A321, LAM_ORG_ID_LIST, 0)), 0) = 0, "No", "Yes")</f>
        <v>Yes</v>
      </c>
      <c r="H321" s="245" t="str">
        <f>IF(OR(G321="Not Applicable", IFERROR(INDEX('Landing Page and Navigation'!$F$31:$F$48, MATCH(C321, 'Landing Page and Navigation'!$A$31:$A$48, 0)), "No") = "No"), "No", "Yes")</f>
        <v>No</v>
      </c>
      <c r="I321" s="245" t="str">
        <f>_xlfn.TEXTJOIN(" - ", TRUE, CW_API_TABLE[[#This Row],[PWSID]],CW_API_TABLE[[#This Row],[PWS_NAME]])</f>
        <v>CA3710029 - OLIVENHAIN MWD</v>
      </c>
      <c r="J321" s="246" cm="1">
        <f t="array" ref="J321">IFERROR(SUMPRODUCT((PD_PWSID_LIST=Crosswalk_API!$C321)*(PD_SUM_DEL&gt;0)), 0)</f>
        <v>12</v>
      </c>
    </row>
    <row r="322" spans="1:10" x14ac:dyDescent="0.25">
      <c r="A322" s="234" t="s">
        <v>1866</v>
      </c>
      <c r="B322" t="s">
        <v>1867</v>
      </c>
      <c r="C322" t="s">
        <v>1868</v>
      </c>
      <c r="D322" t="s">
        <v>1869</v>
      </c>
      <c r="E322" t="s">
        <v>693</v>
      </c>
      <c r="F322" t="s">
        <v>109</v>
      </c>
      <c r="G322" s="245" t="str" cm="1">
        <f t="array" ref="G322">IF(IFERROR(INDEX(LAM_II_SQFT, MATCH(Crosswalk_API!$A322, LAM_ORG_ID_LIST, 0)), 0) = 0, "No", "Yes")</f>
        <v>Yes</v>
      </c>
      <c r="H322" s="245" t="str">
        <f>IF(OR(G322="Not Applicable", IFERROR(INDEX('Landing Page and Navigation'!$F$31:$F$48, MATCH(C322, 'Landing Page and Navigation'!$A$31:$A$48, 0)), "No") = "No"), "No", "Yes")</f>
        <v>No</v>
      </c>
      <c r="I322" s="245" t="str">
        <f>_xlfn.TEXTJOIN(" - ", TRUE, CW_API_TABLE[[#This Row],[PWSID]],CW_API_TABLE[[#This Row],[PWS_NAME]])</f>
        <v>CA3610034 - ONTARIO MUNICIPAL UTILITIES COMPANY</v>
      </c>
      <c r="J322" s="246" cm="1">
        <f t="array" ref="J322">IFERROR(SUMPRODUCT((PD_PWSID_LIST=Crosswalk_API!$C322)*(PD_SUM_DEL&gt;0)), 0)</f>
        <v>12</v>
      </c>
    </row>
    <row r="323" spans="1:10" x14ac:dyDescent="0.25">
      <c r="A323" s="234" t="s">
        <v>1870</v>
      </c>
      <c r="B323" t="s">
        <v>1871</v>
      </c>
      <c r="C323" t="s">
        <v>1872</v>
      </c>
      <c r="D323" t="s">
        <v>1873</v>
      </c>
      <c r="E323" t="s">
        <v>731</v>
      </c>
      <c r="F323" t="s">
        <v>109</v>
      </c>
      <c r="G323" s="245" t="str" cm="1">
        <f t="array" ref="G323">IF(IFERROR(INDEX(LAM_II_SQFT, MATCH(Crosswalk_API!$A323, LAM_ORG_ID_LIST, 0)), 0) = 0, "No", "Yes")</f>
        <v>Yes</v>
      </c>
      <c r="H323" s="245" t="str">
        <f>IF(OR(G323="Not Applicable", IFERROR(INDEX('Landing Page and Navigation'!$F$31:$F$48, MATCH(C323, 'Landing Page and Navigation'!$A$31:$A$48, 0)), "No") = "No"), "No", "Yes")</f>
        <v>No</v>
      </c>
      <c r="I323" s="245" t="str">
        <f>_xlfn.TEXTJOIN(" - ", TRUE, CW_API_TABLE[[#This Row],[PWSID]],CW_API_TABLE[[#This Row],[PWS_NAME]])</f>
        <v>CA3010027 - CITY OF ORANGE</v>
      </c>
      <c r="J323" s="246" cm="1">
        <f t="array" ref="J323">IFERROR(SUMPRODUCT((PD_PWSID_LIST=Crosswalk_API!$C323)*(PD_SUM_DEL&gt;0)), 0)</f>
        <v>12</v>
      </c>
    </row>
    <row r="324" spans="1:10" x14ac:dyDescent="0.25">
      <c r="A324" s="234" t="s">
        <v>1874</v>
      </c>
      <c r="B324" t="s">
        <v>1875</v>
      </c>
      <c r="C324" t="s">
        <v>1876</v>
      </c>
      <c r="D324" t="s">
        <v>1877</v>
      </c>
      <c r="E324" t="s">
        <v>913</v>
      </c>
      <c r="F324" t="s">
        <v>109</v>
      </c>
      <c r="G324" s="245" t="str" cm="1">
        <f t="array" ref="G324">IF(IFERROR(INDEX(LAM_II_SQFT, MATCH(Crosswalk_API!$A324, LAM_ORG_ID_LIST, 0)), 0) = 0, "No", "Yes")</f>
        <v>Yes</v>
      </c>
      <c r="H324" s="245" t="str">
        <f>IF(OR(G324="Not Applicable", IFERROR(INDEX('Landing Page and Navigation'!$F$31:$F$48, MATCH(C324, 'Landing Page and Navigation'!$A$31:$A$48, 0)), "No") = "No"), "No", "Yes")</f>
        <v>No</v>
      </c>
      <c r="I324" s="245" t="str">
        <f>_xlfn.TEXTJOIN(" - ", TRUE, CW_API_TABLE[[#This Row],[PWSID]],CW_API_TABLE[[#This Row],[PWS_NAME]])</f>
        <v>CA3410016 - ORANGE VALE WATER COMPANY</v>
      </c>
      <c r="J324" s="246" cm="1">
        <f t="array" ref="J324">IFERROR(SUMPRODUCT((PD_PWSID_LIST=Crosswalk_API!$C324)*(PD_SUM_DEL&gt;0)), 0)</f>
        <v>11</v>
      </c>
    </row>
    <row r="325" spans="1:10" x14ac:dyDescent="0.25">
      <c r="A325" s="234" t="s">
        <v>1878</v>
      </c>
      <c r="B325" t="s">
        <v>1879</v>
      </c>
      <c r="C325" t="s">
        <v>1880</v>
      </c>
      <c r="D325" t="s">
        <v>1881</v>
      </c>
      <c r="E325" t="s">
        <v>708</v>
      </c>
      <c r="F325" t="s">
        <v>109</v>
      </c>
      <c r="G325" s="245" t="str" cm="1">
        <f t="array" ref="G325">IF(IFERROR(INDEX(LAM_II_SQFT, MATCH(Crosswalk_API!$A325, LAM_ORG_ID_LIST, 0)), 0) = 0, "No", "Yes")</f>
        <v>Yes</v>
      </c>
      <c r="H325" s="245" t="str">
        <f>IF(OR(G325="Not Applicable", IFERROR(INDEX('Landing Page and Navigation'!$F$31:$F$48, MATCH(C325, 'Landing Page and Navigation'!$A$31:$A$48, 0)), "No") = "No"), "No", "Yes")</f>
        <v>No</v>
      </c>
      <c r="I325" s="245" t="str">
        <f>_xlfn.TEXTJOIN(" - ", TRUE, CW_API_TABLE[[#This Row],[PWSID]],CW_API_TABLE[[#This Row],[PWS_NAME]])</f>
        <v>CA1910101 - ORCHARD DALE WATER DISTRICT</v>
      </c>
      <c r="J325" s="246" cm="1">
        <f t="array" ref="J325">IFERROR(SUMPRODUCT((PD_PWSID_LIST=Crosswalk_API!$C325)*(PD_SUM_DEL&gt;0)), 0)</f>
        <v>12</v>
      </c>
    </row>
    <row r="326" spans="1:10" x14ac:dyDescent="0.25">
      <c r="A326" s="234" t="s">
        <v>1882</v>
      </c>
      <c r="B326" t="s">
        <v>1883</v>
      </c>
      <c r="C326" t="s">
        <v>1884</v>
      </c>
      <c r="D326" t="s">
        <v>1885</v>
      </c>
      <c r="E326" t="s">
        <v>937</v>
      </c>
      <c r="F326" t="s">
        <v>109</v>
      </c>
      <c r="G326" s="245" t="str" cm="1">
        <f t="array" ref="G326">IF(IFERROR(INDEX(LAM_II_SQFT, MATCH(Crosswalk_API!$A326, LAM_ORG_ID_LIST, 0)), 0) = 0, "No", "Yes")</f>
        <v>Yes</v>
      </c>
      <c r="H326" s="245" t="str">
        <f>IF(OR(G326="Not Applicable", IFERROR(INDEX('Landing Page and Navigation'!$F$31:$F$48, MATCH(C326, 'Landing Page and Navigation'!$A$31:$A$48, 0)), "No") = "No"), "No", "Yes")</f>
        <v>No</v>
      </c>
      <c r="I326" s="245" t="str">
        <f>_xlfn.TEXTJOIN(" - ", TRUE, CW_API_TABLE[[#This Row],[PWSID]],CW_API_TABLE[[#This Row],[PWS_NAME]])</f>
        <v>CA3710034 - OTAY WATER DISTRICT</v>
      </c>
      <c r="J326" s="246" cm="1">
        <f t="array" ref="J326">IFERROR(SUMPRODUCT((PD_PWSID_LIST=Crosswalk_API!$C326)*(PD_SUM_DEL&gt;0)), 0)</f>
        <v>12</v>
      </c>
    </row>
    <row r="327" spans="1:10" x14ac:dyDescent="0.25">
      <c r="A327" s="234" t="s">
        <v>1886</v>
      </c>
      <c r="B327" t="s">
        <v>1887</v>
      </c>
      <c r="C327" t="s">
        <v>1888</v>
      </c>
      <c r="D327" t="s">
        <v>1889</v>
      </c>
      <c r="E327" t="s">
        <v>942</v>
      </c>
      <c r="F327" t="s">
        <v>109</v>
      </c>
      <c r="G327" s="245" t="str" cm="1">
        <f t="array" ref="G327">IF(IFERROR(INDEX(LAM_II_SQFT, MATCH(Crosswalk_API!$A327, LAM_ORG_ID_LIST, 0)), 0) = 0, "No", "Yes")</f>
        <v>Yes</v>
      </c>
      <c r="H327" s="245" t="str">
        <f>IF(OR(G327="Not Applicable", IFERROR(INDEX('Landing Page and Navigation'!$F$31:$F$48, MATCH(C327, 'Landing Page and Navigation'!$A$31:$A$48, 0)), "No") = "No"), "No", "Yes")</f>
        <v>No</v>
      </c>
      <c r="I327" s="245" t="str">
        <f>_xlfn.TEXTJOIN(" - ", TRUE, CW_API_TABLE[[#This Row],[PWSID]],CW_API_TABLE[[#This Row],[PWS_NAME]])</f>
        <v>CA5610007 - OXNARD WATER DEPT</v>
      </c>
      <c r="J327" s="246" cm="1">
        <f t="array" ref="J327">IFERROR(SUMPRODUCT((PD_PWSID_LIST=Crosswalk_API!$C327)*(PD_SUM_DEL&gt;0)), 0)</f>
        <v>12</v>
      </c>
    </row>
    <row r="328" spans="1:10" x14ac:dyDescent="0.25">
      <c r="A328" s="234" t="s">
        <v>1890</v>
      </c>
      <c r="B328" t="s">
        <v>1891</v>
      </c>
      <c r="C328" t="s">
        <v>1892</v>
      </c>
      <c r="D328" t="s">
        <v>1893</v>
      </c>
      <c r="E328" t="s">
        <v>937</v>
      </c>
      <c r="F328" t="s">
        <v>109</v>
      </c>
      <c r="G328" s="245" t="str" cm="1">
        <f t="array" ref="G328">IF(IFERROR(INDEX(LAM_II_SQFT, MATCH(Crosswalk_API!$A328, LAM_ORG_ID_LIST, 0)), 0) = 0, "No", "Yes")</f>
        <v>Yes</v>
      </c>
      <c r="H328" s="245" t="str">
        <f>IF(OR(G328="Not Applicable", IFERROR(INDEX('Landing Page and Navigation'!$F$31:$F$48, MATCH(C328, 'Landing Page and Navigation'!$A$31:$A$48, 0)), "No") = "No"), "No", "Yes")</f>
        <v>No</v>
      </c>
      <c r="I328" s="245" t="str">
        <f>_xlfn.TEXTJOIN(" - ", TRUE, CW_API_TABLE[[#This Row],[PWSID]],CW_API_TABLE[[#This Row],[PWS_NAME]])</f>
        <v>CA3710037 - PADRE DAM MWD</v>
      </c>
      <c r="J328" s="246" cm="1">
        <f t="array" ref="J328">IFERROR(SUMPRODUCT((PD_PWSID_LIST=Crosswalk_API!$C328)*(PD_SUM_DEL&gt;0)), 0)</f>
        <v>12</v>
      </c>
    </row>
    <row r="329" spans="1:10" x14ac:dyDescent="0.25">
      <c r="A329" s="234" t="s">
        <v>1894</v>
      </c>
      <c r="B329" t="s">
        <v>1895</v>
      </c>
      <c r="C329" t="s">
        <v>1896</v>
      </c>
      <c r="D329" t="s">
        <v>1897</v>
      </c>
      <c r="E329" t="s">
        <v>708</v>
      </c>
      <c r="F329" t="s">
        <v>109</v>
      </c>
      <c r="G329" s="245" t="str" cm="1">
        <f t="array" ref="G329">IF(IFERROR(INDEX(LAM_II_SQFT, MATCH(Crosswalk_API!$A329, LAM_ORG_ID_LIST, 0)), 0) = 0, "No", "Yes")</f>
        <v>Yes</v>
      </c>
      <c r="H329" s="245" t="str">
        <f>IF(OR(G329="Not Applicable", IFERROR(INDEX('Landing Page and Navigation'!$F$31:$F$48, MATCH(C329, 'Landing Page and Navigation'!$A$31:$A$48, 0)), "No") = "No"), "No", "Yes")</f>
        <v>No</v>
      </c>
      <c r="I329" s="245" t="str">
        <f>_xlfn.TEXTJOIN(" - ", TRUE, CW_API_TABLE[[#This Row],[PWSID]],CW_API_TABLE[[#This Row],[PWS_NAME]])</f>
        <v>CA1910102 - PALMDALE WATER DIST.</v>
      </c>
      <c r="J329" s="246" cm="1">
        <f t="array" ref="J329">IFERROR(SUMPRODUCT((PD_PWSID_LIST=Crosswalk_API!$C329)*(PD_SUM_DEL&gt;0)), 0)</f>
        <v>12</v>
      </c>
    </row>
    <row r="330" spans="1:10" x14ac:dyDescent="0.25">
      <c r="A330" s="234" t="s">
        <v>1898</v>
      </c>
      <c r="B330" t="s">
        <v>1899</v>
      </c>
      <c r="C330" t="s">
        <v>1900</v>
      </c>
      <c r="D330" t="s">
        <v>1901</v>
      </c>
      <c r="E330" t="s">
        <v>1007</v>
      </c>
      <c r="F330" t="s">
        <v>109</v>
      </c>
      <c r="G330" s="245" t="str" cm="1">
        <f t="array" ref="G330">IF(IFERROR(INDEX(LAM_II_SQFT, MATCH(Crosswalk_API!$A330, LAM_ORG_ID_LIST, 0)), 0) = 0, "No", "Yes")</f>
        <v>Yes</v>
      </c>
      <c r="H330" s="245" t="str">
        <f>IF(OR(G330="Not Applicable", IFERROR(INDEX('Landing Page and Navigation'!$F$31:$F$48, MATCH(C330, 'Landing Page and Navigation'!$A$31:$A$48, 0)), "No") = "No"), "No", "Yes")</f>
        <v>No</v>
      </c>
      <c r="I330" s="245" t="str">
        <f>_xlfn.TEXTJOIN(" - ", TRUE, CW_API_TABLE[[#This Row],[PWSID]],CW_API_TABLE[[#This Row],[PWS_NAME]])</f>
        <v>CA4310009 - CITY OF PALO ALTO</v>
      </c>
      <c r="J330" s="246" cm="1">
        <f t="array" ref="J330">IFERROR(SUMPRODUCT((PD_PWSID_LIST=Crosswalk_API!$C330)*(PD_SUM_DEL&gt;0)), 0)</f>
        <v>12</v>
      </c>
    </row>
    <row r="331" spans="1:10" x14ac:dyDescent="0.25">
      <c r="A331" s="234" t="s">
        <v>1902</v>
      </c>
      <c r="B331" t="s">
        <v>1903</v>
      </c>
      <c r="C331" t="s">
        <v>1904</v>
      </c>
      <c r="D331" t="s">
        <v>1905</v>
      </c>
      <c r="E331" t="s">
        <v>963</v>
      </c>
      <c r="F331" t="s">
        <v>109</v>
      </c>
      <c r="G331" s="245" t="str" cm="1">
        <f t="array" ref="G331">IF(IFERROR(INDEX(LAM_II_SQFT, MATCH(Crosswalk_API!$A331, LAM_ORG_ID_LIST, 0)), 0) = 0, "No", "Yes")</f>
        <v>No</v>
      </c>
      <c r="H331" s="245" t="str">
        <f>IF(OR(G331="Not Applicable", IFERROR(INDEX('Landing Page and Navigation'!$F$31:$F$48, MATCH(C331, 'Landing Page and Navigation'!$A$31:$A$48, 0)), "No") = "No"), "No", "Yes")</f>
        <v>No</v>
      </c>
      <c r="I331" s="245" t="str">
        <f>_xlfn.TEXTJOIN(" - ", TRUE, CW_API_TABLE[[#This Row],[PWSID]],CW_API_TABLE[[#This Row],[PWS_NAME]])</f>
        <v>CA0410007 - PARADISE IRRIGATION DISTRICT</v>
      </c>
      <c r="J331" s="246" cm="1">
        <f t="array" ref="J331">IFERROR(SUMPRODUCT((PD_PWSID_LIST=Crosswalk_API!$C331)*(PD_SUM_DEL&gt;0)), 0)</f>
        <v>2</v>
      </c>
    </row>
    <row r="332" spans="1:10" x14ac:dyDescent="0.25">
      <c r="A332" s="234" t="s">
        <v>1906</v>
      </c>
      <c r="B332" t="s">
        <v>1907</v>
      </c>
      <c r="C332" t="s">
        <v>1908</v>
      </c>
      <c r="D332" t="s">
        <v>1909</v>
      </c>
      <c r="E332" t="s">
        <v>708</v>
      </c>
      <c r="F332" t="s">
        <v>109</v>
      </c>
      <c r="G332" s="245" t="str" cm="1">
        <f t="array" ref="G332">IF(IFERROR(INDEX(LAM_II_SQFT, MATCH(Crosswalk_API!$A332, LAM_ORG_ID_LIST, 0)), 0) = 0, "No", "Yes")</f>
        <v>Yes</v>
      </c>
      <c r="H332" s="245" t="str">
        <f>IF(OR(G332="Not Applicable", IFERROR(INDEX('Landing Page and Navigation'!$F$31:$F$48, MATCH(C332, 'Landing Page and Navigation'!$A$31:$A$48, 0)), "No") = "No"), "No", "Yes")</f>
        <v>No</v>
      </c>
      <c r="I332" s="245" t="str">
        <f>_xlfn.TEXTJOIN(" - ", TRUE, CW_API_TABLE[[#This Row],[PWSID]],CW_API_TABLE[[#This Row],[PWS_NAME]])</f>
        <v>CA1910105 - PARAMOUNT - CITY, WATER DEPT.</v>
      </c>
      <c r="J332" s="246" cm="1">
        <f t="array" ref="J332">IFERROR(SUMPRODUCT((PD_PWSID_LIST=Crosswalk_API!$C332)*(PD_SUM_DEL&gt;0)), 0)</f>
        <v>12</v>
      </c>
    </row>
    <row r="333" spans="1:10" x14ac:dyDescent="0.25">
      <c r="A333" s="234" t="s">
        <v>1910</v>
      </c>
      <c r="B333" t="s">
        <v>1911</v>
      </c>
      <c r="C333" t="s">
        <v>1912</v>
      </c>
      <c r="D333" t="s">
        <v>1913</v>
      </c>
      <c r="E333" t="s">
        <v>708</v>
      </c>
      <c r="F333" t="s">
        <v>109</v>
      </c>
      <c r="G333" s="245" t="str" cm="1">
        <f t="array" ref="G333">IF(IFERROR(INDEX(LAM_II_SQFT, MATCH(Crosswalk_API!$A333, LAM_ORG_ID_LIST, 0)), 0) = 0, "No", "Yes")</f>
        <v>Yes</v>
      </c>
      <c r="H333" s="245" t="str">
        <f>IF(OR(G333="Not Applicable", IFERROR(INDEX('Landing Page and Navigation'!$F$31:$F$48, MATCH(C333, 'Landing Page and Navigation'!$A$31:$A$48, 0)), "No") = "No"), "No", "Yes")</f>
        <v>No</v>
      </c>
      <c r="I333" s="245" t="str">
        <f>_xlfn.TEXTJOIN(" - ", TRUE, CW_API_TABLE[[#This Row],[PWSID]],CW_API_TABLE[[#This Row],[PWS_NAME]])</f>
        <v>CA1910021 - LIBERTY UTILITIES - COMPTON</v>
      </c>
      <c r="J333" s="246" cm="1">
        <f t="array" ref="J333">IFERROR(SUMPRODUCT((PD_PWSID_LIST=Crosswalk_API!$C333)*(PD_SUM_DEL&gt;0)), 0)</f>
        <v>12</v>
      </c>
    </row>
    <row r="334" spans="1:10" x14ac:dyDescent="0.25">
      <c r="A334" s="234" t="s">
        <v>1910</v>
      </c>
      <c r="B334" t="s">
        <v>1911</v>
      </c>
      <c r="C334" t="s">
        <v>1914</v>
      </c>
      <c r="D334" t="s">
        <v>1915</v>
      </c>
      <c r="E334" t="s">
        <v>708</v>
      </c>
      <c r="F334" t="s">
        <v>109</v>
      </c>
      <c r="G334" s="245" t="str" cm="1">
        <f t="array" ref="G334">IF(IFERROR(INDEX(LAM_II_SQFT, MATCH(Crosswalk_API!$A334, LAM_ORG_ID_LIST, 0)), 0) = 0, "No", "Yes")</f>
        <v>Yes</v>
      </c>
      <c r="H334" s="245" t="str">
        <f>IF(OR(G334="Not Applicable", IFERROR(INDEX('Landing Page and Navigation'!$F$31:$F$48, MATCH(C334, 'Landing Page and Navigation'!$A$31:$A$48, 0)), "No") = "No"), "No", "Yes")</f>
        <v>No</v>
      </c>
      <c r="I334" s="245" t="str">
        <f>_xlfn.TEXTJOIN(" - ", TRUE, CW_API_TABLE[[#This Row],[PWSID]],CW_API_TABLE[[#This Row],[PWS_NAME]])</f>
        <v>CA1910161 - LIBERTY UTILITIES - LYNWOOD</v>
      </c>
      <c r="J334" s="246" cm="1">
        <f t="array" ref="J334">IFERROR(SUMPRODUCT((PD_PWSID_LIST=Crosswalk_API!$C334)*(PD_SUM_DEL&gt;0)), 0)</f>
        <v>12</v>
      </c>
    </row>
    <row r="335" spans="1:10" x14ac:dyDescent="0.25">
      <c r="A335" s="234" t="s">
        <v>1910</v>
      </c>
      <c r="B335" t="s">
        <v>1911</v>
      </c>
      <c r="C335" t="s">
        <v>1916</v>
      </c>
      <c r="D335" t="s">
        <v>1917</v>
      </c>
      <c r="E335" t="s">
        <v>708</v>
      </c>
      <c r="F335" t="s">
        <v>109</v>
      </c>
      <c r="G335" s="245" t="str" cm="1">
        <f t="array" ref="G335">IF(IFERROR(INDEX(LAM_II_SQFT, MATCH(Crosswalk_API!$A335, LAM_ORG_ID_LIST, 0)), 0) = 0, "No", "Yes")</f>
        <v>Yes</v>
      </c>
      <c r="H335" s="245" t="str">
        <f>IF(OR(G335="Not Applicable", IFERROR(INDEX('Landing Page and Navigation'!$F$31:$F$48, MATCH(C335, 'Landing Page and Navigation'!$A$31:$A$48, 0)), "No") = "No"), "No", "Yes")</f>
        <v>No</v>
      </c>
      <c r="I335" s="245" t="str">
        <f>_xlfn.TEXTJOIN(" - ", TRUE, CW_API_TABLE[[#This Row],[PWSID]],CW_API_TABLE[[#This Row],[PWS_NAME]])</f>
        <v>CA1910211 - LIBERTY UTILITIES - BELLFLOWER-NORWALK</v>
      </c>
      <c r="J335" s="246" cm="1">
        <f t="array" ref="J335">IFERROR(SUMPRODUCT((PD_PWSID_LIST=Crosswalk_API!$C335)*(PD_SUM_DEL&gt;0)), 0)</f>
        <v>12</v>
      </c>
    </row>
    <row r="336" spans="1:10" x14ac:dyDescent="0.25">
      <c r="A336" s="234" t="s">
        <v>1918</v>
      </c>
      <c r="B336" t="s">
        <v>1919</v>
      </c>
      <c r="C336" t="s">
        <v>1920</v>
      </c>
      <c r="D336" t="s">
        <v>1921</v>
      </c>
      <c r="E336" t="s">
        <v>708</v>
      </c>
      <c r="F336" t="s">
        <v>109</v>
      </c>
      <c r="G336" s="245" t="str" cm="1">
        <f t="array" ref="G336">IF(IFERROR(INDEX(LAM_II_SQFT, MATCH(Crosswalk_API!$A336, LAM_ORG_ID_LIST, 0)), 0) = 0, "No", "Yes")</f>
        <v>Yes</v>
      </c>
      <c r="H336" s="245" t="str">
        <f>IF(OR(G336="Not Applicable", IFERROR(INDEX('Landing Page and Navigation'!$F$31:$F$48, MATCH(C336, 'Landing Page and Navigation'!$A$31:$A$48, 0)), "No") = "No"), "No", "Yes")</f>
        <v>No</v>
      </c>
      <c r="I336" s="245" t="str">
        <f>_xlfn.TEXTJOIN(" - ", TRUE, CW_API_TABLE[[#This Row],[PWSID]],CW_API_TABLE[[#This Row],[PWS_NAME]])</f>
        <v>CA1910124 - PASADENA WATER AND POWER</v>
      </c>
      <c r="J336" s="246" cm="1">
        <f t="array" ref="J336">IFERROR(SUMPRODUCT((PD_PWSID_LIST=Crosswalk_API!$C336)*(PD_SUM_DEL&gt;0)), 0)</f>
        <v>12</v>
      </c>
    </row>
    <row r="337" spans="1:10" x14ac:dyDescent="0.25">
      <c r="A337" s="234" t="s">
        <v>1922</v>
      </c>
      <c r="B337" t="s">
        <v>1923</v>
      </c>
      <c r="C337" t="s">
        <v>1924</v>
      </c>
      <c r="D337" t="s">
        <v>1925</v>
      </c>
      <c r="E337" t="s">
        <v>761</v>
      </c>
      <c r="F337" t="s">
        <v>109</v>
      </c>
      <c r="G337" s="245" t="str" cm="1">
        <f t="array" ref="G337">IF(IFERROR(INDEX(LAM_II_SQFT, MATCH(Crosswalk_API!$A337, LAM_ORG_ID_LIST, 0)), 0) = 0, "No", "Yes")</f>
        <v>Yes</v>
      </c>
      <c r="H337" s="245" t="str">
        <f>IF(OR(G337="Not Applicable", IFERROR(INDEX('Landing Page and Navigation'!$F$31:$F$48, MATCH(C337, 'Landing Page and Navigation'!$A$31:$A$48, 0)), "No") = "No"), "No", "Yes")</f>
        <v>No</v>
      </c>
      <c r="I337" s="245" t="str">
        <f>_xlfn.TEXTJOIN(" - ", TRUE, CW_API_TABLE[[#This Row],[PWSID]],CW_API_TABLE[[#This Row],[PWS_NAME]])</f>
        <v>CA4010007 - PASO ROBLES WATER DEPARTMENT</v>
      </c>
      <c r="J337" s="246" cm="1">
        <f t="array" ref="J337">IFERROR(SUMPRODUCT((PD_PWSID_LIST=Crosswalk_API!$C337)*(PD_SUM_DEL&gt;0)), 0)</f>
        <v>12</v>
      </c>
    </row>
    <row r="338" spans="1:10" x14ac:dyDescent="0.25">
      <c r="A338" s="234" t="s">
        <v>1926</v>
      </c>
      <c r="B338" t="s">
        <v>1927</v>
      </c>
      <c r="C338" t="s">
        <v>1928</v>
      </c>
      <c r="D338" t="s">
        <v>1929</v>
      </c>
      <c r="E338" t="s">
        <v>1100</v>
      </c>
      <c r="F338" t="s">
        <v>109</v>
      </c>
      <c r="G338" s="245" t="str" cm="1">
        <f t="array" ref="G338">IF(IFERROR(INDEX(LAM_II_SQFT, MATCH(Crosswalk_API!$A338, LAM_ORG_ID_LIST, 0)), 0) = 0, "No", "Yes")</f>
        <v>Yes</v>
      </c>
      <c r="H338" s="245" t="str">
        <f>IF(OR(G338="Not Applicable", IFERROR(INDEX('Landing Page and Navigation'!$F$31:$F$48, MATCH(C338, 'Landing Page and Navigation'!$A$31:$A$48, 0)), "No") = "No"), "No", "Yes")</f>
        <v>No</v>
      </c>
      <c r="I338" s="245" t="str">
        <f>_xlfn.TEXTJOIN(" - ", TRUE, CW_API_TABLE[[#This Row],[PWSID]],CW_API_TABLE[[#This Row],[PWS_NAME]])</f>
        <v>CA5010017 - PATTERSON, CITY OF</v>
      </c>
      <c r="J338" s="246" cm="1">
        <f t="array" ref="J338">IFERROR(SUMPRODUCT((PD_PWSID_LIST=Crosswalk_API!$C338)*(PD_SUM_DEL&gt;0)), 0)</f>
        <v>12</v>
      </c>
    </row>
    <row r="339" spans="1:10" x14ac:dyDescent="0.25">
      <c r="A339" s="234" t="s">
        <v>1930</v>
      </c>
      <c r="B339" t="s">
        <v>1931</v>
      </c>
      <c r="C339" t="s">
        <v>1932</v>
      </c>
      <c r="D339" t="s">
        <v>1933</v>
      </c>
      <c r="E339" t="s">
        <v>1121</v>
      </c>
      <c r="F339" t="s">
        <v>109</v>
      </c>
      <c r="G339" s="245" t="str" cm="1">
        <f t="array" ref="G339">IF(IFERROR(INDEX(LAM_II_SQFT, MATCH(Crosswalk_API!$A339, LAM_ORG_ID_LIST, 0)), 0) = 0, "No", "Yes")</f>
        <v>Yes</v>
      </c>
      <c r="H339" s="245" t="str">
        <f>IF(OR(G339="Not Applicable", IFERROR(INDEX('Landing Page and Navigation'!$F$31:$F$48, MATCH(C339, 'Landing Page and Navigation'!$A$31:$A$48, 0)), "No") = "No"), "No", "Yes")</f>
        <v>No</v>
      </c>
      <c r="I339" s="245" t="str">
        <f>_xlfn.TEXTJOIN(" - ", TRUE, CW_API_TABLE[[#This Row],[PWSID]],CW_API_TABLE[[#This Row],[PWS_NAME]])</f>
        <v>CA4910006 - PETALUMA, CITY OF</v>
      </c>
      <c r="J339" s="246" cm="1">
        <f t="array" ref="J339">IFERROR(SUMPRODUCT((PD_PWSID_LIST=Crosswalk_API!$C339)*(PD_SUM_DEL&gt;0)), 0)</f>
        <v>12</v>
      </c>
    </row>
    <row r="340" spans="1:10" x14ac:dyDescent="0.25">
      <c r="A340" s="234" t="s">
        <v>1934</v>
      </c>
      <c r="B340" t="s">
        <v>1935</v>
      </c>
      <c r="C340" t="s">
        <v>1936</v>
      </c>
      <c r="D340" t="s">
        <v>1937</v>
      </c>
      <c r="E340" t="s">
        <v>693</v>
      </c>
      <c r="F340" t="s">
        <v>109</v>
      </c>
      <c r="G340" s="245" t="str" cm="1">
        <f t="array" ref="G340">IF(IFERROR(INDEX(LAM_II_SQFT, MATCH(Crosswalk_API!$A340, LAM_ORG_ID_LIST, 0)), 0) = 0, "No", "Yes")</f>
        <v>Yes</v>
      </c>
      <c r="H340" s="245" t="str">
        <f>IF(OR(G340="Not Applicable", IFERROR(INDEX('Landing Page and Navigation'!$F$31:$F$48, MATCH(C340, 'Landing Page and Navigation'!$A$31:$A$48, 0)), "No") = "No"), "No", "Yes")</f>
        <v>No</v>
      </c>
      <c r="I340" s="245" t="str">
        <f>_xlfn.TEXTJOIN(" - ", TRUE, CW_API_TABLE[[#This Row],[PWSID]],CW_API_TABLE[[#This Row],[PWS_NAME]])</f>
        <v>CA3610120 - PHELAN PINON HILLS CSD</v>
      </c>
      <c r="J340" s="246" cm="1">
        <f t="array" ref="J340">IFERROR(SUMPRODUCT((PD_PWSID_LIST=Crosswalk_API!$C340)*(PD_SUM_DEL&gt;0)), 0)</f>
        <v>12</v>
      </c>
    </row>
    <row r="341" spans="1:10" x14ac:dyDescent="0.25">
      <c r="A341" s="234" t="s">
        <v>1938</v>
      </c>
      <c r="B341" t="s">
        <v>1939</v>
      </c>
      <c r="C341" t="s">
        <v>1940</v>
      </c>
      <c r="D341" t="s">
        <v>1941</v>
      </c>
      <c r="E341" t="s">
        <v>708</v>
      </c>
      <c r="F341" t="s">
        <v>109</v>
      </c>
      <c r="G341" s="245" t="str" cm="1">
        <f t="array" ref="G341">IF(IFERROR(INDEX(LAM_II_SQFT, MATCH(Crosswalk_API!$A341, LAM_ORG_ID_LIST, 0)), 0) = 0, "No", "Yes")</f>
        <v>Yes</v>
      </c>
      <c r="H341" s="245" t="str">
        <f>IF(OR(G341="Not Applicable", IFERROR(INDEX('Landing Page and Navigation'!$F$31:$F$48, MATCH(C341, 'Landing Page and Navigation'!$A$31:$A$48, 0)), "No") = "No"), "No", "Yes")</f>
        <v>No</v>
      </c>
      <c r="I341" s="245" t="str">
        <f>_xlfn.TEXTJOIN(" - ", TRUE, CW_API_TABLE[[#This Row],[PWSID]],CW_API_TABLE[[#This Row],[PWS_NAME]])</f>
        <v>CA1910042 - PICO RIVERA - CITY, WATER DEPT.</v>
      </c>
      <c r="J341" s="246" cm="1">
        <f t="array" ref="J341">IFERROR(SUMPRODUCT((PD_PWSID_LIST=Crosswalk_API!$C341)*(PD_SUM_DEL&gt;0)), 0)</f>
        <v>12</v>
      </c>
    </row>
    <row r="342" spans="1:10" x14ac:dyDescent="0.25">
      <c r="A342" s="234" t="s">
        <v>1942</v>
      </c>
      <c r="B342" t="s">
        <v>1943</v>
      </c>
      <c r="C342" t="s">
        <v>1944</v>
      </c>
      <c r="D342" t="s">
        <v>1945</v>
      </c>
      <c r="E342" t="s">
        <v>708</v>
      </c>
      <c r="F342" t="s">
        <v>109</v>
      </c>
      <c r="G342" s="245" t="str" cm="1">
        <f t="array" ref="G342">IF(IFERROR(INDEX(LAM_II_SQFT, MATCH(Crosswalk_API!$A342, LAM_ORG_ID_LIST, 0)), 0) = 0, "No", "Yes")</f>
        <v>Yes</v>
      </c>
      <c r="H342" s="245" t="str">
        <f>IF(OR(G342="Not Applicable", IFERROR(INDEX('Landing Page and Navigation'!$F$31:$F$48, MATCH(C342, 'Landing Page and Navigation'!$A$31:$A$48, 0)), "No") = "No"), "No", "Yes")</f>
        <v>No</v>
      </c>
      <c r="I342" s="245" t="str">
        <f>_xlfn.TEXTJOIN(" - ", TRUE, CW_API_TABLE[[#This Row],[PWSID]],CW_API_TABLE[[#This Row],[PWS_NAME]])</f>
        <v>CA1910125 - PICO WD</v>
      </c>
      <c r="J342" s="246" cm="1">
        <f t="array" ref="J342">IFERROR(SUMPRODUCT((PD_PWSID_LIST=Crosswalk_API!$C342)*(PD_SUM_DEL&gt;0)), 0)</f>
        <v>12</v>
      </c>
    </row>
    <row r="343" spans="1:10" x14ac:dyDescent="0.25">
      <c r="A343" s="234" t="s">
        <v>1946</v>
      </c>
      <c r="B343" t="s">
        <v>1947</v>
      </c>
      <c r="C343" t="s">
        <v>1948</v>
      </c>
      <c r="D343" t="s">
        <v>1949</v>
      </c>
      <c r="E343" t="s">
        <v>761</v>
      </c>
      <c r="F343" t="s">
        <v>109</v>
      </c>
      <c r="G343" s="245" t="str" cm="1">
        <f t="array" ref="G343">IF(IFERROR(INDEX(LAM_II_SQFT, MATCH(Crosswalk_API!$A343, LAM_ORG_ID_LIST, 0)), 0) = 0, "No", "Yes")</f>
        <v>Yes</v>
      </c>
      <c r="H343" s="245" t="str">
        <f>IF(OR(G343="Not Applicable", IFERROR(INDEX('Landing Page and Navigation'!$F$31:$F$48, MATCH(C343, 'Landing Page and Navigation'!$A$31:$A$48, 0)), "No") = "No"), "No", "Yes")</f>
        <v>No</v>
      </c>
      <c r="I343" s="245" t="str">
        <f>_xlfn.TEXTJOIN(" - ", TRUE, CW_API_TABLE[[#This Row],[PWSID]],CW_API_TABLE[[#This Row],[PWS_NAME]])</f>
        <v>CA4010008 - PISMO BEACH WATER DEPARTMENT</v>
      </c>
      <c r="J343" s="246" cm="1">
        <f t="array" ref="J343">IFERROR(SUMPRODUCT((PD_PWSID_LIST=Crosswalk_API!$C343)*(PD_SUM_DEL&gt;0)), 0)</f>
        <v>12</v>
      </c>
    </row>
    <row r="344" spans="1:10" x14ac:dyDescent="0.25">
      <c r="A344" s="234" t="s">
        <v>1950</v>
      </c>
      <c r="B344" t="s">
        <v>1951</v>
      </c>
      <c r="C344" t="s">
        <v>1952</v>
      </c>
      <c r="D344" t="s">
        <v>1953</v>
      </c>
      <c r="E344" t="s">
        <v>741</v>
      </c>
      <c r="F344" t="s">
        <v>109</v>
      </c>
      <c r="G344" s="245" t="str" cm="1">
        <f t="array" ref="G344">IF(IFERROR(INDEX(LAM_II_SQFT, MATCH(Crosswalk_API!$A344, LAM_ORG_ID_LIST, 0)), 0) = 0, "No", "Yes")</f>
        <v>Yes</v>
      </c>
      <c r="H344" s="245" t="str">
        <f>IF(OR(G344="Not Applicable", IFERROR(INDEX('Landing Page and Navigation'!$F$31:$F$48, MATCH(C344, 'Landing Page and Navigation'!$A$31:$A$48, 0)), "No") = "No"), "No", "Yes")</f>
        <v>No</v>
      </c>
      <c r="I344" s="245" t="str">
        <f>_xlfn.TEXTJOIN(" - ", TRUE, CW_API_TABLE[[#This Row],[PWSID]],CW_API_TABLE[[#This Row],[PWS_NAME]])</f>
        <v>CA0710008 - CITY OF PITTSBURG</v>
      </c>
      <c r="J344" s="246" cm="1">
        <f t="array" ref="J344">IFERROR(SUMPRODUCT((PD_PWSID_LIST=Crosswalk_API!$C344)*(PD_SUM_DEL&gt;0)), 0)</f>
        <v>12</v>
      </c>
    </row>
    <row r="345" spans="1:10" x14ac:dyDescent="0.25">
      <c r="A345" s="234" t="s">
        <v>1954</v>
      </c>
      <c r="B345" t="s">
        <v>1955</v>
      </c>
      <c r="C345" t="s">
        <v>1956</v>
      </c>
      <c r="D345" t="s">
        <v>1957</v>
      </c>
      <c r="E345" t="s">
        <v>910</v>
      </c>
      <c r="F345" t="s">
        <v>109</v>
      </c>
      <c r="G345" s="245" t="str" cm="1">
        <f t="array" ref="G345">IF(IFERROR(INDEX(LAM_II_SQFT, MATCH(Crosswalk_API!$A345, LAM_ORG_ID_LIST, 0)), 0) = 0, "No", "Yes")</f>
        <v>Yes</v>
      </c>
      <c r="H345" s="245" t="str">
        <f>IF(OR(G345="Not Applicable", IFERROR(INDEX('Landing Page and Navigation'!$F$31:$F$48, MATCH(C345, 'Landing Page and Navigation'!$A$31:$A$48, 0)), "No") = "No"), "No", "Yes")</f>
        <v>No</v>
      </c>
      <c r="I345" s="245" t="str">
        <f>_xlfn.TEXTJOIN(" - ", TRUE, CW_API_TABLE[[#This Row],[PWSID]],CW_API_TABLE[[#This Row],[PWS_NAME]])</f>
        <v>CA3110005 - PLACER CWA - AUBURN/BOWMAN</v>
      </c>
      <c r="J345" s="246" cm="1">
        <f t="array" ref="J345">IFERROR(SUMPRODUCT((PD_PWSID_LIST=Crosswalk_API!$C345)*(PD_SUM_DEL&gt;0)), 0)</f>
        <v>12</v>
      </c>
    </row>
    <row r="346" spans="1:10" x14ac:dyDescent="0.25">
      <c r="A346" s="234" t="s">
        <v>1954</v>
      </c>
      <c r="B346" t="s">
        <v>1955</v>
      </c>
      <c r="C346" t="s">
        <v>1958</v>
      </c>
      <c r="D346" t="s">
        <v>1959</v>
      </c>
      <c r="E346" t="s">
        <v>910</v>
      </c>
      <c r="F346" t="s">
        <v>109</v>
      </c>
      <c r="G346" s="245" t="str" cm="1">
        <f t="array" ref="G346">IF(IFERROR(INDEX(LAM_II_SQFT, MATCH(Crosswalk_API!$A346, LAM_ORG_ID_LIST, 0)), 0) = 0, "No", "Yes")</f>
        <v>Yes</v>
      </c>
      <c r="H346" s="245" t="str">
        <f>IF(OR(G346="Not Applicable", IFERROR(INDEX('Landing Page and Navigation'!$F$31:$F$48, MATCH(C346, 'Landing Page and Navigation'!$A$31:$A$48, 0)), "No") = "No"), "No", "Yes")</f>
        <v>No</v>
      </c>
      <c r="I346" s="245" t="str">
        <f>_xlfn.TEXTJOIN(" - ", TRUE, CW_API_TABLE[[#This Row],[PWSID]],CW_API_TABLE[[#This Row],[PWS_NAME]])</f>
        <v>CA3110006 - PLACER CWA - COLFAX</v>
      </c>
      <c r="J346" s="246" cm="1">
        <f t="array" ref="J346">IFERROR(SUMPRODUCT((PD_PWSID_LIST=Crosswalk_API!$C346)*(PD_SUM_DEL&gt;0)), 0)</f>
        <v>12</v>
      </c>
    </row>
    <row r="347" spans="1:10" x14ac:dyDescent="0.25">
      <c r="A347" s="234" t="s">
        <v>1954</v>
      </c>
      <c r="B347" t="s">
        <v>1955</v>
      </c>
      <c r="C347" t="s">
        <v>1960</v>
      </c>
      <c r="D347" t="s">
        <v>1961</v>
      </c>
      <c r="E347" t="s">
        <v>910</v>
      </c>
      <c r="F347" t="s">
        <v>109</v>
      </c>
      <c r="G347" s="245" t="str" cm="1">
        <f t="array" ref="G347">IF(IFERROR(INDEX(LAM_II_SQFT, MATCH(Crosswalk_API!$A347, LAM_ORG_ID_LIST, 0)), 0) = 0, "No", "Yes")</f>
        <v>Yes</v>
      </c>
      <c r="H347" s="245" t="str">
        <f>IF(OR(G347="Not Applicable", IFERROR(INDEX('Landing Page and Navigation'!$F$31:$F$48, MATCH(C347, 'Landing Page and Navigation'!$A$31:$A$48, 0)), "No") = "No"), "No", "Yes")</f>
        <v>No</v>
      </c>
      <c r="I347" s="245" t="str">
        <f>_xlfn.TEXTJOIN(" - ", TRUE, CW_API_TABLE[[#This Row],[PWSID]],CW_API_TABLE[[#This Row],[PWS_NAME]])</f>
        <v>CA3110024 - PLACER CWA - ALTA</v>
      </c>
      <c r="J347" s="246" cm="1">
        <f t="array" ref="J347">IFERROR(SUMPRODUCT((PD_PWSID_LIST=Crosswalk_API!$C347)*(PD_SUM_DEL&gt;0)), 0)</f>
        <v>12</v>
      </c>
    </row>
    <row r="348" spans="1:10" x14ac:dyDescent="0.25">
      <c r="A348" s="234" t="s">
        <v>1954</v>
      </c>
      <c r="B348" t="s">
        <v>1955</v>
      </c>
      <c r="C348" t="s">
        <v>1962</v>
      </c>
      <c r="D348" t="s">
        <v>1963</v>
      </c>
      <c r="E348" t="s">
        <v>910</v>
      </c>
      <c r="F348" t="s">
        <v>109</v>
      </c>
      <c r="G348" s="245" t="str" cm="1">
        <f t="array" ref="G348">IF(IFERROR(INDEX(LAM_II_SQFT, MATCH(Crosswalk_API!$A348, LAM_ORG_ID_LIST, 0)), 0) = 0, "No", "Yes")</f>
        <v>Yes</v>
      </c>
      <c r="H348" s="245" t="str">
        <f>IF(OR(G348="Not Applicable", IFERROR(INDEX('Landing Page and Navigation'!$F$31:$F$48, MATCH(C348, 'Landing Page and Navigation'!$A$31:$A$48, 0)), "No") = "No"), "No", "Yes")</f>
        <v>No</v>
      </c>
      <c r="I348" s="245" t="str">
        <f>_xlfn.TEXTJOIN(" - ", TRUE, CW_API_TABLE[[#This Row],[PWSID]],CW_API_TABLE[[#This Row],[PWS_NAME]])</f>
        <v>CA3110025 - PLACER CWA - FOOTHILL</v>
      </c>
      <c r="J348" s="246" cm="1">
        <f t="array" ref="J348">IFERROR(SUMPRODUCT((PD_PWSID_LIST=Crosswalk_API!$C348)*(PD_SUM_DEL&gt;0)), 0)</f>
        <v>12</v>
      </c>
    </row>
    <row r="349" spans="1:10" x14ac:dyDescent="0.25">
      <c r="A349" s="234" t="s">
        <v>1954</v>
      </c>
      <c r="B349" t="s">
        <v>1955</v>
      </c>
      <c r="C349" t="s">
        <v>1964</v>
      </c>
      <c r="D349" t="s">
        <v>1965</v>
      </c>
      <c r="E349" t="s">
        <v>910</v>
      </c>
      <c r="F349" t="s">
        <v>109</v>
      </c>
      <c r="G349" s="245" t="str" cm="1">
        <f t="array" ref="G349">IF(IFERROR(INDEX(LAM_II_SQFT, MATCH(Crosswalk_API!$A349, LAM_ORG_ID_LIST, 0)), 0) = 0, "No", "Yes")</f>
        <v>Yes</v>
      </c>
      <c r="H349" s="245" t="str">
        <f>IF(OR(G349="Not Applicable", IFERROR(INDEX('Landing Page and Navigation'!$F$31:$F$48, MATCH(C349, 'Landing Page and Navigation'!$A$31:$A$48, 0)), "No") = "No"), "No", "Yes")</f>
        <v>No</v>
      </c>
      <c r="I349" s="245" t="str">
        <f>_xlfn.TEXTJOIN(" - ", TRUE, CW_API_TABLE[[#This Row],[PWSID]],CW_API_TABLE[[#This Row],[PWS_NAME]])</f>
        <v>CA3110040 - PLACER CWA - BIANCHI ESTATES</v>
      </c>
      <c r="J349" s="246" cm="1">
        <f t="array" ref="J349">IFERROR(SUMPRODUCT((PD_PWSID_LIST=Crosswalk_API!$C349)*(PD_SUM_DEL&gt;0)), 0)</f>
        <v>12</v>
      </c>
    </row>
    <row r="350" spans="1:10" x14ac:dyDescent="0.25">
      <c r="A350" s="234" t="s">
        <v>1954</v>
      </c>
      <c r="B350" t="s">
        <v>1955</v>
      </c>
      <c r="C350" t="s">
        <v>1966</v>
      </c>
      <c r="D350" t="s">
        <v>1967</v>
      </c>
      <c r="E350" t="s">
        <v>910</v>
      </c>
      <c r="F350" t="s">
        <v>109</v>
      </c>
      <c r="G350" s="245" t="str" cm="1">
        <f t="array" ref="G350">IF(IFERROR(INDEX(LAM_II_SQFT, MATCH(Crosswalk_API!$A350, LAM_ORG_ID_LIST, 0)), 0) = 0, "No", "Yes")</f>
        <v>Yes</v>
      </c>
      <c r="H350" s="245" t="str">
        <f>IF(OR(G350="Not Applicable", IFERROR(INDEX('Landing Page and Navigation'!$F$31:$F$48, MATCH(C350, 'Landing Page and Navigation'!$A$31:$A$48, 0)), "No") = "No"), "No", "Yes")</f>
        <v>No</v>
      </c>
      <c r="I350" s="245" t="str">
        <f>_xlfn.TEXTJOIN(" - ", TRUE, CW_API_TABLE[[#This Row],[PWSID]],CW_API_TABLE[[#This Row],[PWS_NAME]])</f>
        <v>CA3110050 - PLACER CWA - APPLEGATE</v>
      </c>
      <c r="J350" s="246" cm="1">
        <f t="array" ref="J350">IFERROR(SUMPRODUCT((PD_PWSID_LIST=Crosswalk_API!$C350)*(PD_SUM_DEL&gt;0)), 0)</f>
        <v>12</v>
      </c>
    </row>
    <row r="351" spans="1:10" x14ac:dyDescent="0.25">
      <c r="A351" s="234" t="s">
        <v>1954</v>
      </c>
      <c r="B351" t="s">
        <v>1955</v>
      </c>
      <c r="C351" t="s">
        <v>1968</v>
      </c>
      <c r="D351" t="s">
        <v>1969</v>
      </c>
      <c r="E351" t="s">
        <v>910</v>
      </c>
      <c r="F351" t="s">
        <v>109</v>
      </c>
      <c r="G351" s="245" t="str" cm="1">
        <f t="array" ref="G351">IF(IFERROR(INDEX(LAM_II_SQFT, MATCH(Crosswalk_API!$A351, LAM_ORG_ID_LIST, 0)), 0) = 0, "No", "Yes")</f>
        <v>Yes</v>
      </c>
      <c r="H351" s="245" t="str">
        <f>IF(OR(G351="Not Applicable", IFERROR(INDEX('Landing Page and Navigation'!$F$31:$F$48, MATCH(C351, 'Landing Page and Navigation'!$A$31:$A$48, 0)), "No") = "No"), "No", "Yes")</f>
        <v>No</v>
      </c>
      <c r="I351" s="245" t="str">
        <f>_xlfn.TEXTJOIN(" - ", TRUE, CW_API_TABLE[[#This Row],[PWSID]],CW_API_TABLE[[#This Row],[PWS_NAME]])</f>
        <v>CA3110124 - PLACER CWA - MONTE VISTA</v>
      </c>
      <c r="J351" s="246" cm="1">
        <f t="array" ref="J351">IFERROR(SUMPRODUCT((PD_PWSID_LIST=Crosswalk_API!$C351)*(PD_SUM_DEL&gt;0)), 0)</f>
        <v>12</v>
      </c>
    </row>
    <row r="352" spans="1:10" x14ac:dyDescent="0.25">
      <c r="A352" s="234" t="s">
        <v>1970</v>
      </c>
      <c r="B352" t="s">
        <v>1971</v>
      </c>
      <c r="C352" t="s">
        <v>1972</v>
      </c>
      <c r="D352" t="s">
        <v>1973</v>
      </c>
      <c r="E352" t="s">
        <v>698</v>
      </c>
      <c r="F352" t="s">
        <v>109</v>
      </c>
      <c r="G352" s="245" t="str" cm="1">
        <f t="array" ref="G352">IF(IFERROR(INDEX(LAM_II_SQFT, MATCH(Crosswalk_API!$A352, LAM_ORG_ID_LIST, 0)), 0) = 0, "No", "Yes")</f>
        <v>Yes</v>
      </c>
      <c r="H352" s="245" t="str">
        <f>IF(OR(G352="Not Applicable", IFERROR(INDEX('Landing Page and Navigation'!$F$31:$F$48, MATCH(C352, 'Landing Page and Navigation'!$A$31:$A$48, 0)), "No") = "No"), "No", "Yes")</f>
        <v>No</v>
      </c>
      <c r="I352" s="245" t="str">
        <f>_xlfn.TEXTJOIN(" - ", TRUE, CW_API_TABLE[[#This Row],[PWSID]],CW_API_TABLE[[#This Row],[PWS_NAME]])</f>
        <v>CA0110008 - CITY OF PLEASANTON</v>
      </c>
      <c r="J352" s="246" cm="1">
        <f t="array" ref="J352">IFERROR(SUMPRODUCT((PD_PWSID_LIST=Crosswalk_API!$C352)*(PD_SUM_DEL&gt;0)), 0)</f>
        <v>12</v>
      </c>
    </row>
    <row r="353" spans="1:10" x14ac:dyDescent="0.25">
      <c r="A353" s="234" t="s">
        <v>1974</v>
      </c>
      <c r="B353" t="s">
        <v>1975</v>
      </c>
      <c r="C353" t="s">
        <v>1976</v>
      </c>
      <c r="D353" t="s">
        <v>1977</v>
      </c>
      <c r="E353" t="s">
        <v>708</v>
      </c>
      <c r="F353" t="s">
        <v>109</v>
      </c>
      <c r="G353" s="245" t="str" cm="1">
        <f t="array" ref="G353">IF(IFERROR(INDEX(LAM_II_SQFT, MATCH(Crosswalk_API!$A353, LAM_ORG_ID_LIST, 0)), 0) = 0, "No", "Yes")</f>
        <v>Yes</v>
      </c>
      <c r="H353" s="245" t="str">
        <f>IF(OR(G353="Not Applicable", IFERROR(INDEX('Landing Page and Navigation'!$F$31:$F$48, MATCH(C353, 'Landing Page and Navigation'!$A$31:$A$48, 0)), "No") = "No"), "No", "Yes")</f>
        <v>No</v>
      </c>
      <c r="I353" s="245" t="str">
        <f>_xlfn.TEXTJOIN(" - ", TRUE, CW_API_TABLE[[#This Row],[PWSID]],CW_API_TABLE[[#This Row],[PWS_NAME]])</f>
        <v>CA1910126 - POMONA - CITY, WATER DEPT.</v>
      </c>
      <c r="J353" s="246" cm="1">
        <f t="array" ref="J353">IFERROR(SUMPRODUCT((PD_PWSID_LIST=Crosswalk_API!$C353)*(PD_SUM_DEL&gt;0)), 0)</f>
        <v>12</v>
      </c>
    </row>
    <row r="354" spans="1:10" x14ac:dyDescent="0.25">
      <c r="A354" s="234" t="s">
        <v>1978</v>
      </c>
      <c r="B354" t="s">
        <v>1979</v>
      </c>
      <c r="C354" t="s">
        <v>1980</v>
      </c>
      <c r="D354" t="s">
        <v>1981</v>
      </c>
      <c r="E354" t="s">
        <v>942</v>
      </c>
      <c r="F354" t="s">
        <v>109</v>
      </c>
      <c r="G354" s="245" t="str" cm="1">
        <f t="array" ref="G354">IF(IFERROR(INDEX(LAM_II_SQFT, MATCH(Crosswalk_API!$A354, LAM_ORG_ID_LIST, 0)), 0) = 0, "No", "Yes")</f>
        <v>Yes</v>
      </c>
      <c r="H354" s="245" t="str">
        <f>IF(OR(G354="Not Applicable", IFERROR(INDEX('Landing Page and Navigation'!$F$31:$F$48, MATCH(C354, 'Landing Page and Navigation'!$A$31:$A$48, 0)), "No") = "No"), "No", "Yes")</f>
        <v>No</v>
      </c>
      <c r="I354" s="245" t="str">
        <f>_xlfn.TEXTJOIN(" - ", TRUE, CW_API_TABLE[[#This Row],[PWSID]],CW_API_TABLE[[#This Row],[PWS_NAME]])</f>
        <v>CA5610009 - PORT HUENEME WATER DEPT</v>
      </c>
      <c r="J354" s="246" cm="1">
        <f t="array" ref="J354">IFERROR(SUMPRODUCT((PD_PWSID_LIST=Crosswalk_API!$C354)*(PD_SUM_DEL&gt;0)), 0)</f>
        <v>12</v>
      </c>
    </row>
    <row r="355" spans="1:10" x14ac:dyDescent="0.25">
      <c r="A355" s="234" t="s">
        <v>1982</v>
      </c>
      <c r="B355" t="s">
        <v>1983</v>
      </c>
      <c r="C355" t="s">
        <v>1984</v>
      </c>
      <c r="D355" t="s">
        <v>1985</v>
      </c>
      <c r="E355" t="s">
        <v>1056</v>
      </c>
      <c r="F355" t="s">
        <v>109</v>
      </c>
      <c r="G355" s="245" t="str" cm="1">
        <f t="array" ref="G355">IF(IFERROR(INDEX(LAM_II_SQFT, MATCH(Crosswalk_API!$A355, LAM_ORG_ID_LIST, 0)), 0) = 0, "No", "Yes")</f>
        <v>Yes</v>
      </c>
      <c r="H355" s="245" t="str">
        <f>IF(OR(G355="Not Applicable", IFERROR(INDEX('Landing Page and Navigation'!$F$31:$F$48, MATCH(C355, 'Landing Page and Navigation'!$A$31:$A$48, 0)), "No") = "No"), "No", "Yes")</f>
        <v>No</v>
      </c>
      <c r="I355" s="245" t="str">
        <f>_xlfn.TEXTJOIN(" - ", TRUE, CW_API_TABLE[[#This Row],[PWSID]],CW_API_TABLE[[#This Row],[PWS_NAME]])</f>
        <v>CA5410010 - PORTERVILLE, CITY OF</v>
      </c>
      <c r="J355" s="246" cm="1">
        <f t="array" ref="J355">IFERROR(SUMPRODUCT((PD_PWSID_LIST=Crosswalk_API!$C355)*(PD_SUM_DEL&gt;0)), 0)</f>
        <v>12</v>
      </c>
    </row>
    <row r="356" spans="1:10" x14ac:dyDescent="0.25">
      <c r="A356" s="234" t="s">
        <v>1986</v>
      </c>
      <c r="B356" t="s">
        <v>1987</v>
      </c>
      <c r="C356" t="s">
        <v>1988</v>
      </c>
      <c r="D356" t="s">
        <v>1989</v>
      </c>
      <c r="E356" t="s">
        <v>937</v>
      </c>
      <c r="F356" t="s">
        <v>109</v>
      </c>
      <c r="G356" s="245" t="str" cm="1">
        <f t="array" ref="G356">IF(IFERROR(INDEX(LAM_II_SQFT, MATCH(Crosswalk_API!$A356, LAM_ORG_ID_LIST, 0)), 0) = 0, "No", "Yes")</f>
        <v>Yes</v>
      </c>
      <c r="H356" s="245" t="str">
        <f>IF(OR(G356="Not Applicable", IFERROR(INDEX('Landing Page and Navigation'!$F$31:$F$48, MATCH(C356, 'Landing Page and Navigation'!$A$31:$A$48, 0)), "No") = "No"), "No", "Yes")</f>
        <v>No</v>
      </c>
      <c r="I356" s="245" t="str">
        <f>_xlfn.TEXTJOIN(" - ", TRUE, CW_API_TABLE[[#This Row],[PWSID]],CW_API_TABLE[[#This Row],[PWS_NAME]])</f>
        <v>CA3710015 - POWAY, CITY OF</v>
      </c>
      <c r="J356" s="246" cm="1">
        <f t="array" ref="J356">IFERROR(SUMPRODUCT((PD_PWSID_LIST=Crosswalk_API!$C356)*(PD_SUM_DEL&gt;0)), 0)</f>
        <v>12</v>
      </c>
    </row>
    <row r="357" spans="1:10" x14ac:dyDescent="0.25">
      <c r="A357" s="234" t="s">
        <v>1990</v>
      </c>
      <c r="B357" t="s">
        <v>1991</v>
      </c>
      <c r="C357" t="s">
        <v>1992</v>
      </c>
      <c r="D357" t="s">
        <v>1993</v>
      </c>
      <c r="E357" t="s">
        <v>708</v>
      </c>
      <c r="F357" t="s">
        <v>109</v>
      </c>
      <c r="G357" s="245" t="str" cm="1">
        <f t="array" ref="G357">IF(IFERROR(INDEX(LAM_II_SQFT, MATCH(Crosswalk_API!$A357, LAM_ORG_ID_LIST, 0)), 0) = 0, "No", "Yes")</f>
        <v>Yes</v>
      </c>
      <c r="H357" s="245" t="str">
        <f>IF(OR(G357="Not Applicable", IFERROR(INDEX('Landing Page and Navigation'!$F$31:$F$48, MATCH(C357, 'Landing Page and Navigation'!$A$31:$A$48, 0)), "No") = "No"), "No", "Yes")</f>
        <v>No</v>
      </c>
      <c r="I357" s="245" t="str">
        <f>_xlfn.TEXTJOIN(" - ", TRUE, CW_API_TABLE[[#This Row],[PWSID]],CW_API_TABLE[[#This Row],[PWS_NAME]])</f>
        <v>CA1910130 - QUARTZ HILL WATER DIST.</v>
      </c>
      <c r="J357" s="246" cm="1">
        <f t="array" ref="J357">IFERROR(SUMPRODUCT((PD_PWSID_LIST=Crosswalk_API!$C357)*(PD_SUM_DEL&gt;0)), 0)</f>
        <v>12</v>
      </c>
    </row>
    <row r="358" spans="1:10" x14ac:dyDescent="0.25">
      <c r="A358" s="234" t="s">
        <v>1994</v>
      </c>
      <c r="B358" t="s">
        <v>1995</v>
      </c>
      <c r="C358" t="s">
        <v>1996</v>
      </c>
      <c r="D358" t="s">
        <v>1997</v>
      </c>
      <c r="E358" t="s">
        <v>937</v>
      </c>
      <c r="F358" t="s">
        <v>109</v>
      </c>
      <c r="G358" s="245" t="str" cm="1">
        <f t="array" ref="G358">IF(IFERROR(INDEX(LAM_II_SQFT, MATCH(Crosswalk_API!$A358, LAM_ORG_ID_LIST, 0)), 0) = 0, "No", "Yes")</f>
        <v>Yes</v>
      </c>
      <c r="H358" s="245" t="str">
        <f>IF(OR(G358="Not Applicable", IFERROR(INDEX('Landing Page and Navigation'!$F$31:$F$48, MATCH(C358, 'Landing Page and Navigation'!$A$31:$A$48, 0)), "No") = "No"), "No", "Yes")</f>
        <v>No</v>
      </c>
      <c r="I358" s="245" t="str">
        <f>_xlfn.TEXTJOIN(" - ", TRUE, CW_API_TABLE[[#This Row],[PWSID]],CW_API_TABLE[[#This Row],[PWS_NAME]])</f>
        <v>CA3710016 - RAINBOW MUNICIPAL WD</v>
      </c>
      <c r="J358" s="246" cm="1">
        <f t="array" ref="J358">IFERROR(SUMPRODUCT((PD_PWSID_LIST=Crosswalk_API!$C358)*(PD_SUM_DEL&gt;0)), 0)</f>
        <v>12</v>
      </c>
    </row>
    <row r="359" spans="1:10" x14ac:dyDescent="0.25">
      <c r="A359" s="234" t="s">
        <v>1998</v>
      </c>
      <c r="B359" t="s">
        <v>1999</v>
      </c>
      <c r="C359" t="s">
        <v>2000</v>
      </c>
      <c r="D359" t="s">
        <v>2001</v>
      </c>
      <c r="E359" t="s">
        <v>937</v>
      </c>
      <c r="F359" t="s">
        <v>109</v>
      </c>
      <c r="G359" s="245" t="str" cm="1">
        <f t="array" ref="G359">IF(IFERROR(INDEX(LAM_II_SQFT, MATCH(Crosswalk_API!$A359, LAM_ORG_ID_LIST, 0)), 0) = 0, "No", "Yes")</f>
        <v>Yes</v>
      </c>
      <c r="H359" s="245" t="str">
        <f>IF(OR(G359="Not Applicable", IFERROR(INDEX('Landing Page and Navigation'!$F$31:$F$48, MATCH(C359, 'Landing Page and Navigation'!$A$31:$A$48, 0)), "No") = "No"), "No", "Yes")</f>
        <v>No</v>
      </c>
      <c r="I359" s="245" t="str">
        <f>_xlfn.TEXTJOIN(" - ", TRUE, CW_API_TABLE[[#This Row],[PWSID]],CW_API_TABLE[[#This Row],[PWS_NAME]])</f>
        <v>CA3710019 - RAMONA MUNICIPAL WD</v>
      </c>
      <c r="J359" s="246" cm="1">
        <f t="array" ref="J359">IFERROR(SUMPRODUCT((PD_PWSID_LIST=Crosswalk_API!$C359)*(PD_SUM_DEL&gt;0)), 0)</f>
        <v>12</v>
      </c>
    </row>
    <row r="360" spans="1:10" x14ac:dyDescent="0.25">
      <c r="A360" s="234" t="s">
        <v>2002</v>
      </c>
      <c r="B360" t="s">
        <v>2003</v>
      </c>
      <c r="C360" t="s">
        <v>2004</v>
      </c>
      <c r="D360" t="s">
        <v>2005</v>
      </c>
      <c r="E360" t="s">
        <v>793</v>
      </c>
      <c r="F360" t="s">
        <v>109</v>
      </c>
      <c r="G360" s="245" t="str" cm="1">
        <f t="array" ref="G360">IF(IFERROR(INDEX(LAM_II_SQFT, MATCH(Crosswalk_API!$A360, LAM_ORG_ID_LIST, 0)), 0) = 0, "No", "Yes")</f>
        <v>Yes</v>
      </c>
      <c r="H360" s="245" t="str">
        <f>IF(OR(G360="Not Applicable", IFERROR(INDEX('Landing Page and Navigation'!$F$31:$F$48, MATCH(C360, 'Landing Page and Navigation'!$A$31:$A$48, 0)), "No") = "No"), "No", "Yes")</f>
        <v>No</v>
      </c>
      <c r="I360" s="245" t="str">
        <f>_xlfn.TEXTJOIN(" - ", TRUE, CW_API_TABLE[[#This Row],[PWSID]],CW_API_TABLE[[#This Row],[PWS_NAME]])</f>
        <v>CA3310038 - RANCHO CALIFORNIA WATER DISTRICT</v>
      </c>
      <c r="J360" s="246" cm="1">
        <f t="array" ref="J360">IFERROR(SUMPRODUCT((PD_PWSID_LIST=Crosswalk_API!$C360)*(PD_SUM_DEL&gt;0)), 0)</f>
        <v>12</v>
      </c>
    </row>
    <row r="361" spans="1:10" x14ac:dyDescent="0.25">
      <c r="A361" s="234" t="s">
        <v>2006</v>
      </c>
      <c r="B361" t="s">
        <v>2007</v>
      </c>
      <c r="C361" t="s">
        <v>2008</v>
      </c>
      <c r="D361" t="s">
        <v>2009</v>
      </c>
      <c r="E361" t="s">
        <v>2010</v>
      </c>
      <c r="F361" t="s">
        <v>109</v>
      </c>
      <c r="G361" s="245" t="str" cm="1">
        <f t="array" ref="G361">IF(IFERROR(INDEX(LAM_II_SQFT, MATCH(Crosswalk_API!$A361, LAM_ORG_ID_LIST, 0)), 0) = 0, "No", "Yes")</f>
        <v>Yes</v>
      </c>
      <c r="H361" s="245" t="str">
        <f>IF(OR(G361="Not Applicable", IFERROR(INDEX('Landing Page and Navigation'!$F$31:$F$48, MATCH(C361, 'Landing Page and Navigation'!$A$31:$A$48, 0)), "No") = "No"), "No", "Yes")</f>
        <v>No</v>
      </c>
      <c r="I361" s="245" t="str">
        <f>_xlfn.TEXTJOIN(" - ", TRUE, CW_API_TABLE[[#This Row],[PWSID]],CW_API_TABLE[[#This Row],[PWS_NAME]])</f>
        <v>CA5210004 - CITY OF RED BLUFF</v>
      </c>
      <c r="J361" s="246" cm="1">
        <f t="array" ref="J361">IFERROR(SUMPRODUCT((PD_PWSID_LIST=Crosswalk_API!$C361)*(PD_SUM_DEL&gt;0)), 0)</f>
        <v>12</v>
      </c>
    </row>
    <row r="362" spans="1:10" x14ac:dyDescent="0.25">
      <c r="A362" s="234" t="s">
        <v>2011</v>
      </c>
      <c r="B362" t="s">
        <v>2012</v>
      </c>
      <c r="C362" t="s">
        <v>2013</v>
      </c>
      <c r="D362" t="s">
        <v>2014</v>
      </c>
      <c r="E362" t="s">
        <v>736</v>
      </c>
      <c r="F362" t="s">
        <v>109</v>
      </c>
      <c r="G362" s="245" t="str" cm="1">
        <f t="array" ref="G362">IF(IFERROR(INDEX(LAM_II_SQFT, MATCH(Crosswalk_API!$A362, LAM_ORG_ID_LIST, 0)), 0) = 0, "No", "Yes")</f>
        <v>Yes</v>
      </c>
      <c r="H362" s="245" t="str">
        <f>IF(OR(G362="Not Applicable", IFERROR(INDEX('Landing Page and Navigation'!$F$31:$F$48, MATCH(C362, 'Landing Page and Navigation'!$A$31:$A$48, 0)), "No") = "No"), "No", "Yes")</f>
        <v>No</v>
      </c>
      <c r="I362" s="245" t="str">
        <f>_xlfn.TEXTJOIN(" - ", TRUE, CW_API_TABLE[[#This Row],[PWSID]],CW_API_TABLE[[#This Row],[PWS_NAME]])</f>
        <v>CA4510005 - CITY OF REDDING</v>
      </c>
      <c r="J362" s="246" cm="1">
        <f t="array" ref="J362">IFERROR(SUMPRODUCT((PD_PWSID_LIST=Crosswalk_API!$C362)*(PD_SUM_DEL&gt;0)), 0)</f>
        <v>12</v>
      </c>
    </row>
    <row r="363" spans="1:10" x14ac:dyDescent="0.25">
      <c r="A363" s="234" t="s">
        <v>2015</v>
      </c>
      <c r="B363" t="s">
        <v>2016</v>
      </c>
      <c r="C363" t="s">
        <v>2017</v>
      </c>
      <c r="D363" t="s">
        <v>2018</v>
      </c>
      <c r="E363" t="s">
        <v>693</v>
      </c>
      <c r="F363" t="s">
        <v>109</v>
      </c>
      <c r="G363" s="245" t="str" cm="1">
        <f t="array" ref="G363">IF(IFERROR(INDEX(LAM_II_SQFT, MATCH(Crosswalk_API!$A363, LAM_ORG_ID_LIST, 0)), 0) = 0, "No", "Yes")</f>
        <v>Yes</v>
      </c>
      <c r="H363" s="245" t="str">
        <f>IF(OR(G363="Not Applicable", IFERROR(INDEX('Landing Page and Navigation'!$F$31:$F$48, MATCH(C363, 'Landing Page and Navigation'!$A$31:$A$48, 0)), "No") = "No"), "No", "Yes")</f>
        <v>No</v>
      </c>
      <c r="I363" s="245" t="str">
        <f>_xlfn.TEXTJOIN(" - ", TRUE, CW_API_TABLE[[#This Row],[PWSID]],CW_API_TABLE[[#This Row],[PWS_NAME]])</f>
        <v>CA3610037 - REDLANDS CITY MUD-WATER DIV</v>
      </c>
      <c r="J363" s="246" cm="1">
        <f t="array" ref="J363">IFERROR(SUMPRODUCT((PD_PWSID_LIST=Crosswalk_API!$C363)*(PD_SUM_DEL&gt;0)), 0)</f>
        <v>12</v>
      </c>
    </row>
    <row r="364" spans="1:10" x14ac:dyDescent="0.25">
      <c r="A364" s="234" t="s">
        <v>2019</v>
      </c>
      <c r="B364" t="s">
        <v>2020</v>
      </c>
      <c r="C364" t="s">
        <v>2021</v>
      </c>
      <c r="D364" t="s">
        <v>2022</v>
      </c>
      <c r="E364" t="s">
        <v>862</v>
      </c>
      <c r="F364" t="s">
        <v>109</v>
      </c>
      <c r="G364" s="245" t="str" cm="1">
        <f t="array" ref="G364">IF(IFERROR(INDEX(LAM_II_SQFT, MATCH(Crosswalk_API!$A364, LAM_ORG_ID_LIST, 0)), 0) = 0, "No", "Yes")</f>
        <v>Yes</v>
      </c>
      <c r="H364" s="245" t="str">
        <f>IF(OR(G364="Not Applicable", IFERROR(INDEX('Landing Page and Navigation'!$F$31:$F$48, MATCH(C364, 'Landing Page and Navigation'!$A$31:$A$48, 0)), "No") = "No"), "No", "Yes")</f>
        <v>No</v>
      </c>
      <c r="I364" s="245" t="str">
        <f>_xlfn.TEXTJOIN(" - ", TRUE, CW_API_TABLE[[#This Row],[PWSID]],CW_API_TABLE[[#This Row],[PWS_NAME]])</f>
        <v>CA4110022 - CITY OF REDWOOD CITY</v>
      </c>
      <c r="J364" s="246" cm="1">
        <f t="array" ref="J364">IFERROR(SUMPRODUCT((PD_PWSID_LIST=Crosswalk_API!$C364)*(PD_SUM_DEL&gt;0)), 0)</f>
        <v>12</v>
      </c>
    </row>
    <row r="365" spans="1:10" x14ac:dyDescent="0.25">
      <c r="A365" s="234" t="s">
        <v>2023</v>
      </c>
      <c r="B365" t="s">
        <v>2024</v>
      </c>
      <c r="C365" t="s">
        <v>2025</v>
      </c>
      <c r="D365" t="s">
        <v>2026</v>
      </c>
      <c r="E365" t="s">
        <v>788</v>
      </c>
      <c r="F365" t="s">
        <v>109</v>
      </c>
      <c r="G365" s="245" t="str" cm="1">
        <f t="array" ref="G365">IF(IFERROR(INDEX(LAM_II_SQFT, MATCH(Crosswalk_API!$A365, LAM_ORG_ID_LIST, 0)), 0) = 0, "No", "Yes")</f>
        <v>Yes</v>
      </c>
      <c r="H365" s="245" t="str">
        <f>IF(OR(G365="Not Applicable", IFERROR(INDEX('Landing Page and Navigation'!$F$31:$F$48, MATCH(C365, 'Landing Page and Navigation'!$A$31:$A$48, 0)), "No") = "No"), "No", "Yes")</f>
        <v>No</v>
      </c>
      <c r="I365" s="245" t="str">
        <f>_xlfn.TEXTJOIN(" - ", TRUE, CW_API_TABLE[[#This Row],[PWSID]],CW_API_TABLE[[#This Row],[PWS_NAME]])</f>
        <v>CA1010027 - REEDLEY, CITY OF</v>
      </c>
      <c r="J365" s="246" cm="1">
        <f t="array" ref="J365">IFERROR(SUMPRODUCT((PD_PWSID_LIST=Crosswalk_API!$C365)*(PD_SUM_DEL&gt;0)), 0)</f>
        <v>12</v>
      </c>
    </row>
    <row r="366" spans="1:10" x14ac:dyDescent="0.25">
      <c r="A366" s="234" t="s">
        <v>2027</v>
      </c>
      <c r="B366" t="s">
        <v>2028</v>
      </c>
      <c r="C366" t="s">
        <v>2029</v>
      </c>
      <c r="D366" t="s">
        <v>2030</v>
      </c>
      <c r="E366" t="s">
        <v>693</v>
      </c>
      <c r="F366" t="s">
        <v>109</v>
      </c>
      <c r="G366" s="245" t="str" cm="1">
        <f t="array" ref="G366">IF(IFERROR(INDEX(LAM_II_SQFT, MATCH(Crosswalk_API!$A366, LAM_ORG_ID_LIST, 0)), 0) = 0, "No", "Yes")</f>
        <v>Yes</v>
      </c>
      <c r="H366" s="245" t="str">
        <f>IF(OR(G366="Not Applicable", IFERROR(INDEX('Landing Page and Navigation'!$F$31:$F$48, MATCH(C366, 'Landing Page and Navigation'!$A$31:$A$48, 0)), "No") = "No"), "No", "Yes")</f>
        <v>No</v>
      </c>
      <c r="I366" s="245" t="str">
        <f>_xlfn.TEXTJOIN(" - ", TRUE, CW_API_TABLE[[#This Row],[PWSID]],CW_API_TABLE[[#This Row],[PWS_NAME]])</f>
        <v>CA3610038 - RIALTO, CITY OF</v>
      </c>
      <c r="J366" s="246" cm="1">
        <f t="array" ref="J366">IFERROR(SUMPRODUCT((PD_PWSID_LIST=Crosswalk_API!$C366)*(PD_SUM_DEL&gt;0)), 0)</f>
        <v>12</v>
      </c>
    </row>
    <row r="367" spans="1:10" x14ac:dyDescent="0.25">
      <c r="A367" s="234" t="s">
        <v>2031</v>
      </c>
      <c r="B367" t="s">
        <v>2032</v>
      </c>
      <c r="C367" t="s">
        <v>2033</v>
      </c>
      <c r="D367" t="s">
        <v>2034</v>
      </c>
      <c r="E367" t="s">
        <v>937</v>
      </c>
      <c r="F367" t="s">
        <v>109</v>
      </c>
      <c r="G367" s="245" t="str" cm="1">
        <f t="array" ref="G367">IF(IFERROR(INDEX(LAM_II_SQFT, MATCH(Crosswalk_API!$A367, LAM_ORG_ID_LIST, 0)), 0) = 0, "No", "Yes")</f>
        <v>Yes</v>
      </c>
      <c r="H367" s="245" t="str">
        <f>IF(OR(G367="Not Applicable", IFERROR(INDEX('Landing Page and Navigation'!$F$31:$F$48, MATCH(C367, 'Landing Page and Navigation'!$A$31:$A$48, 0)), "No") = "No"), "No", "Yes")</f>
        <v>No</v>
      </c>
      <c r="I367" s="245" t="str">
        <f>_xlfn.TEXTJOIN(" - ", TRUE, CW_API_TABLE[[#This Row],[PWSID]],CW_API_TABLE[[#This Row],[PWS_NAME]])</f>
        <v>CA3710018 - RINCON DEL DIABLO MWD (ID-1)</v>
      </c>
      <c r="J367" s="246" cm="1">
        <f t="array" ref="J367">IFERROR(SUMPRODUCT((PD_PWSID_LIST=Crosswalk_API!$C367)*(PD_SUM_DEL&gt;0)), 0)</f>
        <v>12</v>
      </c>
    </row>
    <row r="368" spans="1:10" x14ac:dyDescent="0.25">
      <c r="A368" s="234" t="s">
        <v>2031</v>
      </c>
      <c r="B368" t="s">
        <v>2032</v>
      </c>
      <c r="C368" t="s">
        <v>2035</v>
      </c>
      <c r="D368" t="s">
        <v>2036</v>
      </c>
      <c r="E368" t="s">
        <v>937</v>
      </c>
      <c r="F368" t="s">
        <v>109</v>
      </c>
      <c r="G368" s="245" t="str" cm="1">
        <f t="array" ref="G368">IF(IFERROR(INDEX(LAM_II_SQFT, MATCH(Crosswalk_API!$A368, LAM_ORG_ID_LIST, 0)), 0) = 0, "No", "Yes")</f>
        <v>Yes</v>
      </c>
      <c r="H368" s="245" t="str">
        <f>IF(OR(G368="Not Applicable", IFERROR(INDEX('Landing Page and Navigation'!$F$31:$F$48, MATCH(C368, 'Landing Page and Navigation'!$A$31:$A$48, 0)), "No") = "No"), "No", "Yes")</f>
        <v>No</v>
      </c>
      <c r="I368" s="245" t="str">
        <f>_xlfn.TEXTJOIN(" - ", TRUE, CW_API_TABLE[[#This Row],[PWSID]],CW_API_TABLE[[#This Row],[PWS_NAME]])</f>
        <v>CA3710044 - RINCON DEL DIABLO MWD (ID-A)</v>
      </c>
      <c r="J368" s="246" cm="1">
        <f t="array" ref="J368">IFERROR(SUMPRODUCT((PD_PWSID_LIST=Crosswalk_API!$C368)*(PD_SUM_DEL&gt;0)), 0)</f>
        <v>12</v>
      </c>
    </row>
    <row r="369" spans="1:10" x14ac:dyDescent="0.25">
      <c r="A369" s="234" t="s">
        <v>2037</v>
      </c>
      <c r="B369" t="s">
        <v>2038</v>
      </c>
      <c r="C369" t="s">
        <v>2039</v>
      </c>
      <c r="D369" t="s">
        <v>2040</v>
      </c>
      <c r="E369" t="s">
        <v>913</v>
      </c>
      <c r="F369" t="s">
        <v>109</v>
      </c>
      <c r="G369" s="245" t="str" cm="1">
        <f t="array" ref="G369">IF(IFERROR(INDEX(LAM_II_SQFT, MATCH(Crosswalk_API!$A369, LAM_ORG_ID_LIST, 0)), 0) = 0, "No", "Yes")</f>
        <v>Yes</v>
      </c>
      <c r="H369" s="245" t="str">
        <f>IF(OR(G369="Not Applicable", IFERROR(INDEX('Landing Page and Navigation'!$F$31:$F$48, MATCH(C369, 'Landing Page and Navigation'!$A$31:$A$48, 0)), "No") = "No"), "No", "Yes")</f>
        <v>No</v>
      </c>
      <c r="I369" s="245" t="str">
        <f>_xlfn.TEXTJOIN(" - ", TRUE, CW_API_TABLE[[#This Row],[PWSID]],CW_API_TABLE[[#This Row],[PWS_NAME]])</f>
        <v>CA3410018 - RIO LINDA/ELVERTA COMMUNITY WATER DIST</v>
      </c>
      <c r="J369" s="246" cm="1">
        <f t="array" ref="J369">IFERROR(SUMPRODUCT((PD_PWSID_LIST=Crosswalk_API!$C369)*(PD_SUM_DEL&gt;0)), 0)</f>
        <v>6</v>
      </c>
    </row>
    <row r="370" spans="1:10" x14ac:dyDescent="0.25">
      <c r="A370" s="234" t="s">
        <v>2041</v>
      </c>
      <c r="B370" t="s">
        <v>2042</v>
      </c>
      <c r="C370" t="s">
        <v>2043</v>
      </c>
      <c r="D370" t="s">
        <v>2044</v>
      </c>
      <c r="E370" t="s">
        <v>814</v>
      </c>
      <c r="F370" t="s">
        <v>109</v>
      </c>
      <c r="G370" s="245" t="str" cm="1">
        <f t="array" ref="G370">IF(IFERROR(INDEX(LAM_II_SQFT, MATCH(Crosswalk_API!$A370, LAM_ORG_ID_LIST, 0)), 0) = 0, "No", "Yes")</f>
        <v>Yes</v>
      </c>
      <c r="H370" s="245" t="str">
        <f>IF(OR(G370="Not Applicable", IFERROR(INDEX('Landing Page and Navigation'!$F$31:$F$48, MATCH(C370, 'Landing Page and Navigation'!$A$31:$A$48, 0)), "No") = "No"), "No", "Yes")</f>
        <v>No</v>
      </c>
      <c r="I370" s="245" t="str">
        <f>_xlfn.TEXTJOIN(" - ", TRUE, CW_API_TABLE[[#This Row],[PWSID]],CW_API_TABLE[[#This Row],[PWS_NAME]])</f>
        <v>CA4810004 - CITY OF RIO VISTA</v>
      </c>
      <c r="J370" s="246" cm="1">
        <f t="array" ref="J370">IFERROR(SUMPRODUCT((PD_PWSID_LIST=Crosswalk_API!$C370)*(PD_SUM_DEL&gt;0)), 0)</f>
        <v>12</v>
      </c>
    </row>
    <row r="371" spans="1:10" x14ac:dyDescent="0.25">
      <c r="A371" s="234" t="s">
        <v>2045</v>
      </c>
      <c r="B371" t="s">
        <v>2046</v>
      </c>
      <c r="C371" t="s">
        <v>2047</v>
      </c>
      <c r="D371" t="s">
        <v>2048</v>
      </c>
      <c r="E371" t="s">
        <v>1051</v>
      </c>
      <c r="F371" t="s">
        <v>109</v>
      </c>
      <c r="G371" s="245" t="str" cm="1">
        <f t="array" ref="G371">IF(IFERROR(INDEX(LAM_II_SQFT, MATCH(Crosswalk_API!$A371, LAM_ORG_ID_LIST, 0)), 0) = 0, "No", "Yes")</f>
        <v>Yes</v>
      </c>
      <c r="H371" s="245" t="str">
        <f>IF(OR(G371="Not Applicable", IFERROR(INDEX('Landing Page and Navigation'!$F$31:$F$48, MATCH(C371, 'Landing Page and Navigation'!$A$31:$A$48, 0)), "No") = "No"), "No", "Yes")</f>
        <v>No</v>
      </c>
      <c r="I371" s="245" t="str">
        <f>_xlfn.TEXTJOIN(" - ", TRUE, CW_API_TABLE[[#This Row],[PWSID]],CW_API_TABLE[[#This Row],[PWS_NAME]])</f>
        <v>CA3910007 - RIPON, CITY OF</v>
      </c>
      <c r="J371" s="246" cm="1">
        <f t="array" ref="J371">IFERROR(SUMPRODUCT((PD_PWSID_LIST=Crosswalk_API!$C371)*(PD_SUM_DEL&gt;0)), 0)</f>
        <v>12</v>
      </c>
    </row>
    <row r="372" spans="1:10" x14ac:dyDescent="0.25">
      <c r="A372" s="234" t="s">
        <v>2049</v>
      </c>
      <c r="B372" t="s">
        <v>2050</v>
      </c>
      <c r="C372" t="s">
        <v>2051</v>
      </c>
      <c r="D372" t="s">
        <v>2052</v>
      </c>
      <c r="E372" t="s">
        <v>1100</v>
      </c>
      <c r="F372" t="s">
        <v>109</v>
      </c>
      <c r="G372" s="245" t="str" cm="1">
        <f t="array" ref="G372">IF(IFERROR(INDEX(LAM_II_SQFT, MATCH(Crosswalk_API!$A372, LAM_ORG_ID_LIST, 0)), 0) = 0, "No", "Yes")</f>
        <v>Yes</v>
      </c>
      <c r="H372" s="245" t="str">
        <f>IF(OR(G372="Not Applicable", IFERROR(INDEX('Landing Page and Navigation'!$F$31:$F$48, MATCH(C372, 'Landing Page and Navigation'!$A$31:$A$48, 0)), "No") = "No"), "No", "Yes")</f>
        <v>No</v>
      </c>
      <c r="I372" s="245" t="str">
        <f>_xlfn.TEXTJOIN(" - ", TRUE, CW_API_TABLE[[#This Row],[PWSID]],CW_API_TABLE[[#This Row],[PWS_NAME]])</f>
        <v>CA5010018 - RIVERBANK, CITY OF</v>
      </c>
      <c r="J372" s="246" cm="1">
        <f t="array" ref="J372">IFERROR(SUMPRODUCT((PD_PWSID_LIST=Crosswalk_API!$C372)*(PD_SUM_DEL&gt;0)), 0)</f>
        <v>12</v>
      </c>
    </row>
    <row r="373" spans="1:10" x14ac:dyDescent="0.25">
      <c r="A373" s="234" t="s">
        <v>2053</v>
      </c>
      <c r="B373" t="s">
        <v>2054</v>
      </c>
      <c r="C373" t="s">
        <v>2055</v>
      </c>
      <c r="D373" t="s">
        <v>2056</v>
      </c>
      <c r="E373" t="s">
        <v>793</v>
      </c>
      <c r="F373" t="s">
        <v>109</v>
      </c>
      <c r="G373" s="245" t="str" cm="1">
        <f t="array" ref="G373">IF(IFERROR(INDEX(LAM_II_SQFT, MATCH(Crosswalk_API!$A373, LAM_ORG_ID_LIST, 0)), 0) = 0, "No", "Yes")</f>
        <v>Yes</v>
      </c>
      <c r="H373" s="245" t="str">
        <f>IF(OR(G373="Not Applicable", IFERROR(INDEX('Landing Page and Navigation'!$F$31:$F$48, MATCH(C373, 'Landing Page and Navigation'!$A$31:$A$48, 0)), "No") = "No"), "No", "Yes")</f>
        <v>No</v>
      </c>
      <c r="I373" s="245" t="str">
        <f>_xlfn.TEXTJOIN(" - ", TRUE, CW_API_TABLE[[#This Row],[PWSID]],CW_API_TABLE[[#This Row],[PWS_NAME]])</f>
        <v>CA3310031 - RIVERSIDE, CITY OF</v>
      </c>
      <c r="J373" s="246" cm="1">
        <f t="array" ref="J373">IFERROR(SUMPRODUCT((PD_PWSID_LIST=Crosswalk_API!$C373)*(PD_SUM_DEL&gt;0)), 0)</f>
        <v>12</v>
      </c>
    </row>
    <row r="374" spans="1:10" x14ac:dyDescent="0.25">
      <c r="A374" s="234" t="s">
        <v>2057</v>
      </c>
      <c r="B374" t="s">
        <v>2058</v>
      </c>
      <c r="C374" t="s">
        <v>2059</v>
      </c>
      <c r="D374" t="s">
        <v>2060</v>
      </c>
      <c r="E374" t="s">
        <v>693</v>
      </c>
      <c r="F374" t="s">
        <v>109</v>
      </c>
      <c r="G374" s="245" t="str" cm="1">
        <f t="array" ref="G374">IF(IFERROR(INDEX(LAM_II_SQFT, MATCH(Crosswalk_API!$A374, LAM_ORG_ID_LIST, 0)), 0) = 0, "No", "Yes")</f>
        <v>Yes</v>
      </c>
      <c r="H374" s="245" t="str">
        <f>IF(OR(G374="Not Applicable", IFERROR(INDEX('Landing Page and Navigation'!$F$31:$F$48, MATCH(C374, 'Landing Page and Navigation'!$A$31:$A$48, 0)), "No") = "No"), "No", "Yes")</f>
        <v>No</v>
      </c>
      <c r="I374" s="245" t="str">
        <f>_xlfn.TEXTJOIN(" - ", TRUE, CW_API_TABLE[[#This Row],[PWSID]],CW_API_TABLE[[#This Row],[PWS_NAME]])</f>
        <v>CA3610057 - RIVERSIDE HIGHLAND WATER COMPANY</v>
      </c>
      <c r="J374" s="246" cm="1">
        <f t="array" ref="J374">IFERROR(SUMPRODUCT((PD_PWSID_LIST=Crosswalk_API!$C374)*(PD_SUM_DEL&gt;0)), 0)</f>
        <v>12</v>
      </c>
    </row>
    <row r="375" spans="1:10" x14ac:dyDescent="0.25">
      <c r="A375" s="234" t="s">
        <v>2061</v>
      </c>
      <c r="B375" t="s">
        <v>2062</v>
      </c>
      <c r="C375" t="s">
        <v>2063</v>
      </c>
      <c r="D375" t="s">
        <v>2064</v>
      </c>
      <c r="E375" t="s">
        <v>1121</v>
      </c>
      <c r="F375" t="s">
        <v>109</v>
      </c>
      <c r="G375" s="245" t="str" cm="1">
        <f t="array" ref="G375">IF(IFERROR(INDEX(LAM_II_SQFT, MATCH(Crosswalk_API!$A375, LAM_ORG_ID_LIST, 0)), 0) = 0, "No", "Yes")</f>
        <v>Yes</v>
      </c>
      <c r="H375" s="245" t="str">
        <f>IF(OR(G375="Not Applicable", IFERROR(INDEX('Landing Page and Navigation'!$F$31:$F$48, MATCH(C375, 'Landing Page and Navigation'!$A$31:$A$48, 0)), "No") = "No"), "No", "Yes")</f>
        <v>No</v>
      </c>
      <c r="I375" s="245" t="str">
        <f>_xlfn.TEXTJOIN(" - ", TRUE, CW_API_TABLE[[#This Row],[PWSID]],CW_API_TABLE[[#This Row],[PWS_NAME]])</f>
        <v>CA4910014 - ROHNERT PARK, CITY OF</v>
      </c>
      <c r="J375" s="246" cm="1">
        <f t="array" ref="J375">IFERROR(SUMPRODUCT((PD_PWSID_LIST=Crosswalk_API!$C375)*(PD_SUM_DEL&gt;0)), 0)</f>
        <v>12</v>
      </c>
    </row>
    <row r="376" spans="1:10" x14ac:dyDescent="0.25">
      <c r="A376" s="234" t="s">
        <v>2065</v>
      </c>
      <c r="B376" t="s">
        <v>2066</v>
      </c>
      <c r="C376" t="s">
        <v>2067</v>
      </c>
      <c r="D376" t="s">
        <v>2068</v>
      </c>
      <c r="E376" t="s">
        <v>766</v>
      </c>
      <c r="F376" t="s">
        <v>109</v>
      </c>
      <c r="G376" s="245" t="str" cm="1">
        <f t="array" ref="G376">IF(IFERROR(INDEX(LAM_II_SQFT, MATCH(Crosswalk_API!$A376, LAM_ORG_ID_LIST, 0)), 0) = 0, "No", "Yes")</f>
        <v>Yes</v>
      </c>
      <c r="H376" s="245" t="str">
        <f>IF(OR(G376="Not Applicable", IFERROR(INDEX('Landing Page and Navigation'!$F$31:$F$48, MATCH(C376, 'Landing Page and Navigation'!$A$31:$A$48, 0)), "No") = "No"), "No", "Yes")</f>
        <v>No</v>
      </c>
      <c r="I376" s="245" t="str">
        <f>_xlfn.TEXTJOIN(" - ", TRUE, CW_API_TABLE[[#This Row],[PWSID]],CW_API_TABLE[[#This Row],[PWS_NAME]])</f>
        <v>CA1510018 - ROSAMOND CSD</v>
      </c>
      <c r="J376" s="246" cm="1">
        <f t="array" ref="J376">IFERROR(SUMPRODUCT((PD_PWSID_LIST=Crosswalk_API!$C376)*(PD_SUM_DEL&gt;0)), 0)</f>
        <v>12</v>
      </c>
    </row>
    <row r="377" spans="1:10" x14ac:dyDescent="0.25">
      <c r="A377" s="234" t="s">
        <v>2069</v>
      </c>
      <c r="B377" t="s">
        <v>2070</v>
      </c>
      <c r="C377" t="s">
        <v>2071</v>
      </c>
      <c r="D377" t="s">
        <v>2072</v>
      </c>
      <c r="E377" t="s">
        <v>910</v>
      </c>
      <c r="F377" t="s">
        <v>109</v>
      </c>
      <c r="G377" s="245" t="str" cm="1">
        <f t="array" ref="G377">IF(IFERROR(INDEX(LAM_II_SQFT, MATCH(Crosswalk_API!$A377, LAM_ORG_ID_LIST, 0)), 0) = 0, "No", "Yes")</f>
        <v>Yes</v>
      </c>
      <c r="H377" s="245" t="str">
        <f>IF(OR(G377="Not Applicable", IFERROR(INDEX('Landing Page and Navigation'!$F$31:$F$48, MATCH(C377, 'Landing Page and Navigation'!$A$31:$A$48, 0)), "No") = "No"), "No", "Yes")</f>
        <v>No</v>
      </c>
      <c r="I377" s="245" t="str">
        <f>_xlfn.TEXTJOIN(" - ", TRUE, CW_API_TABLE[[#This Row],[PWSID]],CW_API_TABLE[[#This Row],[PWS_NAME]])</f>
        <v>CA3110008 - CITY OF ROSEVILLE</v>
      </c>
      <c r="J377" s="246" cm="1">
        <f t="array" ref="J377">IFERROR(SUMPRODUCT((PD_PWSID_LIST=Crosswalk_API!$C377)*(PD_SUM_DEL&gt;0)), 0)</f>
        <v>12</v>
      </c>
    </row>
    <row r="378" spans="1:10" x14ac:dyDescent="0.25">
      <c r="A378" s="234" t="s">
        <v>2073</v>
      </c>
      <c r="B378" t="s">
        <v>2074</v>
      </c>
      <c r="C378" t="s">
        <v>2075</v>
      </c>
      <c r="D378" t="s">
        <v>2076</v>
      </c>
      <c r="E378" t="s">
        <v>708</v>
      </c>
      <c r="F378" t="s">
        <v>109</v>
      </c>
      <c r="G378" s="245" t="str" cm="1">
        <f t="array" ref="G378">IF(IFERROR(INDEX(LAM_II_SQFT, MATCH(Crosswalk_API!$A378, LAM_ORG_ID_LIST, 0)), 0) = 0, "No", "Yes")</f>
        <v>Yes</v>
      </c>
      <c r="H378" s="245" t="str">
        <f>IF(OR(G378="Not Applicable", IFERROR(INDEX('Landing Page and Navigation'!$F$31:$F$48, MATCH(C378, 'Landing Page and Navigation'!$A$31:$A$48, 0)), "No") = "No"), "No", "Yes")</f>
        <v>No</v>
      </c>
      <c r="I378" s="245" t="str">
        <f>_xlfn.TEXTJOIN(" - ", TRUE, CW_API_TABLE[[#This Row],[PWSID]],CW_API_TABLE[[#This Row],[PWS_NAME]])</f>
        <v>CA1910194 - ROWLAND WATER DISTRICT</v>
      </c>
      <c r="J378" s="246" cm="1">
        <f t="array" ref="J378">IFERROR(SUMPRODUCT((PD_PWSID_LIST=Crosswalk_API!$C378)*(PD_SUM_DEL&gt;0)), 0)</f>
        <v>12</v>
      </c>
    </row>
    <row r="379" spans="1:10" x14ac:dyDescent="0.25">
      <c r="A379" s="234" t="s">
        <v>2077</v>
      </c>
      <c r="B379" t="s">
        <v>2078</v>
      </c>
      <c r="C379" t="s">
        <v>2079</v>
      </c>
      <c r="D379" t="s">
        <v>2080</v>
      </c>
      <c r="E379" t="s">
        <v>793</v>
      </c>
      <c r="F379" t="s">
        <v>109</v>
      </c>
      <c r="G379" s="245" t="str" cm="1">
        <f t="array" ref="G379">IF(IFERROR(INDEX(LAM_II_SQFT, MATCH(Crosswalk_API!$A379, LAM_ORG_ID_LIST, 0)), 0) = 0, "No", "Yes")</f>
        <v>Yes</v>
      </c>
      <c r="H379" s="245" t="str">
        <f>IF(OR(G379="Not Applicable", IFERROR(INDEX('Landing Page and Navigation'!$F$31:$F$48, MATCH(C379, 'Landing Page and Navigation'!$A$31:$A$48, 0)), "No") = "No"), "No", "Yes")</f>
        <v>No</v>
      </c>
      <c r="I379" s="245" t="str">
        <f>_xlfn.TEXTJOIN(" - ", TRUE, CW_API_TABLE[[#This Row],[PWSID]],CW_API_TABLE[[#This Row],[PWS_NAME]])</f>
        <v>CA3310044 - RUBIDOUX COMMUNITY SD</v>
      </c>
      <c r="J379" s="246" cm="1">
        <f t="array" ref="J379">IFERROR(SUMPRODUCT((PD_PWSID_LIST=Crosswalk_API!$C379)*(PD_SUM_DEL&gt;0)), 0)</f>
        <v>12</v>
      </c>
    </row>
    <row r="380" spans="1:10" x14ac:dyDescent="0.25">
      <c r="A380" s="234" t="s">
        <v>2081</v>
      </c>
      <c r="B380" t="s">
        <v>2082</v>
      </c>
      <c r="C380" t="s">
        <v>2083</v>
      </c>
      <c r="D380" t="s">
        <v>2084</v>
      </c>
      <c r="E380" t="s">
        <v>708</v>
      </c>
      <c r="F380" t="s">
        <v>109</v>
      </c>
      <c r="G380" s="245" t="str" cm="1">
        <f t="array" ref="G380">IF(IFERROR(INDEX(LAM_II_SQFT, MATCH(Crosswalk_API!$A380, LAM_ORG_ID_LIST, 0)), 0) = 0, "No", "Yes")</f>
        <v>Yes</v>
      </c>
      <c r="H380" s="245" t="str">
        <f>IF(OR(G380="Not Applicable", IFERROR(INDEX('Landing Page and Navigation'!$F$31:$F$48, MATCH(C380, 'Landing Page and Navigation'!$A$31:$A$48, 0)), "No") = "No"), "No", "Yes")</f>
        <v>No</v>
      </c>
      <c r="I380" s="245" t="str">
        <f>_xlfn.TEXTJOIN(" - ", TRUE, CW_API_TABLE[[#This Row],[PWSID]],CW_API_TABLE[[#This Row],[PWS_NAME]])</f>
        <v>CA1910140 - RUBIO CANON LAND &amp; WATER ASSOCIATION</v>
      </c>
      <c r="J380" s="246" cm="1">
        <f t="array" ref="J380">IFERROR(SUMPRODUCT((PD_PWSID_LIST=Crosswalk_API!$C380)*(PD_SUM_DEL&gt;0)), 0)</f>
        <v>12</v>
      </c>
    </row>
    <row r="381" spans="1:10" x14ac:dyDescent="0.25">
      <c r="A381" s="234" t="s">
        <v>2085</v>
      </c>
      <c r="B381" t="s">
        <v>2086</v>
      </c>
      <c r="C381" t="s">
        <v>2087</v>
      </c>
      <c r="D381" t="s">
        <v>2088</v>
      </c>
      <c r="E381" t="s">
        <v>693</v>
      </c>
      <c r="F381" t="s">
        <v>109</v>
      </c>
      <c r="G381" s="245" t="str" cm="1">
        <f t="array" ref="G381">IF(IFERROR(INDEX(LAM_II_SQFT, MATCH(Crosswalk_API!$A381, LAM_ORG_ID_LIST, 0)), 0) = 0, "No", "Yes")</f>
        <v>No</v>
      </c>
      <c r="H381" s="245" t="str">
        <f>IF(OR(G381="Not Applicable", IFERROR(INDEX('Landing Page and Navigation'!$F$31:$F$48, MATCH(C381, 'Landing Page and Navigation'!$A$31:$A$48, 0)), "No") = "No"), "No", "Yes")</f>
        <v>No</v>
      </c>
      <c r="I381" s="245" t="str">
        <f>_xlfn.TEXTJOIN(" - ", TRUE, CW_API_TABLE[[#This Row],[PWSID]],CW_API_TABLE[[#This Row],[PWS_NAME]])</f>
        <v>CA3610062 - RUNNING SPRINGS WATER DISTRICT</v>
      </c>
      <c r="J381" s="246" cm="1">
        <f t="array" ref="J381">IFERROR(SUMPRODUCT((PD_PWSID_LIST=Crosswalk_API!$C381)*(PD_SUM_DEL&gt;0)), 0)</f>
        <v>12</v>
      </c>
    </row>
    <row r="382" spans="1:10" x14ac:dyDescent="0.25">
      <c r="A382" s="234" t="s">
        <v>2089</v>
      </c>
      <c r="B382" t="s">
        <v>2090</v>
      </c>
      <c r="C382" t="s">
        <v>2091</v>
      </c>
      <c r="D382" t="s">
        <v>2092</v>
      </c>
      <c r="E382" t="s">
        <v>913</v>
      </c>
      <c r="F382" t="s">
        <v>109</v>
      </c>
      <c r="G382" s="245" t="str" cm="1">
        <f t="array" ref="G382">IF(IFERROR(INDEX(LAM_II_SQFT, MATCH(Crosswalk_API!$A382, LAM_ORG_ID_LIST, 0)), 0) = 0, "No", "Yes")</f>
        <v>Yes</v>
      </c>
      <c r="H382" s="245" t="str">
        <f>IF(OR(G382="Not Applicable", IFERROR(INDEX('Landing Page and Navigation'!$F$31:$F$48, MATCH(C382, 'Landing Page and Navigation'!$A$31:$A$48, 0)), "No") = "No"), "No", "Yes")</f>
        <v>No</v>
      </c>
      <c r="I382" s="245" t="str">
        <f>_xlfn.TEXTJOIN(" - ", TRUE, CW_API_TABLE[[#This Row],[PWSID]],CW_API_TABLE[[#This Row],[PWS_NAME]])</f>
        <v>CA3410020 - CITY OF SACRAMENTO MAIN</v>
      </c>
      <c r="J382" s="246" cm="1">
        <f t="array" ref="J382">IFERROR(SUMPRODUCT((PD_PWSID_LIST=Crosswalk_API!$C382)*(PD_SUM_DEL&gt;0)), 0)</f>
        <v>12</v>
      </c>
    </row>
    <row r="383" spans="1:10" x14ac:dyDescent="0.25">
      <c r="A383" s="234" t="s">
        <v>2093</v>
      </c>
      <c r="B383" t="s">
        <v>2094</v>
      </c>
      <c r="C383" t="s">
        <v>2095</v>
      </c>
      <c r="D383" t="s">
        <v>2096</v>
      </c>
      <c r="E383" t="s">
        <v>913</v>
      </c>
      <c r="F383" t="s">
        <v>109</v>
      </c>
      <c r="G383" s="245" t="str" cm="1">
        <f t="array" ref="G383">IF(IFERROR(INDEX(LAM_II_SQFT, MATCH(Crosswalk_API!$A383, LAM_ORG_ID_LIST, 0)), 0) = 0, "No", "Yes")</f>
        <v>Yes</v>
      </c>
      <c r="H383" s="245" t="str">
        <f>IF(OR(G383="Not Applicable", IFERROR(INDEX('Landing Page and Navigation'!$F$31:$F$48, MATCH(C383, 'Landing Page and Navigation'!$A$31:$A$48, 0)), "No") = "No"), "No", "Yes")</f>
        <v>No</v>
      </c>
      <c r="I383" s="245" t="str">
        <f>_xlfn.TEXTJOIN(" - ", TRUE, CW_API_TABLE[[#This Row],[PWSID]],CW_API_TABLE[[#This Row],[PWS_NAME]])</f>
        <v>CA3400101 - HOOD WATER MAINTENCE DIST [SWS]</v>
      </c>
      <c r="J383" s="246" cm="1">
        <f t="array" ref="J383">IFERROR(SUMPRODUCT((PD_PWSID_LIST=Crosswalk_API!$C383)*(PD_SUM_DEL&gt;0)), 0)</f>
        <v>12</v>
      </c>
    </row>
    <row r="384" spans="1:10" x14ac:dyDescent="0.25">
      <c r="A384" s="234" t="s">
        <v>2093</v>
      </c>
      <c r="B384" t="s">
        <v>2094</v>
      </c>
      <c r="C384" t="s">
        <v>2097</v>
      </c>
      <c r="D384" t="s">
        <v>2098</v>
      </c>
      <c r="E384" t="s">
        <v>913</v>
      </c>
      <c r="F384" t="s">
        <v>109</v>
      </c>
      <c r="G384" s="245" t="str" cm="1">
        <f t="array" ref="G384">IF(IFERROR(INDEX(LAM_II_SQFT, MATCH(Crosswalk_API!$A384, LAM_ORG_ID_LIST, 0)), 0) = 0, "No", "Yes")</f>
        <v>Yes</v>
      </c>
      <c r="H384" s="245" t="str">
        <f>IF(OR(G384="Not Applicable", IFERROR(INDEX('Landing Page and Navigation'!$F$31:$F$48, MATCH(C384, 'Landing Page and Navigation'!$A$31:$A$48, 0)), "No") = "No"), "No", "Yes")</f>
        <v>No</v>
      </c>
      <c r="I384" s="245" t="str">
        <f>_xlfn.TEXTJOIN(" - ", TRUE, CW_API_TABLE[[#This Row],[PWSID]],CW_API_TABLE[[#This Row],[PWS_NAME]])</f>
        <v>CA3400106 - EAST WALNUT GROVE [SWS]</v>
      </c>
      <c r="J384" s="246" cm="1">
        <f t="array" ref="J384">IFERROR(SUMPRODUCT((PD_PWSID_LIST=Crosswalk_API!$C384)*(PD_SUM_DEL&gt;0)), 0)</f>
        <v>12</v>
      </c>
    </row>
    <row r="385" spans="1:10" x14ac:dyDescent="0.25">
      <c r="A385" s="234" t="s">
        <v>2093</v>
      </c>
      <c r="B385" t="s">
        <v>2094</v>
      </c>
      <c r="C385" t="s">
        <v>2099</v>
      </c>
      <c r="D385" t="s">
        <v>2100</v>
      </c>
      <c r="E385" t="s">
        <v>913</v>
      </c>
      <c r="F385" t="s">
        <v>109</v>
      </c>
      <c r="G385" s="245" t="str" cm="1">
        <f t="array" ref="G385">IF(IFERROR(INDEX(LAM_II_SQFT, MATCH(Crosswalk_API!$A385, LAM_ORG_ID_LIST, 0)), 0) = 0, "No", "Yes")</f>
        <v>Yes</v>
      </c>
      <c r="H385" s="245" t="str">
        <f>IF(OR(G385="Not Applicable", IFERROR(INDEX('Landing Page and Navigation'!$F$31:$F$48, MATCH(C385, 'Landing Page and Navigation'!$A$31:$A$48, 0)), "No") = "No"), "No", "Yes")</f>
        <v>No</v>
      </c>
      <c r="I385" s="245" t="str">
        <f>_xlfn.TEXTJOIN(" - ", TRUE, CW_API_TABLE[[#This Row],[PWSID]],CW_API_TABLE[[#This Row],[PWS_NAME]])</f>
        <v>CA3400156 - SOUTHWEST TRACT W M D [SWS]</v>
      </c>
      <c r="J385" s="246" cm="1">
        <f t="array" ref="J385">IFERROR(SUMPRODUCT((PD_PWSID_LIST=Crosswalk_API!$C385)*(PD_SUM_DEL&gt;0)), 0)</f>
        <v>12</v>
      </c>
    </row>
    <row r="386" spans="1:10" x14ac:dyDescent="0.25">
      <c r="A386" s="234" t="s">
        <v>2093</v>
      </c>
      <c r="B386" t="s">
        <v>2094</v>
      </c>
      <c r="C386" t="s">
        <v>2101</v>
      </c>
      <c r="D386" t="s">
        <v>2102</v>
      </c>
      <c r="E386" t="s">
        <v>913</v>
      </c>
      <c r="F386" t="s">
        <v>109</v>
      </c>
      <c r="G386" s="245" t="str" cm="1">
        <f t="array" ref="G386">IF(IFERROR(INDEX(LAM_II_SQFT, MATCH(Crosswalk_API!$A386, LAM_ORG_ID_LIST, 0)), 0) = 0, "No", "Yes")</f>
        <v>Yes</v>
      </c>
      <c r="H386" s="245" t="str">
        <f>IF(OR(G386="Not Applicable", IFERROR(INDEX('Landing Page and Navigation'!$F$31:$F$48, MATCH(C386, 'Landing Page and Navigation'!$A$31:$A$48, 0)), "No") = "No"), "No", "Yes")</f>
        <v>No</v>
      </c>
      <c r="I386" s="245" t="str">
        <f>_xlfn.TEXTJOIN(" - ", TRUE, CW_API_TABLE[[#This Row],[PWSID]],CW_API_TABLE[[#This Row],[PWS_NAME]])</f>
        <v>CA3400173 - NORTHGATE 880 [SWS]</v>
      </c>
      <c r="J386" s="246" cm="1">
        <f t="array" ref="J386">IFERROR(SUMPRODUCT((PD_PWSID_LIST=Crosswalk_API!$C386)*(PD_SUM_DEL&gt;0)), 0)</f>
        <v>0</v>
      </c>
    </row>
    <row r="387" spans="1:10" x14ac:dyDescent="0.25">
      <c r="A387" s="234" t="s">
        <v>2093</v>
      </c>
      <c r="B387" t="s">
        <v>2094</v>
      </c>
      <c r="C387" t="s">
        <v>2103</v>
      </c>
      <c r="D387" t="s">
        <v>2104</v>
      </c>
      <c r="E387" t="s">
        <v>913</v>
      </c>
      <c r="F387" t="s">
        <v>109</v>
      </c>
      <c r="G387" s="245" t="str" cm="1">
        <f t="array" ref="G387">IF(IFERROR(INDEX(LAM_II_SQFT, MATCH(Crosswalk_API!$A387, LAM_ORG_ID_LIST, 0)), 0) = 0, "No", "Yes")</f>
        <v>Yes</v>
      </c>
      <c r="H387" s="245" t="str">
        <f>IF(OR(G387="Not Applicable", IFERROR(INDEX('Landing Page and Navigation'!$F$31:$F$48, MATCH(C387, 'Landing Page and Navigation'!$A$31:$A$48, 0)), "No") = "No"), "No", "Yes")</f>
        <v>No</v>
      </c>
      <c r="I387" s="245" t="str">
        <f>_xlfn.TEXTJOIN(" - ", TRUE, CW_API_TABLE[[#This Row],[PWSID]],CW_API_TABLE[[#This Row],[PWS_NAME]])</f>
        <v>CA3410002 - SCWA - ARDEN PARK VISTA</v>
      </c>
      <c r="J387" s="246" cm="1">
        <f t="array" ref="J387">IFERROR(SUMPRODUCT((PD_PWSID_LIST=Crosswalk_API!$C387)*(PD_SUM_DEL&gt;0)), 0)</f>
        <v>12</v>
      </c>
    </row>
    <row r="388" spans="1:10" x14ac:dyDescent="0.25">
      <c r="A388" s="234" t="s">
        <v>2093</v>
      </c>
      <c r="B388" t="s">
        <v>2094</v>
      </c>
      <c r="C388" t="s">
        <v>2105</v>
      </c>
      <c r="D388" t="s">
        <v>2106</v>
      </c>
      <c r="E388" t="s">
        <v>913</v>
      </c>
      <c r="F388" t="s">
        <v>109</v>
      </c>
      <c r="G388" s="245" t="str" cm="1">
        <f t="array" ref="G388">IF(IFERROR(INDEX(LAM_II_SQFT, MATCH(Crosswalk_API!$A388, LAM_ORG_ID_LIST, 0)), 0) = 0, "No", "Yes")</f>
        <v>Yes</v>
      </c>
      <c r="H388" s="245" t="str">
        <f>IF(OR(G388="Not Applicable", IFERROR(INDEX('Landing Page and Navigation'!$F$31:$F$48, MATCH(C388, 'Landing Page and Navigation'!$A$31:$A$48, 0)), "No") = "No"), "No", "Yes")</f>
        <v>No</v>
      </c>
      <c r="I388" s="245" t="str">
        <f>_xlfn.TEXTJOIN(" - ", TRUE, CW_API_TABLE[[#This Row],[PWSID]],CW_API_TABLE[[#This Row],[PWS_NAME]])</f>
        <v>CA3410029 - SCWA - LAGUNA/VINEYARD</v>
      </c>
      <c r="J388" s="246" cm="1">
        <f t="array" ref="J388">IFERROR(SUMPRODUCT((PD_PWSID_LIST=Crosswalk_API!$C388)*(PD_SUM_DEL&gt;0)), 0)</f>
        <v>12</v>
      </c>
    </row>
    <row r="389" spans="1:10" x14ac:dyDescent="0.25">
      <c r="A389" s="234" t="s">
        <v>2093</v>
      </c>
      <c r="B389" t="s">
        <v>2094</v>
      </c>
      <c r="C389" t="s">
        <v>2107</v>
      </c>
      <c r="D389" t="s">
        <v>2108</v>
      </c>
      <c r="E389" t="s">
        <v>913</v>
      </c>
      <c r="F389" t="s">
        <v>109</v>
      </c>
      <c r="G389" s="245" t="str" cm="1">
        <f t="array" ref="G389">IF(IFERROR(INDEX(LAM_II_SQFT, MATCH(Crosswalk_API!$A389, LAM_ORG_ID_LIST, 0)), 0) = 0, "No", "Yes")</f>
        <v>Yes</v>
      </c>
      <c r="H389" s="245" t="str">
        <f>IF(OR(G389="Not Applicable", IFERROR(INDEX('Landing Page and Navigation'!$F$31:$F$48, MATCH(C389, 'Landing Page and Navigation'!$A$31:$A$48, 0)), "No") = "No"), "No", "Yes")</f>
        <v>No</v>
      </c>
      <c r="I389" s="245" t="str">
        <f>_xlfn.TEXTJOIN(" - ", TRUE, CW_API_TABLE[[#This Row],[PWSID]],CW_API_TABLE[[#This Row],[PWS_NAME]])</f>
        <v>CA3410704 - SCWA MATHER-SUNRISE</v>
      </c>
      <c r="J389" s="246" cm="1">
        <f t="array" ref="J389">IFERROR(SUMPRODUCT((PD_PWSID_LIST=Crosswalk_API!$C389)*(PD_SUM_DEL&gt;0)), 0)</f>
        <v>12</v>
      </c>
    </row>
    <row r="390" spans="1:10" x14ac:dyDescent="0.25">
      <c r="A390" s="234" t="s">
        <v>2109</v>
      </c>
      <c r="B390" t="s">
        <v>2110</v>
      </c>
      <c r="C390" t="s">
        <v>2111</v>
      </c>
      <c r="D390" t="s">
        <v>2112</v>
      </c>
      <c r="E390" t="s">
        <v>913</v>
      </c>
      <c r="F390" t="s">
        <v>109</v>
      </c>
      <c r="G390" s="245" t="str" cm="1">
        <f t="array" ref="G390">IF(IFERROR(INDEX(LAM_II_SQFT, MATCH(Crosswalk_API!$A390, LAM_ORG_ID_LIST, 0)), 0) = 0, "No", "Yes")</f>
        <v>Yes</v>
      </c>
      <c r="H390" s="245" t="str">
        <f>IF(OR(G390="Not Applicable", IFERROR(INDEX('Landing Page and Navigation'!$F$31:$F$48, MATCH(C390, 'Landing Page and Navigation'!$A$31:$A$48, 0)), "No") = "No"), "No", "Yes")</f>
        <v>No</v>
      </c>
      <c r="I390" s="245" t="str">
        <f>_xlfn.TEXTJOIN(" - ", TRUE, CW_API_TABLE[[#This Row],[PWSID]],CW_API_TABLE[[#This Row],[PWS_NAME]])</f>
        <v>CA3410001 - SACRAMENTO SUBURBAN WATER DISTRICT</v>
      </c>
      <c r="J390" s="246" cm="1">
        <f t="array" ref="J390">IFERROR(SUMPRODUCT((PD_PWSID_LIST=Crosswalk_API!$C390)*(PD_SUM_DEL&gt;0)), 0)</f>
        <v>12</v>
      </c>
    </row>
    <row r="391" spans="1:10" x14ac:dyDescent="0.25">
      <c r="A391" s="234" t="s">
        <v>2113</v>
      </c>
      <c r="B391" t="s">
        <v>2114</v>
      </c>
      <c r="C391" t="s">
        <v>2115</v>
      </c>
      <c r="D391" t="s">
        <v>2116</v>
      </c>
      <c r="E391" t="s">
        <v>693</v>
      </c>
      <c r="F391" t="s">
        <v>109</v>
      </c>
      <c r="G391" s="245" t="str" cm="1">
        <f t="array" ref="G391">IF(IFERROR(INDEX(LAM_II_SQFT, MATCH(Crosswalk_API!$A391, LAM_ORG_ID_LIST, 0)), 0) = 0, "No", "Yes")</f>
        <v>Yes</v>
      </c>
      <c r="H391" s="245" t="str">
        <f>IF(OR(G391="Not Applicable", IFERROR(INDEX('Landing Page and Navigation'!$F$31:$F$48, MATCH(C391, 'Landing Page and Navigation'!$A$31:$A$48, 0)), "No") = "No"), "No", "Yes")</f>
        <v>No</v>
      </c>
      <c r="I391" s="245" t="str">
        <f>_xlfn.TEXTJOIN(" - ", TRUE, CW_API_TABLE[[#This Row],[PWSID]],CW_API_TABLE[[#This Row],[PWS_NAME]])</f>
        <v>CA3610039 - SAN BERNARDINO CITY</v>
      </c>
      <c r="J391" s="246" cm="1">
        <f t="array" ref="J391">IFERROR(SUMPRODUCT((PD_PWSID_LIST=Crosswalk_API!$C391)*(PD_SUM_DEL&gt;0)), 0)</f>
        <v>12</v>
      </c>
    </row>
    <row r="392" spans="1:10" x14ac:dyDescent="0.25">
      <c r="A392" s="234" t="s">
        <v>2117</v>
      </c>
      <c r="B392" t="s">
        <v>2118</v>
      </c>
      <c r="C392" t="s">
        <v>2119</v>
      </c>
      <c r="D392" t="s">
        <v>2120</v>
      </c>
      <c r="E392" t="s">
        <v>693</v>
      </c>
      <c r="F392" t="s">
        <v>109</v>
      </c>
      <c r="G392" s="245" t="str" cm="1">
        <f t="array" ref="G392">IF(IFERROR(INDEX(LAM_II_SQFT, MATCH(Crosswalk_API!$A392, LAM_ORG_ID_LIST, 0)), 0) = 0, "No", "Yes")</f>
        <v>Yes</v>
      </c>
      <c r="H392" s="245" t="str">
        <f>IF(OR(G392="Not Applicable", IFERROR(INDEX('Landing Page and Navigation'!$F$31:$F$48, MATCH(C392, 'Landing Page and Navigation'!$A$31:$A$48, 0)), "No") = "No"), "No", "Yes")</f>
        <v>No</v>
      </c>
      <c r="I392" s="245" t="str">
        <f>_xlfn.TEXTJOIN(" - ", TRUE, CW_API_TABLE[[#This Row],[PWSID]],CW_API_TABLE[[#This Row],[PWS_NAME]])</f>
        <v>CA3610121 - SBDNO COUNTY SERVICE AREA 64</v>
      </c>
      <c r="J392" s="246" cm="1">
        <f t="array" ref="J392">IFERROR(SUMPRODUCT((PD_PWSID_LIST=Crosswalk_API!$C392)*(PD_SUM_DEL&gt;0)), 0)</f>
        <v>12</v>
      </c>
    </row>
    <row r="393" spans="1:10" x14ac:dyDescent="0.25">
      <c r="A393" s="234" t="s">
        <v>2121</v>
      </c>
      <c r="B393" t="s">
        <v>2122</v>
      </c>
      <c r="C393" t="s">
        <v>2123</v>
      </c>
      <c r="D393" t="s">
        <v>2124</v>
      </c>
      <c r="E393" t="s">
        <v>862</v>
      </c>
      <c r="F393" t="s">
        <v>109</v>
      </c>
      <c r="G393" s="245" t="str" cm="1">
        <f t="array" ref="G393">IF(IFERROR(INDEX(LAM_II_SQFT, MATCH(Crosswalk_API!$A393, LAM_ORG_ID_LIST, 0)), 0) = 0, "No", "Yes")</f>
        <v>Yes</v>
      </c>
      <c r="H393" s="245" t="str">
        <f>IF(OR(G393="Not Applicable", IFERROR(INDEX('Landing Page and Navigation'!$F$31:$F$48, MATCH(C393, 'Landing Page and Navigation'!$A$31:$A$48, 0)), "No") = "No"), "No", "Yes")</f>
        <v>No</v>
      </c>
      <c r="I393" s="245" t="str">
        <f>_xlfn.TEXTJOIN(" - ", TRUE, CW_API_TABLE[[#This Row],[PWSID]],CW_API_TABLE[[#This Row],[PWS_NAME]])</f>
        <v>CA4110023 - CITY OF SAN BRUNO</v>
      </c>
      <c r="J393" s="246" cm="1">
        <f t="array" ref="J393">IFERROR(SUMPRODUCT((PD_PWSID_LIST=Crosswalk_API!$C393)*(PD_SUM_DEL&gt;0)), 0)</f>
        <v>12</v>
      </c>
    </row>
    <row r="394" spans="1:10" x14ac:dyDescent="0.25">
      <c r="A394" s="234" t="s">
        <v>2125</v>
      </c>
      <c r="B394" t="s">
        <v>2126</v>
      </c>
      <c r="C394" t="s">
        <v>2127</v>
      </c>
      <c r="D394" t="s">
        <v>2128</v>
      </c>
      <c r="E394" t="s">
        <v>942</v>
      </c>
      <c r="F394" t="s">
        <v>109</v>
      </c>
      <c r="G394" s="245" t="str" cm="1">
        <f t="array" ref="G394">IF(IFERROR(INDEX(LAM_II_SQFT, MATCH(Crosswalk_API!$A394, LAM_ORG_ID_LIST, 0)), 0) = 0, "No", "Yes")</f>
        <v>Yes</v>
      </c>
      <c r="H394" s="245" t="str">
        <f>IF(OR(G394="Not Applicable", IFERROR(INDEX('Landing Page and Navigation'!$F$31:$F$48, MATCH(C394, 'Landing Page and Navigation'!$A$31:$A$48, 0)), "No") = "No"), "No", "Yes")</f>
        <v>No</v>
      </c>
      <c r="I394" s="245" t="str">
        <f>_xlfn.TEXTJOIN(" - ", TRUE, CW_API_TABLE[[#This Row],[PWSID]],CW_API_TABLE[[#This Row],[PWS_NAME]])</f>
        <v>CA5610017 - VENTURA WATER DEPARTMENT</v>
      </c>
      <c r="J394" s="246" cm="1">
        <f t="array" ref="J394">IFERROR(SUMPRODUCT((PD_PWSID_LIST=Crosswalk_API!$C394)*(PD_SUM_DEL&gt;0)), 0)</f>
        <v>12</v>
      </c>
    </row>
    <row r="395" spans="1:10" x14ac:dyDescent="0.25">
      <c r="A395" s="234" t="s">
        <v>2129</v>
      </c>
      <c r="B395" t="s">
        <v>2130</v>
      </c>
      <c r="C395" t="s">
        <v>2131</v>
      </c>
      <c r="D395" t="s">
        <v>2132</v>
      </c>
      <c r="E395" t="s">
        <v>731</v>
      </c>
      <c r="F395" t="s">
        <v>109</v>
      </c>
      <c r="G395" s="245" t="str" cm="1">
        <f t="array" ref="G395">IF(IFERROR(INDEX(LAM_II_SQFT, MATCH(Crosswalk_API!$A395, LAM_ORG_ID_LIST, 0)), 0) = 0, "No", "Yes")</f>
        <v>Yes</v>
      </c>
      <c r="H395" s="245" t="str">
        <f>IF(OR(G395="Not Applicable", IFERROR(INDEX('Landing Page and Navigation'!$F$31:$F$48, MATCH(C395, 'Landing Page and Navigation'!$A$31:$A$48, 0)), "No") = "No"), "No", "Yes")</f>
        <v>No</v>
      </c>
      <c r="I395" s="245" t="str">
        <f>_xlfn.TEXTJOIN(" - ", TRUE, CW_API_TABLE[[#This Row],[PWSID]],CW_API_TABLE[[#This Row],[PWS_NAME]])</f>
        <v>CA3010036 - CITY OF SAN CLEMENTE</v>
      </c>
      <c r="J395" s="246" cm="1">
        <f t="array" ref="J395">IFERROR(SUMPRODUCT((PD_PWSID_LIST=Crosswalk_API!$C395)*(PD_SUM_DEL&gt;0)), 0)</f>
        <v>12</v>
      </c>
    </row>
    <row r="396" spans="1:10" x14ac:dyDescent="0.25">
      <c r="A396" s="234" t="s">
        <v>2133</v>
      </c>
      <c r="B396" t="s">
        <v>2134</v>
      </c>
      <c r="C396" t="s">
        <v>2135</v>
      </c>
      <c r="D396" t="s">
        <v>2136</v>
      </c>
      <c r="E396" t="s">
        <v>937</v>
      </c>
      <c r="F396" t="s">
        <v>109</v>
      </c>
      <c r="G396" s="245" t="str" cm="1">
        <f t="array" ref="G396">IF(IFERROR(INDEX(LAM_II_SQFT, MATCH(Crosswalk_API!$A396, LAM_ORG_ID_LIST, 0)), 0) = 0, "No", "Yes")</f>
        <v>Yes</v>
      </c>
      <c r="H396" s="245" t="str">
        <f>IF(OR(G396="Not Applicable", IFERROR(INDEX('Landing Page and Navigation'!$F$31:$F$48, MATCH(C396, 'Landing Page and Navigation'!$A$31:$A$48, 0)), "No") = "No"), "No", "Yes")</f>
        <v>No</v>
      </c>
      <c r="I396" s="245" t="str">
        <f>_xlfn.TEXTJOIN(" - ", TRUE, CW_API_TABLE[[#This Row],[PWSID]],CW_API_TABLE[[#This Row],[PWS_NAME]])</f>
        <v>CA3710020 - SAN DIEGO, CITY OF</v>
      </c>
      <c r="J396" s="246" cm="1">
        <f t="array" ref="J396">IFERROR(SUMPRODUCT((PD_PWSID_LIST=Crosswalk_API!$C396)*(PD_SUM_DEL&gt;0)), 0)</f>
        <v>12</v>
      </c>
    </row>
    <row r="397" spans="1:10" x14ac:dyDescent="0.25">
      <c r="A397" s="234" t="s">
        <v>2137</v>
      </c>
      <c r="B397" t="s">
        <v>2138</v>
      </c>
      <c r="C397" t="s">
        <v>2139</v>
      </c>
      <c r="D397" t="s">
        <v>2140</v>
      </c>
      <c r="E397" t="s">
        <v>937</v>
      </c>
      <c r="F397" t="s">
        <v>109</v>
      </c>
      <c r="G397" s="245" t="str" cm="1">
        <f t="array" ref="G397">IF(IFERROR(INDEX(LAM_II_SQFT, MATCH(Crosswalk_API!$A397, LAM_ORG_ID_LIST, 0)), 0) = 0, "No", "Yes")</f>
        <v>Yes</v>
      </c>
      <c r="H397" s="245" t="str">
        <f>IF(OR(G397="Not Applicable", IFERROR(INDEX('Landing Page and Navigation'!$F$31:$F$48, MATCH(C397, 'Landing Page and Navigation'!$A$31:$A$48, 0)), "No") = "No"), "No", "Yes")</f>
        <v>No</v>
      </c>
      <c r="I397" s="245" t="str">
        <f>_xlfn.TEXTJOIN(" - ", TRUE, CW_API_TABLE[[#This Row],[PWSID]],CW_API_TABLE[[#This Row],[PWS_NAME]])</f>
        <v>CA3710021 - SAN DIEGUITO WD</v>
      </c>
      <c r="J397" s="246" cm="1">
        <f t="array" ref="J397">IFERROR(SUMPRODUCT((PD_PWSID_LIST=Crosswalk_API!$C397)*(PD_SUM_DEL&gt;0)), 0)</f>
        <v>12</v>
      </c>
    </row>
    <row r="398" spans="1:10" x14ac:dyDescent="0.25">
      <c r="A398" s="234" t="s">
        <v>2141</v>
      </c>
      <c r="B398" t="s">
        <v>2142</v>
      </c>
      <c r="C398" t="s">
        <v>2143</v>
      </c>
      <c r="D398" t="s">
        <v>2144</v>
      </c>
      <c r="E398" t="s">
        <v>708</v>
      </c>
      <c r="F398" t="s">
        <v>109</v>
      </c>
      <c r="G398" s="245" t="str" cm="1">
        <f t="array" ref="G398">IF(IFERROR(INDEX(LAM_II_SQFT, MATCH(Crosswalk_API!$A398, LAM_ORG_ID_LIST, 0)), 0) = 0, "No", "Yes")</f>
        <v>Yes</v>
      </c>
      <c r="H398" s="245" t="str">
        <f>IF(OR(G398="Not Applicable", IFERROR(INDEX('Landing Page and Navigation'!$F$31:$F$48, MATCH(C398, 'Landing Page and Navigation'!$A$31:$A$48, 0)), "No") = "No"), "No", "Yes")</f>
        <v>No</v>
      </c>
      <c r="I398" s="245" t="str">
        <f>_xlfn.TEXTJOIN(" - ", TRUE, CW_API_TABLE[[#This Row],[PWSID]],CW_API_TABLE[[#This Row],[PWS_NAME]])</f>
        <v>CA1910143 - SAN FERNANDO-CITY, WATER DEPT.</v>
      </c>
      <c r="J398" s="246" cm="1">
        <f t="array" ref="J398">IFERROR(SUMPRODUCT((PD_PWSID_LIST=Crosswalk_API!$C398)*(PD_SUM_DEL&gt;0)), 0)</f>
        <v>12</v>
      </c>
    </row>
    <row r="399" spans="1:10" x14ac:dyDescent="0.25">
      <c r="A399" s="234" t="s">
        <v>2145</v>
      </c>
      <c r="B399" t="s">
        <v>2146</v>
      </c>
      <c r="C399" t="s">
        <v>2147</v>
      </c>
      <c r="D399" t="s">
        <v>2148</v>
      </c>
      <c r="E399" t="s">
        <v>698</v>
      </c>
      <c r="F399" t="s">
        <v>1859</v>
      </c>
      <c r="G399" s="245" t="str" cm="1">
        <f t="array" ref="G399">IF(IFERROR(INDEX(LAM_II_SQFT, MATCH(Crosswalk_API!$A399, LAM_ORG_ID_LIST, 0)), 0) = 0, "No", "Yes")</f>
        <v>Yes</v>
      </c>
      <c r="H399" s="245" t="str">
        <f>IF(OR(G399="Not Applicable", IFERROR(INDEX('Landing Page and Navigation'!$F$31:$F$48, MATCH(C399, 'Landing Page and Navigation'!$A$31:$A$48, 0)), "No") = "No"), "No", "Yes")</f>
        <v>No</v>
      </c>
      <c r="I399" s="245" t="str">
        <f>_xlfn.TEXTJOIN(" - ", TRUE, CW_API_TABLE[[#This Row],[PWSID]],CW_API_TABLE[[#This Row],[PWS_NAME]])</f>
        <v>CA0110012 - TOWN OF SUNOL - SFPUC</v>
      </c>
      <c r="J399" s="246" cm="1">
        <f t="array" ref="J399">IFERROR(SUMPRODUCT((PD_PWSID_LIST=Crosswalk_API!$C399)*(PD_SUM_DEL&gt;0)), 0)</f>
        <v>12</v>
      </c>
    </row>
    <row r="400" spans="1:10" x14ac:dyDescent="0.25">
      <c r="A400" s="234" t="s">
        <v>2145</v>
      </c>
      <c r="B400" t="s">
        <v>2146</v>
      </c>
      <c r="C400" t="s">
        <v>2149</v>
      </c>
      <c r="D400" t="s">
        <v>2150</v>
      </c>
      <c r="E400" t="s">
        <v>698</v>
      </c>
      <c r="F400" t="s">
        <v>1859</v>
      </c>
      <c r="G400" s="245" t="str" cm="1">
        <f t="array" ref="G400">IF(IFERROR(INDEX(LAM_II_SQFT, MATCH(Crosswalk_API!$A400, LAM_ORG_ID_LIST, 0)), 0) = 0, "No", "Yes")</f>
        <v>Yes</v>
      </c>
      <c r="H400" s="245" t="str">
        <f>IF(OR(G400="Not Applicable", IFERROR(INDEX('Landing Page and Navigation'!$F$31:$F$48, MATCH(C400, 'Landing Page and Navigation'!$A$31:$A$48, 0)), "No") = "No"), "No", "Yes")</f>
        <v>No</v>
      </c>
      <c r="I400" s="245" t="str">
        <f>_xlfn.TEXTJOIN(" - ", TRUE, CW_API_TABLE[[#This Row],[PWSID]],CW_API_TABLE[[#This Row],[PWS_NAME]])</f>
        <v>CA0110018 - SFPUC-PLEASANTON WELLS</v>
      </c>
      <c r="J400" s="246" cm="1">
        <f t="array" ref="J400">IFERROR(SUMPRODUCT((PD_PWSID_LIST=Crosswalk_API!$C400)*(PD_SUM_DEL&gt;0)), 0)</f>
        <v>0</v>
      </c>
    </row>
    <row r="401" spans="1:10" x14ac:dyDescent="0.25">
      <c r="A401" s="234" t="s">
        <v>2145</v>
      </c>
      <c r="B401" t="s">
        <v>2146</v>
      </c>
      <c r="C401" t="s">
        <v>2151</v>
      </c>
      <c r="D401" t="s">
        <v>2152</v>
      </c>
      <c r="E401" t="s">
        <v>2153</v>
      </c>
      <c r="F401" t="s">
        <v>109</v>
      </c>
      <c r="G401" s="245" t="str" cm="1">
        <f t="array" ref="G401">IF(IFERROR(INDEX(LAM_II_SQFT, MATCH(Crosswalk_API!$A401, LAM_ORG_ID_LIST, 0)), 0) = 0, "No", "Yes")</f>
        <v>Yes</v>
      </c>
      <c r="H401" s="245" t="str">
        <f>IF(OR(G401="Not Applicable", IFERROR(INDEX('Landing Page and Navigation'!$F$31:$F$48, MATCH(C401, 'Landing Page and Navigation'!$A$31:$A$48, 0)), "No") = "No"), "No", "Yes")</f>
        <v>No</v>
      </c>
      <c r="I401" s="245" t="str">
        <f>_xlfn.TEXTJOIN(" - ", TRUE, CW_API_TABLE[[#This Row],[PWSID]],CW_API_TABLE[[#This Row],[PWS_NAME]])</f>
        <v>CA3810011 - SFPUC CITY DISTRIBUTION DIVISION</v>
      </c>
      <c r="J401" s="246" cm="1">
        <f t="array" ref="J401">IFERROR(SUMPRODUCT((PD_PWSID_LIST=Crosswalk_API!$C401)*(PD_SUM_DEL&gt;0)), 0)</f>
        <v>12</v>
      </c>
    </row>
    <row r="402" spans="1:10" x14ac:dyDescent="0.25">
      <c r="A402" s="234" t="s">
        <v>2154</v>
      </c>
      <c r="B402" t="s">
        <v>2155</v>
      </c>
      <c r="C402" t="s">
        <v>2156</v>
      </c>
      <c r="D402" t="s">
        <v>2157</v>
      </c>
      <c r="E402" t="s">
        <v>708</v>
      </c>
      <c r="F402" t="s">
        <v>109</v>
      </c>
      <c r="G402" s="245" t="str" cm="1">
        <f t="array" ref="G402">IF(IFERROR(INDEX(LAM_II_SQFT, MATCH(Crosswalk_API!$A402, LAM_ORG_ID_LIST, 0)), 0) = 0, "No", "Yes")</f>
        <v>Yes</v>
      </c>
      <c r="H402" s="245" t="str">
        <f>IF(OR(G402="Not Applicable", IFERROR(INDEX('Landing Page and Navigation'!$F$31:$F$48, MATCH(C402, 'Landing Page and Navigation'!$A$31:$A$48, 0)), "No") = "No"), "No", "Yes")</f>
        <v>No</v>
      </c>
      <c r="I402" s="245" t="str">
        <f>_xlfn.TEXTJOIN(" - ", TRUE, CW_API_TABLE[[#This Row],[PWSID]],CW_API_TABLE[[#This Row],[PWS_NAME]])</f>
        <v>CA1910144 - SAN GABRIEL COUNTY WD</v>
      </c>
      <c r="J402" s="246" cm="1">
        <f t="array" ref="J402">IFERROR(SUMPRODUCT((PD_PWSID_LIST=Crosswalk_API!$C402)*(PD_SUM_DEL&gt;0)), 0)</f>
        <v>12</v>
      </c>
    </row>
    <row r="403" spans="1:10" x14ac:dyDescent="0.25">
      <c r="A403" s="234" t="s">
        <v>2158</v>
      </c>
      <c r="B403" t="s">
        <v>2159</v>
      </c>
      <c r="C403" t="s">
        <v>2160</v>
      </c>
      <c r="D403" t="s">
        <v>2161</v>
      </c>
      <c r="E403" t="s">
        <v>693</v>
      </c>
      <c r="F403" t="s">
        <v>109</v>
      </c>
      <c r="G403" s="245" t="str" cm="1">
        <f t="array" ref="G403">IF(IFERROR(INDEX(LAM_II_SQFT, MATCH(Crosswalk_API!$A403, LAM_ORG_ID_LIST, 0)), 0) = 0, "No", "Yes")</f>
        <v>Yes</v>
      </c>
      <c r="H403" s="245" t="str">
        <f>IF(OR(G403="Not Applicable", IFERROR(INDEX('Landing Page and Navigation'!$F$31:$F$48, MATCH(C403, 'Landing Page and Navigation'!$A$31:$A$48, 0)), "No") = "No"), "No", "Yes")</f>
        <v>No</v>
      </c>
      <c r="I403" s="245" t="str">
        <f>_xlfn.TEXTJOIN(" - ", TRUE, CW_API_TABLE[[#This Row],[PWSID]],CW_API_TABLE[[#This Row],[PWS_NAME]])</f>
        <v>CA3610041 - SAN GABRIEL VALLEY WC - FONTANA</v>
      </c>
      <c r="J403" s="246" cm="1">
        <f t="array" ref="J403">IFERROR(SUMPRODUCT((PD_PWSID_LIST=Crosswalk_API!$C403)*(PD_SUM_DEL&gt;0)), 0)</f>
        <v>12</v>
      </c>
    </row>
    <row r="404" spans="1:10" x14ac:dyDescent="0.25">
      <c r="A404" s="234" t="s">
        <v>2162</v>
      </c>
      <c r="B404" t="s">
        <v>2163</v>
      </c>
      <c r="C404" t="s">
        <v>2164</v>
      </c>
      <c r="D404" t="s">
        <v>2165</v>
      </c>
      <c r="E404" t="s">
        <v>708</v>
      </c>
      <c r="F404" t="s">
        <v>109</v>
      </c>
      <c r="G404" s="245" t="str" cm="1">
        <f t="array" ref="G404">IF(IFERROR(INDEX(LAM_II_SQFT, MATCH(Crosswalk_API!$A404, LAM_ORG_ID_LIST, 0)), 0) = 0, "No", "Yes")</f>
        <v>Yes</v>
      </c>
      <c r="H404" s="245" t="str">
        <f>IF(OR(G404="Not Applicable", IFERROR(INDEX('Landing Page and Navigation'!$F$31:$F$48, MATCH(C404, 'Landing Page and Navigation'!$A$31:$A$48, 0)), "No") = "No"), "No", "Yes")</f>
        <v>No</v>
      </c>
      <c r="I404" s="245" t="str">
        <f>_xlfn.TEXTJOIN(" - ", TRUE, CW_API_TABLE[[#This Row],[PWSID]],CW_API_TABLE[[#This Row],[PWS_NAME]])</f>
        <v>CA1910039 - SAN GABRIEL VALLEY WATER CO.-EL MONTE</v>
      </c>
      <c r="J404" s="246" cm="1">
        <f t="array" ref="J404">IFERROR(SUMPRODUCT((PD_PWSID_LIST=Crosswalk_API!$C404)*(PD_SUM_DEL&gt;0)), 0)</f>
        <v>12</v>
      </c>
    </row>
    <row r="405" spans="1:10" x14ac:dyDescent="0.25">
      <c r="A405" s="234" t="s">
        <v>2162</v>
      </c>
      <c r="B405" t="s">
        <v>2163</v>
      </c>
      <c r="C405" t="s">
        <v>2166</v>
      </c>
      <c r="D405" t="s">
        <v>2167</v>
      </c>
      <c r="E405" t="s">
        <v>708</v>
      </c>
      <c r="F405" t="s">
        <v>109</v>
      </c>
      <c r="G405" s="245" t="str" cm="1">
        <f t="array" ref="G405">IF(IFERROR(INDEX(LAM_II_SQFT, MATCH(Crosswalk_API!$A405, LAM_ORG_ID_LIST, 0)), 0) = 0, "No", "Yes")</f>
        <v>Yes</v>
      </c>
      <c r="H405" s="245" t="str">
        <f>IF(OR(G405="Not Applicable", IFERROR(INDEX('Landing Page and Navigation'!$F$31:$F$48, MATCH(C405, 'Landing Page and Navigation'!$A$31:$A$48, 0)), "No") = "No"), "No", "Yes")</f>
        <v>No</v>
      </c>
      <c r="I405" s="245" t="str">
        <f>_xlfn.TEXTJOIN(" - ", TRUE, CW_API_TABLE[[#This Row],[PWSID]],CW_API_TABLE[[#This Row],[PWS_NAME]])</f>
        <v>CA1910189 - SAN GABRIEL VALLEY WATER CO.-MONTEBELLO</v>
      </c>
      <c r="J405" s="246" cm="1">
        <f t="array" ref="J405">IFERROR(SUMPRODUCT((PD_PWSID_LIST=Crosswalk_API!$C405)*(PD_SUM_DEL&gt;0)), 0)</f>
        <v>12</v>
      </c>
    </row>
    <row r="406" spans="1:10" x14ac:dyDescent="0.25">
      <c r="A406" s="234" t="s">
        <v>2168</v>
      </c>
      <c r="B406" t="s">
        <v>2169</v>
      </c>
      <c r="C406" t="s">
        <v>2170</v>
      </c>
      <c r="D406" t="s">
        <v>2171</v>
      </c>
      <c r="E406" t="s">
        <v>793</v>
      </c>
      <c r="F406" t="s">
        <v>109</v>
      </c>
      <c r="G406" s="245" t="str" cm="1">
        <f t="array" ref="G406">IF(IFERROR(INDEX(LAM_II_SQFT, MATCH(Crosswalk_API!$A406, LAM_ORG_ID_LIST, 0)), 0) = 0, "No", "Yes")</f>
        <v>Yes</v>
      </c>
      <c r="H406" s="245" t="str">
        <f>IF(OR(G406="Not Applicable", IFERROR(INDEX('Landing Page and Navigation'!$F$31:$F$48, MATCH(C406, 'Landing Page and Navigation'!$A$31:$A$48, 0)), "No") = "No"), "No", "Yes")</f>
        <v>No</v>
      </c>
      <c r="I406" s="245" t="str">
        <f>_xlfn.TEXTJOIN(" - ", TRUE, CW_API_TABLE[[#This Row],[PWSID]],CW_API_TABLE[[#This Row],[PWS_NAME]])</f>
        <v>CA3310032 - SAN JACINTO, CITY OF</v>
      </c>
      <c r="J406" s="246" cm="1">
        <f t="array" ref="J406">IFERROR(SUMPRODUCT((PD_PWSID_LIST=Crosswalk_API!$C406)*(PD_SUM_DEL&gt;0)), 0)</f>
        <v>12</v>
      </c>
    </row>
    <row r="407" spans="1:10" x14ac:dyDescent="0.25">
      <c r="A407" s="234" t="s">
        <v>2172</v>
      </c>
      <c r="B407" t="s">
        <v>2173</v>
      </c>
      <c r="C407" t="s">
        <v>2174</v>
      </c>
      <c r="D407" t="s">
        <v>2175</v>
      </c>
      <c r="E407" t="s">
        <v>1007</v>
      </c>
      <c r="F407" t="s">
        <v>109</v>
      </c>
      <c r="G407" s="245" t="str" cm="1">
        <f t="array" ref="G407">IF(IFERROR(INDEX(LAM_II_SQFT, MATCH(Crosswalk_API!$A407, LAM_ORG_ID_LIST, 0)), 0) = 0, "No", "Yes")</f>
        <v>Yes</v>
      </c>
      <c r="H407" s="245" t="str">
        <f>IF(OR(G407="Not Applicable", IFERROR(INDEX('Landing Page and Navigation'!$F$31:$F$48, MATCH(C407, 'Landing Page and Navigation'!$A$31:$A$48, 0)), "No") = "No"), "No", "Yes")</f>
        <v>No</v>
      </c>
      <c r="I407" s="245" t="str">
        <f>_xlfn.TEXTJOIN(" - ", TRUE, CW_API_TABLE[[#This Row],[PWSID]],CW_API_TABLE[[#This Row],[PWS_NAME]])</f>
        <v>CA4310019 - CITY OF SAN JOSE - NSJ/ALVISO</v>
      </c>
      <c r="J407" s="246" cm="1">
        <f t="array" ref="J407">IFERROR(SUMPRODUCT((PD_PWSID_LIST=Crosswalk_API!$C407)*(PD_SUM_DEL&gt;0)), 0)</f>
        <v>12</v>
      </c>
    </row>
    <row r="408" spans="1:10" x14ac:dyDescent="0.25">
      <c r="A408" s="234" t="s">
        <v>2172</v>
      </c>
      <c r="B408" t="s">
        <v>2173</v>
      </c>
      <c r="C408" t="s">
        <v>2176</v>
      </c>
      <c r="D408" t="s">
        <v>2177</v>
      </c>
      <c r="E408" t="s">
        <v>1007</v>
      </c>
      <c r="F408" t="s">
        <v>109</v>
      </c>
      <c r="G408" s="245" t="str" cm="1">
        <f t="array" ref="G408">IF(IFERROR(INDEX(LAM_II_SQFT, MATCH(Crosswalk_API!$A408, LAM_ORG_ID_LIST, 0)), 0) = 0, "No", "Yes")</f>
        <v>Yes</v>
      </c>
      <c r="H408" s="245" t="str">
        <f>IF(OR(G408="Not Applicable", IFERROR(INDEX('Landing Page and Navigation'!$F$31:$F$48, MATCH(C408, 'Landing Page and Navigation'!$A$31:$A$48, 0)), "No") = "No"), "No", "Yes")</f>
        <v>No</v>
      </c>
      <c r="I408" s="245" t="str">
        <f>_xlfn.TEXTJOIN(" - ", TRUE, CW_API_TABLE[[#This Row],[PWSID]],CW_API_TABLE[[#This Row],[PWS_NAME]])</f>
        <v>CA4310020 - CITY OF SAN JOSE - EVG/EDV/COY</v>
      </c>
      <c r="J408" s="246" cm="1">
        <f t="array" ref="J408">IFERROR(SUMPRODUCT((PD_PWSID_LIST=Crosswalk_API!$C408)*(PD_SUM_DEL&gt;0)), 0)</f>
        <v>12</v>
      </c>
    </row>
    <row r="409" spans="1:10" x14ac:dyDescent="0.25">
      <c r="A409" s="234" t="s">
        <v>2178</v>
      </c>
      <c r="B409" t="s">
        <v>2179</v>
      </c>
      <c r="C409" t="s">
        <v>2180</v>
      </c>
      <c r="D409" t="s">
        <v>2181</v>
      </c>
      <c r="E409" t="s">
        <v>1007</v>
      </c>
      <c r="F409" t="s">
        <v>109</v>
      </c>
      <c r="G409" s="245" t="str" cm="1">
        <f t="array" ref="G409">IF(IFERROR(INDEX(LAM_II_SQFT, MATCH(Crosswalk_API!$A409, LAM_ORG_ID_LIST, 0)), 0) = 0, "No", "Yes")</f>
        <v>Yes</v>
      </c>
      <c r="H409" s="245" t="str">
        <f>IF(OR(G409="Not Applicable", IFERROR(INDEX('Landing Page and Navigation'!$F$31:$F$48, MATCH(C409, 'Landing Page and Navigation'!$A$31:$A$48, 0)), "No") = "No"), "No", "Yes")</f>
        <v>No</v>
      </c>
      <c r="I409" s="245" t="str">
        <f>_xlfn.TEXTJOIN(" - ", TRUE, CW_API_TABLE[[#This Row],[PWSID]],CW_API_TABLE[[#This Row],[PWS_NAME]])</f>
        <v>CA4310011 - SAN JOSE WATER</v>
      </c>
      <c r="J409" s="246" cm="1">
        <f t="array" ref="J409">IFERROR(SUMPRODUCT((PD_PWSID_LIST=Crosswalk_API!$C409)*(PD_SUM_DEL&gt;0)), 0)</f>
        <v>12</v>
      </c>
    </row>
    <row r="410" spans="1:10" x14ac:dyDescent="0.25">
      <c r="A410" s="234" t="s">
        <v>2178</v>
      </c>
      <c r="B410" t="s">
        <v>2179</v>
      </c>
      <c r="C410" t="s">
        <v>2182</v>
      </c>
      <c r="D410" t="s">
        <v>2183</v>
      </c>
      <c r="E410" t="s">
        <v>1007</v>
      </c>
      <c r="F410" t="s">
        <v>109</v>
      </c>
      <c r="G410" s="245" t="str" cm="1">
        <f t="array" ref="G410">IF(IFERROR(INDEX(LAM_II_SQFT, MATCH(Crosswalk_API!$A410, LAM_ORG_ID_LIST, 0)), 0) = 0, "No", "Yes")</f>
        <v>Yes</v>
      </c>
      <c r="H410" s="245" t="str">
        <f>IF(OR(G410="Not Applicable", IFERROR(INDEX('Landing Page and Navigation'!$F$31:$F$48, MATCH(C410, 'Landing Page and Navigation'!$A$31:$A$48, 0)), "No") = "No"), "No", "Yes")</f>
        <v>No</v>
      </c>
      <c r="I410" s="245" t="str">
        <f>_xlfn.TEXTJOIN(" - ", TRUE, CW_API_TABLE[[#This Row],[PWSID]],CW_API_TABLE[[#This Row],[PWS_NAME]])</f>
        <v>CA4310018 - CITY OF CUPERTINO</v>
      </c>
      <c r="J410" s="246" cm="1">
        <f t="array" ref="J410">IFERROR(SUMPRODUCT((PD_PWSID_LIST=Crosswalk_API!$C410)*(PD_SUM_DEL&gt;0)), 0)</f>
        <v>12</v>
      </c>
    </row>
    <row r="411" spans="1:10" x14ac:dyDescent="0.25">
      <c r="A411" s="234" t="s">
        <v>2184</v>
      </c>
      <c r="B411" t="s">
        <v>2185</v>
      </c>
      <c r="C411" t="s">
        <v>2186</v>
      </c>
      <c r="D411" t="s">
        <v>2187</v>
      </c>
      <c r="E411" t="s">
        <v>913</v>
      </c>
      <c r="F411" t="s">
        <v>109</v>
      </c>
      <c r="G411" s="245" t="str" cm="1">
        <f t="array" ref="G411">IF(IFERROR(INDEX(LAM_II_SQFT, MATCH(Crosswalk_API!$A411, LAM_ORG_ID_LIST, 0)), 0) = 0, "No", "Yes")</f>
        <v>Yes</v>
      </c>
      <c r="H411" s="245" t="str">
        <f>IF(OR(G411="Not Applicable", IFERROR(INDEX('Landing Page and Navigation'!$F$31:$F$48, MATCH(C411, 'Landing Page and Navigation'!$A$31:$A$48, 0)), "No") = "No"), "No", "Yes")</f>
        <v>No</v>
      </c>
      <c r="I411" s="245" t="str">
        <f>_xlfn.TEXTJOIN(" - ", TRUE, CW_API_TABLE[[#This Row],[PWSID]],CW_API_TABLE[[#This Row],[PWS_NAME]])</f>
        <v>CA3410021 - SAN JUAN WATER DISTRICT</v>
      </c>
      <c r="J411" s="246" cm="1">
        <f t="array" ref="J411">IFERROR(SUMPRODUCT((PD_PWSID_LIST=Crosswalk_API!$C411)*(PD_SUM_DEL&gt;0)), 0)</f>
        <v>12</v>
      </c>
    </row>
    <row r="412" spans="1:10" x14ac:dyDescent="0.25">
      <c r="A412" s="234" t="s">
        <v>2188</v>
      </c>
      <c r="B412" t="s">
        <v>2189</v>
      </c>
      <c r="C412" t="s">
        <v>2190</v>
      </c>
      <c r="D412" t="s">
        <v>2191</v>
      </c>
      <c r="E412" t="s">
        <v>2192</v>
      </c>
      <c r="F412" t="s">
        <v>109</v>
      </c>
      <c r="G412" s="245" t="str" cm="1">
        <f t="array" ref="G412">IF(IFERROR(INDEX(LAM_II_SQFT, MATCH(Crosswalk_API!$A412, LAM_ORG_ID_LIST, 0)), 0) = 0, "No", "Yes")</f>
        <v>Yes</v>
      </c>
      <c r="H412" s="245" t="str">
        <f>IF(OR(G412="Not Applicable", IFERROR(INDEX('Landing Page and Navigation'!$F$31:$F$48, MATCH(C412, 'Landing Page and Navigation'!$A$31:$A$48, 0)), "No") = "No"), "No", "Yes")</f>
        <v>No</v>
      </c>
      <c r="I412" s="245" t="str">
        <f>_xlfn.TEXTJOIN(" - ", TRUE, CW_API_TABLE[[#This Row],[PWSID]],CW_API_TABLE[[#This Row],[PWS_NAME]])</f>
        <v>CA4410002 - SLVWD - FELTON WATER SYSTEM</v>
      </c>
      <c r="J412" s="246" cm="1">
        <f t="array" ref="J412">IFERROR(SUMPRODUCT((PD_PWSID_LIST=Crosswalk_API!$C412)*(PD_SUM_DEL&gt;0)), 0)</f>
        <v>12</v>
      </c>
    </row>
    <row r="413" spans="1:10" x14ac:dyDescent="0.25">
      <c r="A413" s="234" t="s">
        <v>2188</v>
      </c>
      <c r="B413" t="s">
        <v>2189</v>
      </c>
      <c r="C413" t="s">
        <v>2193</v>
      </c>
      <c r="D413" t="s">
        <v>2194</v>
      </c>
      <c r="E413" t="s">
        <v>2192</v>
      </c>
      <c r="F413" t="s">
        <v>109</v>
      </c>
      <c r="G413" s="245" t="str" cm="1">
        <f t="array" ref="G413">IF(IFERROR(INDEX(LAM_II_SQFT, MATCH(Crosswalk_API!$A413, LAM_ORG_ID_LIST, 0)), 0) = 0, "No", "Yes")</f>
        <v>Yes</v>
      </c>
      <c r="H413" s="245" t="str">
        <f>IF(OR(G413="Not Applicable", IFERROR(INDEX('Landing Page and Navigation'!$F$31:$F$48, MATCH(C413, 'Landing Page and Navigation'!$A$31:$A$48, 0)), "No") = "No"), "No", "Yes")</f>
        <v>No</v>
      </c>
      <c r="I413" s="245" t="str">
        <f>_xlfn.TEXTJOIN(" - ", TRUE, CW_API_TABLE[[#This Row],[PWSID]],CW_API_TABLE[[#This Row],[PWS_NAME]])</f>
        <v>CA4410014 - SAN LORENZO VALLEY WATER DIST</v>
      </c>
      <c r="J413" s="246" cm="1">
        <f t="array" ref="J413">IFERROR(SUMPRODUCT((PD_PWSID_LIST=Crosswalk_API!$C413)*(PD_SUM_DEL&gt;0)), 0)</f>
        <v>12</v>
      </c>
    </row>
    <row r="414" spans="1:10" x14ac:dyDescent="0.25">
      <c r="A414" s="234" t="s">
        <v>2195</v>
      </c>
      <c r="B414" t="s">
        <v>2196</v>
      </c>
      <c r="C414" t="s">
        <v>2197</v>
      </c>
      <c r="D414" t="s">
        <v>2198</v>
      </c>
      <c r="E414" t="s">
        <v>761</v>
      </c>
      <c r="F414" t="s">
        <v>109</v>
      </c>
      <c r="G414" s="245" t="str" cm="1">
        <f t="array" ref="G414">IF(IFERROR(INDEX(LAM_II_SQFT, MATCH(Crosswalk_API!$A414, LAM_ORG_ID_LIST, 0)), 0) = 0, "No", "Yes")</f>
        <v>Yes</v>
      </c>
      <c r="H414" s="245" t="str">
        <f>IF(OR(G414="Not Applicable", IFERROR(INDEX('Landing Page and Navigation'!$F$31:$F$48, MATCH(C414, 'Landing Page and Navigation'!$A$31:$A$48, 0)), "No") = "No"), "No", "Yes")</f>
        <v>No</v>
      </c>
      <c r="I414" s="245" t="str">
        <f>_xlfn.TEXTJOIN(" - ", TRUE, CW_API_TABLE[[#This Row],[PWSID]],CW_API_TABLE[[#This Row],[PWS_NAME]])</f>
        <v>CA4010009 - SAN LUIS OBISPO WATER DEPARTMENT</v>
      </c>
      <c r="J414" s="246" cm="1">
        <f t="array" ref="J414">IFERROR(SUMPRODUCT((PD_PWSID_LIST=Crosswalk_API!$C414)*(PD_SUM_DEL&gt;0)), 0)</f>
        <v>12</v>
      </c>
    </row>
    <row r="415" spans="1:10" x14ac:dyDescent="0.25">
      <c r="A415" s="234" t="s">
        <v>2199</v>
      </c>
      <c r="B415" t="s">
        <v>2200</v>
      </c>
      <c r="C415" t="s">
        <v>2201</v>
      </c>
      <c r="D415" t="s">
        <v>2202</v>
      </c>
      <c r="E415" t="s">
        <v>788</v>
      </c>
      <c r="F415" t="s">
        <v>109</v>
      </c>
      <c r="G415" s="245" t="str" cm="1">
        <f t="array" ref="G415">IF(IFERROR(INDEX(LAM_II_SQFT, MATCH(Crosswalk_API!$A415, LAM_ORG_ID_LIST, 0)), 0) = 0, "No", "Yes")</f>
        <v>Yes</v>
      </c>
      <c r="H415" s="245" t="str">
        <f>IF(OR(G415="Not Applicable", IFERROR(INDEX('Landing Page and Navigation'!$F$31:$F$48, MATCH(C415, 'Landing Page and Navigation'!$A$31:$A$48, 0)), "No") = "No"), "No", "Yes")</f>
        <v>No</v>
      </c>
      <c r="I415" s="245" t="str">
        <f>_xlfn.TEXTJOIN(" - ", TRUE, CW_API_TABLE[[#This Row],[PWSID]],CW_API_TABLE[[#This Row],[PWS_NAME]])</f>
        <v>CA1010029 - CITY OF SANGER</v>
      </c>
      <c r="J415" s="246" cm="1">
        <f t="array" ref="J415">IFERROR(SUMPRODUCT((PD_PWSID_LIST=Crosswalk_API!$C415)*(PD_SUM_DEL&gt;0)), 0)</f>
        <v>12</v>
      </c>
    </row>
    <row r="416" spans="1:10" x14ac:dyDescent="0.25">
      <c r="A416" s="234" t="s">
        <v>2203</v>
      </c>
      <c r="B416" t="s">
        <v>2204</v>
      </c>
      <c r="C416" t="s">
        <v>2205</v>
      </c>
      <c r="D416" t="s">
        <v>2206</v>
      </c>
      <c r="E416" t="s">
        <v>731</v>
      </c>
      <c r="F416" t="s">
        <v>109</v>
      </c>
      <c r="G416" s="245" t="str" cm="1">
        <f t="array" ref="G416">IF(IFERROR(INDEX(LAM_II_SQFT, MATCH(Crosswalk_API!$A416, LAM_ORG_ID_LIST, 0)), 0) = 0, "No", "Yes")</f>
        <v>Yes</v>
      </c>
      <c r="H416" s="245" t="str">
        <f>IF(OR(G416="Not Applicable", IFERROR(INDEX('Landing Page and Navigation'!$F$31:$F$48, MATCH(C416, 'Landing Page and Navigation'!$A$31:$A$48, 0)), "No") = "No"), "No", "Yes")</f>
        <v>No</v>
      </c>
      <c r="I416" s="245" t="str">
        <f>_xlfn.TEXTJOIN(" - ", TRUE, CW_API_TABLE[[#This Row],[PWSID]],CW_API_TABLE[[#This Row],[PWS_NAME]])</f>
        <v>CA3010038 - CITY OF SANTA ANA</v>
      </c>
      <c r="J416" s="246" cm="1">
        <f t="array" ref="J416">IFERROR(SUMPRODUCT((PD_PWSID_LIST=Crosswalk_API!$C416)*(PD_SUM_DEL&gt;0)), 0)</f>
        <v>12</v>
      </c>
    </row>
    <row r="417" spans="1:10" x14ac:dyDescent="0.25">
      <c r="A417" s="234" t="s">
        <v>2207</v>
      </c>
      <c r="B417" t="s">
        <v>2208</v>
      </c>
      <c r="C417" t="s">
        <v>2209</v>
      </c>
      <c r="D417" t="s">
        <v>2210</v>
      </c>
      <c r="E417" t="s">
        <v>1089</v>
      </c>
      <c r="F417" t="s">
        <v>109</v>
      </c>
      <c r="G417" s="245" t="str" cm="1">
        <f t="array" ref="G417">IF(IFERROR(INDEX(LAM_II_SQFT, MATCH(Crosswalk_API!$A417, LAM_ORG_ID_LIST, 0)), 0) = 0, "No", "Yes")</f>
        <v>Yes</v>
      </c>
      <c r="H417" s="245" t="str">
        <f>IF(OR(G417="Not Applicable", IFERROR(INDEX('Landing Page and Navigation'!$F$31:$F$48, MATCH(C417, 'Landing Page and Navigation'!$A$31:$A$48, 0)), "No") = "No"), "No", "Yes")</f>
        <v>No</v>
      </c>
      <c r="I417" s="245" t="str">
        <f>_xlfn.TEXTJOIN(" - ", TRUE, CW_API_TABLE[[#This Row],[PWSID]],CW_API_TABLE[[#This Row],[PWS_NAME]])</f>
        <v>CA4210010 - CITY OF SANTA BARBARA WATER DEPARTMENT</v>
      </c>
      <c r="J417" s="246" cm="1">
        <f t="array" ref="J417">IFERROR(SUMPRODUCT((PD_PWSID_LIST=Crosswalk_API!$C417)*(PD_SUM_DEL&gt;0)), 0)</f>
        <v>12</v>
      </c>
    </row>
    <row r="418" spans="1:10" x14ac:dyDescent="0.25">
      <c r="A418" s="234" t="s">
        <v>2211</v>
      </c>
      <c r="B418" t="s">
        <v>2212</v>
      </c>
      <c r="C418" t="s">
        <v>2213</v>
      </c>
      <c r="D418" t="s">
        <v>2214</v>
      </c>
      <c r="E418" t="s">
        <v>1007</v>
      </c>
      <c r="F418" t="s">
        <v>109</v>
      </c>
      <c r="G418" s="245" t="str" cm="1">
        <f t="array" ref="G418">IF(IFERROR(INDEX(LAM_II_SQFT, MATCH(Crosswalk_API!$A418, LAM_ORG_ID_LIST, 0)), 0) = 0, "No", "Yes")</f>
        <v>Yes</v>
      </c>
      <c r="H418" s="245" t="str">
        <f>IF(OR(G418="Not Applicable", IFERROR(INDEX('Landing Page and Navigation'!$F$31:$F$48, MATCH(C418, 'Landing Page and Navigation'!$A$31:$A$48, 0)), "No") = "No"), "No", "Yes")</f>
        <v>No</v>
      </c>
      <c r="I418" s="245" t="str">
        <f>_xlfn.TEXTJOIN(" - ", TRUE, CW_API_TABLE[[#This Row],[PWSID]],CW_API_TABLE[[#This Row],[PWS_NAME]])</f>
        <v>CA4310012 - CITY OF SANTA CLARA</v>
      </c>
      <c r="J418" s="246" cm="1">
        <f t="array" ref="J418">IFERROR(SUMPRODUCT((PD_PWSID_LIST=Crosswalk_API!$C418)*(PD_SUM_DEL&gt;0)), 0)</f>
        <v>12</v>
      </c>
    </row>
    <row r="419" spans="1:10" x14ac:dyDescent="0.25">
      <c r="A419" s="234" t="s">
        <v>2215</v>
      </c>
      <c r="B419" t="s">
        <v>2216</v>
      </c>
      <c r="C419" t="s">
        <v>2217</v>
      </c>
      <c r="D419" t="s">
        <v>2218</v>
      </c>
      <c r="E419" t="s">
        <v>2192</v>
      </c>
      <c r="F419" t="s">
        <v>109</v>
      </c>
      <c r="G419" s="245" t="str" cm="1">
        <f t="array" ref="G419">IF(IFERROR(INDEX(LAM_II_SQFT, MATCH(Crosswalk_API!$A419, LAM_ORG_ID_LIST, 0)), 0) = 0, "No", "Yes")</f>
        <v>Yes</v>
      </c>
      <c r="H419" s="245" t="str">
        <f>IF(OR(G419="Not Applicable", IFERROR(INDEX('Landing Page and Navigation'!$F$31:$F$48, MATCH(C419, 'Landing Page and Navigation'!$A$31:$A$48, 0)), "No") = "No"), "No", "Yes")</f>
        <v>No</v>
      </c>
      <c r="I419" s="245" t="str">
        <f>_xlfn.TEXTJOIN(" - ", TRUE, CW_API_TABLE[[#This Row],[PWSID]],CW_API_TABLE[[#This Row],[PWS_NAME]])</f>
        <v>CA4410010 - SANTA CRUZ WATER DEPARTMENT</v>
      </c>
      <c r="J419" s="246" cm="1">
        <f t="array" ref="J419">IFERROR(SUMPRODUCT((PD_PWSID_LIST=Crosswalk_API!$C419)*(PD_SUM_DEL&gt;0)), 0)</f>
        <v>12</v>
      </c>
    </row>
    <row r="420" spans="1:10" x14ac:dyDescent="0.25">
      <c r="A420" s="234" t="s">
        <v>2219</v>
      </c>
      <c r="B420" t="s">
        <v>2220</v>
      </c>
      <c r="C420" t="s">
        <v>2221</v>
      </c>
      <c r="D420" t="s">
        <v>2222</v>
      </c>
      <c r="E420" t="s">
        <v>937</v>
      </c>
      <c r="F420" t="s">
        <v>109</v>
      </c>
      <c r="G420" s="245" t="str" cm="1">
        <f t="array" ref="G420">IF(IFERROR(INDEX(LAM_II_SQFT, MATCH(Crosswalk_API!$A420, LAM_ORG_ID_LIST, 0)), 0) = 0, "No", "Yes")</f>
        <v>Yes</v>
      </c>
      <c r="H420" s="245" t="str">
        <f>IF(OR(G420="Not Applicable", IFERROR(INDEX('Landing Page and Navigation'!$F$31:$F$48, MATCH(C420, 'Landing Page and Navigation'!$A$31:$A$48, 0)), "No") = "No"), "No", "Yes")</f>
        <v>No</v>
      </c>
      <c r="I420" s="245" t="str">
        <f>_xlfn.TEXTJOIN(" - ", TRUE, CW_API_TABLE[[#This Row],[PWSID]],CW_API_TABLE[[#This Row],[PWS_NAME]])</f>
        <v>CA3710023 - SANTA FE I.D.</v>
      </c>
      <c r="J420" s="246" cm="1">
        <f t="array" ref="J420">IFERROR(SUMPRODUCT((PD_PWSID_LIST=Crosswalk_API!$C420)*(PD_SUM_DEL&gt;0)), 0)</f>
        <v>12</v>
      </c>
    </row>
    <row r="421" spans="1:10" x14ac:dyDescent="0.25">
      <c r="A421" s="234" t="s">
        <v>2223</v>
      </c>
      <c r="B421" t="s">
        <v>2224</v>
      </c>
      <c r="C421" t="s">
        <v>2225</v>
      </c>
      <c r="D421" t="s">
        <v>2226</v>
      </c>
      <c r="E421" t="s">
        <v>708</v>
      </c>
      <c r="F421" t="s">
        <v>109</v>
      </c>
      <c r="G421" s="245" t="str" cm="1">
        <f t="array" ref="G421">IF(IFERROR(INDEX(LAM_II_SQFT, MATCH(Crosswalk_API!$A421, LAM_ORG_ID_LIST, 0)), 0) = 0, "No", "Yes")</f>
        <v>Yes</v>
      </c>
      <c r="H421" s="245" t="str">
        <f>IF(OR(G421="Not Applicable", IFERROR(INDEX('Landing Page and Navigation'!$F$31:$F$48, MATCH(C421, 'Landing Page and Navigation'!$A$31:$A$48, 0)), "No") = "No"), "No", "Yes")</f>
        <v>No</v>
      </c>
      <c r="I421" s="245" t="str">
        <f>_xlfn.TEXTJOIN(" - ", TRUE, CW_API_TABLE[[#This Row],[PWSID]],CW_API_TABLE[[#This Row],[PWS_NAME]])</f>
        <v>CA1910245 - SANTA FE SPRINGS - CITY, WATER DEPT.</v>
      </c>
      <c r="J421" s="246" cm="1">
        <f t="array" ref="J421">IFERROR(SUMPRODUCT((PD_PWSID_LIST=Crosswalk_API!$C421)*(PD_SUM_DEL&gt;0)), 0)</f>
        <v>12</v>
      </c>
    </row>
    <row r="422" spans="1:10" x14ac:dyDescent="0.25">
      <c r="A422" s="234" t="s">
        <v>2227</v>
      </c>
      <c r="B422" t="s">
        <v>2228</v>
      </c>
      <c r="C422" t="s">
        <v>2229</v>
      </c>
      <c r="D422" t="s">
        <v>2230</v>
      </c>
      <c r="E422" t="s">
        <v>731</v>
      </c>
      <c r="F422" t="s">
        <v>109</v>
      </c>
      <c r="G422" s="245" t="str" cm="1">
        <f t="array" ref="G422">IF(IFERROR(INDEX(LAM_II_SQFT, MATCH(Crosswalk_API!$A422, LAM_ORG_ID_LIST, 0)), 0) = 0, "No", "Yes")</f>
        <v>Yes</v>
      </c>
      <c r="H422" s="245" t="str">
        <f>IF(OR(G422="Not Applicable", IFERROR(INDEX('Landing Page and Navigation'!$F$31:$F$48, MATCH(C422, 'Landing Page and Navigation'!$A$31:$A$48, 0)), "No") = "No"), "No", "Yes")</f>
        <v>No</v>
      </c>
      <c r="I422" s="245" t="str">
        <f>_xlfn.TEXTJOIN(" - ", TRUE, CW_API_TABLE[[#This Row],[PWSID]],CW_API_TABLE[[#This Row],[PWS_NAME]])</f>
        <v>CA3010101 - SANTA MARGARITA WATER DISTRICT</v>
      </c>
      <c r="J422" s="246" cm="1">
        <f t="array" ref="J422">IFERROR(SUMPRODUCT((PD_PWSID_LIST=Crosswalk_API!$C422)*(PD_SUM_DEL&gt;0)), 0)</f>
        <v>12</v>
      </c>
    </row>
    <row r="423" spans="1:10" x14ac:dyDescent="0.25">
      <c r="A423" s="234" t="s">
        <v>2227</v>
      </c>
      <c r="B423" t="s">
        <v>2228</v>
      </c>
      <c r="C423" t="s">
        <v>2231</v>
      </c>
      <c r="D423" t="s">
        <v>2232</v>
      </c>
      <c r="E423" t="s">
        <v>731</v>
      </c>
      <c r="F423" t="s">
        <v>109</v>
      </c>
      <c r="G423" s="245" t="str" cm="1">
        <f t="array" ref="G423">IF(IFERROR(INDEX(LAM_II_SQFT, MATCH(Crosswalk_API!$A423, LAM_ORG_ID_LIST, 0)), 0) = 0, "No", "Yes")</f>
        <v>Yes</v>
      </c>
      <c r="H423" s="245" t="str">
        <f>IF(OR(G423="Not Applicable", IFERROR(INDEX('Landing Page and Navigation'!$F$31:$F$48, MATCH(C423, 'Landing Page and Navigation'!$A$31:$A$48, 0)), "No") = "No"), "No", "Yes")</f>
        <v>No</v>
      </c>
      <c r="I423" s="245" t="str">
        <f>_xlfn.TEXTJOIN(" - ", TRUE, CW_API_TABLE[[#This Row],[PWSID]],CW_API_TABLE[[#This Row],[PWS_NAME]])</f>
        <v>CA3010030 - CITY OF SAN JUAN CAPISTRANO</v>
      </c>
      <c r="J423" s="246" cm="1">
        <f t="array" ref="J423">IFERROR(SUMPRODUCT((PD_PWSID_LIST=Crosswalk_API!$C423)*(PD_SUM_DEL&gt;0)), 0)</f>
        <v>12</v>
      </c>
    </row>
    <row r="424" spans="1:10" x14ac:dyDescent="0.25">
      <c r="A424" s="234" t="s">
        <v>2233</v>
      </c>
      <c r="B424" t="s">
        <v>2234</v>
      </c>
      <c r="C424" t="s">
        <v>2235</v>
      </c>
      <c r="D424" t="s">
        <v>2236</v>
      </c>
      <c r="E424" t="s">
        <v>1089</v>
      </c>
      <c r="F424" t="s">
        <v>109</v>
      </c>
      <c r="G424" s="245" t="str" cm="1">
        <f t="array" ref="G424">IF(IFERROR(INDEX(LAM_II_SQFT, MATCH(Crosswalk_API!$A424, LAM_ORG_ID_LIST, 0)), 0) = 0, "No", "Yes")</f>
        <v>Yes</v>
      </c>
      <c r="H424" s="245" t="str">
        <f>IF(OR(G424="Not Applicable", IFERROR(INDEX('Landing Page and Navigation'!$F$31:$F$48, MATCH(C424, 'Landing Page and Navigation'!$A$31:$A$48, 0)), "No") = "No"), "No", "Yes")</f>
        <v>No</v>
      </c>
      <c r="I424" s="245" t="str">
        <f>_xlfn.TEXTJOIN(" - ", TRUE, CW_API_TABLE[[#This Row],[PWSID]],CW_API_TABLE[[#This Row],[PWS_NAME]])</f>
        <v>CA4210011 - SANTA MARIA WATER DEPARTMENT</v>
      </c>
      <c r="J424" s="246" cm="1">
        <f t="array" ref="J424">IFERROR(SUMPRODUCT((PD_PWSID_LIST=Crosswalk_API!$C424)*(PD_SUM_DEL&gt;0)), 0)</f>
        <v>12</v>
      </c>
    </row>
    <row r="425" spans="1:10" x14ac:dyDescent="0.25">
      <c r="A425" s="234" t="s">
        <v>2237</v>
      </c>
      <c r="B425" t="s">
        <v>2238</v>
      </c>
      <c r="C425" t="s">
        <v>2239</v>
      </c>
      <c r="D425" t="s">
        <v>2240</v>
      </c>
      <c r="E425" t="s">
        <v>708</v>
      </c>
      <c r="F425" t="s">
        <v>109</v>
      </c>
      <c r="G425" s="245" t="str" cm="1">
        <f t="array" ref="G425">IF(IFERROR(INDEX(LAM_II_SQFT, MATCH(Crosswalk_API!$A425, LAM_ORG_ID_LIST, 0)), 0) = 0, "No", "Yes")</f>
        <v>Yes</v>
      </c>
      <c r="H425" s="245" t="str">
        <f>IF(OR(G425="Not Applicable", IFERROR(INDEX('Landing Page and Navigation'!$F$31:$F$48, MATCH(C425, 'Landing Page and Navigation'!$A$31:$A$48, 0)), "No") = "No"), "No", "Yes")</f>
        <v>No</v>
      </c>
      <c r="I425" s="245" t="str">
        <f>_xlfn.TEXTJOIN(" - ", TRUE, CW_API_TABLE[[#This Row],[PWSID]],CW_API_TABLE[[#This Row],[PWS_NAME]])</f>
        <v>CA1910146 - SANTA MONICA-CITY, WATER DIVISION</v>
      </c>
      <c r="J425" s="246" cm="1">
        <f t="array" ref="J425">IFERROR(SUMPRODUCT((PD_PWSID_LIST=Crosswalk_API!$C425)*(PD_SUM_DEL&gt;0)), 0)</f>
        <v>12</v>
      </c>
    </row>
    <row r="426" spans="1:10" x14ac:dyDescent="0.25">
      <c r="A426" s="234" t="s">
        <v>2241</v>
      </c>
      <c r="B426" t="s">
        <v>2242</v>
      </c>
      <c r="C426" t="s">
        <v>2243</v>
      </c>
      <c r="D426" t="s">
        <v>2244</v>
      </c>
      <c r="E426" t="s">
        <v>942</v>
      </c>
      <c r="F426" t="s">
        <v>109</v>
      </c>
      <c r="G426" s="245" t="str" cm="1">
        <f t="array" ref="G426">IF(IFERROR(INDEX(LAM_II_SQFT, MATCH(Crosswalk_API!$A426, LAM_ORG_ID_LIST, 0)), 0) = 0, "No", "Yes")</f>
        <v>Yes</v>
      </c>
      <c r="H426" s="245" t="str">
        <f>IF(OR(G426="Not Applicable", IFERROR(INDEX('Landing Page and Navigation'!$F$31:$F$48, MATCH(C426, 'Landing Page and Navigation'!$A$31:$A$48, 0)), "No") = "No"), "No", "Yes")</f>
        <v>No</v>
      </c>
      <c r="I426" s="245" t="str">
        <f>_xlfn.TEXTJOIN(" - ", TRUE, CW_API_TABLE[[#This Row],[PWSID]],CW_API_TABLE[[#This Row],[PWS_NAME]])</f>
        <v>CA5610011 - CITY OF SANTA PAULA</v>
      </c>
      <c r="J426" s="246" cm="1">
        <f t="array" ref="J426">IFERROR(SUMPRODUCT((PD_PWSID_LIST=Crosswalk_API!$C426)*(PD_SUM_DEL&gt;0)), 0)</f>
        <v>12</v>
      </c>
    </row>
    <row r="427" spans="1:10" x14ac:dyDescent="0.25">
      <c r="A427" s="234" t="s">
        <v>2245</v>
      </c>
      <c r="B427" t="s">
        <v>2246</v>
      </c>
      <c r="C427" t="s">
        <v>2247</v>
      </c>
      <c r="D427" t="s">
        <v>2248</v>
      </c>
      <c r="E427" t="s">
        <v>1121</v>
      </c>
      <c r="F427" t="s">
        <v>109</v>
      </c>
      <c r="G427" s="245" t="str" cm="1">
        <f t="array" ref="G427">IF(IFERROR(INDEX(LAM_II_SQFT, MATCH(Crosswalk_API!$A427, LAM_ORG_ID_LIST, 0)), 0) = 0, "No", "Yes")</f>
        <v>Yes</v>
      </c>
      <c r="H427" s="245" t="str">
        <f>IF(OR(G427="Not Applicable", IFERROR(INDEX('Landing Page and Navigation'!$F$31:$F$48, MATCH(C427, 'Landing Page and Navigation'!$A$31:$A$48, 0)), "No") = "No"), "No", "Yes")</f>
        <v>No</v>
      </c>
      <c r="I427" s="245" t="str">
        <f>_xlfn.TEXTJOIN(" - ", TRUE, CW_API_TABLE[[#This Row],[PWSID]],CW_API_TABLE[[#This Row],[PWS_NAME]])</f>
        <v>CA4910009 - SANTA ROSA, CITY OF</v>
      </c>
      <c r="J427" s="246" cm="1">
        <f t="array" ref="J427">IFERROR(SUMPRODUCT((PD_PWSID_LIST=Crosswalk_API!$C427)*(PD_SUM_DEL&gt;0)), 0)</f>
        <v>12</v>
      </c>
    </row>
    <row r="428" spans="1:10" x14ac:dyDescent="0.25">
      <c r="A428" s="234" t="s">
        <v>2249</v>
      </c>
      <c r="B428" t="s">
        <v>2250</v>
      </c>
      <c r="C428" t="s">
        <v>2251</v>
      </c>
      <c r="D428" t="s">
        <v>2252</v>
      </c>
      <c r="E428" t="s">
        <v>2192</v>
      </c>
      <c r="F428" t="s">
        <v>109</v>
      </c>
      <c r="G428" s="245" t="str" cm="1">
        <f t="array" ref="G428">IF(IFERROR(INDEX(LAM_II_SQFT, MATCH(Crosswalk_API!$A428, LAM_ORG_ID_LIST, 0)), 0) = 0, "No", "Yes")</f>
        <v>Yes</v>
      </c>
      <c r="H428" s="245" t="str">
        <f>IF(OR(G428="Not Applicable", IFERROR(INDEX('Landing Page and Navigation'!$F$31:$F$48, MATCH(C428, 'Landing Page and Navigation'!$A$31:$A$48, 0)), "No") = "No"), "No", "Yes")</f>
        <v>No</v>
      </c>
      <c r="I428" s="245" t="str">
        <f>_xlfn.TEXTJOIN(" - ", TRUE, CW_API_TABLE[[#This Row],[PWSID]],CW_API_TABLE[[#This Row],[PWS_NAME]])</f>
        <v>CA4410013 - SCOTTS VALLEY WATER DISTRICT</v>
      </c>
      <c r="J428" s="246" cm="1">
        <f t="array" ref="J428">IFERROR(SUMPRODUCT((PD_PWSID_LIST=Crosswalk_API!$C428)*(PD_SUM_DEL&gt;0)), 0)</f>
        <v>12</v>
      </c>
    </row>
    <row r="429" spans="1:10" x14ac:dyDescent="0.25">
      <c r="A429" s="234" t="s">
        <v>2253</v>
      </c>
      <c r="B429" t="s">
        <v>2254</v>
      </c>
      <c r="C429" t="s">
        <v>2255</v>
      </c>
      <c r="D429" t="s">
        <v>2256</v>
      </c>
      <c r="E429" t="s">
        <v>731</v>
      </c>
      <c r="F429" t="s">
        <v>109</v>
      </c>
      <c r="G429" s="245" t="str" cm="1">
        <f t="array" ref="G429">IF(IFERROR(INDEX(LAM_II_SQFT, MATCH(Crosswalk_API!$A429, LAM_ORG_ID_LIST, 0)), 0) = 0, "No", "Yes")</f>
        <v>Yes</v>
      </c>
      <c r="H429" s="245" t="str">
        <f>IF(OR(G429="Not Applicable", IFERROR(INDEX('Landing Page and Navigation'!$F$31:$F$48, MATCH(C429, 'Landing Page and Navigation'!$A$31:$A$48, 0)), "No") = "No"), "No", "Yes")</f>
        <v>No</v>
      </c>
      <c r="I429" s="245" t="str">
        <f>_xlfn.TEXTJOIN(" - ", TRUE, CW_API_TABLE[[#This Row],[PWSID]],CW_API_TABLE[[#This Row],[PWS_NAME]])</f>
        <v>CA3010041 - CITY OF SEAL BEACH</v>
      </c>
      <c r="J429" s="246" cm="1">
        <f t="array" ref="J429">IFERROR(SUMPRODUCT((PD_PWSID_LIST=Crosswalk_API!$C429)*(PD_SUM_DEL&gt;0)), 0)</f>
        <v>12</v>
      </c>
    </row>
    <row r="430" spans="1:10" x14ac:dyDescent="0.25">
      <c r="A430" s="234" t="s">
        <v>2257</v>
      </c>
      <c r="B430" t="s">
        <v>2258</v>
      </c>
      <c r="C430" t="s">
        <v>2259</v>
      </c>
      <c r="D430" t="s">
        <v>2260</v>
      </c>
      <c r="E430" t="s">
        <v>766</v>
      </c>
      <c r="F430" t="s">
        <v>109</v>
      </c>
      <c r="G430" s="245" t="str" cm="1">
        <f t="array" ref="G430">IF(IFERROR(INDEX(LAM_II_SQFT, MATCH(Crosswalk_API!$A430, LAM_ORG_ID_LIST, 0)), 0) = 0, "No", "Yes")</f>
        <v>Yes</v>
      </c>
      <c r="H430" s="245" t="str">
        <f>IF(OR(G430="Not Applicable", IFERROR(INDEX('Landing Page and Navigation'!$F$31:$F$48, MATCH(C430, 'Landing Page and Navigation'!$A$31:$A$48, 0)), "No") = "No"), "No", "Yes")</f>
        <v>No</v>
      </c>
      <c r="I430" s="245" t="str">
        <f>_xlfn.TEXTJOIN(" - ", TRUE, CW_API_TABLE[[#This Row],[PWSID]],CW_API_TABLE[[#This Row],[PWS_NAME]])</f>
        <v>CA1510019 - SHAFTER, CITY OF</v>
      </c>
      <c r="J430" s="246" cm="1">
        <f t="array" ref="J430">IFERROR(SUMPRODUCT((PD_PWSID_LIST=Crosswalk_API!$C430)*(PD_SUM_DEL&gt;0)), 0)</f>
        <v>12</v>
      </c>
    </row>
    <row r="431" spans="1:10" x14ac:dyDescent="0.25">
      <c r="A431" s="234" t="s">
        <v>2261</v>
      </c>
      <c r="B431" t="s">
        <v>2262</v>
      </c>
      <c r="C431" t="s">
        <v>2263</v>
      </c>
      <c r="D431" t="s">
        <v>2264</v>
      </c>
      <c r="E431" t="s">
        <v>736</v>
      </c>
      <c r="F431" t="s">
        <v>109</v>
      </c>
      <c r="G431" s="245" t="str" cm="1">
        <f t="array" ref="G431">IF(IFERROR(INDEX(LAM_II_SQFT, MATCH(Crosswalk_API!$A431, LAM_ORG_ID_LIST, 0)), 0) = 0, "No", "Yes")</f>
        <v>Yes</v>
      </c>
      <c r="H431" s="245" t="str">
        <f>IF(OR(G431="Not Applicable", IFERROR(INDEX('Landing Page and Navigation'!$F$31:$F$48, MATCH(C431, 'Landing Page and Navigation'!$A$31:$A$48, 0)), "No") = "No"), "No", "Yes")</f>
        <v>No</v>
      </c>
      <c r="I431" s="245" t="str">
        <f>_xlfn.TEXTJOIN(" - ", TRUE, CW_API_TABLE[[#This Row],[PWSID]],CW_API_TABLE[[#This Row],[PWS_NAME]])</f>
        <v>CA4510006 - CITY OF SHASTA LAKE</v>
      </c>
      <c r="J431" s="246" cm="1">
        <f t="array" ref="J431">IFERROR(SUMPRODUCT((PD_PWSID_LIST=Crosswalk_API!$C431)*(PD_SUM_DEL&gt;0)), 0)</f>
        <v>12</v>
      </c>
    </row>
    <row r="432" spans="1:10" x14ac:dyDescent="0.25">
      <c r="A432" s="234" t="s">
        <v>2265</v>
      </c>
      <c r="B432" t="s">
        <v>2266</v>
      </c>
      <c r="C432" t="s">
        <v>2267</v>
      </c>
      <c r="D432" t="s">
        <v>2268</v>
      </c>
      <c r="E432" t="s">
        <v>708</v>
      </c>
      <c r="F432" t="s">
        <v>109</v>
      </c>
      <c r="G432" s="245" t="str" cm="1">
        <f t="array" ref="G432">IF(IFERROR(INDEX(LAM_II_SQFT, MATCH(Crosswalk_API!$A432, LAM_ORG_ID_LIST, 0)), 0) = 0, "No", "Yes")</f>
        <v>Yes</v>
      </c>
      <c r="H432" s="245" t="str">
        <f>IF(OR(G432="Not Applicable", IFERROR(INDEX('Landing Page and Navigation'!$F$31:$F$48, MATCH(C432, 'Landing Page and Navigation'!$A$31:$A$48, 0)), "No") = "No"), "No", "Yes")</f>
        <v>No</v>
      </c>
      <c r="I432" s="245" t="str">
        <f>_xlfn.TEXTJOIN(" - ", TRUE, CW_API_TABLE[[#This Row],[PWSID]],CW_API_TABLE[[#This Row],[PWS_NAME]])</f>
        <v>CA1910148 - SIERRA MADRE-CITY, WATER DEPT.</v>
      </c>
      <c r="J432" s="246" cm="1">
        <f t="array" ref="J432">IFERROR(SUMPRODUCT((PD_PWSID_LIST=Crosswalk_API!$C432)*(PD_SUM_DEL&gt;0)), 0)</f>
        <v>12</v>
      </c>
    </row>
    <row r="433" spans="1:10" x14ac:dyDescent="0.25">
      <c r="A433" s="234" t="s">
        <v>2269</v>
      </c>
      <c r="B433" t="s">
        <v>2270</v>
      </c>
      <c r="C433" t="s">
        <v>2271</v>
      </c>
      <c r="D433" t="s">
        <v>2272</v>
      </c>
      <c r="E433" t="s">
        <v>708</v>
      </c>
      <c r="F433" t="s">
        <v>109</v>
      </c>
      <c r="G433" s="245" t="str" cm="1">
        <f t="array" ref="G433">IF(IFERROR(INDEX(LAM_II_SQFT, MATCH(Crosswalk_API!$A433, LAM_ORG_ID_LIST, 0)), 0) = 0, "No", "Yes")</f>
        <v>No</v>
      </c>
      <c r="H433" s="245" t="str">
        <f>IF(OR(G433="Not Applicable", IFERROR(INDEX('Landing Page and Navigation'!$F$31:$F$48, MATCH(C433, 'Landing Page and Navigation'!$A$31:$A$48, 0)), "No") = "No"), "No", "Yes")</f>
        <v>No</v>
      </c>
      <c r="I433" s="245" t="str">
        <f>_xlfn.TEXTJOIN(" - ", TRUE, CW_API_TABLE[[#This Row],[PWSID]],CW_API_TABLE[[#This Row],[PWS_NAME]])</f>
        <v>CA1910149 - SIGNAL HILL - CITY, WATER DEPT.</v>
      </c>
      <c r="J433" s="246" cm="1">
        <f t="array" ref="J433">IFERROR(SUMPRODUCT((PD_PWSID_LIST=Crosswalk_API!$C433)*(PD_SUM_DEL&gt;0)), 0)</f>
        <v>12</v>
      </c>
    </row>
    <row r="434" spans="1:10" x14ac:dyDescent="0.25">
      <c r="A434" s="234" t="s">
        <v>2273</v>
      </c>
      <c r="B434" t="s">
        <v>2274</v>
      </c>
      <c r="C434" t="s">
        <v>2275</v>
      </c>
      <c r="D434" t="s">
        <v>2276</v>
      </c>
      <c r="E434" t="s">
        <v>703</v>
      </c>
      <c r="F434" t="s">
        <v>109</v>
      </c>
      <c r="G434" s="245" t="str" cm="1">
        <f t="array" ref="G434">IF(IFERROR(INDEX(LAM_II_SQFT, MATCH(Crosswalk_API!$A434, LAM_ORG_ID_LIST, 0)), 0) = 0, "No", "Yes")</f>
        <v>Yes</v>
      </c>
      <c r="H434" s="245" t="str">
        <f>IF(OR(G434="Not Applicable", IFERROR(INDEX('Landing Page and Navigation'!$F$31:$F$48, MATCH(C434, 'Landing Page and Navigation'!$A$31:$A$48, 0)), "No") = "No"), "No", "Yes")</f>
        <v>No</v>
      </c>
      <c r="I434" s="245" t="str">
        <f>_xlfn.TEXTJOIN(" - ", TRUE, CW_API_TABLE[[#This Row],[PWSID]],CW_API_TABLE[[#This Row],[PWS_NAME]])</f>
        <v>CA2710011 - SOLEDAD, CITY OF</v>
      </c>
      <c r="J434" s="246" cm="1">
        <f t="array" ref="J434">IFERROR(SUMPRODUCT((PD_PWSID_LIST=Crosswalk_API!$C434)*(PD_SUM_DEL&gt;0)), 0)</f>
        <v>12</v>
      </c>
    </row>
    <row r="435" spans="1:10" x14ac:dyDescent="0.25">
      <c r="A435" s="234" t="s">
        <v>2277</v>
      </c>
      <c r="B435" t="s">
        <v>2278</v>
      </c>
      <c r="C435" t="s">
        <v>2279</v>
      </c>
      <c r="D435" t="s">
        <v>2280</v>
      </c>
      <c r="E435" t="s">
        <v>1121</v>
      </c>
      <c r="F435" t="s">
        <v>109</v>
      </c>
      <c r="G435" s="245" t="str" cm="1">
        <f t="array" ref="G435">IF(IFERROR(INDEX(LAM_II_SQFT, MATCH(Crosswalk_API!$A435, LAM_ORG_ID_LIST, 0)), 0) = 0, "No", "Yes")</f>
        <v>Yes</v>
      </c>
      <c r="H435" s="245" t="str">
        <f>IF(OR(G435="Not Applicable", IFERROR(INDEX('Landing Page and Navigation'!$F$31:$F$48, MATCH(C435, 'Landing Page and Navigation'!$A$31:$A$48, 0)), "No") = "No"), "No", "Yes")</f>
        <v>No</v>
      </c>
      <c r="I435" s="245" t="str">
        <f>_xlfn.TEXTJOIN(" - ", TRUE, CW_API_TABLE[[#This Row],[PWSID]],CW_API_TABLE[[#This Row],[PWS_NAME]])</f>
        <v>CA4910012 - SONOMA, CITY OF</v>
      </c>
      <c r="J435" s="246" cm="1">
        <f t="array" ref="J435">IFERROR(SUMPRODUCT((PD_PWSID_LIST=Crosswalk_API!$C435)*(PD_SUM_DEL&gt;0)), 0)</f>
        <v>12</v>
      </c>
    </row>
    <row r="436" spans="1:10" x14ac:dyDescent="0.25">
      <c r="A436" s="234" t="s">
        <v>2281</v>
      </c>
      <c r="B436" t="s">
        <v>2282</v>
      </c>
      <c r="C436" t="s">
        <v>2283</v>
      </c>
      <c r="D436" t="s">
        <v>2284</v>
      </c>
      <c r="E436" t="s">
        <v>2192</v>
      </c>
      <c r="F436" t="s">
        <v>109</v>
      </c>
      <c r="G436" s="245" t="str" cm="1">
        <f t="array" ref="G436">IF(IFERROR(INDEX(LAM_II_SQFT, MATCH(Crosswalk_API!$A436, LAM_ORG_ID_LIST, 0)), 0) = 0, "No", "Yes")</f>
        <v>Yes</v>
      </c>
      <c r="H436" s="245" t="str">
        <f>IF(OR(G436="Not Applicable", IFERROR(INDEX('Landing Page and Navigation'!$F$31:$F$48, MATCH(C436, 'Landing Page and Navigation'!$A$31:$A$48, 0)), "No") = "No"), "No", "Yes")</f>
        <v>No</v>
      </c>
      <c r="I436" s="245" t="str">
        <f>_xlfn.TEXTJOIN(" - ", TRUE, CW_API_TABLE[[#This Row],[PWSID]],CW_API_TABLE[[#This Row],[PWS_NAME]])</f>
        <v>CA4410017 - SOQUEL CREEK WATER DISTRICT</v>
      </c>
      <c r="J436" s="246" cm="1">
        <f t="array" ref="J436">IFERROR(SUMPRODUCT((PD_PWSID_LIST=Crosswalk_API!$C436)*(PD_SUM_DEL&gt;0)), 0)</f>
        <v>12</v>
      </c>
    </row>
    <row r="437" spans="1:10" x14ac:dyDescent="0.25">
      <c r="A437" s="234" t="s">
        <v>2285</v>
      </c>
      <c r="B437" t="s">
        <v>2286</v>
      </c>
      <c r="C437" t="s">
        <v>2287</v>
      </c>
      <c r="D437" t="s">
        <v>2288</v>
      </c>
      <c r="E437" t="s">
        <v>731</v>
      </c>
      <c r="F437" t="s">
        <v>109</v>
      </c>
      <c r="G437" s="245" t="str" cm="1">
        <f t="array" ref="G437">IF(IFERROR(INDEX(LAM_II_SQFT, MATCH(Crosswalk_API!$A437, LAM_ORG_ID_LIST, 0)), 0) = 0, "No", "Yes")</f>
        <v>Yes</v>
      </c>
      <c r="H437" s="245" t="str">
        <f>IF(OR(G437="Not Applicable", IFERROR(INDEX('Landing Page and Navigation'!$F$31:$F$48, MATCH(C437, 'Landing Page and Navigation'!$A$31:$A$48, 0)), "No") = "No"), "No", "Yes")</f>
        <v>No</v>
      </c>
      <c r="I437" s="245" t="str">
        <f>_xlfn.TEXTJOIN(" - ", TRUE, CW_API_TABLE[[#This Row],[PWSID]],CW_API_TABLE[[#This Row],[PWS_NAME]])</f>
        <v>CA3010042 - SOUTH COAST WATER DISTRICT</v>
      </c>
      <c r="J437" s="246" cm="1">
        <f t="array" ref="J437">IFERROR(SUMPRODUCT((PD_PWSID_LIST=Crosswalk_API!$C437)*(PD_SUM_DEL&gt;0)), 0)</f>
        <v>12</v>
      </c>
    </row>
    <row r="438" spans="1:10" x14ac:dyDescent="0.25">
      <c r="A438" s="234" t="s">
        <v>2289</v>
      </c>
      <c r="B438" t="s">
        <v>2290</v>
      </c>
      <c r="C438" t="s">
        <v>2291</v>
      </c>
      <c r="D438" t="s">
        <v>2292</v>
      </c>
      <c r="E438" t="s">
        <v>963</v>
      </c>
      <c r="F438" t="s">
        <v>109</v>
      </c>
      <c r="G438" s="245" t="str" cm="1">
        <f t="array" ref="G438">IF(IFERROR(INDEX(LAM_II_SQFT, MATCH(Crosswalk_API!$A438, LAM_ORG_ID_LIST, 0)), 0) = 0, "No", "Yes")</f>
        <v>Yes</v>
      </c>
      <c r="H438" s="245" t="str">
        <f>IF(OR(G438="Not Applicable", IFERROR(INDEX('Landing Page and Navigation'!$F$31:$F$48, MATCH(C438, 'Landing Page and Navigation'!$A$31:$A$48, 0)), "No") = "No"), "No", "Yes")</f>
        <v>No</v>
      </c>
      <c r="I438" s="245" t="str">
        <f>_xlfn.TEXTJOIN(" - ", TRUE, CW_API_TABLE[[#This Row],[PWSID]],CW_API_TABLE[[#This Row],[PWS_NAME]])</f>
        <v>CA0410006 - SOUTH FEATHER W&amp;P - MINERS RANCH</v>
      </c>
      <c r="J438" s="246" cm="1">
        <f t="array" ref="J438">IFERROR(SUMPRODUCT((PD_PWSID_LIST=Crosswalk_API!$C438)*(PD_SUM_DEL&gt;0)), 0)</f>
        <v>12</v>
      </c>
    </row>
    <row r="439" spans="1:10" x14ac:dyDescent="0.25">
      <c r="A439" s="234" t="s">
        <v>2289</v>
      </c>
      <c r="B439" t="s">
        <v>2290</v>
      </c>
      <c r="C439" t="s">
        <v>2293</v>
      </c>
      <c r="D439" t="s">
        <v>2294</v>
      </c>
      <c r="E439" t="s">
        <v>963</v>
      </c>
      <c r="F439" t="s">
        <v>109</v>
      </c>
      <c r="G439" s="245" t="str" cm="1">
        <f t="array" ref="G439">IF(IFERROR(INDEX(LAM_II_SQFT, MATCH(Crosswalk_API!$A439, LAM_ORG_ID_LIST, 0)), 0) = 0, "No", "Yes")</f>
        <v>Yes</v>
      </c>
      <c r="H439" s="245" t="str">
        <f>IF(OR(G439="Not Applicable", IFERROR(INDEX('Landing Page and Navigation'!$F$31:$F$48, MATCH(C439, 'Landing Page and Navigation'!$A$31:$A$48, 0)), "No") = "No"), "No", "Yes")</f>
        <v>No</v>
      </c>
      <c r="I439" s="245" t="str">
        <f>_xlfn.TEXTJOIN(" - ", TRUE, CW_API_TABLE[[#This Row],[PWSID]],CW_API_TABLE[[#This Row],[PWS_NAME]])</f>
        <v>CA0410012 - SOUTH FEATHER W&amp;P - BANGOR</v>
      </c>
      <c r="J439" s="246" cm="1">
        <f t="array" ref="J439">IFERROR(SUMPRODUCT((PD_PWSID_LIST=Crosswalk_API!$C439)*(PD_SUM_DEL&gt;0)), 0)</f>
        <v>12</v>
      </c>
    </row>
    <row r="440" spans="1:10" x14ac:dyDescent="0.25">
      <c r="A440" s="234" t="s">
        <v>2295</v>
      </c>
      <c r="B440" t="s">
        <v>2296</v>
      </c>
      <c r="C440" t="s">
        <v>2297</v>
      </c>
      <c r="D440" t="s">
        <v>2298</v>
      </c>
      <c r="E440" t="s">
        <v>708</v>
      </c>
      <c r="F440" t="s">
        <v>109</v>
      </c>
      <c r="G440" s="245" t="str" cm="1">
        <f t="array" ref="G440">IF(IFERROR(INDEX(LAM_II_SQFT, MATCH(Crosswalk_API!$A440, LAM_ORG_ID_LIST, 0)), 0) = 0, "No", "Yes")</f>
        <v>Yes</v>
      </c>
      <c r="H440" s="245" t="str">
        <f>IF(OR(G440="Not Applicable", IFERROR(INDEX('Landing Page and Navigation'!$F$31:$F$48, MATCH(C440, 'Landing Page and Navigation'!$A$31:$A$48, 0)), "No") = "No"), "No", "Yes")</f>
        <v>No</v>
      </c>
      <c r="I440" s="245" t="str">
        <f>_xlfn.TEXTJOIN(" - ", TRUE, CW_API_TABLE[[#This Row],[PWSID]],CW_API_TABLE[[#This Row],[PWS_NAME]])</f>
        <v>CA1910152 - SOUTH GATE-CITY, WATER DEPT.</v>
      </c>
      <c r="J440" s="246" cm="1">
        <f t="array" ref="J440">IFERROR(SUMPRODUCT((PD_PWSID_LIST=Crosswalk_API!$C440)*(PD_SUM_DEL&gt;0)), 0)</f>
        <v>12</v>
      </c>
    </row>
    <row r="441" spans="1:10" x14ac:dyDescent="0.25">
      <c r="A441" s="234" t="s">
        <v>2299</v>
      </c>
      <c r="B441" t="s">
        <v>2300</v>
      </c>
      <c r="C441" t="s">
        <v>2301</v>
      </c>
      <c r="D441" t="s">
        <v>2302</v>
      </c>
      <c r="E441" t="s">
        <v>708</v>
      </c>
      <c r="F441" t="s">
        <v>109</v>
      </c>
      <c r="G441" s="245" t="str" cm="1">
        <f t="array" ref="G441">IF(IFERROR(INDEX(LAM_II_SQFT, MATCH(Crosswalk_API!$A441, LAM_ORG_ID_LIST, 0)), 0) = 0, "No", "Yes")</f>
        <v>Yes</v>
      </c>
      <c r="H441" s="245" t="str">
        <f>IF(OR(G441="Not Applicable", IFERROR(INDEX('Landing Page and Navigation'!$F$31:$F$48, MATCH(C441, 'Landing Page and Navigation'!$A$31:$A$48, 0)), "No") = "No"), "No", "Yes")</f>
        <v>No</v>
      </c>
      <c r="I441" s="245" t="str">
        <f>_xlfn.TEXTJOIN(" - ", TRUE, CW_API_TABLE[[#This Row],[PWSID]],CW_API_TABLE[[#This Row],[PWS_NAME]])</f>
        <v>CA1910154 - CITY OF SOUTH PASADENA</v>
      </c>
      <c r="J441" s="246" cm="1">
        <f t="array" ref="J441">IFERROR(SUMPRODUCT((PD_PWSID_LIST=Crosswalk_API!$C441)*(PD_SUM_DEL&gt;0)), 0)</f>
        <v>12</v>
      </c>
    </row>
    <row r="442" spans="1:10" x14ac:dyDescent="0.25">
      <c r="A442" s="234" t="s">
        <v>2303</v>
      </c>
      <c r="B442" t="s">
        <v>2304</v>
      </c>
      <c r="C442" t="s">
        <v>2305</v>
      </c>
      <c r="D442" t="s">
        <v>2306</v>
      </c>
      <c r="E442" t="s">
        <v>1254</v>
      </c>
      <c r="F442" t="s">
        <v>109</v>
      </c>
      <c r="G442" s="245" t="str" cm="1">
        <f t="array" ref="G442">IF(IFERROR(INDEX(LAM_II_SQFT, MATCH(Crosswalk_API!$A442, LAM_ORG_ID_LIST, 0)), 0) = 0, "No", "Yes")</f>
        <v>Yes</v>
      </c>
      <c r="H442" s="245" t="str">
        <f>IF(OR(G442="Not Applicable", IFERROR(INDEX('Landing Page and Navigation'!$F$31:$F$48, MATCH(C442, 'Landing Page and Navigation'!$A$31:$A$48, 0)), "No") = "No"), "No", "Yes")</f>
        <v>No</v>
      </c>
      <c r="I442" s="245" t="str">
        <f>_xlfn.TEXTJOIN(" - ", TRUE, CW_API_TABLE[[#This Row],[PWSID]],CW_API_TABLE[[#This Row],[PWS_NAME]])</f>
        <v>CA0910002 - SOUTH TAHOE PUD - MAIN</v>
      </c>
      <c r="J442" s="246" cm="1">
        <f t="array" ref="J442">IFERROR(SUMPRODUCT((PD_PWSID_LIST=Crosswalk_API!$C442)*(PD_SUM_DEL&gt;0)), 0)</f>
        <v>12</v>
      </c>
    </row>
    <row r="443" spans="1:10" x14ac:dyDescent="0.25">
      <c r="A443" s="234" t="s">
        <v>2307</v>
      </c>
      <c r="B443" t="s">
        <v>2308</v>
      </c>
      <c r="C443" t="s">
        <v>2309</v>
      </c>
      <c r="D443" t="s">
        <v>2310</v>
      </c>
      <c r="E443" t="s">
        <v>1051</v>
      </c>
      <c r="F443" t="s">
        <v>109</v>
      </c>
      <c r="G443" s="245" t="str" cm="1">
        <f t="array" ref="G443">IF(IFERROR(INDEX(LAM_II_SQFT, MATCH(Crosswalk_API!$A443, LAM_ORG_ID_LIST, 0)), 0) = 0, "No", "Yes")</f>
        <v>Yes</v>
      </c>
      <c r="H443" s="245" t="str">
        <f>IF(OR(G443="Not Applicable", IFERROR(INDEX('Landing Page and Navigation'!$F$31:$F$48, MATCH(C443, 'Landing Page and Navigation'!$A$31:$A$48, 0)), "No") = "No"), "No", "Yes")</f>
        <v>No</v>
      </c>
      <c r="I443" s="245" t="str">
        <f>_xlfn.TEXTJOIN(" - ", TRUE, CW_API_TABLE[[#This Row],[PWSID]],CW_API_TABLE[[#This Row],[PWS_NAME]])</f>
        <v>CA3910006 - STOCKTON EAST WATER DISTRICT</v>
      </c>
      <c r="J443" s="246" cm="1">
        <f t="array" ref="J443">IFERROR(SUMPRODUCT((PD_PWSID_LIST=Crosswalk_API!$C443)*(PD_SUM_DEL&gt;0)), 0)</f>
        <v>0</v>
      </c>
    </row>
    <row r="444" spans="1:10" x14ac:dyDescent="0.25">
      <c r="A444" s="234" t="s">
        <v>2307</v>
      </c>
      <c r="B444" t="s">
        <v>2308</v>
      </c>
      <c r="C444" t="s">
        <v>2311</v>
      </c>
      <c r="D444" t="s">
        <v>2312</v>
      </c>
      <c r="E444" t="s">
        <v>1051</v>
      </c>
      <c r="F444" t="s">
        <v>109</v>
      </c>
      <c r="G444" s="245" t="str" cm="1">
        <f t="array" ref="G444">IF(IFERROR(INDEX(LAM_II_SQFT, MATCH(Crosswalk_API!$A444, LAM_ORG_ID_LIST, 0)), 0) = 0, "No", "Yes")</f>
        <v>Yes</v>
      </c>
      <c r="H444" s="245" t="str">
        <f>IF(OR(G444="Not Applicable", IFERROR(INDEX('Landing Page and Navigation'!$F$31:$F$48, MATCH(C444, 'Landing Page and Navigation'!$A$31:$A$48, 0)), "No") = "No"), "No", "Yes")</f>
        <v>No</v>
      </c>
      <c r="I444" s="245" t="str">
        <f>_xlfn.TEXTJOIN(" - ", TRUE, CW_API_TABLE[[#This Row],[PWSID]],CW_API_TABLE[[#This Row],[PWS_NAME]])</f>
        <v>CA3910012 - CITY OF STOCKTON</v>
      </c>
      <c r="J444" s="246" cm="1">
        <f t="array" ref="J444">IFERROR(SUMPRODUCT((PD_PWSID_LIST=Crosswalk_API!$C444)*(PD_SUM_DEL&gt;0)), 0)</f>
        <v>12</v>
      </c>
    </row>
    <row r="445" spans="1:10" x14ac:dyDescent="0.25">
      <c r="A445" s="234" t="s">
        <v>2313</v>
      </c>
      <c r="B445" t="s">
        <v>2314</v>
      </c>
      <c r="C445" t="s">
        <v>2315</v>
      </c>
      <c r="D445" t="s">
        <v>2316</v>
      </c>
      <c r="E445" t="s">
        <v>708</v>
      </c>
      <c r="F445" t="s">
        <v>109</v>
      </c>
      <c r="G445" s="245" t="str" cm="1">
        <f t="array" ref="G445">IF(IFERROR(INDEX(LAM_II_SQFT, MATCH(Crosswalk_API!$A445, LAM_ORG_ID_LIST, 0)), 0) = 0, "No", "Yes")</f>
        <v>Yes</v>
      </c>
      <c r="H445" s="245" t="str">
        <f>IF(OR(G445="Not Applicable", IFERROR(INDEX('Landing Page and Navigation'!$F$31:$F$48, MATCH(C445, 'Landing Page and Navigation'!$A$31:$A$48, 0)), "No") = "No"), "No", "Yes")</f>
        <v>No</v>
      </c>
      <c r="I445" s="245" t="str">
        <f>_xlfn.TEXTJOIN(" - ", TRUE, CW_API_TABLE[[#This Row],[PWSID]],CW_API_TABLE[[#This Row],[PWS_NAME]])</f>
        <v>CA1910046 - SUBURBAN WATER SYSTEMS-GLENDORA</v>
      </c>
      <c r="J445" s="246" cm="1">
        <f t="array" ref="J445">IFERROR(SUMPRODUCT((PD_PWSID_LIST=Crosswalk_API!$C445)*(PD_SUM_DEL&gt;0)), 0)</f>
        <v>12</v>
      </c>
    </row>
    <row r="446" spans="1:10" x14ac:dyDescent="0.25">
      <c r="A446" s="234" t="s">
        <v>2313</v>
      </c>
      <c r="B446" t="s">
        <v>2314</v>
      </c>
      <c r="C446" t="s">
        <v>2317</v>
      </c>
      <c r="D446" t="s">
        <v>2318</v>
      </c>
      <c r="E446" t="s">
        <v>708</v>
      </c>
      <c r="F446" t="s">
        <v>109</v>
      </c>
      <c r="G446" s="245" t="str" cm="1">
        <f t="array" ref="G446">IF(IFERROR(INDEX(LAM_II_SQFT, MATCH(Crosswalk_API!$A446, LAM_ORG_ID_LIST, 0)), 0) = 0, "No", "Yes")</f>
        <v>Yes</v>
      </c>
      <c r="H446" s="245" t="str">
        <f>IF(OR(G446="Not Applicable", IFERROR(INDEX('Landing Page and Navigation'!$F$31:$F$48, MATCH(C446, 'Landing Page and Navigation'!$A$31:$A$48, 0)), "No") = "No"), "No", "Yes")</f>
        <v>No</v>
      </c>
      <c r="I446" s="245" t="str">
        <f>_xlfn.TEXTJOIN(" - ", TRUE, CW_API_TABLE[[#This Row],[PWSID]],CW_API_TABLE[[#This Row],[PWS_NAME]])</f>
        <v>CA1910200 - SUBURBAN WATER SYSTEMS-COVINA KNOLLS</v>
      </c>
      <c r="J446" s="246" cm="1">
        <f t="array" ref="J446">IFERROR(SUMPRODUCT((PD_PWSID_LIST=Crosswalk_API!$C446)*(PD_SUM_DEL&gt;0)), 0)</f>
        <v>12</v>
      </c>
    </row>
    <row r="447" spans="1:10" x14ac:dyDescent="0.25">
      <c r="A447" s="234" t="s">
        <v>2313</v>
      </c>
      <c r="B447" t="s">
        <v>2314</v>
      </c>
      <c r="C447" t="s">
        <v>2319</v>
      </c>
      <c r="D447" t="s">
        <v>2320</v>
      </c>
      <c r="E447" t="s">
        <v>708</v>
      </c>
      <c r="F447" t="s">
        <v>109</v>
      </c>
      <c r="G447" s="245" t="str" cm="1">
        <f t="array" ref="G447">IF(IFERROR(INDEX(LAM_II_SQFT, MATCH(Crosswalk_API!$A447, LAM_ORG_ID_LIST, 0)), 0) = 0, "No", "Yes")</f>
        <v>Yes</v>
      </c>
      <c r="H447" s="245" t="str">
        <f>IF(OR(G447="Not Applicable", IFERROR(INDEX('Landing Page and Navigation'!$F$31:$F$48, MATCH(C447, 'Landing Page and Navigation'!$A$31:$A$48, 0)), "No") = "No"), "No", "Yes")</f>
        <v>No</v>
      </c>
      <c r="I447" s="245" t="str">
        <f>_xlfn.TEXTJOIN(" - ", TRUE, CW_API_TABLE[[#This Row],[PWSID]],CW_API_TABLE[[#This Row],[PWS_NAME]])</f>
        <v>CA1910205 - SUBURBAN WATER SYSTEMS-SAN JOSE</v>
      </c>
      <c r="J447" s="246" cm="1">
        <f t="array" ref="J447">IFERROR(SUMPRODUCT((PD_PWSID_LIST=Crosswalk_API!$C447)*(PD_SUM_DEL&gt;0)), 0)</f>
        <v>12</v>
      </c>
    </row>
    <row r="448" spans="1:10" x14ac:dyDescent="0.25">
      <c r="A448" s="234" t="s">
        <v>2321</v>
      </c>
      <c r="B448" t="s">
        <v>2322</v>
      </c>
      <c r="C448" t="s">
        <v>2323</v>
      </c>
      <c r="D448" t="s">
        <v>2324</v>
      </c>
      <c r="E448" t="s">
        <v>708</v>
      </c>
      <c r="F448" t="s">
        <v>109</v>
      </c>
      <c r="G448" s="245" t="str" cm="1">
        <f t="array" ref="G448">IF(IFERROR(INDEX(LAM_II_SQFT, MATCH(Crosswalk_API!$A448, LAM_ORG_ID_LIST, 0)), 0) = 0, "No", "Yes")</f>
        <v>Yes</v>
      </c>
      <c r="H448" s="245" t="str">
        <f>IF(OR(G448="Not Applicable", IFERROR(INDEX('Landing Page and Navigation'!$F$31:$F$48, MATCH(C448, 'Landing Page and Navigation'!$A$31:$A$48, 0)), "No") = "No"), "No", "Yes")</f>
        <v>No</v>
      </c>
      <c r="I448" s="245" t="str">
        <f>_xlfn.TEXTJOIN(" - ", TRUE, CW_API_TABLE[[#This Row],[PWSID]],CW_API_TABLE[[#This Row],[PWS_NAME]])</f>
        <v>CA1910059 - SUBURBAN WATER SYSTEMS-LA MIRADA</v>
      </c>
      <c r="J448" s="246" cm="1">
        <f t="array" ref="J448">IFERROR(SUMPRODUCT((PD_PWSID_LIST=Crosswalk_API!$C448)*(PD_SUM_DEL&gt;0)), 0)</f>
        <v>12</v>
      </c>
    </row>
    <row r="449" spans="1:10" x14ac:dyDescent="0.25">
      <c r="A449" s="234" t="s">
        <v>2321</v>
      </c>
      <c r="B449" t="s">
        <v>2322</v>
      </c>
      <c r="C449" t="s">
        <v>2325</v>
      </c>
      <c r="D449" t="s">
        <v>2326</v>
      </c>
      <c r="E449" t="s">
        <v>708</v>
      </c>
      <c r="F449" t="s">
        <v>109</v>
      </c>
      <c r="G449" s="245" t="str" cm="1">
        <f t="array" ref="G449">IF(IFERROR(INDEX(LAM_II_SQFT, MATCH(Crosswalk_API!$A449, LAM_ORG_ID_LIST, 0)), 0) = 0, "No", "Yes")</f>
        <v>Yes</v>
      </c>
      <c r="H449" s="245" t="str">
        <f>IF(OR(G449="Not Applicable", IFERROR(INDEX('Landing Page and Navigation'!$F$31:$F$48, MATCH(C449, 'Landing Page and Navigation'!$A$31:$A$48, 0)), "No") = "No"), "No", "Yes")</f>
        <v>No</v>
      </c>
      <c r="I449" s="245" t="str">
        <f>_xlfn.TEXTJOIN(" - ", TRUE, CW_API_TABLE[[#This Row],[PWSID]],CW_API_TABLE[[#This Row],[PWS_NAME]])</f>
        <v>CA1910174 - SUBURBAN WATER SYSTEMS-WHITTIER</v>
      </c>
      <c r="J449" s="246" cm="1">
        <f t="array" ref="J449">IFERROR(SUMPRODUCT((PD_PWSID_LIST=Crosswalk_API!$C449)*(PD_SUM_DEL&gt;0)), 0)</f>
        <v>12</v>
      </c>
    </row>
    <row r="450" spans="1:10" x14ac:dyDescent="0.25">
      <c r="A450" s="234" t="s">
        <v>2327</v>
      </c>
      <c r="B450" t="s">
        <v>2328</v>
      </c>
      <c r="C450" t="s">
        <v>2329</v>
      </c>
      <c r="D450" t="s">
        <v>2330</v>
      </c>
      <c r="E450" t="s">
        <v>814</v>
      </c>
      <c r="F450" t="s">
        <v>109</v>
      </c>
      <c r="G450" s="245" t="str" cm="1">
        <f t="array" ref="G450">IF(IFERROR(INDEX(LAM_II_SQFT, MATCH(Crosswalk_API!$A450, LAM_ORG_ID_LIST, 0)), 0) = 0, "No", "Yes")</f>
        <v>Yes</v>
      </c>
      <c r="H450" s="245" t="str">
        <f>IF(OR(G450="Not Applicable", IFERROR(INDEX('Landing Page and Navigation'!$F$31:$F$48, MATCH(C450, 'Landing Page and Navigation'!$A$31:$A$48, 0)), "No") = "No"), "No", "Yes")</f>
        <v>No</v>
      </c>
      <c r="I450" s="245" t="str">
        <f>_xlfn.TEXTJOIN(" - ", TRUE, CW_API_TABLE[[#This Row],[PWSID]],CW_API_TABLE[[#This Row],[PWS_NAME]])</f>
        <v>CA4810005 - SUISUN-SOLANO WATER AUTHORITY</v>
      </c>
      <c r="J450" s="246" cm="1">
        <f t="array" ref="J450">IFERROR(SUMPRODUCT((PD_PWSID_LIST=Crosswalk_API!$C450)*(PD_SUM_DEL&gt;0)), 0)</f>
        <v>12</v>
      </c>
    </row>
    <row r="451" spans="1:10" x14ac:dyDescent="0.25">
      <c r="A451" s="234" t="s">
        <v>2331</v>
      </c>
      <c r="B451" t="s">
        <v>2332</v>
      </c>
      <c r="C451" t="s">
        <v>2333</v>
      </c>
      <c r="D451" t="s">
        <v>2334</v>
      </c>
      <c r="E451" t="s">
        <v>708</v>
      </c>
      <c r="F451" t="s">
        <v>109</v>
      </c>
      <c r="G451" s="245" t="str" cm="1">
        <f t="array" ref="G451">IF(IFERROR(INDEX(LAM_II_SQFT, MATCH(Crosswalk_API!$A451, LAM_ORG_ID_LIST, 0)), 0) = 0, "No", "Yes")</f>
        <v>Yes</v>
      </c>
      <c r="H451" s="245" t="str">
        <f>IF(OR(G451="Not Applicable", IFERROR(INDEX('Landing Page and Navigation'!$F$31:$F$48, MATCH(C451, 'Landing Page and Navigation'!$A$31:$A$48, 0)), "No") = "No"), "No", "Yes")</f>
        <v>No</v>
      </c>
      <c r="I451" s="245" t="str">
        <f>_xlfn.TEXTJOIN(" - ", TRUE, CW_API_TABLE[[#This Row],[PWSID]],CW_API_TABLE[[#This Row],[PWS_NAME]])</f>
        <v>CA1910157 - SUNNY SLOPE WATER CO.</v>
      </c>
      <c r="J451" s="246" cm="1">
        <f t="array" ref="J451">IFERROR(SUMPRODUCT((PD_PWSID_LIST=Crosswalk_API!$C451)*(PD_SUM_DEL&gt;0)), 0)</f>
        <v>12</v>
      </c>
    </row>
    <row r="452" spans="1:10" x14ac:dyDescent="0.25">
      <c r="A452" s="234" t="s">
        <v>2335</v>
      </c>
      <c r="B452" t="s">
        <v>2336</v>
      </c>
      <c r="C452" t="s">
        <v>2337</v>
      </c>
      <c r="D452" t="s">
        <v>2338</v>
      </c>
      <c r="E452" t="s">
        <v>1490</v>
      </c>
      <c r="F452" t="s">
        <v>109</v>
      </c>
      <c r="G452" s="245" t="str" cm="1">
        <f t="array" ref="G452">IF(IFERROR(INDEX(LAM_II_SQFT, MATCH(Crosswalk_API!$A452, LAM_ORG_ID_LIST, 0)), 0) = 0, "No", "Yes")</f>
        <v>Yes</v>
      </c>
      <c r="H452" s="245" t="str">
        <f>IF(OR(G452="Not Applicable", IFERROR(INDEX('Landing Page and Navigation'!$F$31:$F$48, MATCH(C452, 'Landing Page and Navigation'!$A$31:$A$48, 0)), "No") = "No"), "No", "Yes")</f>
        <v>No</v>
      </c>
      <c r="I452" s="245" t="str">
        <f>_xlfn.TEXTJOIN(" - ", TRUE, CW_API_TABLE[[#This Row],[PWSID]],CW_API_TABLE[[#This Row],[PWS_NAME]])</f>
        <v>CA3510003 - SUNNYSLOPE COUNTY WATER DIST</v>
      </c>
      <c r="J452" s="246" cm="1">
        <f t="array" ref="J452">IFERROR(SUMPRODUCT((PD_PWSID_LIST=Crosswalk_API!$C452)*(PD_SUM_DEL&gt;0)), 0)</f>
        <v>12</v>
      </c>
    </row>
    <row r="453" spans="1:10" x14ac:dyDescent="0.25">
      <c r="A453" s="234" t="s">
        <v>2339</v>
      </c>
      <c r="B453" t="s">
        <v>2340</v>
      </c>
      <c r="C453" t="s">
        <v>2341</v>
      </c>
      <c r="D453" t="s">
        <v>2342</v>
      </c>
      <c r="E453" t="s">
        <v>1007</v>
      </c>
      <c r="F453" t="s">
        <v>109</v>
      </c>
      <c r="G453" s="245" t="str" cm="1">
        <f t="array" ref="G453">IF(IFERROR(INDEX(LAM_II_SQFT, MATCH(Crosswalk_API!$A453, LAM_ORG_ID_LIST, 0)), 0) = 0, "No", "Yes")</f>
        <v>Yes</v>
      </c>
      <c r="H453" s="245" t="str">
        <f>IF(OR(G453="Not Applicable", IFERROR(INDEX('Landing Page and Navigation'!$F$31:$F$48, MATCH(C453, 'Landing Page and Navigation'!$A$31:$A$48, 0)), "No") = "No"), "No", "Yes")</f>
        <v>No</v>
      </c>
      <c r="I453" s="245" t="str">
        <f>_xlfn.TEXTJOIN(" - ", TRUE, CW_API_TABLE[[#This Row],[PWSID]],CW_API_TABLE[[#This Row],[PWS_NAME]])</f>
        <v>CA4310014 - CITY OF SUNNYVALE</v>
      </c>
      <c r="J453" s="246" cm="1">
        <f t="array" ref="J453">IFERROR(SUMPRODUCT((PD_PWSID_LIST=Crosswalk_API!$C453)*(PD_SUM_DEL&gt;0)), 0)</f>
        <v>12</v>
      </c>
    </row>
    <row r="454" spans="1:10" x14ac:dyDescent="0.25">
      <c r="A454" s="234" t="s">
        <v>2343</v>
      </c>
      <c r="B454" t="s">
        <v>2344</v>
      </c>
      <c r="C454" t="s">
        <v>2345</v>
      </c>
      <c r="D454" t="s">
        <v>2346</v>
      </c>
      <c r="E454" t="s">
        <v>2347</v>
      </c>
      <c r="F454" t="s">
        <v>109</v>
      </c>
      <c r="G454" s="245" t="str" cm="1">
        <f t="array" ref="G454">IF(IFERROR(INDEX(LAM_II_SQFT, MATCH(Crosswalk_API!$A454, LAM_ORG_ID_LIST, 0)), 0) = 0, "No", "Yes")</f>
        <v>Yes</v>
      </c>
      <c r="H454" s="245" t="str">
        <f>IF(OR(G454="Not Applicable", IFERROR(INDEX('Landing Page and Navigation'!$F$31:$F$48, MATCH(C454, 'Landing Page and Navigation'!$A$31:$A$48, 0)), "No") = "No"), "No", "Yes")</f>
        <v>No</v>
      </c>
      <c r="I454" s="245" t="str">
        <f>_xlfn.TEXTJOIN(" - ", TRUE, CW_API_TABLE[[#This Row],[PWSID]],CW_API_TABLE[[#This Row],[PWS_NAME]])</f>
        <v>CA1810001 - CITY OF SUSANVILLE</v>
      </c>
      <c r="J454" s="246" cm="1">
        <f t="array" ref="J454">IFERROR(SUMPRODUCT((PD_PWSID_LIST=Crosswalk_API!$C454)*(PD_SUM_DEL&gt;0)), 0)</f>
        <v>12</v>
      </c>
    </row>
    <row r="455" spans="1:10" x14ac:dyDescent="0.25">
      <c r="A455" s="234" t="s">
        <v>2348</v>
      </c>
      <c r="B455" t="s">
        <v>2349</v>
      </c>
      <c r="C455" t="s">
        <v>2350</v>
      </c>
      <c r="D455" t="s">
        <v>2351</v>
      </c>
      <c r="E455" t="s">
        <v>937</v>
      </c>
      <c r="F455" t="s">
        <v>109</v>
      </c>
      <c r="G455" s="245" t="str" cm="1">
        <f t="array" ref="G455">IF(IFERROR(INDEX(LAM_II_SQFT, MATCH(Crosswalk_API!$A455, LAM_ORG_ID_LIST, 0)), 0) = 0, "No", "Yes")</f>
        <v>Yes</v>
      </c>
      <c r="H455" s="245" t="str">
        <f>IF(OR(G455="Not Applicable", IFERROR(INDEX('Landing Page and Navigation'!$F$31:$F$48, MATCH(C455, 'Landing Page and Navigation'!$A$31:$A$48, 0)), "No") = "No"), "No", "Yes")</f>
        <v>No</v>
      </c>
      <c r="I455" s="245" t="str">
        <f>_xlfn.TEXTJOIN(" - ", TRUE, CW_API_TABLE[[#This Row],[PWSID]],CW_API_TABLE[[#This Row],[PWS_NAME]])</f>
        <v>CA3710025 - SWEETWATER AUTHORITY</v>
      </c>
      <c r="J455" s="246" cm="1">
        <f t="array" ref="J455">IFERROR(SUMPRODUCT((PD_PWSID_LIST=Crosswalk_API!$C455)*(PD_SUM_DEL&gt;0)), 0)</f>
        <v>12</v>
      </c>
    </row>
    <row r="456" spans="1:10" x14ac:dyDescent="0.25">
      <c r="A456" s="234" t="s">
        <v>2352</v>
      </c>
      <c r="B456" t="s">
        <v>2353</v>
      </c>
      <c r="C456" t="s">
        <v>2354</v>
      </c>
      <c r="D456" t="s">
        <v>2355</v>
      </c>
      <c r="E456" t="s">
        <v>1121</v>
      </c>
      <c r="F456" t="s">
        <v>109</v>
      </c>
      <c r="G456" s="245" t="str" cm="1">
        <f t="array" ref="G456">IF(IFERROR(INDEX(LAM_II_SQFT, MATCH(Crosswalk_API!$A456, LAM_ORG_ID_LIST, 0)), 0) = 0, "No", "Yes")</f>
        <v>No</v>
      </c>
      <c r="H456" s="245" t="str">
        <f>IF(OR(G456="Not Applicable", IFERROR(INDEX('Landing Page and Navigation'!$F$31:$F$48, MATCH(C456, 'Landing Page and Navigation'!$A$31:$A$48, 0)), "No") = "No"), "No", "Yes")</f>
        <v>No</v>
      </c>
      <c r="I456" s="245" t="str">
        <f>_xlfn.TEXTJOIN(" - ", TRUE, CW_API_TABLE[[#This Row],[PWSID]],CW_API_TABLE[[#This Row],[PWS_NAME]])</f>
        <v>CA4910004 - SWEETWATER SPRINGS CWD - GUERNEVILLE</v>
      </c>
      <c r="J456" s="246" cm="1">
        <f t="array" ref="J456">IFERROR(SUMPRODUCT((PD_PWSID_LIST=Crosswalk_API!$C456)*(PD_SUM_DEL&gt;0)), 0)</f>
        <v>12</v>
      </c>
    </row>
    <row r="457" spans="1:10" x14ac:dyDescent="0.25">
      <c r="A457" s="234" t="s">
        <v>2352</v>
      </c>
      <c r="B457" t="s">
        <v>2353</v>
      </c>
      <c r="C457" t="s">
        <v>2356</v>
      </c>
      <c r="D457" t="s">
        <v>2357</v>
      </c>
      <c r="E457" t="s">
        <v>1121</v>
      </c>
      <c r="F457" t="s">
        <v>109</v>
      </c>
      <c r="G457" s="245" t="str" cm="1">
        <f t="array" ref="G457">IF(IFERROR(INDEX(LAM_II_SQFT, MATCH(Crosswalk_API!$A457, LAM_ORG_ID_LIST, 0)), 0) = 0, "No", "Yes")</f>
        <v>No</v>
      </c>
      <c r="H457" s="245" t="str">
        <f>IF(OR(G457="Not Applicable", IFERROR(INDEX('Landing Page and Navigation'!$F$31:$F$48, MATCH(C457, 'Landing Page and Navigation'!$A$31:$A$48, 0)), "No") = "No"), "No", "Yes")</f>
        <v>No</v>
      </c>
      <c r="I457" s="245" t="str">
        <f>_xlfn.TEXTJOIN(" - ", TRUE, CW_API_TABLE[[#This Row],[PWSID]],CW_API_TABLE[[#This Row],[PWS_NAME]])</f>
        <v>CA4910028 - SWEETWATER SPRINGS CWD - MONTE RIO</v>
      </c>
      <c r="J457" s="246" cm="1">
        <f t="array" ref="J457">IFERROR(SUMPRODUCT((PD_PWSID_LIST=Crosswalk_API!$C457)*(PD_SUM_DEL&gt;0)), 0)</f>
        <v>12</v>
      </c>
    </row>
    <row r="458" spans="1:10" x14ac:dyDescent="0.25">
      <c r="A458" s="234" t="s">
        <v>2358</v>
      </c>
      <c r="B458" t="s">
        <v>2359</v>
      </c>
      <c r="C458" t="s">
        <v>2360</v>
      </c>
      <c r="D458" t="s">
        <v>2361</v>
      </c>
      <c r="E458" t="s">
        <v>1254</v>
      </c>
      <c r="F458" t="s">
        <v>109</v>
      </c>
      <c r="G458" s="245" t="str" cm="1">
        <f t="array" ref="G458">IF(IFERROR(INDEX(LAM_II_SQFT, MATCH(Crosswalk_API!$A458, LAM_ORG_ID_LIST, 0)), 0) = 0, "No", "Yes")</f>
        <v>No</v>
      </c>
      <c r="H458" s="245" t="str">
        <f>IF(OR(G458="Not Applicable", IFERROR(INDEX('Landing Page and Navigation'!$F$31:$F$48, MATCH(C458, 'Landing Page and Navigation'!$A$31:$A$48, 0)), "No") = "No"), "No", "Yes")</f>
        <v>No</v>
      </c>
      <c r="I458" s="245" t="str">
        <f>_xlfn.TEXTJOIN(" - ", TRUE, CW_API_TABLE[[#This Row],[PWSID]],CW_API_TABLE[[#This Row],[PWS_NAME]])</f>
        <v>CA0910012 - TAHOE CITY PUD - RUBICON</v>
      </c>
      <c r="J458" s="246" cm="1">
        <f t="array" ref="J458">IFERROR(SUMPRODUCT((PD_PWSID_LIST=Crosswalk_API!$C458)*(PD_SUM_DEL&gt;0)), 0)</f>
        <v>12</v>
      </c>
    </row>
    <row r="459" spans="1:10" x14ac:dyDescent="0.25">
      <c r="A459" s="234" t="s">
        <v>2358</v>
      </c>
      <c r="B459" t="s">
        <v>2359</v>
      </c>
      <c r="C459" t="s">
        <v>2362</v>
      </c>
      <c r="D459" t="s">
        <v>2363</v>
      </c>
      <c r="E459" t="s">
        <v>910</v>
      </c>
      <c r="F459" t="s">
        <v>109</v>
      </c>
      <c r="G459" s="245" t="str" cm="1">
        <f t="array" ref="G459">IF(IFERROR(INDEX(LAM_II_SQFT, MATCH(Crosswalk_API!$A459, LAM_ORG_ID_LIST, 0)), 0) = 0, "No", "Yes")</f>
        <v>No</v>
      </c>
      <c r="H459" s="245" t="str">
        <f>IF(OR(G459="Not Applicable", IFERROR(INDEX('Landing Page and Navigation'!$F$31:$F$48, MATCH(C459, 'Landing Page and Navigation'!$A$31:$A$48, 0)), "No") = "No"), "No", "Yes")</f>
        <v>No</v>
      </c>
      <c r="I459" s="245" t="str">
        <f>_xlfn.TEXTJOIN(" - ", TRUE, CW_API_TABLE[[#This Row],[PWSID]],CW_API_TABLE[[#This Row],[PWS_NAME]])</f>
        <v>CA3100029 - TAHOE CITY PUD - TIMBERLAND</v>
      </c>
      <c r="J459" s="246" cm="1">
        <f t="array" ref="J459">IFERROR(SUMPRODUCT((PD_PWSID_LIST=Crosswalk_API!$C459)*(PD_SUM_DEL&gt;0)), 0)</f>
        <v>12</v>
      </c>
    </row>
    <row r="460" spans="1:10" x14ac:dyDescent="0.25">
      <c r="A460" s="234" t="s">
        <v>2358</v>
      </c>
      <c r="B460" t="s">
        <v>2359</v>
      </c>
      <c r="C460" t="s">
        <v>2364</v>
      </c>
      <c r="D460" t="s">
        <v>2365</v>
      </c>
      <c r="E460" t="s">
        <v>910</v>
      </c>
      <c r="F460" t="s">
        <v>109</v>
      </c>
      <c r="G460" s="245" t="str" cm="1">
        <f t="array" ref="G460">IF(IFERROR(INDEX(LAM_II_SQFT, MATCH(Crosswalk_API!$A460, LAM_ORG_ID_LIST, 0)), 0) = 0, "No", "Yes")</f>
        <v>No</v>
      </c>
      <c r="H460" s="245" t="str">
        <f>IF(OR(G460="Not Applicable", IFERROR(INDEX('Landing Page and Navigation'!$F$31:$F$48, MATCH(C460, 'Landing Page and Navigation'!$A$31:$A$48, 0)), "No") = "No"), "No", "Yes")</f>
        <v>No</v>
      </c>
      <c r="I460" s="245" t="str">
        <f>_xlfn.TEXTJOIN(" - ", TRUE, CW_API_TABLE[[#This Row],[PWSID]],CW_API_TABLE[[#This Row],[PWS_NAME]])</f>
        <v>CA3110010 - TAHOE CITY PUD - MAIN</v>
      </c>
      <c r="J460" s="246" cm="1">
        <f t="array" ref="J460">IFERROR(SUMPRODUCT((PD_PWSID_LIST=Crosswalk_API!$C460)*(PD_SUM_DEL&gt;0)), 0)</f>
        <v>12</v>
      </c>
    </row>
    <row r="461" spans="1:10" x14ac:dyDescent="0.25">
      <c r="A461" s="234" t="s">
        <v>2358</v>
      </c>
      <c r="B461" t="s">
        <v>2359</v>
      </c>
      <c r="C461" t="s">
        <v>2366</v>
      </c>
      <c r="D461" t="s">
        <v>2367</v>
      </c>
      <c r="E461" t="s">
        <v>910</v>
      </c>
      <c r="F461" t="s">
        <v>109</v>
      </c>
      <c r="G461" s="245" t="str" cm="1">
        <f t="array" ref="G461">IF(IFERROR(INDEX(LAM_II_SQFT, MATCH(Crosswalk_API!$A461, LAM_ORG_ID_LIST, 0)), 0) = 0, "No", "Yes")</f>
        <v>No</v>
      </c>
      <c r="H461" s="245" t="str">
        <f>IF(OR(G461="Not Applicable", IFERROR(INDEX('Landing Page and Navigation'!$F$31:$F$48, MATCH(C461, 'Landing Page and Navigation'!$A$31:$A$48, 0)), "No") = "No"), "No", "Yes")</f>
        <v>No</v>
      </c>
      <c r="I461" s="245" t="str">
        <f>_xlfn.TEXTJOIN(" - ", TRUE, CW_API_TABLE[[#This Row],[PWSID]],CW_API_TABLE[[#This Row],[PWS_NAME]])</f>
        <v>CA3110011 - TAHOE CITY PUD - MCKINNEY/QUAIL</v>
      </c>
      <c r="J461" s="246" cm="1">
        <f t="array" ref="J461">IFERROR(SUMPRODUCT((PD_PWSID_LIST=Crosswalk_API!$C461)*(PD_SUM_DEL&gt;0)), 0)</f>
        <v>12</v>
      </c>
    </row>
    <row r="462" spans="1:10" x14ac:dyDescent="0.25">
      <c r="A462" s="234" t="s">
        <v>2358</v>
      </c>
      <c r="B462" t="s">
        <v>2359</v>
      </c>
      <c r="C462" t="s">
        <v>2368</v>
      </c>
      <c r="D462" t="s">
        <v>2369</v>
      </c>
      <c r="E462" t="s">
        <v>910</v>
      </c>
      <c r="F462" t="s">
        <v>109</v>
      </c>
      <c r="G462" s="245" t="str" cm="1">
        <f t="array" ref="G462">IF(IFERROR(INDEX(LAM_II_SQFT, MATCH(Crosswalk_API!$A462, LAM_ORG_ID_LIST, 0)), 0) = 0, "No", "Yes")</f>
        <v>No</v>
      </c>
      <c r="H462" s="245" t="str">
        <f>IF(OR(G462="Not Applicable", IFERROR(INDEX('Landing Page and Navigation'!$F$31:$F$48, MATCH(C462, 'Landing Page and Navigation'!$A$31:$A$48, 0)), "No") = "No"), "No", "Yes")</f>
        <v>No</v>
      </c>
      <c r="I462" s="245" t="str">
        <f>_xlfn.TEXTJOIN(" - ", TRUE, CW_API_TABLE[[#This Row],[PWSID]],CW_API_TABLE[[#This Row],[PWS_NAME]])</f>
        <v>CA3110013 - TAHOE CITY PUD - TAHOE CEDARS</v>
      </c>
      <c r="J462" s="246" cm="1">
        <f t="array" ref="J462">IFERROR(SUMPRODUCT((PD_PWSID_LIST=Crosswalk_API!$C462)*(PD_SUM_DEL&gt;0)), 0)</f>
        <v>0</v>
      </c>
    </row>
    <row r="463" spans="1:10" x14ac:dyDescent="0.25">
      <c r="A463" s="234" t="s">
        <v>2358</v>
      </c>
      <c r="B463" t="s">
        <v>2359</v>
      </c>
      <c r="C463" t="s">
        <v>2370</v>
      </c>
      <c r="D463" t="s">
        <v>2371</v>
      </c>
      <c r="E463" t="s">
        <v>910</v>
      </c>
      <c r="F463" t="s">
        <v>109</v>
      </c>
      <c r="G463" s="245" t="str" cm="1">
        <f t="array" ref="G463">IF(IFERROR(INDEX(LAM_II_SQFT, MATCH(Crosswalk_API!$A463, LAM_ORG_ID_LIST, 0)), 0) = 0, "No", "Yes")</f>
        <v>No</v>
      </c>
      <c r="H463" s="245" t="str">
        <f>IF(OR(G463="Not Applicable", IFERROR(INDEX('Landing Page and Navigation'!$F$31:$F$48, MATCH(C463, 'Landing Page and Navigation'!$A$31:$A$48, 0)), "No") = "No"), "No", "Yes")</f>
        <v>No</v>
      </c>
      <c r="I463" s="245" t="str">
        <f>_xlfn.TEXTJOIN(" - ", TRUE, CW_API_TABLE[[#This Row],[PWSID]],CW_API_TABLE[[#This Row],[PWS_NAME]])</f>
        <v>CA3110043 - TAHOE CITY PUD - MADDEN CREEK</v>
      </c>
      <c r="J463" s="246" cm="1">
        <f t="array" ref="J463">IFERROR(SUMPRODUCT((PD_PWSID_LIST=Crosswalk_API!$C463)*(PD_SUM_DEL&gt;0)), 0)</f>
        <v>0</v>
      </c>
    </row>
    <row r="464" spans="1:10" x14ac:dyDescent="0.25">
      <c r="A464" s="234" t="s">
        <v>2358</v>
      </c>
      <c r="B464" t="s">
        <v>2359</v>
      </c>
      <c r="C464" t="s">
        <v>2372</v>
      </c>
      <c r="D464" t="s">
        <v>2373</v>
      </c>
      <c r="E464" t="s">
        <v>910</v>
      </c>
      <c r="F464" t="s">
        <v>109</v>
      </c>
      <c r="G464" s="245" t="str" cm="1">
        <f t="array" ref="G464">IF(IFERROR(INDEX(LAM_II_SQFT, MATCH(Crosswalk_API!$A464, LAM_ORG_ID_LIST, 0)), 0) = 0, "No", "Yes")</f>
        <v>No</v>
      </c>
      <c r="H464" s="245" t="str">
        <f>IF(OR(G464="Not Applicable", IFERROR(INDEX('Landing Page and Navigation'!$F$31:$F$48, MATCH(C464, 'Landing Page and Navigation'!$A$31:$A$48, 0)), "No") = "No"), "No", "Yes")</f>
        <v>No</v>
      </c>
      <c r="I464" s="245" t="str">
        <f>_xlfn.TEXTJOIN(" - ", TRUE, CW_API_TABLE[[#This Row],[PWSID]],CW_API_TABLE[[#This Row],[PWS_NAME]])</f>
        <v>CA3110044 - TAHOE CITY PUD - ALPINE PEAKS</v>
      </c>
      <c r="J464" s="246" cm="1">
        <f t="array" ref="J464">IFERROR(SUMPRODUCT((PD_PWSID_LIST=Crosswalk_API!$C464)*(PD_SUM_DEL&gt;0)), 0)</f>
        <v>12</v>
      </c>
    </row>
    <row r="465" spans="1:10" x14ac:dyDescent="0.25">
      <c r="A465" s="234" t="s">
        <v>2374</v>
      </c>
      <c r="B465" t="s">
        <v>2375</v>
      </c>
      <c r="C465" t="s">
        <v>2376</v>
      </c>
      <c r="D465" t="s">
        <v>2377</v>
      </c>
      <c r="E465" t="s">
        <v>766</v>
      </c>
      <c r="F465" t="s">
        <v>109</v>
      </c>
      <c r="G465" s="245" t="str" cm="1">
        <f t="array" ref="G465">IF(IFERROR(INDEX(LAM_II_SQFT, MATCH(Crosswalk_API!$A465, LAM_ORG_ID_LIST, 0)), 0) = 0, "No", "Yes")</f>
        <v>Yes</v>
      </c>
      <c r="H465" s="245" t="str">
        <f>IF(OR(G465="Not Applicable", IFERROR(INDEX('Landing Page and Navigation'!$F$31:$F$48, MATCH(C465, 'Landing Page and Navigation'!$A$31:$A$48, 0)), "No") = "No"), "No", "Yes")</f>
        <v>No</v>
      </c>
      <c r="I465" s="245" t="str">
        <f>_xlfn.TEXTJOIN(" - ", TRUE, CW_API_TABLE[[#This Row],[PWSID]],CW_API_TABLE[[#This Row],[PWS_NAME]])</f>
        <v>CA1510020 - TEHACHAPI, CITY OF</v>
      </c>
      <c r="J465" s="246" cm="1">
        <f t="array" ref="J465">IFERROR(SUMPRODUCT((PD_PWSID_LIST=Crosswalk_API!$C465)*(PD_SUM_DEL&gt;0)), 0)</f>
        <v>12</v>
      </c>
    </row>
    <row r="466" spans="1:10" x14ac:dyDescent="0.25">
      <c r="A466" s="234" t="s">
        <v>2378</v>
      </c>
      <c r="B466" t="s">
        <v>2379</v>
      </c>
      <c r="C466" t="s">
        <v>2380</v>
      </c>
      <c r="D466" t="s">
        <v>2381</v>
      </c>
      <c r="E466" t="s">
        <v>963</v>
      </c>
      <c r="F466" t="s">
        <v>109</v>
      </c>
      <c r="G466" s="245" t="str" cm="1">
        <f t="array" ref="G466">IF(IFERROR(INDEX(LAM_II_SQFT, MATCH(Crosswalk_API!$A466, LAM_ORG_ID_LIST, 0)), 0) = 0, "No", "Yes")</f>
        <v>No</v>
      </c>
      <c r="H466" s="245" t="str">
        <f>IF(OR(G466="Not Applicable", IFERROR(INDEX('Landing Page and Navigation'!$F$31:$F$48, MATCH(C466, 'Landing Page and Navigation'!$A$31:$A$48, 0)), "No") = "No"), "No", "Yes")</f>
        <v>No</v>
      </c>
      <c r="I466" s="245" t="str">
        <f>_xlfn.TEXTJOIN(" - ", TRUE, CW_API_TABLE[[#This Row],[PWSID]],CW_API_TABLE[[#This Row],[PWS_NAME]])</f>
        <v>CA0410008 - THERMALITO WATER &amp; SEWER DIST</v>
      </c>
      <c r="J466" s="246" cm="1">
        <f t="array" ref="J466">IFERROR(SUMPRODUCT((PD_PWSID_LIST=Crosswalk_API!$C466)*(PD_SUM_DEL&gt;0)), 0)</f>
        <v>12</v>
      </c>
    </row>
    <row r="467" spans="1:10" x14ac:dyDescent="0.25">
      <c r="A467" s="234" t="s">
        <v>2382</v>
      </c>
      <c r="B467" t="s">
        <v>2383</v>
      </c>
      <c r="C467" t="s">
        <v>2384</v>
      </c>
      <c r="D467" t="s">
        <v>2385</v>
      </c>
      <c r="E467" t="s">
        <v>942</v>
      </c>
      <c r="F467" t="s">
        <v>109</v>
      </c>
      <c r="G467" s="245" t="str" cm="1">
        <f t="array" ref="G467">IF(IFERROR(INDEX(LAM_II_SQFT, MATCH(Crosswalk_API!$A467, LAM_ORG_ID_LIST, 0)), 0) = 0, "No", "Yes")</f>
        <v>Yes</v>
      </c>
      <c r="H467" s="245" t="str">
        <f>IF(OR(G467="Not Applicable", IFERROR(INDEX('Landing Page and Navigation'!$F$31:$F$48, MATCH(C467, 'Landing Page and Navigation'!$A$31:$A$48, 0)), "No") = "No"), "No", "Yes")</f>
        <v>No</v>
      </c>
      <c r="I467" s="245" t="str">
        <f>_xlfn.TEXTJOIN(" - ", TRUE, CW_API_TABLE[[#This Row],[PWSID]],CW_API_TABLE[[#This Row],[PWS_NAME]])</f>
        <v>CA5610020 - THOUSAND OAKS WATER DEPT</v>
      </c>
      <c r="J467" s="246" cm="1">
        <f t="array" ref="J467">IFERROR(SUMPRODUCT((PD_PWSID_LIST=Crosswalk_API!$C467)*(PD_SUM_DEL&gt;0)), 0)</f>
        <v>12</v>
      </c>
    </row>
    <row r="468" spans="1:10" x14ac:dyDescent="0.25">
      <c r="A468" s="234" t="s">
        <v>2386</v>
      </c>
      <c r="B468" t="s">
        <v>2387</v>
      </c>
      <c r="C468" t="s">
        <v>2388</v>
      </c>
      <c r="D468" t="s">
        <v>2389</v>
      </c>
      <c r="E468" t="s">
        <v>708</v>
      </c>
      <c r="F468" t="s">
        <v>109</v>
      </c>
      <c r="G468" s="245" t="str" cm="1">
        <f t="array" ref="G468">IF(IFERROR(INDEX(LAM_II_SQFT, MATCH(Crosswalk_API!$A468, LAM_ORG_ID_LIST, 0)), 0) = 0, "No", "Yes")</f>
        <v>Yes</v>
      </c>
      <c r="H468" s="245" t="str">
        <f>IF(OR(G468="Not Applicable", IFERROR(INDEX('Landing Page and Navigation'!$F$31:$F$48, MATCH(C468, 'Landing Page and Navigation'!$A$31:$A$48, 0)), "No") = "No"), "No", "Yes")</f>
        <v>No</v>
      </c>
      <c r="I468" s="245" t="str">
        <f>_xlfn.TEXTJOIN(" - ", TRUE, CW_API_TABLE[[#This Row],[PWSID]],CW_API_TABLE[[#This Row],[PWS_NAME]])</f>
        <v>CA1910213 - TORRANCE-CITY, WATER DEPT.</v>
      </c>
      <c r="J468" s="246" cm="1">
        <f t="array" ref="J468">IFERROR(SUMPRODUCT((PD_PWSID_LIST=Crosswalk_API!$C468)*(PD_SUM_DEL&gt;0)), 0)</f>
        <v>12</v>
      </c>
    </row>
    <row r="469" spans="1:10" x14ac:dyDescent="0.25">
      <c r="A469" s="234" t="s">
        <v>2390</v>
      </c>
      <c r="B469" t="s">
        <v>2391</v>
      </c>
      <c r="C469" t="s">
        <v>2392</v>
      </c>
      <c r="D469" t="s">
        <v>2393</v>
      </c>
      <c r="E469" t="s">
        <v>731</v>
      </c>
      <c r="F469" t="s">
        <v>109</v>
      </c>
      <c r="G469" s="245" t="str" cm="1">
        <f t="array" ref="G469">IF(IFERROR(INDEX(LAM_II_SQFT, MATCH(Crosswalk_API!$A469, LAM_ORG_ID_LIST, 0)), 0) = 0, "No", "Yes")</f>
        <v>Yes</v>
      </c>
      <c r="H469" s="245" t="str">
        <f>IF(OR(G469="Not Applicable", IFERROR(INDEX('Landing Page and Navigation'!$F$31:$F$48, MATCH(C469, 'Landing Page and Navigation'!$A$31:$A$48, 0)), "No") = "No"), "No", "Yes")</f>
        <v>No</v>
      </c>
      <c r="I469" s="245" t="str">
        <f>_xlfn.TEXTJOIN(" - ", TRUE, CW_API_TABLE[[#This Row],[PWSID]],CW_API_TABLE[[#This Row],[PWS_NAME]])</f>
        <v>CA3010094 - TRABUCO CANYON WATER DISTRICT</v>
      </c>
      <c r="J469" s="246" cm="1">
        <f t="array" ref="J469">IFERROR(SUMPRODUCT((PD_PWSID_LIST=Crosswalk_API!$C469)*(PD_SUM_DEL&gt;0)), 0)</f>
        <v>12</v>
      </c>
    </row>
    <row r="470" spans="1:10" x14ac:dyDescent="0.25">
      <c r="A470" s="234" t="s">
        <v>2394</v>
      </c>
      <c r="B470" t="s">
        <v>2395</v>
      </c>
      <c r="C470" t="s">
        <v>2396</v>
      </c>
      <c r="D470" t="s">
        <v>2397</v>
      </c>
      <c r="E470" t="s">
        <v>1051</v>
      </c>
      <c r="F470" t="s">
        <v>109</v>
      </c>
      <c r="G470" s="245" t="str" cm="1">
        <f t="array" ref="G470">IF(IFERROR(INDEX(LAM_II_SQFT, MATCH(Crosswalk_API!$A470, LAM_ORG_ID_LIST, 0)), 0) = 0, "No", "Yes")</f>
        <v>Yes</v>
      </c>
      <c r="H470" s="245" t="str">
        <f>IF(OR(G470="Not Applicable", IFERROR(INDEX('Landing Page and Navigation'!$F$31:$F$48, MATCH(C470, 'Landing Page and Navigation'!$A$31:$A$48, 0)), "No") = "No"), "No", "Yes")</f>
        <v>No</v>
      </c>
      <c r="I470" s="245" t="str">
        <f>_xlfn.TEXTJOIN(" - ", TRUE, CW_API_TABLE[[#This Row],[PWSID]],CW_API_TABLE[[#This Row],[PWS_NAME]])</f>
        <v>CA3910011 - TRACY, CITY OF</v>
      </c>
      <c r="J470" s="246" cm="1">
        <f t="array" ref="J470">IFERROR(SUMPRODUCT((PD_PWSID_LIST=Crosswalk_API!$C470)*(PD_SUM_DEL&gt;0)), 0)</f>
        <v>12</v>
      </c>
    </row>
    <row r="471" spans="1:10" x14ac:dyDescent="0.25">
      <c r="A471" s="234" t="s">
        <v>2398</v>
      </c>
      <c r="B471" t="s">
        <v>2399</v>
      </c>
      <c r="C471" t="s">
        <v>2400</v>
      </c>
      <c r="D471" t="s">
        <v>2401</v>
      </c>
      <c r="E471" t="s">
        <v>942</v>
      </c>
      <c r="F471" t="s">
        <v>109</v>
      </c>
      <c r="G471" s="245" t="str" cm="1">
        <f t="array" ref="G471">IF(IFERROR(INDEX(LAM_II_SQFT, MATCH(Crosswalk_API!$A471, LAM_ORG_ID_LIST, 0)), 0) = 0, "No", "Yes")</f>
        <v>Yes</v>
      </c>
      <c r="H471" s="245" t="str">
        <f>IF(OR(G471="Not Applicable", IFERROR(INDEX('Landing Page and Navigation'!$F$31:$F$48, MATCH(C471, 'Landing Page and Navigation'!$A$31:$A$48, 0)), "No") = "No"), "No", "Yes")</f>
        <v>No</v>
      </c>
      <c r="I471" s="245" t="str">
        <f>_xlfn.TEXTJOIN(" - ", TRUE, CW_API_TABLE[[#This Row],[PWSID]],CW_API_TABLE[[#This Row],[PWS_NAME]])</f>
        <v>CA5610043 - TRIUNFO WATER &amp; SANITATION DISTRICT</v>
      </c>
      <c r="J471" s="246" cm="1">
        <f t="array" ref="J471">IFERROR(SUMPRODUCT((PD_PWSID_LIST=Crosswalk_API!$C471)*(PD_SUM_DEL&gt;0)), 0)</f>
        <v>12</v>
      </c>
    </row>
    <row r="472" spans="1:10" x14ac:dyDescent="0.25">
      <c r="A472" s="234" t="s">
        <v>2402</v>
      </c>
      <c r="B472" t="s">
        <v>2403</v>
      </c>
      <c r="C472" t="s">
        <v>2404</v>
      </c>
      <c r="D472" t="s">
        <v>2405</v>
      </c>
      <c r="E472" t="s">
        <v>1796</v>
      </c>
      <c r="F472" t="s">
        <v>109</v>
      </c>
      <c r="G472" s="245" t="str" cm="1">
        <f t="array" ref="G472">IF(IFERROR(INDEX(LAM_II_SQFT, MATCH(Crosswalk_API!$A472, LAM_ORG_ID_LIST, 0)), 0) = 0, "No", "Yes")</f>
        <v>Yes</v>
      </c>
      <c r="H472" s="245" t="str">
        <f>IF(OR(G472="Not Applicable", IFERROR(INDEX('Landing Page and Navigation'!$F$31:$F$48, MATCH(C472, 'Landing Page and Navigation'!$A$31:$A$48, 0)), "No") = "No"), "No", "Yes")</f>
        <v>No</v>
      </c>
      <c r="I472" s="245" t="str">
        <f>_xlfn.TEXTJOIN(" - ", TRUE, CW_API_TABLE[[#This Row],[PWSID]],CW_API_TABLE[[#This Row],[PWS_NAME]])</f>
        <v>CA2910003 - TRUCKEE-DONNER PUD, MAIN</v>
      </c>
      <c r="J472" s="246" cm="1">
        <f t="array" ref="J472">IFERROR(SUMPRODUCT((PD_PWSID_LIST=Crosswalk_API!$C472)*(PD_SUM_DEL&gt;0)), 0)</f>
        <v>12</v>
      </c>
    </row>
    <row r="473" spans="1:10" x14ac:dyDescent="0.25">
      <c r="A473" s="234" t="s">
        <v>2406</v>
      </c>
      <c r="B473" t="s">
        <v>2407</v>
      </c>
      <c r="C473" t="s">
        <v>2408</v>
      </c>
      <c r="D473" t="s">
        <v>2409</v>
      </c>
      <c r="E473" t="s">
        <v>1056</v>
      </c>
      <c r="F473" t="s">
        <v>109</v>
      </c>
      <c r="G473" s="245" t="str" cm="1">
        <f t="array" ref="G473">IF(IFERROR(INDEX(LAM_II_SQFT, MATCH(Crosswalk_API!$A473, LAM_ORG_ID_LIST, 0)), 0) = 0, "No", "Yes")</f>
        <v>Yes</v>
      </c>
      <c r="H473" s="245" t="str">
        <f>IF(OR(G473="Not Applicable", IFERROR(INDEX('Landing Page and Navigation'!$F$31:$F$48, MATCH(C473, 'Landing Page and Navigation'!$A$31:$A$48, 0)), "No") = "No"), "No", "Yes")</f>
        <v>No</v>
      </c>
      <c r="I473" s="245" t="str">
        <f>_xlfn.TEXTJOIN(" - ", TRUE, CW_API_TABLE[[#This Row],[PWSID]],CW_API_TABLE[[#This Row],[PWS_NAME]])</f>
        <v>CA5410015 - TULARE, CITY OF</v>
      </c>
      <c r="J473" s="246" cm="1">
        <f t="array" ref="J473">IFERROR(SUMPRODUCT((PD_PWSID_LIST=Crosswalk_API!$C473)*(PD_SUM_DEL&gt;0)), 0)</f>
        <v>12</v>
      </c>
    </row>
    <row r="474" spans="1:10" x14ac:dyDescent="0.25">
      <c r="A474" s="234" t="s">
        <v>2410</v>
      </c>
      <c r="B474" t="s">
        <v>2411</v>
      </c>
      <c r="C474" t="s">
        <v>2412</v>
      </c>
      <c r="D474" t="s">
        <v>2413</v>
      </c>
      <c r="E474" t="s">
        <v>1445</v>
      </c>
      <c r="F474" t="s">
        <v>109</v>
      </c>
      <c r="G474" s="245" t="str" cm="1">
        <f t="array" ref="G474">IF(IFERROR(INDEX(LAM_II_SQFT, MATCH(Crosswalk_API!$A474, LAM_ORG_ID_LIST, 0)), 0) = 0, "No", "Yes")</f>
        <v>Yes</v>
      </c>
      <c r="H474" s="245" t="str">
        <f>IF(OR(G474="Not Applicable", IFERROR(INDEX('Landing Page and Navigation'!$F$31:$F$48, MATCH(C474, 'Landing Page and Navigation'!$A$31:$A$48, 0)), "No") = "No"), "No", "Yes")</f>
        <v>No</v>
      </c>
      <c r="I474" s="245" t="str">
        <f>_xlfn.TEXTJOIN(" - ", TRUE, CW_API_TABLE[[#This Row],[PWSID]],CW_API_TABLE[[#This Row],[PWS_NAME]])</f>
        <v>CA5500363 - TUD-WARDS FERRY RANCHES</v>
      </c>
      <c r="J474" s="246" cm="1">
        <f t="array" ref="J474">IFERROR(SUMPRODUCT((PD_PWSID_LIST=Crosswalk_API!$C474)*(PD_SUM_DEL&gt;0)), 0)</f>
        <v>12</v>
      </c>
    </row>
    <row r="475" spans="1:10" x14ac:dyDescent="0.25">
      <c r="A475" s="234" t="s">
        <v>2410</v>
      </c>
      <c r="B475" t="s">
        <v>2411</v>
      </c>
      <c r="C475" t="s">
        <v>2414</v>
      </c>
      <c r="D475" t="s">
        <v>2415</v>
      </c>
      <c r="E475" t="s">
        <v>1445</v>
      </c>
      <c r="F475" t="s">
        <v>109</v>
      </c>
      <c r="G475" s="245" t="str" cm="1">
        <f t="array" ref="G475">IF(IFERROR(INDEX(LAM_II_SQFT, MATCH(Crosswalk_API!$A475, LAM_ORG_ID_LIST, 0)), 0) = 0, "No", "Yes")</f>
        <v>Yes</v>
      </c>
      <c r="H475" s="245" t="str">
        <f>IF(OR(G475="Not Applicable", IFERROR(INDEX('Landing Page and Navigation'!$F$31:$F$48, MATCH(C475, 'Landing Page and Navigation'!$A$31:$A$48, 0)), "No") = "No"), "No", "Yes")</f>
        <v>No</v>
      </c>
      <c r="I475" s="245" t="str">
        <f>_xlfn.TEXTJOIN(" - ", TRUE, CW_API_TABLE[[#This Row],[PWSID]],CW_API_TABLE[[#This Row],[PWS_NAME]])</f>
        <v>CA5510001 - TUD - SONORA/JAMESTOWN WATER SYSTEM</v>
      </c>
      <c r="J475" s="246" cm="1">
        <f t="array" ref="J475">IFERROR(SUMPRODUCT((PD_PWSID_LIST=Crosswalk_API!$C475)*(PD_SUM_DEL&gt;0)), 0)</f>
        <v>12</v>
      </c>
    </row>
    <row r="476" spans="1:10" x14ac:dyDescent="0.25">
      <c r="A476" s="234" t="s">
        <v>2410</v>
      </c>
      <c r="B476" t="s">
        <v>2411</v>
      </c>
      <c r="C476" t="s">
        <v>2416</v>
      </c>
      <c r="D476" t="s">
        <v>2417</v>
      </c>
      <c r="E476" t="s">
        <v>1445</v>
      </c>
      <c r="F476" t="s">
        <v>109</v>
      </c>
      <c r="G476" s="245" t="str" cm="1">
        <f t="array" ref="G476">IF(IFERROR(INDEX(LAM_II_SQFT, MATCH(Crosswalk_API!$A476, LAM_ORG_ID_LIST, 0)), 0) = 0, "No", "Yes")</f>
        <v>Yes</v>
      </c>
      <c r="H476" s="245" t="str">
        <f>IF(OR(G476="Not Applicable", IFERROR(INDEX('Landing Page and Navigation'!$F$31:$F$48, MATCH(C476, 'Landing Page and Navigation'!$A$31:$A$48, 0)), "No") = "No"), "No", "Yes")</f>
        <v>No</v>
      </c>
      <c r="I476" s="245" t="str">
        <f>_xlfn.TEXTJOIN(" - ", TRUE, CW_API_TABLE[[#This Row],[PWSID]],CW_API_TABLE[[#This Row],[PWS_NAME]])</f>
        <v>CA5510002 - TUD - PONDEROSA</v>
      </c>
      <c r="J476" s="246" cm="1">
        <f t="array" ref="J476">IFERROR(SUMPRODUCT((PD_PWSID_LIST=Crosswalk_API!$C476)*(PD_SUM_DEL&gt;0)), 0)</f>
        <v>12</v>
      </c>
    </row>
    <row r="477" spans="1:10" x14ac:dyDescent="0.25">
      <c r="A477" s="234" t="s">
        <v>2410</v>
      </c>
      <c r="B477" t="s">
        <v>2411</v>
      </c>
      <c r="C477" t="s">
        <v>2418</v>
      </c>
      <c r="D477" t="s">
        <v>2419</v>
      </c>
      <c r="E477" t="s">
        <v>1445</v>
      </c>
      <c r="F477" t="s">
        <v>109</v>
      </c>
      <c r="G477" s="245" t="str" cm="1">
        <f t="array" ref="G477">IF(IFERROR(INDEX(LAM_II_SQFT, MATCH(Crosswalk_API!$A477, LAM_ORG_ID_LIST, 0)), 0) = 0, "No", "Yes")</f>
        <v>Yes</v>
      </c>
      <c r="H477" s="245" t="str">
        <f>IF(OR(G477="Not Applicable", IFERROR(INDEX('Landing Page and Navigation'!$F$31:$F$48, MATCH(C477, 'Landing Page and Navigation'!$A$31:$A$48, 0)), "No") = "No"), "No", "Yes")</f>
        <v>No</v>
      </c>
      <c r="I477" s="245" t="str">
        <f>_xlfn.TEXTJOIN(" - ", TRUE, CW_API_TABLE[[#This Row],[PWSID]],CW_API_TABLE[[#This Row],[PWS_NAME]])</f>
        <v>CA5510003 - TUD - TUOLUMNE WATER SYSTEM</v>
      </c>
      <c r="J477" s="246" cm="1">
        <f t="array" ref="J477">IFERROR(SUMPRODUCT((PD_PWSID_LIST=Crosswalk_API!$C477)*(PD_SUM_DEL&gt;0)), 0)</f>
        <v>12</v>
      </c>
    </row>
    <row r="478" spans="1:10" x14ac:dyDescent="0.25">
      <c r="A478" s="234" t="s">
        <v>2410</v>
      </c>
      <c r="B478" t="s">
        <v>2411</v>
      </c>
      <c r="C478" t="s">
        <v>2420</v>
      </c>
      <c r="D478" t="s">
        <v>2421</v>
      </c>
      <c r="E478" t="s">
        <v>1445</v>
      </c>
      <c r="F478" t="s">
        <v>109</v>
      </c>
      <c r="G478" s="245" t="str" cm="1">
        <f t="array" ref="G478">IF(IFERROR(INDEX(LAM_II_SQFT, MATCH(Crosswalk_API!$A478, LAM_ORG_ID_LIST, 0)), 0) = 0, "No", "Yes")</f>
        <v>Yes</v>
      </c>
      <c r="H478" s="245" t="str">
        <f>IF(OR(G478="Not Applicable", IFERROR(INDEX('Landing Page and Navigation'!$F$31:$F$48, MATCH(C478, 'Landing Page and Navigation'!$A$31:$A$48, 0)), "No") = "No"), "No", "Yes")</f>
        <v>No</v>
      </c>
      <c r="I478" s="245" t="str">
        <f>_xlfn.TEXTJOIN(" - ", TRUE, CW_API_TABLE[[#This Row],[PWSID]],CW_API_TABLE[[#This Row],[PWS_NAME]])</f>
        <v>CA5510012 - TUD - UPPER BASIN WATER SYSTEM</v>
      </c>
      <c r="J478" s="246" cm="1">
        <f t="array" ref="J478">IFERROR(SUMPRODUCT((PD_PWSID_LIST=Crosswalk_API!$C478)*(PD_SUM_DEL&gt;0)), 0)</f>
        <v>12</v>
      </c>
    </row>
    <row r="479" spans="1:10" x14ac:dyDescent="0.25">
      <c r="A479" s="234" t="s">
        <v>2410</v>
      </c>
      <c r="B479" t="s">
        <v>2411</v>
      </c>
      <c r="C479" t="s">
        <v>2422</v>
      </c>
      <c r="D479" t="s">
        <v>2423</v>
      </c>
      <c r="E479" t="s">
        <v>1445</v>
      </c>
      <c r="F479" t="s">
        <v>109</v>
      </c>
      <c r="G479" s="245" t="str" cm="1">
        <f t="array" ref="G479">IF(IFERROR(INDEX(LAM_II_SQFT, MATCH(Crosswalk_API!$A479, LAM_ORG_ID_LIST, 0)), 0) = 0, "No", "Yes")</f>
        <v>Yes</v>
      </c>
      <c r="H479" s="245" t="str">
        <f>IF(OR(G479="Not Applicable", IFERROR(INDEX('Landing Page and Navigation'!$F$31:$F$48, MATCH(C479, 'Landing Page and Navigation'!$A$31:$A$48, 0)), "No") = "No"), "No", "Yes")</f>
        <v>No</v>
      </c>
      <c r="I479" s="245" t="str">
        <f>_xlfn.TEXTJOIN(" - ", TRUE, CW_API_TABLE[[#This Row],[PWSID]],CW_API_TABLE[[#This Row],[PWS_NAME]])</f>
        <v>CA5510013 - TUD - COLUMBIA WATER SYSTEM</v>
      </c>
      <c r="J479" s="246" cm="1">
        <f t="array" ref="J479">IFERROR(SUMPRODUCT((PD_PWSID_LIST=Crosswalk_API!$C479)*(PD_SUM_DEL&gt;0)), 0)</f>
        <v>12</v>
      </c>
    </row>
    <row r="480" spans="1:10" x14ac:dyDescent="0.25">
      <c r="A480" s="234" t="s">
        <v>2410</v>
      </c>
      <c r="B480" t="s">
        <v>2411</v>
      </c>
      <c r="C480" t="s">
        <v>2424</v>
      </c>
      <c r="D480" t="s">
        <v>2425</v>
      </c>
      <c r="E480" t="s">
        <v>1445</v>
      </c>
      <c r="F480" t="s">
        <v>1859</v>
      </c>
      <c r="G480" s="245" t="str" cm="1">
        <f t="array" ref="G480">IF(IFERROR(INDEX(LAM_II_SQFT, MATCH(Crosswalk_API!$A480, LAM_ORG_ID_LIST, 0)), 0) = 0, "No", "Yes")</f>
        <v>Yes</v>
      </c>
      <c r="H480" s="245" t="str">
        <f>IF(OR(G480="Not Applicable", IFERROR(INDEX('Landing Page and Navigation'!$F$31:$F$48, MATCH(C480, 'Landing Page and Navigation'!$A$31:$A$48, 0)), "No") = "No"), "No", "Yes")</f>
        <v>No</v>
      </c>
      <c r="I480" s="245" t="str">
        <f>_xlfn.TEXTJOIN(" - ", TRUE, CW_API_TABLE[[#This Row],[PWSID]],CW_API_TABLE[[#This Row],[PWS_NAME]])</f>
        <v>CA5510015 - TUD - CEDAR RIDGE WATER SYSTEM</v>
      </c>
      <c r="J480" s="246" cm="1">
        <f t="array" ref="J480">IFERROR(SUMPRODUCT((PD_PWSID_LIST=Crosswalk_API!$C480)*(PD_SUM_DEL&gt;0)), 0)</f>
        <v>12</v>
      </c>
    </row>
    <row r="481" spans="1:10" x14ac:dyDescent="0.25">
      <c r="A481" s="234" t="s">
        <v>2410</v>
      </c>
      <c r="B481" t="s">
        <v>2411</v>
      </c>
      <c r="C481" t="s">
        <v>2426</v>
      </c>
      <c r="D481" t="s">
        <v>2427</v>
      </c>
      <c r="E481" t="s">
        <v>1445</v>
      </c>
      <c r="F481" t="s">
        <v>109</v>
      </c>
      <c r="G481" s="245" t="str" cm="1">
        <f t="array" ref="G481">IF(IFERROR(INDEX(LAM_II_SQFT, MATCH(Crosswalk_API!$A481, LAM_ORG_ID_LIST, 0)), 0) = 0, "No", "Yes")</f>
        <v>Yes</v>
      </c>
      <c r="H481" s="245" t="str">
        <f>IF(OR(G481="Not Applicable", IFERROR(INDEX('Landing Page and Navigation'!$F$31:$F$48, MATCH(C481, 'Landing Page and Navigation'!$A$31:$A$48, 0)), "No") = "No"), "No", "Yes")</f>
        <v>No</v>
      </c>
      <c r="I481" s="245" t="str">
        <f>_xlfn.TEXTJOIN(" - ", TRUE, CW_API_TABLE[[#This Row],[PWSID]],CW_API_TABLE[[#This Row],[PWS_NAME]])</f>
        <v>CA5510021 - TUD-PEACEFUL PINES WATER SYSTEM</v>
      </c>
      <c r="J481" s="246" cm="1">
        <f t="array" ref="J481">IFERROR(SUMPRODUCT((PD_PWSID_LIST=Crosswalk_API!$C481)*(PD_SUM_DEL&gt;0)), 0)</f>
        <v>12</v>
      </c>
    </row>
    <row r="482" spans="1:10" x14ac:dyDescent="0.25">
      <c r="A482" s="234" t="s">
        <v>2410</v>
      </c>
      <c r="B482" t="s">
        <v>2411</v>
      </c>
      <c r="C482" t="s">
        <v>2428</v>
      </c>
      <c r="D482" t="s">
        <v>2429</v>
      </c>
      <c r="E482" t="s">
        <v>1445</v>
      </c>
      <c r="F482" t="s">
        <v>1859</v>
      </c>
      <c r="G482" s="245" t="str" cm="1">
        <f t="array" ref="G482">IF(IFERROR(INDEX(LAM_II_SQFT, MATCH(Crosswalk_API!$A482, LAM_ORG_ID_LIST, 0)), 0) = 0, "No", "Yes")</f>
        <v>Yes</v>
      </c>
      <c r="H482" s="245" t="str">
        <f>IF(OR(G482="Not Applicable", IFERROR(INDEX('Landing Page and Navigation'!$F$31:$F$48, MATCH(C482, 'Landing Page and Navigation'!$A$31:$A$48, 0)), "No") = "No"), "No", "Yes")</f>
        <v>No</v>
      </c>
      <c r="I482" s="245" t="str">
        <f>_xlfn.TEXTJOIN(" - ", TRUE, CW_API_TABLE[[#This Row],[PWSID]],CW_API_TABLE[[#This Row],[PWS_NAME]])</f>
        <v>CA5510025 - TUD - PHOENIX LAKE PARK</v>
      </c>
      <c r="J482" s="246" cm="1">
        <f t="array" ref="J482">IFERROR(SUMPRODUCT((PD_PWSID_LIST=Crosswalk_API!$C482)*(PD_SUM_DEL&gt;0)), 0)</f>
        <v>12</v>
      </c>
    </row>
    <row r="483" spans="1:10" x14ac:dyDescent="0.25">
      <c r="A483" s="234" t="s">
        <v>2410</v>
      </c>
      <c r="B483" t="s">
        <v>2411</v>
      </c>
      <c r="C483" t="s">
        <v>2430</v>
      </c>
      <c r="D483" t="s">
        <v>2431</v>
      </c>
      <c r="E483" t="s">
        <v>1445</v>
      </c>
      <c r="F483" t="s">
        <v>109</v>
      </c>
      <c r="G483" s="245" t="str" cm="1">
        <f t="array" ref="G483">IF(IFERROR(INDEX(LAM_II_SQFT, MATCH(Crosswalk_API!$A483, LAM_ORG_ID_LIST, 0)), 0) = 0, "No", "Yes")</f>
        <v>Yes</v>
      </c>
      <c r="H483" s="245" t="str">
        <f>IF(OR(G483="Not Applicable", IFERROR(INDEX('Landing Page and Navigation'!$F$31:$F$48, MATCH(C483, 'Landing Page and Navigation'!$A$31:$A$48, 0)), "No") = "No"), "No", "Yes")</f>
        <v>No</v>
      </c>
      <c r="I483" s="245" t="str">
        <f>_xlfn.TEXTJOIN(" - ", TRUE, CW_API_TABLE[[#This Row],[PWSID]],CW_API_TABLE[[#This Row],[PWS_NAME]])</f>
        <v>CA5510028 - TUD-APPLE VALLEY ESTATES</v>
      </c>
      <c r="J483" s="246" cm="1">
        <f t="array" ref="J483">IFERROR(SUMPRODUCT((PD_PWSID_LIST=Crosswalk_API!$C483)*(PD_SUM_DEL&gt;0)), 0)</f>
        <v>12</v>
      </c>
    </row>
    <row r="484" spans="1:10" x14ac:dyDescent="0.25">
      <c r="A484" s="234" t="s">
        <v>2410</v>
      </c>
      <c r="B484" t="s">
        <v>2411</v>
      </c>
      <c r="C484" t="s">
        <v>2432</v>
      </c>
      <c r="D484" t="s">
        <v>2433</v>
      </c>
      <c r="E484" t="s">
        <v>1445</v>
      </c>
      <c r="F484" t="s">
        <v>1859</v>
      </c>
      <c r="G484" s="245" t="str" cm="1">
        <f t="array" ref="G484">IF(IFERROR(INDEX(LAM_II_SQFT, MATCH(Crosswalk_API!$A484, LAM_ORG_ID_LIST, 0)), 0) = 0, "No", "Yes")</f>
        <v>Yes</v>
      </c>
      <c r="H484" s="245" t="str">
        <f>IF(OR(G484="Not Applicable", IFERROR(INDEX('Landing Page and Navigation'!$F$31:$F$48, MATCH(C484, 'Landing Page and Navigation'!$A$31:$A$48, 0)), "No") = "No"), "No", "Yes")</f>
        <v>No</v>
      </c>
      <c r="I484" s="245" t="str">
        <f>_xlfn.TEXTJOIN(" - ", TRUE, CW_API_TABLE[[#This Row],[PWSID]],CW_API_TABLE[[#This Row],[PWS_NAME]])</f>
        <v>CA5510033 - TUD-SCENIC VIEW/SCENIC BROOK</v>
      </c>
      <c r="J484" s="246" cm="1">
        <f t="array" ref="J484">IFERROR(SUMPRODUCT((PD_PWSID_LIST=Crosswalk_API!$C484)*(PD_SUM_DEL&gt;0)), 0)</f>
        <v>12</v>
      </c>
    </row>
    <row r="485" spans="1:10" x14ac:dyDescent="0.25">
      <c r="A485" s="234" t="s">
        <v>2434</v>
      </c>
      <c r="B485" t="s">
        <v>2435</v>
      </c>
      <c r="C485" t="s">
        <v>2436</v>
      </c>
      <c r="D485" t="s">
        <v>2437</v>
      </c>
      <c r="E485" t="s">
        <v>1100</v>
      </c>
      <c r="F485" t="s">
        <v>109</v>
      </c>
      <c r="G485" s="245" t="str" cm="1">
        <f t="array" ref="G485">IF(IFERROR(INDEX(LAM_II_SQFT, MATCH(Crosswalk_API!$A485, LAM_ORG_ID_LIST, 0)), 0) = 0, "No", "Yes")</f>
        <v>Yes</v>
      </c>
      <c r="H485" s="245" t="str">
        <f>IF(OR(G485="Not Applicable", IFERROR(INDEX('Landing Page and Navigation'!$F$31:$F$48, MATCH(C485, 'Landing Page and Navigation'!$A$31:$A$48, 0)), "No") = "No"), "No", "Yes")</f>
        <v>No</v>
      </c>
      <c r="I485" s="245" t="str">
        <f>_xlfn.TEXTJOIN(" - ", TRUE, CW_API_TABLE[[#This Row],[PWSID]],CW_API_TABLE[[#This Row],[PWS_NAME]])</f>
        <v>CA5010019 - TURLOCK, CITY OF</v>
      </c>
      <c r="J485" s="246" cm="1">
        <f t="array" ref="J485">IFERROR(SUMPRODUCT((PD_PWSID_LIST=Crosswalk_API!$C485)*(PD_SUM_DEL&gt;0)), 0)</f>
        <v>12</v>
      </c>
    </row>
    <row r="486" spans="1:10" x14ac:dyDescent="0.25">
      <c r="A486" s="234" t="s">
        <v>2438</v>
      </c>
      <c r="B486" t="s">
        <v>2439</v>
      </c>
      <c r="C486" t="s">
        <v>2440</v>
      </c>
      <c r="D486" t="s">
        <v>2441</v>
      </c>
      <c r="E486" t="s">
        <v>731</v>
      </c>
      <c r="F486" t="s">
        <v>109</v>
      </c>
      <c r="G486" s="245" t="str" cm="1">
        <f t="array" ref="G486">IF(IFERROR(INDEX(LAM_II_SQFT, MATCH(Crosswalk_API!$A486, LAM_ORG_ID_LIST, 0)), 0) = 0, "No", "Yes")</f>
        <v>Yes</v>
      </c>
      <c r="H486" s="245" t="str">
        <f>IF(OR(G486="Not Applicable", IFERROR(INDEX('Landing Page and Navigation'!$F$31:$F$48, MATCH(C486, 'Landing Page and Navigation'!$A$31:$A$48, 0)), "No") = "No"), "No", "Yes")</f>
        <v>No</v>
      </c>
      <c r="I486" s="245" t="str">
        <f>_xlfn.TEXTJOIN(" - ", TRUE, CW_API_TABLE[[#This Row],[PWSID]],CW_API_TABLE[[#This Row],[PWS_NAME]])</f>
        <v>CA3010046 - CITY OF TUSTIN</v>
      </c>
      <c r="J486" s="246" cm="1">
        <f t="array" ref="J486">IFERROR(SUMPRODUCT((PD_PWSID_LIST=Crosswalk_API!$C486)*(PD_SUM_DEL&gt;0)), 0)</f>
        <v>12</v>
      </c>
    </row>
    <row r="487" spans="1:10" x14ac:dyDescent="0.25">
      <c r="A487" s="234" t="s">
        <v>2442</v>
      </c>
      <c r="B487" t="s">
        <v>2443</v>
      </c>
      <c r="C487" t="s">
        <v>2444</v>
      </c>
      <c r="D487" t="s">
        <v>2445</v>
      </c>
      <c r="E487" t="s">
        <v>693</v>
      </c>
      <c r="F487" t="s">
        <v>109</v>
      </c>
      <c r="G487" s="245" t="str" cm="1">
        <f t="array" ref="G487">IF(IFERROR(INDEX(LAM_II_SQFT, MATCH(Crosswalk_API!$A487, LAM_ORG_ID_LIST, 0)), 0) = 0, "No", "Yes")</f>
        <v>Yes</v>
      </c>
      <c r="H487" s="245" t="str">
        <f>IF(OR(G487="Not Applicable", IFERROR(INDEX('Landing Page and Navigation'!$F$31:$F$48, MATCH(C487, 'Landing Page and Navigation'!$A$31:$A$48, 0)), "No") = "No"), "No", "Yes")</f>
        <v>No</v>
      </c>
      <c r="I487" s="245" t="str">
        <f>_xlfn.TEXTJOIN(" - ", TRUE, CW_API_TABLE[[#This Row],[PWSID]],CW_API_TABLE[[#This Row],[PWS_NAME]])</f>
        <v>CA3610049 - TWENTYNINE PALMS WATER DISTRICT</v>
      </c>
      <c r="J487" s="246" cm="1">
        <f t="array" ref="J487">IFERROR(SUMPRODUCT((PD_PWSID_LIST=Crosswalk_API!$C487)*(PD_SUM_DEL&gt;0)), 0)</f>
        <v>12</v>
      </c>
    </row>
    <row r="488" spans="1:10" x14ac:dyDescent="0.25">
      <c r="A488" s="234" t="s">
        <v>2446</v>
      </c>
      <c r="B488" t="s">
        <v>2447</v>
      </c>
      <c r="C488" t="s">
        <v>2448</v>
      </c>
      <c r="D488" t="s">
        <v>2449</v>
      </c>
      <c r="E488" t="s">
        <v>2450</v>
      </c>
      <c r="F488" t="s">
        <v>109</v>
      </c>
      <c r="G488" s="245" t="str" cm="1">
        <f t="array" ref="G488">IF(IFERROR(INDEX(LAM_II_SQFT, MATCH(Crosswalk_API!$A488, LAM_ORG_ID_LIST, 0)), 0) = 0, "No", "Yes")</f>
        <v>Yes</v>
      </c>
      <c r="H488" s="245" t="str">
        <f>IF(OR(G488="Not Applicable", IFERROR(INDEX('Landing Page and Navigation'!$F$31:$F$48, MATCH(C488, 'Landing Page and Navigation'!$A$31:$A$48, 0)), "No") = "No"), "No", "Yes")</f>
        <v>No</v>
      </c>
      <c r="I488" s="245" t="str">
        <f>_xlfn.TEXTJOIN(" - ", TRUE, CW_API_TABLE[[#This Row],[PWSID]],CW_API_TABLE[[#This Row],[PWS_NAME]])</f>
        <v>CA2310003 - UKIAH, CITY OF</v>
      </c>
      <c r="J488" s="246" cm="1">
        <f t="array" ref="J488">IFERROR(SUMPRODUCT((PD_PWSID_LIST=Crosswalk_API!$C488)*(PD_SUM_DEL&gt;0)), 0)</f>
        <v>12</v>
      </c>
    </row>
    <row r="489" spans="1:10" x14ac:dyDescent="0.25">
      <c r="A489" s="234" t="s">
        <v>2451</v>
      </c>
      <c r="B489" t="s">
        <v>2452</v>
      </c>
      <c r="C489" t="s">
        <v>2453</v>
      </c>
      <c r="D489" t="s">
        <v>2454</v>
      </c>
      <c r="E489" t="s">
        <v>693</v>
      </c>
      <c r="F489" t="s">
        <v>109</v>
      </c>
      <c r="G489" s="245" t="str" cm="1">
        <f t="array" ref="G489">IF(IFERROR(INDEX(LAM_II_SQFT, MATCH(Crosswalk_API!$A489, LAM_ORG_ID_LIST, 0)), 0) = 0, "No", "Yes")</f>
        <v>Yes</v>
      </c>
      <c r="H489" s="245" t="str">
        <f>IF(OR(G489="Not Applicable", IFERROR(INDEX('Landing Page and Navigation'!$F$31:$F$48, MATCH(C489, 'Landing Page and Navigation'!$A$31:$A$48, 0)), "No") = "No"), "No", "Yes")</f>
        <v>No</v>
      </c>
      <c r="I489" s="245" t="str">
        <f>_xlfn.TEXTJOIN(" - ", TRUE, CW_API_TABLE[[#This Row],[PWSID]],CW_API_TABLE[[#This Row],[PWS_NAME]])</f>
        <v>CA3610050 - UPLAND, CITY OF</v>
      </c>
      <c r="J489" s="246" cm="1">
        <f t="array" ref="J489">IFERROR(SUMPRODUCT((PD_PWSID_LIST=Crosswalk_API!$C489)*(PD_SUM_DEL&gt;0)), 0)</f>
        <v>12</v>
      </c>
    </row>
    <row r="490" spans="1:10" x14ac:dyDescent="0.25">
      <c r="A490" s="234" t="s">
        <v>2455</v>
      </c>
      <c r="B490" t="s">
        <v>2456</v>
      </c>
      <c r="C490" t="s">
        <v>2457</v>
      </c>
      <c r="D490" t="s">
        <v>2458</v>
      </c>
      <c r="E490" t="s">
        <v>814</v>
      </c>
      <c r="F490" t="s">
        <v>109</v>
      </c>
      <c r="G490" s="245" t="str" cm="1">
        <f t="array" ref="G490">IF(IFERROR(INDEX(LAM_II_SQFT, MATCH(Crosswalk_API!$A490, LAM_ORG_ID_LIST, 0)), 0) = 0, "No", "Yes")</f>
        <v>Yes</v>
      </c>
      <c r="H490" s="245" t="str">
        <f>IF(OR(G490="Not Applicable", IFERROR(INDEX('Landing Page and Navigation'!$F$31:$F$48, MATCH(C490, 'Landing Page and Navigation'!$A$31:$A$48, 0)), "No") = "No"), "No", "Yes")</f>
        <v>No</v>
      </c>
      <c r="I490" s="245" t="str">
        <f>_xlfn.TEXTJOIN(" - ", TRUE, CW_API_TABLE[[#This Row],[PWSID]],CW_API_TABLE[[#This Row],[PWS_NAME]])</f>
        <v>CA4810008 - CITY OF VACAVILLE</v>
      </c>
      <c r="J490" s="246" cm="1">
        <f t="array" ref="J490">IFERROR(SUMPRODUCT((PD_PWSID_LIST=Crosswalk_API!$C490)*(PD_SUM_DEL&gt;0)), 0)</f>
        <v>12</v>
      </c>
    </row>
    <row r="491" spans="1:10" x14ac:dyDescent="0.25">
      <c r="A491" s="234" t="s">
        <v>2459</v>
      </c>
      <c r="B491" t="s">
        <v>2460</v>
      </c>
      <c r="C491" t="s">
        <v>2461</v>
      </c>
      <c r="D491" t="s">
        <v>2462</v>
      </c>
      <c r="E491" t="s">
        <v>937</v>
      </c>
      <c r="F491" t="s">
        <v>109</v>
      </c>
      <c r="G491" s="245" t="str" cm="1">
        <f t="array" ref="G491">IF(IFERROR(INDEX(LAM_II_SQFT, MATCH(Crosswalk_API!$A491, LAM_ORG_ID_LIST, 0)), 0) = 0, "No", "Yes")</f>
        <v>Yes</v>
      </c>
      <c r="H491" s="245" t="str">
        <f>IF(OR(G491="Not Applicable", IFERROR(INDEX('Landing Page and Navigation'!$F$31:$F$48, MATCH(C491, 'Landing Page and Navigation'!$A$31:$A$48, 0)), "No") = "No"), "No", "Yes")</f>
        <v>No</v>
      </c>
      <c r="I491" s="245" t="str">
        <f>_xlfn.TEXTJOIN(" - ", TRUE, CW_API_TABLE[[#This Row],[PWSID]],CW_API_TABLE[[#This Row],[PWS_NAME]])</f>
        <v>CA3710002 - VALLECITOS WD</v>
      </c>
      <c r="J491" s="246" cm="1">
        <f t="array" ref="J491">IFERROR(SUMPRODUCT((PD_PWSID_LIST=Crosswalk_API!$C491)*(PD_SUM_DEL&gt;0)), 0)</f>
        <v>12</v>
      </c>
    </row>
    <row r="492" spans="1:10" x14ac:dyDescent="0.25">
      <c r="A492" s="234" t="s">
        <v>2463</v>
      </c>
      <c r="B492" t="s">
        <v>2464</v>
      </c>
      <c r="C492" t="s">
        <v>2465</v>
      </c>
      <c r="D492" t="s">
        <v>2466</v>
      </c>
      <c r="E492" t="s">
        <v>814</v>
      </c>
      <c r="F492" t="s">
        <v>109</v>
      </c>
      <c r="G492" s="245" t="str" cm="1">
        <f t="array" ref="G492">IF(IFERROR(INDEX(LAM_II_SQFT, MATCH(Crosswalk_API!$A492, LAM_ORG_ID_LIST, 0)), 0) = 0, "No", "Yes")</f>
        <v>Yes</v>
      </c>
      <c r="H492" s="245" t="str">
        <f>IF(OR(G492="Not Applicable", IFERROR(INDEX('Landing Page and Navigation'!$F$31:$F$48, MATCH(C492, 'Landing Page and Navigation'!$A$31:$A$48, 0)), "No") = "No"), "No", "Yes")</f>
        <v>No</v>
      </c>
      <c r="I492" s="245" t="str">
        <f>_xlfn.TEXTJOIN(" - ", TRUE, CW_API_TABLE[[#This Row],[PWSID]],CW_API_TABLE[[#This Row],[PWS_NAME]])</f>
        <v>CA4810007 - CITY OF VALLEJO</v>
      </c>
      <c r="J492" s="246" cm="1">
        <f t="array" ref="J492">IFERROR(SUMPRODUCT((PD_PWSID_LIST=Crosswalk_API!$C492)*(PD_SUM_DEL&gt;0)), 0)</f>
        <v>12</v>
      </c>
    </row>
    <row r="493" spans="1:10" x14ac:dyDescent="0.25">
      <c r="A493" s="234" t="s">
        <v>2463</v>
      </c>
      <c r="B493" t="s">
        <v>2464</v>
      </c>
      <c r="C493" t="s">
        <v>2467</v>
      </c>
      <c r="D493" t="s">
        <v>2468</v>
      </c>
      <c r="E493" t="s">
        <v>814</v>
      </c>
      <c r="F493" t="s">
        <v>109</v>
      </c>
      <c r="G493" s="245" t="str" cm="1">
        <f t="array" ref="G493">IF(IFERROR(INDEX(LAM_II_SQFT, MATCH(Crosswalk_API!$A493, LAM_ORG_ID_LIST, 0)), 0) = 0, "No", "Yes")</f>
        <v>Yes</v>
      </c>
      <c r="H493" s="245" t="str">
        <f>IF(OR(G493="Not Applicable", IFERROR(INDEX('Landing Page and Navigation'!$F$31:$F$48, MATCH(C493, 'Landing Page and Navigation'!$A$31:$A$48, 0)), "No") = "No"), "No", "Yes")</f>
        <v>No</v>
      </c>
      <c r="I493" s="245" t="str">
        <f>_xlfn.TEXTJOIN(" - ", TRUE, CW_API_TABLE[[#This Row],[PWSID]],CW_API_TABLE[[#This Row],[PWS_NAME]])</f>
        <v>CA4810021 - CITY OF VALLEJO-LAKES SYSTEM</v>
      </c>
      <c r="J493" s="246" cm="1">
        <f t="array" ref="J493">IFERROR(SUMPRODUCT((PD_PWSID_LIST=Crosswalk_API!$C493)*(PD_SUM_DEL&gt;0)), 0)</f>
        <v>12</v>
      </c>
    </row>
    <row r="494" spans="1:10" x14ac:dyDescent="0.25">
      <c r="A494" s="234" t="s">
        <v>2469</v>
      </c>
      <c r="B494" t="s">
        <v>2470</v>
      </c>
      <c r="C494" t="s">
        <v>2471</v>
      </c>
      <c r="D494" t="s">
        <v>2472</v>
      </c>
      <c r="E494" t="s">
        <v>937</v>
      </c>
      <c r="F494" t="s">
        <v>109</v>
      </c>
      <c r="G494" s="245" t="str" cm="1">
        <f t="array" ref="G494">IF(IFERROR(INDEX(LAM_II_SQFT, MATCH(Crosswalk_API!$A494, LAM_ORG_ID_LIST, 0)), 0) = 0, "No", "Yes")</f>
        <v>Yes</v>
      </c>
      <c r="H494" s="245" t="str">
        <f>IF(OR(G494="Not Applicable", IFERROR(INDEX('Landing Page and Navigation'!$F$31:$F$48, MATCH(C494, 'Landing Page and Navigation'!$A$31:$A$48, 0)), "No") = "No"), "No", "Yes")</f>
        <v>No</v>
      </c>
      <c r="I494" s="245" t="str">
        <f>_xlfn.TEXTJOIN(" - ", TRUE, CW_API_TABLE[[#This Row],[PWSID]],CW_API_TABLE[[#This Row],[PWS_NAME]])</f>
        <v>CA3710026 - VALLEY CENTER MWD</v>
      </c>
      <c r="J494" s="246" cm="1">
        <f t="array" ref="J494">IFERROR(SUMPRODUCT((PD_PWSID_LIST=Crosswalk_API!$C494)*(PD_SUM_DEL&gt;0)), 0)</f>
        <v>12</v>
      </c>
    </row>
    <row r="495" spans="1:10" x14ac:dyDescent="0.25">
      <c r="A495" s="234" t="s">
        <v>2473</v>
      </c>
      <c r="B495" t="s">
        <v>2474</v>
      </c>
      <c r="C495" t="s">
        <v>2475</v>
      </c>
      <c r="D495" t="s">
        <v>2476</v>
      </c>
      <c r="E495" t="s">
        <v>708</v>
      </c>
      <c r="F495" t="s">
        <v>109</v>
      </c>
      <c r="G495" s="245" t="str" cm="1">
        <f t="array" ref="G495">IF(IFERROR(INDEX(LAM_II_SQFT, MATCH(Crosswalk_API!$A495, LAM_ORG_ID_LIST, 0)), 0) = 0, "No", "Yes")</f>
        <v>Yes</v>
      </c>
      <c r="H495" s="245" t="str">
        <f>IF(OR(G495="Not Applicable", IFERROR(INDEX('Landing Page and Navigation'!$F$31:$F$48, MATCH(C495, 'Landing Page and Navigation'!$A$31:$A$48, 0)), "No") = "No"), "No", "Yes")</f>
        <v>No</v>
      </c>
      <c r="I495" s="245" t="str">
        <f>_xlfn.TEXTJOIN(" - ", TRUE, CW_API_TABLE[[#This Row],[PWSID]],CW_API_TABLE[[#This Row],[PWS_NAME]])</f>
        <v>CA1910009 - VALLEY COUNTY WATER DIST.</v>
      </c>
      <c r="J495" s="246" cm="1">
        <f t="array" ref="J495">IFERROR(SUMPRODUCT((PD_PWSID_LIST=Crosswalk_API!$C495)*(PD_SUM_DEL&gt;0)), 0)</f>
        <v>12</v>
      </c>
    </row>
    <row r="496" spans="1:10" x14ac:dyDescent="0.25">
      <c r="A496" s="234" t="s">
        <v>2477</v>
      </c>
      <c r="B496" t="s">
        <v>2478</v>
      </c>
      <c r="C496" t="s">
        <v>2479</v>
      </c>
      <c r="D496" t="s">
        <v>2480</v>
      </c>
      <c r="E496" t="s">
        <v>1121</v>
      </c>
      <c r="F496" t="s">
        <v>109</v>
      </c>
      <c r="G496" s="245" t="str" cm="1">
        <f t="array" ref="G496">IF(IFERROR(INDEX(LAM_II_SQFT, MATCH(Crosswalk_API!$A496, LAM_ORG_ID_LIST, 0)), 0) = 0, "No", "Yes")</f>
        <v>Yes</v>
      </c>
      <c r="H496" s="245" t="str">
        <f>IF(OR(G496="Not Applicable", IFERROR(INDEX('Landing Page and Navigation'!$F$31:$F$48, MATCH(C496, 'Landing Page and Navigation'!$A$31:$A$48, 0)), "No") = "No"), "No", "Yes")</f>
        <v>No</v>
      </c>
      <c r="I496" s="245" t="str">
        <f>_xlfn.TEXTJOIN(" - ", TRUE, CW_API_TABLE[[#This Row],[PWSID]],CW_API_TABLE[[#This Row],[PWS_NAME]])</f>
        <v>CA4910013 - VALLEY OF THE MOON WATER DISTRICT</v>
      </c>
      <c r="J496" s="246" cm="1">
        <f t="array" ref="J496">IFERROR(SUMPRODUCT((PD_PWSID_LIST=Crosswalk_API!$C496)*(PD_SUM_DEL&gt;0)), 0)</f>
        <v>12</v>
      </c>
    </row>
    <row r="497" spans="1:10" x14ac:dyDescent="0.25">
      <c r="A497" s="234" t="s">
        <v>2481</v>
      </c>
      <c r="B497" t="s">
        <v>2482</v>
      </c>
      <c r="C497" t="s">
        <v>2483</v>
      </c>
      <c r="D497" t="s">
        <v>2484</v>
      </c>
      <c r="E497" t="s">
        <v>708</v>
      </c>
      <c r="F497" t="s">
        <v>109</v>
      </c>
      <c r="G497" s="245" t="str" cm="1">
        <f t="array" ref="G497">IF(IFERROR(INDEX(LAM_II_SQFT, MATCH(Crosswalk_API!$A497, LAM_ORG_ID_LIST, 0)), 0) = 0, "No", "Yes")</f>
        <v>Yes</v>
      </c>
      <c r="H497" s="245" t="str">
        <f>IF(OR(G497="Not Applicable", IFERROR(INDEX('Landing Page and Navigation'!$F$31:$F$48, MATCH(C497, 'Landing Page and Navigation'!$A$31:$A$48, 0)), "No") = "No"), "No", "Yes")</f>
        <v>No</v>
      </c>
      <c r="I497" s="245" t="str">
        <f>_xlfn.TEXTJOIN(" - ", TRUE, CW_API_TABLE[[#This Row],[PWSID]],CW_API_TABLE[[#This Row],[PWS_NAME]])</f>
        <v>CA1910166 - VALLEY WATER CO.</v>
      </c>
      <c r="J497" s="246" cm="1">
        <f t="array" ref="J497">IFERROR(SUMPRODUCT((PD_PWSID_LIST=Crosswalk_API!$C497)*(PD_SUM_DEL&gt;0)), 0)</f>
        <v>12</v>
      </c>
    </row>
    <row r="498" spans="1:10" x14ac:dyDescent="0.25">
      <c r="A498" s="234" t="s">
        <v>2485</v>
      </c>
      <c r="B498" t="s">
        <v>2486</v>
      </c>
      <c r="C498" t="s">
        <v>2487</v>
      </c>
      <c r="D498" t="s">
        <v>2488</v>
      </c>
      <c r="E498" t="s">
        <v>766</v>
      </c>
      <c r="F498" t="s">
        <v>109</v>
      </c>
      <c r="G498" s="245" t="str" cm="1">
        <f t="array" ref="G498">IF(IFERROR(INDEX(LAM_II_SQFT, MATCH(Crosswalk_API!$A498, LAM_ORG_ID_LIST, 0)), 0) = 0, "No", "Yes")</f>
        <v>Yes</v>
      </c>
      <c r="H498" s="245" t="str">
        <f>IF(OR(G498="Not Applicable", IFERROR(INDEX('Landing Page and Navigation'!$F$31:$F$48, MATCH(C498, 'Landing Page and Navigation'!$A$31:$A$48, 0)), "No") = "No"), "No", "Yes")</f>
        <v>No</v>
      </c>
      <c r="I498" s="245" t="str">
        <f>_xlfn.TEXTJOIN(" - ", TRUE, CW_API_TABLE[[#This Row],[PWSID]],CW_API_TABLE[[#This Row],[PWS_NAME]])</f>
        <v>CA1510029 - VAUGHN WC INC</v>
      </c>
      <c r="J498" s="246" cm="1">
        <f t="array" ref="J498">IFERROR(SUMPRODUCT((PD_PWSID_LIST=Crosswalk_API!$C498)*(PD_SUM_DEL&gt;0)), 0)</f>
        <v>12</v>
      </c>
    </row>
    <row r="499" spans="1:10" x14ac:dyDescent="0.25">
      <c r="A499" s="234" t="s">
        <v>2489</v>
      </c>
      <c r="B499" t="s">
        <v>2490</v>
      </c>
      <c r="C499" t="s">
        <v>2491</v>
      </c>
      <c r="D499" t="s">
        <v>2492</v>
      </c>
      <c r="E499" t="s">
        <v>942</v>
      </c>
      <c r="F499" t="s">
        <v>109</v>
      </c>
      <c r="G499" s="245" t="str" cm="1">
        <f t="array" ref="G499">IF(IFERROR(INDEX(LAM_II_SQFT, MATCH(Crosswalk_API!$A499, LAM_ORG_ID_LIST, 0)), 0) = 0, "No", "Yes")</f>
        <v>Yes</v>
      </c>
      <c r="H499" s="245" t="str">
        <f>IF(OR(G499="Not Applicable", IFERROR(INDEX('Landing Page and Navigation'!$F$31:$F$48, MATCH(C499, 'Landing Page and Navigation'!$A$31:$A$48, 0)), "No") = "No"), "No", "Yes")</f>
        <v>No</v>
      </c>
      <c r="I499" s="245" t="str">
        <f>_xlfn.TEXTJOIN(" - ", TRUE, CW_API_TABLE[[#This Row],[PWSID]],CW_API_TABLE[[#This Row],[PWS_NAME]])</f>
        <v>CA5610018 - VENTURA CWWD NO. 1 - MOORPARK</v>
      </c>
      <c r="J499" s="246" cm="1">
        <f t="array" ref="J499">IFERROR(SUMPRODUCT((PD_PWSID_LIST=Crosswalk_API!$C499)*(PD_SUM_DEL&gt;0)), 0)</f>
        <v>12</v>
      </c>
    </row>
    <row r="500" spans="1:10" x14ac:dyDescent="0.25">
      <c r="A500" s="234" t="s">
        <v>2493</v>
      </c>
      <c r="B500" t="s">
        <v>2494</v>
      </c>
      <c r="C500" t="s">
        <v>2495</v>
      </c>
      <c r="D500" t="s">
        <v>2496</v>
      </c>
      <c r="E500" t="s">
        <v>942</v>
      </c>
      <c r="F500" t="s">
        <v>109</v>
      </c>
      <c r="G500" s="245" t="str" cm="1">
        <f t="array" ref="G500">IF(IFERROR(INDEX(LAM_II_SQFT, MATCH(Crosswalk_API!$A500, LAM_ORG_ID_LIST, 0)), 0) = 0, "No", "Yes")</f>
        <v>Yes</v>
      </c>
      <c r="H500" s="245" t="str">
        <f>IF(OR(G500="Not Applicable", IFERROR(INDEX('Landing Page and Navigation'!$F$31:$F$48, MATCH(C500, 'Landing Page and Navigation'!$A$31:$A$48, 0)), "No") = "No"), "No", "Yes")</f>
        <v>No</v>
      </c>
      <c r="I500" s="245" t="str">
        <f>_xlfn.TEXTJOIN(" - ", TRUE, CW_API_TABLE[[#This Row],[PWSID]],CW_API_TABLE[[#This Row],[PWS_NAME]])</f>
        <v>CA5610023 - VENTURA WWD NO. 8 - SIMI VALLEY</v>
      </c>
      <c r="J500" s="246" cm="1">
        <f t="array" ref="J500">IFERROR(SUMPRODUCT((PD_PWSID_LIST=Crosswalk_API!$C500)*(PD_SUM_DEL&gt;0)), 0)</f>
        <v>12</v>
      </c>
    </row>
    <row r="501" spans="1:10" x14ac:dyDescent="0.25">
      <c r="A501" s="234" t="s">
        <v>2497</v>
      </c>
      <c r="B501" t="s">
        <v>2498</v>
      </c>
      <c r="C501" t="s">
        <v>2499</v>
      </c>
      <c r="D501" t="s">
        <v>2500</v>
      </c>
      <c r="E501" t="s">
        <v>708</v>
      </c>
      <c r="F501" t="s">
        <v>109</v>
      </c>
      <c r="G501" s="245" t="str" cm="1">
        <f t="array" ref="G501">IF(IFERROR(INDEX(LAM_II_SQFT, MATCH(Crosswalk_API!$A501, LAM_ORG_ID_LIST, 0)), 0) = 0, "No", "Yes")</f>
        <v>Yes</v>
      </c>
      <c r="H501" s="245" t="str">
        <f>IF(OR(G501="Not Applicable", IFERROR(INDEX('Landing Page and Navigation'!$F$31:$F$48, MATCH(C501, 'Landing Page and Navigation'!$A$31:$A$48, 0)), "No") = "No"), "No", "Yes")</f>
        <v>No</v>
      </c>
      <c r="I501" s="245" t="str">
        <f>_xlfn.TEXTJOIN(" - ", TRUE, CW_API_TABLE[[#This Row],[PWSID]],CW_API_TABLE[[#This Row],[PWS_NAME]])</f>
        <v>CA1910167 - VERNON-CITY, WATER DEPT.</v>
      </c>
      <c r="J501" s="246" cm="1">
        <f t="array" ref="J501">IFERROR(SUMPRODUCT((PD_PWSID_LIST=Crosswalk_API!$C501)*(PD_SUM_DEL&gt;0)), 0)</f>
        <v>12</v>
      </c>
    </row>
    <row r="502" spans="1:10" x14ac:dyDescent="0.25">
      <c r="A502" s="234" t="s">
        <v>2501</v>
      </c>
      <c r="B502" t="s">
        <v>2502</v>
      </c>
      <c r="C502" t="s">
        <v>2503</v>
      </c>
      <c r="D502" t="s">
        <v>2504</v>
      </c>
      <c r="E502" t="s">
        <v>693</v>
      </c>
      <c r="F502" t="s">
        <v>109</v>
      </c>
      <c r="G502" s="245" t="str" cm="1">
        <f t="array" ref="G502">IF(IFERROR(INDEX(LAM_II_SQFT, MATCH(Crosswalk_API!$A502, LAM_ORG_ID_LIST, 0)), 0) = 0, "No", "Yes")</f>
        <v>Yes</v>
      </c>
      <c r="H502" s="245" t="str">
        <f>IF(OR(G502="Not Applicable", IFERROR(INDEX('Landing Page and Navigation'!$F$31:$F$48, MATCH(C502, 'Landing Page and Navigation'!$A$31:$A$48, 0)), "No") = "No"), "No", "Yes")</f>
        <v>No</v>
      </c>
      <c r="I502" s="245" t="str">
        <f>_xlfn.TEXTJOIN(" - ", TRUE, CW_API_TABLE[[#This Row],[PWSID]],CW_API_TABLE[[#This Row],[PWS_NAME]])</f>
        <v>CA3610052 - VICTORVILLE WATER DISTRICT</v>
      </c>
      <c r="J502" s="246" cm="1">
        <f t="array" ref="J502">IFERROR(SUMPRODUCT((PD_PWSID_LIST=Crosswalk_API!$C502)*(PD_SUM_DEL&gt;0)), 0)</f>
        <v>12</v>
      </c>
    </row>
    <row r="503" spans="1:10" x14ac:dyDescent="0.25">
      <c r="A503" s="234" t="s">
        <v>2505</v>
      </c>
      <c r="B503" t="s">
        <v>2506</v>
      </c>
      <c r="C503" t="s">
        <v>2507</v>
      </c>
      <c r="D503" t="s">
        <v>2508</v>
      </c>
      <c r="E503" t="s">
        <v>937</v>
      </c>
      <c r="F503" t="s">
        <v>109</v>
      </c>
      <c r="G503" s="245" t="str" cm="1">
        <f t="array" ref="G503">IF(IFERROR(INDEX(LAM_II_SQFT, MATCH(Crosswalk_API!$A503, LAM_ORG_ID_LIST, 0)), 0) = 0, "No", "Yes")</f>
        <v>Yes</v>
      </c>
      <c r="H503" s="245" t="str">
        <f>IF(OR(G503="Not Applicable", IFERROR(INDEX('Landing Page and Navigation'!$F$31:$F$48, MATCH(C503, 'Landing Page and Navigation'!$A$31:$A$48, 0)), "No") = "No"), "No", "Yes")</f>
        <v>No</v>
      </c>
      <c r="I503" s="245" t="str">
        <f>_xlfn.TEXTJOIN(" - ", TRUE, CW_API_TABLE[[#This Row],[PWSID]],CW_API_TABLE[[#This Row],[PWS_NAME]])</f>
        <v>CA3710027 - VISTA IRRIGATION DISTRICT</v>
      </c>
      <c r="J503" s="246" cm="1">
        <f t="array" ref="J503">IFERROR(SUMPRODUCT((PD_PWSID_LIST=Crosswalk_API!$C503)*(PD_SUM_DEL&gt;0)), 0)</f>
        <v>12</v>
      </c>
    </row>
    <row r="504" spans="1:10" x14ac:dyDescent="0.25">
      <c r="A504" s="234" t="s">
        <v>2509</v>
      </c>
      <c r="B504" t="s">
        <v>2510</v>
      </c>
      <c r="C504" t="s">
        <v>2511</v>
      </c>
      <c r="D504" t="s">
        <v>2512</v>
      </c>
      <c r="E504" t="s">
        <v>708</v>
      </c>
      <c r="F504" t="s">
        <v>109</v>
      </c>
      <c r="G504" s="245" t="str" cm="1">
        <f t="array" ref="G504">IF(IFERROR(INDEX(LAM_II_SQFT, MATCH(Crosswalk_API!$A504, LAM_ORG_ID_LIST, 0)), 0) = 0, "No", "Yes")</f>
        <v>Yes</v>
      </c>
      <c r="H504" s="245" t="str">
        <f>IF(OR(G504="Not Applicable", IFERROR(INDEX('Landing Page and Navigation'!$F$31:$F$48, MATCH(C504, 'Landing Page and Navigation'!$A$31:$A$48, 0)), "No") = "No"), "No", "Yes")</f>
        <v>No</v>
      </c>
      <c r="I504" s="245" t="str">
        <f>_xlfn.TEXTJOIN(" - ", TRUE, CW_API_TABLE[[#This Row],[PWSID]],CW_API_TABLE[[#This Row],[PWS_NAME]])</f>
        <v>CA1910234 - WALNUT VALLEY WATER DISTRICT</v>
      </c>
      <c r="J504" s="246" cm="1">
        <f t="array" ref="J504">IFERROR(SUMPRODUCT((PD_PWSID_LIST=Crosswalk_API!$C504)*(PD_SUM_DEL&gt;0)), 0)</f>
        <v>12</v>
      </c>
    </row>
    <row r="505" spans="1:10" x14ac:dyDescent="0.25">
      <c r="A505" s="234" t="s">
        <v>2513</v>
      </c>
      <c r="B505" t="s">
        <v>2514</v>
      </c>
      <c r="C505" t="s">
        <v>2515</v>
      </c>
      <c r="D505" t="s">
        <v>2516</v>
      </c>
      <c r="E505" t="s">
        <v>766</v>
      </c>
      <c r="F505" t="s">
        <v>109</v>
      </c>
      <c r="G505" s="245" t="str" cm="1">
        <f t="array" ref="G505">IF(IFERROR(INDEX(LAM_II_SQFT, MATCH(Crosswalk_API!$A505, LAM_ORG_ID_LIST, 0)), 0) = 0, "No", "Yes")</f>
        <v>Yes</v>
      </c>
      <c r="H505" s="245" t="str">
        <f>IF(OR(G505="Not Applicable", IFERROR(INDEX('Landing Page and Navigation'!$F$31:$F$48, MATCH(C505, 'Landing Page and Navigation'!$A$31:$A$48, 0)), "No") = "No"), "No", "Yes")</f>
        <v>No</v>
      </c>
      <c r="I505" s="245" t="str">
        <f>_xlfn.TEXTJOIN(" - ", TRUE, CW_API_TABLE[[#This Row],[PWSID]],CW_API_TABLE[[#This Row],[PWS_NAME]])</f>
        <v>CA1510021 - WASCO, CITY OF</v>
      </c>
      <c r="J505" s="246" cm="1">
        <f t="array" ref="J505">IFERROR(SUMPRODUCT((PD_PWSID_LIST=Crosswalk_API!$C505)*(PD_SUM_DEL&gt;0)), 0)</f>
        <v>12</v>
      </c>
    </row>
    <row r="506" spans="1:10" x14ac:dyDescent="0.25">
      <c r="A506" s="234" t="s">
        <v>2517</v>
      </c>
      <c r="B506" t="s">
        <v>2518</v>
      </c>
      <c r="C506" t="s">
        <v>2519</v>
      </c>
      <c r="D506" t="s">
        <v>2520</v>
      </c>
      <c r="E506" t="s">
        <v>2192</v>
      </c>
      <c r="F506" t="s">
        <v>109</v>
      </c>
      <c r="G506" s="245" t="str" cm="1">
        <f t="array" ref="G506">IF(IFERROR(INDEX(LAM_II_SQFT, MATCH(Crosswalk_API!$A506, LAM_ORG_ID_LIST, 0)), 0) = 0, "No", "Yes")</f>
        <v>Yes</v>
      </c>
      <c r="H506" s="245" t="str">
        <f>IF(OR(G506="Not Applicable", IFERROR(INDEX('Landing Page and Navigation'!$F$31:$F$48, MATCH(C506, 'Landing Page and Navigation'!$A$31:$A$48, 0)), "No") = "No"), "No", "Yes")</f>
        <v>No</v>
      </c>
      <c r="I506" s="245" t="str">
        <f>_xlfn.TEXTJOIN(" - ", TRUE, CW_API_TABLE[[#This Row],[PWSID]],CW_API_TABLE[[#This Row],[PWS_NAME]])</f>
        <v>CA4410011 - WATSONVILLE, CITY OF</v>
      </c>
      <c r="J506" s="246" cm="1">
        <f t="array" ref="J506">IFERROR(SUMPRODUCT((PD_PWSID_LIST=Crosswalk_API!$C506)*(PD_SUM_DEL&gt;0)), 0)</f>
        <v>12</v>
      </c>
    </row>
    <row r="507" spans="1:10" x14ac:dyDescent="0.25">
      <c r="A507" s="234" t="s">
        <v>2521</v>
      </c>
      <c r="B507" t="s">
        <v>2522</v>
      </c>
      <c r="C507" t="s">
        <v>2523</v>
      </c>
      <c r="D507" t="s">
        <v>2524</v>
      </c>
      <c r="E507" t="s">
        <v>766</v>
      </c>
      <c r="F507" t="s">
        <v>109</v>
      </c>
      <c r="G507" s="245" t="str" cm="1">
        <f t="array" ref="G507">IF(IFERROR(INDEX(LAM_II_SQFT, MATCH(Crosswalk_API!$A507, LAM_ORG_ID_LIST, 0)), 0) = 0, "No", "Yes")</f>
        <v>Yes</v>
      </c>
      <c r="H507" s="245" t="str">
        <f>IF(OR(G507="Not Applicable", IFERROR(INDEX('Landing Page and Navigation'!$F$31:$F$48, MATCH(C507, 'Landing Page and Navigation'!$A$31:$A$48, 0)), "No") = "No"), "No", "Yes")</f>
        <v>No</v>
      </c>
      <c r="I507" s="245" t="str">
        <f>_xlfn.TEXTJOIN(" - ", TRUE, CW_API_TABLE[[#This Row],[PWSID]],CW_API_TABLE[[#This Row],[PWS_NAME]])</f>
        <v>CA1510022 - WEST KERN WATER DISTRICT</v>
      </c>
      <c r="J507" s="246" cm="1">
        <f t="array" ref="J507">IFERROR(SUMPRODUCT((PD_PWSID_LIST=Crosswalk_API!$C507)*(PD_SUM_DEL&gt;0)), 0)</f>
        <v>12</v>
      </c>
    </row>
    <row r="508" spans="1:10" x14ac:dyDescent="0.25">
      <c r="A508" s="234" t="s">
        <v>2525</v>
      </c>
      <c r="B508" t="s">
        <v>2526</v>
      </c>
      <c r="C508" t="s">
        <v>2527</v>
      </c>
      <c r="D508" t="s">
        <v>2528</v>
      </c>
      <c r="E508" t="s">
        <v>930</v>
      </c>
      <c r="F508" t="s">
        <v>109</v>
      </c>
      <c r="G508" s="245" t="str" cm="1">
        <f t="array" ref="G508">IF(IFERROR(INDEX(LAM_II_SQFT, MATCH(Crosswalk_API!$A508, LAM_ORG_ID_LIST, 0)), 0) = 0, "No", "Yes")</f>
        <v>Yes</v>
      </c>
      <c r="H508" s="245" t="str">
        <f>IF(OR(G508="Not Applicable", IFERROR(INDEX('Landing Page and Navigation'!$F$31:$F$48, MATCH(C508, 'Landing Page and Navigation'!$A$31:$A$48, 0)), "No") = "No"), "No", "Yes")</f>
        <v>No</v>
      </c>
      <c r="I508" s="245" t="str">
        <f>_xlfn.TEXTJOIN(" - ", TRUE, CW_API_TABLE[[#This Row],[PWSID]],CW_API_TABLE[[#This Row],[PWS_NAME]])</f>
        <v>CA5710003 - CITY OF WEST SACRAMENTO</v>
      </c>
      <c r="J508" s="246" cm="1">
        <f t="array" ref="J508">IFERROR(SUMPRODUCT((PD_PWSID_LIST=Crosswalk_API!$C508)*(PD_SUM_DEL&gt;0)), 0)</f>
        <v>12</v>
      </c>
    </row>
    <row r="509" spans="1:10" x14ac:dyDescent="0.25">
      <c r="A509" s="234" t="s">
        <v>2529</v>
      </c>
      <c r="B509" t="s">
        <v>2530</v>
      </c>
      <c r="C509" t="s">
        <v>2531</v>
      </c>
      <c r="D509" t="s">
        <v>2532</v>
      </c>
      <c r="E509" t="s">
        <v>693</v>
      </c>
      <c r="F509" t="s">
        <v>109</v>
      </c>
      <c r="G509" s="245" t="str" cm="1">
        <f t="array" ref="G509">IF(IFERROR(INDEX(LAM_II_SQFT, MATCH(Crosswalk_API!$A509, LAM_ORG_ID_LIST, 0)), 0) = 0, "No", "Yes")</f>
        <v>Yes</v>
      </c>
      <c r="H509" s="245" t="str">
        <f>IF(OR(G509="Not Applicable", IFERROR(INDEX('Landing Page and Navigation'!$F$31:$F$48, MATCH(C509, 'Landing Page and Navigation'!$A$31:$A$48, 0)), "No") = "No"), "No", "Yes")</f>
        <v>No</v>
      </c>
      <c r="I509" s="245" t="str">
        <f>_xlfn.TEXTJOIN(" - ", TRUE, CW_API_TABLE[[#This Row],[PWSID]],CW_API_TABLE[[#This Row],[PWS_NAME]])</f>
        <v>CA3610004 - WEST VALLEY WATER DISTRICT</v>
      </c>
      <c r="J509" s="246" cm="1">
        <f t="array" ref="J509">IFERROR(SUMPRODUCT((PD_PWSID_LIST=Crosswalk_API!$C509)*(PD_SUM_DEL&gt;0)), 0)</f>
        <v>12</v>
      </c>
    </row>
    <row r="510" spans="1:10" x14ac:dyDescent="0.25">
      <c r="A510" s="234" t="s">
        <v>2533</v>
      </c>
      <c r="B510" t="s">
        <v>2534</v>
      </c>
      <c r="C510" t="s">
        <v>2535</v>
      </c>
      <c r="D510" t="s">
        <v>2536</v>
      </c>
      <c r="E510" t="s">
        <v>862</v>
      </c>
      <c r="F510" t="s">
        <v>109</v>
      </c>
      <c r="G510" s="245" t="str" cm="1">
        <f t="array" ref="G510">IF(IFERROR(INDEX(LAM_II_SQFT, MATCH(Crosswalk_API!$A510, LAM_ORG_ID_LIST, 0)), 0) = 0, "No", "Yes")</f>
        <v>Yes</v>
      </c>
      <c r="H510" s="245" t="str">
        <f>IF(OR(G510="Not Applicable", IFERROR(INDEX('Landing Page and Navigation'!$F$31:$F$48, MATCH(C510, 'Landing Page and Navigation'!$A$31:$A$48, 0)), "No") = "No"), "No", "Yes")</f>
        <v>No</v>
      </c>
      <c r="I510" s="245" t="str">
        <f>_xlfn.TEXTJOIN(" - ", TRUE, CW_API_TABLE[[#This Row],[PWSID]],CW_API_TABLE[[#This Row],[PWS_NAME]])</f>
        <v>CA4110027 - WESTBOROUGH WATER DISTRICT</v>
      </c>
      <c r="J510" s="246" cm="1">
        <f t="array" ref="J510">IFERROR(SUMPRODUCT((PD_PWSID_LIST=Crosswalk_API!$C510)*(PD_SUM_DEL&gt;0)), 0)</f>
        <v>12</v>
      </c>
    </row>
    <row r="511" spans="1:10" x14ac:dyDescent="0.25">
      <c r="A511" s="234" t="s">
        <v>2537</v>
      </c>
      <c r="B511" t="s">
        <v>2538</v>
      </c>
      <c r="C511" t="s">
        <v>2539</v>
      </c>
      <c r="D511" t="s">
        <v>2540</v>
      </c>
      <c r="E511" t="s">
        <v>793</v>
      </c>
      <c r="F511" t="s">
        <v>109</v>
      </c>
      <c r="G511" s="245" t="str" cm="1">
        <f t="array" ref="G511">IF(IFERROR(INDEX(LAM_II_SQFT, MATCH(Crosswalk_API!$A511, LAM_ORG_ID_LIST, 0)), 0) = 0, "No", "Yes")</f>
        <v>Yes</v>
      </c>
      <c r="H511" s="245" t="str">
        <f>IF(OR(G511="Not Applicable", IFERROR(INDEX('Landing Page and Navigation'!$F$31:$F$48, MATCH(C511, 'Landing Page and Navigation'!$A$31:$A$48, 0)), "No") = "No"), "No", "Yes")</f>
        <v>No</v>
      </c>
      <c r="I511" s="245" t="str">
        <f>_xlfn.TEXTJOIN(" - ", TRUE, CW_API_TABLE[[#This Row],[PWSID]],CW_API_TABLE[[#This Row],[PWS_NAME]])</f>
        <v>CA3310036 - WESTERN MWD - MURRIETA DIVISION</v>
      </c>
      <c r="J511" s="246" cm="1">
        <f t="array" ref="J511">IFERROR(SUMPRODUCT((PD_PWSID_LIST=Crosswalk_API!$C511)*(PD_SUM_DEL&gt;0)), 0)</f>
        <v>12</v>
      </c>
    </row>
    <row r="512" spans="1:10" x14ac:dyDescent="0.25">
      <c r="A512" s="234" t="s">
        <v>2537</v>
      </c>
      <c r="B512" t="s">
        <v>2538</v>
      </c>
      <c r="C512" t="s">
        <v>2541</v>
      </c>
      <c r="D512" t="s">
        <v>2542</v>
      </c>
      <c r="E512" t="s">
        <v>793</v>
      </c>
      <c r="F512" t="s">
        <v>109</v>
      </c>
      <c r="G512" s="245" t="str" cm="1">
        <f t="array" ref="G512">IF(IFERROR(INDEX(LAM_II_SQFT, MATCH(Crosswalk_API!$A512, LAM_ORG_ID_LIST, 0)), 0) = 0, "No", "Yes")</f>
        <v>Yes</v>
      </c>
      <c r="H512" s="245" t="str">
        <f>IF(OR(G512="Not Applicable", IFERROR(INDEX('Landing Page and Navigation'!$F$31:$F$48, MATCH(C512, 'Landing Page and Navigation'!$A$31:$A$48, 0)), "No") = "No"), "No", "Yes")</f>
        <v>No</v>
      </c>
      <c r="I512" s="245" t="str">
        <f>_xlfn.TEXTJOIN(" - ", TRUE, CW_API_TABLE[[#This Row],[PWSID]],CW_API_TABLE[[#This Row],[PWS_NAME]])</f>
        <v>CA3310049 - WESTERN MWD</v>
      </c>
      <c r="J512" s="246" cm="1">
        <f t="array" ref="J512">IFERROR(SUMPRODUCT((PD_PWSID_LIST=Crosswalk_API!$C512)*(PD_SUM_DEL&gt;0)), 0)</f>
        <v>12</v>
      </c>
    </row>
    <row r="513" spans="1:10" x14ac:dyDescent="0.25">
      <c r="A513" s="234" t="s">
        <v>2537</v>
      </c>
      <c r="B513" t="s">
        <v>2538</v>
      </c>
      <c r="C513" t="s">
        <v>2543</v>
      </c>
      <c r="D513" t="s">
        <v>2544</v>
      </c>
      <c r="E513" t="s">
        <v>793</v>
      </c>
      <c r="F513" t="s">
        <v>109</v>
      </c>
      <c r="G513" s="245" t="str" cm="1">
        <f t="array" ref="G513">IF(IFERROR(INDEX(LAM_II_SQFT, MATCH(Crosswalk_API!$A513, LAM_ORG_ID_LIST, 0)), 0) = 0, "No", "Yes")</f>
        <v>Yes</v>
      </c>
      <c r="H513" s="245" t="str">
        <f>IF(OR(G513="Not Applicable", IFERROR(INDEX('Landing Page and Navigation'!$F$31:$F$48, MATCH(C513, 'Landing Page and Navigation'!$A$31:$A$48, 0)), "No") = "No"), "No", "Yes")</f>
        <v>No</v>
      </c>
      <c r="I513" s="245" t="str">
        <f>_xlfn.TEXTJOIN(" - ", TRUE, CW_API_TABLE[[#This Row],[PWSID]],CW_API_TABLE[[#This Row],[PWS_NAME]])</f>
        <v>CA3310076 - WESTERN MWD (ID A - RAINBOW)</v>
      </c>
      <c r="J513" s="246" cm="1">
        <f t="array" ref="J513">IFERROR(SUMPRODUCT((PD_PWSID_LIST=Crosswalk_API!$C513)*(PD_SUM_DEL&gt;0)), 0)</f>
        <v>12</v>
      </c>
    </row>
    <row r="514" spans="1:10" x14ac:dyDescent="0.25">
      <c r="A514" s="234" t="s">
        <v>2545</v>
      </c>
      <c r="B514" t="s">
        <v>2546</v>
      </c>
      <c r="C514" t="s">
        <v>2547</v>
      </c>
      <c r="D514" t="s">
        <v>2548</v>
      </c>
      <c r="E514" t="s">
        <v>731</v>
      </c>
      <c r="F514" t="s">
        <v>109</v>
      </c>
      <c r="G514" s="245" t="str" cm="1">
        <f t="array" ref="G514">IF(IFERROR(INDEX(LAM_II_SQFT, MATCH(Crosswalk_API!$A514, LAM_ORG_ID_LIST, 0)), 0) = 0, "No", "Yes")</f>
        <v>Yes</v>
      </c>
      <c r="H514" s="245" t="str">
        <f>IF(OR(G514="Not Applicable", IFERROR(INDEX('Landing Page and Navigation'!$F$31:$F$48, MATCH(C514, 'Landing Page and Navigation'!$A$31:$A$48, 0)), "No") = "No"), "No", "Yes")</f>
        <v>No</v>
      </c>
      <c r="I514" s="245" t="str">
        <f>_xlfn.TEXTJOIN(" - ", TRUE, CW_API_TABLE[[#This Row],[PWSID]],CW_API_TABLE[[#This Row],[PWS_NAME]])</f>
        <v>CA3010064 - CITY OF WESTMINSTER</v>
      </c>
      <c r="J514" s="246" cm="1">
        <f t="array" ref="J514">IFERROR(SUMPRODUCT((PD_PWSID_LIST=Crosswalk_API!$C514)*(PD_SUM_DEL&gt;0)), 0)</f>
        <v>12</v>
      </c>
    </row>
    <row r="515" spans="1:10" x14ac:dyDescent="0.25">
      <c r="A515" s="234" t="s">
        <v>2549</v>
      </c>
      <c r="B515" t="s">
        <v>2550</v>
      </c>
      <c r="C515" t="s">
        <v>2551</v>
      </c>
      <c r="D515" t="s">
        <v>2552</v>
      </c>
      <c r="E515" t="s">
        <v>708</v>
      </c>
      <c r="F515" t="s">
        <v>109</v>
      </c>
      <c r="G515" s="245" t="str" cm="1">
        <f t="array" ref="G515">IF(IFERROR(INDEX(LAM_II_SQFT, MATCH(Crosswalk_API!$A515, LAM_ORG_ID_LIST, 0)), 0) = 0, "No", "Yes")</f>
        <v>Yes</v>
      </c>
      <c r="H515" s="245" t="str">
        <f>IF(OR(G515="Not Applicable", IFERROR(INDEX('Landing Page and Navigation'!$F$31:$F$48, MATCH(C515, 'Landing Page and Navigation'!$A$31:$A$48, 0)), "No") = "No"), "No", "Yes")</f>
        <v>No</v>
      </c>
      <c r="I515" s="245" t="str">
        <f>_xlfn.TEXTJOIN(" - ", TRUE, CW_API_TABLE[[#This Row],[PWSID]],CW_API_TABLE[[#This Row],[PWS_NAME]])</f>
        <v>CA1910173 - WHITTIER-CITY, WATER DEPT.</v>
      </c>
      <c r="J515" s="246" cm="1">
        <f t="array" ref="J515">IFERROR(SUMPRODUCT((PD_PWSID_LIST=Crosswalk_API!$C515)*(PD_SUM_DEL&gt;0)), 0)</f>
        <v>12</v>
      </c>
    </row>
    <row r="516" spans="1:10" x14ac:dyDescent="0.25">
      <c r="A516" s="234" t="s">
        <v>2553</v>
      </c>
      <c r="B516" t="s">
        <v>2554</v>
      </c>
      <c r="C516" t="s">
        <v>2555</v>
      </c>
      <c r="D516" t="s">
        <v>2556</v>
      </c>
      <c r="E516" t="s">
        <v>1121</v>
      </c>
      <c r="F516" t="s">
        <v>109</v>
      </c>
      <c r="G516" s="245" t="str" cm="1">
        <f t="array" ref="G516">IF(IFERROR(INDEX(LAM_II_SQFT, MATCH(Crosswalk_API!$A516, LAM_ORG_ID_LIST, 0)), 0) = 0, "No", "Yes")</f>
        <v>Yes</v>
      </c>
      <c r="H516" s="245" t="str">
        <f>IF(OR(G516="Not Applicable", IFERROR(INDEX('Landing Page and Navigation'!$F$31:$F$48, MATCH(C516, 'Landing Page and Navigation'!$A$31:$A$48, 0)), "No") = "No"), "No", "Yes")</f>
        <v>No</v>
      </c>
      <c r="I516" s="245" t="str">
        <f>_xlfn.TEXTJOIN(" - ", TRUE, CW_API_TABLE[[#This Row],[PWSID]],CW_API_TABLE[[#This Row],[PWS_NAME]])</f>
        <v>CA4910017 - WINDSOR, TOWN OF</v>
      </c>
      <c r="J516" s="246" cm="1">
        <f t="array" ref="J516">IFERROR(SUMPRODUCT((PD_PWSID_LIST=Crosswalk_API!$C516)*(PD_SUM_DEL&gt;0)), 0)</f>
        <v>12</v>
      </c>
    </row>
    <row r="517" spans="1:10" x14ac:dyDescent="0.25">
      <c r="A517" s="234" t="s">
        <v>2557</v>
      </c>
      <c r="B517" t="s">
        <v>2558</v>
      </c>
      <c r="C517" t="s">
        <v>2559</v>
      </c>
      <c r="D517" t="s">
        <v>2560</v>
      </c>
      <c r="E517" t="s">
        <v>930</v>
      </c>
      <c r="F517" t="s">
        <v>109</v>
      </c>
      <c r="G517" s="245" t="str" cm="1">
        <f t="array" ref="G517">IF(IFERROR(INDEX(LAM_II_SQFT, MATCH(Crosswalk_API!$A517, LAM_ORG_ID_LIST, 0)), 0) = 0, "No", "Yes")</f>
        <v>Yes</v>
      </c>
      <c r="H517" s="245" t="str">
        <f>IF(OR(G517="Not Applicable", IFERROR(INDEX('Landing Page and Navigation'!$F$31:$F$48, MATCH(C517, 'Landing Page and Navigation'!$A$31:$A$48, 0)), "No") = "No"), "No", "Yes")</f>
        <v>No</v>
      </c>
      <c r="I517" s="245" t="str">
        <f>_xlfn.TEXTJOIN(" - ", TRUE, CW_API_TABLE[[#This Row],[PWSID]],CW_API_TABLE[[#This Row],[PWS_NAME]])</f>
        <v>CA5710006 - CITY OF WOODLAND</v>
      </c>
      <c r="J517" s="246" cm="1">
        <f t="array" ref="J517">IFERROR(SUMPRODUCT((PD_PWSID_LIST=Crosswalk_API!$C517)*(PD_SUM_DEL&gt;0)), 0)</f>
        <v>12</v>
      </c>
    </row>
    <row r="518" spans="1:10" x14ac:dyDescent="0.25">
      <c r="A518" s="234" t="s">
        <v>2561</v>
      </c>
      <c r="B518" t="s">
        <v>2562</v>
      </c>
      <c r="C518" t="s">
        <v>2563</v>
      </c>
      <c r="D518" t="s">
        <v>2564</v>
      </c>
      <c r="E518" t="s">
        <v>731</v>
      </c>
      <c r="F518" t="s">
        <v>109</v>
      </c>
      <c r="G518" s="245" t="str" cm="1">
        <f t="array" ref="G518">IF(IFERROR(INDEX(LAM_II_SQFT, MATCH(Crosswalk_API!$A518, LAM_ORG_ID_LIST, 0)), 0) = 0, "No", "Yes")</f>
        <v>Yes</v>
      </c>
      <c r="H518" s="245" t="str">
        <f>IF(OR(G518="Not Applicable", IFERROR(INDEX('Landing Page and Navigation'!$F$31:$F$48, MATCH(C518, 'Landing Page and Navigation'!$A$31:$A$48, 0)), "No") = "No"), "No", "Yes")</f>
        <v>No</v>
      </c>
      <c r="I518" s="245" t="str">
        <f>_xlfn.TEXTJOIN(" - ", TRUE, CW_API_TABLE[[#This Row],[PWSID]],CW_API_TABLE[[#This Row],[PWS_NAME]])</f>
        <v>CA3010037 - YORBA LINDA WATER DISTRICT</v>
      </c>
      <c r="J518" s="246" cm="1">
        <f t="array" ref="J518">IFERROR(SUMPRODUCT((PD_PWSID_LIST=Crosswalk_API!$C518)*(PD_SUM_DEL&gt;0)), 0)</f>
        <v>12</v>
      </c>
    </row>
    <row r="519" spans="1:10" x14ac:dyDescent="0.25">
      <c r="A519" s="234" t="s">
        <v>2565</v>
      </c>
      <c r="B519" t="s">
        <v>2566</v>
      </c>
      <c r="C519" t="s">
        <v>2567</v>
      </c>
      <c r="D519" t="s">
        <v>2568</v>
      </c>
      <c r="E519" t="s">
        <v>2569</v>
      </c>
      <c r="F519" t="s">
        <v>109</v>
      </c>
      <c r="G519" s="245" t="str" cm="1">
        <f t="array" ref="G519">IF(IFERROR(INDEX(LAM_II_SQFT, MATCH(Crosswalk_API!$A519, LAM_ORG_ID_LIST, 0)), 0) = 0, "No", "Yes")</f>
        <v>Yes</v>
      </c>
      <c r="H519" s="245" t="str">
        <f>IF(OR(G519="Not Applicable", IFERROR(INDEX('Landing Page and Navigation'!$F$31:$F$48, MATCH(C519, 'Landing Page and Navigation'!$A$31:$A$48, 0)), "No") = "No"), "No", "Yes")</f>
        <v>No</v>
      </c>
      <c r="I519" s="245" t="str">
        <f>_xlfn.TEXTJOIN(" - ", TRUE, CW_API_TABLE[[#This Row],[PWSID]],CW_API_TABLE[[#This Row],[PWS_NAME]])</f>
        <v>CA4710011 - YREKA, CITY OF</v>
      </c>
      <c r="J519" s="246" cm="1">
        <f t="array" ref="J519">IFERROR(SUMPRODUCT((PD_PWSID_LIST=Crosswalk_API!$C519)*(PD_SUM_DEL&gt;0)), 0)</f>
        <v>12</v>
      </c>
    </row>
    <row r="520" spans="1:10" x14ac:dyDescent="0.25">
      <c r="A520" s="234" t="s">
        <v>2570</v>
      </c>
      <c r="B520" t="s">
        <v>2571</v>
      </c>
      <c r="C520" t="s">
        <v>2572</v>
      </c>
      <c r="D520" t="s">
        <v>2573</v>
      </c>
      <c r="E520" t="s">
        <v>2574</v>
      </c>
      <c r="F520" t="s">
        <v>109</v>
      </c>
      <c r="G520" s="245" t="str" cm="1">
        <f t="array" ref="G520">IF(IFERROR(INDEX(LAM_II_SQFT, MATCH(Crosswalk_API!$A520, LAM_ORG_ID_LIST, 0)), 0) = 0, "No", "Yes")</f>
        <v>Yes</v>
      </c>
      <c r="H520" s="245" t="str">
        <f>IF(OR(G520="Not Applicable", IFERROR(INDEX('Landing Page and Navigation'!$F$31:$F$48, MATCH(C520, 'Landing Page and Navigation'!$A$31:$A$48, 0)), "No") = "No"), "No", "Yes")</f>
        <v>No</v>
      </c>
      <c r="I520" s="245" t="str">
        <f>_xlfn.TEXTJOIN(" - ", TRUE, CW_API_TABLE[[#This Row],[PWSID]],CW_API_TABLE[[#This Row],[PWS_NAME]])</f>
        <v>CA5110002 - CITY OF YUBA CITY</v>
      </c>
      <c r="J520" s="246" cm="1">
        <f t="array" ref="J520">IFERROR(SUMPRODUCT((PD_PWSID_LIST=Crosswalk_API!$C520)*(PD_SUM_DEL&gt;0)), 0)</f>
        <v>12</v>
      </c>
    </row>
    <row r="521" spans="1:10" x14ac:dyDescent="0.25">
      <c r="A521" s="234" t="s">
        <v>2575</v>
      </c>
      <c r="B521" t="s">
        <v>2576</v>
      </c>
      <c r="C521" t="s">
        <v>2577</v>
      </c>
      <c r="D521" t="s">
        <v>2578</v>
      </c>
      <c r="E521" t="s">
        <v>693</v>
      </c>
      <c r="F521" t="s">
        <v>109</v>
      </c>
      <c r="G521" s="245" t="str" cm="1">
        <f t="array" ref="G521">IF(IFERROR(INDEX(LAM_II_SQFT, MATCH(Crosswalk_API!$A521, LAM_ORG_ID_LIST, 0)), 0) = 0, "No", "Yes")</f>
        <v>Yes</v>
      </c>
      <c r="H521" s="245" t="str">
        <f>IF(OR(G521="Not Applicable", IFERROR(INDEX('Landing Page and Navigation'!$F$31:$F$48, MATCH(C521, 'Landing Page and Navigation'!$A$31:$A$48, 0)), "No") = "No"), "No", "Yes")</f>
        <v>No</v>
      </c>
      <c r="I521" s="245" t="str">
        <f>_xlfn.TEXTJOIN(" - ", TRUE, CW_API_TABLE[[#This Row],[PWSID]],CW_API_TABLE[[#This Row],[PWS_NAME]])</f>
        <v>CA3610055 - YUCAIPA VALLEY WATER DISTRICT</v>
      </c>
      <c r="J521" s="246" cm="1">
        <f t="array" ref="J521">IFERROR(SUMPRODUCT((PD_PWSID_LIST=Crosswalk_API!$C521)*(PD_SUM_DEL&gt;0)), 0)</f>
        <v>12</v>
      </c>
    </row>
    <row r="522" spans="1:10" x14ac:dyDescent="0.25">
      <c r="A522" s="234" t="s">
        <v>2579</v>
      </c>
      <c r="B522" t="s">
        <v>2580</v>
      </c>
      <c r="C522" t="s">
        <v>2581</v>
      </c>
      <c r="D522" t="s">
        <v>2582</v>
      </c>
      <c r="E522" t="s">
        <v>693</v>
      </c>
      <c r="F522" t="s">
        <v>109</v>
      </c>
      <c r="G522" s="245" t="str" cm="1">
        <f t="array" ref="G522">IF(IFERROR(INDEX(LAM_II_SQFT, MATCH(Crosswalk_API!$A522, LAM_ORG_ID_LIST, 0)), 0) = 0, "No", "Yes")</f>
        <v>Yes</v>
      </c>
      <c r="H522" s="245" t="str">
        <f>IF(OR(G522="Not Applicable", IFERROR(INDEX('Landing Page and Navigation'!$F$31:$F$48, MATCH(C522, 'Landing Page and Navigation'!$A$31:$A$48, 0)), "No") = "No"), "No", "Yes")</f>
        <v>No</v>
      </c>
      <c r="I522" s="245" t="str">
        <f>_xlfn.TEXTJOIN(" - ", TRUE, CW_API_TABLE[[#This Row],[PWSID]],CW_API_TABLE[[#This Row],[PWS_NAME]])</f>
        <v>CA3610125 - SBDNO COUNTY SERVICE AREA 70J</v>
      </c>
      <c r="J522" s="246" cm="1">
        <f t="array" ref="J522">IFERROR(SUMPRODUCT((PD_PWSID_LIST=Crosswalk_API!$C522)*(PD_SUM_DEL&gt;0)), 0)</f>
        <v>12</v>
      </c>
    </row>
    <row r="523" spans="1:10" x14ac:dyDescent="0.25">
      <c r="A523" s="234" t="s">
        <v>2583</v>
      </c>
      <c r="B523" t="s">
        <v>2584</v>
      </c>
      <c r="C523" t="s">
        <v>2585</v>
      </c>
      <c r="D523" t="s">
        <v>2586</v>
      </c>
      <c r="E523" t="s">
        <v>1667</v>
      </c>
      <c r="F523" t="s">
        <v>109</v>
      </c>
      <c r="G523" s="245" t="str" cm="1">
        <f t="array" ref="G523">IF(IFERROR(INDEX(LAM_II_SQFT, MATCH(Crosswalk_API!$A523, LAM_ORG_ID_LIST, 0)), 0) = 0, "No", "Yes")</f>
        <v>Yes</v>
      </c>
      <c r="H523" s="245" t="str">
        <f>IF(OR(G523="Not Applicable", IFERROR(INDEX('Landing Page and Navigation'!$F$31:$F$48, MATCH(C523, 'Landing Page and Navigation'!$A$31:$A$48, 0)), "No") = "No"), "No", "Yes")</f>
        <v>No</v>
      </c>
      <c r="I523" s="245" t="str">
        <f>_xlfn.TEXTJOIN(" - ", TRUE, CW_API_TABLE[[#This Row],[PWSID]],CW_API_TABLE[[#This Row],[PWS_NAME]])</f>
        <v>CA2010001 - CHOWCHILLA CITY WATER DEPT</v>
      </c>
      <c r="J523" s="246" cm="1">
        <f t="array" ref="J523">IFERROR(SUMPRODUCT((PD_PWSID_LIST=Crosswalk_API!$C523)*(PD_SUM_DEL&gt;0)), 0)</f>
        <v>12</v>
      </c>
    </row>
    <row r="524" spans="1:10" x14ac:dyDescent="0.25">
      <c r="A524" s="234" t="s">
        <v>2587</v>
      </c>
      <c r="B524" t="s">
        <v>2588</v>
      </c>
      <c r="C524" t="s">
        <v>2589</v>
      </c>
      <c r="D524" t="s">
        <v>2590</v>
      </c>
      <c r="E524" t="s">
        <v>1051</v>
      </c>
      <c r="F524" t="s">
        <v>109</v>
      </c>
      <c r="G524" s="245" t="str" cm="1">
        <f t="array" ref="G524">IF(IFERROR(INDEX(LAM_II_SQFT, MATCH(Crosswalk_API!$A524, LAM_ORG_ID_LIST, 0)), 0) = 0, "No", "Yes")</f>
        <v>Yes</v>
      </c>
      <c r="H524" s="245" t="str">
        <f>IF(OR(G524="Not Applicable", IFERROR(INDEX('Landing Page and Navigation'!$F$31:$F$48, MATCH(C524, 'Landing Page and Navigation'!$A$31:$A$48, 0)), "No") = "No"), "No", "Yes")</f>
        <v>No</v>
      </c>
      <c r="I524" s="245" t="str">
        <f>_xlfn.TEXTJOIN(" - ", TRUE, CW_API_TABLE[[#This Row],[PWSID]],CW_API_TABLE[[#This Row],[PWS_NAME]])</f>
        <v>CA3910027 - MOUNTAIN HOUSE COMMUNITY SERVICES DIST.</v>
      </c>
      <c r="J524" s="246" cm="1">
        <f t="array" ref="J524">IFERROR(SUMPRODUCT((PD_PWSID_LIST=Crosswalk_API!$C524)*(PD_SUM_DEL&gt;0)), 0)</f>
        <v>12</v>
      </c>
    </row>
    <row r="525" spans="1:10" x14ac:dyDescent="0.25">
      <c r="A525" s="234" t="s">
        <v>2591</v>
      </c>
      <c r="B525" t="s">
        <v>2592</v>
      </c>
      <c r="C525" t="s">
        <v>2593</v>
      </c>
      <c r="D525" t="s">
        <v>2594</v>
      </c>
      <c r="E525" t="s">
        <v>708</v>
      </c>
      <c r="F525" t="s">
        <v>109</v>
      </c>
      <c r="G525" s="245" t="str" cm="1">
        <f t="array" ref="G525">IF(IFERROR(INDEX(LAM_II_SQFT, MATCH(Crosswalk_API!$A525, LAM_ORG_ID_LIST, 0)), 0) = 0, "No", "Yes")</f>
        <v>Yes</v>
      </c>
      <c r="H525" s="245" t="str">
        <f>IF(OR(G525="Not Applicable", IFERROR(INDEX('Landing Page and Navigation'!$F$31:$F$48, MATCH(C525, 'Landing Page and Navigation'!$A$31:$A$48, 0)), "No") = "No"), "No", "Yes")</f>
        <v>No</v>
      </c>
      <c r="I525" s="245" t="str">
        <f>_xlfn.TEXTJOIN(" - ", TRUE, CW_API_TABLE[[#This Row],[PWSID]],CW_API_TABLE[[#This Row],[PWS_NAME]])</f>
        <v>CA1910017 - SANTA CLARITA VALLEY W.A.-SANTA CLARITA</v>
      </c>
      <c r="J525" s="246" cm="1">
        <f t="array" ref="J525">IFERROR(SUMPRODUCT((PD_PWSID_LIST=Crosswalk_API!$C525)*(PD_SUM_DEL&gt;0)), 0)</f>
        <v>12</v>
      </c>
    </row>
    <row r="526" spans="1:10" x14ac:dyDescent="0.25">
      <c r="A526" s="234" t="s">
        <v>2591</v>
      </c>
      <c r="B526" t="s">
        <v>2592</v>
      </c>
      <c r="C526" t="s">
        <v>2595</v>
      </c>
      <c r="D526" t="s">
        <v>2596</v>
      </c>
      <c r="E526" t="s">
        <v>708</v>
      </c>
      <c r="F526" t="s">
        <v>109</v>
      </c>
      <c r="G526" s="245" t="str" cm="1">
        <f t="array" ref="G526">IF(IFERROR(INDEX(LAM_II_SQFT, MATCH(Crosswalk_API!$A526, LAM_ORG_ID_LIST, 0)), 0) = 0, "No", "Yes")</f>
        <v>Yes</v>
      </c>
      <c r="H526" s="245" t="str">
        <f>IF(OR(G526="Not Applicable", IFERROR(INDEX('Landing Page and Navigation'!$F$31:$F$48, MATCH(C526, 'Landing Page and Navigation'!$A$31:$A$48, 0)), "No") = "No"), "No", "Yes")</f>
        <v>No</v>
      </c>
      <c r="I526" s="245" t="str">
        <f>_xlfn.TEXTJOIN(" - ", TRUE, CW_API_TABLE[[#This Row],[PWSID]],CW_API_TABLE[[#This Row],[PWS_NAME]])</f>
        <v>CA1910096 - SANTA CLARITA VALLEY W.A.-NEWHALL DIV.</v>
      </c>
      <c r="J526" s="246" cm="1">
        <f t="array" ref="J526">IFERROR(SUMPRODUCT((PD_PWSID_LIST=Crosswalk_API!$C526)*(PD_SUM_DEL&gt;0)), 0)</f>
        <v>12</v>
      </c>
    </row>
    <row r="527" spans="1:10" x14ac:dyDescent="0.25">
      <c r="A527" s="234" t="s">
        <v>2591</v>
      </c>
      <c r="B527" t="s">
        <v>2592</v>
      </c>
      <c r="C527" t="s">
        <v>2597</v>
      </c>
      <c r="D527" t="s">
        <v>2598</v>
      </c>
      <c r="E527" t="s">
        <v>708</v>
      </c>
      <c r="F527" t="s">
        <v>109</v>
      </c>
      <c r="G527" s="245" t="str" cm="1">
        <f t="array" ref="G527">IF(IFERROR(INDEX(LAM_II_SQFT, MATCH(Crosswalk_API!$A527, LAM_ORG_ID_LIST, 0)), 0) = 0, "No", "Yes")</f>
        <v>Yes</v>
      </c>
      <c r="H527" s="245" t="str">
        <f>IF(OR(G527="Not Applicable", IFERROR(INDEX('Landing Page and Navigation'!$F$31:$F$48, MATCH(C527, 'Landing Page and Navigation'!$A$31:$A$48, 0)), "No") = "No"), "No", "Yes")</f>
        <v>No</v>
      </c>
      <c r="I527" s="245" t="str">
        <f>_xlfn.TEXTJOIN(" - ", TRUE, CW_API_TABLE[[#This Row],[PWSID]],CW_API_TABLE[[#This Row],[PWS_NAME]])</f>
        <v>CA1910240 - SANTA CLARITA VALLEY W.A.-VALENCIA DIVIS</v>
      </c>
      <c r="J527" s="246" cm="1">
        <f t="array" ref="J527">IFERROR(SUMPRODUCT((PD_PWSID_LIST=Crosswalk_API!$C527)*(PD_SUM_DEL&gt;0)), 0)</f>
        <v>12</v>
      </c>
    </row>
    <row r="528" spans="1:10" x14ac:dyDescent="0.25">
      <c r="A528" s="234" t="s">
        <v>2591</v>
      </c>
      <c r="B528" t="s">
        <v>2592</v>
      </c>
      <c r="C528" t="s">
        <v>2599</v>
      </c>
      <c r="D528" t="s">
        <v>2600</v>
      </c>
      <c r="E528" t="s">
        <v>708</v>
      </c>
      <c r="F528" t="s">
        <v>109</v>
      </c>
      <c r="G528" s="245" t="str" cm="1">
        <f t="array" ref="G528">IF(IFERROR(INDEX(LAM_II_SQFT, MATCH(Crosswalk_API!$A528, LAM_ORG_ID_LIST, 0)), 0) = 0, "No", "Yes")</f>
        <v>Yes</v>
      </c>
      <c r="H528" s="245" t="str">
        <f>IF(OR(G528="Not Applicable", IFERROR(INDEX('Landing Page and Navigation'!$F$31:$F$48, MATCH(C528, 'Landing Page and Navigation'!$A$31:$A$48, 0)), "No") = "No"), "No", "Yes")</f>
        <v>No</v>
      </c>
      <c r="I528" s="245" t="str">
        <f>_xlfn.TEXTJOIN(" - ", TRUE, CW_API_TABLE[[#This Row],[PWSID]],CW_API_TABLE[[#This Row],[PWS_NAME]])</f>
        <v>CA1910247 - SANTA CLARITA VALLEY W.A.-CASTAIC DIV.</v>
      </c>
      <c r="J528" s="246" cm="1">
        <f t="array" ref="J528">IFERROR(SUMPRODUCT((PD_PWSID_LIST=Crosswalk_API!$C528)*(PD_SUM_DEL&gt;0)), 0)</f>
        <v>12</v>
      </c>
    </row>
    <row r="529" spans="1:10" x14ac:dyDescent="0.25">
      <c r="A529" s="234" t="s">
        <v>2591</v>
      </c>
      <c r="B529" t="s">
        <v>2592</v>
      </c>
      <c r="C529" t="s">
        <v>2601</v>
      </c>
      <c r="D529" t="s">
        <v>2602</v>
      </c>
      <c r="E529" t="s">
        <v>708</v>
      </c>
      <c r="F529" t="s">
        <v>109</v>
      </c>
      <c r="G529" s="245" t="str" cm="1">
        <f t="array" ref="G529">IF(IFERROR(INDEX(LAM_II_SQFT, MATCH(Crosswalk_API!$A529, LAM_ORG_ID_LIST, 0)), 0) = 0, "No", "Yes")</f>
        <v>Yes</v>
      </c>
      <c r="H529" s="245" t="str">
        <f>IF(OR(G529="Not Applicable", IFERROR(INDEX('Landing Page and Navigation'!$F$31:$F$48, MATCH(C529, 'Landing Page and Navigation'!$A$31:$A$48, 0)), "No") = "No"), "No", "Yes")</f>
        <v>No</v>
      </c>
      <c r="I529" s="245" t="str">
        <f>_xlfn.TEXTJOIN(" - ", TRUE, CW_API_TABLE[[#This Row],[PWSID]],CW_API_TABLE[[#This Row],[PWS_NAME]])</f>
        <v>CA1910250 - SANTA CLARITA VALLEY W.A.-PINETREE DIV.</v>
      </c>
      <c r="J529" s="246" cm="1">
        <f t="array" ref="J529">IFERROR(SUMPRODUCT((PD_PWSID_LIST=Crosswalk_API!$C529)*(PD_SUM_DEL&gt;0)), 0)</f>
        <v>12</v>
      </c>
    </row>
    <row r="530" spans="1:10" x14ac:dyDescent="0.25">
      <c r="A530" s="234" t="s">
        <v>2591</v>
      </c>
      <c r="B530" t="s">
        <v>2592</v>
      </c>
      <c r="C530" t="s">
        <v>2603</v>
      </c>
      <c r="D530" t="s">
        <v>2604</v>
      </c>
      <c r="E530" t="s">
        <v>708</v>
      </c>
      <c r="F530" t="s">
        <v>109</v>
      </c>
      <c r="G530" s="245" t="str" cm="1">
        <f t="array" ref="G530">IF(IFERROR(INDEX(LAM_II_SQFT, MATCH(Crosswalk_API!$A530, LAM_ORG_ID_LIST, 0)), 0) = 0, "No", "Yes")</f>
        <v>Yes</v>
      </c>
      <c r="H530" s="245" t="str">
        <f>IF(OR(G530="Not Applicable", IFERROR(INDEX('Landing Page and Navigation'!$F$31:$F$48, MATCH(C530, 'Landing Page and Navigation'!$A$31:$A$48, 0)), "No") = "No"), "No", "Yes")</f>
        <v>No</v>
      </c>
      <c r="I530" s="245" t="str">
        <f>_xlfn.TEXTJOIN(" - ", TRUE, CW_API_TABLE[[#This Row],[PWSID]],CW_API_TABLE[[#This Row],[PWS_NAME]])</f>
        <v>CA1910255 - SANTA CLARITA VALLEY W.A.-TESORO DIV.</v>
      </c>
      <c r="J530" s="246" cm="1">
        <f t="array" ref="J530">IFERROR(SUMPRODUCT((PD_PWSID_LIST=Crosswalk_API!$C530)*(PD_SUM_DEL&gt;0)), 0)</f>
        <v>12</v>
      </c>
    </row>
  </sheetData>
  <protectedRanges>
    <protectedRange sqref="G1:J999996" name="Range1"/>
  </protectedRanges>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3FF13-60C4-4B0E-A9AF-B4D2C271C089}">
  <sheetPr codeName="Sheet25">
    <tabColor theme="8" tint="0.39997558519241921"/>
  </sheetPr>
  <dimension ref="A1:K530"/>
  <sheetViews>
    <sheetView workbookViewId="0"/>
  </sheetViews>
  <sheetFormatPr defaultRowHeight="15" x14ac:dyDescent="0.25"/>
  <cols>
    <col min="1" max="1" width="9.85546875" bestFit="1" customWidth="1"/>
    <col min="2" max="2" width="61.7109375" bestFit="1" customWidth="1"/>
    <col min="3" max="3" width="10.28515625" bestFit="1" customWidth="1"/>
    <col min="4" max="4" width="42.7109375" bestFit="1" customWidth="1"/>
    <col min="5" max="5" width="16.7109375" bestFit="1" customWidth="1"/>
    <col min="6" max="6" width="15.7109375" bestFit="1" customWidth="1"/>
    <col min="7" max="7" width="14.7109375" bestFit="1" customWidth="1"/>
    <col min="8" max="8" width="17.7109375" bestFit="1" customWidth="1"/>
    <col min="9" max="9" width="17.140625" bestFit="1" customWidth="1"/>
    <col min="10" max="10" width="15.42578125" bestFit="1" customWidth="1"/>
    <col min="11" max="11" width="10.5703125" bestFit="1" customWidth="1"/>
    <col min="12" max="12" width="63.5703125" bestFit="1" customWidth="1"/>
    <col min="13" max="13" width="17.85546875" bestFit="1" customWidth="1"/>
    <col min="14" max="14" width="43.85546875" bestFit="1" customWidth="1"/>
    <col min="15" max="15" width="19.5703125" bestFit="1" customWidth="1"/>
    <col min="16" max="16" width="25" bestFit="1" customWidth="1"/>
    <col min="17" max="17" width="23" bestFit="1" customWidth="1"/>
    <col min="18" max="18" width="26.85546875" bestFit="1" customWidth="1"/>
    <col min="19" max="19" width="10.85546875" bestFit="1" customWidth="1"/>
    <col min="20" max="20" width="63.5703125" bestFit="1" customWidth="1"/>
    <col min="21" max="21" width="10.42578125" bestFit="1" customWidth="1"/>
    <col min="22" max="22" width="43.85546875" bestFit="1" customWidth="1"/>
    <col min="23" max="23" width="17.28515625" bestFit="1" customWidth="1"/>
    <col min="24" max="24" width="16.28515625" bestFit="1" customWidth="1"/>
    <col min="25" max="25" width="18.140625" bestFit="1" customWidth="1"/>
    <col min="26" max="26" width="10.85546875" bestFit="1" customWidth="1"/>
  </cols>
  <sheetData>
    <row r="1" spans="1:11" x14ac:dyDescent="0.25">
      <c r="A1" t="s">
        <v>679</v>
      </c>
      <c r="B1" t="s">
        <v>680</v>
      </c>
      <c r="C1" t="s">
        <v>61</v>
      </c>
      <c r="D1" t="s">
        <v>681</v>
      </c>
      <c r="E1" t="s">
        <v>682</v>
      </c>
      <c r="F1" t="s">
        <v>2605</v>
      </c>
      <c r="G1" t="s">
        <v>2606</v>
      </c>
      <c r="H1" t="s">
        <v>2607</v>
      </c>
      <c r="I1" t="s">
        <v>2608</v>
      </c>
      <c r="J1" t="s">
        <v>2609</v>
      </c>
      <c r="K1" t="s">
        <v>2610</v>
      </c>
    </row>
    <row r="2" spans="1:11" x14ac:dyDescent="0.25">
      <c r="A2" t="s">
        <v>689</v>
      </c>
      <c r="B2" t="s">
        <v>690</v>
      </c>
      <c r="C2" t="s">
        <v>691</v>
      </c>
      <c r="D2" t="s">
        <v>692</v>
      </c>
      <c r="E2" t="s">
        <v>693</v>
      </c>
      <c r="F2" s="9">
        <v>44824</v>
      </c>
      <c r="G2" s="9"/>
      <c r="H2">
        <v>39930</v>
      </c>
      <c r="I2" s="9">
        <v>45108</v>
      </c>
      <c r="J2" s="9">
        <v>45473</v>
      </c>
      <c r="K2" t="str">
        <f>IFERROR(INDEX(Crosswalk_API!$H$2:$H$527, MATCH(POP_API_TABLE[[#This Row],[PWSID]], CW_PWSID_LIST, 0)), "")</f>
        <v>No</v>
      </c>
    </row>
    <row r="3" spans="1:11" x14ac:dyDescent="0.25">
      <c r="A3" t="s">
        <v>695</v>
      </c>
      <c r="B3" t="s">
        <v>95</v>
      </c>
      <c r="C3" t="s">
        <v>696</v>
      </c>
      <c r="D3" t="s">
        <v>697</v>
      </c>
      <c r="E3" t="s">
        <v>698</v>
      </c>
      <c r="F3" s="9">
        <v>45108</v>
      </c>
      <c r="G3" s="9"/>
      <c r="H3">
        <v>344000</v>
      </c>
      <c r="I3" s="9">
        <v>45108</v>
      </c>
      <c r="J3" s="9">
        <v>45473</v>
      </c>
      <c r="K3" t="str">
        <f>IFERROR(INDEX(Crosswalk_API!$H$2:$H$527, MATCH(POP_API_TABLE[[#This Row],[PWSID]], CW_PWSID_LIST, 0)), "")</f>
        <v>No</v>
      </c>
    </row>
    <row r="4" spans="1:11" x14ac:dyDescent="0.25">
      <c r="A4" t="s">
        <v>699</v>
      </c>
      <c r="B4" t="s">
        <v>700</v>
      </c>
      <c r="C4" t="s">
        <v>701</v>
      </c>
      <c r="D4" t="s">
        <v>702</v>
      </c>
      <c r="E4" t="s">
        <v>703</v>
      </c>
      <c r="F4" s="9">
        <v>43831</v>
      </c>
      <c r="G4" s="9"/>
      <c r="H4">
        <v>56253</v>
      </c>
      <c r="I4" s="9">
        <v>45108</v>
      </c>
      <c r="J4" s="9">
        <v>45473</v>
      </c>
      <c r="K4" t="str">
        <f>IFERROR(INDEX(Crosswalk_API!$H$2:$H$527, MATCH(POP_API_TABLE[[#This Row],[PWSID]], CW_PWSID_LIST, 0)), "")</f>
        <v>No</v>
      </c>
    </row>
    <row r="5" spans="1:11" x14ac:dyDescent="0.25">
      <c r="A5" t="s">
        <v>704</v>
      </c>
      <c r="B5" t="s">
        <v>705</v>
      </c>
      <c r="C5" t="s">
        <v>706</v>
      </c>
      <c r="D5" t="s">
        <v>707</v>
      </c>
      <c r="E5" t="s">
        <v>708</v>
      </c>
      <c r="F5" s="9">
        <v>43831</v>
      </c>
      <c r="G5" s="9"/>
      <c r="H5">
        <v>83750</v>
      </c>
      <c r="I5" s="9">
        <v>45108</v>
      </c>
      <c r="J5" s="9">
        <v>45473</v>
      </c>
      <c r="K5" t="str">
        <f>IFERROR(INDEX(Crosswalk_API!$H$2:$H$527, MATCH(POP_API_TABLE[[#This Row],[PWSID]], CW_PWSID_LIST, 0)), "")</f>
        <v>No</v>
      </c>
    </row>
    <row r="6" spans="1:11" x14ac:dyDescent="0.25">
      <c r="A6" t="s">
        <v>709</v>
      </c>
      <c r="B6" t="s">
        <v>710</v>
      </c>
      <c r="C6" t="s">
        <v>711</v>
      </c>
      <c r="D6" t="s">
        <v>712</v>
      </c>
      <c r="E6" t="s">
        <v>713</v>
      </c>
      <c r="F6" s="9">
        <v>45108</v>
      </c>
      <c r="G6" s="9"/>
      <c r="H6">
        <v>7227</v>
      </c>
      <c r="I6" s="9">
        <v>45108</v>
      </c>
      <c r="J6" s="9">
        <v>45473</v>
      </c>
      <c r="K6" t="str">
        <f>IFERROR(INDEX(Crosswalk_API!$H$2:$H$527, MATCH(POP_API_TABLE[[#This Row],[PWSID]], CW_PWSID_LIST, 0)), "")</f>
        <v>No</v>
      </c>
    </row>
    <row r="7" spans="1:11" x14ac:dyDescent="0.25">
      <c r="A7" t="s">
        <v>709</v>
      </c>
      <c r="B7" t="s">
        <v>710</v>
      </c>
      <c r="C7" t="s">
        <v>714</v>
      </c>
      <c r="D7" t="s">
        <v>715</v>
      </c>
      <c r="E7" t="s">
        <v>713</v>
      </c>
      <c r="F7" s="9">
        <v>43592</v>
      </c>
      <c r="G7" s="9"/>
      <c r="H7">
        <v>4940</v>
      </c>
      <c r="I7" s="9">
        <v>45108</v>
      </c>
      <c r="J7" s="9">
        <v>45473</v>
      </c>
      <c r="K7" t="str">
        <f>IFERROR(INDEX(Crosswalk_API!$H$2:$H$527, MATCH(POP_API_TABLE[[#This Row],[PWSID]], CW_PWSID_LIST, 0)), "")</f>
        <v>No</v>
      </c>
    </row>
    <row r="8" spans="1:11" x14ac:dyDescent="0.25">
      <c r="A8" t="s">
        <v>709</v>
      </c>
      <c r="B8" t="s">
        <v>710</v>
      </c>
      <c r="C8" t="s">
        <v>716</v>
      </c>
      <c r="D8" t="s">
        <v>717</v>
      </c>
      <c r="E8" t="s">
        <v>713</v>
      </c>
      <c r="F8" s="9">
        <v>43466</v>
      </c>
      <c r="G8" s="9"/>
      <c r="H8">
        <v>8791</v>
      </c>
      <c r="I8" s="9">
        <v>45108</v>
      </c>
      <c r="J8" s="9">
        <v>45473</v>
      </c>
      <c r="K8" t="str">
        <f>IFERROR(INDEX(Crosswalk_API!$H$2:$H$527, MATCH(POP_API_TABLE[[#This Row],[PWSID]], CW_PWSID_LIST, 0)), "")</f>
        <v>No</v>
      </c>
    </row>
    <row r="9" spans="1:11" x14ac:dyDescent="0.25">
      <c r="A9" t="s">
        <v>709</v>
      </c>
      <c r="B9" t="s">
        <v>710</v>
      </c>
      <c r="C9" t="s">
        <v>718</v>
      </c>
      <c r="D9" t="s">
        <v>719</v>
      </c>
      <c r="E9" t="s">
        <v>713</v>
      </c>
      <c r="F9" s="9">
        <v>42465</v>
      </c>
      <c r="G9" s="9"/>
      <c r="H9">
        <v>188</v>
      </c>
      <c r="I9" s="9">
        <v>45108</v>
      </c>
      <c r="J9" s="9">
        <v>45473</v>
      </c>
      <c r="K9" t="str">
        <f>IFERROR(INDEX(Crosswalk_API!$H$2:$H$527, MATCH(POP_API_TABLE[[#This Row],[PWSID]], CW_PWSID_LIST, 0)), "")</f>
        <v>No</v>
      </c>
    </row>
    <row r="10" spans="1:11" x14ac:dyDescent="0.25">
      <c r="A10" t="s">
        <v>709</v>
      </c>
      <c r="B10" t="s">
        <v>710</v>
      </c>
      <c r="C10" t="s">
        <v>720</v>
      </c>
      <c r="D10" t="s">
        <v>721</v>
      </c>
      <c r="E10" t="s">
        <v>713</v>
      </c>
      <c r="F10" s="9">
        <v>45108</v>
      </c>
      <c r="G10" s="9"/>
      <c r="H10">
        <v>2402</v>
      </c>
      <c r="I10" s="9">
        <v>45108</v>
      </c>
      <c r="J10" s="9">
        <v>45473</v>
      </c>
      <c r="K10" t="str">
        <f>IFERROR(INDEX(Crosswalk_API!$H$2:$H$527, MATCH(POP_API_TABLE[[#This Row],[PWSID]], CW_PWSID_LIST, 0)), "")</f>
        <v>No</v>
      </c>
    </row>
    <row r="11" spans="1:11" x14ac:dyDescent="0.25">
      <c r="A11" t="s">
        <v>722</v>
      </c>
      <c r="B11" t="s">
        <v>723</v>
      </c>
      <c r="C11" t="s">
        <v>724</v>
      </c>
      <c r="D11" t="s">
        <v>725</v>
      </c>
      <c r="E11" t="s">
        <v>726</v>
      </c>
      <c r="F11" s="9">
        <v>44125</v>
      </c>
      <c r="G11" s="9"/>
      <c r="H11">
        <v>20990</v>
      </c>
      <c r="I11" s="9">
        <v>45108</v>
      </c>
      <c r="J11" s="9">
        <v>45473</v>
      </c>
      <c r="K11" t="str">
        <f>IFERROR(INDEX(Crosswalk_API!$H$2:$H$527, MATCH(POP_API_TABLE[[#This Row],[PWSID]], CW_PWSID_LIST, 0)), "")</f>
        <v>No</v>
      </c>
    </row>
    <row r="12" spans="1:11" x14ac:dyDescent="0.25">
      <c r="A12" t="s">
        <v>727</v>
      </c>
      <c r="B12" t="s">
        <v>728</v>
      </c>
      <c r="C12" t="s">
        <v>729</v>
      </c>
      <c r="D12" t="s">
        <v>730</v>
      </c>
      <c r="E12" t="s">
        <v>731</v>
      </c>
      <c r="F12" s="9">
        <v>45292</v>
      </c>
      <c r="G12" s="9">
        <v>45644</v>
      </c>
      <c r="H12">
        <v>337159</v>
      </c>
      <c r="I12" s="9">
        <v>45108</v>
      </c>
      <c r="J12" s="9">
        <v>45473</v>
      </c>
      <c r="K12" t="str">
        <f>IFERROR(INDEX(Crosswalk_API!$H$2:$H$527, MATCH(POP_API_TABLE[[#This Row],[PWSID]], CW_PWSID_LIST, 0)), "")</f>
        <v>No</v>
      </c>
    </row>
    <row r="13" spans="1:11" x14ac:dyDescent="0.25">
      <c r="A13" t="s">
        <v>732</v>
      </c>
      <c r="B13" t="s">
        <v>733</v>
      </c>
      <c r="C13" t="s">
        <v>734</v>
      </c>
      <c r="D13" t="s">
        <v>735</v>
      </c>
      <c r="E13" t="s">
        <v>736</v>
      </c>
      <c r="F13" s="9">
        <v>45292</v>
      </c>
      <c r="G13" s="9"/>
      <c r="H13">
        <v>11147</v>
      </c>
      <c r="I13" s="9">
        <v>45108</v>
      </c>
      <c r="J13" s="9">
        <v>45473</v>
      </c>
      <c r="K13" t="str">
        <f>IFERROR(INDEX(Crosswalk_API!$H$2:$H$527, MATCH(POP_API_TABLE[[#This Row],[PWSID]], CW_PWSID_LIST, 0)), "")</f>
        <v>No</v>
      </c>
    </row>
    <row r="14" spans="1:11" x14ac:dyDescent="0.25">
      <c r="A14" t="s">
        <v>737</v>
      </c>
      <c r="B14" t="s">
        <v>738</v>
      </c>
      <c r="C14" t="s">
        <v>739</v>
      </c>
      <c r="D14" t="s">
        <v>740</v>
      </c>
      <c r="E14" t="s">
        <v>741</v>
      </c>
      <c r="F14" s="9">
        <v>43101</v>
      </c>
      <c r="G14" s="9"/>
      <c r="H14">
        <v>115074</v>
      </c>
      <c r="I14" s="9">
        <v>45108</v>
      </c>
      <c r="J14" s="9">
        <v>45473</v>
      </c>
      <c r="K14" t="str">
        <f>IFERROR(INDEX(Crosswalk_API!$H$2:$H$527, MATCH(POP_API_TABLE[[#This Row],[PWSID]], CW_PWSID_LIST, 0)), "")</f>
        <v>No</v>
      </c>
    </row>
    <row r="15" spans="1:11" x14ac:dyDescent="0.25">
      <c r="A15" t="s">
        <v>742</v>
      </c>
      <c r="B15" t="s">
        <v>743</v>
      </c>
      <c r="C15" t="s">
        <v>744</v>
      </c>
      <c r="D15" t="s">
        <v>745</v>
      </c>
      <c r="E15" t="s">
        <v>693</v>
      </c>
      <c r="F15" s="9">
        <v>41640</v>
      </c>
      <c r="G15" s="9">
        <v>45657</v>
      </c>
      <c r="H15">
        <v>62890</v>
      </c>
      <c r="I15" s="9">
        <v>45108</v>
      </c>
      <c r="J15" s="9">
        <v>45473</v>
      </c>
      <c r="K15" t="str">
        <f>IFERROR(INDEX(Crosswalk_API!$H$2:$H$527, MATCH(POP_API_TABLE[[#This Row],[PWSID]], CW_PWSID_LIST, 0)), "")</f>
        <v>No</v>
      </c>
    </row>
    <row r="16" spans="1:11" x14ac:dyDescent="0.25">
      <c r="A16" t="s">
        <v>746</v>
      </c>
      <c r="B16" t="s">
        <v>747</v>
      </c>
      <c r="C16" t="s">
        <v>748</v>
      </c>
      <c r="D16" t="s">
        <v>749</v>
      </c>
      <c r="E16" t="s">
        <v>708</v>
      </c>
      <c r="F16" s="9">
        <v>45292</v>
      </c>
      <c r="G16" s="9"/>
      <c r="H16">
        <v>51361</v>
      </c>
      <c r="I16" s="9">
        <v>45108</v>
      </c>
      <c r="J16" s="9">
        <v>45473</v>
      </c>
      <c r="K16" t="str">
        <f>IFERROR(INDEX(Crosswalk_API!$H$2:$H$527, MATCH(POP_API_TABLE[[#This Row],[PWSID]], CW_PWSID_LIST, 0)), "")</f>
        <v>No</v>
      </c>
    </row>
    <row r="17" spans="1:11" x14ac:dyDescent="0.25">
      <c r="A17" t="s">
        <v>750</v>
      </c>
      <c r="B17" t="s">
        <v>751</v>
      </c>
      <c r="C17" t="s">
        <v>752</v>
      </c>
      <c r="D17" t="s">
        <v>753</v>
      </c>
      <c r="E17" t="s">
        <v>754</v>
      </c>
      <c r="F17" s="9">
        <v>45292</v>
      </c>
      <c r="G17" s="9">
        <v>45482</v>
      </c>
      <c r="H17">
        <v>20359</v>
      </c>
      <c r="I17" s="9">
        <v>45108</v>
      </c>
      <c r="J17" s="9">
        <v>45473</v>
      </c>
      <c r="K17" t="str">
        <f>IFERROR(INDEX(Crosswalk_API!$H$2:$H$527, MATCH(POP_API_TABLE[[#This Row],[PWSID]], CW_PWSID_LIST, 0)), "")</f>
        <v>No</v>
      </c>
    </row>
    <row r="18" spans="1:11" x14ac:dyDescent="0.25">
      <c r="A18" t="s">
        <v>750</v>
      </c>
      <c r="B18" t="s">
        <v>751</v>
      </c>
      <c r="C18" t="s">
        <v>755</v>
      </c>
      <c r="D18" t="s">
        <v>756</v>
      </c>
      <c r="E18" t="s">
        <v>754</v>
      </c>
      <c r="F18" s="9">
        <v>45292</v>
      </c>
      <c r="G18" s="9"/>
      <c r="H18">
        <v>927</v>
      </c>
      <c r="I18" s="9">
        <v>45108</v>
      </c>
      <c r="J18" s="9">
        <v>45473</v>
      </c>
      <c r="K18" t="str">
        <f>IFERROR(INDEX(Crosswalk_API!$H$2:$H$527, MATCH(POP_API_TABLE[[#This Row],[PWSID]], CW_PWSID_LIST, 0)), "")</f>
        <v>No</v>
      </c>
    </row>
    <row r="19" spans="1:11" x14ac:dyDescent="0.25">
      <c r="A19" t="s">
        <v>757</v>
      </c>
      <c r="B19" t="s">
        <v>758</v>
      </c>
      <c r="C19" t="s">
        <v>759</v>
      </c>
      <c r="D19" t="s">
        <v>760</v>
      </c>
      <c r="E19" t="s">
        <v>761</v>
      </c>
      <c r="F19" s="9">
        <v>43101</v>
      </c>
      <c r="G19" s="9"/>
      <c r="H19">
        <v>17963</v>
      </c>
      <c r="I19" s="9">
        <v>45108</v>
      </c>
      <c r="J19" s="9">
        <v>45473</v>
      </c>
      <c r="K19" t="str">
        <f>IFERROR(INDEX(Crosswalk_API!$H$2:$H$527, MATCH(POP_API_TABLE[[#This Row],[PWSID]], CW_PWSID_LIST, 0)), "")</f>
        <v>No</v>
      </c>
    </row>
    <row r="20" spans="1:11" x14ac:dyDescent="0.25">
      <c r="A20" t="s">
        <v>762</v>
      </c>
      <c r="B20" t="s">
        <v>763</v>
      </c>
      <c r="C20" t="s">
        <v>764</v>
      </c>
      <c r="D20" t="s">
        <v>765</v>
      </c>
      <c r="E20" t="s">
        <v>766</v>
      </c>
      <c r="F20" s="9">
        <v>43831</v>
      </c>
      <c r="G20" s="9"/>
      <c r="H20">
        <v>19669</v>
      </c>
      <c r="I20" s="9">
        <v>45108</v>
      </c>
      <c r="J20" s="9">
        <v>45473</v>
      </c>
      <c r="K20" t="str">
        <f>IFERROR(INDEX(Crosswalk_API!$H$2:$H$527, MATCH(POP_API_TABLE[[#This Row],[PWSID]], CW_PWSID_LIST, 0)), "")</f>
        <v>No</v>
      </c>
    </row>
    <row r="21" spans="1:11" x14ac:dyDescent="0.25">
      <c r="A21" t="s">
        <v>767</v>
      </c>
      <c r="B21" t="s">
        <v>768</v>
      </c>
      <c r="C21" t="s">
        <v>769</v>
      </c>
      <c r="D21" t="s">
        <v>770</v>
      </c>
      <c r="E21" t="s">
        <v>761</v>
      </c>
      <c r="F21" s="9">
        <v>44927</v>
      </c>
      <c r="G21" s="9"/>
      <c r="H21">
        <v>30618</v>
      </c>
      <c r="I21" s="9">
        <v>45108</v>
      </c>
      <c r="J21" s="9">
        <v>45473</v>
      </c>
      <c r="K21" t="str">
        <f>IFERROR(INDEX(Crosswalk_API!$H$2:$H$527, MATCH(POP_API_TABLE[[#This Row],[PWSID]], CW_PWSID_LIST, 0)), "")</f>
        <v>No</v>
      </c>
    </row>
    <row r="22" spans="1:11" x14ac:dyDescent="0.25">
      <c r="A22" t="s">
        <v>776</v>
      </c>
      <c r="B22" t="s">
        <v>777</v>
      </c>
      <c r="C22" t="s">
        <v>778</v>
      </c>
      <c r="D22" t="s">
        <v>779</v>
      </c>
      <c r="E22" t="s">
        <v>708</v>
      </c>
      <c r="F22" s="9">
        <v>42370</v>
      </c>
      <c r="G22" s="9"/>
      <c r="H22">
        <v>110044</v>
      </c>
      <c r="I22" s="9">
        <v>45108</v>
      </c>
      <c r="J22" s="9">
        <v>45473</v>
      </c>
      <c r="K22" t="str">
        <f>IFERROR(INDEX(Crosswalk_API!$H$2:$H$527, MATCH(POP_API_TABLE[[#This Row],[PWSID]], CW_PWSID_LIST, 0)), "")</f>
        <v>No</v>
      </c>
    </row>
    <row r="23" spans="1:11" x14ac:dyDescent="0.25">
      <c r="A23" t="s">
        <v>780</v>
      </c>
      <c r="B23" t="s">
        <v>781</v>
      </c>
      <c r="C23" t="s">
        <v>782</v>
      </c>
      <c r="D23" t="s">
        <v>783</v>
      </c>
      <c r="E23" t="s">
        <v>766</v>
      </c>
      <c r="F23" s="9">
        <v>45292</v>
      </c>
      <c r="G23" s="9">
        <v>45657</v>
      </c>
      <c r="H23">
        <v>158260</v>
      </c>
      <c r="I23" s="9">
        <v>45108</v>
      </c>
      <c r="J23" s="9">
        <v>45473</v>
      </c>
      <c r="K23" t="str">
        <f>IFERROR(INDEX(Crosswalk_API!$H$2:$H$527, MATCH(POP_API_TABLE[[#This Row],[PWSID]], CW_PWSID_LIST, 0)), "")</f>
        <v>No</v>
      </c>
    </row>
    <row r="24" spans="1:11" x14ac:dyDescent="0.25">
      <c r="A24" t="s">
        <v>784</v>
      </c>
      <c r="B24" t="s">
        <v>785</v>
      </c>
      <c r="C24" t="s">
        <v>786</v>
      </c>
      <c r="D24" t="s">
        <v>787</v>
      </c>
      <c r="E24" t="s">
        <v>788</v>
      </c>
      <c r="F24" s="9">
        <v>42370</v>
      </c>
      <c r="G24" s="9"/>
      <c r="H24">
        <v>17393</v>
      </c>
      <c r="I24" s="9">
        <v>45108</v>
      </c>
      <c r="J24" s="9">
        <v>45473</v>
      </c>
      <c r="K24" t="str">
        <f>IFERROR(INDEX(Crosswalk_API!$H$2:$H$527, MATCH(POP_API_TABLE[[#This Row],[PWSID]], CW_PWSID_LIST, 0)), "")</f>
        <v>No</v>
      </c>
    </row>
    <row r="25" spans="1:11" x14ac:dyDescent="0.25">
      <c r="A25" t="s">
        <v>789</v>
      </c>
      <c r="B25" t="s">
        <v>790</v>
      </c>
      <c r="C25" t="s">
        <v>791</v>
      </c>
      <c r="D25" t="s">
        <v>792</v>
      </c>
      <c r="E25" t="s">
        <v>793</v>
      </c>
      <c r="F25" s="9">
        <v>44927</v>
      </c>
      <c r="G25" s="9"/>
      <c r="H25">
        <v>31179</v>
      </c>
      <c r="I25" s="9">
        <v>45108</v>
      </c>
      <c r="J25" s="9">
        <v>45473</v>
      </c>
      <c r="K25" t="str">
        <f>IFERROR(INDEX(Crosswalk_API!$H$2:$H$527, MATCH(POP_API_TABLE[[#This Row],[PWSID]], CW_PWSID_LIST, 0)), "")</f>
        <v>No</v>
      </c>
    </row>
    <row r="26" spans="1:11" x14ac:dyDescent="0.25">
      <c r="A26" t="s">
        <v>794</v>
      </c>
      <c r="B26" t="s">
        <v>795</v>
      </c>
      <c r="C26" t="s">
        <v>796</v>
      </c>
      <c r="D26" t="s">
        <v>797</v>
      </c>
      <c r="E26" t="s">
        <v>766</v>
      </c>
      <c r="F26" s="9">
        <v>44197</v>
      </c>
      <c r="G26" s="9"/>
      <c r="H26">
        <v>5592</v>
      </c>
      <c r="I26" s="9">
        <v>45108</v>
      </c>
      <c r="J26" s="9">
        <v>45473</v>
      </c>
      <c r="K26" t="str">
        <f>IFERROR(INDEX(Crosswalk_API!$H$2:$H$527, MATCH(POP_API_TABLE[[#This Row],[PWSID]], CW_PWSID_LIST, 0)), "")</f>
        <v>No</v>
      </c>
    </row>
    <row r="27" spans="1:11" x14ac:dyDescent="0.25">
      <c r="A27" t="s">
        <v>798</v>
      </c>
      <c r="B27" t="s">
        <v>799</v>
      </c>
      <c r="C27" t="s">
        <v>800</v>
      </c>
      <c r="D27" t="s">
        <v>801</v>
      </c>
      <c r="E27" t="s">
        <v>793</v>
      </c>
      <c r="F27" s="9">
        <v>45292</v>
      </c>
      <c r="G27" s="9"/>
      <c r="H27">
        <v>66841</v>
      </c>
      <c r="I27" s="9">
        <v>45108</v>
      </c>
      <c r="J27" s="9">
        <v>45473</v>
      </c>
      <c r="K27" t="str">
        <f>IFERROR(INDEX(Crosswalk_API!$H$2:$H$527, MATCH(POP_API_TABLE[[#This Row],[PWSID]], CW_PWSID_LIST, 0)), "")</f>
        <v>No</v>
      </c>
    </row>
    <row r="28" spans="1:11" x14ac:dyDescent="0.25">
      <c r="A28" t="s">
        <v>802</v>
      </c>
      <c r="B28" t="s">
        <v>803</v>
      </c>
      <c r="C28" t="s">
        <v>804</v>
      </c>
      <c r="D28" t="s">
        <v>805</v>
      </c>
      <c r="E28" t="s">
        <v>736</v>
      </c>
      <c r="F28" s="9">
        <v>45292</v>
      </c>
      <c r="G28" s="9"/>
      <c r="H28">
        <v>18612</v>
      </c>
      <c r="I28" s="9">
        <v>45108</v>
      </c>
      <c r="J28" s="9">
        <v>45473</v>
      </c>
      <c r="K28" t="str">
        <f>IFERROR(INDEX(Crosswalk_API!$H$2:$H$527, MATCH(POP_API_TABLE[[#This Row],[PWSID]], CW_PWSID_LIST, 0)), "")</f>
        <v>No</v>
      </c>
    </row>
    <row r="29" spans="1:11" x14ac:dyDescent="0.25">
      <c r="A29" t="s">
        <v>806</v>
      </c>
      <c r="B29" t="s">
        <v>807</v>
      </c>
      <c r="C29" t="s">
        <v>808</v>
      </c>
      <c r="D29" t="s">
        <v>809</v>
      </c>
      <c r="E29" t="s">
        <v>708</v>
      </c>
      <c r="F29" s="9">
        <v>42736</v>
      </c>
      <c r="G29" s="9"/>
      <c r="H29">
        <v>46300</v>
      </c>
      <c r="I29" s="9">
        <v>45108</v>
      </c>
      <c r="J29" s="9">
        <v>45473</v>
      </c>
      <c r="K29" t="str">
        <f>IFERROR(INDEX(Crosswalk_API!$H$2:$H$527, MATCH(POP_API_TABLE[[#This Row],[PWSID]], CW_PWSID_LIST, 0)), "")</f>
        <v>No</v>
      </c>
    </row>
    <row r="30" spans="1:11" x14ac:dyDescent="0.25">
      <c r="A30" t="s">
        <v>810</v>
      </c>
      <c r="B30" t="s">
        <v>811</v>
      </c>
      <c r="C30" t="s">
        <v>812</v>
      </c>
      <c r="D30" t="s">
        <v>813</v>
      </c>
      <c r="E30" t="s">
        <v>814</v>
      </c>
      <c r="F30" s="9">
        <v>45225</v>
      </c>
      <c r="G30" s="9"/>
      <c r="H30">
        <v>27131</v>
      </c>
      <c r="I30" s="9">
        <v>45108</v>
      </c>
      <c r="J30" s="9">
        <v>45473</v>
      </c>
      <c r="K30" t="str">
        <f>IFERROR(INDEX(Crosswalk_API!$H$2:$H$527, MATCH(POP_API_TABLE[[#This Row],[PWSID]], CW_PWSID_LIST, 0)), "")</f>
        <v>No</v>
      </c>
    </row>
    <row r="31" spans="1:11" x14ac:dyDescent="0.25">
      <c r="A31" t="s">
        <v>815</v>
      </c>
      <c r="B31" t="s">
        <v>816</v>
      </c>
      <c r="C31" t="s">
        <v>817</v>
      </c>
      <c r="D31" t="s">
        <v>818</v>
      </c>
      <c r="E31" t="s">
        <v>708</v>
      </c>
      <c r="F31" s="9">
        <v>45292</v>
      </c>
      <c r="G31" s="9"/>
      <c r="H31">
        <v>40121</v>
      </c>
      <c r="I31" s="9">
        <v>45108</v>
      </c>
      <c r="J31" s="9">
        <v>45473</v>
      </c>
      <c r="K31" t="str">
        <f>IFERROR(INDEX(Crosswalk_API!$H$2:$H$527, MATCH(POP_API_TABLE[[#This Row],[PWSID]], CW_PWSID_LIST, 0)), "")</f>
        <v>No</v>
      </c>
    </row>
    <row r="32" spans="1:11" x14ac:dyDescent="0.25">
      <c r="A32" t="s">
        <v>819</v>
      </c>
      <c r="B32" t="s">
        <v>820</v>
      </c>
      <c r="C32" t="s">
        <v>821</v>
      </c>
      <c r="D32" t="s">
        <v>822</v>
      </c>
      <c r="E32" t="s">
        <v>693</v>
      </c>
      <c r="F32" s="9">
        <v>43466</v>
      </c>
      <c r="G32" s="9"/>
      <c r="H32">
        <v>12738</v>
      </c>
      <c r="I32" s="9">
        <v>45108</v>
      </c>
      <c r="J32" s="9">
        <v>45473</v>
      </c>
      <c r="K32" t="str">
        <f>IFERROR(INDEX(Crosswalk_API!$H$2:$H$527, MATCH(POP_API_TABLE[[#This Row],[PWSID]], CW_PWSID_LIST, 0)), "")</f>
        <v>No</v>
      </c>
    </row>
    <row r="33" spans="1:11" x14ac:dyDescent="0.25">
      <c r="A33" t="s">
        <v>823</v>
      </c>
      <c r="B33" t="s">
        <v>824</v>
      </c>
      <c r="C33" t="s">
        <v>825</v>
      </c>
      <c r="D33" t="s">
        <v>826</v>
      </c>
      <c r="E33" t="s">
        <v>693</v>
      </c>
      <c r="F33" s="9">
        <v>45127</v>
      </c>
      <c r="G33" s="9"/>
      <c r="H33">
        <v>104</v>
      </c>
      <c r="I33" s="9">
        <v>45108</v>
      </c>
      <c r="J33" s="9">
        <v>45473</v>
      </c>
      <c r="K33" t="str">
        <f>IFERROR(INDEX(Crosswalk_API!$H$2:$H$527, MATCH(POP_API_TABLE[[#This Row],[PWSID]], CW_PWSID_LIST, 0)), "")</f>
        <v>No</v>
      </c>
    </row>
    <row r="34" spans="1:11" x14ac:dyDescent="0.25">
      <c r="A34" t="s">
        <v>823</v>
      </c>
      <c r="B34" t="s">
        <v>824</v>
      </c>
      <c r="C34" t="s">
        <v>827</v>
      </c>
      <c r="D34" t="s">
        <v>828</v>
      </c>
      <c r="E34" t="s">
        <v>693</v>
      </c>
      <c r="F34" s="9">
        <v>44839</v>
      </c>
      <c r="G34" s="9"/>
      <c r="H34">
        <v>2</v>
      </c>
      <c r="I34" s="9">
        <v>45108</v>
      </c>
      <c r="J34" s="9">
        <v>45473</v>
      </c>
      <c r="K34" t="str">
        <f>IFERROR(INDEX(Crosswalk_API!$H$2:$H$527, MATCH(POP_API_TABLE[[#This Row],[PWSID]], CW_PWSID_LIST, 0)), "")</f>
        <v>No</v>
      </c>
    </row>
    <row r="35" spans="1:11" x14ac:dyDescent="0.25">
      <c r="A35" t="s">
        <v>823</v>
      </c>
      <c r="B35" t="s">
        <v>824</v>
      </c>
      <c r="C35" t="s">
        <v>829</v>
      </c>
      <c r="D35" t="s">
        <v>830</v>
      </c>
      <c r="E35" t="s">
        <v>693</v>
      </c>
      <c r="F35" s="9">
        <v>43466</v>
      </c>
      <c r="G35" s="9">
        <v>45657</v>
      </c>
      <c r="H35">
        <v>564</v>
      </c>
      <c r="I35" s="9">
        <v>45108</v>
      </c>
      <c r="J35" s="9">
        <v>45473</v>
      </c>
      <c r="K35" t="str">
        <f>IFERROR(INDEX(Crosswalk_API!$H$2:$H$527, MATCH(POP_API_TABLE[[#This Row],[PWSID]], CW_PWSID_LIST, 0)), "")</f>
        <v>No</v>
      </c>
    </row>
    <row r="36" spans="1:11" x14ac:dyDescent="0.25">
      <c r="A36" t="s">
        <v>823</v>
      </c>
      <c r="B36" t="s">
        <v>824</v>
      </c>
      <c r="C36" t="s">
        <v>831</v>
      </c>
      <c r="D36" t="s">
        <v>832</v>
      </c>
      <c r="E36" t="s">
        <v>693</v>
      </c>
      <c r="F36" s="9">
        <v>44197</v>
      </c>
      <c r="G36" s="9">
        <v>45657</v>
      </c>
      <c r="H36">
        <v>11589</v>
      </c>
      <c r="I36" s="9">
        <v>45108</v>
      </c>
      <c r="J36" s="9">
        <v>45473</v>
      </c>
      <c r="K36" t="str">
        <f>IFERROR(INDEX(Crosswalk_API!$H$2:$H$527, MATCH(POP_API_TABLE[[#This Row],[PWSID]], CW_PWSID_LIST, 0)), "")</f>
        <v>No</v>
      </c>
    </row>
    <row r="37" spans="1:11" x14ac:dyDescent="0.25">
      <c r="A37" t="s">
        <v>833</v>
      </c>
      <c r="B37" t="s">
        <v>834</v>
      </c>
      <c r="C37" t="s">
        <v>835</v>
      </c>
      <c r="D37" t="s">
        <v>836</v>
      </c>
      <c r="E37" t="s">
        <v>793</v>
      </c>
      <c r="F37" s="9">
        <v>44927</v>
      </c>
      <c r="G37" s="9"/>
      <c r="H37">
        <v>9874</v>
      </c>
      <c r="I37" s="9">
        <v>45108</v>
      </c>
      <c r="J37" s="9">
        <v>45473</v>
      </c>
      <c r="K37" t="str">
        <f>IFERROR(INDEX(Crosswalk_API!$H$2:$H$527, MATCH(POP_API_TABLE[[#This Row],[PWSID]], CW_PWSID_LIST, 0)), "")</f>
        <v>No</v>
      </c>
    </row>
    <row r="38" spans="1:11" x14ac:dyDescent="0.25">
      <c r="A38" t="s">
        <v>837</v>
      </c>
      <c r="B38" t="s">
        <v>838</v>
      </c>
      <c r="C38" t="s">
        <v>839</v>
      </c>
      <c r="D38" t="s">
        <v>840</v>
      </c>
      <c r="E38" t="s">
        <v>841</v>
      </c>
      <c r="F38" s="9">
        <v>44047</v>
      </c>
      <c r="G38" s="9"/>
      <c r="H38">
        <v>26928</v>
      </c>
      <c r="I38" s="9">
        <v>45108</v>
      </c>
      <c r="J38" s="9">
        <v>45473</v>
      </c>
      <c r="K38" t="str">
        <f>IFERROR(INDEX(Crosswalk_API!$H$2:$H$527, MATCH(POP_API_TABLE[[#This Row],[PWSID]], CW_PWSID_LIST, 0)), "")</f>
        <v>No</v>
      </c>
    </row>
    <row r="39" spans="1:11" x14ac:dyDescent="0.25">
      <c r="A39" t="s">
        <v>842</v>
      </c>
      <c r="B39" t="s">
        <v>843</v>
      </c>
      <c r="C39" t="s">
        <v>844</v>
      </c>
      <c r="D39" t="s">
        <v>845</v>
      </c>
      <c r="E39" t="s">
        <v>731</v>
      </c>
      <c r="F39" s="9">
        <v>44927</v>
      </c>
      <c r="G39" s="9"/>
      <c r="H39">
        <v>47589</v>
      </c>
      <c r="I39" s="9">
        <v>45108</v>
      </c>
      <c r="J39" s="9">
        <v>45473</v>
      </c>
      <c r="K39" t="str">
        <f>IFERROR(INDEX(Crosswalk_API!$H$2:$H$527, MATCH(POP_API_TABLE[[#This Row],[PWSID]], CW_PWSID_LIST, 0)), "")</f>
        <v>No</v>
      </c>
    </row>
    <row r="40" spans="1:11" x14ac:dyDescent="0.25">
      <c r="A40" t="s">
        <v>846</v>
      </c>
      <c r="B40" t="s">
        <v>847</v>
      </c>
      <c r="C40" t="s">
        <v>848</v>
      </c>
      <c r="D40" t="s">
        <v>849</v>
      </c>
      <c r="E40" t="s">
        <v>741</v>
      </c>
      <c r="F40" s="9">
        <v>44927</v>
      </c>
      <c r="G40" s="9"/>
      <c r="H40">
        <v>64513</v>
      </c>
      <c r="I40" s="9">
        <v>45108</v>
      </c>
      <c r="J40" s="9">
        <v>45473</v>
      </c>
      <c r="K40" t="str">
        <f>IFERROR(INDEX(Crosswalk_API!$H$2:$H$527, MATCH(POP_API_TABLE[[#This Row],[PWSID]], CW_PWSID_LIST, 0)), "")</f>
        <v>No</v>
      </c>
    </row>
    <row r="41" spans="1:11" x14ac:dyDescent="0.25">
      <c r="A41" t="s">
        <v>850</v>
      </c>
      <c r="B41" t="s">
        <v>851</v>
      </c>
      <c r="C41" t="s">
        <v>852</v>
      </c>
      <c r="D41" t="s">
        <v>853</v>
      </c>
      <c r="E41" t="s">
        <v>731</v>
      </c>
      <c r="F41" s="9">
        <v>44197</v>
      </c>
      <c r="G41" s="9"/>
      <c r="H41">
        <v>81998</v>
      </c>
      <c r="I41" s="9">
        <v>45108</v>
      </c>
      <c r="J41" s="9">
        <v>45473</v>
      </c>
      <c r="K41" t="str">
        <f>IFERROR(INDEX(Crosswalk_API!$H$2:$H$527, MATCH(POP_API_TABLE[[#This Row],[PWSID]], CW_PWSID_LIST, 0)), "")</f>
        <v>No</v>
      </c>
    </row>
    <row r="42" spans="1:11" x14ac:dyDescent="0.25">
      <c r="A42" t="s">
        <v>854</v>
      </c>
      <c r="B42" t="s">
        <v>855</v>
      </c>
      <c r="C42" t="s">
        <v>856</v>
      </c>
      <c r="D42" t="s">
        <v>857</v>
      </c>
      <c r="E42" t="s">
        <v>708</v>
      </c>
      <c r="F42" s="9">
        <v>45292</v>
      </c>
      <c r="G42" s="9">
        <v>45657</v>
      </c>
      <c r="H42">
        <v>104535</v>
      </c>
      <c r="I42" s="9">
        <v>45108</v>
      </c>
      <c r="J42" s="9">
        <v>45473</v>
      </c>
      <c r="K42" t="str">
        <f>IFERROR(INDEX(Crosswalk_API!$H$2:$H$527, MATCH(POP_API_TABLE[[#This Row],[PWSID]], CW_PWSID_LIST, 0)), "")</f>
        <v>No</v>
      </c>
    </row>
    <row r="43" spans="1:11" x14ac:dyDescent="0.25">
      <c r="A43" t="s">
        <v>858</v>
      </c>
      <c r="B43" t="s">
        <v>859</v>
      </c>
      <c r="C43" t="s">
        <v>860</v>
      </c>
      <c r="D43" t="s">
        <v>861</v>
      </c>
      <c r="E43" t="s">
        <v>862</v>
      </c>
      <c r="F43" s="9">
        <v>45292</v>
      </c>
      <c r="G43" s="9"/>
      <c r="H43">
        <v>31447</v>
      </c>
      <c r="I43" s="9">
        <v>45108</v>
      </c>
      <c r="J43" s="9">
        <v>45473</v>
      </c>
      <c r="K43" t="str">
        <f>IFERROR(INDEX(Crosswalk_API!$H$2:$H$527, MATCH(POP_API_TABLE[[#This Row],[PWSID]], CW_PWSID_LIST, 0)), "")</f>
        <v>No</v>
      </c>
    </row>
    <row r="44" spans="1:11" x14ac:dyDescent="0.25">
      <c r="A44" t="s">
        <v>863</v>
      </c>
      <c r="B44" t="s">
        <v>864</v>
      </c>
      <c r="C44" t="s">
        <v>865</v>
      </c>
      <c r="D44" t="s">
        <v>866</v>
      </c>
      <c r="E44" t="s">
        <v>867</v>
      </c>
      <c r="F44" s="9">
        <v>42459</v>
      </c>
      <c r="G44" s="9"/>
      <c r="H44">
        <v>89</v>
      </c>
      <c r="I44" s="9">
        <v>45108</v>
      </c>
      <c r="J44" s="9">
        <v>45473</v>
      </c>
      <c r="K44" t="str">
        <f>IFERROR(INDEX(Crosswalk_API!$H$2:$H$527, MATCH(POP_API_TABLE[[#This Row],[PWSID]], CW_PWSID_LIST, 0)), "")</f>
        <v>No</v>
      </c>
    </row>
    <row r="45" spans="1:11" x14ac:dyDescent="0.25">
      <c r="A45" t="s">
        <v>863</v>
      </c>
      <c r="B45" t="s">
        <v>864</v>
      </c>
      <c r="C45" t="s">
        <v>868</v>
      </c>
      <c r="D45" t="s">
        <v>869</v>
      </c>
      <c r="E45" t="s">
        <v>867</v>
      </c>
      <c r="F45" s="9">
        <v>43257</v>
      </c>
      <c r="G45" s="9"/>
      <c r="H45">
        <v>1043</v>
      </c>
      <c r="I45" s="9">
        <v>45108</v>
      </c>
      <c r="J45" s="9">
        <v>45473</v>
      </c>
      <c r="K45" t="str">
        <f>IFERROR(INDEX(Crosswalk_API!$H$2:$H$527, MATCH(POP_API_TABLE[[#This Row],[PWSID]], CW_PWSID_LIST, 0)), "")</f>
        <v>No</v>
      </c>
    </row>
    <row r="46" spans="1:11" x14ac:dyDescent="0.25">
      <c r="A46" t="s">
        <v>863</v>
      </c>
      <c r="B46" t="s">
        <v>864</v>
      </c>
      <c r="C46" t="s">
        <v>870</v>
      </c>
      <c r="D46" t="s">
        <v>871</v>
      </c>
      <c r="E46" t="s">
        <v>867</v>
      </c>
      <c r="F46" s="9">
        <v>43256</v>
      </c>
      <c r="G46" s="9"/>
      <c r="H46">
        <v>9861</v>
      </c>
      <c r="I46" s="9">
        <v>45108</v>
      </c>
      <c r="J46" s="9">
        <v>45473</v>
      </c>
      <c r="K46" t="str">
        <f>IFERROR(INDEX(Crosswalk_API!$H$2:$H$527, MATCH(POP_API_TABLE[[#This Row],[PWSID]], CW_PWSID_LIST, 0)), "")</f>
        <v>No</v>
      </c>
    </row>
    <row r="47" spans="1:11" x14ac:dyDescent="0.25">
      <c r="A47" t="s">
        <v>863</v>
      </c>
      <c r="B47" t="s">
        <v>864</v>
      </c>
      <c r="C47" t="s">
        <v>872</v>
      </c>
      <c r="D47" t="s">
        <v>873</v>
      </c>
      <c r="E47" t="s">
        <v>867</v>
      </c>
      <c r="F47" s="9">
        <v>43256</v>
      </c>
      <c r="G47" s="9"/>
      <c r="H47">
        <v>11545</v>
      </c>
      <c r="I47" s="9">
        <v>45108</v>
      </c>
      <c r="J47" s="9">
        <v>45473</v>
      </c>
      <c r="K47" t="str">
        <f>IFERROR(INDEX(Crosswalk_API!$H$2:$H$527, MATCH(POP_API_TABLE[[#This Row],[PWSID]], CW_PWSID_LIST, 0)), "")</f>
        <v>No</v>
      </c>
    </row>
    <row r="48" spans="1:11" x14ac:dyDescent="0.25">
      <c r="A48" t="s">
        <v>863</v>
      </c>
      <c r="B48" t="s">
        <v>864</v>
      </c>
      <c r="C48" t="s">
        <v>874</v>
      </c>
      <c r="D48" t="s">
        <v>875</v>
      </c>
      <c r="E48" t="s">
        <v>867</v>
      </c>
      <c r="F48" s="9">
        <v>43256</v>
      </c>
      <c r="G48" s="9"/>
      <c r="H48">
        <v>5187</v>
      </c>
      <c r="I48" s="9">
        <v>45108</v>
      </c>
      <c r="J48" s="9">
        <v>45473</v>
      </c>
      <c r="K48" t="str">
        <f>IFERROR(INDEX(Crosswalk_API!$H$2:$H$527, MATCH(POP_API_TABLE[[#This Row],[PWSID]], CW_PWSID_LIST, 0)), "")</f>
        <v>No</v>
      </c>
    </row>
    <row r="49" spans="1:11" x14ac:dyDescent="0.25">
      <c r="A49" t="s">
        <v>863</v>
      </c>
      <c r="B49" t="s">
        <v>864</v>
      </c>
      <c r="C49" t="s">
        <v>876</v>
      </c>
      <c r="D49" t="s">
        <v>877</v>
      </c>
      <c r="E49" t="s">
        <v>867</v>
      </c>
      <c r="F49" s="9">
        <v>42459</v>
      </c>
      <c r="G49" s="9"/>
      <c r="H49">
        <v>255</v>
      </c>
      <c r="I49" s="9">
        <v>45108</v>
      </c>
      <c r="J49" s="9">
        <v>45473</v>
      </c>
      <c r="K49" t="str">
        <f>IFERROR(INDEX(Crosswalk_API!$H$2:$H$527, MATCH(POP_API_TABLE[[#This Row],[PWSID]], CW_PWSID_LIST, 0)), "")</f>
        <v>No</v>
      </c>
    </row>
    <row r="50" spans="1:11" x14ac:dyDescent="0.25">
      <c r="A50" t="s">
        <v>878</v>
      </c>
      <c r="B50" t="s">
        <v>879</v>
      </c>
      <c r="C50" t="s">
        <v>880</v>
      </c>
      <c r="D50" t="s">
        <v>881</v>
      </c>
      <c r="E50" t="s">
        <v>841</v>
      </c>
      <c r="F50" s="9">
        <v>43662</v>
      </c>
      <c r="G50" s="9"/>
      <c r="H50">
        <v>40357</v>
      </c>
      <c r="I50" s="9">
        <v>45108</v>
      </c>
      <c r="J50" s="9">
        <v>45473</v>
      </c>
      <c r="K50" t="str">
        <f>IFERROR(INDEX(Crosswalk_API!$H$2:$H$527, MATCH(POP_API_TABLE[[#This Row],[PWSID]], CW_PWSID_LIST, 0)), "")</f>
        <v>No</v>
      </c>
    </row>
    <row r="51" spans="1:11" x14ac:dyDescent="0.25">
      <c r="A51" t="s">
        <v>882</v>
      </c>
      <c r="B51" t="s">
        <v>883</v>
      </c>
      <c r="C51" t="s">
        <v>884</v>
      </c>
      <c r="D51" t="s">
        <v>885</v>
      </c>
      <c r="E51" t="s">
        <v>708</v>
      </c>
      <c r="F51" s="9">
        <v>44927</v>
      </c>
      <c r="G51" s="9">
        <v>45657</v>
      </c>
      <c r="H51">
        <v>20859</v>
      </c>
      <c r="I51" s="9">
        <v>45108</v>
      </c>
      <c r="J51" s="9">
        <v>45473</v>
      </c>
      <c r="K51" t="str">
        <f>IFERROR(INDEX(Crosswalk_API!$H$2:$H$527, MATCH(POP_API_TABLE[[#This Row],[PWSID]], CW_PWSID_LIST, 0)), "")</f>
        <v>No</v>
      </c>
    </row>
    <row r="52" spans="1:11" x14ac:dyDescent="0.25">
      <c r="A52" t="s">
        <v>882</v>
      </c>
      <c r="B52" t="s">
        <v>883</v>
      </c>
      <c r="C52" t="s">
        <v>886</v>
      </c>
      <c r="D52" t="s">
        <v>887</v>
      </c>
      <c r="E52" t="s">
        <v>708</v>
      </c>
      <c r="F52" s="9">
        <v>45292</v>
      </c>
      <c r="G52" s="9">
        <v>45657</v>
      </c>
      <c r="H52">
        <v>47124</v>
      </c>
      <c r="I52" s="9">
        <v>45108</v>
      </c>
      <c r="J52" s="9">
        <v>45473</v>
      </c>
      <c r="K52" t="str">
        <f>IFERROR(INDEX(Crosswalk_API!$H$2:$H$527, MATCH(POP_API_TABLE[[#This Row],[PWSID]], CW_PWSID_LIST, 0)), "")</f>
        <v>No</v>
      </c>
    </row>
    <row r="53" spans="1:11" x14ac:dyDescent="0.25">
      <c r="A53" t="s">
        <v>882</v>
      </c>
      <c r="B53" t="s">
        <v>883</v>
      </c>
      <c r="C53" t="s">
        <v>888</v>
      </c>
      <c r="D53" t="s">
        <v>889</v>
      </c>
      <c r="E53" t="s">
        <v>708</v>
      </c>
      <c r="F53" s="9">
        <v>45292</v>
      </c>
      <c r="G53" s="9">
        <v>45657</v>
      </c>
      <c r="H53">
        <v>24258</v>
      </c>
      <c r="I53" s="9">
        <v>45108</v>
      </c>
      <c r="J53" s="9">
        <v>45473</v>
      </c>
      <c r="K53" t="str">
        <f>IFERROR(INDEX(Crosswalk_API!$H$2:$H$527, MATCH(POP_API_TABLE[[#This Row],[PWSID]], CW_PWSID_LIST, 0)), "")</f>
        <v>No</v>
      </c>
    </row>
    <row r="54" spans="1:11" x14ac:dyDescent="0.25">
      <c r="A54" t="s">
        <v>890</v>
      </c>
      <c r="B54" t="s">
        <v>891</v>
      </c>
      <c r="C54" t="s">
        <v>892</v>
      </c>
      <c r="D54" t="s">
        <v>893</v>
      </c>
      <c r="E54" t="s">
        <v>703</v>
      </c>
      <c r="F54" s="9">
        <v>43831</v>
      </c>
      <c r="G54" s="9"/>
      <c r="H54">
        <v>1139</v>
      </c>
      <c r="I54" s="9">
        <v>45108</v>
      </c>
      <c r="J54" s="9">
        <v>45473</v>
      </c>
      <c r="K54" t="str">
        <f>IFERROR(INDEX(Crosswalk_API!$H$2:$H$527, MATCH(POP_API_TABLE[[#This Row],[PWSID]], CW_PWSID_LIST, 0)), "")</f>
        <v>No</v>
      </c>
    </row>
    <row r="55" spans="1:11" x14ac:dyDescent="0.25">
      <c r="A55" t="s">
        <v>890</v>
      </c>
      <c r="B55" t="s">
        <v>891</v>
      </c>
      <c r="C55" t="s">
        <v>894</v>
      </c>
      <c r="D55" t="s">
        <v>895</v>
      </c>
      <c r="E55" t="s">
        <v>703</v>
      </c>
      <c r="F55" s="9">
        <v>45292</v>
      </c>
      <c r="G55" s="9"/>
      <c r="H55">
        <v>30</v>
      </c>
      <c r="I55" s="9">
        <v>45108</v>
      </c>
      <c r="J55" s="9">
        <v>45473</v>
      </c>
      <c r="K55" t="str">
        <f>IFERROR(INDEX(Crosswalk_API!$H$2:$H$527, MATCH(POP_API_TABLE[[#This Row],[PWSID]], CW_PWSID_LIST, 0)), "")</f>
        <v>No</v>
      </c>
    </row>
    <row r="56" spans="1:11" x14ac:dyDescent="0.25">
      <c r="A56" t="s">
        <v>890</v>
      </c>
      <c r="B56" t="s">
        <v>891</v>
      </c>
      <c r="C56" t="s">
        <v>896</v>
      </c>
      <c r="D56" t="s">
        <v>897</v>
      </c>
      <c r="E56" t="s">
        <v>703</v>
      </c>
      <c r="F56" s="9">
        <v>45292</v>
      </c>
      <c r="G56" s="9"/>
      <c r="H56">
        <v>96</v>
      </c>
      <c r="I56" s="9">
        <v>45108</v>
      </c>
      <c r="J56" s="9">
        <v>45473</v>
      </c>
      <c r="K56" t="str">
        <f>IFERROR(INDEX(Crosswalk_API!$H$2:$H$527, MATCH(POP_API_TABLE[[#This Row],[PWSID]], CW_PWSID_LIST, 0)), "")</f>
        <v>No</v>
      </c>
    </row>
    <row r="57" spans="1:11" x14ac:dyDescent="0.25">
      <c r="A57" t="s">
        <v>890</v>
      </c>
      <c r="B57" t="s">
        <v>891</v>
      </c>
      <c r="C57" t="s">
        <v>898</v>
      </c>
      <c r="D57" t="s">
        <v>899</v>
      </c>
      <c r="E57" t="s">
        <v>703</v>
      </c>
      <c r="F57" s="9">
        <v>44562</v>
      </c>
      <c r="G57" s="9"/>
      <c r="H57">
        <v>92450</v>
      </c>
      <c r="I57" s="9">
        <v>45108</v>
      </c>
      <c r="J57" s="9">
        <v>45473</v>
      </c>
      <c r="K57" t="str">
        <f>IFERROR(INDEX(Crosswalk_API!$H$2:$H$527, MATCH(POP_API_TABLE[[#This Row],[PWSID]], CW_PWSID_LIST, 0)), "")</f>
        <v>No</v>
      </c>
    </row>
    <row r="58" spans="1:11" x14ac:dyDescent="0.25">
      <c r="A58" t="s">
        <v>890</v>
      </c>
      <c r="B58" t="s">
        <v>891</v>
      </c>
      <c r="C58" t="s">
        <v>900</v>
      </c>
      <c r="D58" t="s">
        <v>901</v>
      </c>
      <c r="E58" t="s">
        <v>703</v>
      </c>
      <c r="F58" s="9">
        <v>43831</v>
      </c>
      <c r="G58" s="9"/>
      <c r="H58">
        <v>980</v>
      </c>
      <c r="I58" s="9">
        <v>45108</v>
      </c>
      <c r="J58" s="9">
        <v>45473</v>
      </c>
      <c r="K58" t="str">
        <f>IFERROR(INDEX(Crosswalk_API!$H$2:$H$527, MATCH(POP_API_TABLE[[#This Row],[PWSID]], CW_PWSID_LIST, 0)), "")</f>
        <v>No</v>
      </c>
    </row>
    <row r="59" spans="1:11" x14ac:dyDescent="0.25">
      <c r="A59" t="s">
        <v>890</v>
      </c>
      <c r="B59" t="s">
        <v>891</v>
      </c>
      <c r="C59" t="s">
        <v>902</v>
      </c>
      <c r="D59" t="s">
        <v>903</v>
      </c>
      <c r="E59" t="s">
        <v>703</v>
      </c>
      <c r="F59" s="9">
        <v>43831</v>
      </c>
      <c r="G59" s="9"/>
      <c r="H59">
        <v>1065</v>
      </c>
      <c r="I59" s="9">
        <v>45108</v>
      </c>
      <c r="J59" s="9">
        <v>45473</v>
      </c>
      <c r="K59" t="str">
        <f>IFERROR(INDEX(Crosswalk_API!$H$2:$H$527, MATCH(POP_API_TABLE[[#This Row],[PWSID]], CW_PWSID_LIST, 0)), "")</f>
        <v>No</v>
      </c>
    </row>
    <row r="60" spans="1:11" x14ac:dyDescent="0.25">
      <c r="A60" t="s">
        <v>890</v>
      </c>
      <c r="B60" t="s">
        <v>891</v>
      </c>
      <c r="C60" t="s">
        <v>904</v>
      </c>
      <c r="D60" t="s">
        <v>905</v>
      </c>
      <c r="E60" t="s">
        <v>703</v>
      </c>
      <c r="F60" s="9">
        <v>43831</v>
      </c>
      <c r="G60" s="9"/>
      <c r="H60">
        <v>1106</v>
      </c>
      <c r="I60" s="9">
        <v>45108</v>
      </c>
      <c r="J60" s="9">
        <v>45473</v>
      </c>
      <c r="K60" t="str">
        <f>IFERROR(INDEX(Crosswalk_API!$H$2:$H$527, MATCH(POP_API_TABLE[[#This Row],[PWSID]], CW_PWSID_LIST, 0)), "")</f>
        <v>No</v>
      </c>
    </row>
    <row r="61" spans="1:11" x14ac:dyDescent="0.25">
      <c r="A61" t="s">
        <v>906</v>
      </c>
      <c r="B61" t="s">
        <v>907</v>
      </c>
      <c r="C61" t="s">
        <v>908</v>
      </c>
      <c r="D61" t="s">
        <v>909</v>
      </c>
      <c r="E61" t="s">
        <v>910</v>
      </c>
      <c r="F61" s="9">
        <v>44926</v>
      </c>
      <c r="G61" s="9"/>
      <c r="H61">
        <v>8861</v>
      </c>
      <c r="I61" s="9">
        <v>45108</v>
      </c>
      <c r="J61" s="9">
        <v>45473</v>
      </c>
      <c r="K61" t="str">
        <f>IFERROR(INDEX(Crosswalk_API!$H$2:$H$527, MATCH(POP_API_TABLE[[#This Row],[PWSID]], CW_PWSID_LIST, 0)), "")</f>
        <v>No</v>
      </c>
    </row>
    <row r="62" spans="1:11" x14ac:dyDescent="0.25">
      <c r="A62" t="s">
        <v>906</v>
      </c>
      <c r="B62" t="s">
        <v>907</v>
      </c>
      <c r="C62" t="s">
        <v>911</v>
      </c>
      <c r="D62" t="s">
        <v>912</v>
      </c>
      <c r="E62" t="s">
        <v>913</v>
      </c>
      <c r="F62" s="9">
        <v>44926</v>
      </c>
      <c r="G62" s="9"/>
      <c r="H62">
        <v>54793</v>
      </c>
      <c r="I62" s="9">
        <v>45108</v>
      </c>
      <c r="J62" s="9">
        <v>45473</v>
      </c>
      <c r="K62" t="str">
        <f>IFERROR(INDEX(Crosswalk_API!$H$2:$H$527, MATCH(POP_API_TABLE[[#This Row],[PWSID]], CW_PWSID_LIST, 0)), "")</f>
        <v>No</v>
      </c>
    </row>
    <row r="63" spans="1:11" x14ac:dyDescent="0.25">
      <c r="A63" t="s">
        <v>906</v>
      </c>
      <c r="B63" t="s">
        <v>907</v>
      </c>
      <c r="C63" t="s">
        <v>914</v>
      </c>
      <c r="D63" t="s">
        <v>915</v>
      </c>
      <c r="E63" t="s">
        <v>913</v>
      </c>
      <c r="F63" s="9">
        <v>44926</v>
      </c>
      <c r="G63" s="9"/>
      <c r="H63">
        <v>1591</v>
      </c>
      <c r="I63" s="9">
        <v>45108</v>
      </c>
      <c r="J63" s="9">
        <v>45473</v>
      </c>
      <c r="K63" t="str">
        <f>IFERROR(INDEX(Crosswalk_API!$H$2:$H$527, MATCH(POP_API_TABLE[[#This Row],[PWSID]], CW_PWSID_LIST, 0)), "")</f>
        <v>No</v>
      </c>
    </row>
    <row r="64" spans="1:11" x14ac:dyDescent="0.25">
      <c r="A64" t="s">
        <v>906</v>
      </c>
      <c r="B64" t="s">
        <v>907</v>
      </c>
      <c r="C64" t="s">
        <v>916</v>
      </c>
      <c r="D64" t="s">
        <v>917</v>
      </c>
      <c r="E64" t="s">
        <v>913</v>
      </c>
      <c r="F64" s="9">
        <v>44926</v>
      </c>
      <c r="G64" s="9"/>
      <c r="H64">
        <v>48094</v>
      </c>
      <c r="I64" s="9">
        <v>45108</v>
      </c>
      <c r="J64" s="9">
        <v>45473</v>
      </c>
      <c r="K64" t="str">
        <f>IFERROR(INDEX(Crosswalk_API!$H$2:$H$527, MATCH(POP_API_TABLE[[#This Row],[PWSID]], CW_PWSID_LIST, 0)), "")</f>
        <v>No</v>
      </c>
    </row>
    <row r="65" spans="1:11" x14ac:dyDescent="0.25">
      <c r="A65" t="s">
        <v>906</v>
      </c>
      <c r="B65" t="s">
        <v>907</v>
      </c>
      <c r="C65" t="s">
        <v>918</v>
      </c>
      <c r="D65" t="s">
        <v>919</v>
      </c>
      <c r="E65" t="s">
        <v>913</v>
      </c>
      <c r="F65" s="9">
        <v>44926</v>
      </c>
      <c r="G65" s="9"/>
      <c r="H65">
        <v>50573</v>
      </c>
      <c r="I65" s="9">
        <v>45108</v>
      </c>
      <c r="J65" s="9">
        <v>45473</v>
      </c>
      <c r="K65" t="str">
        <f>IFERROR(INDEX(Crosswalk_API!$H$2:$H$527, MATCH(POP_API_TABLE[[#This Row],[PWSID]], CW_PWSID_LIST, 0)), "")</f>
        <v>No</v>
      </c>
    </row>
    <row r="66" spans="1:11" x14ac:dyDescent="0.25">
      <c r="A66" t="s">
        <v>906</v>
      </c>
      <c r="B66" t="s">
        <v>907</v>
      </c>
      <c r="C66" t="s">
        <v>931</v>
      </c>
      <c r="D66" t="s">
        <v>932</v>
      </c>
      <c r="E66" t="s">
        <v>913</v>
      </c>
      <c r="F66" s="9">
        <v>44926</v>
      </c>
      <c r="G66" s="9"/>
      <c r="H66">
        <v>15652</v>
      </c>
      <c r="I66" s="9">
        <v>45108</v>
      </c>
      <c r="J66" s="9">
        <v>45473</v>
      </c>
      <c r="K66" t="str">
        <f>IFERROR(INDEX(Crosswalk_API!$H$2:$H$527, MATCH(POP_API_TABLE[[#This Row],[PWSID]], CW_PWSID_LIST, 0)), "")</f>
        <v>No</v>
      </c>
    </row>
    <row r="67" spans="1:11" x14ac:dyDescent="0.25">
      <c r="A67" t="s">
        <v>906</v>
      </c>
      <c r="B67" t="s">
        <v>907</v>
      </c>
      <c r="C67" t="s">
        <v>920</v>
      </c>
      <c r="D67" t="s">
        <v>921</v>
      </c>
      <c r="E67" t="s">
        <v>913</v>
      </c>
      <c r="F67" s="9"/>
      <c r="G67" s="9"/>
      <c r="I67" s="9">
        <v>45108</v>
      </c>
      <c r="J67" s="9">
        <v>45473</v>
      </c>
      <c r="K67" t="str">
        <f>IFERROR(INDEX(Crosswalk_API!$H$2:$H$527, MATCH(POP_API_TABLE[[#This Row],[PWSID]], CW_PWSID_LIST, 0)), "")</f>
        <v>No</v>
      </c>
    </row>
    <row r="68" spans="1:11" x14ac:dyDescent="0.25">
      <c r="A68" t="s">
        <v>906</v>
      </c>
      <c r="B68" t="s">
        <v>907</v>
      </c>
      <c r="C68" t="s">
        <v>922</v>
      </c>
      <c r="D68" t="s">
        <v>923</v>
      </c>
      <c r="E68" t="s">
        <v>913</v>
      </c>
      <c r="F68" s="9">
        <v>44926</v>
      </c>
      <c r="G68" s="9"/>
      <c r="H68">
        <v>35534</v>
      </c>
      <c r="I68" s="9">
        <v>45108</v>
      </c>
      <c r="J68" s="9">
        <v>45473</v>
      </c>
      <c r="K68" t="str">
        <f>IFERROR(INDEX(Crosswalk_API!$H$2:$H$527, MATCH(POP_API_TABLE[[#This Row],[PWSID]], CW_PWSID_LIST, 0)), "")</f>
        <v>No</v>
      </c>
    </row>
    <row r="69" spans="1:11" x14ac:dyDescent="0.25">
      <c r="A69" t="s">
        <v>906</v>
      </c>
      <c r="B69" t="s">
        <v>907</v>
      </c>
      <c r="C69" t="s">
        <v>924</v>
      </c>
      <c r="D69" t="s">
        <v>925</v>
      </c>
      <c r="E69" t="s">
        <v>913</v>
      </c>
      <c r="F69" s="9"/>
      <c r="G69" s="9"/>
      <c r="I69" s="9">
        <v>45108</v>
      </c>
      <c r="J69" s="9">
        <v>45473</v>
      </c>
      <c r="K69" t="str">
        <f>IFERROR(INDEX(Crosswalk_API!$H$2:$H$527, MATCH(POP_API_TABLE[[#This Row],[PWSID]], CW_PWSID_LIST, 0)), "")</f>
        <v>No</v>
      </c>
    </row>
    <row r="70" spans="1:11" x14ac:dyDescent="0.25">
      <c r="A70" t="s">
        <v>906</v>
      </c>
      <c r="B70" t="s">
        <v>907</v>
      </c>
      <c r="C70" t="s">
        <v>926</v>
      </c>
      <c r="D70" t="s">
        <v>927</v>
      </c>
      <c r="E70" t="s">
        <v>913</v>
      </c>
      <c r="F70" s="9">
        <v>44926</v>
      </c>
      <c r="G70" s="9"/>
      <c r="H70">
        <v>667</v>
      </c>
      <c r="I70" s="9">
        <v>45108</v>
      </c>
      <c r="J70" s="9">
        <v>45473</v>
      </c>
      <c r="K70" t="str">
        <f>IFERROR(INDEX(Crosswalk_API!$H$2:$H$527, MATCH(POP_API_TABLE[[#This Row],[PWSID]], CW_PWSID_LIST, 0)), "")</f>
        <v>No</v>
      </c>
    </row>
    <row r="71" spans="1:11" x14ac:dyDescent="0.25">
      <c r="A71" t="s">
        <v>906</v>
      </c>
      <c r="B71" t="s">
        <v>907</v>
      </c>
      <c r="C71" t="s">
        <v>928</v>
      </c>
      <c r="D71" t="s">
        <v>929</v>
      </c>
      <c r="E71" t="s">
        <v>930</v>
      </c>
      <c r="F71" s="9">
        <v>42412</v>
      </c>
      <c r="G71" s="9"/>
      <c r="H71">
        <v>602</v>
      </c>
      <c r="I71" s="9">
        <v>45108</v>
      </c>
      <c r="J71" s="9">
        <v>45473</v>
      </c>
      <c r="K71" t="str">
        <f>IFERROR(INDEX(Crosswalk_API!$H$2:$H$527, MATCH(POP_API_TABLE[[#This Row],[PWSID]], CW_PWSID_LIST, 0)), "")</f>
        <v>No</v>
      </c>
    </row>
    <row r="72" spans="1:11" x14ac:dyDescent="0.25">
      <c r="A72" t="s">
        <v>933</v>
      </c>
      <c r="B72" t="s">
        <v>934</v>
      </c>
      <c r="C72" t="s">
        <v>935</v>
      </c>
      <c r="D72" t="s">
        <v>936</v>
      </c>
      <c r="E72" t="s">
        <v>937</v>
      </c>
      <c r="F72" s="9">
        <v>44076</v>
      </c>
      <c r="G72" s="9"/>
      <c r="H72">
        <v>106000</v>
      </c>
      <c r="I72" s="9">
        <v>45108</v>
      </c>
      <c r="J72" s="9">
        <v>45473</v>
      </c>
      <c r="K72" t="str">
        <f>IFERROR(INDEX(Crosswalk_API!$H$2:$H$527, MATCH(POP_API_TABLE[[#This Row],[PWSID]], CW_PWSID_LIST, 0)), "")</f>
        <v>No</v>
      </c>
    </row>
    <row r="73" spans="1:11" x14ac:dyDescent="0.25">
      <c r="A73" t="s">
        <v>938</v>
      </c>
      <c r="B73" t="s">
        <v>939</v>
      </c>
      <c r="C73" t="s">
        <v>940</v>
      </c>
      <c r="D73" t="s">
        <v>941</v>
      </c>
      <c r="E73" t="s">
        <v>942</v>
      </c>
      <c r="F73" s="9">
        <v>44562</v>
      </c>
      <c r="G73" s="9"/>
      <c r="H73">
        <v>66809</v>
      </c>
      <c r="I73" s="9">
        <v>45108</v>
      </c>
      <c r="J73" s="9">
        <v>45473</v>
      </c>
      <c r="K73" t="str">
        <f>IFERROR(INDEX(Crosswalk_API!$H$2:$H$527, MATCH(POP_API_TABLE[[#This Row],[PWSID]], CW_PWSID_LIST, 0)), "")</f>
        <v>No</v>
      </c>
    </row>
    <row r="74" spans="1:11" x14ac:dyDescent="0.25">
      <c r="A74" t="s">
        <v>938</v>
      </c>
      <c r="B74" t="s">
        <v>939</v>
      </c>
      <c r="C74" t="s">
        <v>943</v>
      </c>
      <c r="D74" t="s">
        <v>944</v>
      </c>
      <c r="E74" t="s">
        <v>942</v>
      </c>
      <c r="F74" s="9">
        <v>44562</v>
      </c>
      <c r="G74" s="9"/>
      <c r="H74">
        <v>2039</v>
      </c>
      <c r="I74" s="9">
        <v>45108</v>
      </c>
      <c r="J74" s="9">
        <v>45473</v>
      </c>
      <c r="K74" t="str">
        <f>IFERROR(INDEX(Crosswalk_API!$H$2:$H$527, MATCH(POP_API_TABLE[[#This Row],[PWSID]], CW_PWSID_LIST, 0)), "")</f>
        <v>No</v>
      </c>
    </row>
    <row r="75" spans="1:11" x14ac:dyDescent="0.25">
      <c r="A75" t="s">
        <v>945</v>
      </c>
      <c r="B75" t="s">
        <v>946</v>
      </c>
      <c r="C75" t="s">
        <v>947</v>
      </c>
      <c r="D75" t="s">
        <v>948</v>
      </c>
      <c r="E75" t="s">
        <v>766</v>
      </c>
      <c r="F75" s="9">
        <v>44824</v>
      </c>
      <c r="G75" s="9"/>
      <c r="H75">
        <v>14198</v>
      </c>
      <c r="I75" s="9">
        <v>45108</v>
      </c>
      <c r="J75" s="9">
        <v>45473</v>
      </c>
      <c r="K75" t="str">
        <f>IFERROR(INDEX(Crosswalk_API!$H$2:$H$527, MATCH(POP_API_TABLE[[#This Row],[PWSID]], CW_PWSID_LIST, 0)), "")</f>
        <v>No</v>
      </c>
    </row>
    <row r="76" spans="1:11" x14ac:dyDescent="0.25">
      <c r="A76" t="s">
        <v>949</v>
      </c>
      <c r="B76" t="s">
        <v>950</v>
      </c>
      <c r="C76" t="s">
        <v>951</v>
      </c>
      <c r="D76" t="s">
        <v>952</v>
      </c>
      <c r="E76" t="s">
        <v>766</v>
      </c>
      <c r="F76" s="9">
        <v>45292</v>
      </c>
      <c r="G76" s="9"/>
      <c r="H76">
        <v>267881</v>
      </c>
      <c r="I76" s="9">
        <v>45108</v>
      </c>
      <c r="J76" s="9">
        <v>45473</v>
      </c>
      <c r="K76" t="str">
        <f>IFERROR(INDEX(Crosswalk_API!$H$2:$H$527, MATCH(POP_API_TABLE[[#This Row],[PWSID]], CW_PWSID_LIST, 0)), "")</f>
        <v>No</v>
      </c>
    </row>
    <row r="77" spans="1:11" x14ac:dyDescent="0.25">
      <c r="A77" t="s">
        <v>949</v>
      </c>
      <c r="B77" t="s">
        <v>950</v>
      </c>
      <c r="C77" t="s">
        <v>953</v>
      </c>
      <c r="D77" t="s">
        <v>954</v>
      </c>
      <c r="E77" t="s">
        <v>766</v>
      </c>
      <c r="F77" s="9">
        <v>45292</v>
      </c>
      <c r="G77" s="9">
        <v>45657</v>
      </c>
      <c r="H77">
        <v>22657</v>
      </c>
      <c r="I77" s="9">
        <v>45108</v>
      </c>
      <c r="J77" s="9">
        <v>45473</v>
      </c>
      <c r="K77" t="str">
        <f>IFERROR(INDEX(Crosswalk_API!$H$2:$H$527, MATCH(POP_API_TABLE[[#This Row],[PWSID]], CW_PWSID_LIST, 0)), "")</f>
        <v>No</v>
      </c>
    </row>
    <row r="78" spans="1:11" x14ac:dyDescent="0.25">
      <c r="A78" t="s">
        <v>955</v>
      </c>
      <c r="B78" t="s">
        <v>956</v>
      </c>
      <c r="C78" t="s">
        <v>957</v>
      </c>
      <c r="D78" t="s">
        <v>958</v>
      </c>
      <c r="E78" t="s">
        <v>862</v>
      </c>
      <c r="F78" s="9">
        <v>45292</v>
      </c>
      <c r="G78" s="9"/>
      <c r="H78">
        <v>60903</v>
      </c>
      <c r="I78" s="9">
        <v>45108</v>
      </c>
      <c r="J78" s="9">
        <v>45473</v>
      </c>
      <c r="K78" t="str">
        <f>IFERROR(INDEX(Crosswalk_API!$H$2:$H$527, MATCH(POP_API_TABLE[[#This Row],[PWSID]], CW_PWSID_LIST, 0)), "")</f>
        <v>No</v>
      </c>
    </row>
    <row r="79" spans="1:11" x14ac:dyDescent="0.25">
      <c r="A79" t="s">
        <v>959</v>
      </c>
      <c r="B79" t="s">
        <v>960</v>
      </c>
      <c r="C79" t="s">
        <v>961</v>
      </c>
      <c r="D79" t="s">
        <v>962</v>
      </c>
      <c r="E79" t="s">
        <v>963</v>
      </c>
      <c r="F79" s="9">
        <v>45113</v>
      </c>
      <c r="G79" s="9"/>
      <c r="H79">
        <v>114925</v>
      </c>
      <c r="I79" s="9">
        <v>45108</v>
      </c>
      <c r="J79" s="9">
        <v>45473</v>
      </c>
      <c r="K79" t="str">
        <f>IFERROR(INDEX(Crosswalk_API!$H$2:$H$527, MATCH(POP_API_TABLE[[#This Row],[PWSID]], CW_PWSID_LIST, 0)), "")</f>
        <v>No</v>
      </c>
    </row>
    <row r="80" spans="1:11" x14ac:dyDescent="0.25">
      <c r="A80" t="s">
        <v>959</v>
      </c>
      <c r="B80" t="s">
        <v>960</v>
      </c>
      <c r="C80" t="s">
        <v>964</v>
      </c>
      <c r="D80" t="s">
        <v>965</v>
      </c>
      <c r="E80" t="s">
        <v>966</v>
      </c>
      <c r="F80" s="9">
        <v>45292</v>
      </c>
      <c r="G80" s="9"/>
      <c r="H80">
        <v>1799</v>
      </c>
      <c r="I80" s="9">
        <v>45108</v>
      </c>
      <c r="J80" s="9">
        <v>45473</v>
      </c>
      <c r="K80" t="str">
        <f>IFERROR(INDEX(Crosswalk_API!$H$2:$H$527, MATCH(POP_API_TABLE[[#This Row],[PWSID]], CW_PWSID_LIST, 0)), "")</f>
        <v>No</v>
      </c>
    </row>
    <row r="81" spans="1:11" x14ac:dyDescent="0.25">
      <c r="A81" t="s">
        <v>967</v>
      </c>
      <c r="B81" t="s">
        <v>968</v>
      </c>
      <c r="C81" t="s">
        <v>969</v>
      </c>
      <c r="D81" t="s">
        <v>970</v>
      </c>
      <c r="E81" t="s">
        <v>814</v>
      </c>
      <c r="F81" s="9">
        <v>44927</v>
      </c>
      <c r="G81" s="9"/>
      <c r="H81">
        <v>10623</v>
      </c>
      <c r="I81" s="9">
        <v>45108</v>
      </c>
      <c r="J81" s="9">
        <v>45473</v>
      </c>
      <c r="K81" t="str">
        <f>IFERROR(INDEX(Crosswalk_API!$H$2:$H$527, MATCH(POP_API_TABLE[[#This Row],[PWSID]], CW_PWSID_LIST, 0)), "")</f>
        <v>No</v>
      </c>
    </row>
    <row r="82" spans="1:11" x14ac:dyDescent="0.25">
      <c r="A82" t="s">
        <v>971</v>
      </c>
      <c r="B82" t="s">
        <v>972</v>
      </c>
      <c r="C82" t="s">
        <v>973</v>
      </c>
      <c r="D82" t="s">
        <v>974</v>
      </c>
      <c r="E82" t="s">
        <v>708</v>
      </c>
      <c r="F82" s="9">
        <v>45292</v>
      </c>
      <c r="G82" s="9"/>
      <c r="H82">
        <v>143996</v>
      </c>
      <c r="I82" s="9">
        <v>45108</v>
      </c>
      <c r="J82" s="9">
        <v>45473</v>
      </c>
      <c r="K82" t="str">
        <f>IFERROR(INDEX(Crosswalk_API!$H$2:$H$527, MATCH(POP_API_TABLE[[#This Row],[PWSID]], CW_PWSID_LIST, 0)), "")</f>
        <v>No</v>
      </c>
    </row>
    <row r="83" spans="1:11" x14ac:dyDescent="0.25">
      <c r="A83" t="s">
        <v>975</v>
      </c>
      <c r="B83" t="s">
        <v>976</v>
      </c>
      <c r="C83" t="s">
        <v>977</v>
      </c>
      <c r="D83" t="s">
        <v>978</v>
      </c>
      <c r="E83" t="s">
        <v>708</v>
      </c>
      <c r="F83" s="9">
        <v>45292</v>
      </c>
      <c r="G83" s="9"/>
      <c r="H83">
        <v>152474</v>
      </c>
      <c r="I83" s="9">
        <v>45108</v>
      </c>
      <c r="J83" s="9">
        <v>45473</v>
      </c>
      <c r="K83" t="str">
        <f>IFERROR(INDEX(Crosswalk_API!$H$2:$H$527, MATCH(POP_API_TABLE[[#This Row],[PWSID]], CW_PWSID_LIST, 0)), "")</f>
        <v>No</v>
      </c>
    </row>
    <row r="84" spans="1:11" x14ac:dyDescent="0.25">
      <c r="A84" t="s">
        <v>979</v>
      </c>
      <c r="B84" t="s">
        <v>980</v>
      </c>
      <c r="C84" t="s">
        <v>981</v>
      </c>
      <c r="D84" t="s">
        <v>982</v>
      </c>
      <c r="E84" t="s">
        <v>708</v>
      </c>
      <c r="F84" s="9">
        <v>45292</v>
      </c>
      <c r="G84" s="9"/>
      <c r="H84">
        <v>96853</v>
      </c>
      <c r="I84" s="9">
        <v>45108</v>
      </c>
      <c r="J84" s="9">
        <v>45473</v>
      </c>
      <c r="K84" t="str">
        <f>IFERROR(INDEX(Crosswalk_API!$H$2:$H$527, MATCH(POP_API_TABLE[[#This Row],[PWSID]], CW_PWSID_LIST, 0)), "")</f>
        <v>No</v>
      </c>
    </row>
    <row r="85" spans="1:11" x14ac:dyDescent="0.25">
      <c r="A85" t="s">
        <v>983</v>
      </c>
      <c r="B85" t="s">
        <v>984</v>
      </c>
      <c r="C85" t="s">
        <v>985</v>
      </c>
      <c r="D85" t="s">
        <v>986</v>
      </c>
      <c r="E85" t="s">
        <v>766</v>
      </c>
      <c r="F85" s="9">
        <v>45292</v>
      </c>
      <c r="G85" s="9"/>
      <c r="H85">
        <v>226</v>
      </c>
      <c r="I85" s="9">
        <v>45108</v>
      </c>
      <c r="J85" s="9">
        <v>45473</v>
      </c>
      <c r="K85" t="str">
        <f>IFERROR(INDEX(Crosswalk_API!$H$2:$H$527, MATCH(POP_API_TABLE[[#This Row],[PWSID]], CW_PWSID_LIST, 0)), "")</f>
        <v>No</v>
      </c>
    </row>
    <row r="86" spans="1:11" x14ac:dyDescent="0.25">
      <c r="A86" t="s">
        <v>983</v>
      </c>
      <c r="B86" t="s">
        <v>984</v>
      </c>
      <c r="C86" t="s">
        <v>987</v>
      </c>
      <c r="D86" t="s">
        <v>988</v>
      </c>
      <c r="E86" t="s">
        <v>766</v>
      </c>
      <c r="F86" s="9">
        <v>45292</v>
      </c>
      <c r="G86" s="9"/>
      <c r="H86">
        <v>307</v>
      </c>
      <c r="I86" s="9">
        <v>45108</v>
      </c>
      <c r="J86" s="9">
        <v>45473</v>
      </c>
      <c r="K86" t="str">
        <f>IFERROR(INDEX(Crosswalk_API!$H$2:$H$527, MATCH(POP_API_TABLE[[#This Row],[PWSID]], CW_PWSID_LIST, 0)), "")</f>
        <v>No</v>
      </c>
    </row>
    <row r="87" spans="1:11" x14ac:dyDescent="0.25">
      <c r="A87" t="s">
        <v>983</v>
      </c>
      <c r="B87" t="s">
        <v>984</v>
      </c>
      <c r="C87" t="s">
        <v>989</v>
      </c>
      <c r="D87" t="s">
        <v>990</v>
      </c>
      <c r="E87" t="s">
        <v>766</v>
      </c>
      <c r="F87" s="9">
        <v>45292</v>
      </c>
      <c r="G87" s="9">
        <v>45754</v>
      </c>
      <c r="H87">
        <v>2585</v>
      </c>
      <c r="I87" s="9">
        <v>45108</v>
      </c>
      <c r="J87" s="9">
        <v>45473</v>
      </c>
      <c r="K87" t="str">
        <f>IFERROR(INDEX(Crosswalk_API!$H$2:$H$527, MATCH(POP_API_TABLE[[#This Row],[PWSID]], CW_PWSID_LIST, 0)), "")</f>
        <v>No</v>
      </c>
    </row>
    <row r="88" spans="1:11" x14ac:dyDescent="0.25">
      <c r="A88" t="s">
        <v>983</v>
      </c>
      <c r="B88" t="s">
        <v>984</v>
      </c>
      <c r="C88" t="s">
        <v>991</v>
      </c>
      <c r="D88" t="s">
        <v>992</v>
      </c>
      <c r="E88" t="s">
        <v>766</v>
      </c>
      <c r="F88" s="9">
        <v>45292</v>
      </c>
      <c r="G88" s="9"/>
      <c r="H88">
        <v>1112</v>
      </c>
      <c r="I88" s="9">
        <v>45108</v>
      </c>
      <c r="J88" s="9">
        <v>45473</v>
      </c>
      <c r="K88" t="str">
        <f>IFERROR(INDEX(Crosswalk_API!$H$2:$H$527, MATCH(POP_API_TABLE[[#This Row],[PWSID]], CW_PWSID_LIST, 0)), "")</f>
        <v>No</v>
      </c>
    </row>
    <row r="89" spans="1:11" x14ac:dyDescent="0.25">
      <c r="A89" t="s">
        <v>983</v>
      </c>
      <c r="B89" t="s">
        <v>984</v>
      </c>
      <c r="C89" t="s">
        <v>993</v>
      </c>
      <c r="D89" t="s">
        <v>994</v>
      </c>
      <c r="E89" t="s">
        <v>766</v>
      </c>
      <c r="F89" s="9">
        <v>45292</v>
      </c>
      <c r="G89" s="9"/>
      <c r="H89">
        <v>284</v>
      </c>
      <c r="I89" s="9">
        <v>45108</v>
      </c>
      <c r="J89" s="9">
        <v>45473</v>
      </c>
      <c r="K89" t="str">
        <f>IFERROR(INDEX(Crosswalk_API!$H$2:$H$527, MATCH(POP_API_TABLE[[#This Row],[PWSID]], CW_PWSID_LIST, 0)), "")</f>
        <v>No</v>
      </c>
    </row>
    <row r="90" spans="1:11" x14ac:dyDescent="0.25">
      <c r="A90" t="s">
        <v>983</v>
      </c>
      <c r="B90" t="s">
        <v>984</v>
      </c>
      <c r="C90" t="s">
        <v>995</v>
      </c>
      <c r="D90" t="s">
        <v>996</v>
      </c>
      <c r="E90" t="s">
        <v>766</v>
      </c>
      <c r="F90" s="9">
        <v>45292</v>
      </c>
      <c r="G90" s="9"/>
      <c r="H90">
        <v>294</v>
      </c>
      <c r="I90" s="9">
        <v>45108</v>
      </c>
      <c r="J90" s="9">
        <v>45473</v>
      </c>
      <c r="K90" t="str">
        <f>IFERROR(INDEX(Crosswalk_API!$H$2:$H$527, MATCH(POP_API_TABLE[[#This Row],[PWSID]], CW_PWSID_LIST, 0)), "")</f>
        <v>No</v>
      </c>
    </row>
    <row r="91" spans="1:11" x14ac:dyDescent="0.25">
      <c r="A91" t="s">
        <v>983</v>
      </c>
      <c r="B91" t="s">
        <v>984</v>
      </c>
      <c r="C91" t="s">
        <v>997</v>
      </c>
      <c r="D91" t="s">
        <v>998</v>
      </c>
      <c r="E91" t="s">
        <v>766</v>
      </c>
      <c r="F91" s="9">
        <v>45292</v>
      </c>
      <c r="G91" s="9">
        <v>45658</v>
      </c>
      <c r="H91">
        <v>739</v>
      </c>
      <c r="I91" s="9">
        <v>45108</v>
      </c>
      <c r="J91" s="9">
        <v>45473</v>
      </c>
      <c r="K91" t="str">
        <f>IFERROR(INDEX(Crosswalk_API!$H$2:$H$527, MATCH(POP_API_TABLE[[#This Row],[PWSID]], CW_PWSID_LIST, 0)), "")</f>
        <v>No</v>
      </c>
    </row>
    <row r="92" spans="1:11" x14ac:dyDescent="0.25">
      <c r="A92" t="s">
        <v>999</v>
      </c>
      <c r="B92" t="s">
        <v>1000</v>
      </c>
      <c r="C92" t="s">
        <v>1001</v>
      </c>
      <c r="D92" t="s">
        <v>1002</v>
      </c>
      <c r="E92" t="s">
        <v>698</v>
      </c>
      <c r="F92" s="9">
        <v>45108</v>
      </c>
      <c r="G92" s="9"/>
      <c r="H92">
        <v>60414</v>
      </c>
      <c r="I92" s="9">
        <v>45108</v>
      </c>
      <c r="J92" s="9">
        <v>45473</v>
      </c>
      <c r="K92" t="str">
        <f>IFERROR(INDEX(Crosswalk_API!$H$2:$H$527, MATCH(POP_API_TABLE[[#This Row],[PWSID]], CW_PWSID_LIST, 0)), "")</f>
        <v>No</v>
      </c>
    </row>
    <row r="93" spans="1:11" x14ac:dyDescent="0.25">
      <c r="A93" t="s">
        <v>1003</v>
      </c>
      <c r="B93" t="s">
        <v>1004</v>
      </c>
      <c r="C93" t="s">
        <v>1005</v>
      </c>
      <c r="D93" t="s">
        <v>1006</v>
      </c>
      <c r="E93" t="s">
        <v>1007</v>
      </c>
      <c r="F93" s="9">
        <v>45292</v>
      </c>
      <c r="G93" s="9"/>
      <c r="H93">
        <v>70175</v>
      </c>
      <c r="I93" s="9">
        <v>45108</v>
      </c>
      <c r="J93" s="9">
        <v>45473</v>
      </c>
      <c r="K93" t="str">
        <f>IFERROR(INDEX(Crosswalk_API!$H$2:$H$527, MATCH(POP_API_TABLE[[#This Row],[PWSID]], CW_PWSID_LIST, 0)), "")</f>
        <v>No</v>
      </c>
    </row>
    <row r="94" spans="1:11" x14ac:dyDescent="0.25">
      <c r="A94" t="s">
        <v>1008</v>
      </c>
      <c r="B94" t="s">
        <v>1009</v>
      </c>
      <c r="C94" t="s">
        <v>1010</v>
      </c>
      <c r="D94" t="s">
        <v>1011</v>
      </c>
      <c r="E94" t="s">
        <v>1012</v>
      </c>
      <c r="F94" s="9">
        <v>45292</v>
      </c>
      <c r="G94" s="9"/>
      <c r="H94">
        <v>12419</v>
      </c>
      <c r="I94" s="9">
        <v>45108</v>
      </c>
      <c r="J94" s="9">
        <v>45473</v>
      </c>
      <c r="K94" t="str">
        <f>IFERROR(INDEX(Crosswalk_API!$H$2:$H$527, MATCH(POP_API_TABLE[[#This Row],[PWSID]], CW_PWSID_LIST, 0)), "")</f>
        <v>No</v>
      </c>
    </row>
    <row r="95" spans="1:11" x14ac:dyDescent="0.25">
      <c r="A95" t="s">
        <v>1033</v>
      </c>
      <c r="B95" t="s">
        <v>1034</v>
      </c>
      <c r="C95" t="s">
        <v>1035</v>
      </c>
      <c r="D95" t="s">
        <v>1036</v>
      </c>
      <c r="E95" t="s">
        <v>862</v>
      </c>
      <c r="F95" s="9">
        <v>45292</v>
      </c>
      <c r="G95" s="9">
        <v>45483</v>
      </c>
      <c r="H95">
        <v>35453</v>
      </c>
      <c r="I95" s="9">
        <v>45108</v>
      </c>
      <c r="J95" s="9">
        <v>45473</v>
      </c>
      <c r="K95" t="str">
        <f>IFERROR(INDEX(Crosswalk_API!$H$2:$H$527, MATCH(POP_API_TABLE[[#This Row],[PWSID]], CW_PWSID_LIST, 0)), "")</f>
        <v>No</v>
      </c>
    </row>
    <row r="96" spans="1:11" x14ac:dyDescent="0.25">
      <c r="A96" t="s">
        <v>1033</v>
      </c>
      <c r="B96" t="s">
        <v>1034</v>
      </c>
      <c r="C96" t="s">
        <v>1037</v>
      </c>
      <c r="D96" t="s">
        <v>1038</v>
      </c>
      <c r="E96" t="s">
        <v>862</v>
      </c>
      <c r="F96" s="9">
        <v>45292</v>
      </c>
      <c r="G96" s="9">
        <v>45747</v>
      </c>
      <c r="H96">
        <v>102663</v>
      </c>
      <c r="I96" s="9">
        <v>45108</v>
      </c>
      <c r="J96" s="9">
        <v>45473</v>
      </c>
      <c r="K96" t="str">
        <f>IFERROR(INDEX(Crosswalk_API!$H$2:$H$527, MATCH(POP_API_TABLE[[#This Row],[PWSID]], CW_PWSID_LIST, 0)), "")</f>
        <v>No</v>
      </c>
    </row>
    <row r="97" spans="1:11" x14ac:dyDescent="0.25">
      <c r="A97" t="s">
        <v>1013</v>
      </c>
      <c r="B97" t="s">
        <v>1014</v>
      </c>
      <c r="C97" t="s">
        <v>1015</v>
      </c>
      <c r="D97" t="s">
        <v>1016</v>
      </c>
      <c r="E97" t="s">
        <v>963</v>
      </c>
      <c r="F97" s="9">
        <v>45113</v>
      </c>
      <c r="G97" s="9"/>
      <c r="H97">
        <v>11106</v>
      </c>
      <c r="I97" s="9">
        <v>45108</v>
      </c>
      <c r="J97" s="9">
        <v>45473</v>
      </c>
      <c r="K97" t="str">
        <f>IFERROR(INDEX(Crosswalk_API!$H$2:$H$527, MATCH(POP_API_TABLE[[#This Row],[PWSID]], CW_PWSID_LIST, 0)), "")</f>
        <v>No</v>
      </c>
    </row>
    <row r="98" spans="1:11" x14ac:dyDescent="0.25">
      <c r="A98" t="s">
        <v>1017</v>
      </c>
      <c r="B98" t="s">
        <v>1018</v>
      </c>
      <c r="C98" t="s">
        <v>1019</v>
      </c>
      <c r="D98" t="s">
        <v>1020</v>
      </c>
      <c r="E98" t="s">
        <v>708</v>
      </c>
      <c r="F98" s="9">
        <v>45292</v>
      </c>
      <c r="G98" s="9"/>
      <c r="H98">
        <v>71452</v>
      </c>
      <c r="I98" s="9">
        <v>45108</v>
      </c>
      <c r="J98" s="9">
        <v>45473</v>
      </c>
      <c r="K98" t="str">
        <f>IFERROR(INDEX(Crosswalk_API!$H$2:$H$527, MATCH(POP_API_TABLE[[#This Row],[PWSID]], CW_PWSID_LIST, 0)), "")</f>
        <v>No</v>
      </c>
    </row>
    <row r="99" spans="1:11" x14ac:dyDescent="0.25">
      <c r="A99" t="s">
        <v>1021</v>
      </c>
      <c r="B99" t="s">
        <v>1022</v>
      </c>
      <c r="C99" t="s">
        <v>1023</v>
      </c>
      <c r="D99" t="s">
        <v>1024</v>
      </c>
      <c r="E99" t="s">
        <v>703</v>
      </c>
      <c r="F99" s="9">
        <v>45292</v>
      </c>
      <c r="G99" s="9"/>
      <c r="H99">
        <v>621</v>
      </c>
      <c r="I99" s="9">
        <v>45108</v>
      </c>
      <c r="J99" s="9">
        <v>45473</v>
      </c>
      <c r="K99" t="str">
        <f>IFERROR(INDEX(Crosswalk_API!$H$2:$H$527, MATCH(POP_API_TABLE[[#This Row],[PWSID]], CW_PWSID_LIST, 0)), "")</f>
        <v>No</v>
      </c>
    </row>
    <row r="100" spans="1:11" x14ac:dyDescent="0.25">
      <c r="A100" t="s">
        <v>1021</v>
      </c>
      <c r="B100" t="s">
        <v>1022</v>
      </c>
      <c r="C100" t="s">
        <v>1025</v>
      </c>
      <c r="D100" t="s">
        <v>1026</v>
      </c>
      <c r="E100" t="s">
        <v>703</v>
      </c>
      <c r="F100" s="9">
        <v>44927</v>
      </c>
      <c r="G100" s="9"/>
      <c r="H100">
        <v>123679</v>
      </c>
      <c r="I100" s="9">
        <v>45108</v>
      </c>
      <c r="J100" s="9">
        <v>45473</v>
      </c>
      <c r="K100" t="str">
        <f>IFERROR(INDEX(Crosswalk_API!$H$2:$H$527, MATCH(POP_API_TABLE[[#This Row],[PWSID]], CW_PWSID_LIST, 0)), "")</f>
        <v>No</v>
      </c>
    </row>
    <row r="101" spans="1:11" x14ac:dyDescent="0.25">
      <c r="A101" t="s">
        <v>1021</v>
      </c>
      <c r="B101" t="s">
        <v>1022</v>
      </c>
      <c r="C101" t="s">
        <v>1027</v>
      </c>
      <c r="D101" t="s">
        <v>1028</v>
      </c>
      <c r="E101" t="s">
        <v>703</v>
      </c>
      <c r="F101" s="9">
        <v>41275</v>
      </c>
      <c r="G101" s="9"/>
      <c r="H101">
        <v>5293</v>
      </c>
      <c r="I101" s="9">
        <v>45108</v>
      </c>
      <c r="J101" s="9">
        <v>45473</v>
      </c>
      <c r="K101" t="str">
        <f>IFERROR(INDEX(Crosswalk_API!$H$2:$H$527, MATCH(POP_API_TABLE[[#This Row],[PWSID]], CW_PWSID_LIST, 0)), "")</f>
        <v>No</v>
      </c>
    </row>
    <row r="102" spans="1:11" x14ac:dyDescent="0.25">
      <c r="A102" t="s">
        <v>1021</v>
      </c>
      <c r="B102" t="s">
        <v>1022</v>
      </c>
      <c r="C102" t="s">
        <v>1029</v>
      </c>
      <c r="D102" t="s">
        <v>1030</v>
      </c>
      <c r="E102" t="s">
        <v>703</v>
      </c>
      <c r="F102" s="9">
        <v>43466</v>
      </c>
      <c r="G102" s="9"/>
      <c r="H102">
        <v>2084</v>
      </c>
      <c r="I102" s="9">
        <v>45108</v>
      </c>
      <c r="J102" s="9">
        <v>45473</v>
      </c>
      <c r="K102" t="str">
        <f>IFERROR(INDEX(Crosswalk_API!$H$2:$H$527, MATCH(POP_API_TABLE[[#This Row],[PWSID]], CW_PWSID_LIST, 0)), "")</f>
        <v>No</v>
      </c>
    </row>
    <row r="103" spans="1:11" x14ac:dyDescent="0.25">
      <c r="A103" t="s">
        <v>1021</v>
      </c>
      <c r="B103" t="s">
        <v>1022</v>
      </c>
      <c r="C103" t="s">
        <v>1031</v>
      </c>
      <c r="D103" t="s">
        <v>1032</v>
      </c>
      <c r="E103" t="s">
        <v>703</v>
      </c>
      <c r="F103" s="9">
        <v>43466</v>
      </c>
      <c r="G103" s="9"/>
      <c r="H103">
        <v>3161</v>
      </c>
      <c r="I103" s="9">
        <v>45108</v>
      </c>
      <c r="J103" s="9">
        <v>45473</v>
      </c>
      <c r="K103" t="str">
        <f>IFERROR(INDEX(Crosswalk_API!$H$2:$H$527, MATCH(POP_API_TABLE[[#This Row],[PWSID]], CW_PWSID_LIST, 0)), "")</f>
        <v>No</v>
      </c>
    </row>
    <row r="104" spans="1:11" x14ac:dyDescent="0.25">
      <c r="A104" t="s">
        <v>1039</v>
      </c>
      <c r="B104" t="s">
        <v>1040</v>
      </c>
      <c r="C104" t="s">
        <v>1041</v>
      </c>
      <c r="D104" t="s">
        <v>1042</v>
      </c>
      <c r="E104" t="s">
        <v>788</v>
      </c>
      <c r="F104" s="9">
        <v>45292</v>
      </c>
      <c r="G104" s="9">
        <v>45657</v>
      </c>
      <c r="H104">
        <v>26456</v>
      </c>
      <c r="I104" s="9">
        <v>45108</v>
      </c>
      <c r="J104" s="9">
        <v>45473</v>
      </c>
      <c r="K104" t="str">
        <f>IFERROR(INDEX(Crosswalk_API!$H$2:$H$527, MATCH(POP_API_TABLE[[#This Row],[PWSID]], CW_PWSID_LIST, 0)), "")</f>
        <v>No</v>
      </c>
    </row>
    <row r="105" spans="1:11" x14ac:dyDescent="0.25">
      <c r="A105" t="s">
        <v>1043</v>
      </c>
      <c r="B105" t="s">
        <v>1044</v>
      </c>
      <c r="C105" t="s">
        <v>1045</v>
      </c>
      <c r="D105" t="s">
        <v>1046</v>
      </c>
      <c r="E105" t="s">
        <v>862</v>
      </c>
      <c r="F105" s="9">
        <v>45292</v>
      </c>
      <c r="G105" s="9">
        <v>45753</v>
      </c>
      <c r="H105">
        <v>64121</v>
      </c>
      <c r="I105" s="9">
        <v>45108</v>
      </c>
      <c r="J105" s="9">
        <v>45473</v>
      </c>
      <c r="K105" t="str">
        <f>IFERROR(INDEX(Crosswalk_API!$H$2:$H$527, MATCH(POP_API_TABLE[[#This Row],[PWSID]], CW_PWSID_LIST, 0)), "")</f>
        <v>No</v>
      </c>
    </row>
    <row r="106" spans="1:11" x14ac:dyDescent="0.25">
      <c r="A106" t="s">
        <v>1047</v>
      </c>
      <c r="B106" t="s">
        <v>1048</v>
      </c>
      <c r="C106" t="s">
        <v>1049</v>
      </c>
      <c r="D106" t="s">
        <v>1050</v>
      </c>
      <c r="E106" t="s">
        <v>1051</v>
      </c>
      <c r="F106" s="9">
        <v>45108</v>
      </c>
      <c r="G106" s="9">
        <v>45657</v>
      </c>
      <c r="H106">
        <v>175026</v>
      </c>
      <c r="I106" s="9">
        <v>45108</v>
      </c>
      <c r="J106" s="9">
        <v>45473</v>
      </c>
      <c r="K106" t="str">
        <f>IFERROR(INDEX(Crosswalk_API!$H$2:$H$527, MATCH(POP_API_TABLE[[#This Row],[PWSID]], CW_PWSID_LIST, 0)), "")</f>
        <v>No</v>
      </c>
    </row>
    <row r="107" spans="1:11" x14ac:dyDescent="0.25">
      <c r="A107" t="s">
        <v>1052</v>
      </c>
      <c r="B107" t="s">
        <v>1053</v>
      </c>
      <c r="C107" t="s">
        <v>1054</v>
      </c>
      <c r="D107" t="s">
        <v>1055</v>
      </c>
      <c r="E107" t="s">
        <v>1056</v>
      </c>
      <c r="F107" s="9">
        <v>42370</v>
      </c>
      <c r="G107" s="9"/>
      <c r="H107">
        <v>138</v>
      </c>
      <c r="I107" s="9">
        <v>45108</v>
      </c>
      <c r="J107" s="9">
        <v>45473</v>
      </c>
      <c r="K107" t="str">
        <f>IFERROR(INDEX(Crosswalk_API!$H$2:$H$527, MATCH(POP_API_TABLE[[#This Row],[PWSID]], CW_PWSID_LIST, 0)), "")</f>
        <v>No</v>
      </c>
    </row>
    <row r="108" spans="1:11" x14ac:dyDescent="0.25">
      <c r="A108" t="s">
        <v>1052</v>
      </c>
      <c r="B108" t="s">
        <v>1053</v>
      </c>
      <c r="C108" t="s">
        <v>1057</v>
      </c>
      <c r="D108" t="s">
        <v>1058</v>
      </c>
      <c r="E108" t="s">
        <v>1056</v>
      </c>
      <c r="F108" s="9">
        <v>45292</v>
      </c>
      <c r="G108" s="9"/>
      <c r="H108">
        <v>148496</v>
      </c>
      <c r="I108" s="9">
        <v>45108</v>
      </c>
      <c r="J108" s="9">
        <v>45473</v>
      </c>
      <c r="K108" t="str">
        <f>IFERROR(INDEX(Crosswalk_API!$H$2:$H$527, MATCH(POP_API_TABLE[[#This Row],[PWSID]], CW_PWSID_LIST, 0)), "")</f>
        <v>No</v>
      </c>
    </row>
    <row r="109" spans="1:11" x14ac:dyDescent="0.25">
      <c r="A109" t="s">
        <v>1052</v>
      </c>
      <c r="B109" t="s">
        <v>1053</v>
      </c>
      <c r="C109" t="s">
        <v>1059</v>
      </c>
      <c r="D109" t="s">
        <v>1060</v>
      </c>
      <c r="E109" t="s">
        <v>1056</v>
      </c>
      <c r="F109" s="9">
        <v>41640</v>
      </c>
      <c r="G109" s="9"/>
      <c r="H109">
        <v>716</v>
      </c>
      <c r="I109" s="9">
        <v>45108</v>
      </c>
      <c r="J109" s="9">
        <v>45473</v>
      </c>
      <c r="K109" t="str">
        <f>IFERROR(INDEX(Crosswalk_API!$H$2:$H$527, MATCH(POP_API_TABLE[[#This Row],[PWSID]], CW_PWSID_LIST, 0)), "")</f>
        <v>No</v>
      </c>
    </row>
    <row r="110" spans="1:11" x14ac:dyDescent="0.25">
      <c r="A110" t="s">
        <v>1061</v>
      </c>
      <c r="B110" t="s">
        <v>1062</v>
      </c>
      <c r="C110" t="s">
        <v>1063</v>
      </c>
      <c r="D110" t="s">
        <v>1064</v>
      </c>
      <c r="E110" t="s">
        <v>942</v>
      </c>
      <c r="F110" s="9">
        <v>44927</v>
      </c>
      <c r="G110" s="9"/>
      <c r="H110">
        <v>19533</v>
      </c>
      <c r="I110" s="9">
        <v>45108</v>
      </c>
      <c r="J110" s="9">
        <v>45473</v>
      </c>
      <c r="K110" t="str">
        <f>IFERROR(INDEX(Crosswalk_API!$H$2:$H$527, MATCH(POP_API_TABLE[[#This Row],[PWSID]], CW_PWSID_LIST, 0)), "")</f>
        <v>No</v>
      </c>
    </row>
    <row r="111" spans="1:11" x14ac:dyDescent="0.25">
      <c r="A111" t="s">
        <v>1065</v>
      </c>
      <c r="B111" t="s">
        <v>1066</v>
      </c>
      <c r="C111" t="s">
        <v>1067</v>
      </c>
      <c r="D111" t="s">
        <v>1068</v>
      </c>
      <c r="E111" t="s">
        <v>942</v>
      </c>
      <c r="F111" s="9">
        <v>44927</v>
      </c>
      <c r="G111" s="9"/>
      <c r="H111">
        <v>46824</v>
      </c>
      <c r="I111" s="9">
        <v>45108</v>
      </c>
      <c r="J111" s="9">
        <v>45473</v>
      </c>
      <c r="K111" t="str">
        <f>IFERROR(INDEX(Crosswalk_API!$H$2:$H$527, MATCH(POP_API_TABLE[[#This Row],[PWSID]], CW_PWSID_LIST, 0)), "")</f>
        <v>No</v>
      </c>
    </row>
    <row r="112" spans="1:11" x14ac:dyDescent="0.25">
      <c r="A112" t="s">
        <v>1069</v>
      </c>
      <c r="B112" t="s">
        <v>1070</v>
      </c>
      <c r="C112" t="s">
        <v>1071</v>
      </c>
      <c r="D112" t="s">
        <v>1072</v>
      </c>
      <c r="E112" t="s">
        <v>761</v>
      </c>
      <c r="F112" s="9">
        <v>44562</v>
      </c>
      <c r="G112" s="9"/>
      <c r="H112">
        <v>5532</v>
      </c>
      <c r="I112" s="9">
        <v>45108</v>
      </c>
      <c r="J112" s="9">
        <v>45473</v>
      </c>
      <c r="K112" t="str">
        <f>IFERROR(INDEX(Crosswalk_API!$H$2:$H$527, MATCH(POP_API_TABLE[[#This Row],[PWSID]], CW_PWSID_LIST, 0)), "")</f>
        <v>No</v>
      </c>
    </row>
    <row r="113" spans="1:11" x14ac:dyDescent="0.25">
      <c r="A113" t="s">
        <v>1073</v>
      </c>
      <c r="B113" t="s">
        <v>1074</v>
      </c>
      <c r="C113" t="s">
        <v>1075</v>
      </c>
      <c r="D113" t="s">
        <v>1076</v>
      </c>
      <c r="E113" t="s">
        <v>942</v>
      </c>
      <c r="F113" s="9">
        <v>45292</v>
      </c>
      <c r="G113" s="9"/>
      <c r="H113">
        <v>32700</v>
      </c>
      <c r="I113" s="9">
        <v>45108</v>
      </c>
      <c r="J113" s="9">
        <v>45473</v>
      </c>
      <c r="K113" t="str">
        <f>IFERROR(INDEX(Crosswalk_API!$H$2:$H$527, MATCH(POP_API_TABLE[[#This Row],[PWSID]], CW_PWSID_LIST, 0)), "")</f>
        <v>No</v>
      </c>
    </row>
    <row r="114" spans="1:11" x14ac:dyDescent="0.25">
      <c r="A114" t="s">
        <v>1077</v>
      </c>
      <c r="B114" t="s">
        <v>1078</v>
      </c>
      <c r="C114" t="s">
        <v>1079</v>
      </c>
      <c r="D114" t="s">
        <v>1080</v>
      </c>
      <c r="E114" t="s">
        <v>937</v>
      </c>
      <c r="F114" s="9">
        <v>45292</v>
      </c>
      <c r="G114" s="9"/>
      <c r="H114">
        <v>95158</v>
      </c>
      <c r="I114" s="9">
        <v>45108</v>
      </c>
      <c r="J114" s="9">
        <v>45473</v>
      </c>
      <c r="K114" t="str">
        <f>IFERROR(INDEX(Crosswalk_API!$H$2:$H$527, MATCH(POP_API_TABLE[[#This Row],[PWSID]], CW_PWSID_LIST, 0)), "")</f>
        <v>No</v>
      </c>
    </row>
    <row r="115" spans="1:11" x14ac:dyDescent="0.25">
      <c r="A115" t="s">
        <v>1081</v>
      </c>
      <c r="B115" t="s">
        <v>1082</v>
      </c>
      <c r="C115" t="s">
        <v>1083</v>
      </c>
      <c r="D115" t="s">
        <v>1084</v>
      </c>
      <c r="E115" t="s">
        <v>913</v>
      </c>
      <c r="F115" s="9">
        <v>45292</v>
      </c>
      <c r="G115" s="9"/>
      <c r="H115">
        <v>41193</v>
      </c>
      <c r="I115" s="9">
        <v>45108</v>
      </c>
      <c r="J115" s="9">
        <v>45473</v>
      </c>
      <c r="K115" t="str">
        <f>IFERROR(INDEX(Crosswalk_API!$H$2:$H$527, MATCH(POP_API_TABLE[[#This Row],[PWSID]], CW_PWSID_LIST, 0)), "")</f>
        <v>No</v>
      </c>
    </row>
    <row r="116" spans="1:11" x14ac:dyDescent="0.25">
      <c r="A116" t="s">
        <v>1085</v>
      </c>
      <c r="B116" t="s">
        <v>1086</v>
      </c>
      <c r="C116" t="s">
        <v>1087</v>
      </c>
      <c r="D116" t="s">
        <v>1088</v>
      </c>
      <c r="E116" t="s">
        <v>1089</v>
      </c>
      <c r="F116" s="9">
        <v>44197</v>
      </c>
      <c r="G116" s="9"/>
      <c r="H116">
        <v>15996</v>
      </c>
      <c r="I116" s="9">
        <v>45108</v>
      </c>
      <c r="J116" s="9">
        <v>45473</v>
      </c>
      <c r="K116" t="str">
        <f>IFERROR(INDEX(Crosswalk_API!$H$2:$H$527, MATCH(POP_API_TABLE[[#This Row],[PWSID]], CW_PWSID_LIST, 0)), "")</f>
        <v>No</v>
      </c>
    </row>
    <row r="117" spans="1:11" x14ac:dyDescent="0.25">
      <c r="A117" t="s">
        <v>1090</v>
      </c>
      <c r="B117" t="s">
        <v>1091</v>
      </c>
      <c r="C117" t="s">
        <v>1092</v>
      </c>
      <c r="D117" t="s">
        <v>1093</v>
      </c>
      <c r="E117" t="s">
        <v>942</v>
      </c>
      <c r="F117" s="9">
        <v>44197</v>
      </c>
      <c r="G117" s="9"/>
      <c r="H117">
        <v>6801</v>
      </c>
      <c r="I117" s="9">
        <v>45108</v>
      </c>
      <c r="J117" s="9">
        <v>45473</v>
      </c>
      <c r="K117" t="str">
        <f>IFERROR(INDEX(Crosswalk_API!$H$2:$H$527, MATCH(POP_API_TABLE[[#This Row],[PWSID]], CW_PWSID_LIST, 0)), "")</f>
        <v>No</v>
      </c>
    </row>
    <row r="118" spans="1:11" x14ac:dyDescent="0.25">
      <c r="A118" t="s">
        <v>1090</v>
      </c>
      <c r="B118" t="s">
        <v>1091</v>
      </c>
      <c r="C118" t="s">
        <v>1094</v>
      </c>
      <c r="D118" t="s">
        <v>1095</v>
      </c>
      <c r="E118" t="s">
        <v>942</v>
      </c>
      <c r="F118" s="9">
        <v>44197</v>
      </c>
      <c r="G118" s="9"/>
      <c r="H118">
        <v>11005</v>
      </c>
      <c r="I118" s="9">
        <v>45108</v>
      </c>
      <c r="J118" s="9">
        <v>45473</v>
      </c>
      <c r="K118" t="str">
        <f>IFERROR(INDEX(Crosswalk_API!$H$2:$H$527, MATCH(POP_API_TABLE[[#This Row],[PWSID]], CW_PWSID_LIST, 0)), "")</f>
        <v>No</v>
      </c>
    </row>
    <row r="119" spans="1:11" x14ac:dyDescent="0.25">
      <c r="A119" t="s">
        <v>1096</v>
      </c>
      <c r="B119" t="s">
        <v>1097</v>
      </c>
      <c r="C119" t="s">
        <v>1098</v>
      </c>
      <c r="D119" t="s">
        <v>1099</v>
      </c>
      <c r="E119" t="s">
        <v>1100</v>
      </c>
      <c r="F119" s="9">
        <v>44378</v>
      </c>
      <c r="G119" s="9"/>
      <c r="H119">
        <v>54513</v>
      </c>
      <c r="I119" s="9">
        <v>45108</v>
      </c>
      <c r="J119" s="9">
        <v>45473</v>
      </c>
      <c r="K119" t="str">
        <f>IFERROR(INDEX(Crosswalk_API!$H$2:$H$527, MATCH(POP_API_TABLE[[#This Row],[PWSID]], CW_PWSID_LIST, 0)), "")</f>
        <v>No</v>
      </c>
    </row>
    <row r="120" spans="1:11" x14ac:dyDescent="0.25">
      <c r="A120" t="s">
        <v>1101</v>
      </c>
      <c r="B120" t="s">
        <v>1102</v>
      </c>
      <c r="C120" t="s">
        <v>1103</v>
      </c>
      <c r="D120" t="s">
        <v>1104</v>
      </c>
      <c r="E120" t="s">
        <v>708</v>
      </c>
      <c r="F120" s="9">
        <v>44927</v>
      </c>
      <c r="G120" s="9"/>
      <c r="H120">
        <v>47475</v>
      </c>
      <c r="I120" s="9">
        <v>45108</v>
      </c>
      <c r="J120" s="9">
        <v>45473</v>
      </c>
      <c r="K120" t="str">
        <f>IFERROR(INDEX(Crosswalk_API!$H$2:$H$527, MATCH(POP_API_TABLE[[#This Row],[PWSID]], CW_PWSID_LIST, 0)), "")</f>
        <v>No</v>
      </c>
    </row>
    <row r="121" spans="1:11" x14ac:dyDescent="0.25">
      <c r="A121" t="s">
        <v>1105</v>
      </c>
      <c r="B121" t="s">
        <v>1106</v>
      </c>
      <c r="C121" t="s">
        <v>1107</v>
      </c>
      <c r="D121" t="s">
        <v>1108</v>
      </c>
      <c r="E121" t="s">
        <v>693</v>
      </c>
      <c r="F121" s="9">
        <v>44927</v>
      </c>
      <c r="G121" s="9"/>
      <c r="H121">
        <v>86435</v>
      </c>
      <c r="I121" s="9">
        <v>45108</v>
      </c>
      <c r="J121" s="9">
        <v>45473</v>
      </c>
      <c r="K121" t="str">
        <f>IFERROR(INDEX(Crosswalk_API!$H$2:$H$527, MATCH(POP_API_TABLE[[#This Row],[PWSID]], CW_PWSID_LIST, 0)), "")</f>
        <v>No</v>
      </c>
    </row>
    <row r="122" spans="1:11" x14ac:dyDescent="0.25">
      <c r="A122" t="s">
        <v>1109</v>
      </c>
      <c r="B122" t="s">
        <v>1110</v>
      </c>
      <c r="C122" t="s">
        <v>1111</v>
      </c>
      <c r="D122" t="s">
        <v>1112</v>
      </c>
      <c r="E122" t="s">
        <v>693</v>
      </c>
      <c r="F122" s="9">
        <v>44927</v>
      </c>
      <c r="G122" s="9">
        <v>45291</v>
      </c>
      <c r="H122">
        <v>77058</v>
      </c>
      <c r="I122" s="9">
        <v>45108</v>
      </c>
      <c r="J122" s="9">
        <v>45473</v>
      </c>
      <c r="K122" t="str">
        <f>IFERROR(INDEX(Crosswalk_API!$H$2:$H$527, MATCH(POP_API_TABLE[[#This Row],[PWSID]], CW_PWSID_LIST, 0)), "")</f>
        <v>No</v>
      </c>
    </row>
    <row r="123" spans="1:11" x14ac:dyDescent="0.25">
      <c r="A123" t="s">
        <v>2583</v>
      </c>
      <c r="B123" t="s">
        <v>2584</v>
      </c>
      <c r="C123" t="s">
        <v>2585</v>
      </c>
      <c r="D123" t="s">
        <v>2586</v>
      </c>
      <c r="E123" t="s">
        <v>1667</v>
      </c>
      <c r="F123" s="9">
        <v>45126</v>
      </c>
      <c r="G123" s="9"/>
      <c r="H123">
        <v>13916</v>
      </c>
      <c r="I123" s="9">
        <v>45108</v>
      </c>
      <c r="J123" s="9">
        <v>45473</v>
      </c>
      <c r="K123" t="str">
        <f>IFERROR(INDEX(Crosswalk_API!$H$2:$H$527, MATCH(POP_API_TABLE[[#This Row],[PWSID]], CW_PWSID_LIST, 0)), "")</f>
        <v>No</v>
      </c>
    </row>
    <row r="124" spans="1:11" x14ac:dyDescent="0.25">
      <c r="A124" t="s">
        <v>1113</v>
      </c>
      <c r="B124" t="s">
        <v>1114</v>
      </c>
      <c r="C124" t="s">
        <v>1115</v>
      </c>
      <c r="D124" t="s">
        <v>1116</v>
      </c>
      <c r="E124" t="s">
        <v>913</v>
      </c>
      <c r="F124" s="9">
        <v>45404</v>
      </c>
      <c r="G124" s="9"/>
      <c r="H124">
        <v>67818</v>
      </c>
      <c r="I124" s="9">
        <v>45108</v>
      </c>
      <c r="J124" s="9">
        <v>45473</v>
      </c>
      <c r="K124" t="str">
        <f>IFERROR(INDEX(Crosswalk_API!$H$2:$H$527, MATCH(POP_API_TABLE[[#This Row],[PWSID]], CW_PWSID_LIST, 0)), "")</f>
        <v>No</v>
      </c>
    </row>
    <row r="125" spans="1:11" x14ac:dyDescent="0.25">
      <c r="A125" t="s">
        <v>771</v>
      </c>
      <c r="B125" t="s">
        <v>772</v>
      </c>
      <c r="C125" t="s">
        <v>773</v>
      </c>
      <c r="D125" t="s">
        <v>774</v>
      </c>
      <c r="E125" t="s">
        <v>775</v>
      </c>
      <c r="F125" s="9">
        <v>45292</v>
      </c>
      <c r="G125" s="9"/>
      <c r="H125">
        <v>29479</v>
      </c>
      <c r="I125" s="9">
        <v>45108</v>
      </c>
      <c r="J125" s="9">
        <v>45473</v>
      </c>
      <c r="K125" t="str">
        <f>IFERROR(INDEX(Crosswalk_API!$H$2:$H$527, MATCH(POP_API_TABLE[[#This Row],[PWSID]], CW_PWSID_LIST, 0)), "")</f>
        <v>No</v>
      </c>
    </row>
    <row r="126" spans="1:11" x14ac:dyDescent="0.25">
      <c r="A126" t="s">
        <v>1603</v>
      </c>
      <c r="B126" t="s">
        <v>1604</v>
      </c>
      <c r="C126" t="s">
        <v>1605</v>
      </c>
      <c r="D126" t="s">
        <v>1606</v>
      </c>
      <c r="E126" t="s">
        <v>1056</v>
      </c>
      <c r="F126" s="9">
        <v>44197</v>
      </c>
      <c r="G126" s="9"/>
      <c r="H126">
        <v>12659</v>
      </c>
      <c r="I126" s="9">
        <v>45108</v>
      </c>
      <c r="J126" s="9">
        <v>45473</v>
      </c>
      <c r="K126" t="str">
        <f>IFERROR(INDEX(Crosswalk_API!$H$2:$H$527, MATCH(POP_API_TABLE[[#This Row],[PWSID]], CW_PWSID_LIST, 0)), "")</f>
        <v>No</v>
      </c>
    </row>
    <row r="127" spans="1:11" x14ac:dyDescent="0.25">
      <c r="A127" t="s">
        <v>1117</v>
      </c>
      <c r="B127" t="s">
        <v>1118</v>
      </c>
      <c r="C127" t="s">
        <v>1119</v>
      </c>
      <c r="D127" t="s">
        <v>1120</v>
      </c>
      <c r="E127" t="s">
        <v>1121</v>
      </c>
      <c r="F127" s="9">
        <v>43466</v>
      </c>
      <c r="G127" s="9"/>
      <c r="H127">
        <v>8710</v>
      </c>
      <c r="I127" s="9">
        <v>45108</v>
      </c>
      <c r="J127" s="9">
        <v>45473</v>
      </c>
      <c r="K127" t="str">
        <f>IFERROR(INDEX(Crosswalk_API!$H$2:$H$527, MATCH(POP_API_TABLE[[#This Row],[PWSID]], CW_PWSID_LIST, 0)), "")</f>
        <v>No</v>
      </c>
    </row>
    <row r="128" spans="1:11" x14ac:dyDescent="0.25">
      <c r="A128" t="s">
        <v>1122</v>
      </c>
      <c r="B128" t="s">
        <v>1123</v>
      </c>
      <c r="C128" t="s">
        <v>1124</v>
      </c>
      <c r="D128" t="s">
        <v>1125</v>
      </c>
      <c r="E128" t="s">
        <v>788</v>
      </c>
      <c r="F128" s="9">
        <v>45292</v>
      </c>
      <c r="G128" s="9">
        <v>45657</v>
      </c>
      <c r="H128">
        <v>128411</v>
      </c>
      <c r="I128" s="9">
        <v>45108</v>
      </c>
      <c r="J128" s="9">
        <v>45473</v>
      </c>
      <c r="K128" t="str">
        <f>IFERROR(INDEX(Crosswalk_API!$H$2:$H$527, MATCH(POP_API_TABLE[[#This Row],[PWSID]], CW_PWSID_LIST, 0)), "")</f>
        <v>No</v>
      </c>
    </row>
    <row r="129" spans="1:11" x14ac:dyDescent="0.25">
      <c r="A129" t="s">
        <v>1126</v>
      </c>
      <c r="B129" t="s">
        <v>1127</v>
      </c>
      <c r="C129" t="s">
        <v>1128</v>
      </c>
      <c r="D129" t="s">
        <v>1129</v>
      </c>
      <c r="E129" t="s">
        <v>793</v>
      </c>
      <c r="F129" s="9">
        <v>44927</v>
      </c>
      <c r="G129" s="9"/>
      <c r="H129">
        <v>42835</v>
      </c>
      <c r="I129" s="9">
        <v>45108</v>
      </c>
      <c r="J129" s="9">
        <v>45473</v>
      </c>
      <c r="K129" t="str">
        <f>IFERROR(INDEX(Crosswalk_API!$H$2:$H$527, MATCH(POP_API_TABLE[[#This Row],[PWSID]], CW_PWSID_LIST, 0)), "")</f>
        <v>No</v>
      </c>
    </row>
    <row r="130" spans="1:11" x14ac:dyDescent="0.25">
      <c r="A130" t="s">
        <v>1130</v>
      </c>
      <c r="B130" t="s">
        <v>1131</v>
      </c>
      <c r="C130" t="s">
        <v>1132</v>
      </c>
      <c r="D130" t="s">
        <v>1133</v>
      </c>
      <c r="E130" t="s">
        <v>793</v>
      </c>
      <c r="F130" s="9">
        <v>44253</v>
      </c>
      <c r="G130" s="9"/>
      <c r="H130">
        <v>270000</v>
      </c>
      <c r="I130" s="9">
        <v>45108</v>
      </c>
      <c r="J130" s="9">
        <v>45473</v>
      </c>
      <c r="K130" t="str">
        <f>IFERROR(INDEX(Crosswalk_API!$H$2:$H$527, MATCH(POP_API_TABLE[[#This Row],[PWSID]], CW_PWSID_LIST, 0)), "")</f>
        <v>No</v>
      </c>
    </row>
    <row r="131" spans="1:11" x14ac:dyDescent="0.25">
      <c r="A131" t="s">
        <v>1130</v>
      </c>
      <c r="B131" t="s">
        <v>1131</v>
      </c>
      <c r="C131" t="s">
        <v>1134</v>
      </c>
      <c r="D131" t="s">
        <v>1135</v>
      </c>
      <c r="E131" t="s">
        <v>793</v>
      </c>
      <c r="F131" s="9">
        <v>43101</v>
      </c>
      <c r="G131" s="9"/>
      <c r="H131">
        <v>4600</v>
      </c>
      <c r="I131" s="9">
        <v>45108</v>
      </c>
      <c r="J131" s="9">
        <v>45473</v>
      </c>
      <c r="K131" t="str">
        <f>IFERROR(INDEX(Crosswalk_API!$H$2:$H$527, MATCH(POP_API_TABLE[[#This Row],[PWSID]], CW_PWSID_LIST, 0)), "")</f>
        <v>No</v>
      </c>
    </row>
    <row r="132" spans="1:11" x14ac:dyDescent="0.25">
      <c r="A132" t="s">
        <v>1136</v>
      </c>
      <c r="B132" t="s">
        <v>1137</v>
      </c>
      <c r="C132" t="s">
        <v>1138</v>
      </c>
      <c r="D132" t="s">
        <v>1139</v>
      </c>
      <c r="E132" t="s">
        <v>788</v>
      </c>
      <c r="F132" s="9">
        <v>44370</v>
      </c>
      <c r="G132" s="9"/>
      <c r="H132">
        <v>17277</v>
      </c>
      <c r="I132" s="9">
        <v>45108</v>
      </c>
      <c r="J132" s="9">
        <v>45473</v>
      </c>
      <c r="K132" t="str">
        <f>IFERROR(INDEX(Crosswalk_API!$H$2:$H$527, MATCH(POP_API_TABLE[[#This Row],[PWSID]], CW_PWSID_LIST, 0)), "")</f>
        <v>No</v>
      </c>
    </row>
    <row r="133" spans="1:11" x14ac:dyDescent="0.25">
      <c r="A133" t="s">
        <v>1140</v>
      </c>
      <c r="B133" t="s">
        <v>1141</v>
      </c>
      <c r="C133" t="s">
        <v>1142</v>
      </c>
      <c r="D133" t="s">
        <v>1143</v>
      </c>
      <c r="E133" t="s">
        <v>862</v>
      </c>
      <c r="F133" s="9">
        <v>43101</v>
      </c>
      <c r="G133" s="9">
        <v>45753</v>
      </c>
      <c r="H133">
        <v>18839</v>
      </c>
      <c r="I133" s="9">
        <v>45108</v>
      </c>
      <c r="J133" s="9">
        <v>45473</v>
      </c>
      <c r="K133" t="str">
        <f>IFERROR(INDEX(Crosswalk_API!$H$2:$H$527, MATCH(POP_API_TABLE[[#This Row],[PWSID]], CW_PWSID_LIST, 0)), "")</f>
        <v>No</v>
      </c>
    </row>
    <row r="134" spans="1:11" x14ac:dyDescent="0.25">
      <c r="A134" t="s">
        <v>1144</v>
      </c>
      <c r="B134" t="s">
        <v>1145</v>
      </c>
      <c r="C134" t="s">
        <v>1146</v>
      </c>
      <c r="D134" t="s">
        <v>1147</v>
      </c>
      <c r="E134" t="s">
        <v>693</v>
      </c>
      <c r="F134" s="9">
        <v>43605</v>
      </c>
      <c r="G134" s="9"/>
      <c r="H134">
        <v>46525</v>
      </c>
      <c r="I134" s="9">
        <v>45108</v>
      </c>
      <c r="J134" s="9">
        <v>45473</v>
      </c>
      <c r="K134" t="str">
        <f>IFERROR(INDEX(Crosswalk_API!$H$2:$H$527, MATCH(POP_API_TABLE[[#This Row],[PWSID]], CW_PWSID_LIST, 0)), "")</f>
        <v>No</v>
      </c>
    </row>
    <row r="135" spans="1:11" x14ac:dyDescent="0.25">
      <c r="A135" t="s">
        <v>1148</v>
      </c>
      <c r="B135" t="s">
        <v>1149</v>
      </c>
      <c r="C135" t="s">
        <v>1150</v>
      </c>
      <c r="D135" t="s">
        <v>1151</v>
      </c>
      <c r="E135" t="s">
        <v>708</v>
      </c>
      <c r="F135" s="9">
        <v>44562</v>
      </c>
      <c r="G135" s="9"/>
      <c r="H135">
        <v>74877</v>
      </c>
      <c r="I135" s="9">
        <v>45108</v>
      </c>
      <c r="J135" s="9">
        <v>45473</v>
      </c>
      <c r="K135" t="str">
        <f>IFERROR(INDEX(Crosswalk_API!$H$2:$H$527, MATCH(POP_API_TABLE[[#This Row],[PWSID]], CW_PWSID_LIST, 0)), "")</f>
        <v>No</v>
      </c>
    </row>
    <row r="136" spans="1:11" x14ac:dyDescent="0.25">
      <c r="A136" t="s">
        <v>1152</v>
      </c>
      <c r="B136" t="s">
        <v>1153</v>
      </c>
      <c r="C136" t="s">
        <v>1154</v>
      </c>
      <c r="D136" t="s">
        <v>1155</v>
      </c>
      <c r="E136" t="s">
        <v>741</v>
      </c>
      <c r="F136" s="9">
        <v>41640</v>
      </c>
      <c r="G136" s="9"/>
      <c r="H136">
        <v>198000</v>
      </c>
      <c r="I136" s="9">
        <v>45108</v>
      </c>
      <c r="J136" s="9">
        <v>45473</v>
      </c>
      <c r="K136" t="str">
        <f>IFERROR(INDEX(Crosswalk_API!$H$2:$H$527, MATCH(POP_API_TABLE[[#This Row],[PWSID]], CW_PWSID_LIST, 0)), "")</f>
        <v>No</v>
      </c>
    </row>
    <row r="137" spans="1:11" x14ac:dyDescent="0.25">
      <c r="A137" t="s">
        <v>1156</v>
      </c>
      <c r="B137" t="s">
        <v>1157</v>
      </c>
      <c r="C137" t="s">
        <v>1158</v>
      </c>
      <c r="D137" t="s">
        <v>1159</v>
      </c>
      <c r="E137" t="s">
        <v>1160</v>
      </c>
      <c r="F137" s="9">
        <v>43466</v>
      </c>
      <c r="G137" s="9">
        <v>45657</v>
      </c>
      <c r="H137">
        <v>21835</v>
      </c>
      <c r="I137" s="9">
        <v>45108</v>
      </c>
      <c r="J137" s="9">
        <v>45473</v>
      </c>
      <c r="K137" t="str">
        <f>IFERROR(INDEX(Crosswalk_API!$H$2:$H$527, MATCH(POP_API_TABLE[[#This Row],[PWSID]], CW_PWSID_LIST, 0)), "")</f>
        <v>No</v>
      </c>
    </row>
    <row r="138" spans="1:11" x14ac:dyDescent="0.25">
      <c r="A138" t="s">
        <v>1161</v>
      </c>
      <c r="B138" t="s">
        <v>1162</v>
      </c>
      <c r="C138" t="s">
        <v>1163</v>
      </c>
      <c r="D138" t="s">
        <v>1164</v>
      </c>
      <c r="E138" t="s">
        <v>793</v>
      </c>
      <c r="F138" s="9">
        <v>44927</v>
      </c>
      <c r="G138" s="9"/>
      <c r="H138">
        <v>168575</v>
      </c>
      <c r="I138" s="9">
        <v>45108</v>
      </c>
      <c r="J138" s="9">
        <v>45473</v>
      </c>
      <c r="K138" t="str">
        <f>IFERROR(INDEX(Crosswalk_API!$H$2:$H$527, MATCH(POP_API_TABLE[[#This Row],[PWSID]], CW_PWSID_LIST, 0)), "")</f>
        <v>No</v>
      </c>
    </row>
    <row r="139" spans="1:11" x14ac:dyDescent="0.25">
      <c r="A139" t="s">
        <v>1165</v>
      </c>
      <c r="B139" t="s">
        <v>1166</v>
      </c>
      <c r="C139" t="s">
        <v>1167</v>
      </c>
      <c r="D139" t="s">
        <v>1168</v>
      </c>
      <c r="E139" t="s">
        <v>708</v>
      </c>
      <c r="F139" s="9">
        <v>41640</v>
      </c>
      <c r="G139" s="9"/>
      <c r="H139">
        <v>33300</v>
      </c>
      <c r="I139" s="9">
        <v>45108</v>
      </c>
      <c r="J139" s="9">
        <v>45473</v>
      </c>
      <c r="K139" t="str">
        <f>IFERROR(INDEX(Crosswalk_API!$H$2:$H$527, MATCH(POP_API_TABLE[[#This Row],[PWSID]], CW_PWSID_LIST, 0)), "")</f>
        <v>No</v>
      </c>
    </row>
    <row r="140" spans="1:11" x14ac:dyDescent="0.25">
      <c r="A140" t="s">
        <v>1169</v>
      </c>
      <c r="B140" t="s">
        <v>1170</v>
      </c>
      <c r="C140" t="s">
        <v>1171</v>
      </c>
      <c r="D140" t="s">
        <v>1172</v>
      </c>
      <c r="E140" t="s">
        <v>1173</v>
      </c>
      <c r="F140" s="9">
        <v>44811</v>
      </c>
      <c r="G140" s="9">
        <v>45496</v>
      </c>
      <c r="H140">
        <v>16711</v>
      </c>
      <c r="I140" s="9">
        <v>45108</v>
      </c>
      <c r="J140" s="9">
        <v>45473</v>
      </c>
      <c r="K140" t="str">
        <f>IFERROR(INDEX(Crosswalk_API!$H$2:$H$527, MATCH(POP_API_TABLE[[#This Row],[PWSID]], CW_PWSID_LIST, 0)), "")</f>
        <v>No</v>
      </c>
    </row>
    <row r="141" spans="1:11" x14ac:dyDescent="0.25">
      <c r="A141" t="s">
        <v>1174</v>
      </c>
      <c r="B141" t="s">
        <v>1175</v>
      </c>
      <c r="C141" t="s">
        <v>1176</v>
      </c>
      <c r="D141" t="s">
        <v>1177</v>
      </c>
      <c r="E141" t="s">
        <v>708</v>
      </c>
      <c r="F141" s="9">
        <v>44927</v>
      </c>
      <c r="G141" s="9"/>
      <c r="H141">
        <v>35841</v>
      </c>
      <c r="I141" s="9">
        <v>45108</v>
      </c>
      <c r="J141" s="9">
        <v>45473</v>
      </c>
      <c r="K141" t="str">
        <f>IFERROR(INDEX(Crosswalk_API!$H$2:$H$527, MATCH(POP_API_TABLE[[#This Row],[PWSID]], CW_PWSID_LIST, 0)), "")</f>
        <v>No</v>
      </c>
    </row>
    <row r="142" spans="1:11" x14ac:dyDescent="0.25">
      <c r="A142" t="s">
        <v>1178</v>
      </c>
      <c r="B142" t="s">
        <v>1179</v>
      </c>
      <c r="C142" t="s">
        <v>1180</v>
      </c>
      <c r="D142" t="s">
        <v>1181</v>
      </c>
      <c r="E142" t="s">
        <v>693</v>
      </c>
      <c r="F142" s="9">
        <v>44927</v>
      </c>
      <c r="G142" s="9"/>
      <c r="H142">
        <v>11650</v>
      </c>
      <c r="I142" s="9">
        <v>45108</v>
      </c>
      <c r="J142" s="9">
        <v>45473</v>
      </c>
      <c r="K142" t="str">
        <f>IFERROR(INDEX(Crosswalk_API!$H$2:$H$527, MATCH(POP_API_TABLE[[#This Row],[PWSID]], CW_PWSID_LIST, 0)), "")</f>
        <v>No</v>
      </c>
    </row>
    <row r="143" spans="1:11" x14ac:dyDescent="0.25">
      <c r="A143" t="s">
        <v>1182</v>
      </c>
      <c r="B143" t="s">
        <v>1183</v>
      </c>
      <c r="C143" t="s">
        <v>1184</v>
      </c>
      <c r="D143" t="s">
        <v>1185</v>
      </c>
      <c r="E143" t="s">
        <v>693</v>
      </c>
      <c r="F143" s="9">
        <v>44927</v>
      </c>
      <c r="G143" s="9">
        <v>45657</v>
      </c>
      <c r="H143">
        <v>203882</v>
      </c>
      <c r="I143" s="9">
        <v>45108</v>
      </c>
      <c r="J143" s="9">
        <v>45473</v>
      </c>
      <c r="K143" t="str">
        <f>IFERROR(INDEX(Crosswalk_API!$H$2:$H$527, MATCH(POP_API_TABLE[[#This Row],[PWSID]], CW_PWSID_LIST, 0)), "")</f>
        <v>No</v>
      </c>
    </row>
    <row r="144" spans="1:11" x14ac:dyDescent="0.25">
      <c r="A144" t="s">
        <v>1186</v>
      </c>
      <c r="B144" t="s">
        <v>1187</v>
      </c>
      <c r="C144" t="s">
        <v>1188</v>
      </c>
      <c r="D144" t="s">
        <v>1189</v>
      </c>
      <c r="E144" t="s">
        <v>862</v>
      </c>
      <c r="F144" s="9">
        <v>45292</v>
      </c>
      <c r="G144" s="9"/>
      <c r="H144">
        <v>104901</v>
      </c>
      <c r="I144" s="9">
        <v>45108</v>
      </c>
      <c r="J144" s="9">
        <v>45473</v>
      </c>
      <c r="K144" t="str">
        <f>IFERROR(INDEX(Crosswalk_API!$H$2:$H$527, MATCH(POP_API_TABLE[[#This Row],[PWSID]], CW_PWSID_LIST, 0)), "")</f>
        <v>No</v>
      </c>
    </row>
    <row r="145" spans="1:11" x14ac:dyDescent="0.25">
      <c r="A145" t="s">
        <v>1190</v>
      </c>
      <c r="B145" t="s">
        <v>1191</v>
      </c>
      <c r="C145" t="s">
        <v>1192</v>
      </c>
      <c r="D145" t="s">
        <v>1193</v>
      </c>
      <c r="E145" t="s">
        <v>930</v>
      </c>
      <c r="F145" s="9">
        <v>33247</v>
      </c>
      <c r="G145" s="9">
        <v>45291</v>
      </c>
      <c r="H145">
        <v>67217</v>
      </c>
      <c r="I145" s="9">
        <v>45108</v>
      </c>
      <c r="J145" s="9">
        <v>45473</v>
      </c>
      <c r="K145" t="str">
        <f>IFERROR(INDEX(Crosswalk_API!$H$2:$H$527, MATCH(POP_API_TABLE[[#This Row],[PWSID]], CW_PWSID_LIST, 0)), "")</f>
        <v>No</v>
      </c>
    </row>
    <row r="146" spans="1:11" x14ac:dyDescent="0.25">
      <c r="A146" t="s">
        <v>1194</v>
      </c>
      <c r="B146" t="s">
        <v>1195</v>
      </c>
      <c r="C146" t="s">
        <v>1196</v>
      </c>
      <c r="D146" t="s">
        <v>1197</v>
      </c>
      <c r="E146" t="s">
        <v>963</v>
      </c>
      <c r="F146" s="9">
        <v>45113</v>
      </c>
      <c r="G146" s="9"/>
      <c r="H146">
        <v>10940</v>
      </c>
      <c r="I146" s="9">
        <v>45108</v>
      </c>
      <c r="J146" s="9">
        <v>45473</v>
      </c>
      <c r="K146" t="str">
        <f>IFERROR(INDEX(Crosswalk_API!$H$2:$H$527, MATCH(POP_API_TABLE[[#This Row],[PWSID]], CW_PWSID_LIST, 0)), "")</f>
        <v>No</v>
      </c>
    </row>
    <row r="147" spans="1:11" x14ac:dyDescent="0.25">
      <c r="A147" t="s">
        <v>1198</v>
      </c>
      <c r="B147" t="s">
        <v>1199</v>
      </c>
      <c r="C147" t="s">
        <v>1200</v>
      </c>
      <c r="D147" t="s">
        <v>1201</v>
      </c>
      <c r="E147" t="s">
        <v>766</v>
      </c>
      <c r="F147" s="9">
        <v>43831</v>
      </c>
      <c r="G147" s="9"/>
      <c r="H147">
        <v>51428</v>
      </c>
      <c r="I147" s="9">
        <v>45108</v>
      </c>
      <c r="J147" s="9">
        <v>45473</v>
      </c>
      <c r="K147" t="str">
        <f>IFERROR(INDEX(Crosswalk_API!$H$2:$H$527, MATCH(POP_API_TABLE[[#This Row],[PWSID]], CW_PWSID_LIST, 0)), "")</f>
        <v>No</v>
      </c>
    </row>
    <row r="148" spans="1:11" x14ac:dyDescent="0.25">
      <c r="A148" t="s">
        <v>1202</v>
      </c>
      <c r="B148" t="s">
        <v>1203</v>
      </c>
      <c r="C148" t="s">
        <v>1204</v>
      </c>
      <c r="D148" t="s">
        <v>1205</v>
      </c>
      <c r="E148" t="s">
        <v>793</v>
      </c>
      <c r="F148" s="9">
        <v>44927</v>
      </c>
      <c r="G148" s="9"/>
      <c r="H148">
        <v>58132</v>
      </c>
      <c r="I148" s="9">
        <v>45108</v>
      </c>
      <c r="J148" s="9">
        <v>45473</v>
      </c>
      <c r="K148" t="str">
        <f>IFERROR(INDEX(Crosswalk_API!$H$2:$H$527, MATCH(POP_API_TABLE[[#This Row],[PWSID]], CW_PWSID_LIST, 0)), "")</f>
        <v>No</v>
      </c>
    </row>
    <row r="149" spans="1:11" x14ac:dyDescent="0.25">
      <c r="A149" t="s">
        <v>1206</v>
      </c>
      <c r="B149" t="s">
        <v>1207</v>
      </c>
      <c r="C149" t="s">
        <v>1208</v>
      </c>
      <c r="D149" t="s">
        <v>1209</v>
      </c>
      <c r="E149" t="s">
        <v>741</v>
      </c>
      <c r="F149" s="9">
        <v>43101</v>
      </c>
      <c r="G149" s="9"/>
      <c r="H149">
        <v>43357</v>
      </c>
      <c r="I149" s="9">
        <v>45108</v>
      </c>
      <c r="J149" s="9">
        <v>45473</v>
      </c>
      <c r="K149" t="str">
        <f>IFERROR(INDEX(Crosswalk_API!$H$2:$H$527, MATCH(POP_API_TABLE[[#This Row],[PWSID]], CW_PWSID_LIST, 0)), "")</f>
        <v>No</v>
      </c>
    </row>
    <row r="150" spans="1:11" x14ac:dyDescent="0.25">
      <c r="A150" t="s">
        <v>1210</v>
      </c>
      <c r="B150" t="s">
        <v>1211</v>
      </c>
      <c r="C150" t="s">
        <v>1212</v>
      </c>
      <c r="D150" t="s">
        <v>1213</v>
      </c>
      <c r="E150" t="s">
        <v>1056</v>
      </c>
      <c r="F150" s="9">
        <v>45393</v>
      </c>
      <c r="G150" s="9">
        <v>45657</v>
      </c>
      <c r="H150">
        <v>26955</v>
      </c>
      <c r="I150" s="9">
        <v>45108</v>
      </c>
      <c r="J150" s="9">
        <v>45473</v>
      </c>
      <c r="K150" t="str">
        <f>IFERROR(INDEX(Crosswalk_API!$H$2:$H$527, MATCH(POP_API_TABLE[[#This Row],[PWSID]], CW_PWSID_LIST, 0)), "")</f>
        <v>No</v>
      </c>
    </row>
    <row r="151" spans="1:11" x14ac:dyDescent="0.25">
      <c r="A151" t="s">
        <v>1214</v>
      </c>
      <c r="B151" t="s">
        <v>1215</v>
      </c>
      <c r="C151" t="s">
        <v>1216</v>
      </c>
      <c r="D151" t="s">
        <v>1217</v>
      </c>
      <c r="E151" t="s">
        <v>741</v>
      </c>
      <c r="F151" s="9">
        <v>43466</v>
      </c>
      <c r="G151" s="9"/>
      <c r="H151">
        <v>16790</v>
      </c>
      <c r="I151" s="9">
        <v>45108</v>
      </c>
      <c r="J151" s="9">
        <v>45473</v>
      </c>
      <c r="K151" t="str">
        <f>IFERROR(INDEX(Crosswalk_API!$H$2:$H$527, MATCH(POP_API_TABLE[[#This Row],[PWSID]], CW_PWSID_LIST, 0)), "")</f>
        <v>No</v>
      </c>
    </row>
    <row r="152" spans="1:11" x14ac:dyDescent="0.25">
      <c r="A152" t="s">
        <v>1218</v>
      </c>
      <c r="B152" t="s">
        <v>1219</v>
      </c>
      <c r="C152" t="s">
        <v>1220</v>
      </c>
      <c r="D152" t="s">
        <v>1221</v>
      </c>
      <c r="E152" t="s">
        <v>708</v>
      </c>
      <c r="F152" s="9">
        <v>44927</v>
      </c>
      <c r="G152" s="9"/>
      <c r="H152">
        <v>109934</v>
      </c>
      <c r="I152" s="9">
        <v>45108</v>
      </c>
      <c r="J152" s="9">
        <v>45473</v>
      </c>
      <c r="K152" t="str">
        <f>IFERROR(INDEX(Crosswalk_API!$H$2:$H$527, MATCH(POP_API_TABLE[[#This Row],[PWSID]], CW_PWSID_LIST, 0)), "")</f>
        <v>No</v>
      </c>
    </row>
    <row r="153" spans="1:11" x14ac:dyDescent="0.25">
      <c r="A153" t="s">
        <v>1222</v>
      </c>
      <c r="B153" t="s">
        <v>1223</v>
      </c>
      <c r="C153" t="s">
        <v>1224</v>
      </c>
      <c r="D153" t="s">
        <v>1225</v>
      </c>
      <c r="E153" t="s">
        <v>698</v>
      </c>
      <c r="F153" s="9">
        <v>44743</v>
      </c>
      <c r="G153" s="9"/>
      <c r="H153">
        <v>98776</v>
      </c>
      <c r="I153" s="9">
        <v>45108</v>
      </c>
      <c r="J153" s="9">
        <v>45473</v>
      </c>
      <c r="K153" t="str">
        <f>IFERROR(INDEX(Crosswalk_API!$H$2:$H$527, MATCH(POP_API_TABLE[[#This Row],[PWSID]], CW_PWSID_LIST, 0)), "")</f>
        <v>No</v>
      </c>
    </row>
    <row r="154" spans="1:11" x14ac:dyDescent="0.25">
      <c r="A154" t="s">
        <v>1226</v>
      </c>
      <c r="B154" t="s">
        <v>1227</v>
      </c>
      <c r="C154" t="s">
        <v>1228</v>
      </c>
      <c r="D154" t="s">
        <v>1229</v>
      </c>
      <c r="E154" t="s">
        <v>698</v>
      </c>
      <c r="F154" s="9">
        <v>44927</v>
      </c>
      <c r="G154" s="9"/>
      <c r="H154">
        <v>1442800</v>
      </c>
      <c r="I154" s="9">
        <v>45108</v>
      </c>
      <c r="J154" s="9">
        <v>45473</v>
      </c>
      <c r="K154" t="str">
        <f>IFERROR(INDEX(Crosswalk_API!$H$2:$H$527, MATCH(POP_API_TABLE[[#This Row],[PWSID]], CW_PWSID_LIST, 0)), "")</f>
        <v>No</v>
      </c>
    </row>
    <row r="155" spans="1:11" x14ac:dyDescent="0.25">
      <c r="A155" t="s">
        <v>1230</v>
      </c>
      <c r="B155" t="s">
        <v>1231</v>
      </c>
      <c r="C155" t="s">
        <v>1232</v>
      </c>
      <c r="D155" t="s">
        <v>1233</v>
      </c>
      <c r="E155" t="s">
        <v>766</v>
      </c>
      <c r="F155" s="9">
        <v>44197</v>
      </c>
      <c r="G155" s="9"/>
      <c r="H155">
        <v>32517</v>
      </c>
      <c r="I155" s="9">
        <v>45108</v>
      </c>
      <c r="J155" s="9">
        <v>45473</v>
      </c>
      <c r="K155" t="str">
        <f>IFERROR(INDEX(Crosswalk_API!$H$2:$H$527, MATCH(POP_API_TABLE[[#This Row],[PWSID]], CW_PWSID_LIST, 0)), "")</f>
        <v>No</v>
      </c>
    </row>
    <row r="156" spans="1:11" x14ac:dyDescent="0.25">
      <c r="A156" t="s">
        <v>1234</v>
      </c>
      <c r="B156" t="s">
        <v>1235</v>
      </c>
      <c r="C156" t="s">
        <v>1236</v>
      </c>
      <c r="D156" t="s">
        <v>1237</v>
      </c>
      <c r="E156" t="s">
        <v>862</v>
      </c>
      <c r="F156" s="9">
        <v>45292</v>
      </c>
      <c r="G156" s="9"/>
      <c r="H156">
        <v>29519</v>
      </c>
      <c r="I156" s="9">
        <v>45108</v>
      </c>
      <c r="J156" s="9">
        <v>45473</v>
      </c>
      <c r="K156" t="str">
        <f>IFERROR(INDEX(Crosswalk_API!$H$2:$H$527, MATCH(POP_API_TABLE[[#This Row],[PWSID]], CW_PWSID_LIST, 0)), "")</f>
        <v>No</v>
      </c>
    </row>
    <row r="157" spans="1:11" x14ac:dyDescent="0.25">
      <c r="A157" t="s">
        <v>1238</v>
      </c>
      <c r="B157" t="s">
        <v>1239</v>
      </c>
      <c r="C157" t="s">
        <v>1240</v>
      </c>
      <c r="D157" t="s">
        <v>1241</v>
      </c>
      <c r="E157" t="s">
        <v>693</v>
      </c>
      <c r="F157" s="9">
        <v>44927</v>
      </c>
      <c r="G157" s="9">
        <v>45657</v>
      </c>
      <c r="H157">
        <v>108600</v>
      </c>
      <c r="I157" s="9">
        <v>45108</v>
      </c>
      <c r="J157" s="9">
        <v>45473</v>
      </c>
      <c r="K157" t="str">
        <f>IFERROR(INDEX(Crosswalk_API!$H$2:$H$527, MATCH(POP_API_TABLE[[#This Row],[PWSID]], CW_PWSID_LIST, 0)), "")</f>
        <v>No</v>
      </c>
    </row>
    <row r="158" spans="1:11" x14ac:dyDescent="0.25">
      <c r="A158" t="s">
        <v>1242</v>
      </c>
      <c r="B158" t="s">
        <v>1243</v>
      </c>
      <c r="C158" t="s">
        <v>1244</v>
      </c>
      <c r="D158" t="s">
        <v>1245</v>
      </c>
      <c r="E158" t="s">
        <v>793</v>
      </c>
      <c r="F158" s="9">
        <v>44927</v>
      </c>
      <c r="G158" s="9">
        <v>45579</v>
      </c>
      <c r="H158">
        <v>651058</v>
      </c>
      <c r="I158" s="9">
        <v>45108</v>
      </c>
      <c r="J158" s="9">
        <v>45473</v>
      </c>
      <c r="K158" t="str">
        <f>IFERROR(INDEX(Crosswalk_API!$H$2:$H$527, MATCH(POP_API_TABLE[[#This Row],[PWSID]], CW_PWSID_LIST, 0)), "")</f>
        <v>No</v>
      </c>
    </row>
    <row r="159" spans="1:11" x14ac:dyDescent="0.25">
      <c r="A159" t="s">
        <v>1246</v>
      </c>
      <c r="B159" t="s">
        <v>1247</v>
      </c>
      <c r="C159" t="s">
        <v>1248</v>
      </c>
      <c r="D159" t="s">
        <v>1249</v>
      </c>
      <c r="E159" t="s">
        <v>841</v>
      </c>
      <c r="F159" s="9">
        <v>44927</v>
      </c>
      <c r="G159" s="9"/>
      <c r="H159">
        <v>44158</v>
      </c>
      <c r="I159" s="9">
        <v>45108</v>
      </c>
      <c r="J159" s="9">
        <v>45473</v>
      </c>
      <c r="K159" t="str">
        <f>IFERROR(INDEX(Crosswalk_API!$H$2:$H$527, MATCH(POP_API_TABLE[[#This Row],[PWSID]], CW_PWSID_LIST, 0)), "")</f>
        <v>No</v>
      </c>
    </row>
    <row r="160" spans="1:11" x14ac:dyDescent="0.25">
      <c r="A160" t="s">
        <v>1250</v>
      </c>
      <c r="B160" t="s">
        <v>1251</v>
      </c>
      <c r="C160" t="s">
        <v>1252</v>
      </c>
      <c r="D160" t="s">
        <v>1253</v>
      </c>
      <c r="E160" t="s">
        <v>1254</v>
      </c>
      <c r="F160" s="9">
        <v>44927</v>
      </c>
      <c r="G160" s="9"/>
      <c r="H160">
        <v>132171</v>
      </c>
      <c r="I160" s="9">
        <v>45108</v>
      </c>
      <c r="J160" s="9">
        <v>45473</v>
      </c>
      <c r="K160" t="str">
        <f>IFERROR(INDEX(Crosswalk_API!$H$2:$H$527, MATCH(POP_API_TABLE[[#This Row],[PWSID]], CW_PWSID_LIST, 0)), "")</f>
        <v>No</v>
      </c>
    </row>
    <row r="161" spans="1:11" x14ac:dyDescent="0.25">
      <c r="A161" t="s">
        <v>1250</v>
      </c>
      <c r="B161" t="s">
        <v>1251</v>
      </c>
      <c r="C161" t="s">
        <v>1255</v>
      </c>
      <c r="D161" t="s">
        <v>1256</v>
      </c>
      <c r="E161" t="s">
        <v>1254</v>
      </c>
      <c r="F161" s="9">
        <v>45292</v>
      </c>
      <c r="G161" s="9"/>
      <c r="H161">
        <v>400</v>
      </c>
      <c r="I161" s="9">
        <v>45108</v>
      </c>
      <c r="J161" s="9">
        <v>45473</v>
      </c>
      <c r="K161" t="str">
        <f>IFERROR(INDEX(Crosswalk_API!$H$2:$H$527, MATCH(POP_API_TABLE[[#This Row],[PWSID]], CW_PWSID_LIST, 0)), "")</f>
        <v>No</v>
      </c>
    </row>
    <row r="162" spans="1:11" x14ac:dyDescent="0.25">
      <c r="A162" t="s">
        <v>1250</v>
      </c>
      <c r="B162" t="s">
        <v>1251</v>
      </c>
      <c r="C162" t="s">
        <v>1257</v>
      </c>
      <c r="D162" t="s">
        <v>1258</v>
      </c>
      <c r="E162" t="s">
        <v>1254</v>
      </c>
      <c r="F162" s="9">
        <v>44562</v>
      </c>
      <c r="G162" s="9"/>
      <c r="H162">
        <v>535</v>
      </c>
      <c r="I162" s="9">
        <v>45108</v>
      </c>
      <c r="J162" s="9">
        <v>45473</v>
      </c>
      <c r="K162" t="str">
        <f>IFERROR(INDEX(Crosswalk_API!$H$2:$H$527, MATCH(POP_API_TABLE[[#This Row],[PWSID]], CW_PWSID_LIST, 0)), "")</f>
        <v>No</v>
      </c>
    </row>
    <row r="163" spans="1:11" x14ac:dyDescent="0.25">
      <c r="A163" t="s">
        <v>1259</v>
      </c>
      <c r="B163" t="s">
        <v>1260</v>
      </c>
      <c r="C163" t="s">
        <v>1261</v>
      </c>
      <c r="D163" t="s">
        <v>1262</v>
      </c>
      <c r="E163" t="s">
        <v>708</v>
      </c>
      <c r="F163" s="9">
        <v>42736</v>
      </c>
      <c r="G163" s="9"/>
      <c r="H163">
        <v>22968</v>
      </c>
      <c r="I163" s="9">
        <v>45108</v>
      </c>
      <c r="J163" s="9">
        <v>45473</v>
      </c>
      <c r="K163" t="str">
        <f>IFERROR(INDEX(Crosswalk_API!$H$2:$H$527, MATCH(POP_API_TABLE[[#This Row],[PWSID]], CW_PWSID_LIST, 0)), "")</f>
        <v>No</v>
      </c>
    </row>
    <row r="164" spans="1:11" x14ac:dyDescent="0.25">
      <c r="A164" t="s">
        <v>1263</v>
      </c>
      <c r="B164" t="s">
        <v>1264</v>
      </c>
      <c r="C164" t="s">
        <v>1265</v>
      </c>
      <c r="D164" t="s">
        <v>1266</v>
      </c>
      <c r="E164" t="s">
        <v>708</v>
      </c>
      <c r="F164" s="9">
        <v>45292</v>
      </c>
      <c r="G164" s="9"/>
      <c r="H164">
        <v>16445</v>
      </c>
      <c r="I164" s="9">
        <v>45108</v>
      </c>
      <c r="J164" s="9">
        <v>45473</v>
      </c>
      <c r="K164" t="str">
        <f>IFERROR(INDEX(Crosswalk_API!$H$2:$H$527, MATCH(POP_API_TABLE[[#This Row],[PWSID]], CW_PWSID_LIST, 0)), "")</f>
        <v>No</v>
      </c>
    </row>
    <row r="165" spans="1:11" x14ac:dyDescent="0.25">
      <c r="A165" t="s">
        <v>1267</v>
      </c>
      <c r="B165" t="s">
        <v>1268</v>
      </c>
      <c r="C165" t="s">
        <v>1269</v>
      </c>
      <c r="D165" t="s">
        <v>1270</v>
      </c>
      <c r="E165" t="s">
        <v>731</v>
      </c>
      <c r="F165" s="9">
        <v>45292</v>
      </c>
      <c r="G165" s="9"/>
      <c r="H165">
        <v>51800</v>
      </c>
      <c r="I165" s="9">
        <v>45108</v>
      </c>
      <c r="J165" s="9">
        <v>45473</v>
      </c>
      <c r="K165" t="str">
        <f>IFERROR(INDEX(Crosswalk_API!$H$2:$H$527, MATCH(POP_API_TABLE[[#This Row],[PWSID]], CW_PWSID_LIST, 0)), "")</f>
        <v>No</v>
      </c>
    </row>
    <row r="166" spans="1:11" x14ac:dyDescent="0.25">
      <c r="A166" t="s">
        <v>1271</v>
      </c>
      <c r="B166" t="s">
        <v>1272</v>
      </c>
      <c r="C166" t="s">
        <v>1273</v>
      </c>
      <c r="D166" t="s">
        <v>1274</v>
      </c>
      <c r="E166" t="s">
        <v>913</v>
      </c>
      <c r="F166" s="9">
        <v>45372</v>
      </c>
      <c r="G166" s="9"/>
      <c r="H166">
        <v>43813</v>
      </c>
      <c r="I166" s="9">
        <v>45108</v>
      </c>
      <c r="J166" s="9">
        <v>45473</v>
      </c>
      <c r="K166" t="str">
        <f>IFERROR(INDEX(Crosswalk_API!$H$2:$H$527, MATCH(POP_API_TABLE[[#This Row],[PWSID]], CW_PWSID_LIST, 0)), "")</f>
        <v>No</v>
      </c>
    </row>
    <row r="167" spans="1:11" x14ac:dyDescent="0.25">
      <c r="A167" t="s">
        <v>1275</v>
      </c>
      <c r="B167" t="s">
        <v>1276</v>
      </c>
      <c r="C167" t="s">
        <v>1277</v>
      </c>
      <c r="D167" t="s">
        <v>1278</v>
      </c>
      <c r="E167" t="s">
        <v>793</v>
      </c>
      <c r="F167" s="9">
        <v>44562</v>
      </c>
      <c r="G167" s="9"/>
      <c r="H167">
        <v>165586</v>
      </c>
      <c r="I167" s="9">
        <v>45108</v>
      </c>
      <c r="J167" s="9">
        <v>45473</v>
      </c>
      <c r="K167" t="str">
        <f>IFERROR(INDEX(Crosswalk_API!$H$2:$H$527, MATCH(POP_API_TABLE[[#This Row],[PWSID]], CW_PWSID_LIST, 0)), "")</f>
        <v>No</v>
      </c>
    </row>
    <row r="168" spans="1:11" x14ac:dyDescent="0.25">
      <c r="A168" t="s">
        <v>1279</v>
      </c>
      <c r="B168" t="s">
        <v>1280</v>
      </c>
      <c r="C168" t="s">
        <v>1281</v>
      </c>
      <c r="D168" t="s">
        <v>1282</v>
      </c>
      <c r="E168" t="s">
        <v>937</v>
      </c>
      <c r="F168" s="9">
        <v>41877</v>
      </c>
      <c r="G168" s="9"/>
      <c r="H168">
        <v>137941</v>
      </c>
      <c r="I168" s="9">
        <v>45108</v>
      </c>
      <c r="J168" s="9">
        <v>45473</v>
      </c>
      <c r="K168" t="str">
        <f>IFERROR(INDEX(Crosswalk_API!$H$2:$H$527, MATCH(POP_API_TABLE[[#This Row],[PWSID]], CW_PWSID_LIST, 0)), "")</f>
        <v>No</v>
      </c>
    </row>
    <row r="169" spans="1:11" x14ac:dyDescent="0.25">
      <c r="A169" t="s">
        <v>1283</v>
      </c>
      <c r="B169" t="s">
        <v>1284</v>
      </c>
      <c r="C169" t="s">
        <v>1285</v>
      </c>
      <c r="D169" t="s">
        <v>1286</v>
      </c>
      <c r="E169" t="s">
        <v>862</v>
      </c>
      <c r="F169" s="9">
        <v>45292</v>
      </c>
      <c r="G169" s="9"/>
      <c r="H169">
        <v>36556</v>
      </c>
      <c r="I169" s="9">
        <v>45108</v>
      </c>
      <c r="J169" s="9">
        <v>45473</v>
      </c>
      <c r="K169" t="str">
        <f>IFERROR(INDEX(Crosswalk_API!$H$2:$H$527, MATCH(POP_API_TABLE[[#This Row],[PWSID]], CW_PWSID_LIST, 0)), "")</f>
        <v>No</v>
      </c>
    </row>
    <row r="170" spans="1:11" x14ac:dyDescent="0.25">
      <c r="A170" t="s">
        <v>1287</v>
      </c>
      <c r="B170" t="s">
        <v>1288</v>
      </c>
      <c r="C170" t="s">
        <v>1289</v>
      </c>
      <c r="D170" t="s">
        <v>1290</v>
      </c>
      <c r="E170" t="s">
        <v>754</v>
      </c>
      <c r="F170" s="9">
        <v>45292</v>
      </c>
      <c r="G170" s="9"/>
      <c r="H170">
        <v>27078</v>
      </c>
      <c r="I170" s="9">
        <v>45108</v>
      </c>
      <c r="J170" s="9">
        <v>45473</v>
      </c>
      <c r="K170" t="str">
        <f>IFERROR(INDEX(Crosswalk_API!$H$2:$H$527, MATCH(POP_API_TABLE[[#This Row],[PWSID]], CW_PWSID_LIST, 0)), "")</f>
        <v>No</v>
      </c>
    </row>
    <row r="171" spans="1:11" x14ac:dyDescent="0.25">
      <c r="A171" t="s">
        <v>1291</v>
      </c>
      <c r="B171" t="s">
        <v>1292</v>
      </c>
      <c r="C171" t="s">
        <v>1293</v>
      </c>
      <c r="D171" t="s">
        <v>1294</v>
      </c>
      <c r="E171" t="s">
        <v>1056</v>
      </c>
      <c r="F171" s="9">
        <v>44925</v>
      </c>
      <c r="G171" s="9"/>
      <c r="H171">
        <v>11169</v>
      </c>
      <c r="I171" s="9">
        <v>45108</v>
      </c>
      <c r="J171" s="9">
        <v>45473</v>
      </c>
      <c r="K171" t="str">
        <f>IFERROR(INDEX(Crosswalk_API!$H$2:$H$527, MATCH(POP_API_TABLE[[#This Row],[PWSID]], CW_PWSID_LIST, 0)), "")</f>
        <v>No</v>
      </c>
    </row>
    <row r="172" spans="1:11" x14ac:dyDescent="0.25">
      <c r="A172" t="s">
        <v>1295</v>
      </c>
      <c r="B172" t="s">
        <v>1296</v>
      </c>
      <c r="C172" t="s">
        <v>1297</v>
      </c>
      <c r="D172" t="s">
        <v>1298</v>
      </c>
      <c r="E172" t="s">
        <v>913</v>
      </c>
      <c r="F172" s="9">
        <v>42129</v>
      </c>
      <c r="G172" s="9"/>
      <c r="H172">
        <v>36226</v>
      </c>
      <c r="I172" s="9">
        <v>45108</v>
      </c>
      <c r="J172" s="9">
        <v>45473</v>
      </c>
      <c r="K172" t="str">
        <f>IFERROR(INDEX(Crosswalk_API!$H$2:$H$527, MATCH(POP_API_TABLE[[#This Row],[PWSID]], CW_PWSID_LIST, 0)), "")</f>
        <v>No</v>
      </c>
    </row>
    <row r="173" spans="1:11" x14ac:dyDescent="0.25">
      <c r="A173" t="s">
        <v>1299</v>
      </c>
      <c r="B173" t="s">
        <v>1300</v>
      </c>
      <c r="C173" t="s">
        <v>1301</v>
      </c>
      <c r="D173" t="s">
        <v>1302</v>
      </c>
      <c r="E173" t="s">
        <v>814</v>
      </c>
      <c r="F173" s="9">
        <v>44811</v>
      </c>
      <c r="G173" s="9"/>
      <c r="H173">
        <v>120377</v>
      </c>
      <c r="I173" s="9">
        <v>45108</v>
      </c>
      <c r="J173" s="9">
        <v>45473</v>
      </c>
      <c r="K173" t="str">
        <f>IFERROR(INDEX(Crosswalk_API!$H$2:$H$527, MATCH(POP_API_TABLE[[#This Row],[PWSID]], CW_PWSID_LIST, 0)), "")</f>
        <v>No</v>
      </c>
    </row>
    <row r="174" spans="1:11" x14ac:dyDescent="0.25">
      <c r="A174" t="s">
        <v>1303</v>
      </c>
      <c r="B174" t="s">
        <v>1304</v>
      </c>
      <c r="C174" t="s">
        <v>1305</v>
      </c>
      <c r="D174" t="s">
        <v>1306</v>
      </c>
      <c r="E174" t="s">
        <v>937</v>
      </c>
      <c r="F174" s="9">
        <v>44111</v>
      </c>
      <c r="G174" s="9"/>
      <c r="H174">
        <v>35237</v>
      </c>
      <c r="I174" s="9">
        <v>45108</v>
      </c>
      <c r="J174" s="9">
        <v>45473</v>
      </c>
      <c r="K174" t="str">
        <f>IFERROR(INDEX(Crosswalk_API!$H$2:$H$527, MATCH(POP_API_TABLE[[#This Row],[PWSID]], CW_PWSID_LIST, 0)), "")</f>
        <v>No</v>
      </c>
    </row>
    <row r="175" spans="1:11" x14ac:dyDescent="0.25">
      <c r="A175" t="s">
        <v>1307</v>
      </c>
      <c r="B175" t="s">
        <v>1308</v>
      </c>
      <c r="C175" t="s">
        <v>1309</v>
      </c>
      <c r="D175" t="s">
        <v>1310</v>
      </c>
      <c r="E175" t="s">
        <v>942</v>
      </c>
      <c r="F175" s="9">
        <v>45292</v>
      </c>
      <c r="G175" s="9"/>
      <c r="H175">
        <v>16419</v>
      </c>
      <c r="I175" s="9">
        <v>45108</v>
      </c>
      <c r="J175" s="9">
        <v>45473</v>
      </c>
      <c r="K175" t="str">
        <f>IFERROR(INDEX(Crosswalk_API!$H$2:$H$527, MATCH(POP_API_TABLE[[#This Row],[PWSID]], CW_PWSID_LIST, 0)), "")</f>
        <v>No</v>
      </c>
    </row>
    <row r="176" spans="1:11" x14ac:dyDescent="0.25">
      <c r="A176" t="s">
        <v>1311</v>
      </c>
      <c r="B176" t="s">
        <v>1312</v>
      </c>
      <c r="C176" t="s">
        <v>1313</v>
      </c>
      <c r="D176" t="s">
        <v>1314</v>
      </c>
      <c r="E176" t="s">
        <v>913</v>
      </c>
      <c r="F176" s="9">
        <v>43465</v>
      </c>
      <c r="G176" s="9"/>
      <c r="H176">
        <v>80969</v>
      </c>
      <c r="I176" s="9">
        <v>45108</v>
      </c>
      <c r="J176" s="9">
        <v>45473</v>
      </c>
      <c r="K176" t="str">
        <f>IFERROR(INDEX(Crosswalk_API!$H$2:$H$527, MATCH(POP_API_TABLE[[#This Row],[PWSID]], CW_PWSID_LIST, 0)), "")</f>
        <v>No</v>
      </c>
    </row>
    <row r="177" spans="1:11" x14ac:dyDescent="0.25">
      <c r="A177" t="s">
        <v>1311</v>
      </c>
      <c r="B177" t="s">
        <v>1312</v>
      </c>
      <c r="C177" t="s">
        <v>1315</v>
      </c>
      <c r="D177" t="s">
        <v>1316</v>
      </c>
      <c r="E177" t="s">
        <v>913</v>
      </c>
      <c r="F177" s="9">
        <v>43593</v>
      </c>
      <c r="G177" s="9"/>
      <c r="H177">
        <v>3317</v>
      </c>
      <c r="I177" s="9">
        <v>45108</v>
      </c>
      <c r="J177" s="9">
        <v>45473</v>
      </c>
      <c r="K177" t="str">
        <f>IFERROR(INDEX(Crosswalk_API!$H$2:$H$527, MATCH(POP_API_TABLE[[#This Row],[PWSID]], CW_PWSID_LIST, 0)), "")</f>
        <v>No</v>
      </c>
    </row>
    <row r="178" spans="1:11" x14ac:dyDescent="0.25">
      <c r="A178" t="s">
        <v>1317</v>
      </c>
      <c r="B178" t="s">
        <v>1318</v>
      </c>
      <c r="C178" t="s">
        <v>1319</v>
      </c>
      <c r="D178" t="s">
        <v>1320</v>
      </c>
      <c r="E178" t="s">
        <v>754</v>
      </c>
      <c r="F178" s="9">
        <v>45292</v>
      </c>
      <c r="G178" s="9"/>
      <c r="H178">
        <v>12133</v>
      </c>
      <c r="I178" s="9">
        <v>45108</v>
      </c>
      <c r="J178" s="9">
        <v>45473</v>
      </c>
      <c r="K178" t="str">
        <f>IFERROR(INDEX(Crosswalk_API!$H$2:$H$527, MATCH(POP_API_TABLE[[#This Row],[PWSID]], CW_PWSID_LIST, 0)), "")</f>
        <v>No</v>
      </c>
    </row>
    <row r="179" spans="1:11" x14ac:dyDescent="0.25">
      <c r="A179" t="s">
        <v>1321</v>
      </c>
      <c r="B179" t="s">
        <v>1322</v>
      </c>
      <c r="C179" t="s">
        <v>1323</v>
      </c>
      <c r="D179" t="s">
        <v>1324</v>
      </c>
      <c r="E179" t="s">
        <v>731</v>
      </c>
      <c r="F179" s="9">
        <v>43441</v>
      </c>
      <c r="G179" s="9"/>
      <c r="H179">
        <v>56747</v>
      </c>
      <c r="I179" s="9">
        <v>45108</v>
      </c>
      <c r="J179" s="9">
        <v>45473</v>
      </c>
      <c r="K179" t="str">
        <f>IFERROR(INDEX(Crosswalk_API!$H$2:$H$527, MATCH(POP_API_TABLE[[#This Row],[PWSID]], CW_PWSID_LIST, 0)), "")</f>
        <v>No</v>
      </c>
    </row>
    <row r="180" spans="1:11" x14ac:dyDescent="0.25">
      <c r="A180" t="s">
        <v>1325</v>
      </c>
      <c r="B180" t="s">
        <v>1326</v>
      </c>
      <c r="C180" t="s">
        <v>1327</v>
      </c>
      <c r="D180" t="s">
        <v>1328</v>
      </c>
      <c r="E180" t="s">
        <v>788</v>
      </c>
      <c r="F180" s="9">
        <v>45126</v>
      </c>
      <c r="G180" s="9"/>
      <c r="H180">
        <v>545716</v>
      </c>
      <c r="I180" s="9">
        <v>45108</v>
      </c>
      <c r="J180" s="9">
        <v>45473</v>
      </c>
      <c r="K180" t="str">
        <f>IFERROR(INDEX(Crosswalk_API!$H$2:$H$527, MATCH(POP_API_TABLE[[#This Row],[PWSID]], CW_PWSID_LIST, 0)), "")</f>
        <v>No</v>
      </c>
    </row>
    <row r="181" spans="1:11" x14ac:dyDescent="0.25">
      <c r="A181" t="s">
        <v>1329</v>
      </c>
      <c r="B181" t="s">
        <v>1330</v>
      </c>
      <c r="C181" t="s">
        <v>1331</v>
      </c>
      <c r="D181" t="s">
        <v>1332</v>
      </c>
      <c r="E181" t="s">
        <v>731</v>
      </c>
      <c r="F181" s="9">
        <v>44927</v>
      </c>
      <c r="G181" s="9"/>
      <c r="H181">
        <v>141874</v>
      </c>
      <c r="I181" s="9">
        <v>45108</v>
      </c>
      <c r="J181" s="9">
        <v>45473</v>
      </c>
      <c r="K181" t="str">
        <f>IFERROR(INDEX(Crosswalk_API!$H$2:$H$527, MATCH(POP_API_TABLE[[#This Row],[PWSID]], CW_PWSID_LIST, 0)), "")</f>
        <v>No</v>
      </c>
    </row>
    <row r="182" spans="1:11" x14ac:dyDescent="0.25">
      <c r="A182" t="s">
        <v>1333</v>
      </c>
      <c r="B182" t="s">
        <v>1334</v>
      </c>
      <c r="C182" t="s">
        <v>1335</v>
      </c>
      <c r="D182" t="s">
        <v>1336</v>
      </c>
      <c r="E182" t="s">
        <v>913</v>
      </c>
      <c r="F182" s="9">
        <v>45292</v>
      </c>
      <c r="G182" s="9"/>
      <c r="H182">
        <v>26536</v>
      </c>
      <c r="I182" s="9">
        <v>45108</v>
      </c>
      <c r="J182" s="9">
        <v>45473</v>
      </c>
      <c r="K182" t="str">
        <f>IFERROR(INDEX(Crosswalk_API!$H$2:$H$527, MATCH(POP_API_TABLE[[#This Row],[PWSID]], CW_PWSID_LIST, 0)), "")</f>
        <v>No</v>
      </c>
    </row>
    <row r="183" spans="1:11" x14ac:dyDescent="0.25">
      <c r="A183" t="s">
        <v>1337</v>
      </c>
      <c r="B183" t="s">
        <v>1338</v>
      </c>
      <c r="C183" t="s">
        <v>1339</v>
      </c>
      <c r="D183" t="s">
        <v>1340</v>
      </c>
      <c r="E183" t="s">
        <v>731</v>
      </c>
      <c r="F183" s="9">
        <v>43441</v>
      </c>
      <c r="G183" s="9"/>
      <c r="H183">
        <v>174226</v>
      </c>
      <c r="I183" s="9">
        <v>45108</v>
      </c>
      <c r="J183" s="9">
        <v>45473</v>
      </c>
      <c r="K183" t="str">
        <f>IFERROR(INDEX(Crosswalk_API!$H$2:$H$527, MATCH(POP_API_TABLE[[#This Row],[PWSID]], CW_PWSID_LIST, 0)), "")</f>
        <v>No</v>
      </c>
    </row>
    <row r="184" spans="1:11" x14ac:dyDescent="0.25">
      <c r="A184" t="s">
        <v>1341</v>
      </c>
      <c r="B184" t="s">
        <v>1342</v>
      </c>
      <c r="C184" t="s">
        <v>1343</v>
      </c>
      <c r="D184" t="s">
        <v>1344</v>
      </c>
      <c r="E184" t="s">
        <v>1254</v>
      </c>
      <c r="F184" s="9">
        <v>45292</v>
      </c>
      <c r="G184" s="9"/>
      <c r="H184">
        <v>9434</v>
      </c>
      <c r="I184" s="9">
        <v>45108</v>
      </c>
      <c r="J184" s="9">
        <v>45473</v>
      </c>
      <c r="K184" t="str">
        <f>IFERROR(INDEX(Crosswalk_API!$H$2:$H$527, MATCH(POP_API_TABLE[[#This Row],[PWSID]], CW_PWSID_LIST, 0)), "")</f>
        <v>No</v>
      </c>
    </row>
    <row r="185" spans="1:11" x14ac:dyDescent="0.25">
      <c r="A185" t="s">
        <v>1345</v>
      </c>
      <c r="B185" t="s">
        <v>1346</v>
      </c>
      <c r="C185" t="s">
        <v>1347</v>
      </c>
      <c r="D185" t="s">
        <v>1348</v>
      </c>
      <c r="E185" t="s">
        <v>1007</v>
      </c>
      <c r="F185" s="9">
        <v>45292</v>
      </c>
      <c r="G185" s="9"/>
      <c r="H185">
        <v>58108</v>
      </c>
      <c r="I185" s="9">
        <v>45108</v>
      </c>
      <c r="J185" s="9">
        <v>45473</v>
      </c>
      <c r="K185" t="str">
        <f>IFERROR(INDEX(Crosswalk_API!$H$2:$H$527, MATCH(POP_API_TABLE[[#This Row],[PWSID]], CW_PWSID_LIST, 0)), "")</f>
        <v>No</v>
      </c>
    </row>
    <row r="186" spans="1:11" x14ac:dyDescent="0.25">
      <c r="A186" t="s">
        <v>1349</v>
      </c>
      <c r="B186" t="s">
        <v>1350</v>
      </c>
      <c r="C186" t="s">
        <v>1351</v>
      </c>
      <c r="D186" t="s">
        <v>1352</v>
      </c>
      <c r="E186" t="s">
        <v>708</v>
      </c>
      <c r="F186" s="9">
        <v>44927</v>
      </c>
      <c r="G186" s="9"/>
      <c r="H186">
        <v>188784</v>
      </c>
      <c r="I186" s="9">
        <v>45108</v>
      </c>
      <c r="J186" s="9">
        <v>45473</v>
      </c>
      <c r="K186" t="str">
        <f>IFERROR(INDEX(Crosswalk_API!$H$2:$H$527, MATCH(POP_API_TABLE[[#This Row],[PWSID]], CW_PWSID_LIST, 0)), "")</f>
        <v>No</v>
      </c>
    </row>
    <row r="187" spans="1:11" x14ac:dyDescent="0.25">
      <c r="A187" t="s">
        <v>1353</v>
      </c>
      <c r="B187" t="s">
        <v>1354</v>
      </c>
      <c r="C187" t="s">
        <v>1355</v>
      </c>
      <c r="D187" t="s">
        <v>1356</v>
      </c>
      <c r="E187" t="s">
        <v>708</v>
      </c>
      <c r="F187" s="9">
        <v>44562</v>
      </c>
      <c r="G187" s="9">
        <v>45657</v>
      </c>
      <c r="H187">
        <v>52558</v>
      </c>
      <c r="I187" s="9">
        <v>45108</v>
      </c>
      <c r="J187" s="9">
        <v>45473</v>
      </c>
      <c r="K187" t="str">
        <f>IFERROR(INDEX(Crosswalk_API!$H$2:$H$527, MATCH(POP_API_TABLE[[#This Row],[PWSID]], CW_PWSID_LIST, 0)), "")</f>
        <v>No</v>
      </c>
    </row>
    <row r="188" spans="1:11" x14ac:dyDescent="0.25">
      <c r="A188" t="s">
        <v>1357</v>
      </c>
      <c r="B188" t="s">
        <v>1358</v>
      </c>
      <c r="C188" t="s">
        <v>1359</v>
      </c>
      <c r="D188" t="s">
        <v>1360</v>
      </c>
      <c r="E188" t="s">
        <v>708</v>
      </c>
      <c r="F188" s="9">
        <v>45292</v>
      </c>
      <c r="G188" s="9"/>
      <c r="H188">
        <v>50375</v>
      </c>
      <c r="I188" s="9">
        <v>45108</v>
      </c>
      <c r="J188" s="9">
        <v>45473</v>
      </c>
      <c r="K188" t="str">
        <f>IFERROR(INDEX(Crosswalk_API!$H$2:$H$527, MATCH(POP_API_TABLE[[#This Row],[PWSID]], CW_PWSID_LIST, 0)), "")</f>
        <v>No</v>
      </c>
    </row>
    <row r="189" spans="1:11" x14ac:dyDescent="0.25">
      <c r="A189" t="s">
        <v>1361</v>
      </c>
      <c r="B189" t="s">
        <v>1362</v>
      </c>
      <c r="C189" t="s">
        <v>1363</v>
      </c>
      <c r="D189" t="s">
        <v>1364</v>
      </c>
      <c r="E189" t="s">
        <v>693</v>
      </c>
      <c r="F189" s="9">
        <v>44927</v>
      </c>
      <c r="G189" s="9">
        <v>45657</v>
      </c>
      <c r="H189">
        <v>32661</v>
      </c>
      <c r="I189" s="9">
        <v>45108</v>
      </c>
      <c r="J189" s="9">
        <v>45473</v>
      </c>
      <c r="K189" t="str">
        <f>IFERROR(INDEX(Crosswalk_API!$H$2:$H$527, MATCH(POP_API_TABLE[[#This Row],[PWSID]], CW_PWSID_LIST, 0)), "")</f>
        <v>No</v>
      </c>
    </row>
    <row r="190" spans="1:11" x14ac:dyDescent="0.25">
      <c r="A190" t="s">
        <v>1365</v>
      </c>
      <c r="B190" t="s">
        <v>1366</v>
      </c>
      <c r="C190" t="s">
        <v>1367</v>
      </c>
      <c r="D190" t="s">
        <v>1368</v>
      </c>
      <c r="E190" t="s">
        <v>741</v>
      </c>
      <c r="F190" s="9">
        <v>43101</v>
      </c>
      <c r="G190" s="9"/>
      <c r="H190">
        <v>23731</v>
      </c>
      <c r="I190" s="9">
        <v>45108</v>
      </c>
      <c r="J190" s="9">
        <v>45473</v>
      </c>
      <c r="K190" t="str">
        <f>IFERROR(INDEX(Crosswalk_API!$H$2:$H$527, MATCH(POP_API_TABLE[[#This Row],[PWSID]], CW_PWSID_LIST, 0)), "")</f>
        <v>No</v>
      </c>
    </row>
    <row r="191" spans="1:11" x14ac:dyDescent="0.25">
      <c r="A191" t="s">
        <v>1369</v>
      </c>
      <c r="B191" t="s">
        <v>1370</v>
      </c>
      <c r="C191" t="s">
        <v>1371</v>
      </c>
      <c r="D191" t="s">
        <v>1372</v>
      </c>
      <c r="E191" t="s">
        <v>708</v>
      </c>
      <c r="F191" s="9">
        <v>45292</v>
      </c>
      <c r="G191" s="9"/>
      <c r="H191">
        <v>54877</v>
      </c>
      <c r="I191" s="9">
        <v>45108</v>
      </c>
      <c r="J191" s="9">
        <v>45473</v>
      </c>
      <c r="K191" t="str">
        <f>IFERROR(INDEX(Crosswalk_API!$H$2:$H$527, MATCH(POP_API_TABLE[[#This Row],[PWSID]], CW_PWSID_LIST, 0)), "")</f>
        <v>No</v>
      </c>
    </row>
    <row r="192" spans="1:11" x14ac:dyDescent="0.25">
      <c r="A192" t="s">
        <v>1373</v>
      </c>
      <c r="B192" t="s">
        <v>1374</v>
      </c>
      <c r="C192" t="s">
        <v>1375</v>
      </c>
      <c r="D192" t="s">
        <v>1376</v>
      </c>
      <c r="E192" t="s">
        <v>708</v>
      </c>
      <c r="F192" s="9">
        <v>45292</v>
      </c>
      <c r="G192" s="9">
        <v>45657</v>
      </c>
      <c r="H192">
        <v>39566</v>
      </c>
      <c r="I192" s="9">
        <v>45108</v>
      </c>
      <c r="J192" s="9">
        <v>45473</v>
      </c>
      <c r="K192" t="str">
        <f>IFERROR(INDEX(Crosswalk_API!$H$2:$H$527, MATCH(POP_API_TABLE[[#This Row],[PWSID]], CW_PWSID_LIST, 0)), "")</f>
        <v>No</v>
      </c>
    </row>
    <row r="193" spans="1:11" x14ac:dyDescent="0.25">
      <c r="A193" t="s">
        <v>1377</v>
      </c>
      <c r="B193" t="s">
        <v>1378</v>
      </c>
      <c r="C193" t="s">
        <v>1379</v>
      </c>
      <c r="D193" t="s">
        <v>1380</v>
      </c>
      <c r="E193" t="s">
        <v>913</v>
      </c>
      <c r="F193" s="9">
        <v>45414</v>
      </c>
      <c r="G193" s="9">
        <v>45748</v>
      </c>
      <c r="H193">
        <v>47106</v>
      </c>
      <c r="I193" s="9">
        <v>45108</v>
      </c>
      <c r="J193" s="9">
        <v>45473</v>
      </c>
      <c r="K193" t="str">
        <f>IFERROR(INDEX(Crosswalk_API!$H$2:$H$527, MATCH(POP_API_TABLE[[#This Row],[PWSID]], CW_PWSID_LIST, 0)), "")</f>
        <v>No</v>
      </c>
    </row>
    <row r="194" spans="1:11" x14ac:dyDescent="0.25">
      <c r="A194" t="s">
        <v>1381</v>
      </c>
      <c r="B194" t="s">
        <v>1382</v>
      </c>
      <c r="C194" t="s">
        <v>1383</v>
      </c>
      <c r="D194" t="s">
        <v>1384</v>
      </c>
      <c r="E194" t="s">
        <v>708</v>
      </c>
      <c r="F194" s="9">
        <v>45292</v>
      </c>
      <c r="G194" s="9"/>
      <c r="H194">
        <v>38213</v>
      </c>
      <c r="I194" s="9">
        <v>45108</v>
      </c>
      <c r="J194" s="9">
        <v>45473</v>
      </c>
      <c r="K194" t="str">
        <f>IFERROR(INDEX(Crosswalk_API!$H$2:$H$527, MATCH(POP_API_TABLE[[#This Row],[PWSID]], CW_PWSID_LIST, 0)), "")</f>
        <v>No</v>
      </c>
    </row>
    <row r="195" spans="1:11" x14ac:dyDescent="0.25">
      <c r="A195" t="s">
        <v>1385</v>
      </c>
      <c r="B195" t="s">
        <v>1386</v>
      </c>
      <c r="C195" t="s">
        <v>1387</v>
      </c>
      <c r="D195" t="s">
        <v>1388</v>
      </c>
      <c r="E195" t="s">
        <v>708</v>
      </c>
      <c r="F195" s="9">
        <v>45292</v>
      </c>
      <c r="G195" s="9"/>
      <c r="H195">
        <v>63500</v>
      </c>
      <c r="I195" s="9">
        <v>45108</v>
      </c>
      <c r="J195" s="9">
        <v>45473</v>
      </c>
      <c r="K195" t="str">
        <f>IFERROR(INDEX(Crosswalk_API!$H$2:$H$527, MATCH(POP_API_TABLE[[#This Row],[PWSID]], CW_PWSID_LIST, 0)), "")</f>
        <v>No</v>
      </c>
    </row>
    <row r="196" spans="1:11" x14ac:dyDescent="0.25">
      <c r="A196" t="s">
        <v>1389</v>
      </c>
      <c r="B196" t="s">
        <v>1390</v>
      </c>
      <c r="C196" t="s">
        <v>1391</v>
      </c>
      <c r="D196" t="s">
        <v>1392</v>
      </c>
      <c r="E196" t="s">
        <v>708</v>
      </c>
      <c r="F196" s="9">
        <v>45292</v>
      </c>
      <c r="G196" s="9"/>
      <c r="H196">
        <v>43176</v>
      </c>
      <c r="I196" s="9">
        <v>45108</v>
      </c>
      <c r="J196" s="9">
        <v>45473</v>
      </c>
      <c r="K196" t="str">
        <f>IFERROR(INDEX(Crosswalk_API!$H$2:$H$527, MATCH(POP_API_TABLE[[#This Row],[PWSID]], CW_PWSID_LIST, 0)), "")</f>
        <v>No</v>
      </c>
    </row>
    <row r="197" spans="1:11" x14ac:dyDescent="0.25">
      <c r="A197" t="s">
        <v>1393</v>
      </c>
      <c r="B197" t="s">
        <v>1394</v>
      </c>
      <c r="C197" t="s">
        <v>1395</v>
      </c>
      <c r="D197" t="s">
        <v>1396</v>
      </c>
      <c r="E197" t="s">
        <v>1089</v>
      </c>
      <c r="F197" s="9">
        <v>44927</v>
      </c>
      <c r="G197" s="9"/>
      <c r="H197">
        <v>34102</v>
      </c>
      <c r="I197" s="9">
        <v>45108</v>
      </c>
      <c r="J197" s="9">
        <v>45473</v>
      </c>
      <c r="K197" t="str">
        <f>IFERROR(INDEX(Crosswalk_API!$H$2:$H$527, MATCH(POP_API_TABLE[[#This Row],[PWSID]], CW_PWSID_LIST, 0)), "")</f>
        <v>No</v>
      </c>
    </row>
    <row r="198" spans="1:11" x14ac:dyDescent="0.25">
      <c r="A198" t="s">
        <v>1397</v>
      </c>
      <c r="B198" t="s">
        <v>1398</v>
      </c>
      <c r="C198" t="s">
        <v>1399</v>
      </c>
      <c r="D198" t="s">
        <v>1400</v>
      </c>
      <c r="E198" t="s">
        <v>731</v>
      </c>
      <c r="F198" s="9">
        <v>45292</v>
      </c>
      <c r="G198" s="9"/>
      <c r="H198">
        <v>50196</v>
      </c>
      <c r="I198" s="9">
        <v>45108</v>
      </c>
      <c r="J198" s="9">
        <v>45473</v>
      </c>
      <c r="K198" t="str">
        <f>IFERROR(INDEX(Crosswalk_API!$H$2:$H$527, MATCH(POP_API_TABLE[[#This Row],[PWSID]], CW_PWSID_LIST, 0)), "")</f>
        <v>No</v>
      </c>
    </row>
    <row r="199" spans="1:11" x14ac:dyDescent="0.25">
      <c r="A199" t="s">
        <v>1401</v>
      </c>
      <c r="B199" t="s">
        <v>1402</v>
      </c>
      <c r="C199" t="s">
        <v>1403</v>
      </c>
      <c r="D199" t="s">
        <v>1404</v>
      </c>
      <c r="E199" t="s">
        <v>708</v>
      </c>
      <c r="F199" s="9">
        <v>45292</v>
      </c>
      <c r="G199" s="9">
        <v>45657</v>
      </c>
      <c r="H199">
        <v>56512</v>
      </c>
      <c r="I199" s="9">
        <v>45108</v>
      </c>
      <c r="J199" s="9">
        <v>45473</v>
      </c>
      <c r="K199" t="str">
        <f>IFERROR(INDEX(Crosswalk_API!$H$2:$H$527, MATCH(POP_API_TABLE[[#This Row],[PWSID]], CW_PWSID_LIST, 0)), "")</f>
        <v>No</v>
      </c>
    </row>
    <row r="200" spans="1:11" x14ac:dyDescent="0.25">
      <c r="A200" t="s">
        <v>1405</v>
      </c>
      <c r="B200" t="s">
        <v>1406</v>
      </c>
      <c r="C200" t="s">
        <v>1407</v>
      </c>
      <c r="D200" t="s">
        <v>1408</v>
      </c>
      <c r="E200" t="s">
        <v>942</v>
      </c>
      <c r="F200" s="9">
        <v>44927</v>
      </c>
      <c r="G200" s="9"/>
      <c r="H200">
        <v>45128</v>
      </c>
      <c r="I200" s="9">
        <v>45108</v>
      </c>
      <c r="J200" s="9">
        <v>45473</v>
      </c>
      <c r="K200" t="str">
        <f>IFERROR(INDEX(Crosswalk_API!$H$2:$H$527, MATCH(POP_API_TABLE[[#This Row],[PWSID]], CW_PWSID_LIST, 0)), "")</f>
        <v>No</v>
      </c>
    </row>
    <row r="201" spans="1:11" x14ac:dyDescent="0.25">
      <c r="A201" t="s">
        <v>1409</v>
      </c>
      <c r="B201" t="s">
        <v>1410</v>
      </c>
      <c r="C201" t="s">
        <v>1411</v>
      </c>
      <c r="D201" t="s">
        <v>1412</v>
      </c>
      <c r="E201" t="s">
        <v>708</v>
      </c>
      <c r="F201" s="9">
        <v>45292</v>
      </c>
      <c r="G201" s="9">
        <v>45657</v>
      </c>
      <c r="H201">
        <v>26803</v>
      </c>
      <c r="I201" s="9">
        <v>45108</v>
      </c>
      <c r="J201" s="9">
        <v>45473</v>
      </c>
      <c r="K201" t="str">
        <f>IFERROR(INDEX(Crosswalk_API!$H$2:$H$527, MATCH(POP_API_TABLE[[#This Row],[PWSID]], CW_PWSID_LIST, 0)), "")</f>
        <v>No</v>
      </c>
    </row>
    <row r="202" spans="1:11" x14ac:dyDescent="0.25">
      <c r="A202" t="s">
        <v>1413</v>
      </c>
      <c r="B202" t="s">
        <v>1414</v>
      </c>
      <c r="C202" t="s">
        <v>1415</v>
      </c>
      <c r="D202" t="s">
        <v>1416</v>
      </c>
      <c r="E202" t="s">
        <v>708</v>
      </c>
      <c r="F202" s="9">
        <v>45292</v>
      </c>
      <c r="G202" s="9">
        <v>45657</v>
      </c>
      <c r="H202">
        <v>26074</v>
      </c>
      <c r="I202" s="9">
        <v>45108</v>
      </c>
      <c r="J202" s="9">
        <v>45473</v>
      </c>
      <c r="K202" t="str">
        <f>IFERROR(INDEX(Crosswalk_API!$H$2:$H$527, MATCH(POP_API_TABLE[[#This Row],[PWSID]], CW_PWSID_LIST, 0)), "")</f>
        <v>No</v>
      </c>
    </row>
    <row r="203" spans="1:11" x14ac:dyDescent="0.25">
      <c r="A203" t="s">
        <v>1417</v>
      </c>
      <c r="B203" t="s">
        <v>1418</v>
      </c>
      <c r="C203" t="s">
        <v>1419</v>
      </c>
      <c r="D203" t="s">
        <v>1420</v>
      </c>
      <c r="E203" t="s">
        <v>708</v>
      </c>
      <c r="F203" s="9">
        <v>45292</v>
      </c>
      <c r="G203" s="9"/>
      <c r="H203">
        <v>277740</v>
      </c>
      <c r="I203" s="9">
        <v>45108</v>
      </c>
      <c r="J203" s="9">
        <v>45473</v>
      </c>
      <c r="K203" t="str">
        <f>IFERROR(INDEX(Crosswalk_API!$H$2:$H$527, MATCH(POP_API_TABLE[[#This Row],[PWSID]], CW_PWSID_LIST, 0)), "")</f>
        <v>No</v>
      </c>
    </row>
    <row r="204" spans="1:11" x14ac:dyDescent="0.25">
      <c r="A204" t="s">
        <v>1421</v>
      </c>
      <c r="B204" t="s">
        <v>1422</v>
      </c>
      <c r="C204" t="s">
        <v>1423</v>
      </c>
      <c r="D204" t="s">
        <v>1424</v>
      </c>
      <c r="E204" t="s">
        <v>731</v>
      </c>
      <c r="F204" s="9">
        <v>45292</v>
      </c>
      <c r="G204" s="9"/>
      <c r="H204">
        <v>114185</v>
      </c>
      <c r="I204" s="9">
        <v>45108</v>
      </c>
      <c r="J204" s="9">
        <v>45473</v>
      </c>
      <c r="K204" t="str">
        <f>IFERROR(INDEX(Crosswalk_API!$H$2:$H$527, MATCH(POP_API_TABLE[[#This Row],[PWSID]], CW_PWSID_LIST, 0)), "")</f>
        <v>No</v>
      </c>
    </row>
    <row r="205" spans="1:11" x14ac:dyDescent="0.25">
      <c r="A205" t="s">
        <v>1425</v>
      </c>
      <c r="B205" t="s">
        <v>1426</v>
      </c>
      <c r="C205" t="s">
        <v>1427</v>
      </c>
      <c r="D205" t="s">
        <v>1428</v>
      </c>
      <c r="E205" t="s">
        <v>1089</v>
      </c>
      <c r="F205" s="9">
        <v>44197</v>
      </c>
      <c r="G205" s="9"/>
      <c r="H205">
        <v>84462</v>
      </c>
      <c r="I205" s="9">
        <v>45108</v>
      </c>
      <c r="J205" s="9">
        <v>45473</v>
      </c>
      <c r="K205" t="str">
        <f>IFERROR(INDEX(Crosswalk_API!$H$2:$H$527, MATCH(POP_API_TABLE[[#This Row],[PWSID]], CW_PWSID_LIST, 0)), "")</f>
        <v>No</v>
      </c>
    </row>
    <row r="206" spans="1:11" x14ac:dyDescent="0.25">
      <c r="A206" t="s">
        <v>1429</v>
      </c>
      <c r="B206" t="s">
        <v>1430</v>
      </c>
      <c r="C206" t="s">
        <v>1431</v>
      </c>
      <c r="D206" t="s">
        <v>1432</v>
      </c>
      <c r="E206" t="s">
        <v>1007</v>
      </c>
      <c r="F206" s="9">
        <v>44811</v>
      </c>
      <c r="G206" s="9"/>
      <c r="H206">
        <v>110088</v>
      </c>
      <c r="I206" s="9">
        <v>45108</v>
      </c>
      <c r="J206" s="9">
        <v>45473</v>
      </c>
      <c r="K206" t="str">
        <f>IFERROR(INDEX(Crosswalk_API!$H$2:$H$527, MATCH(POP_API_TABLE[[#This Row],[PWSID]], CW_PWSID_LIST, 0)), "")</f>
        <v>No</v>
      </c>
    </row>
    <row r="207" spans="1:11" x14ac:dyDescent="0.25">
      <c r="A207" t="s">
        <v>1433</v>
      </c>
      <c r="B207" t="s">
        <v>1434</v>
      </c>
      <c r="C207" t="s">
        <v>1435</v>
      </c>
      <c r="D207" t="s">
        <v>1436</v>
      </c>
      <c r="E207" t="s">
        <v>703</v>
      </c>
      <c r="F207" s="9">
        <v>43101</v>
      </c>
      <c r="G207" s="9"/>
      <c r="H207">
        <v>18967</v>
      </c>
      <c r="I207" s="9">
        <v>45108</v>
      </c>
      <c r="J207" s="9">
        <v>45473</v>
      </c>
      <c r="K207" t="str">
        <f>IFERROR(INDEX(Crosswalk_API!$H$2:$H$527, MATCH(POP_API_TABLE[[#This Row],[PWSID]], CW_PWSID_LIST, 0)), "")</f>
        <v>No</v>
      </c>
    </row>
    <row r="208" spans="1:11" x14ac:dyDescent="0.25">
      <c r="A208" t="s">
        <v>1437</v>
      </c>
      <c r="B208" t="s">
        <v>1438</v>
      </c>
      <c r="C208" t="s">
        <v>1439</v>
      </c>
      <c r="D208" t="s">
        <v>1440</v>
      </c>
      <c r="E208" t="s">
        <v>766</v>
      </c>
      <c r="F208" s="9">
        <v>45292</v>
      </c>
      <c r="G208" s="9"/>
      <c r="H208">
        <v>11590</v>
      </c>
      <c r="I208" s="9">
        <v>45108</v>
      </c>
      <c r="J208" s="9">
        <v>45473</v>
      </c>
      <c r="K208" t="str">
        <f>IFERROR(INDEX(Crosswalk_API!$H$2:$H$527, MATCH(POP_API_TABLE[[#This Row],[PWSID]], CW_PWSID_LIST, 0)), "")</f>
        <v>No</v>
      </c>
    </row>
    <row r="209" spans="1:11" x14ac:dyDescent="0.25">
      <c r="A209" t="s">
        <v>1441</v>
      </c>
      <c r="B209" t="s">
        <v>1442</v>
      </c>
      <c r="C209" t="s">
        <v>1443</v>
      </c>
      <c r="D209" t="s">
        <v>1444</v>
      </c>
      <c r="E209" t="s">
        <v>1445</v>
      </c>
      <c r="F209" s="9">
        <v>45292</v>
      </c>
      <c r="G209" s="9"/>
      <c r="H209">
        <v>3400</v>
      </c>
      <c r="I209" s="9">
        <v>45108</v>
      </c>
      <c r="J209" s="9">
        <v>45473</v>
      </c>
      <c r="K209" t="str">
        <f>IFERROR(INDEX(Crosswalk_API!$H$2:$H$527, MATCH(POP_API_TABLE[[#This Row],[PWSID]], CW_PWSID_LIST, 0)), "")</f>
        <v>No</v>
      </c>
    </row>
    <row r="210" spans="1:11" x14ac:dyDescent="0.25">
      <c r="A210" t="s">
        <v>1446</v>
      </c>
      <c r="B210" t="s">
        <v>1447</v>
      </c>
      <c r="C210" t="s">
        <v>1448</v>
      </c>
      <c r="D210" t="s">
        <v>1449</v>
      </c>
      <c r="E210" t="s">
        <v>761</v>
      </c>
      <c r="F210" s="9">
        <v>44197</v>
      </c>
      <c r="G210" s="9"/>
      <c r="H210">
        <v>12701</v>
      </c>
      <c r="I210" s="9">
        <v>45108</v>
      </c>
      <c r="J210" s="9">
        <v>45473</v>
      </c>
      <c r="K210" t="str">
        <f>IFERROR(INDEX(Crosswalk_API!$H$2:$H$527, MATCH(POP_API_TABLE[[#This Row],[PWSID]], CW_PWSID_LIST, 0)), "")</f>
        <v>No</v>
      </c>
    </row>
    <row r="211" spans="1:11" x14ac:dyDescent="0.25">
      <c r="A211" t="s">
        <v>1450</v>
      </c>
      <c r="B211" t="s">
        <v>1451</v>
      </c>
      <c r="C211" t="s">
        <v>1452</v>
      </c>
      <c r="D211" t="s">
        <v>1453</v>
      </c>
      <c r="E211" t="s">
        <v>1160</v>
      </c>
      <c r="F211" s="9">
        <v>43831</v>
      </c>
      <c r="G211" s="9"/>
      <c r="H211">
        <v>62127</v>
      </c>
      <c r="I211" s="9">
        <v>45108</v>
      </c>
      <c r="J211" s="9">
        <v>45473</v>
      </c>
      <c r="K211" t="str">
        <f>IFERROR(INDEX(Crosswalk_API!$H$2:$H$527, MATCH(POP_API_TABLE[[#This Row],[PWSID]], CW_PWSID_LIST, 0)), "")</f>
        <v>No</v>
      </c>
    </row>
    <row r="212" spans="1:11" x14ac:dyDescent="0.25">
      <c r="A212" t="s">
        <v>1454</v>
      </c>
      <c r="B212" t="s">
        <v>1455</v>
      </c>
      <c r="C212" t="s">
        <v>1456</v>
      </c>
      <c r="D212" t="s">
        <v>1457</v>
      </c>
      <c r="E212" t="s">
        <v>708</v>
      </c>
      <c r="F212" s="9">
        <v>45292</v>
      </c>
      <c r="G212" s="9"/>
      <c r="H212">
        <v>44718</v>
      </c>
      <c r="I212" s="9">
        <v>45108</v>
      </c>
      <c r="J212" s="9">
        <v>45473</v>
      </c>
      <c r="K212" t="str">
        <f>IFERROR(INDEX(Crosswalk_API!$H$2:$H$527, MATCH(POP_API_TABLE[[#This Row],[PWSID]], CW_PWSID_LIST, 0)), "")</f>
        <v>No</v>
      </c>
    </row>
    <row r="213" spans="1:11" x14ac:dyDescent="0.25">
      <c r="A213" t="s">
        <v>1458</v>
      </c>
      <c r="B213" t="s">
        <v>1459</v>
      </c>
      <c r="C213" t="s">
        <v>1460</v>
      </c>
      <c r="D213" t="s">
        <v>1461</v>
      </c>
      <c r="E213" t="s">
        <v>698</v>
      </c>
      <c r="F213" s="9">
        <v>42370</v>
      </c>
      <c r="G213" s="9"/>
      <c r="H213">
        <v>162954</v>
      </c>
      <c r="I213" s="9">
        <v>45108</v>
      </c>
      <c r="J213" s="9">
        <v>45473</v>
      </c>
      <c r="K213" t="str">
        <f>IFERROR(INDEX(Crosswalk_API!$H$2:$H$527, MATCH(POP_API_TABLE[[#This Row],[PWSID]], CW_PWSID_LIST, 0)), "")</f>
        <v>No</v>
      </c>
    </row>
    <row r="214" spans="1:11" x14ac:dyDescent="0.25">
      <c r="A214" t="s">
        <v>1462</v>
      </c>
      <c r="B214" t="s">
        <v>1463</v>
      </c>
      <c r="C214" t="s">
        <v>1464</v>
      </c>
      <c r="D214" t="s">
        <v>1465</v>
      </c>
      <c r="E214" t="s">
        <v>1121</v>
      </c>
      <c r="F214" s="9">
        <v>44811</v>
      </c>
      <c r="G214" s="9"/>
      <c r="H214">
        <v>10985</v>
      </c>
      <c r="I214" s="9">
        <v>45108</v>
      </c>
      <c r="J214" s="9">
        <v>45473</v>
      </c>
      <c r="K214" t="str">
        <f>IFERROR(INDEX(Crosswalk_API!$H$2:$H$527, MATCH(POP_API_TABLE[[#This Row],[PWSID]], CW_PWSID_LIST, 0)), "")</f>
        <v>No</v>
      </c>
    </row>
    <row r="215" spans="1:11" x14ac:dyDescent="0.25">
      <c r="A215" t="s">
        <v>1466</v>
      </c>
      <c r="B215" t="s">
        <v>1467</v>
      </c>
      <c r="C215" t="s">
        <v>1468</v>
      </c>
      <c r="D215" t="s">
        <v>1469</v>
      </c>
      <c r="E215" t="s">
        <v>937</v>
      </c>
      <c r="F215" s="9">
        <v>45125</v>
      </c>
      <c r="G215" s="9"/>
      <c r="H215">
        <v>277418</v>
      </c>
      <c r="I215" s="9">
        <v>45108</v>
      </c>
      <c r="J215" s="9">
        <v>45473</v>
      </c>
      <c r="K215" t="str">
        <f>IFERROR(INDEX(Crosswalk_API!$H$2:$H$527, MATCH(POP_API_TABLE[[#This Row],[PWSID]], CW_PWSID_LIST, 0)), "")</f>
        <v>No</v>
      </c>
    </row>
    <row r="216" spans="1:11" x14ac:dyDescent="0.25">
      <c r="A216" t="s">
        <v>1470</v>
      </c>
      <c r="B216" t="s">
        <v>1471</v>
      </c>
      <c r="C216" t="s">
        <v>1472</v>
      </c>
      <c r="D216" t="s">
        <v>1473</v>
      </c>
      <c r="E216" t="s">
        <v>793</v>
      </c>
      <c r="F216" s="9">
        <v>44562</v>
      </c>
      <c r="G216" s="9"/>
      <c r="H216">
        <v>33828</v>
      </c>
      <c r="I216" s="9">
        <v>45108</v>
      </c>
      <c r="J216" s="9">
        <v>45473</v>
      </c>
      <c r="K216" t="str">
        <f>IFERROR(INDEX(Crosswalk_API!$H$2:$H$527, MATCH(POP_API_TABLE[[#This Row],[PWSID]], CW_PWSID_LIST, 0)), "")</f>
        <v>No</v>
      </c>
    </row>
    <row r="217" spans="1:11" x14ac:dyDescent="0.25">
      <c r="A217" t="s">
        <v>1474</v>
      </c>
      <c r="B217" t="s">
        <v>1475</v>
      </c>
      <c r="C217" t="s">
        <v>1476</v>
      </c>
      <c r="D217" t="s">
        <v>1477</v>
      </c>
      <c r="E217" t="s">
        <v>693</v>
      </c>
      <c r="F217" s="9">
        <v>43831</v>
      </c>
      <c r="G217" s="9"/>
      <c r="H217">
        <v>100744</v>
      </c>
      <c r="I217" s="9">
        <v>45108</v>
      </c>
      <c r="J217" s="9">
        <v>45473</v>
      </c>
      <c r="K217" t="str">
        <f>IFERROR(INDEX(Crosswalk_API!$H$2:$H$527, MATCH(POP_API_TABLE[[#This Row],[PWSID]], CW_PWSID_LIST, 0)), "")</f>
        <v>No</v>
      </c>
    </row>
    <row r="218" spans="1:11" x14ac:dyDescent="0.25">
      <c r="A218" t="s">
        <v>1478</v>
      </c>
      <c r="B218" t="s">
        <v>1479</v>
      </c>
      <c r="C218" t="s">
        <v>1480</v>
      </c>
      <c r="D218" t="s">
        <v>1481</v>
      </c>
      <c r="E218" t="s">
        <v>693</v>
      </c>
      <c r="F218" s="9">
        <v>44927</v>
      </c>
      <c r="G218" s="9">
        <v>45657</v>
      </c>
      <c r="H218">
        <v>26221</v>
      </c>
      <c r="I218" s="9">
        <v>45108</v>
      </c>
      <c r="J218" s="9">
        <v>45473</v>
      </c>
      <c r="K218" t="str">
        <f>IFERROR(INDEX(Crosswalk_API!$H$2:$H$527, MATCH(POP_API_TABLE[[#This Row],[PWSID]], CW_PWSID_LIST, 0)), "")</f>
        <v>No</v>
      </c>
    </row>
    <row r="219" spans="1:11" x14ac:dyDescent="0.25">
      <c r="A219" t="s">
        <v>1482</v>
      </c>
      <c r="B219" t="s">
        <v>1483</v>
      </c>
      <c r="C219" t="s">
        <v>1484</v>
      </c>
      <c r="D219" t="s">
        <v>1485</v>
      </c>
      <c r="E219" t="s">
        <v>862</v>
      </c>
      <c r="F219" s="9">
        <v>45292</v>
      </c>
      <c r="G219" s="9"/>
      <c r="H219">
        <v>11766</v>
      </c>
      <c r="I219" s="9">
        <v>45108</v>
      </c>
      <c r="J219" s="9">
        <v>45473</v>
      </c>
      <c r="K219" t="str">
        <f>IFERROR(INDEX(Crosswalk_API!$H$2:$H$527, MATCH(POP_API_TABLE[[#This Row],[PWSID]], CW_PWSID_LIST, 0)), "")</f>
        <v>No</v>
      </c>
    </row>
    <row r="220" spans="1:11" x14ac:dyDescent="0.25">
      <c r="A220" t="s">
        <v>1486</v>
      </c>
      <c r="B220" t="s">
        <v>1487</v>
      </c>
      <c r="C220" t="s">
        <v>1488</v>
      </c>
      <c r="D220" t="s">
        <v>1489</v>
      </c>
      <c r="E220" t="s">
        <v>1490</v>
      </c>
      <c r="F220" s="9">
        <v>43831</v>
      </c>
      <c r="G220" s="9"/>
      <c r="H220">
        <v>26017</v>
      </c>
      <c r="I220" s="9">
        <v>45108</v>
      </c>
      <c r="J220" s="9">
        <v>45473</v>
      </c>
      <c r="K220" t="str">
        <f>IFERROR(INDEX(Crosswalk_API!$H$2:$H$527, MATCH(POP_API_TABLE[[#This Row],[PWSID]], CW_PWSID_LIST, 0)), "")</f>
        <v>No</v>
      </c>
    </row>
    <row r="221" spans="1:11" x14ac:dyDescent="0.25">
      <c r="A221" t="s">
        <v>1491</v>
      </c>
      <c r="B221" t="s">
        <v>1492</v>
      </c>
      <c r="C221" t="s">
        <v>1493</v>
      </c>
      <c r="D221" t="s">
        <v>1494</v>
      </c>
      <c r="E221" t="s">
        <v>754</v>
      </c>
      <c r="F221" s="9">
        <v>45292</v>
      </c>
      <c r="G221" s="9">
        <v>45482</v>
      </c>
      <c r="H221">
        <v>19726</v>
      </c>
      <c r="I221" s="9">
        <v>45108</v>
      </c>
      <c r="J221" s="9">
        <v>45473</v>
      </c>
      <c r="K221" t="str">
        <f>IFERROR(INDEX(Crosswalk_API!$H$2:$H$527, MATCH(POP_API_TABLE[[#This Row],[PWSID]], CW_PWSID_LIST, 0)), "")</f>
        <v>No</v>
      </c>
    </row>
    <row r="222" spans="1:11" x14ac:dyDescent="0.25">
      <c r="A222" t="s">
        <v>1495</v>
      </c>
      <c r="B222" t="s">
        <v>1496</v>
      </c>
      <c r="C222" t="s">
        <v>1497</v>
      </c>
      <c r="D222" t="s">
        <v>1498</v>
      </c>
      <c r="E222" t="s">
        <v>731</v>
      </c>
      <c r="F222" s="9">
        <v>41640</v>
      </c>
      <c r="G222" s="9"/>
      <c r="H222">
        <v>201000</v>
      </c>
      <c r="I222" s="9">
        <v>45108</v>
      </c>
      <c r="J222" s="9">
        <v>45473</v>
      </c>
      <c r="K222" t="str">
        <f>IFERROR(INDEX(Crosswalk_API!$H$2:$H$527, MATCH(POP_API_TABLE[[#This Row],[PWSID]], CW_PWSID_LIST, 0)), "")</f>
        <v>No</v>
      </c>
    </row>
    <row r="223" spans="1:11" x14ac:dyDescent="0.25">
      <c r="A223" t="s">
        <v>1499</v>
      </c>
      <c r="B223" t="s">
        <v>1500</v>
      </c>
      <c r="C223" t="s">
        <v>1501</v>
      </c>
      <c r="D223" t="s">
        <v>1502</v>
      </c>
      <c r="E223" t="s">
        <v>708</v>
      </c>
      <c r="F223" s="9">
        <v>45292</v>
      </c>
      <c r="G223" s="9"/>
      <c r="H223">
        <v>15437</v>
      </c>
      <c r="I223" s="9">
        <v>45108</v>
      </c>
      <c r="J223" s="9">
        <v>45473</v>
      </c>
      <c r="K223" t="str">
        <f>IFERROR(INDEX(Crosswalk_API!$H$2:$H$527, MATCH(POP_API_TABLE[[#This Row],[PWSID]], CW_PWSID_LIST, 0)), "")</f>
        <v>No</v>
      </c>
    </row>
    <row r="224" spans="1:11" x14ac:dyDescent="0.25">
      <c r="A224" t="s">
        <v>1503</v>
      </c>
      <c r="B224" t="s">
        <v>1504</v>
      </c>
      <c r="C224" t="s">
        <v>1505</v>
      </c>
      <c r="D224" t="s">
        <v>1506</v>
      </c>
      <c r="E224" t="s">
        <v>841</v>
      </c>
      <c r="F224" s="9">
        <v>45120</v>
      </c>
      <c r="G224" s="9"/>
      <c r="H224">
        <v>21233</v>
      </c>
      <c r="I224" s="9">
        <v>45108</v>
      </c>
      <c r="J224" s="9">
        <v>45473</v>
      </c>
      <c r="K224" t="str">
        <f>IFERROR(INDEX(Crosswalk_API!$H$2:$H$527, MATCH(POP_API_TABLE[[#This Row],[PWSID]], CW_PWSID_LIST, 0)), "")</f>
        <v>No</v>
      </c>
    </row>
    <row r="225" spans="1:11" x14ac:dyDescent="0.25">
      <c r="A225" t="s">
        <v>1507</v>
      </c>
      <c r="B225" t="s">
        <v>1508</v>
      </c>
      <c r="C225" t="s">
        <v>1509</v>
      </c>
      <c r="D225" t="s">
        <v>1510</v>
      </c>
      <c r="E225" t="s">
        <v>766</v>
      </c>
      <c r="F225" s="9">
        <v>45292</v>
      </c>
      <c r="G225" s="9">
        <v>45657</v>
      </c>
      <c r="H225">
        <v>31024</v>
      </c>
      <c r="I225" s="9">
        <v>45108</v>
      </c>
      <c r="J225" s="9">
        <v>45473</v>
      </c>
      <c r="K225" t="str">
        <f>IFERROR(INDEX(Crosswalk_API!$H$2:$H$527, MATCH(POP_API_TABLE[[#This Row],[PWSID]], CW_PWSID_LIST, 0)), "")</f>
        <v>No</v>
      </c>
    </row>
    <row r="226" spans="1:11" x14ac:dyDescent="0.25">
      <c r="A226" t="s">
        <v>1511</v>
      </c>
      <c r="B226" t="s">
        <v>1512</v>
      </c>
      <c r="C226" t="s">
        <v>1513</v>
      </c>
      <c r="D226" t="s">
        <v>1514</v>
      </c>
      <c r="E226" t="s">
        <v>793</v>
      </c>
      <c r="F226" s="9">
        <v>44927</v>
      </c>
      <c r="G226" s="9"/>
      <c r="H226">
        <v>83486</v>
      </c>
      <c r="I226" s="9">
        <v>45108</v>
      </c>
      <c r="J226" s="9">
        <v>45473</v>
      </c>
      <c r="K226" t="str">
        <f>IFERROR(INDEX(Crosswalk_API!$H$2:$H$527, MATCH(POP_API_TABLE[[#This Row],[PWSID]], CW_PWSID_LIST, 0)), "")</f>
        <v>No</v>
      </c>
    </row>
    <row r="227" spans="1:11" x14ac:dyDescent="0.25">
      <c r="A227" t="s">
        <v>1515</v>
      </c>
      <c r="B227" t="s">
        <v>1516</v>
      </c>
      <c r="C227" t="s">
        <v>1517</v>
      </c>
      <c r="D227" t="s">
        <v>1518</v>
      </c>
      <c r="E227" t="s">
        <v>708</v>
      </c>
      <c r="F227" s="9">
        <v>44927</v>
      </c>
      <c r="G227" s="9"/>
      <c r="H227">
        <v>80824</v>
      </c>
      <c r="I227" s="9">
        <v>45108</v>
      </c>
      <c r="J227" s="9">
        <v>45473</v>
      </c>
      <c r="K227" t="str">
        <f>IFERROR(INDEX(Crosswalk_API!$H$2:$H$527, MATCH(POP_API_TABLE[[#This Row],[PWSID]], CW_PWSID_LIST, 0)), "")</f>
        <v>No</v>
      </c>
    </row>
    <row r="228" spans="1:11" x14ac:dyDescent="0.25">
      <c r="A228" t="s">
        <v>1519</v>
      </c>
      <c r="B228" t="s">
        <v>1520</v>
      </c>
      <c r="C228" t="s">
        <v>1521</v>
      </c>
      <c r="D228" t="s">
        <v>1522</v>
      </c>
      <c r="E228" t="s">
        <v>731</v>
      </c>
      <c r="F228" s="9">
        <v>45170</v>
      </c>
      <c r="G228" s="9">
        <v>45657</v>
      </c>
      <c r="H228">
        <v>433652</v>
      </c>
      <c r="I228" s="9">
        <v>45108</v>
      </c>
      <c r="J228" s="9">
        <v>45473</v>
      </c>
      <c r="K228" t="str">
        <f>IFERROR(INDEX(Crosswalk_API!$H$2:$H$527, MATCH(POP_API_TABLE[[#This Row],[PWSID]], CW_PWSID_LIST, 0)), "")</f>
        <v>No</v>
      </c>
    </row>
    <row r="229" spans="1:11" x14ac:dyDescent="0.25">
      <c r="A229" t="s">
        <v>1523</v>
      </c>
      <c r="B229" t="s">
        <v>1524</v>
      </c>
      <c r="C229" t="s">
        <v>1525</v>
      </c>
      <c r="D229" t="s">
        <v>1526</v>
      </c>
      <c r="E229" t="s">
        <v>693</v>
      </c>
      <c r="F229" s="9">
        <v>43605</v>
      </c>
      <c r="G229" s="9">
        <v>45657</v>
      </c>
      <c r="H229">
        <v>7414</v>
      </c>
      <c r="I229" s="9">
        <v>45108</v>
      </c>
      <c r="J229" s="9">
        <v>45473</v>
      </c>
      <c r="K229" t="str">
        <f>IFERROR(INDEX(Crosswalk_API!$H$2:$H$527, MATCH(POP_API_TABLE[[#This Row],[PWSID]], CW_PWSID_LIST, 0)), "")</f>
        <v>No</v>
      </c>
    </row>
    <row r="230" spans="1:11" x14ac:dyDescent="0.25">
      <c r="A230" t="s">
        <v>1527</v>
      </c>
      <c r="B230" t="s">
        <v>1528</v>
      </c>
      <c r="C230" t="s">
        <v>1529</v>
      </c>
      <c r="D230" t="s">
        <v>1530</v>
      </c>
      <c r="E230" t="s">
        <v>793</v>
      </c>
      <c r="F230" s="9">
        <v>44927</v>
      </c>
      <c r="G230" s="9"/>
      <c r="H230">
        <v>134049</v>
      </c>
      <c r="I230" s="9">
        <v>45108</v>
      </c>
      <c r="J230" s="9">
        <v>45473</v>
      </c>
      <c r="K230" t="str">
        <f>IFERROR(INDEX(Crosswalk_API!$H$2:$H$527, MATCH(POP_API_TABLE[[#This Row],[PWSID]], CW_PWSID_LIST, 0)), "")</f>
        <v>No</v>
      </c>
    </row>
    <row r="231" spans="1:11" x14ac:dyDescent="0.25">
      <c r="A231" t="s">
        <v>1531</v>
      </c>
      <c r="B231" t="s">
        <v>1532</v>
      </c>
      <c r="C231" t="s">
        <v>1533</v>
      </c>
      <c r="D231" t="s">
        <v>1534</v>
      </c>
      <c r="E231" t="s">
        <v>788</v>
      </c>
      <c r="F231" s="9">
        <v>44389</v>
      </c>
      <c r="G231" s="9">
        <v>45790</v>
      </c>
      <c r="H231">
        <v>16995</v>
      </c>
      <c r="I231" s="9">
        <v>45108</v>
      </c>
      <c r="J231" s="9">
        <v>45473</v>
      </c>
      <c r="K231" t="str">
        <f>IFERROR(INDEX(Crosswalk_API!$H$2:$H$527, MATCH(POP_API_TABLE[[#This Row],[PWSID]], CW_PWSID_LIST, 0)), "")</f>
        <v>No</v>
      </c>
    </row>
    <row r="232" spans="1:11" x14ac:dyDescent="0.25">
      <c r="A232" t="s">
        <v>1535</v>
      </c>
      <c r="B232" t="s">
        <v>1536</v>
      </c>
      <c r="C232" t="s">
        <v>1537</v>
      </c>
      <c r="D232" t="s">
        <v>1538</v>
      </c>
      <c r="E232" t="s">
        <v>788</v>
      </c>
      <c r="F232" s="9">
        <v>43647</v>
      </c>
      <c r="G232" s="9">
        <v>45790</v>
      </c>
      <c r="H232">
        <v>12380</v>
      </c>
      <c r="I232" s="9">
        <v>45108</v>
      </c>
      <c r="J232" s="9">
        <v>45473</v>
      </c>
      <c r="K232" t="str">
        <f>IFERROR(INDEX(Crosswalk_API!$H$2:$H$527, MATCH(POP_API_TABLE[[#This Row],[PWSID]], CW_PWSID_LIST, 0)), "")</f>
        <v>No</v>
      </c>
    </row>
    <row r="233" spans="1:11" x14ac:dyDescent="0.25">
      <c r="A233" t="s">
        <v>1539</v>
      </c>
      <c r="B233" t="s">
        <v>1540</v>
      </c>
      <c r="C233" t="s">
        <v>1541</v>
      </c>
      <c r="D233" t="s">
        <v>1542</v>
      </c>
      <c r="E233" t="s">
        <v>731</v>
      </c>
      <c r="F233" s="9">
        <v>43441</v>
      </c>
      <c r="G233" s="9"/>
      <c r="H233">
        <v>63118</v>
      </c>
      <c r="I233" s="9">
        <v>45108</v>
      </c>
      <c r="J233" s="9">
        <v>45473</v>
      </c>
      <c r="K233" t="str">
        <f>IFERROR(INDEX(Crosswalk_API!$H$2:$H$527, MATCH(POP_API_TABLE[[#This Row],[PWSID]], CW_PWSID_LIST, 0)), "")</f>
        <v>No</v>
      </c>
    </row>
    <row r="234" spans="1:11" x14ac:dyDescent="0.25">
      <c r="A234" t="s">
        <v>1543</v>
      </c>
      <c r="B234" t="s">
        <v>1544</v>
      </c>
      <c r="C234" t="s">
        <v>1545</v>
      </c>
      <c r="D234" t="s">
        <v>1546</v>
      </c>
      <c r="E234" t="s">
        <v>731</v>
      </c>
      <c r="F234" s="9">
        <v>43441</v>
      </c>
      <c r="G234" s="9"/>
      <c r="H234">
        <v>15948</v>
      </c>
      <c r="I234" s="9">
        <v>45108</v>
      </c>
      <c r="J234" s="9">
        <v>45473</v>
      </c>
      <c r="K234" t="str">
        <f>IFERROR(INDEX(Crosswalk_API!$H$2:$H$527, MATCH(POP_API_TABLE[[#This Row],[PWSID]], CW_PWSID_LIST, 0)), "")</f>
        <v>No</v>
      </c>
    </row>
    <row r="235" spans="1:11" x14ac:dyDescent="0.25">
      <c r="A235" t="s">
        <v>1547</v>
      </c>
      <c r="B235" t="s">
        <v>1548</v>
      </c>
      <c r="C235" t="s">
        <v>1549</v>
      </c>
      <c r="D235" t="s">
        <v>1550</v>
      </c>
      <c r="E235" t="s">
        <v>708</v>
      </c>
      <c r="F235" s="9">
        <v>45292</v>
      </c>
      <c r="G235" s="9"/>
      <c r="H235">
        <v>31334</v>
      </c>
      <c r="I235" s="9">
        <v>45108</v>
      </c>
      <c r="J235" s="9">
        <v>45473</v>
      </c>
      <c r="K235" t="str">
        <f>IFERROR(INDEX(Crosswalk_API!$H$2:$H$527, MATCH(POP_API_TABLE[[#This Row],[PWSID]], CW_PWSID_LIST, 0)), "")</f>
        <v>No</v>
      </c>
    </row>
    <row r="236" spans="1:11" x14ac:dyDescent="0.25">
      <c r="A236" t="s">
        <v>1551</v>
      </c>
      <c r="B236" t="s">
        <v>1552</v>
      </c>
      <c r="C236" t="s">
        <v>1553</v>
      </c>
      <c r="D236" t="s">
        <v>1554</v>
      </c>
      <c r="E236" t="s">
        <v>731</v>
      </c>
      <c r="F236" s="9">
        <v>44927</v>
      </c>
      <c r="G236" s="9"/>
      <c r="H236">
        <v>18404</v>
      </c>
      <c r="I236" s="9">
        <v>45108</v>
      </c>
      <c r="J236" s="9">
        <v>45473</v>
      </c>
      <c r="K236" t="str">
        <f>IFERROR(INDEX(Crosswalk_API!$H$2:$H$527, MATCH(POP_API_TABLE[[#This Row],[PWSID]], CW_PWSID_LIST, 0)), "")</f>
        <v>No</v>
      </c>
    </row>
    <row r="237" spans="1:11" x14ac:dyDescent="0.25">
      <c r="A237" t="s">
        <v>1555</v>
      </c>
      <c r="B237" t="s">
        <v>1556</v>
      </c>
      <c r="C237" t="s">
        <v>1557</v>
      </c>
      <c r="D237" t="s">
        <v>1558</v>
      </c>
      <c r="E237" t="s">
        <v>693</v>
      </c>
      <c r="F237" s="9">
        <v>44927</v>
      </c>
      <c r="G237" s="9"/>
      <c r="H237">
        <v>7038</v>
      </c>
      <c r="I237" s="9">
        <v>45108</v>
      </c>
      <c r="J237" s="9">
        <v>45473</v>
      </c>
      <c r="K237" t="str">
        <f>IFERROR(INDEX(Crosswalk_API!$H$2:$H$527, MATCH(POP_API_TABLE[[#This Row],[PWSID]], CW_PWSID_LIST, 0)), "")</f>
        <v>No</v>
      </c>
    </row>
    <row r="238" spans="1:11" x14ac:dyDescent="0.25">
      <c r="A238" t="s">
        <v>1559</v>
      </c>
      <c r="B238" t="s">
        <v>1560</v>
      </c>
      <c r="C238" t="s">
        <v>1561</v>
      </c>
      <c r="D238" t="s">
        <v>1562</v>
      </c>
      <c r="E238" t="s">
        <v>793</v>
      </c>
      <c r="F238" s="9">
        <v>43466</v>
      </c>
      <c r="G238" s="9"/>
      <c r="H238">
        <v>52913</v>
      </c>
      <c r="I238" s="9">
        <v>45108</v>
      </c>
      <c r="J238" s="9">
        <v>45473</v>
      </c>
      <c r="K238" t="str">
        <f>IFERROR(INDEX(Crosswalk_API!$H$2:$H$527, MATCH(POP_API_TABLE[[#This Row],[PWSID]], CW_PWSID_LIST, 0)), "")</f>
        <v>No</v>
      </c>
    </row>
    <row r="239" spans="1:11" x14ac:dyDescent="0.25">
      <c r="A239" t="s">
        <v>1563</v>
      </c>
      <c r="B239" t="s">
        <v>1564</v>
      </c>
      <c r="C239" t="s">
        <v>1565</v>
      </c>
      <c r="D239" t="s">
        <v>1566</v>
      </c>
      <c r="E239" t="s">
        <v>937</v>
      </c>
      <c r="F239" s="9">
        <v>43637</v>
      </c>
      <c r="G239" s="9"/>
      <c r="H239">
        <v>35500</v>
      </c>
      <c r="I239" s="9">
        <v>45108</v>
      </c>
      <c r="J239" s="9">
        <v>45473</v>
      </c>
      <c r="K239" t="str">
        <f>IFERROR(INDEX(Crosswalk_API!$H$2:$H$527, MATCH(POP_API_TABLE[[#This Row],[PWSID]], CW_PWSID_LIST, 0)), "")</f>
        <v>No</v>
      </c>
    </row>
    <row r="240" spans="1:11" x14ac:dyDescent="0.25">
      <c r="A240" t="s">
        <v>1567</v>
      </c>
      <c r="B240" t="s">
        <v>1568</v>
      </c>
      <c r="C240" t="s">
        <v>1569</v>
      </c>
      <c r="D240" t="s">
        <v>1570</v>
      </c>
      <c r="E240" t="s">
        <v>708</v>
      </c>
      <c r="F240" s="9">
        <v>45292</v>
      </c>
      <c r="G240" s="9">
        <v>45657</v>
      </c>
      <c r="H240">
        <v>63083</v>
      </c>
      <c r="I240" s="9">
        <v>45108</v>
      </c>
      <c r="J240" s="9">
        <v>45473</v>
      </c>
      <c r="K240" t="str">
        <f>IFERROR(INDEX(Crosswalk_API!$H$2:$H$527, MATCH(POP_API_TABLE[[#This Row],[PWSID]], CW_PWSID_LIST, 0)), "")</f>
        <v>No</v>
      </c>
    </row>
    <row r="241" spans="1:11" x14ac:dyDescent="0.25">
      <c r="A241" t="s">
        <v>1571</v>
      </c>
      <c r="B241" t="s">
        <v>1572</v>
      </c>
      <c r="C241" t="s">
        <v>1573</v>
      </c>
      <c r="D241" t="s">
        <v>1574</v>
      </c>
      <c r="E241" t="s">
        <v>766</v>
      </c>
      <c r="F241" s="9">
        <v>42005</v>
      </c>
      <c r="G241" s="9"/>
      <c r="H241">
        <v>19057</v>
      </c>
      <c r="I241" s="9">
        <v>45108</v>
      </c>
      <c r="J241" s="9">
        <v>45473</v>
      </c>
      <c r="K241" t="str">
        <f>IFERROR(INDEX(Crosswalk_API!$H$2:$H$527, MATCH(POP_API_TABLE[[#This Row],[PWSID]], CW_PWSID_LIST, 0)), "")</f>
        <v>No</v>
      </c>
    </row>
    <row r="242" spans="1:11" x14ac:dyDescent="0.25">
      <c r="A242" t="s">
        <v>1575</v>
      </c>
      <c r="B242" t="s">
        <v>1576</v>
      </c>
      <c r="C242" t="s">
        <v>1577</v>
      </c>
      <c r="D242" t="s">
        <v>1578</v>
      </c>
      <c r="E242" t="s">
        <v>708</v>
      </c>
      <c r="F242" s="9">
        <v>43831</v>
      </c>
      <c r="G242" s="9"/>
      <c r="H242">
        <v>72602</v>
      </c>
      <c r="I242" s="9">
        <v>45108</v>
      </c>
      <c r="J242" s="9">
        <v>45473</v>
      </c>
      <c r="K242" t="str">
        <f>IFERROR(INDEX(Crosswalk_API!$H$2:$H$527, MATCH(POP_API_TABLE[[#This Row],[PWSID]], CW_PWSID_LIST, 0)), "")</f>
        <v>No</v>
      </c>
    </row>
    <row r="243" spans="1:11" x14ac:dyDescent="0.25">
      <c r="A243" t="s">
        <v>1579</v>
      </c>
      <c r="B243" t="s">
        <v>1580</v>
      </c>
      <c r="C243" t="s">
        <v>1581</v>
      </c>
      <c r="D243" t="s">
        <v>1582</v>
      </c>
      <c r="E243" t="s">
        <v>1051</v>
      </c>
      <c r="F243" s="9">
        <v>45108</v>
      </c>
      <c r="G243" s="9"/>
      <c r="H243">
        <v>35080</v>
      </c>
      <c r="I243" s="9">
        <v>45108</v>
      </c>
      <c r="J243" s="9">
        <v>45473</v>
      </c>
      <c r="K243" t="str">
        <f>IFERROR(INDEX(Crosswalk_API!$H$2:$H$527, MATCH(POP_API_TABLE[[#This Row],[PWSID]], CW_PWSID_LIST, 0)), "")</f>
        <v>No</v>
      </c>
    </row>
    <row r="244" spans="1:11" x14ac:dyDescent="0.25">
      <c r="A244" t="s">
        <v>1587</v>
      </c>
      <c r="B244" t="s">
        <v>1588</v>
      </c>
      <c r="C244" t="s">
        <v>1589</v>
      </c>
      <c r="D244" t="s">
        <v>1590</v>
      </c>
      <c r="E244" t="s">
        <v>1160</v>
      </c>
      <c r="F244" s="9">
        <v>45292</v>
      </c>
      <c r="G244" s="9"/>
      <c r="H244">
        <v>27185</v>
      </c>
      <c r="I244" s="9">
        <v>45108</v>
      </c>
      <c r="J244" s="9">
        <v>45473</v>
      </c>
      <c r="K244" t="str">
        <f>IFERROR(INDEX(Crosswalk_API!$H$2:$H$527, MATCH(POP_API_TABLE[[#This Row],[PWSID]], CW_PWSID_LIST, 0)), "")</f>
        <v>No</v>
      </c>
    </row>
    <row r="245" spans="1:11" x14ac:dyDescent="0.25">
      <c r="A245" t="s">
        <v>1910</v>
      </c>
      <c r="B245" t="s">
        <v>1911</v>
      </c>
      <c r="C245" t="s">
        <v>1912</v>
      </c>
      <c r="D245" t="s">
        <v>1913</v>
      </c>
      <c r="E245" t="s">
        <v>708</v>
      </c>
      <c r="F245" s="9">
        <v>45292</v>
      </c>
      <c r="G245" s="9"/>
      <c r="H245">
        <v>26371</v>
      </c>
      <c r="I245" s="9">
        <v>45108</v>
      </c>
      <c r="J245" s="9">
        <v>45473</v>
      </c>
      <c r="K245" t="str">
        <f>IFERROR(INDEX(Crosswalk_API!$H$2:$H$527, MATCH(POP_API_TABLE[[#This Row],[PWSID]], CW_PWSID_LIST, 0)), "")</f>
        <v>No</v>
      </c>
    </row>
    <row r="246" spans="1:11" x14ac:dyDescent="0.25">
      <c r="A246" t="s">
        <v>1910</v>
      </c>
      <c r="B246" t="s">
        <v>1911</v>
      </c>
      <c r="C246" t="s">
        <v>1914</v>
      </c>
      <c r="D246" t="s">
        <v>1915</v>
      </c>
      <c r="E246" t="s">
        <v>708</v>
      </c>
      <c r="F246" s="9">
        <v>45292</v>
      </c>
      <c r="G246" s="9"/>
      <c r="H246">
        <v>24701</v>
      </c>
      <c r="I246" s="9">
        <v>45108</v>
      </c>
      <c r="J246" s="9">
        <v>45473</v>
      </c>
      <c r="K246" t="str">
        <f>IFERROR(INDEX(Crosswalk_API!$H$2:$H$527, MATCH(POP_API_TABLE[[#This Row],[PWSID]], CW_PWSID_LIST, 0)), "")</f>
        <v>No</v>
      </c>
    </row>
    <row r="247" spans="1:11" x14ac:dyDescent="0.25">
      <c r="A247" t="s">
        <v>1910</v>
      </c>
      <c r="B247" t="s">
        <v>1911</v>
      </c>
      <c r="C247" t="s">
        <v>1916</v>
      </c>
      <c r="D247" t="s">
        <v>1917</v>
      </c>
      <c r="E247" t="s">
        <v>708</v>
      </c>
      <c r="F247" s="9">
        <v>45292</v>
      </c>
      <c r="G247" s="9"/>
      <c r="H247">
        <v>72624</v>
      </c>
      <c r="I247" s="9">
        <v>45108</v>
      </c>
      <c r="J247" s="9">
        <v>45473</v>
      </c>
      <c r="K247" t="str">
        <f>IFERROR(INDEX(Crosswalk_API!$H$2:$H$527, MATCH(POP_API_TABLE[[#This Row],[PWSID]], CW_PWSID_LIST, 0)), "")</f>
        <v>No</v>
      </c>
    </row>
    <row r="248" spans="1:11" x14ac:dyDescent="0.25">
      <c r="A248" t="s">
        <v>1591</v>
      </c>
      <c r="B248" t="s">
        <v>1592</v>
      </c>
      <c r="C248" t="s">
        <v>1593</v>
      </c>
      <c r="D248" t="s">
        <v>1594</v>
      </c>
      <c r="E248" t="s">
        <v>910</v>
      </c>
      <c r="F248" s="9">
        <v>45292</v>
      </c>
      <c r="G248" s="9">
        <v>45778</v>
      </c>
      <c r="H248">
        <v>51252</v>
      </c>
      <c r="I248" s="9">
        <v>45108</v>
      </c>
      <c r="J248" s="9">
        <v>45473</v>
      </c>
      <c r="K248" t="str">
        <f>IFERROR(INDEX(Crosswalk_API!$H$2:$H$527, MATCH(POP_API_TABLE[[#This Row],[PWSID]], CW_PWSID_LIST, 0)), "")</f>
        <v>No</v>
      </c>
    </row>
    <row r="249" spans="1:11" x14ac:dyDescent="0.25">
      <c r="A249" t="s">
        <v>1595</v>
      </c>
      <c r="B249" t="s">
        <v>1596</v>
      </c>
      <c r="C249" t="s">
        <v>1597</v>
      </c>
      <c r="D249" t="s">
        <v>1598</v>
      </c>
      <c r="E249" t="s">
        <v>708</v>
      </c>
      <c r="F249" s="9">
        <v>42005</v>
      </c>
      <c r="G249" s="9"/>
      <c r="H249">
        <v>16126</v>
      </c>
      <c r="I249" s="9">
        <v>45108</v>
      </c>
      <c r="J249" s="9">
        <v>45473</v>
      </c>
      <c r="K249" t="str">
        <f>IFERROR(INDEX(Crosswalk_API!$H$2:$H$527, MATCH(POP_API_TABLE[[#This Row],[PWSID]], CW_PWSID_LIST, 0)), "")</f>
        <v>No</v>
      </c>
    </row>
    <row r="250" spans="1:11" x14ac:dyDescent="0.25">
      <c r="A250" t="s">
        <v>1599</v>
      </c>
      <c r="B250" t="s">
        <v>1600</v>
      </c>
      <c r="C250" t="s">
        <v>1601</v>
      </c>
      <c r="D250" t="s">
        <v>1602</v>
      </c>
      <c r="E250" t="s">
        <v>1012</v>
      </c>
      <c r="F250" s="9">
        <v>44328</v>
      </c>
      <c r="G250" s="9"/>
      <c r="H250">
        <v>21654</v>
      </c>
      <c r="I250" s="9">
        <v>45108</v>
      </c>
      <c r="J250" s="9">
        <v>45473</v>
      </c>
      <c r="K250" t="str">
        <f>IFERROR(INDEX(Crosswalk_API!$H$2:$H$527, MATCH(POP_API_TABLE[[#This Row],[PWSID]], CW_PWSID_LIST, 0)), "")</f>
        <v>No</v>
      </c>
    </row>
    <row r="251" spans="1:11" x14ac:dyDescent="0.25">
      <c r="A251" t="s">
        <v>1607</v>
      </c>
      <c r="B251" t="s">
        <v>1608</v>
      </c>
      <c r="C251" t="s">
        <v>1609</v>
      </c>
      <c r="D251" t="s">
        <v>1610</v>
      </c>
      <c r="E251" t="s">
        <v>698</v>
      </c>
      <c r="F251" s="9">
        <v>44927</v>
      </c>
      <c r="G251" s="9"/>
      <c r="H251">
        <v>38892</v>
      </c>
      <c r="I251" s="9">
        <v>45108</v>
      </c>
      <c r="J251" s="9">
        <v>45473</v>
      </c>
      <c r="K251" t="str">
        <f>IFERROR(INDEX(Crosswalk_API!$H$2:$H$527, MATCH(POP_API_TABLE[[#This Row],[PWSID]], CW_PWSID_LIST, 0)), "")</f>
        <v>No</v>
      </c>
    </row>
    <row r="252" spans="1:11" x14ac:dyDescent="0.25">
      <c r="A252" t="s">
        <v>1611</v>
      </c>
      <c r="B252" t="s">
        <v>1612</v>
      </c>
      <c r="C252" t="s">
        <v>1613</v>
      </c>
      <c r="D252" t="s">
        <v>1614</v>
      </c>
      <c r="E252" t="s">
        <v>775</v>
      </c>
      <c r="F252" s="9">
        <v>45292</v>
      </c>
      <c r="G252" s="9"/>
      <c r="H252">
        <v>14894</v>
      </c>
      <c r="I252" s="9">
        <v>45108</v>
      </c>
      <c r="J252" s="9">
        <v>45473</v>
      </c>
      <c r="K252" t="str">
        <f>IFERROR(INDEX(Crosswalk_API!$H$2:$H$527, MATCH(POP_API_TABLE[[#This Row],[PWSID]], CW_PWSID_LIST, 0)), "")</f>
        <v>No</v>
      </c>
    </row>
    <row r="253" spans="1:11" x14ac:dyDescent="0.25">
      <c r="A253" t="s">
        <v>1615</v>
      </c>
      <c r="B253" t="s">
        <v>1616</v>
      </c>
      <c r="C253" t="s">
        <v>1617</v>
      </c>
      <c r="D253" t="s">
        <v>1618</v>
      </c>
      <c r="E253" t="s">
        <v>1051</v>
      </c>
      <c r="F253" s="9">
        <v>44013</v>
      </c>
      <c r="G253" s="9"/>
      <c r="H253">
        <v>68272</v>
      </c>
      <c r="I253" s="9">
        <v>45108</v>
      </c>
      <c r="J253" s="9">
        <v>45473</v>
      </c>
      <c r="K253" t="str">
        <f>IFERROR(INDEX(Crosswalk_API!$H$2:$H$527, MATCH(POP_API_TABLE[[#This Row],[PWSID]], CW_PWSID_LIST, 0)), "")</f>
        <v>No</v>
      </c>
    </row>
    <row r="254" spans="1:11" x14ac:dyDescent="0.25">
      <c r="A254" t="s">
        <v>1619</v>
      </c>
      <c r="B254" t="s">
        <v>1620</v>
      </c>
      <c r="C254" t="s">
        <v>1621</v>
      </c>
      <c r="D254" t="s">
        <v>1622</v>
      </c>
      <c r="E254" t="s">
        <v>693</v>
      </c>
      <c r="F254" s="9">
        <v>44927</v>
      </c>
      <c r="G254" s="9"/>
      <c r="H254">
        <v>25129</v>
      </c>
      <c r="I254" s="9">
        <v>45108</v>
      </c>
      <c r="J254" s="9">
        <v>45473</v>
      </c>
      <c r="K254" t="str">
        <f>IFERROR(INDEX(Crosswalk_API!$H$2:$H$527, MATCH(POP_API_TABLE[[#This Row],[PWSID]], CW_PWSID_LIST, 0)), "")</f>
        <v>No</v>
      </c>
    </row>
    <row r="255" spans="1:11" x14ac:dyDescent="0.25">
      <c r="A255" t="s">
        <v>1623</v>
      </c>
      <c r="B255" t="s">
        <v>1624</v>
      </c>
      <c r="C255" t="s">
        <v>1625</v>
      </c>
      <c r="D255" t="s">
        <v>1626</v>
      </c>
      <c r="E255" t="s">
        <v>708</v>
      </c>
      <c r="F255" s="9">
        <v>44197</v>
      </c>
      <c r="G255" s="9"/>
      <c r="H255">
        <v>20256</v>
      </c>
      <c r="I255" s="9">
        <v>45108</v>
      </c>
      <c r="J255" s="9">
        <v>45473</v>
      </c>
      <c r="K255" t="str">
        <f>IFERROR(INDEX(Crosswalk_API!$H$2:$H$527, MATCH(POP_API_TABLE[[#This Row],[PWSID]], CW_PWSID_LIST, 0)), "")</f>
        <v>No</v>
      </c>
    </row>
    <row r="256" spans="1:11" x14ac:dyDescent="0.25">
      <c r="A256" t="s">
        <v>1627</v>
      </c>
      <c r="B256" t="s">
        <v>1628</v>
      </c>
      <c r="C256" t="s">
        <v>1629</v>
      </c>
      <c r="D256" t="s">
        <v>1630</v>
      </c>
      <c r="E256" t="s">
        <v>1089</v>
      </c>
      <c r="F256" s="9">
        <v>44927</v>
      </c>
      <c r="G256" s="9"/>
      <c r="H256">
        <v>40473</v>
      </c>
      <c r="I256" s="9">
        <v>45108</v>
      </c>
      <c r="J256" s="9">
        <v>45473</v>
      </c>
      <c r="K256" t="str">
        <f>IFERROR(INDEX(Crosswalk_API!$H$2:$H$527, MATCH(POP_API_TABLE[[#This Row],[PWSID]], CW_PWSID_LIST, 0)), "")</f>
        <v>No</v>
      </c>
    </row>
    <row r="257" spans="1:11" x14ac:dyDescent="0.25">
      <c r="A257" t="s">
        <v>1631</v>
      </c>
      <c r="B257" t="s">
        <v>1632</v>
      </c>
      <c r="C257" t="s">
        <v>1633</v>
      </c>
      <c r="D257" t="s">
        <v>1634</v>
      </c>
      <c r="E257" t="s">
        <v>708</v>
      </c>
      <c r="F257" s="9">
        <v>45292</v>
      </c>
      <c r="G257" s="9">
        <v>45657</v>
      </c>
      <c r="H257">
        <v>458222</v>
      </c>
      <c r="I257" s="9">
        <v>45108</v>
      </c>
      <c r="J257" s="9">
        <v>45473</v>
      </c>
      <c r="K257" t="str">
        <f>IFERROR(INDEX(Crosswalk_API!$H$2:$H$527, MATCH(POP_API_TABLE[[#This Row],[PWSID]], CW_PWSID_LIST, 0)), "")</f>
        <v>No</v>
      </c>
    </row>
    <row r="258" spans="1:11" x14ac:dyDescent="0.25">
      <c r="A258" t="s">
        <v>1635</v>
      </c>
      <c r="B258" t="s">
        <v>1636</v>
      </c>
      <c r="C258" t="s">
        <v>1637</v>
      </c>
      <c r="D258" t="s">
        <v>1638</v>
      </c>
      <c r="E258" t="s">
        <v>708</v>
      </c>
      <c r="F258" s="9">
        <v>45292</v>
      </c>
      <c r="G258" s="9"/>
      <c r="H258">
        <v>3856043</v>
      </c>
      <c r="I258" s="9">
        <v>45108</v>
      </c>
      <c r="J258" s="9">
        <v>45473</v>
      </c>
      <c r="K258" t="str">
        <f>IFERROR(INDEX(Crosswalk_API!$H$2:$H$527, MATCH(POP_API_TABLE[[#This Row],[PWSID]], CW_PWSID_LIST, 0)), "")</f>
        <v>No</v>
      </c>
    </row>
    <row r="259" spans="1:11" x14ac:dyDescent="0.25">
      <c r="A259" t="s">
        <v>1639</v>
      </c>
      <c r="B259" t="s">
        <v>1640</v>
      </c>
      <c r="C259" t="s">
        <v>1641</v>
      </c>
      <c r="D259" t="s">
        <v>1642</v>
      </c>
      <c r="E259" t="s">
        <v>708</v>
      </c>
      <c r="F259" s="9">
        <v>44927</v>
      </c>
      <c r="G259" s="9"/>
      <c r="H259">
        <v>32792</v>
      </c>
      <c r="I259" s="9">
        <v>45108</v>
      </c>
      <c r="J259" s="9">
        <v>45473</v>
      </c>
      <c r="K259" t="str">
        <f>IFERROR(INDEX(Crosswalk_API!$H$2:$H$527, MATCH(POP_API_TABLE[[#This Row],[PWSID]], CW_PWSID_LIST, 0)), "")</f>
        <v>No</v>
      </c>
    </row>
    <row r="260" spans="1:11" x14ac:dyDescent="0.25">
      <c r="A260" t="s">
        <v>1643</v>
      </c>
      <c r="B260" t="s">
        <v>1644</v>
      </c>
      <c r="C260" t="s">
        <v>1645</v>
      </c>
      <c r="D260" t="s">
        <v>1646</v>
      </c>
      <c r="E260" t="s">
        <v>708</v>
      </c>
      <c r="F260" s="9">
        <v>44562</v>
      </c>
      <c r="G260" s="9"/>
      <c r="H260">
        <v>12620</v>
      </c>
      <c r="I260" s="9">
        <v>45108</v>
      </c>
      <c r="J260" s="9">
        <v>45473</v>
      </c>
      <c r="K260" t="str">
        <f>IFERROR(INDEX(Crosswalk_API!$H$2:$H$527, MATCH(POP_API_TABLE[[#This Row],[PWSID]], CW_PWSID_LIST, 0)), "")</f>
        <v>No</v>
      </c>
    </row>
    <row r="261" spans="1:11" x14ac:dyDescent="0.25">
      <c r="A261" t="s">
        <v>1643</v>
      </c>
      <c r="B261" t="s">
        <v>1644</v>
      </c>
      <c r="C261" t="s">
        <v>1647</v>
      </c>
      <c r="D261" t="s">
        <v>1648</v>
      </c>
      <c r="E261" t="s">
        <v>708</v>
      </c>
      <c r="F261" s="9">
        <v>43831</v>
      </c>
      <c r="G261" s="9"/>
      <c r="H261">
        <v>870</v>
      </c>
      <c r="I261" s="9">
        <v>45108</v>
      </c>
      <c r="J261" s="9">
        <v>45473</v>
      </c>
      <c r="K261" t="str">
        <f>IFERROR(INDEX(Crosswalk_API!$H$2:$H$527, MATCH(POP_API_TABLE[[#This Row],[PWSID]], CW_PWSID_LIST, 0)), "")</f>
        <v>No</v>
      </c>
    </row>
    <row r="262" spans="1:11" x14ac:dyDescent="0.25">
      <c r="A262" t="s">
        <v>1643</v>
      </c>
      <c r="B262" t="s">
        <v>1644</v>
      </c>
      <c r="C262" t="s">
        <v>1649</v>
      </c>
      <c r="D262" t="s">
        <v>1650</v>
      </c>
      <c r="E262" t="s">
        <v>708</v>
      </c>
      <c r="F262" s="9">
        <v>44927</v>
      </c>
      <c r="G262" s="9"/>
      <c r="H262">
        <v>619</v>
      </c>
      <c r="I262" s="9">
        <v>45108</v>
      </c>
      <c r="J262" s="9">
        <v>45473</v>
      </c>
      <c r="K262" t="str">
        <f>IFERROR(INDEX(Crosswalk_API!$H$2:$H$527, MATCH(POP_API_TABLE[[#This Row],[PWSID]], CW_PWSID_LIST, 0)), "")</f>
        <v>No</v>
      </c>
    </row>
    <row r="263" spans="1:11" x14ac:dyDescent="0.25">
      <c r="A263" t="s">
        <v>1643</v>
      </c>
      <c r="B263" t="s">
        <v>1644</v>
      </c>
      <c r="C263" t="s">
        <v>1651</v>
      </c>
      <c r="D263" t="s">
        <v>1652</v>
      </c>
      <c r="E263" t="s">
        <v>708</v>
      </c>
      <c r="F263" s="9">
        <v>44927</v>
      </c>
      <c r="G263" s="9"/>
      <c r="H263">
        <v>204673</v>
      </c>
      <c r="I263" s="9">
        <v>45108</v>
      </c>
      <c r="J263" s="9">
        <v>45473</v>
      </c>
      <c r="K263" t="str">
        <f>IFERROR(INDEX(Crosswalk_API!$H$2:$H$527, MATCH(POP_API_TABLE[[#This Row],[PWSID]], CW_PWSID_LIST, 0)), "")</f>
        <v>No</v>
      </c>
    </row>
    <row r="264" spans="1:11" x14ac:dyDescent="0.25">
      <c r="A264" t="s">
        <v>1643</v>
      </c>
      <c r="B264" t="s">
        <v>1644</v>
      </c>
      <c r="C264" t="s">
        <v>1653</v>
      </c>
      <c r="D264" t="s">
        <v>1654</v>
      </c>
      <c r="E264" t="s">
        <v>708</v>
      </c>
      <c r="F264" s="9">
        <v>44927</v>
      </c>
      <c r="G264" s="9"/>
      <c r="H264">
        <v>11243</v>
      </c>
      <c r="I264" s="9">
        <v>45108</v>
      </c>
      <c r="J264" s="9">
        <v>45473</v>
      </c>
      <c r="K264" t="str">
        <f>IFERROR(INDEX(Crosswalk_API!$H$2:$H$527, MATCH(POP_API_TABLE[[#This Row],[PWSID]], CW_PWSID_LIST, 0)), "")</f>
        <v>No</v>
      </c>
    </row>
    <row r="265" spans="1:11" x14ac:dyDescent="0.25">
      <c r="A265" t="s">
        <v>1655</v>
      </c>
      <c r="B265" t="s">
        <v>1656</v>
      </c>
      <c r="C265" t="s">
        <v>1657</v>
      </c>
      <c r="D265" t="s">
        <v>1658</v>
      </c>
      <c r="E265" t="s">
        <v>775</v>
      </c>
      <c r="F265" s="9">
        <v>45127</v>
      </c>
      <c r="G265" s="9"/>
      <c r="H265">
        <v>47419</v>
      </c>
      <c r="I265" s="9">
        <v>45108</v>
      </c>
      <c r="J265" s="9">
        <v>45473</v>
      </c>
      <c r="K265" t="str">
        <f>IFERROR(INDEX(Crosswalk_API!$H$2:$H$527, MATCH(POP_API_TABLE[[#This Row],[PWSID]], CW_PWSID_LIST, 0)), "")</f>
        <v>No</v>
      </c>
    </row>
    <row r="266" spans="1:11" x14ac:dyDescent="0.25">
      <c r="A266" t="s">
        <v>1659</v>
      </c>
      <c r="B266" t="s">
        <v>1660</v>
      </c>
      <c r="C266" t="s">
        <v>1661</v>
      </c>
      <c r="D266" t="s">
        <v>1662</v>
      </c>
      <c r="E266" t="s">
        <v>708</v>
      </c>
      <c r="F266" s="9">
        <v>43831</v>
      </c>
      <c r="G266" s="9"/>
      <c r="H266">
        <v>66967</v>
      </c>
      <c r="I266" s="9">
        <v>45108</v>
      </c>
      <c r="J266" s="9">
        <v>45473</v>
      </c>
      <c r="K266" t="str">
        <f>IFERROR(INDEX(Crosswalk_API!$H$2:$H$527, MATCH(POP_API_TABLE[[#This Row],[PWSID]], CW_PWSID_LIST, 0)), "")</f>
        <v>No</v>
      </c>
    </row>
    <row r="267" spans="1:11" x14ac:dyDescent="0.25">
      <c r="A267" t="s">
        <v>1663</v>
      </c>
      <c r="B267" t="s">
        <v>1664</v>
      </c>
      <c r="C267" t="s">
        <v>1665</v>
      </c>
      <c r="D267" t="s">
        <v>1666</v>
      </c>
      <c r="E267" t="s">
        <v>1667</v>
      </c>
      <c r="F267" s="9">
        <v>45393</v>
      </c>
      <c r="G267" s="9"/>
      <c r="H267">
        <v>66560</v>
      </c>
      <c r="I267" s="9">
        <v>45108</v>
      </c>
      <c r="J267" s="9">
        <v>45473</v>
      </c>
      <c r="K267" t="str">
        <f>IFERROR(INDEX(Crosswalk_API!$H$2:$H$527, MATCH(POP_API_TABLE[[#This Row],[PWSID]], CW_PWSID_LIST, 0)), "")</f>
        <v>No</v>
      </c>
    </row>
    <row r="268" spans="1:11" x14ac:dyDescent="0.25">
      <c r="A268" t="s">
        <v>1668</v>
      </c>
      <c r="B268" t="s">
        <v>1669</v>
      </c>
      <c r="C268" t="s">
        <v>1670</v>
      </c>
      <c r="D268" t="s">
        <v>1671</v>
      </c>
      <c r="E268" t="s">
        <v>1672</v>
      </c>
      <c r="F268" s="9">
        <v>43101</v>
      </c>
      <c r="G268" s="9"/>
      <c r="H268">
        <v>8234</v>
      </c>
      <c r="I268" s="9">
        <v>45108</v>
      </c>
      <c r="J268" s="9">
        <v>45473</v>
      </c>
      <c r="K268" t="str">
        <f>IFERROR(INDEX(Crosswalk_API!$H$2:$H$527, MATCH(POP_API_TABLE[[#This Row],[PWSID]], CW_PWSID_LIST, 0)), "")</f>
        <v>No</v>
      </c>
    </row>
    <row r="269" spans="1:11" x14ac:dyDescent="0.25">
      <c r="A269" t="s">
        <v>1673</v>
      </c>
      <c r="B269" t="s">
        <v>1674</v>
      </c>
      <c r="C269" t="s">
        <v>1675</v>
      </c>
      <c r="D269" t="s">
        <v>1676</v>
      </c>
      <c r="E269" t="s">
        <v>708</v>
      </c>
      <c r="F269" s="9">
        <v>44927</v>
      </c>
      <c r="G269" s="9"/>
      <c r="H269">
        <v>33673</v>
      </c>
      <c r="I269" s="9">
        <v>45108</v>
      </c>
      <c r="J269" s="9">
        <v>45473</v>
      </c>
      <c r="K269" t="str">
        <f>IFERROR(INDEX(Crosswalk_API!$H$2:$H$527, MATCH(POP_API_TABLE[[#This Row],[PWSID]], CW_PWSID_LIST, 0)), "")</f>
        <v>No</v>
      </c>
    </row>
    <row r="270" spans="1:11" x14ac:dyDescent="0.25">
      <c r="A270" t="s">
        <v>1677</v>
      </c>
      <c r="B270" t="s">
        <v>1678</v>
      </c>
      <c r="C270" t="s">
        <v>1679</v>
      </c>
      <c r="D270" t="s">
        <v>1680</v>
      </c>
      <c r="E270" t="s">
        <v>1051</v>
      </c>
      <c r="F270" s="9">
        <v>44378</v>
      </c>
      <c r="G270" s="9"/>
      <c r="H270">
        <v>84928</v>
      </c>
      <c r="I270" s="9">
        <v>45108</v>
      </c>
      <c r="J270" s="9">
        <v>45473</v>
      </c>
      <c r="K270" t="str">
        <f>IFERROR(INDEX(Crosswalk_API!$H$2:$H$527, MATCH(POP_API_TABLE[[#This Row],[PWSID]], CW_PWSID_LIST, 0)), "")</f>
        <v>No</v>
      </c>
    </row>
    <row r="271" spans="1:11" x14ac:dyDescent="0.25">
      <c r="A271" t="s">
        <v>1681</v>
      </c>
      <c r="B271" t="s">
        <v>1682</v>
      </c>
      <c r="C271" t="s">
        <v>1683</v>
      </c>
      <c r="D271" t="s">
        <v>1684</v>
      </c>
      <c r="E271" t="s">
        <v>1685</v>
      </c>
      <c r="F271" s="9">
        <v>45292</v>
      </c>
      <c r="G271" s="9"/>
      <c r="H271">
        <v>186895</v>
      </c>
      <c r="I271" s="9">
        <v>45108</v>
      </c>
      <c r="J271" s="9">
        <v>45473</v>
      </c>
      <c r="K271" t="str">
        <f>IFERROR(INDEX(Crosswalk_API!$H$2:$H$527, MATCH(POP_API_TABLE[[#This Row],[PWSID]], CW_PWSID_LIST, 0)), "")</f>
        <v>No</v>
      </c>
    </row>
    <row r="272" spans="1:11" x14ac:dyDescent="0.25">
      <c r="A272" t="s">
        <v>1686</v>
      </c>
      <c r="B272" t="s">
        <v>1687</v>
      </c>
      <c r="C272" t="s">
        <v>1688</v>
      </c>
      <c r="D272" t="s">
        <v>1689</v>
      </c>
      <c r="E272" t="s">
        <v>703</v>
      </c>
      <c r="F272" s="9">
        <v>43831</v>
      </c>
      <c r="G272" s="9"/>
      <c r="H272">
        <v>38377</v>
      </c>
      <c r="I272" s="9">
        <v>45108</v>
      </c>
      <c r="J272" s="9">
        <v>45473</v>
      </c>
      <c r="K272" t="str">
        <f>IFERROR(INDEX(Crosswalk_API!$H$2:$H$527, MATCH(POP_API_TABLE[[#This Row],[PWSID]], CW_PWSID_LIST, 0)), "")</f>
        <v>No</v>
      </c>
    </row>
    <row r="273" spans="1:11" x14ac:dyDescent="0.25">
      <c r="A273" t="s">
        <v>1690</v>
      </c>
      <c r="B273" t="s">
        <v>1691</v>
      </c>
      <c r="C273" t="s">
        <v>1692</v>
      </c>
      <c r="D273" t="s">
        <v>1693</v>
      </c>
      <c r="E273" t="s">
        <v>741</v>
      </c>
      <c r="F273" s="9">
        <v>44562</v>
      </c>
      <c r="G273" s="9"/>
      <c r="H273">
        <v>30997</v>
      </c>
      <c r="I273" s="9">
        <v>45108</v>
      </c>
      <c r="J273" s="9">
        <v>45473</v>
      </c>
      <c r="K273" t="str">
        <f>IFERROR(INDEX(Crosswalk_API!$H$2:$H$527, MATCH(POP_API_TABLE[[#This Row],[PWSID]], CW_PWSID_LIST, 0)), "")</f>
        <v>No</v>
      </c>
    </row>
    <row r="274" spans="1:11" x14ac:dyDescent="0.25">
      <c r="A274" t="s">
        <v>1694</v>
      </c>
      <c r="B274" t="s">
        <v>1695</v>
      </c>
      <c r="C274" t="s">
        <v>1696</v>
      </c>
      <c r="D274" t="s">
        <v>1697</v>
      </c>
      <c r="E274" t="s">
        <v>754</v>
      </c>
      <c r="F274" s="9">
        <v>45292</v>
      </c>
      <c r="G274" s="9"/>
      <c r="H274">
        <v>16900</v>
      </c>
      <c r="I274" s="9">
        <v>45108</v>
      </c>
      <c r="J274" s="9">
        <v>45473</v>
      </c>
      <c r="K274" t="str">
        <f>IFERROR(INDEX(Crosswalk_API!$H$2:$H$527, MATCH(POP_API_TABLE[[#This Row],[PWSID]], CW_PWSID_LIST, 0)), "")</f>
        <v>No</v>
      </c>
    </row>
    <row r="275" spans="1:11" x14ac:dyDescent="0.25">
      <c r="A275" t="s">
        <v>1698</v>
      </c>
      <c r="B275" t="s">
        <v>1699</v>
      </c>
      <c r="C275" t="s">
        <v>1700</v>
      </c>
      <c r="D275" t="s">
        <v>1701</v>
      </c>
      <c r="E275" t="s">
        <v>862</v>
      </c>
      <c r="F275" s="9">
        <v>45292</v>
      </c>
      <c r="G275" s="9"/>
      <c r="H275">
        <v>19297</v>
      </c>
      <c r="I275" s="9">
        <v>45108</v>
      </c>
      <c r="J275" s="9">
        <v>45473</v>
      </c>
      <c r="K275" t="str">
        <f>IFERROR(INDEX(Crosswalk_API!$H$2:$H$527, MATCH(POP_API_TABLE[[#This Row],[PWSID]], CW_PWSID_LIST, 0)), "")</f>
        <v>No</v>
      </c>
    </row>
    <row r="276" spans="1:11" x14ac:dyDescent="0.25">
      <c r="A276" t="s">
        <v>1702</v>
      </c>
      <c r="B276" t="s">
        <v>1703</v>
      </c>
      <c r="C276" t="s">
        <v>1704</v>
      </c>
      <c r="D276" t="s">
        <v>1705</v>
      </c>
      <c r="E276" t="s">
        <v>775</v>
      </c>
      <c r="F276" s="9">
        <v>45292</v>
      </c>
      <c r="G276" s="9"/>
      <c r="H276">
        <v>93692</v>
      </c>
      <c r="I276" s="9">
        <v>45108</v>
      </c>
      <c r="J276" s="9">
        <v>45473</v>
      </c>
      <c r="K276" t="str">
        <f>IFERROR(INDEX(Crosswalk_API!$H$2:$H$527, MATCH(POP_API_TABLE[[#This Row],[PWSID]], CW_PWSID_LIST, 0)), "")</f>
        <v>No</v>
      </c>
    </row>
    <row r="277" spans="1:11" x14ac:dyDescent="0.25">
      <c r="A277" t="s">
        <v>1706</v>
      </c>
      <c r="B277" t="s">
        <v>1707</v>
      </c>
      <c r="C277" t="s">
        <v>1708</v>
      </c>
      <c r="D277" t="s">
        <v>1709</v>
      </c>
      <c r="E277" t="s">
        <v>731</v>
      </c>
      <c r="F277" s="9">
        <v>44197</v>
      </c>
      <c r="G277" s="9"/>
      <c r="H277">
        <v>110000</v>
      </c>
      <c r="I277" s="9">
        <v>45108</v>
      </c>
      <c r="J277" s="9">
        <v>45473</v>
      </c>
      <c r="K277" t="str">
        <f>IFERROR(INDEX(Crosswalk_API!$H$2:$H$527, MATCH(POP_API_TABLE[[#This Row],[PWSID]], CW_PWSID_LIST, 0)), "")</f>
        <v>No</v>
      </c>
    </row>
    <row r="278" spans="1:11" x14ac:dyDescent="0.25">
      <c r="A278" t="s">
        <v>1710</v>
      </c>
      <c r="B278" t="s">
        <v>1711</v>
      </c>
      <c r="C278" t="s">
        <v>1712</v>
      </c>
      <c r="D278" t="s">
        <v>1713</v>
      </c>
      <c r="E278" t="s">
        <v>862</v>
      </c>
      <c r="F278" s="9">
        <v>45292</v>
      </c>
      <c r="G278" s="9"/>
      <c r="H278">
        <v>30609</v>
      </c>
      <c r="I278" s="9">
        <v>45108</v>
      </c>
      <c r="J278" s="9">
        <v>45473</v>
      </c>
      <c r="K278" t="str">
        <f>IFERROR(INDEX(Crosswalk_API!$H$2:$H$527, MATCH(POP_API_TABLE[[#This Row],[PWSID]], CW_PWSID_LIST, 0)), "")</f>
        <v>No</v>
      </c>
    </row>
    <row r="279" spans="1:11" x14ac:dyDescent="0.25">
      <c r="A279" t="s">
        <v>1714</v>
      </c>
      <c r="B279" t="s">
        <v>1715</v>
      </c>
      <c r="C279" t="s">
        <v>1716</v>
      </c>
      <c r="D279" t="s">
        <v>1717</v>
      </c>
      <c r="E279" t="s">
        <v>862</v>
      </c>
      <c r="F279" s="9">
        <v>45292</v>
      </c>
      <c r="G279" s="9"/>
      <c r="H279">
        <v>22795</v>
      </c>
      <c r="I279" s="9">
        <v>45108</v>
      </c>
      <c r="J279" s="9">
        <v>45473</v>
      </c>
      <c r="K279" t="str">
        <f>IFERROR(INDEX(Crosswalk_API!$H$2:$H$527, MATCH(POP_API_TABLE[[#This Row],[PWSID]], CW_PWSID_LIST, 0)), "")</f>
        <v>No</v>
      </c>
    </row>
    <row r="280" spans="1:11" x14ac:dyDescent="0.25">
      <c r="A280" t="s">
        <v>1718</v>
      </c>
      <c r="B280" t="s">
        <v>1719</v>
      </c>
      <c r="C280" t="s">
        <v>1720</v>
      </c>
      <c r="D280" t="s">
        <v>1721</v>
      </c>
      <c r="E280" t="s">
        <v>1007</v>
      </c>
      <c r="F280" s="9">
        <v>45292</v>
      </c>
      <c r="G280" s="9"/>
      <c r="H280">
        <v>77961</v>
      </c>
      <c r="I280" s="9">
        <v>45108</v>
      </c>
      <c r="J280" s="9">
        <v>45473</v>
      </c>
      <c r="K280" t="str">
        <f>IFERROR(INDEX(Crosswalk_API!$H$2:$H$527, MATCH(POP_API_TABLE[[#This Row],[PWSID]], CW_PWSID_LIST, 0)), "")</f>
        <v>No</v>
      </c>
    </row>
    <row r="281" spans="1:11" x14ac:dyDescent="0.25">
      <c r="A281" t="s">
        <v>1722</v>
      </c>
      <c r="B281" t="s">
        <v>1723</v>
      </c>
      <c r="C281" t="s">
        <v>1724</v>
      </c>
      <c r="D281" t="s">
        <v>1725</v>
      </c>
      <c r="E281" t="s">
        <v>793</v>
      </c>
      <c r="F281" s="9">
        <v>44197</v>
      </c>
      <c r="G281" s="9"/>
      <c r="H281">
        <v>43223</v>
      </c>
      <c r="I281" s="9">
        <v>45108</v>
      </c>
      <c r="J281" s="9">
        <v>45473</v>
      </c>
      <c r="K281" t="str">
        <f>IFERROR(INDEX(Crosswalk_API!$H$2:$H$527, MATCH(POP_API_TABLE[[#This Row],[PWSID]], CW_PWSID_LIST, 0)), "")</f>
        <v>No</v>
      </c>
    </row>
    <row r="282" spans="1:11" x14ac:dyDescent="0.25">
      <c r="A282" t="s">
        <v>1722</v>
      </c>
      <c r="B282" t="s">
        <v>1723</v>
      </c>
      <c r="C282" t="s">
        <v>1726</v>
      </c>
      <c r="D282" t="s">
        <v>1727</v>
      </c>
      <c r="E282" t="s">
        <v>793</v>
      </c>
      <c r="F282" s="9">
        <v>44197</v>
      </c>
      <c r="G282" s="9"/>
      <c r="H282">
        <v>496</v>
      </c>
      <c r="I282" s="9">
        <v>45108</v>
      </c>
      <c r="J282" s="9">
        <v>45473</v>
      </c>
      <c r="K282" t="str">
        <f>IFERROR(INDEX(Crosswalk_API!$H$2:$H$527, MATCH(POP_API_TABLE[[#This Row],[PWSID]], CW_PWSID_LIST, 0)), "")</f>
        <v>No</v>
      </c>
    </row>
    <row r="283" spans="1:11" x14ac:dyDescent="0.25">
      <c r="A283" t="s">
        <v>1722</v>
      </c>
      <c r="B283" t="s">
        <v>1723</v>
      </c>
      <c r="C283" t="s">
        <v>1728</v>
      </c>
      <c r="D283" t="s">
        <v>1729</v>
      </c>
      <c r="E283" t="s">
        <v>793</v>
      </c>
      <c r="F283" s="9">
        <v>44197</v>
      </c>
      <c r="G283" s="9"/>
      <c r="H283">
        <v>384</v>
      </c>
      <c r="I283" s="9">
        <v>45108</v>
      </c>
      <c r="J283" s="9">
        <v>45473</v>
      </c>
      <c r="K283" t="str">
        <f>IFERROR(INDEX(Crosswalk_API!$H$2:$H$527, MATCH(POP_API_TABLE[[#This Row],[PWSID]], CW_PWSID_LIST, 0)), "")</f>
        <v>No</v>
      </c>
    </row>
    <row r="284" spans="1:11" x14ac:dyDescent="0.25">
      <c r="A284" t="s">
        <v>1730</v>
      </c>
      <c r="B284" t="s">
        <v>1731</v>
      </c>
      <c r="C284" t="s">
        <v>1732</v>
      </c>
      <c r="D284" t="s">
        <v>1733</v>
      </c>
      <c r="E284" t="s">
        <v>1100</v>
      </c>
      <c r="F284" s="9">
        <v>45108</v>
      </c>
      <c r="G284" s="9"/>
      <c r="H284">
        <v>14537</v>
      </c>
      <c r="I284" s="9">
        <v>45108</v>
      </c>
      <c r="J284" s="9">
        <v>45473</v>
      </c>
      <c r="K284" t="str">
        <f>IFERROR(INDEX(Crosswalk_API!$H$2:$H$527, MATCH(POP_API_TABLE[[#This Row],[PWSID]], CW_PWSID_LIST, 0)), "")</f>
        <v>No</v>
      </c>
    </row>
    <row r="285" spans="1:11" x14ac:dyDescent="0.25">
      <c r="A285" t="s">
        <v>1730</v>
      </c>
      <c r="B285" t="s">
        <v>1731</v>
      </c>
      <c r="C285" t="s">
        <v>1734</v>
      </c>
      <c r="D285" t="s">
        <v>1735</v>
      </c>
      <c r="E285" t="s">
        <v>1100</v>
      </c>
      <c r="F285" s="9">
        <v>45108</v>
      </c>
      <c r="G285" s="9"/>
      <c r="H285">
        <v>218771</v>
      </c>
      <c r="I285" s="9">
        <v>45108</v>
      </c>
      <c r="J285" s="9">
        <v>45473</v>
      </c>
      <c r="K285" t="str">
        <f>IFERROR(INDEX(Crosswalk_API!$H$2:$H$527, MATCH(POP_API_TABLE[[#This Row],[PWSID]], CW_PWSID_LIST, 0)), "")</f>
        <v>No</v>
      </c>
    </row>
    <row r="286" spans="1:11" x14ac:dyDescent="0.25">
      <c r="A286" t="s">
        <v>1730</v>
      </c>
      <c r="B286" t="s">
        <v>1731</v>
      </c>
      <c r="C286" t="s">
        <v>1736</v>
      </c>
      <c r="D286" t="s">
        <v>1737</v>
      </c>
      <c r="E286" t="s">
        <v>1100</v>
      </c>
      <c r="F286" s="9">
        <v>45108</v>
      </c>
      <c r="G286" s="9"/>
      <c r="H286">
        <v>1099</v>
      </c>
      <c r="I286" s="9">
        <v>45108</v>
      </c>
      <c r="J286" s="9">
        <v>45473</v>
      </c>
      <c r="K286" t="str">
        <f>IFERROR(INDEX(Crosswalk_API!$H$2:$H$527, MATCH(POP_API_TABLE[[#This Row],[PWSID]], CW_PWSID_LIST, 0)), "")</f>
        <v>No</v>
      </c>
    </row>
    <row r="287" spans="1:11" x14ac:dyDescent="0.25">
      <c r="A287" t="s">
        <v>1730</v>
      </c>
      <c r="B287" t="s">
        <v>1731</v>
      </c>
      <c r="C287" t="s">
        <v>1738</v>
      </c>
      <c r="D287" t="s">
        <v>1739</v>
      </c>
      <c r="E287" t="s">
        <v>1100</v>
      </c>
      <c r="F287" s="9">
        <v>43592</v>
      </c>
      <c r="G287" s="9"/>
      <c r="H287">
        <v>1327</v>
      </c>
      <c r="I287" s="9">
        <v>45108</v>
      </c>
      <c r="J287" s="9">
        <v>45473</v>
      </c>
      <c r="K287" t="str">
        <f>IFERROR(INDEX(Crosswalk_API!$H$2:$H$527, MATCH(POP_API_TABLE[[#This Row],[PWSID]], CW_PWSID_LIST, 0)), "")</f>
        <v>No</v>
      </c>
    </row>
    <row r="288" spans="1:11" x14ac:dyDescent="0.25">
      <c r="A288" t="s">
        <v>1730</v>
      </c>
      <c r="B288" t="s">
        <v>1731</v>
      </c>
      <c r="C288" t="s">
        <v>1740</v>
      </c>
      <c r="D288" t="s">
        <v>1741</v>
      </c>
      <c r="E288" t="s">
        <v>1100</v>
      </c>
      <c r="F288" s="9">
        <v>42370</v>
      </c>
      <c r="G288" s="9"/>
      <c r="H288">
        <v>175</v>
      </c>
      <c r="I288" s="9">
        <v>45108</v>
      </c>
      <c r="J288" s="9">
        <v>45473</v>
      </c>
      <c r="K288" t="str">
        <f>IFERROR(INDEX(Crosswalk_API!$H$2:$H$527, MATCH(POP_API_TABLE[[#This Row],[PWSID]], CW_PWSID_LIST, 0)), "")</f>
        <v>No</v>
      </c>
    </row>
    <row r="289" spans="1:11" x14ac:dyDescent="0.25">
      <c r="A289" t="s">
        <v>1730</v>
      </c>
      <c r="B289" t="s">
        <v>1731</v>
      </c>
      <c r="C289" t="s">
        <v>1742</v>
      </c>
      <c r="D289" t="s">
        <v>1743</v>
      </c>
      <c r="E289" t="s">
        <v>1100</v>
      </c>
      <c r="F289" s="9">
        <v>43284</v>
      </c>
      <c r="G289" s="9"/>
      <c r="H289">
        <v>914</v>
      </c>
      <c r="I289" s="9">
        <v>45108</v>
      </c>
      <c r="J289" s="9">
        <v>45473</v>
      </c>
      <c r="K289" t="str">
        <f>IFERROR(INDEX(Crosswalk_API!$H$2:$H$527, MATCH(POP_API_TABLE[[#This Row],[PWSID]], CW_PWSID_LIST, 0)), "")</f>
        <v>No</v>
      </c>
    </row>
    <row r="290" spans="1:11" x14ac:dyDescent="0.25">
      <c r="A290" t="s">
        <v>1730</v>
      </c>
      <c r="B290" t="s">
        <v>1731</v>
      </c>
      <c r="C290" t="s">
        <v>1744</v>
      </c>
      <c r="D290" t="s">
        <v>1745</v>
      </c>
      <c r="E290" t="s">
        <v>1100</v>
      </c>
      <c r="F290" s="9">
        <v>42370</v>
      </c>
      <c r="G290" s="9"/>
      <c r="H290">
        <v>172</v>
      </c>
      <c r="I290" s="9">
        <v>45108</v>
      </c>
      <c r="J290" s="9">
        <v>45473</v>
      </c>
      <c r="K290" t="str">
        <f>IFERROR(INDEX(Crosswalk_API!$H$2:$H$527, MATCH(POP_API_TABLE[[#This Row],[PWSID]], CW_PWSID_LIST, 0)), "")</f>
        <v>No</v>
      </c>
    </row>
    <row r="291" spans="1:11" x14ac:dyDescent="0.25">
      <c r="A291" t="s">
        <v>1730</v>
      </c>
      <c r="B291" t="s">
        <v>1731</v>
      </c>
      <c r="C291" t="s">
        <v>1746</v>
      </c>
      <c r="D291" t="s">
        <v>1747</v>
      </c>
      <c r="E291" t="s">
        <v>1100</v>
      </c>
      <c r="F291" s="9">
        <v>42370</v>
      </c>
      <c r="G291" s="9"/>
      <c r="H291">
        <v>119</v>
      </c>
      <c r="I291" s="9">
        <v>45108</v>
      </c>
      <c r="J291" s="9">
        <v>45473</v>
      </c>
      <c r="K291" t="str">
        <f>IFERROR(INDEX(Crosswalk_API!$H$2:$H$527, MATCH(POP_API_TABLE[[#This Row],[PWSID]], CW_PWSID_LIST, 0)), "")</f>
        <v>No</v>
      </c>
    </row>
    <row r="292" spans="1:11" x14ac:dyDescent="0.25">
      <c r="A292" t="s">
        <v>1748</v>
      </c>
      <c r="B292" t="s">
        <v>1749</v>
      </c>
      <c r="C292" t="s">
        <v>1750</v>
      </c>
      <c r="D292" t="s">
        <v>1751</v>
      </c>
      <c r="E292" t="s">
        <v>708</v>
      </c>
      <c r="F292" s="9">
        <v>44927</v>
      </c>
      <c r="G292" s="9"/>
      <c r="H292">
        <v>37931</v>
      </c>
      <c r="I292" s="9">
        <v>45108</v>
      </c>
      <c r="J292" s="9">
        <v>45473</v>
      </c>
      <c r="K292" t="str">
        <f>IFERROR(INDEX(Crosswalk_API!$H$2:$H$527, MATCH(POP_API_TABLE[[#This Row],[PWSID]], CW_PWSID_LIST, 0)), "")</f>
        <v>No</v>
      </c>
    </row>
    <row r="293" spans="1:11" x14ac:dyDescent="0.25">
      <c r="A293" t="s">
        <v>1752</v>
      </c>
      <c r="B293" t="s">
        <v>1753</v>
      </c>
      <c r="C293" t="s">
        <v>1754</v>
      </c>
      <c r="D293" t="s">
        <v>1755</v>
      </c>
      <c r="E293" t="s">
        <v>693</v>
      </c>
      <c r="F293" s="9">
        <v>43831</v>
      </c>
      <c r="G293" s="9">
        <v>45657</v>
      </c>
      <c r="H293">
        <v>56422</v>
      </c>
      <c r="I293" s="9">
        <v>45108</v>
      </c>
      <c r="J293" s="9">
        <v>45473</v>
      </c>
      <c r="K293" t="str">
        <f>IFERROR(INDEX(Crosswalk_API!$H$2:$H$527, MATCH(POP_API_TABLE[[#This Row],[PWSID]], CW_PWSID_LIST, 0)), "")</f>
        <v>No</v>
      </c>
    </row>
    <row r="294" spans="1:11" x14ac:dyDescent="0.25">
      <c r="A294" t="s">
        <v>1756</v>
      </c>
      <c r="B294" t="s">
        <v>1757</v>
      </c>
      <c r="C294" t="s">
        <v>1758</v>
      </c>
      <c r="D294" t="s">
        <v>1759</v>
      </c>
      <c r="E294" t="s">
        <v>708</v>
      </c>
      <c r="F294" s="9">
        <v>42736</v>
      </c>
      <c r="G294" s="9"/>
      <c r="H294">
        <v>26554</v>
      </c>
      <c r="I294" s="9">
        <v>45108</v>
      </c>
      <c r="J294" s="9">
        <v>45473</v>
      </c>
      <c r="K294" t="str">
        <f>IFERROR(INDEX(Crosswalk_API!$H$2:$H$527, MATCH(POP_API_TABLE[[#This Row],[PWSID]], CW_PWSID_LIST, 0)), "")</f>
        <v>No</v>
      </c>
    </row>
    <row r="295" spans="1:11" x14ac:dyDescent="0.25">
      <c r="A295" t="s">
        <v>1760</v>
      </c>
      <c r="B295" t="s">
        <v>1761</v>
      </c>
      <c r="C295" t="s">
        <v>1762</v>
      </c>
      <c r="D295" t="s">
        <v>1763</v>
      </c>
      <c r="E295" t="s">
        <v>1089</v>
      </c>
      <c r="F295" s="9">
        <v>44927</v>
      </c>
      <c r="G295" s="9"/>
      <c r="H295">
        <v>11962</v>
      </c>
      <c r="I295" s="9">
        <v>45108</v>
      </c>
      <c r="J295" s="9">
        <v>45473</v>
      </c>
      <c r="K295" t="str">
        <f>IFERROR(INDEX(Crosswalk_API!$H$2:$H$527, MATCH(POP_API_TABLE[[#This Row],[PWSID]], CW_PWSID_LIST, 0)), "")</f>
        <v>No</v>
      </c>
    </row>
    <row r="296" spans="1:11" x14ac:dyDescent="0.25">
      <c r="A296" t="s">
        <v>1764</v>
      </c>
      <c r="B296" t="s">
        <v>1765</v>
      </c>
      <c r="C296" t="s">
        <v>1766</v>
      </c>
      <c r="D296" t="s">
        <v>1767</v>
      </c>
      <c r="E296" t="s">
        <v>708</v>
      </c>
      <c r="F296" s="9">
        <v>42005</v>
      </c>
      <c r="G296" s="9"/>
      <c r="H296">
        <v>62183</v>
      </c>
      <c r="I296" s="9">
        <v>45108</v>
      </c>
      <c r="J296" s="9">
        <v>45473</v>
      </c>
      <c r="K296" t="str">
        <f>IFERROR(INDEX(Crosswalk_API!$H$2:$H$527, MATCH(POP_API_TABLE[[#This Row],[PWSID]], CW_PWSID_LIST, 0)), "")</f>
        <v>No</v>
      </c>
    </row>
    <row r="297" spans="1:11" x14ac:dyDescent="0.25">
      <c r="A297" t="s">
        <v>1768</v>
      </c>
      <c r="B297" t="s">
        <v>1769</v>
      </c>
      <c r="C297" t="s">
        <v>1770</v>
      </c>
      <c r="D297" t="s">
        <v>1771</v>
      </c>
      <c r="E297" t="s">
        <v>1007</v>
      </c>
      <c r="F297" s="9">
        <v>44812</v>
      </c>
      <c r="G297" s="9"/>
      <c r="H297">
        <v>47374</v>
      </c>
      <c r="I297" s="9">
        <v>45108</v>
      </c>
      <c r="J297" s="9">
        <v>45473</v>
      </c>
      <c r="K297" t="str">
        <f>IFERROR(INDEX(Crosswalk_API!$H$2:$H$527, MATCH(POP_API_TABLE[[#This Row],[PWSID]], CW_PWSID_LIST, 0)), "")</f>
        <v>No</v>
      </c>
    </row>
    <row r="298" spans="1:11" x14ac:dyDescent="0.25">
      <c r="A298" t="s">
        <v>1772</v>
      </c>
      <c r="B298" t="s">
        <v>1773</v>
      </c>
      <c r="C298" t="s">
        <v>1774</v>
      </c>
      <c r="D298" t="s">
        <v>1775</v>
      </c>
      <c r="E298" t="s">
        <v>761</v>
      </c>
      <c r="F298" s="9">
        <v>44927</v>
      </c>
      <c r="G298" s="9"/>
      <c r="H298">
        <v>10757</v>
      </c>
      <c r="I298" s="9">
        <v>45108</v>
      </c>
      <c r="J298" s="9">
        <v>45473</v>
      </c>
      <c r="K298" t="str">
        <f>IFERROR(INDEX(Crosswalk_API!$H$2:$H$527, MATCH(POP_API_TABLE[[#This Row],[PWSID]], CW_PWSID_LIST, 0)), "")</f>
        <v>No</v>
      </c>
    </row>
    <row r="299" spans="1:11" x14ac:dyDescent="0.25">
      <c r="A299" t="s">
        <v>1776</v>
      </c>
      <c r="B299" t="s">
        <v>1777</v>
      </c>
      <c r="C299" t="s">
        <v>1778</v>
      </c>
      <c r="D299" t="s">
        <v>1779</v>
      </c>
      <c r="E299" t="s">
        <v>731</v>
      </c>
      <c r="F299" s="9">
        <v>43006</v>
      </c>
      <c r="G299" s="9"/>
      <c r="H299">
        <v>170236</v>
      </c>
      <c r="I299" s="9">
        <v>45108</v>
      </c>
      <c r="J299" s="9">
        <v>45473</v>
      </c>
      <c r="K299" t="str">
        <f>IFERROR(INDEX(Crosswalk_API!$H$2:$H$527, MATCH(POP_API_TABLE[[#This Row],[PWSID]], CW_PWSID_LIST, 0)), "")</f>
        <v>No</v>
      </c>
    </row>
    <row r="300" spans="1:11" x14ac:dyDescent="0.25">
      <c r="A300" t="s">
        <v>2587</v>
      </c>
      <c r="B300" t="s">
        <v>2588</v>
      </c>
      <c r="C300" t="s">
        <v>2589</v>
      </c>
      <c r="D300" t="s">
        <v>2590</v>
      </c>
      <c r="E300" t="s">
        <v>1051</v>
      </c>
      <c r="F300" s="9">
        <v>45292</v>
      </c>
      <c r="G300" s="9">
        <v>45657</v>
      </c>
      <c r="H300">
        <v>24235</v>
      </c>
      <c r="I300" s="9">
        <v>45108</v>
      </c>
      <c r="J300" s="9">
        <v>45473</v>
      </c>
      <c r="K300" t="str">
        <f>IFERROR(INDEX(Crosswalk_API!$H$2:$H$527, MATCH(POP_API_TABLE[[#This Row],[PWSID]], CW_PWSID_LIST, 0)), "")</f>
        <v>No</v>
      </c>
    </row>
    <row r="301" spans="1:11" x14ac:dyDescent="0.25">
      <c r="A301" t="s">
        <v>1780</v>
      </c>
      <c r="B301" t="s">
        <v>1781</v>
      </c>
      <c r="C301" t="s">
        <v>1782</v>
      </c>
      <c r="D301" t="s">
        <v>1783</v>
      </c>
      <c r="E301" t="s">
        <v>1007</v>
      </c>
      <c r="F301" s="9">
        <v>44824</v>
      </c>
      <c r="G301" s="9"/>
      <c r="H301">
        <v>81501</v>
      </c>
      <c r="I301" s="9">
        <v>45108</v>
      </c>
      <c r="J301" s="9">
        <v>45473</v>
      </c>
      <c r="K301" t="str">
        <f>IFERROR(INDEX(Crosswalk_API!$H$2:$H$527, MATCH(POP_API_TABLE[[#This Row],[PWSID]], CW_PWSID_LIST, 0)), "")</f>
        <v>No</v>
      </c>
    </row>
    <row r="302" spans="1:11" x14ac:dyDescent="0.25">
      <c r="A302" t="s">
        <v>1784</v>
      </c>
      <c r="B302" t="s">
        <v>1785</v>
      </c>
      <c r="C302" t="s">
        <v>1786</v>
      </c>
      <c r="D302" t="s">
        <v>1787</v>
      </c>
      <c r="E302" t="s">
        <v>793</v>
      </c>
      <c r="F302" s="9">
        <v>44927</v>
      </c>
      <c r="G302" s="9"/>
      <c r="H302">
        <v>9445</v>
      </c>
      <c r="I302" s="9">
        <v>45108</v>
      </c>
      <c r="J302" s="9">
        <v>45473</v>
      </c>
      <c r="K302" t="str">
        <f>IFERROR(INDEX(Crosswalk_API!$H$2:$H$527, MATCH(POP_API_TABLE[[#This Row],[PWSID]], CW_PWSID_LIST, 0)), "")</f>
        <v>No</v>
      </c>
    </row>
    <row r="303" spans="1:11" x14ac:dyDescent="0.25">
      <c r="A303" t="s">
        <v>1788</v>
      </c>
      <c r="B303" t="s">
        <v>1789</v>
      </c>
      <c r="C303" t="s">
        <v>1790</v>
      </c>
      <c r="D303" t="s">
        <v>1791</v>
      </c>
      <c r="E303" t="s">
        <v>726</v>
      </c>
      <c r="F303" s="9">
        <v>43831</v>
      </c>
      <c r="G303" s="9"/>
      <c r="H303">
        <v>85005</v>
      </c>
      <c r="I303" s="9">
        <v>45108</v>
      </c>
      <c r="J303" s="9">
        <v>45473</v>
      </c>
      <c r="K303" t="str">
        <f>IFERROR(INDEX(Crosswalk_API!$H$2:$H$527, MATCH(POP_API_TABLE[[#This Row],[PWSID]], CW_PWSID_LIST, 0)), "")</f>
        <v>No</v>
      </c>
    </row>
    <row r="304" spans="1:11" x14ac:dyDescent="0.25">
      <c r="A304" t="s">
        <v>1792</v>
      </c>
      <c r="B304" t="s">
        <v>1793</v>
      </c>
      <c r="C304" t="s">
        <v>1794</v>
      </c>
      <c r="D304" t="s">
        <v>1795</v>
      </c>
      <c r="E304" t="s">
        <v>1796</v>
      </c>
      <c r="F304" s="9">
        <v>45292</v>
      </c>
      <c r="G304" s="9"/>
      <c r="H304">
        <v>17154</v>
      </c>
      <c r="I304" s="9">
        <v>45108</v>
      </c>
      <c r="J304" s="9">
        <v>45473</v>
      </c>
      <c r="K304" t="str">
        <f>IFERROR(INDEX(Crosswalk_API!$H$2:$H$527, MATCH(POP_API_TABLE[[#This Row],[PWSID]], CW_PWSID_LIST, 0)), "")</f>
        <v>No</v>
      </c>
    </row>
    <row r="305" spans="1:11" x14ac:dyDescent="0.25">
      <c r="A305" t="s">
        <v>1792</v>
      </c>
      <c r="B305" t="s">
        <v>1793</v>
      </c>
      <c r="C305" t="s">
        <v>1797</v>
      </c>
      <c r="D305" t="s">
        <v>1798</v>
      </c>
      <c r="E305" t="s">
        <v>1796</v>
      </c>
      <c r="F305" s="9">
        <v>45292</v>
      </c>
      <c r="G305" s="9"/>
      <c r="H305">
        <v>14072</v>
      </c>
      <c r="I305" s="9">
        <v>45108</v>
      </c>
      <c r="J305" s="9">
        <v>45473</v>
      </c>
      <c r="K305" t="str">
        <f>IFERROR(INDEX(Crosswalk_API!$H$2:$H$527, MATCH(POP_API_TABLE[[#This Row],[PWSID]], CW_PWSID_LIST, 0)), "")</f>
        <v>No</v>
      </c>
    </row>
    <row r="306" spans="1:11" x14ac:dyDescent="0.25">
      <c r="A306" t="s">
        <v>1792</v>
      </c>
      <c r="B306" t="s">
        <v>1793</v>
      </c>
      <c r="C306" t="s">
        <v>1799</v>
      </c>
      <c r="D306" t="s">
        <v>1800</v>
      </c>
      <c r="E306" t="s">
        <v>1796</v>
      </c>
      <c r="F306" s="9">
        <v>45292</v>
      </c>
      <c r="G306" s="9"/>
      <c r="H306">
        <v>6870</v>
      </c>
      <c r="I306" s="9">
        <v>45108</v>
      </c>
      <c r="J306" s="9">
        <v>45473</v>
      </c>
      <c r="K306" t="str">
        <f>IFERROR(INDEX(Crosswalk_API!$H$2:$H$527, MATCH(POP_API_TABLE[[#This Row],[PWSID]], CW_PWSID_LIST, 0)), "")</f>
        <v>No</v>
      </c>
    </row>
    <row r="307" spans="1:11" x14ac:dyDescent="0.25">
      <c r="A307" t="s">
        <v>1792</v>
      </c>
      <c r="B307" t="s">
        <v>1793</v>
      </c>
      <c r="C307" t="s">
        <v>1801</v>
      </c>
      <c r="D307" t="s">
        <v>1802</v>
      </c>
      <c r="E307" t="s">
        <v>1796</v>
      </c>
      <c r="F307" s="9">
        <v>45292</v>
      </c>
      <c r="G307" s="9"/>
      <c r="H307">
        <v>9108</v>
      </c>
      <c r="I307" s="9">
        <v>45108</v>
      </c>
      <c r="J307" s="9">
        <v>45473</v>
      </c>
      <c r="K307" t="str">
        <f>IFERROR(INDEX(Crosswalk_API!$H$2:$H$527, MATCH(POP_API_TABLE[[#This Row],[PWSID]], CW_PWSID_LIST, 0)), "")</f>
        <v>No</v>
      </c>
    </row>
    <row r="308" spans="1:11" x14ac:dyDescent="0.25">
      <c r="A308" t="s">
        <v>1792</v>
      </c>
      <c r="B308" t="s">
        <v>1793</v>
      </c>
      <c r="C308" t="s">
        <v>1803</v>
      </c>
      <c r="D308" t="s">
        <v>1804</v>
      </c>
      <c r="E308" t="s">
        <v>910</v>
      </c>
      <c r="F308" s="9">
        <v>45292</v>
      </c>
      <c r="G308" s="9"/>
      <c r="H308">
        <v>6870</v>
      </c>
      <c r="I308" s="9">
        <v>45108</v>
      </c>
      <c r="J308" s="9">
        <v>45473</v>
      </c>
      <c r="K308" t="str">
        <f>IFERROR(INDEX(Crosswalk_API!$H$2:$H$527, MATCH(POP_API_TABLE[[#This Row],[PWSID]], CW_PWSID_LIST, 0)), "")</f>
        <v>No</v>
      </c>
    </row>
    <row r="309" spans="1:11" x14ac:dyDescent="0.25">
      <c r="A309" t="s">
        <v>1792</v>
      </c>
      <c r="B309" t="s">
        <v>1793</v>
      </c>
      <c r="C309" t="s">
        <v>1805</v>
      </c>
      <c r="D309" t="s">
        <v>1806</v>
      </c>
      <c r="E309" t="s">
        <v>1012</v>
      </c>
      <c r="F309" s="9">
        <v>45292</v>
      </c>
      <c r="G309" s="9"/>
      <c r="H309">
        <v>122</v>
      </c>
      <c r="I309" s="9">
        <v>45108</v>
      </c>
      <c r="J309" s="9">
        <v>45473</v>
      </c>
      <c r="K309" t="str">
        <f>IFERROR(INDEX(Crosswalk_API!$H$2:$H$527, MATCH(POP_API_TABLE[[#This Row],[PWSID]], CW_PWSID_LIST, 0)), "")</f>
        <v>No</v>
      </c>
    </row>
    <row r="310" spans="1:11" x14ac:dyDescent="0.25">
      <c r="A310" t="s">
        <v>1807</v>
      </c>
      <c r="B310" t="s">
        <v>1808</v>
      </c>
      <c r="C310" t="s">
        <v>1809</v>
      </c>
      <c r="D310" t="s">
        <v>1810</v>
      </c>
      <c r="E310" t="s">
        <v>1100</v>
      </c>
      <c r="F310" s="9">
        <v>45108</v>
      </c>
      <c r="G310" s="9">
        <v>45657</v>
      </c>
      <c r="H310">
        <v>12351</v>
      </c>
      <c r="I310" s="9">
        <v>45108</v>
      </c>
      <c r="J310" s="9">
        <v>45473</v>
      </c>
      <c r="K310" t="str">
        <f>IFERROR(INDEX(Crosswalk_API!$H$2:$H$527, MATCH(POP_API_TABLE[[#This Row],[PWSID]], CW_PWSID_LIST, 0)), "")</f>
        <v>No</v>
      </c>
    </row>
    <row r="311" spans="1:11" x14ac:dyDescent="0.25">
      <c r="A311" t="s">
        <v>1811</v>
      </c>
      <c r="B311" t="s">
        <v>1812</v>
      </c>
      <c r="C311" t="s">
        <v>1813</v>
      </c>
      <c r="D311" t="s">
        <v>1814</v>
      </c>
      <c r="E311" t="s">
        <v>731</v>
      </c>
      <c r="F311" s="9">
        <v>44927</v>
      </c>
      <c r="G311" s="9"/>
      <c r="H311">
        <v>68572</v>
      </c>
      <c r="I311" s="9">
        <v>45108</v>
      </c>
      <c r="J311" s="9">
        <v>45473</v>
      </c>
      <c r="K311" t="str">
        <f>IFERROR(INDEX(Crosswalk_API!$H$2:$H$527, MATCH(POP_API_TABLE[[#This Row],[PWSID]], CW_PWSID_LIST, 0)), "")</f>
        <v>No</v>
      </c>
    </row>
    <row r="312" spans="1:11" x14ac:dyDescent="0.25">
      <c r="A312" t="s">
        <v>1815</v>
      </c>
      <c r="B312" t="s">
        <v>1816</v>
      </c>
      <c r="C312" t="s">
        <v>1817</v>
      </c>
      <c r="D312" t="s">
        <v>1818</v>
      </c>
      <c r="E312" t="s">
        <v>761</v>
      </c>
      <c r="F312" s="9">
        <v>43831</v>
      </c>
      <c r="G312" s="9"/>
      <c r="H312">
        <v>13771</v>
      </c>
      <c r="I312" s="9">
        <v>45108</v>
      </c>
      <c r="J312" s="9">
        <v>45473</v>
      </c>
      <c r="K312" t="str">
        <f>IFERROR(INDEX(Crosswalk_API!$H$2:$H$527, MATCH(POP_API_TABLE[[#This Row],[PWSID]], CW_PWSID_LIST, 0)), "")</f>
        <v>No</v>
      </c>
    </row>
    <row r="313" spans="1:11" x14ac:dyDescent="0.25">
      <c r="A313" t="s">
        <v>1819</v>
      </c>
      <c r="B313" t="s">
        <v>1820</v>
      </c>
      <c r="C313" t="s">
        <v>1821</v>
      </c>
      <c r="D313" t="s">
        <v>1822</v>
      </c>
      <c r="E313" t="s">
        <v>793</v>
      </c>
      <c r="F313" s="9">
        <v>44927</v>
      </c>
      <c r="G313" s="9"/>
      <c r="H313">
        <v>25037</v>
      </c>
      <c r="I313" s="9">
        <v>45108</v>
      </c>
      <c r="J313" s="9">
        <v>45473</v>
      </c>
      <c r="K313" t="str">
        <f>IFERROR(INDEX(Crosswalk_API!$H$2:$H$527, MATCH(POP_API_TABLE[[#This Row],[PWSID]], CW_PWSID_LIST, 0)), "")</f>
        <v>No</v>
      </c>
    </row>
    <row r="314" spans="1:11" x14ac:dyDescent="0.25">
      <c r="A314" t="s">
        <v>1823</v>
      </c>
      <c r="B314" t="s">
        <v>1824</v>
      </c>
      <c r="C314" t="s">
        <v>1825</v>
      </c>
      <c r="D314" t="s">
        <v>1826</v>
      </c>
      <c r="E314" t="s">
        <v>862</v>
      </c>
      <c r="F314" s="9">
        <v>39814</v>
      </c>
      <c r="G314" s="9"/>
      <c r="H314">
        <v>38546</v>
      </c>
      <c r="I314" s="9">
        <v>45108</v>
      </c>
      <c r="J314" s="9">
        <v>45473</v>
      </c>
      <c r="K314" t="str">
        <f>IFERROR(INDEX(Crosswalk_API!$H$2:$H$527, MATCH(POP_API_TABLE[[#This Row],[PWSID]], CW_PWSID_LIST, 0)), "")</f>
        <v>No</v>
      </c>
    </row>
    <row r="315" spans="1:11" x14ac:dyDescent="0.25">
      <c r="A315" t="s">
        <v>1827</v>
      </c>
      <c r="B315" t="s">
        <v>1828</v>
      </c>
      <c r="C315" t="s">
        <v>1829</v>
      </c>
      <c r="D315" t="s">
        <v>1830</v>
      </c>
      <c r="E315" t="s">
        <v>1685</v>
      </c>
      <c r="F315" s="9">
        <v>45131</v>
      </c>
      <c r="G315" s="9"/>
      <c r="H315">
        <v>61683</v>
      </c>
      <c r="I315" s="9">
        <v>45108</v>
      </c>
      <c r="J315" s="9">
        <v>45473</v>
      </c>
      <c r="K315" t="str">
        <f>IFERROR(INDEX(Crosswalk_API!$H$2:$H$527, MATCH(POP_API_TABLE[[#This Row],[PWSID]], CW_PWSID_LIST, 0)), "")</f>
        <v>No</v>
      </c>
    </row>
    <row r="316" spans="1:11" x14ac:dyDescent="0.25">
      <c r="A316" t="s">
        <v>1831</v>
      </c>
      <c r="B316" t="s">
        <v>1832</v>
      </c>
      <c r="C316" t="s">
        <v>1833</v>
      </c>
      <c r="D316" t="s">
        <v>1834</v>
      </c>
      <c r="E316" t="s">
        <v>910</v>
      </c>
      <c r="F316" s="9">
        <v>45292</v>
      </c>
      <c r="G316" s="9"/>
      <c r="H316">
        <v>4214</v>
      </c>
      <c r="I316" s="9">
        <v>45108</v>
      </c>
      <c r="J316" s="9">
        <v>45473</v>
      </c>
      <c r="K316" t="str">
        <f>IFERROR(INDEX(Crosswalk_API!$H$2:$H$527, MATCH(POP_API_TABLE[[#This Row],[PWSID]], CW_PWSID_LIST, 0)), "")</f>
        <v>No</v>
      </c>
    </row>
    <row r="317" spans="1:11" x14ac:dyDescent="0.25">
      <c r="A317" t="s">
        <v>1831</v>
      </c>
      <c r="B317" t="s">
        <v>1832</v>
      </c>
      <c r="C317" t="s">
        <v>1835</v>
      </c>
      <c r="D317" t="s">
        <v>1836</v>
      </c>
      <c r="E317" t="s">
        <v>910</v>
      </c>
      <c r="F317" s="9">
        <v>45292</v>
      </c>
      <c r="G317" s="9"/>
      <c r="H317">
        <v>349</v>
      </c>
      <c r="I317" s="9">
        <v>45108</v>
      </c>
      <c r="J317" s="9">
        <v>45473</v>
      </c>
      <c r="K317" t="str">
        <f>IFERROR(INDEX(Crosswalk_API!$H$2:$H$527, MATCH(POP_API_TABLE[[#This Row],[PWSID]], CW_PWSID_LIST, 0)), "")</f>
        <v>No</v>
      </c>
    </row>
    <row r="318" spans="1:11" x14ac:dyDescent="0.25">
      <c r="A318" t="s">
        <v>1831</v>
      </c>
      <c r="B318" t="s">
        <v>1832</v>
      </c>
      <c r="C318" t="s">
        <v>1837</v>
      </c>
      <c r="D318" t="s">
        <v>1838</v>
      </c>
      <c r="E318" t="s">
        <v>910</v>
      </c>
      <c r="F318" s="9">
        <v>45292</v>
      </c>
      <c r="G318" s="9"/>
      <c r="H318">
        <v>338</v>
      </c>
      <c r="I318" s="9">
        <v>45108</v>
      </c>
      <c r="J318" s="9">
        <v>45473</v>
      </c>
      <c r="K318" t="str">
        <f>IFERROR(INDEX(Crosswalk_API!$H$2:$H$527, MATCH(POP_API_TABLE[[#This Row],[PWSID]], CW_PWSID_LIST, 0)), "")</f>
        <v>No</v>
      </c>
    </row>
    <row r="319" spans="1:11" x14ac:dyDescent="0.25">
      <c r="A319" t="s">
        <v>1839</v>
      </c>
      <c r="B319" t="s">
        <v>1840</v>
      </c>
      <c r="C319" t="s">
        <v>1841</v>
      </c>
      <c r="D319" t="s">
        <v>1842</v>
      </c>
      <c r="E319" t="s">
        <v>708</v>
      </c>
      <c r="F319" s="9">
        <v>45292</v>
      </c>
      <c r="G319" s="9"/>
      <c r="H319">
        <v>20283</v>
      </c>
      <c r="I319" s="9">
        <v>45108</v>
      </c>
      <c r="J319" s="9">
        <v>45473</v>
      </c>
      <c r="K319" t="str">
        <f>IFERROR(INDEX(Crosswalk_API!$H$2:$H$527, MATCH(POP_API_TABLE[[#This Row],[PWSID]], CW_PWSID_LIST, 0)), "")</f>
        <v>No</v>
      </c>
    </row>
    <row r="320" spans="1:11" x14ac:dyDescent="0.25">
      <c r="A320" t="s">
        <v>1843</v>
      </c>
      <c r="B320" t="s">
        <v>1844</v>
      </c>
      <c r="C320" t="s">
        <v>1845</v>
      </c>
      <c r="D320" t="s">
        <v>1846</v>
      </c>
      <c r="E320" t="s">
        <v>1100</v>
      </c>
      <c r="F320" s="9">
        <v>45108</v>
      </c>
      <c r="G320" s="9"/>
      <c r="H320">
        <v>23235</v>
      </c>
      <c r="I320" s="9">
        <v>45108</v>
      </c>
      <c r="J320" s="9">
        <v>45473</v>
      </c>
      <c r="K320" t="str">
        <f>IFERROR(INDEX(Crosswalk_API!$H$2:$H$527, MATCH(POP_API_TABLE[[#This Row],[PWSID]], CW_PWSID_LIST, 0)), "")</f>
        <v>No</v>
      </c>
    </row>
    <row r="321" spans="1:11" x14ac:dyDescent="0.25">
      <c r="A321" t="s">
        <v>1847</v>
      </c>
      <c r="B321" t="s">
        <v>1848</v>
      </c>
      <c r="C321" t="s">
        <v>1849</v>
      </c>
      <c r="D321" t="s">
        <v>1850</v>
      </c>
      <c r="E321" t="s">
        <v>937</v>
      </c>
      <c r="F321" s="9">
        <v>45125</v>
      </c>
      <c r="G321" s="9">
        <v>45519</v>
      </c>
      <c r="H321">
        <v>173048</v>
      </c>
      <c r="I321" s="9">
        <v>45108</v>
      </c>
      <c r="J321" s="9">
        <v>45473</v>
      </c>
      <c r="K321" t="str">
        <f>IFERROR(INDEX(Crosswalk_API!$H$2:$H$527, MATCH(POP_API_TABLE[[#This Row],[PWSID]], CW_PWSID_LIST, 0)), "")</f>
        <v>No</v>
      </c>
    </row>
    <row r="322" spans="1:11" x14ac:dyDescent="0.25">
      <c r="A322" t="s">
        <v>1851</v>
      </c>
      <c r="B322" t="s">
        <v>1852</v>
      </c>
      <c r="C322" t="s">
        <v>1853</v>
      </c>
      <c r="D322" t="s">
        <v>1854</v>
      </c>
      <c r="E322" t="s">
        <v>766</v>
      </c>
      <c r="F322" s="9">
        <v>44197</v>
      </c>
      <c r="G322" s="9">
        <v>45657</v>
      </c>
      <c r="H322">
        <v>39756</v>
      </c>
      <c r="I322" s="9">
        <v>45108</v>
      </c>
      <c r="J322" s="9">
        <v>45473</v>
      </c>
      <c r="K322" t="str">
        <f>IFERROR(INDEX(Crosswalk_API!$H$2:$H$527, MATCH(POP_API_TABLE[[#This Row],[PWSID]], CW_PWSID_LIST, 0)), "")</f>
        <v>No</v>
      </c>
    </row>
    <row r="323" spans="1:11" x14ac:dyDescent="0.25">
      <c r="A323" t="s">
        <v>1855</v>
      </c>
      <c r="B323" t="s">
        <v>1856</v>
      </c>
      <c r="C323" t="s">
        <v>1857</v>
      </c>
      <c r="D323" t="s">
        <v>1858</v>
      </c>
      <c r="E323" t="s">
        <v>1012</v>
      </c>
      <c r="F323" s="9">
        <v>37585</v>
      </c>
      <c r="G323" s="9"/>
      <c r="H323">
        <v>10464</v>
      </c>
      <c r="I323" s="9">
        <v>45108</v>
      </c>
      <c r="J323" s="9">
        <v>45473</v>
      </c>
      <c r="K323" t="str">
        <f>IFERROR(INDEX(Crosswalk_API!$H$2:$H$527, MATCH(POP_API_TABLE[[#This Row],[PWSID]], CW_PWSID_LIST, 0)), "")</f>
        <v>No</v>
      </c>
    </row>
    <row r="324" spans="1:11" x14ac:dyDescent="0.25">
      <c r="A324" t="s">
        <v>1855</v>
      </c>
      <c r="B324" t="s">
        <v>1856</v>
      </c>
      <c r="C324" t="s">
        <v>1860</v>
      </c>
      <c r="D324" t="s">
        <v>1861</v>
      </c>
      <c r="E324" t="s">
        <v>1012</v>
      </c>
      <c r="F324" s="9">
        <v>45292</v>
      </c>
      <c r="G324" s="9"/>
      <c r="H324">
        <v>16595</v>
      </c>
      <c r="I324" s="9">
        <v>45108</v>
      </c>
      <c r="J324" s="9">
        <v>45473</v>
      </c>
      <c r="K324" t="str">
        <f>IFERROR(INDEX(Crosswalk_API!$H$2:$H$527, MATCH(POP_API_TABLE[[#This Row],[PWSID]], CW_PWSID_LIST, 0)), "")</f>
        <v>No</v>
      </c>
    </row>
    <row r="325" spans="1:11" x14ac:dyDescent="0.25">
      <c r="A325" t="s">
        <v>1862</v>
      </c>
      <c r="B325" t="s">
        <v>1863</v>
      </c>
      <c r="C325" t="s">
        <v>1864</v>
      </c>
      <c r="D325" t="s">
        <v>1865</v>
      </c>
      <c r="E325" t="s">
        <v>937</v>
      </c>
      <c r="F325" s="9">
        <v>45125</v>
      </c>
      <c r="G325" s="9">
        <v>45519</v>
      </c>
      <c r="H325">
        <v>86614</v>
      </c>
      <c r="I325" s="9">
        <v>45108</v>
      </c>
      <c r="J325" s="9">
        <v>45473</v>
      </c>
      <c r="K325" t="str">
        <f>IFERROR(INDEX(Crosswalk_API!$H$2:$H$527, MATCH(POP_API_TABLE[[#This Row],[PWSID]], CW_PWSID_LIST, 0)), "")</f>
        <v>No</v>
      </c>
    </row>
    <row r="326" spans="1:11" x14ac:dyDescent="0.25">
      <c r="A326" t="s">
        <v>1866</v>
      </c>
      <c r="B326" t="s">
        <v>1867</v>
      </c>
      <c r="C326" t="s">
        <v>1868</v>
      </c>
      <c r="D326" t="s">
        <v>1869</v>
      </c>
      <c r="E326" t="s">
        <v>693</v>
      </c>
      <c r="F326" s="9">
        <v>43831</v>
      </c>
      <c r="G326" s="9"/>
      <c r="H326">
        <v>185010</v>
      </c>
      <c r="I326" s="9">
        <v>45108</v>
      </c>
      <c r="J326" s="9">
        <v>45473</v>
      </c>
      <c r="K326" t="str">
        <f>IFERROR(INDEX(Crosswalk_API!$H$2:$H$527, MATCH(POP_API_TABLE[[#This Row],[PWSID]], CW_PWSID_LIST, 0)), "")</f>
        <v>No</v>
      </c>
    </row>
    <row r="327" spans="1:11" x14ac:dyDescent="0.25">
      <c r="A327" t="s">
        <v>1870</v>
      </c>
      <c r="B327" t="s">
        <v>1871</v>
      </c>
      <c r="C327" t="s">
        <v>1872</v>
      </c>
      <c r="D327" t="s">
        <v>1873</v>
      </c>
      <c r="E327" t="s">
        <v>731</v>
      </c>
      <c r="F327" s="9">
        <v>44927</v>
      </c>
      <c r="G327" s="9"/>
      <c r="H327">
        <v>117150</v>
      </c>
      <c r="I327" s="9">
        <v>45108</v>
      </c>
      <c r="J327" s="9">
        <v>45473</v>
      </c>
      <c r="K327" t="str">
        <f>IFERROR(INDEX(Crosswalk_API!$H$2:$H$527, MATCH(POP_API_TABLE[[#This Row],[PWSID]], CW_PWSID_LIST, 0)), "")</f>
        <v>No</v>
      </c>
    </row>
    <row r="328" spans="1:11" x14ac:dyDescent="0.25">
      <c r="A328" t="s">
        <v>1874</v>
      </c>
      <c r="B328" t="s">
        <v>1875</v>
      </c>
      <c r="C328" t="s">
        <v>1876</v>
      </c>
      <c r="D328" t="s">
        <v>1877</v>
      </c>
      <c r="E328" t="s">
        <v>913</v>
      </c>
      <c r="F328" s="9">
        <v>42129</v>
      </c>
      <c r="G328" s="9"/>
      <c r="H328">
        <v>16861</v>
      </c>
      <c r="I328" s="9">
        <v>45108</v>
      </c>
      <c r="J328" s="9">
        <v>45473</v>
      </c>
      <c r="K328" t="str">
        <f>IFERROR(INDEX(Crosswalk_API!$H$2:$H$527, MATCH(POP_API_TABLE[[#This Row],[PWSID]], CW_PWSID_LIST, 0)), "")</f>
        <v>No</v>
      </c>
    </row>
    <row r="329" spans="1:11" x14ac:dyDescent="0.25">
      <c r="A329" t="s">
        <v>1878</v>
      </c>
      <c r="B329" t="s">
        <v>1879</v>
      </c>
      <c r="C329" t="s">
        <v>1880</v>
      </c>
      <c r="D329" t="s">
        <v>1881</v>
      </c>
      <c r="E329" t="s">
        <v>708</v>
      </c>
      <c r="F329" s="9">
        <v>42370</v>
      </c>
      <c r="G329" s="9"/>
      <c r="H329">
        <v>25000</v>
      </c>
      <c r="I329" s="9">
        <v>45108</v>
      </c>
      <c r="J329" s="9">
        <v>45473</v>
      </c>
      <c r="K329" t="str">
        <f>IFERROR(INDEX(Crosswalk_API!$H$2:$H$527, MATCH(POP_API_TABLE[[#This Row],[PWSID]], CW_PWSID_LIST, 0)), "")</f>
        <v>No</v>
      </c>
    </row>
    <row r="330" spans="1:11" x14ac:dyDescent="0.25">
      <c r="A330" t="s">
        <v>1882</v>
      </c>
      <c r="B330" t="s">
        <v>1883</v>
      </c>
      <c r="C330" t="s">
        <v>1884</v>
      </c>
      <c r="D330" t="s">
        <v>1885</v>
      </c>
      <c r="E330" t="s">
        <v>937</v>
      </c>
      <c r="F330" s="9">
        <v>45125</v>
      </c>
      <c r="G330" s="9">
        <v>45519</v>
      </c>
      <c r="H330">
        <v>227957</v>
      </c>
      <c r="I330" s="9">
        <v>45108</v>
      </c>
      <c r="J330" s="9">
        <v>45473</v>
      </c>
      <c r="K330" t="str">
        <f>IFERROR(INDEX(Crosswalk_API!$H$2:$H$527, MATCH(POP_API_TABLE[[#This Row],[PWSID]], CW_PWSID_LIST, 0)), "")</f>
        <v>No</v>
      </c>
    </row>
    <row r="331" spans="1:11" x14ac:dyDescent="0.25">
      <c r="A331" t="s">
        <v>1886</v>
      </c>
      <c r="B331" t="s">
        <v>1887</v>
      </c>
      <c r="C331" t="s">
        <v>1888</v>
      </c>
      <c r="D331" t="s">
        <v>1889</v>
      </c>
      <c r="E331" t="s">
        <v>942</v>
      </c>
      <c r="F331" s="9">
        <v>44197</v>
      </c>
      <c r="G331" s="9"/>
      <c r="H331">
        <v>200232</v>
      </c>
      <c r="I331" s="9">
        <v>45108</v>
      </c>
      <c r="J331" s="9">
        <v>45473</v>
      </c>
      <c r="K331" t="str">
        <f>IFERROR(INDEX(Crosswalk_API!$H$2:$H$527, MATCH(POP_API_TABLE[[#This Row],[PWSID]], CW_PWSID_LIST, 0)), "")</f>
        <v>No</v>
      </c>
    </row>
    <row r="332" spans="1:11" x14ac:dyDescent="0.25">
      <c r="A332" t="s">
        <v>1890</v>
      </c>
      <c r="B332" t="s">
        <v>1891</v>
      </c>
      <c r="C332" t="s">
        <v>1892</v>
      </c>
      <c r="D332" t="s">
        <v>1893</v>
      </c>
      <c r="E332" t="s">
        <v>937</v>
      </c>
      <c r="F332" s="9">
        <v>45125</v>
      </c>
      <c r="G332" s="9">
        <v>45519</v>
      </c>
      <c r="H332">
        <v>88963</v>
      </c>
      <c r="I332" s="9">
        <v>45108</v>
      </c>
      <c r="J332" s="9">
        <v>45473</v>
      </c>
      <c r="K332" t="str">
        <f>IFERROR(INDEX(Crosswalk_API!$H$2:$H$527, MATCH(POP_API_TABLE[[#This Row],[PWSID]], CW_PWSID_LIST, 0)), "")</f>
        <v>No</v>
      </c>
    </row>
    <row r="333" spans="1:11" x14ac:dyDescent="0.25">
      <c r="A333" t="s">
        <v>1894</v>
      </c>
      <c r="B333" t="s">
        <v>1895</v>
      </c>
      <c r="C333" t="s">
        <v>1896</v>
      </c>
      <c r="D333" t="s">
        <v>1897</v>
      </c>
      <c r="E333" t="s">
        <v>708</v>
      </c>
      <c r="F333" s="9">
        <v>45292</v>
      </c>
      <c r="G333" s="9"/>
      <c r="H333">
        <v>126804</v>
      </c>
      <c r="I333" s="9">
        <v>45108</v>
      </c>
      <c r="J333" s="9">
        <v>45473</v>
      </c>
      <c r="K333" t="str">
        <f>IFERROR(INDEX(Crosswalk_API!$H$2:$H$527, MATCH(POP_API_TABLE[[#This Row],[PWSID]], CW_PWSID_LIST, 0)), "")</f>
        <v>No</v>
      </c>
    </row>
    <row r="334" spans="1:11" x14ac:dyDescent="0.25">
      <c r="A334" t="s">
        <v>1898</v>
      </c>
      <c r="B334" t="s">
        <v>1899</v>
      </c>
      <c r="C334" t="s">
        <v>1900</v>
      </c>
      <c r="D334" t="s">
        <v>1901</v>
      </c>
      <c r="E334" t="s">
        <v>1007</v>
      </c>
      <c r="F334" s="9">
        <v>45292</v>
      </c>
      <c r="G334" s="9"/>
      <c r="H334">
        <v>67231</v>
      </c>
      <c r="I334" s="9">
        <v>45108</v>
      </c>
      <c r="J334" s="9">
        <v>45473</v>
      </c>
      <c r="K334" t="str">
        <f>IFERROR(INDEX(Crosswalk_API!$H$2:$H$527, MATCH(POP_API_TABLE[[#This Row],[PWSID]], CW_PWSID_LIST, 0)), "")</f>
        <v>No</v>
      </c>
    </row>
    <row r="335" spans="1:11" x14ac:dyDescent="0.25">
      <c r="A335" t="s">
        <v>1902</v>
      </c>
      <c r="B335" t="s">
        <v>1903</v>
      </c>
      <c r="C335" t="s">
        <v>1904</v>
      </c>
      <c r="D335" t="s">
        <v>1905</v>
      </c>
      <c r="E335" t="s">
        <v>963</v>
      </c>
      <c r="F335" s="9">
        <v>45113</v>
      </c>
      <c r="G335" s="9"/>
      <c r="H335">
        <v>9142</v>
      </c>
      <c r="I335" s="9">
        <v>45108</v>
      </c>
      <c r="J335" s="9">
        <v>45473</v>
      </c>
      <c r="K335" t="str">
        <f>IFERROR(INDEX(Crosswalk_API!$H$2:$H$527, MATCH(POP_API_TABLE[[#This Row],[PWSID]], CW_PWSID_LIST, 0)), "")</f>
        <v>No</v>
      </c>
    </row>
    <row r="336" spans="1:11" x14ac:dyDescent="0.25">
      <c r="A336" t="s">
        <v>1906</v>
      </c>
      <c r="B336" t="s">
        <v>1907</v>
      </c>
      <c r="C336" t="s">
        <v>1908</v>
      </c>
      <c r="D336" t="s">
        <v>1909</v>
      </c>
      <c r="E336" t="s">
        <v>708</v>
      </c>
      <c r="F336" s="9">
        <v>44197</v>
      </c>
      <c r="G336" s="9"/>
      <c r="H336">
        <v>55200</v>
      </c>
      <c r="I336" s="9">
        <v>45108</v>
      </c>
      <c r="J336" s="9">
        <v>45473</v>
      </c>
      <c r="K336" t="str">
        <f>IFERROR(INDEX(Crosswalk_API!$H$2:$H$527, MATCH(POP_API_TABLE[[#This Row],[PWSID]], CW_PWSID_LIST, 0)), "")</f>
        <v>No</v>
      </c>
    </row>
    <row r="337" spans="1:11" x14ac:dyDescent="0.25">
      <c r="A337" t="s">
        <v>1918</v>
      </c>
      <c r="B337" t="s">
        <v>1919</v>
      </c>
      <c r="C337" t="s">
        <v>1920</v>
      </c>
      <c r="D337" t="s">
        <v>1921</v>
      </c>
      <c r="E337" t="s">
        <v>708</v>
      </c>
      <c r="F337" s="9">
        <v>45292</v>
      </c>
      <c r="G337" s="9"/>
      <c r="H337">
        <v>164344</v>
      </c>
      <c r="I337" s="9">
        <v>45108</v>
      </c>
      <c r="J337" s="9">
        <v>45473</v>
      </c>
      <c r="K337" t="str">
        <f>IFERROR(INDEX(Crosswalk_API!$H$2:$H$527, MATCH(POP_API_TABLE[[#This Row],[PWSID]], CW_PWSID_LIST, 0)), "")</f>
        <v>No</v>
      </c>
    </row>
    <row r="338" spans="1:11" x14ac:dyDescent="0.25">
      <c r="A338" t="s">
        <v>1922</v>
      </c>
      <c r="B338" t="s">
        <v>1923</v>
      </c>
      <c r="C338" t="s">
        <v>1924</v>
      </c>
      <c r="D338" t="s">
        <v>1925</v>
      </c>
      <c r="E338" t="s">
        <v>761</v>
      </c>
      <c r="F338" s="9">
        <v>44927</v>
      </c>
      <c r="G338" s="9"/>
      <c r="H338">
        <v>31176</v>
      </c>
      <c r="I338" s="9">
        <v>45108</v>
      </c>
      <c r="J338" s="9">
        <v>45473</v>
      </c>
      <c r="K338" t="str">
        <f>IFERROR(INDEX(Crosswalk_API!$H$2:$H$527, MATCH(POP_API_TABLE[[#This Row],[PWSID]], CW_PWSID_LIST, 0)), "")</f>
        <v>No</v>
      </c>
    </row>
    <row r="339" spans="1:11" x14ac:dyDescent="0.25">
      <c r="A339" t="s">
        <v>1926</v>
      </c>
      <c r="B339" t="s">
        <v>1927</v>
      </c>
      <c r="C339" t="s">
        <v>1928</v>
      </c>
      <c r="D339" t="s">
        <v>1929</v>
      </c>
      <c r="E339" t="s">
        <v>1100</v>
      </c>
      <c r="F339" s="9">
        <v>45108</v>
      </c>
      <c r="G339" s="9"/>
      <c r="H339">
        <v>23304</v>
      </c>
      <c r="I339" s="9">
        <v>45108</v>
      </c>
      <c r="J339" s="9">
        <v>45473</v>
      </c>
      <c r="K339" t="str">
        <f>IFERROR(INDEX(Crosswalk_API!$H$2:$H$527, MATCH(POP_API_TABLE[[#This Row],[PWSID]], CW_PWSID_LIST, 0)), "")</f>
        <v>No</v>
      </c>
    </row>
    <row r="340" spans="1:11" x14ac:dyDescent="0.25">
      <c r="A340" t="s">
        <v>1930</v>
      </c>
      <c r="B340" t="s">
        <v>1931</v>
      </c>
      <c r="C340" t="s">
        <v>1932</v>
      </c>
      <c r="D340" t="s">
        <v>1933</v>
      </c>
      <c r="E340" t="s">
        <v>1121</v>
      </c>
      <c r="F340" s="9">
        <v>44811</v>
      </c>
      <c r="G340" s="9"/>
      <c r="H340">
        <v>60781</v>
      </c>
      <c r="I340" s="9">
        <v>45108</v>
      </c>
      <c r="J340" s="9">
        <v>45473</v>
      </c>
      <c r="K340" t="str">
        <f>IFERROR(INDEX(Crosswalk_API!$H$2:$H$527, MATCH(POP_API_TABLE[[#This Row],[PWSID]], CW_PWSID_LIST, 0)), "")</f>
        <v>No</v>
      </c>
    </row>
    <row r="341" spans="1:11" x14ac:dyDescent="0.25">
      <c r="A341" t="s">
        <v>1934</v>
      </c>
      <c r="B341" t="s">
        <v>1935</v>
      </c>
      <c r="C341" t="s">
        <v>1936</v>
      </c>
      <c r="D341" t="s">
        <v>1937</v>
      </c>
      <c r="E341" t="s">
        <v>693</v>
      </c>
      <c r="F341" s="9">
        <v>44197</v>
      </c>
      <c r="G341" s="9">
        <v>45657</v>
      </c>
      <c r="H341">
        <v>23585</v>
      </c>
      <c r="I341" s="9">
        <v>45108</v>
      </c>
      <c r="J341" s="9">
        <v>45473</v>
      </c>
      <c r="K341" t="str">
        <f>IFERROR(INDEX(Crosswalk_API!$H$2:$H$527, MATCH(POP_API_TABLE[[#This Row],[PWSID]], CW_PWSID_LIST, 0)), "")</f>
        <v>No</v>
      </c>
    </row>
    <row r="342" spans="1:11" x14ac:dyDescent="0.25">
      <c r="A342" t="s">
        <v>1938</v>
      </c>
      <c r="B342" t="s">
        <v>1939</v>
      </c>
      <c r="C342" t="s">
        <v>1940</v>
      </c>
      <c r="D342" t="s">
        <v>1941</v>
      </c>
      <c r="E342" t="s">
        <v>708</v>
      </c>
      <c r="F342" s="9">
        <v>44562</v>
      </c>
      <c r="G342" s="9"/>
      <c r="H342">
        <v>40600</v>
      </c>
      <c r="I342" s="9">
        <v>45108</v>
      </c>
      <c r="J342" s="9">
        <v>45473</v>
      </c>
      <c r="K342" t="str">
        <f>IFERROR(INDEX(Crosswalk_API!$H$2:$H$527, MATCH(POP_API_TABLE[[#This Row],[PWSID]], CW_PWSID_LIST, 0)), "")</f>
        <v>No</v>
      </c>
    </row>
    <row r="343" spans="1:11" x14ac:dyDescent="0.25">
      <c r="A343" t="s">
        <v>1942</v>
      </c>
      <c r="B343" t="s">
        <v>1943</v>
      </c>
      <c r="C343" t="s">
        <v>1944</v>
      </c>
      <c r="D343" t="s">
        <v>1945</v>
      </c>
      <c r="E343" t="s">
        <v>708</v>
      </c>
      <c r="F343" s="9">
        <v>42370</v>
      </c>
      <c r="G343" s="9"/>
      <c r="H343">
        <v>22051</v>
      </c>
      <c r="I343" s="9">
        <v>45108</v>
      </c>
      <c r="J343" s="9">
        <v>45473</v>
      </c>
      <c r="K343" t="str">
        <f>IFERROR(INDEX(Crosswalk_API!$H$2:$H$527, MATCH(POP_API_TABLE[[#This Row],[PWSID]], CW_PWSID_LIST, 0)), "")</f>
        <v>No</v>
      </c>
    </row>
    <row r="344" spans="1:11" x14ac:dyDescent="0.25">
      <c r="A344" t="s">
        <v>1946</v>
      </c>
      <c r="B344" t="s">
        <v>1947</v>
      </c>
      <c r="C344" t="s">
        <v>1948</v>
      </c>
      <c r="D344" t="s">
        <v>1949</v>
      </c>
      <c r="E344" t="s">
        <v>761</v>
      </c>
      <c r="F344" s="9">
        <v>44562</v>
      </c>
      <c r="G344" s="9"/>
      <c r="H344">
        <v>8036</v>
      </c>
      <c r="I344" s="9">
        <v>45108</v>
      </c>
      <c r="J344" s="9">
        <v>45473</v>
      </c>
      <c r="K344" t="str">
        <f>IFERROR(INDEX(Crosswalk_API!$H$2:$H$527, MATCH(POP_API_TABLE[[#This Row],[PWSID]], CW_PWSID_LIST, 0)), "")</f>
        <v>No</v>
      </c>
    </row>
    <row r="345" spans="1:11" x14ac:dyDescent="0.25">
      <c r="A345" t="s">
        <v>1950</v>
      </c>
      <c r="B345" t="s">
        <v>1951</v>
      </c>
      <c r="C345" t="s">
        <v>1952</v>
      </c>
      <c r="D345" t="s">
        <v>1953</v>
      </c>
      <c r="E345" t="s">
        <v>741</v>
      </c>
      <c r="F345" s="9">
        <v>40179</v>
      </c>
      <c r="G345" s="9"/>
      <c r="H345">
        <v>62500</v>
      </c>
      <c r="I345" s="9">
        <v>45108</v>
      </c>
      <c r="J345" s="9">
        <v>45473</v>
      </c>
      <c r="K345" t="str">
        <f>IFERROR(INDEX(Crosswalk_API!$H$2:$H$527, MATCH(POP_API_TABLE[[#This Row],[PWSID]], CW_PWSID_LIST, 0)), "")</f>
        <v>No</v>
      </c>
    </row>
    <row r="346" spans="1:11" x14ac:dyDescent="0.25">
      <c r="A346" t="s">
        <v>1954</v>
      </c>
      <c r="B346" t="s">
        <v>1955</v>
      </c>
      <c r="C346" t="s">
        <v>1956</v>
      </c>
      <c r="D346" t="s">
        <v>1957</v>
      </c>
      <c r="E346" t="s">
        <v>910</v>
      </c>
      <c r="F346" s="9">
        <v>44927</v>
      </c>
      <c r="G346" s="9"/>
      <c r="H346">
        <v>27294</v>
      </c>
      <c r="I346" s="9">
        <v>45108</v>
      </c>
      <c r="J346" s="9">
        <v>45473</v>
      </c>
      <c r="K346" t="str">
        <f>IFERROR(INDEX(Crosswalk_API!$H$2:$H$527, MATCH(POP_API_TABLE[[#This Row],[PWSID]], CW_PWSID_LIST, 0)), "")</f>
        <v>No</v>
      </c>
    </row>
    <row r="347" spans="1:11" x14ac:dyDescent="0.25">
      <c r="A347" t="s">
        <v>1954</v>
      </c>
      <c r="B347" t="s">
        <v>1955</v>
      </c>
      <c r="C347" t="s">
        <v>1958</v>
      </c>
      <c r="D347" t="s">
        <v>1959</v>
      </c>
      <c r="E347" t="s">
        <v>910</v>
      </c>
      <c r="F347" s="9">
        <v>44927</v>
      </c>
      <c r="G347" s="9"/>
      <c r="H347">
        <v>3149</v>
      </c>
      <c r="I347" s="9">
        <v>45108</v>
      </c>
      <c r="J347" s="9">
        <v>45473</v>
      </c>
      <c r="K347" t="str">
        <f>IFERROR(INDEX(Crosswalk_API!$H$2:$H$527, MATCH(POP_API_TABLE[[#This Row],[PWSID]], CW_PWSID_LIST, 0)), "")</f>
        <v>No</v>
      </c>
    </row>
    <row r="348" spans="1:11" x14ac:dyDescent="0.25">
      <c r="A348" t="s">
        <v>1954</v>
      </c>
      <c r="B348" t="s">
        <v>1955</v>
      </c>
      <c r="C348" t="s">
        <v>1960</v>
      </c>
      <c r="D348" t="s">
        <v>1961</v>
      </c>
      <c r="E348" t="s">
        <v>910</v>
      </c>
      <c r="F348" s="9">
        <v>44927</v>
      </c>
      <c r="G348" s="9"/>
      <c r="H348">
        <v>748</v>
      </c>
      <c r="I348" s="9">
        <v>45108</v>
      </c>
      <c r="J348" s="9">
        <v>45473</v>
      </c>
      <c r="K348" t="str">
        <f>IFERROR(INDEX(Crosswalk_API!$H$2:$H$527, MATCH(POP_API_TABLE[[#This Row],[PWSID]], CW_PWSID_LIST, 0)), "")</f>
        <v>No</v>
      </c>
    </row>
    <row r="349" spans="1:11" x14ac:dyDescent="0.25">
      <c r="A349" t="s">
        <v>1954</v>
      </c>
      <c r="B349" t="s">
        <v>1955</v>
      </c>
      <c r="C349" t="s">
        <v>1962</v>
      </c>
      <c r="D349" t="s">
        <v>1963</v>
      </c>
      <c r="E349" t="s">
        <v>910</v>
      </c>
      <c r="F349" s="9">
        <v>44927</v>
      </c>
      <c r="G349" s="9"/>
      <c r="H349">
        <v>89544</v>
      </c>
      <c r="I349" s="9">
        <v>45108</v>
      </c>
      <c r="J349" s="9">
        <v>45473</v>
      </c>
      <c r="K349" t="str">
        <f>IFERROR(INDEX(Crosswalk_API!$H$2:$H$527, MATCH(POP_API_TABLE[[#This Row],[PWSID]], CW_PWSID_LIST, 0)), "")</f>
        <v>No</v>
      </c>
    </row>
    <row r="350" spans="1:11" x14ac:dyDescent="0.25">
      <c r="A350" t="s">
        <v>1954</v>
      </c>
      <c r="B350" t="s">
        <v>1955</v>
      </c>
      <c r="C350" t="s">
        <v>1964</v>
      </c>
      <c r="D350" t="s">
        <v>1965</v>
      </c>
      <c r="E350" t="s">
        <v>910</v>
      </c>
      <c r="F350" s="9">
        <v>44927</v>
      </c>
      <c r="G350" s="9"/>
      <c r="H350">
        <v>110</v>
      </c>
      <c r="I350" s="9">
        <v>45108</v>
      </c>
      <c r="J350" s="9">
        <v>45473</v>
      </c>
      <c r="K350" t="str">
        <f>IFERROR(INDEX(Crosswalk_API!$H$2:$H$527, MATCH(POP_API_TABLE[[#This Row],[PWSID]], CW_PWSID_LIST, 0)), "")</f>
        <v>No</v>
      </c>
    </row>
    <row r="351" spans="1:11" x14ac:dyDescent="0.25">
      <c r="A351" t="s">
        <v>1954</v>
      </c>
      <c r="B351" t="s">
        <v>1955</v>
      </c>
      <c r="C351" t="s">
        <v>1966</v>
      </c>
      <c r="D351" t="s">
        <v>1967</v>
      </c>
      <c r="E351" t="s">
        <v>910</v>
      </c>
      <c r="F351" s="9">
        <v>44927</v>
      </c>
      <c r="G351" s="9"/>
      <c r="H351">
        <v>190</v>
      </c>
      <c r="I351" s="9">
        <v>45108</v>
      </c>
      <c r="J351" s="9">
        <v>45473</v>
      </c>
      <c r="K351" t="str">
        <f>IFERROR(INDEX(Crosswalk_API!$H$2:$H$527, MATCH(POP_API_TABLE[[#This Row],[PWSID]], CW_PWSID_LIST, 0)), "")</f>
        <v>No</v>
      </c>
    </row>
    <row r="352" spans="1:11" x14ac:dyDescent="0.25">
      <c r="A352" t="s">
        <v>1954</v>
      </c>
      <c r="B352" t="s">
        <v>1955</v>
      </c>
      <c r="C352" t="s">
        <v>1968</v>
      </c>
      <c r="D352" t="s">
        <v>1969</v>
      </c>
      <c r="E352" t="s">
        <v>910</v>
      </c>
      <c r="F352" s="9">
        <v>44927</v>
      </c>
      <c r="G352" s="9"/>
      <c r="H352">
        <v>46</v>
      </c>
      <c r="I352" s="9">
        <v>45108</v>
      </c>
      <c r="J352" s="9">
        <v>45473</v>
      </c>
      <c r="K352" t="str">
        <f>IFERROR(INDEX(Crosswalk_API!$H$2:$H$527, MATCH(POP_API_TABLE[[#This Row],[PWSID]], CW_PWSID_LIST, 0)), "")</f>
        <v>No</v>
      </c>
    </row>
    <row r="353" spans="1:11" x14ac:dyDescent="0.25">
      <c r="A353" t="s">
        <v>1970</v>
      </c>
      <c r="B353" t="s">
        <v>1971</v>
      </c>
      <c r="C353" t="s">
        <v>1972</v>
      </c>
      <c r="D353" t="s">
        <v>1973</v>
      </c>
      <c r="E353" t="s">
        <v>698</v>
      </c>
      <c r="F353" s="9">
        <v>44927</v>
      </c>
      <c r="G353" s="9"/>
      <c r="H353">
        <v>76689</v>
      </c>
      <c r="I353" s="9">
        <v>45108</v>
      </c>
      <c r="J353" s="9">
        <v>45473</v>
      </c>
      <c r="K353" t="str">
        <f>IFERROR(INDEX(Crosswalk_API!$H$2:$H$527, MATCH(POP_API_TABLE[[#This Row],[PWSID]], CW_PWSID_LIST, 0)), "")</f>
        <v>No</v>
      </c>
    </row>
    <row r="354" spans="1:11" x14ac:dyDescent="0.25">
      <c r="A354" t="s">
        <v>1974</v>
      </c>
      <c r="B354" t="s">
        <v>1975</v>
      </c>
      <c r="C354" t="s">
        <v>1976</v>
      </c>
      <c r="D354" t="s">
        <v>1977</v>
      </c>
      <c r="E354" t="s">
        <v>708</v>
      </c>
      <c r="F354" s="9">
        <v>44197</v>
      </c>
      <c r="G354" s="9"/>
      <c r="H354">
        <v>151713</v>
      </c>
      <c r="I354" s="9">
        <v>45108</v>
      </c>
      <c r="J354" s="9">
        <v>45473</v>
      </c>
      <c r="K354" t="str">
        <f>IFERROR(INDEX(Crosswalk_API!$H$2:$H$527, MATCH(POP_API_TABLE[[#This Row],[PWSID]], CW_PWSID_LIST, 0)), "")</f>
        <v>No</v>
      </c>
    </row>
    <row r="355" spans="1:11" x14ac:dyDescent="0.25">
      <c r="A355" t="s">
        <v>1978</v>
      </c>
      <c r="B355" t="s">
        <v>1979</v>
      </c>
      <c r="C355" t="s">
        <v>1980</v>
      </c>
      <c r="D355" t="s">
        <v>1981</v>
      </c>
      <c r="E355" t="s">
        <v>942</v>
      </c>
      <c r="F355" s="9">
        <v>44927</v>
      </c>
      <c r="G355" s="9"/>
      <c r="H355">
        <v>21407</v>
      </c>
      <c r="I355" s="9">
        <v>45108</v>
      </c>
      <c r="J355" s="9">
        <v>45473</v>
      </c>
      <c r="K355" t="str">
        <f>IFERROR(INDEX(Crosswalk_API!$H$2:$H$527, MATCH(POP_API_TABLE[[#This Row],[PWSID]], CW_PWSID_LIST, 0)), "")</f>
        <v>No</v>
      </c>
    </row>
    <row r="356" spans="1:11" x14ac:dyDescent="0.25">
      <c r="A356" t="s">
        <v>1982</v>
      </c>
      <c r="B356" t="s">
        <v>1983</v>
      </c>
      <c r="C356" t="s">
        <v>1984</v>
      </c>
      <c r="D356" t="s">
        <v>1985</v>
      </c>
      <c r="E356" t="s">
        <v>1056</v>
      </c>
      <c r="F356" s="9">
        <v>45096</v>
      </c>
      <c r="G356" s="9"/>
      <c r="H356">
        <v>63164</v>
      </c>
      <c r="I356" s="9">
        <v>45108</v>
      </c>
      <c r="J356" s="9">
        <v>45473</v>
      </c>
      <c r="K356" t="str">
        <f>IFERROR(INDEX(Crosswalk_API!$H$2:$H$527, MATCH(POP_API_TABLE[[#This Row],[PWSID]], CW_PWSID_LIST, 0)), "")</f>
        <v>No</v>
      </c>
    </row>
    <row r="357" spans="1:11" x14ac:dyDescent="0.25">
      <c r="A357" t="s">
        <v>1986</v>
      </c>
      <c r="B357" t="s">
        <v>1987</v>
      </c>
      <c r="C357" t="s">
        <v>1988</v>
      </c>
      <c r="D357" t="s">
        <v>1989</v>
      </c>
      <c r="E357" t="s">
        <v>937</v>
      </c>
      <c r="F357" s="9">
        <v>45125</v>
      </c>
      <c r="G357" s="9">
        <v>45519</v>
      </c>
      <c r="H357">
        <v>49779</v>
      </c>
      <c r="I357" s="9">
        <v>45108</v>
      </c>
      <c r="J357" s="9">
        <v>45473</v>
      </c>
      <c r="K357" t="str">
        <f>IFERROR(INDEX(Crosswalk_API!$H$2:$H$527, MATCH(POP_API_TABLE[[#This Row],[PWSID]], CW_PWSID_LIST, 0)), "")</f>
        <v>No</v>
      </c>
    </row>
    <row r="358" spans="1:11" x14ac:dyDescent="0.25">
      <c r="A358" t="s">
        <v>1990</v>
      </c>
      <c r="B358" t="s">
        <v>1991</v>
      </c>
      <c r="C358" t="s">
        <v>1992</v>
      </c>
      <c r="D358" t="s">
        <v>1993</v>
      </c>
      <c r="E358" t="s">
        <v>708</v>
      </c>
      <c r="F358" s="9">
        <v>42005</v>
      </c>
      <c r="G358" s="9"/>
      <c r="H358">
        <v>19100</v>
      </c>
      <c r="I358" s="9">
        <v>45108</v>
      </c>
      <c r="J358" s="9">
        <v>45473</v>
      </c>
      <c r="K358" t="str">
        <f>IFERROR(INDEX(Crosswalk_API!$H$2:$H$527, MATCH(POP_API_TABLE[[#This Row],[PWSID]], CW_PWSID_LIST, 0)), "")</f>
        <v>No</v>
      </c>
    </row>
    <row r="359" spans="1:11" x14ac:dyDescent="0.25">
      <c r="A359" t="s">
        <v>1994</v>
      </c>
      <c r="B359" t="s">
        <v>1995</v>
      </c>
      <c r="C359" t="s">
        <v>1996</v>
      </c>
      <c r="D359" t="s">
        <v>1997</v>
      </c>
      <c r="E359" t="s">
        <v>937</v>
      </c>
      <c r="F359" s="9">
        <v>44691</v>
      </c>
      <c r="G359" s="9"/>
      <c r="H359">
        <v>23536</v>
      </c>
      <c r="I359" s="9">
        <v>45108</v>
      </c>
      <c r="J359" s="9">
        <v>45473</v>
      </c>
      <c r="K359" t="str">
        <f>IFERROR(INDEX(Crosswalk_API!$H$2:$H$527, MATCH(POP_API_TABLE[[#This Row],[PWSID]], CW_PWSID_LIST, 0)), "")</f>
        <v>No</v>
      </c>
    </row>
    <row r="360" spans="1:11" x14ac:dyDescent="0.25">
      <c r="A360" t="s">
        <v>1998</v>
      </c>
      <c r="B360" t="s">
        <v>1999</v>
      </c>
      <c r="C360" t="s">
        <v>2000</v>
      </c>
      <c r="D360" t="s">
        <v>2001</v>
      </c>
      <c r="E360" t="s">
        <v>937</v>
      </c>
      <c r="F360" s="9">
        <v>44103</v>
      </c>
      <c r="G360" s="9">
        <v>45519</v>
      </c>
      <c r="H360">
        <v>35135</v>
      </c>
      <c r="I360" s="9">
        <v>45108</v>
      </c>
      <c r="J360" s="9">
        <v>45473</v>
      </c>
      <c r="K360" t="str">
        <f>IFERROR(INDEX(Crosswalk_API!$H$2:$H$527, MATCH(POP_API_TABLE[[#This Row],[PWSID]], CW_PWSID_LIST, 0)), "")</f>
        <v>No</v>
      </c>
    </row>
    <row r="361" spans="1:11" x14ac:dyDescent="0.25">
      <c r="A361" t="s">
        <v>2002</v>
      </c>
      <c r="B361" t="s">
        <v>2003</v>
      </c>
      <c r="C361" t="s">
        <v>2004</v>
      </c>
      <c r="D361" t="s">
        <v>2005</v>
      </c>
      <c r="E361" t="s">
        <v>793</v>
      </c>
      <c r="F361" s="9">
        <v>43466</v>
      </c>
      <c r="G361" s="9"/>
      <c r="H361">
        <v>144088</v>
      </c>
      <c r="I361" s="9">
        <v>45108</v>
      </c>
      <c r="J361" s="9">
        <v>45473</v>
      </c>
      <c r="K361" t="str">
        <f>IFERROR(INDEX(Crosswalk_API!$H$2:$H$527, MATCH(POP_API_TABLE[[#This Row],[PWSID]], CW_PWSID_LIST, 0)), "")</f>
        <v>No</v>
      </c>
    </row>
    <row r="362" spans="1:11" x14ac:dyDescent="0.25">
      <c r="A362" t="s">
        <v>2006</v>
      </c>
      <c r="B362" t="s">
        <v>2007</v>
      </c>
      <c r="C362" t="s">
        <v>2008</v>
      </c>
      <c r="D362" t="s">
        <v>2009</v>
      </c>
      <c r="E362" t="s">
        <v>2010</v>
      </c>
      <c r="F362" s="9">
        <v>45292</v>
      </c>
      <c r="G362" s="9"/>
      <c r="H362">
        <v>14710</v>
      </c>
      <c r="I362" s="9">
        <v>45108</v>
      </c>
      <c r="J362" s="9">
        <v>45473</v>
      </c>
      <c r="K362" t="str">
        <f>IFERROR(INDEX(Crosswalk_API!$H$2:$H$527, MATCH(POP_API_TABLE[[#This Row],[PWSID]], CW_PWSID_LIST, 0)), "")</f>
        <v>No</v>
      </c>
    </row>
    <row r="363" spans="1:11" x14ac:dyDescent="0.25">
      <c r="A363" t="s">
        <v>2011</v>
      </c>
      <c r="B363" t="s">
        <v>2012</v>
      </c>
      <c r="C363" t="s">
        <v>2013</v>
      </c>
      <c r="D363" t="s">
        <v>2014</v>
      </c>
      <c r="E363" t="s">
        <v>736</v>
      </c>
      <c r="F363" s="9">
        <v>45292</v>
      </c>
      <c r="G363" s="9">
        <v>45657</v>
      </c>
      <c r="H363">
        <v>87741</v>
      </c>
      <c r="I363" s="9">
        <v>45108</v>
      </c>
      <c r="J363" s="9">
        <v>45473</v>
      </c>
      <c r="K363" t="str">
        <f>IFERROR(INDEX(Crosswalk_API!$H$2:$H$527, MATCH(POP_API_TABLE[[#This Row],[PWSID]], CW_PWSID_LIST, 0)), "")</f>
        <v>No</v>
      </c>
    </row>
    <row r="364" spans="1:11" x14ac:dyDescent="0.25">
      <c r="A364" t="s">
        <v>2015</v>
      </c>
      <c r="B364" t="s">
        <v>2016</v>
      </c>
      <c r="C364" t="s">
        <v>2017</v>
      </c>
      <c r="D364" t="s">
        <v>2018</v>
      </c>
      <c r="E364" t="s">
        <v>693</v>
      </c>
      <c r="F364" s="9">
        <v>43831</v>
      </c>
      <c r="G364" s="9"/>
      <c r="H364">
        <v>78025</v>
      </c>
      <c r="I364" s="9">
        <v>45108</v>
      </c>
      <c r="J364" s="9">
        <v>45473</v>
      </c>
      <c r="K364" t="str">
        <f>IFERROR(INDEX(Crosswalk_API!$H$2:$H$527, MATCH(POP_API_TABLE[[#This Row],[PWSID]], CW_PWSID_LIST, 0)), "")</f>
        <v>No</v>
      </c>
    </row>
    <row r="365" spans="1:11" x14ac:dyDescent="0.25">
      <c r="A365" t="s">
        <v>2019</v>
      </c>
      <c r="B365" t="s">
        <v>2020</v>
      </c>
      <c r="C365" t="s">
        <v>2021</v>
      </c>
      <c r="D365" t="s">
        <v>2022</v>
      </c>
      <c r="E365" t="s">
        <v>862</v>
      </c>
      <c r="F365" s="9">
        <v>40909</v>
      </c>
      <c r="G365" s="9"/>
      <c r="H365">
        <v>92819</v>
      </c>
      <c r="I365" s="9">
        <v>45108</v>
      </c>
      <c r="J365" s="9">
        <v>45473</v>
      </c>
      <c r="K365" t="str">
        <f>IFERROR(INDEX(Crosswalk_API!$H$2:$H$527, MATCH(POP_API_TABLE[[#This Row],[PWSID]], CW_PWSID_LIST, 0)), "")</f>
        <v>No</v>
      </c>
    </row>
    <row r="366" spans="1:11" x14ac:dyDescent="0.25">
      <c r="A366" t="s">
        <v>2023</v>
      </c>
      <c r="B366" t="s">
        <v>2024</v>
      </c>
      <c r="C366" t="s">
        <v>2025</v>
      </c>
      <c r="D366" t="s">
        <v>2026</v>
      </c>
      <c r="E366" t="s">
        <v>788</v>
      </c>
      <c r="F366" s="9">
        <v>44369</v>
      </c>
      <c r="G366" s="9">
        <v>45790</v>
      </c>
      <c r="H366">
        <v>25227</v>
      </c>
      <c r="I366" s="9">
        <v>45108</v>
      </c>
      <c r="J366" s="9">
        <v>45473</v>
      </c>
      <c r="K366" t="str">
        <f>IFERROR(INDEX(Crosswalk_API!$H$2:$H$527, MATCH(POP_API_TABLE[[#This Row],[PWSID]], CW_PWSID_LIST, 0)), "")</f>
        <v>No</v>
      </c>
    </row>
    <row r="367" spans="1:11" x14ac:dyDescent="0.25">
      <c r="A367" t="s">
        <v>2027</v>
      </c>
      <c r="B367" t="s">
        <v>2028</v>
      </c>
      <c r="C367" t="s">
        <v>2029</v>
      </c>
      <c r="D367" t="s">
        <v>2030</v>
      </c>
      <c r="E367" t="s">
        <v>693</v>
      </c>
      <c r="F367" s="9">
        <v>42005</v>
      </c>
      <c r="G367" s="9"/>
      <c r="H367">
        <v>54453</v>
      </c>
      <c r="I367" s="9">
        <v>45108</v>
      </c>
      <c r="J367" s="9">
        <v>45473</v>
      </c>
      <c r="K367" t="str">
        <f>IFERROR(INDEX(Crosswalk_API!$H$2:$H$527, MATCH(POP_API_TABLE[[#This Row],[PWSID]], CW_PWSID_LIST, 0)), "")</f>
        <v>No</v>
      </c>
    </row>
    <row r="368" spans="1:11" x14ac:dyDescent="0.25">
      <c r="A368" t="s">
        <v>2031</v>
      </c>
      <c r="B368" t="s">
        <v>2032</v>
      </c>
      <c r="C368" t="s">
        <v>2033</v>
      </c>
      <c r="D368" t="s">
        <v>2034</v>
      </c>
      <c r="E368" t="s">
        <v>937</v>
      </c>
      <c r="F368" s="9">
        <v>44712</v>
      </c>
      <c r="G368" s="9"/>
      <c r="H368">
        <v>29206</v>
      </c>
      <c r="I368" s="9">
        <v>45108</v>
      </c>
      <c r="J368" s="9">
        <v>45473</v>
      </c>
      <c r="K368" t="str">
        <f>IFERROR(INDEX(Crosswalk_API!$H$2:$H$527, MATCH(POP_API_TABLE[[#This Row],[PWSID]], CW_PWSID_LIST, 0)), "")</f>
        <v>No</v>
      </c>
    </row>
    <row r="369" spans="1:11" x14ac:dyDescent="0.25">
      <c r="A369" t="s">
        <v>2031</v>
      </c>
      <c r="B369" t="s">
        <v>2032</v>
      </c>
      <c r="C369" t="s">
        <v>2035</v>
      </c>
      <c r="D369" t="s">
        <v>2036</v>
      </c>
      <c r="E369" t="s">
        <v>937</v>
      </c>
      <c r="F369" s="9">
        <v>44712</v>
      </c>
      <c r="G369" s="9"/>
      <c r="H369">
        <v>3316</v>
      </c>
      <c r="I369" s="9">
        <v>45108</v>
      </c>
      <c r="J369" s="9">
        <v>45473</v>
      </c>
      <c r="K369" t="str">
        <f>IFERROR(INDEX(Crosswalk_API!$H$2:$H$527, MATCH(POP_API_TABLE[[#This Row],[PWSID]], CW_PWSID_LIST, 0)), "")</f>
        <v>No</v>
      </c>
    </row>
    <row r="370" spans="1:11" x14ac:dyDescent="0.25">
      <c r="A370" t="s">
        <v>2037</v>
      </c>
      <c r="B370" t="s">
        <v>2038</v>
      </c>
      <c r="C370" t="s">
        <v>2039</v>
      </c>
      <c r="D370" t="s">
        <v>2040</v>
      </c>
      <c r="E370" t="s">
        <v>913</v>
      </c>
      <c r="F370" s="9">
        <v>27760</v>
      </c>
      <c r="G370" s="9">
        <v>45291</v>
      </c>
      <c r="H370">
        <v>15404</v>
      </c>
      <c r="I370" s="9">
        <v>45108</v>
      </c>
      <c r="J370" s="9">
        <v>45473</v>
      </c>
      <c r="K370" t="str">
        <f>IFERROR(INDEX(Crosswalk_API!$H$2:$H$527, MATCH(POP_API_TABLE[[#This Row],[PWSID]], CW_PWSID_LIST, 0)), "")</f>
        <v>No</v>
      </c>
    </row>
    <row r="371" spans="1:11" x14ac:dyDescent="0.25">
      <c r="A371" t="s">
        <v>2041</v>
      </c>
      <c r="B371" t="s">
        <v>2042</v>
      </c>
      <c r="C371" t="s">
        <v>2043</v>
      </c>
      <c r="D371" t="s">
        <v>2044</v>
      </c>
      <c r="E371" t="s">
        <v>814</v>
      </c>
      <c r="F371" s="9">
        <v>44902</v>
      </c>
      <c r="G371" s="9"/>
      <c r="H371">
        <v>10489</v>
      </c>
      <c r="I371" s="9">
        <v>45108</v>
      </c>
      <c r="J371" s="9">
        <v>45473</v>
      </c>
      <c r="K371" t="str">
        <f>IFERROR(INDEX(Crosswalk_API!$H$2:$H$527, MATCH(POP_API_TABLE[[#This Row],[PWSID]], CW_PWSID_LIST, 0)), "")</f>
        <v>No</v>
      </c>
    </row>
    <row r="372" spans="1:11" x14ac:dyDescent="0.25">
      <c r="A372" t="s">
        <v>2045</v>
      </c>
      <c r="B372" t="s">
        <v>2046</v>
      </c>
      <c r="C372" t="s">
        <v>2047</v>
      </c>
      <c r="D372" t="s">
        <v>2048</v>
      </c>
      <c r="E372" t="s">
        <v>1051</v>
      </c>
      <c r="F372" s="9">
        <v>45292</v>
      </c>
      <c r="G372" s="9">
        <v>45657</v>
      </c>
      <c r="H372">
        <v>15769</v>
      </c>
      <c r="I372" s="9">
        <v>45108</v>
      </c>
      <c r="J372" s="9">
        <v>45473</v>
      </c>
      <c r="K372" t="str">
        <f>IFERROR(INDEX(Crosswalk_API!$H$2:$H$527, MATCH(POP_API_TABLE[[#This Row],[PWSID]], CW_PWSID_LIST, 0)), "")</f>
        <v>No</v>
      </c>
    </row>
    <row r="373" spans="1:11" x14ac:dyDescent="0.25">
      <c r="A373" t="s">
        <v>2049</v>
      </c>
      <c r="B373" t="s">
        <v>2050</v>
      </c>
      <c r="C373" t="s">
        <v>2051</v>
      </c>
      <c r="D373" t="s">
        <v>2052</v>
      </c>
      <c r="E373" t="s">
        <v>1100</v>
      </c>
      <c r="F373" s="9">
        <v>45108</v>
      </c>
      <c r="G373" s="9"/>
      <c r="H373">
        <v>24834</v>
      </c>
      <c r="I373" s="9">
        <v>45108</v>
      </c>
      <c r="J373" s="9">
        <v>45473</v>
      </c>
      <c r="K373" t="str">
        <f>IFERROR(INDEX(Crosswalk_API!$H$2:$H$527, MATCH(POP_API_TABLE[[#This Row],[PWSID]], CW_PWSID_LIST, 0)), "")</f>
        <v>No</v>
      </c>
    </row>
    <row r="374" spans="1:11" x14ac:dyDescent="0.25">
      <c r="A374" t="s">
        <v>2053</v>
      </c>
      <c r="B374" t="s">
        <v>2054</v>
      </c>
      <c r="C374" t="s">
        <v>2055</v>
      </c>
      <c r="D374" t="s">
        <v>2056</v>
      </c>
      <c r="E374" t="s">
        <v>793</v>
      </c>
      <c r="F374" s="9">
        <v>44927</v>
      </c>
      <c r="G374" s="9"/>
      <c r="H374">
        <v>298398</v>
      </c>
      <c r="I374" s="9">
        <v>45108</v>
      </c>
      <c r="J374" s="9">
        <v>45473</v>
      </c>
      <c r="K374" t="str">
        <f>IFERROR(INDEX(Crosswalk_API!$H$2:$H$527, MATCH(POP_API_TABLE[[#This Row],[PWSID]], CW_PWSID_LIST, 0)), "")</f>
        <v>No</v>
      </c>
    </row>
    <row r="375" spans="1:11" x14ac:dyDescent="0.25">
      <c r="A375" t="s">
        <v>2057</v>
      </c>
      <c r="B375" t="s">
        <v>2058</v>
      </c>
      <c r="C375" t="s">
        <v>2059</v>
      </c>
      <c r="D375" t="s">
        <v>2060</v>
      </c>
      <c r="E375" t="s">
        <v>693</v>
      </c>
      <c r="F375" s="9">
        <v>44927</v>
      </c>
      <c r="G375" s="9">
        <v>45657</v>
      </c>
      <c r="H375">
        <v>18681</v>
      </c>
      <c r="I375" s="9">
        <v>45108</v>
      </c>
      <c r="J375" s="9">
        <v>45473</v>
      </c>
      <c r="K375" t="str">
        <f>IFERROR(INDEX(Crosswalk_API!$H$2:$H$527, MATCH(POP_API_TABLE[[#This Row],[PWSID]], CW_PWSID_LIST, 0)), "")</f>
        <v>No</v>
      </c>
    </row>
    <row r="376" spans="1:11" x14ac:dyDescent="0.25">
      <c r="A376" t="s">
        <v>2061</v>
      </c>
      <c r="B376" t="s">
        <v>2062</v>
      </c>
      <c r="C376" t="s">
        <v>2063</v>
      </c>
      <c r="D376" t="s">
        <v>2064</v>
      </c>
      <c r="E376" t="s">
        <v>1121</v>
      </c>
      <c r="F376" s="9">
        <v>45292</v>
      </c>
      <c r="G376" s="9"/>
      <c r="H376">
        <v>43693</v>
      </c>
      <c r="I376" s="9">
        <v>45108</v>
      </c>
      <c r="J376" s="9">
        <v>45473</v>
      </c>
      <c r="K376" t="str">
        <f>IFERROR(INDEX(Crosswalk_API!$H$2:$H$527, MATCH(POP_API_TABLE[[#This Row],[PWSID]], CW_PWSID_LIST, 0)), "")</f>
        <v>No</v>
      </c>
    </row>
    <row r="377" spans="1:11" x14ac:dyDescent="0.25">
      <c r="A377" t="s">
        <v>2065</v>
      </c>
      <c r="B377" t="s">
        <v>2066</v>
      </c>
      <c r="C377" t="s">
        <v>2067</v>
      </c>
      <c r="D377" t="s">
        <v>2068</v>
      </c>
      <c r="E377" t="s">
        <v>766</v>
      </c>
      <c r="F377" s="9">
        <v>45292</v>
      </c>
      <c r="G377" s="9"/>
      <c r="H377">
        <v>17711</v>
      </c>
      <c r="I377" s="9">
        <v>45108</v>
      </c>
      <c r="J377" s="9">
        <v>45473</v>
      </c>
      <c r="K377" t="str">
        <f>IFERROR(INDEX(Crosswalk_API!$H$2:$H$527, MATCH(POP_API_TABLE[[#This Row],[PWSID]], CW_PWSID_LIST, 0)), "")</f>
        <v>No</v>
      </c>
    </row>
    <row r="378" spans="1:11" x14ac:dyDescent="0.25">
      <c r="A378" t="s">
        <v>2069</v>
      </c>
      <c r="B378" t="s">
        <v>2070</v>
      </c>
      <c r="C378" t="s">
        <v>2071</v>
      </c>
      <c r="D378" t="s">
        <v>2072</v>
      </c>
      <c r="E378" t="s">
        <v>910</v>
      </c>
      <c r="F378" s="9">
        <v>45414</v>
      </c>
      <c r="G378" s="9"/>
      <c r="H378">
        <v>155612</v>
      </c>
      <c r="I378" s="9">
        <v>45108</v>
      </c>
      <c r="J378" s="9">
        <v>45473</v>
      </c>
      <c r="K378" t="str">
        <f>IFERROR(INDEX(Crosswalk_API!$H$2:$H$527, MATCH(POP_API_TABLE[[#This Row],[PWSID]], CW_PWSID_LIST, 0)), "")</f>
        <v>No</v>
      </c>
    </row>
    <row r="379" spans="1:11" x14ac:dyDescent="0.25">
      <c r="A379" t="s">
        <v>2073</v>
      </c>
      <c r="B379" t="s">
        <v>2074</v>
      </c>
      <c r="C379" t="s">
        <v>2075</v>
      </c>
      <c r="D379" t="s">
        <v>2076</v>
      </c>
      <c r="E379" t="s">
        <v>708</v>
      </c>
      <c r="F379" s="9">
        <v>44562</v>
      </c>
      <c r="G379" s="9"/>
      <c r="H379">
        <v>54660</v>
      </c>
      <c r="I379" s="9">
        <v>45108</v>
      </c>
      <c r="J379" s="9">
        <v>45473</v>
      </c>
      <c r="K379" t="str">
        <f>IFERROR(INDEX(Crosswalk_API!$H$2:$H$527, MATCH(POP_API_TABLE[[#This Row],[PWSID]], CW_PWSID_LIST, 0)), "")</f>
        <v>No</v>
      </c>
    </row>
    <row r="380" spans="1:11" x14ac:dyDescent="0.25">
      <c r="A380" t="s">
        <v>2077</v>
      </c>
      <c r="B380" t="s">
        <v>2078</v>
      </c>
      <c r="C380" t="s">
        <v>2079</v>
      </c>
      <c r="D380" t="s">
        <v>2080</v>
      </c>
      <c r="E380" t="s">
        <v>793</v>
      </c>
      <c r="F380" s="9">
        <v>44197</v>
      </c>
      <c r="G380" s="9"/>
      <c r="H380">
        <v>36827</v>
      </c>
      <c r="I380" s="9">
        <v>45108</v>
      </c>
      <c r="J380" s="9">
        <v>45473</v>
      </c>
      <c r="K380" t="str">
        <f>IFERROR(INDEX(Crosswalk_API!$H$2:$H$527, MATCH(POP_API_TABLE[[#This Row],[PWSID]], CW_PWSID_LIST, 0)), "")</f>
        <v>No</v>
      </c>
    </row>
    <row r="381" spans="1:11" x14ac:dyDescent="0.25">
      <c r="A381" t="s">
        <v>2081</v>
      </c>
      <c r="B381" t="s">
        <v>2082</v>
      </c>
      <c r="C381" t="s">
        <v>2083</v>
      </c>
      <c r="D381" t="s">
        <v>2084</v>
      </c>
      <c r="E381" t="s">
        <v>708</v>
      </c>
      <c r="F381" s="9">
        <v>45292</v>
      </c>
      <c r="G381" s="9"/>
      <c r="H381">
        <v>9600</v>
      </c>
      <c r="I381" s="9">
        <v>45108</v>
      </c>
      <c r="J381" s="9">
        <v>45473</v>
      </c>
      <c r="K381" t="str">
        <f>IFERROR(INDEX(Crosswalk_API!$H$2:$H$527, MATCH(POP_API_TABLE[[#This Row],[PWSID]], CW_PWSID_LIST, 0)), "")</f>
        <v>No</v>
      </c>
    </row>
    <row r="382" spans="1:11" x14ac:dyDescent="0.25">
      <c r="A382" t="s">
        <v>2085</v>
      </c>
      <c r="B382" t="s">
        <v>2086</v>
      </c>
      <c r="C382" t="s">
        <v>2087</v>
      </c>
      <c r="D382" t="s">
        <v>2088</v>
      </c>
      <c r="E382" t="s">
        <v>693</v>
      </c>
      <c r="F382" s="9">
        <v>43101</v>
      </c>
      <c r="G382" s="9"/>
      <c r="H382">
        <v>5268</v>
      </c>
      <c r="I382" s="9">
        <v>45108</v>
      </c>
      <c r="J382" s="9">
        <v>45473</v>
      </c>
      <c r="K382" t="str">
        <f>IFERROR(INDEX(Crosswalk_API!$H$2:$H$527, MATCH(POP_API_TABLE[[#This Row],[PWSID]], CW_PWSID_LIST, 0)), "")</f>
        <v>No</v>
      </c>
    </row>
    <row r="383" spans="1:11" x14ac:dyDescent="0.25">
      <c r="A383" t="s">
        <v>2089</v>
      </c>
      <c r="B383" t="s">
        <v>2090</v>
      </c>
      <c r="C383" t="s">
        <v>2091</v>
      </c>
      <c r="D383" t="s">
        <v>2092</v>
      </c>
      <c r="E383" t="s">
        <v>913</v>
      </c>
      <c r="F383" s="9">
        <v>44926</v>
      </c>
      <c r="G383" s="9"/>
      <c r="H383">
        <v>520407</v>
      </c>
      <c r="I383" s="9">
        <v>45108</v>
      </c>
      <c r="J383" s="9">
        <v>45473</v>
      </c>
      <c r="K383" t="str">
        <f>IFERROR(INDEX(Crosswalk_API!$H$2:$H$527, MATCH(POP_API_TABLE[[#This Row],[PWSID]], CW_PWSID_LIST, 0)), "")</f>
        <v>No</v>
      </c>
    </row>
    <row r="384" spans="1:11" x14ac:dyDescent="0.25">
      <c r="A384" t="s">
        <v>2093</v>
      </c>
      <c r="B384" t="s">
        <v>2094</v>
      </c>
      <c r="C384" t="s">
        <v>2095</v>
      </c>
      <c r="D384" t="s">
        <v>2096</v>
      </c>
      <c r="E384" t="s">
        <v>913</v>
      </c>
      <c r="F384" s="9">
        <v>45292</v>
      </c>
      <c r="G384" s="9"/>
      <c r="H384">
        <v>271</v>
      </c>
      <c r="I384" s="9">
        <v>45108</v>
      </c>
      <c r="J384" s="9">
        <v>45473</v>
      </c>
      <c r="K384" t="str">
        <f>IFERROR(INDEX(Crosswalk_API!$H$2:$H$527, MATCH(POP_API_TABLE[[#This Row],[PWSID]], CW_PWSID_LIST, 0)), "")</f>
        <v>No</v>
      </c>
    </row>
    <row r="385" spans="1:11" x14ac:dyDescent="0.25">
      <c r="A385" t="s">
        <v>2093</v>
      </c>
      <c r="B385" t="s">
        <v>2094</v>
      </c>
      <c r="C385" t="s">
        <v>2097</v>
      </c>
      <c r="D385" t="s">
        <v>2098</v>
      </c>
      <c r="E385" t="s">
        <v>913</v>
      </c>
      <c r="F385" s="9">
        <v>45292</v>
      </c>
      <c r="G385" s="9"/>
      <c r="H385">
        <v>300</v>
      </c>
      <c r="I385" s="9">
        <v>45108</v>
      </c>
      <c r="J385" s="9">
        <v>45473</v>
      </c>
      <c r="K385" t="str">
        <f>IFERROR(INDEX(Crosswalk_API!$H$2:$H$527, MATCH(POP_API_TABLE[[#This Row],[PWSID]], CW_PWSID_LIST, 0)), "")</f>
        <v>No</v>
      </c>
    </row>
    <row r="386" spans="1:11" x14ac:dyDescent="0.25">
      <c r="A386" t="s">
        <v>2093</v>
      </c>
      <c r="B386" t="s">
        <v>2094</v>
      </c>
      <c r="C386" t="s">
        <v>2099</v>
      </c>
      <c r="D386" t="s">
        <v>2100</v>
      </c>
      <c r="E386" t="s">
        <v>913</v>
      </c>
      <c r="F386" s="9">
        <v>45292</v>
      </c>
      <c r="G386" s="9"/>
      <c r="H386">
        <v>103</v>
      </c>
      <c r="I386" s="9">
        <v>45108</v>
      </c>
      <c r="J386" s="9">
        <v>45473</v>
      </c>
      <c r="K386" t="str">
        <f>IFERROR(INDEX(Crosswalk_API!$H$2:$H$527, MATCH(POP_API_TABLE[[#This Row],[PWSID]], CW_PWSID_LIST, 0)), "")</f>
        <v>No</v>
      </c>
    </row>
    <row r="387" spans="1:11" x14ac:dyDescent="0.25">
      <c r="A387" t="s">
        <v>2093</v>
      </c>
      <c r="B387" t="s">
        <v>2094</v>
      </c>
      <c r="C387" t="s">
        <v>2101</v>
      </c>
      <c r="D387" t="s">
        <v>2102</v>
      </c>
      <c r="E387" t="s">
        <v>913</v>
      </c>
      <c r="F387" s="9"/>
      <c r="G387" s="9"/>
      <c r="I387" s="9">
        <v>45108</v>
      </c>
      <c r="J387" s="9">
        <v>45473</v>
      </c>
      <c r="K387" t="str">
        <f>IFERROR(INDEX(Crosswalk_API!$H$2:$H$527, MATCH(POP_API_TABLE[[#This Row],[PWSID]], CW_PWSID_LIST, 0)), "")</f>
        <v>No</v>
      </c>
    </row>
    <row r="388" spans="1:11" x14ac:dyDescent="0.25">
      <c r="A388" t="s">
        <v>2093</v>
      </c>
      <c r="B388" t="s">
        <v>2094</v>
      </c>
      <c r="C388" t="s">
        <v>2103</v>
      </c>
      <c r="D388" t="s">
        <v>2104</v>
      </c>
      <c r="E388" t="s">
        <v>913</v>
      </c>
      <c r="F388" s="9">
        <v>44927</v>
      </c>
      <c r="G388" s="9"/>
      <c r="H388">
        <v>10101</v>
      </c>
      <c r="I388" s="9">
        <v>45108</v>
      </c>
      <c r="J388" s="9">
        <v>45473</v>
      </c>
      <c r="K388" t="str">
        <f>IFERROR(INDEX(Crosswalk_API!$H$2:$H$527, MATCH(POP_API_TABLE[[#This Row],[PWSID]], CW_PWSID_LIST, 0)), "")</f>
        <v>No</v>
      </c>
    </row>
    <row r="389" spans="1:11" x14ac:dyDescent="0.25">
      <c r="A389" t="s">
        <v>2093</v>
      </c>
      <c r="B389" t="s">
        <v>2094</v>
      </c>
      <c r="C389" t="s">
        <v>2105</v>
      </c>
      <c r="D389" t="s">
        <v>2106</v>
      </c>
      <c r="E389" t="s">
        <v>913</v>
      </c>
      <c r="F389" s="9">
        <v>45292</v>
      </c>
      <c r="G389" s="9"/>
      <c r="H389">
        <v>184896</v>
      </c>
      <c r="I389" s="9">
        <v>45108</v>
      </c>
      <c r="J389" s="9">
        <v>45473</v>
      </c>
      <c r="K389" t="str">
        <f>IFERROR(INDEX(Crosswalk_API!$H$2:$H$527, MATCH(POP_API_TABLE[[#This Row],[PWSID]], CW_PWSID_LIST, 0)), "")</f>
        <v>No</v>
      </c>
    </row>
    <row r="390" spans="1:11" x14ac:dyDescent="0.25">
      <c r="A390" t="s">
        <v>2093</v>
      </c>
      <c r="B390" t="s">
        <v>2094</v>
      </c>
      <c r="C390" t="s">
        <v>2107</v>
      </c>
      <c r="D390" t="s">
        <v>2108</v>
      </c>
      <c r="E390" t="s">
        <v>913</v>
      </c>
      <c r="F390" s="9">
        <v>45292</v>
      </c>
      <c r="G390" s="9"/>
      <c r="H390">
        <v>30825</v>
      </c>
      <c r="I390" s="9">
        <v>45108</v>
      </c>
      <c r="J390" s="9">
        <v>45473</v>
      </c>
      <c r="K390" t="str">
        <f>IFERROR(INDEX(Crosswalk_API!$H$2:$H$527, MATCH(POP_API_TABLE[[#This Row],[PWSID]], CW_PWSID_LIST, 0)), "")</f>
        <v>No</v>
      </c>
    </row>
    <row r="391" spans="1:11" x14ac:dyDescent="0.25">
      <c r="A391" t="s">
        <v>2109</v>
      </c>
      <c r="B391" t="s">
        <v>2110</v>
      </c>
      <c r="C391" t="s">
        <v>2111</v>
      </c>
      <c r="D391" t="s">
        <v>2112</v>
      </c>
      <c r="E391" t="s">
        <v>913</v>
      </c>
      <c r="F391" s="9">
        <v>44811</v>
      </c>
      <c r="G391" s="9"/>
      <c r="H391">
        <v>194444</v>
      </c>
      <c r="I391" s="9">
        <v>45108</v>
      </c>
      <c r="J391" s="9">
        <v>45473</v>
      </c>
      <c r="K391" t="str">
        <f>IFERROR(INDEX(Crosswalk_API!$H$2:$H$527, MATCH(POP_API_TABLE[[#This Row],[PWSID]], CW_PWSID_LIST, 0)), "")</f>
        <v>No</v>
      </c>
    </row>
    <row r="392" spans="1:11" x14ac:dyDescent="0.25">
      <c r="A392" t="s">
        <v>2113</v>
      </c>
      <c r="B392" t="s">
        <v>2114</v>
      </c>
      <c r="C392" t="s">
        <v>2115</v>
      </c>
      <c r="D392" t="s">
        <v>2116</v>
      </c>
      <c r="E392" t="s">
        <v>693</v>
      </c>
      <c r="F392" s="9">
        <v>44927</v>
      </c>
      <c r="G392" s="9"/>
      <c r="H392">
        <v>214665</v>
      </c>
      <c r="I392" s="9">
        <v>45108</v>
      </c>
      <c r="J392" s="9">
        <v>45473</v>
      </c>
      <c r="K392" t="str">
        <f>IFERROR(INDEX(Crosswalk_API!$H$2:$H$527, MATCH(POP_API_TABLE[[#This Row],[PWSID]], CW_PWSID_LIST, 0)), "")</f>
        <v>No</v>
      </c>
    </row>
    <row r="393" spans="1:11" x14ac:dyDescent="0.25">
      <c r="A393" t="s">
        <v>2117</v>
      </c>
      <c r="B393" t="s">
        <v>2118</v>
      </c>
      <c r="C393" t="s">
        <v>2119</v>
      </c>
      <c r="D393" t="s">
        <v>2120</v>
      </c>
      <c r="E393" t="s">
        <v>693</v>
      </c>
      <c r="F393" s="9">
        <v>44927</v>
      </c>
      <c r="G393" s="9">
        <v>45657</v>
      </c>
      <c r="H393">
        <v>14870</v>
      </c>
      <c r="I393" s="9">
        <v>45108</v>
      </c>
      <c r="J393" s="9">
        <v>45473</v>
      </c>
      <c r="K393" t="str">
        <f>IFERROR(INDEX(Crosswalk_API!$H$2:$H$527, MATCH(POP_API_TABLE[[#This Row],[PWSID]], CW_PWSID_LIST, 0)), "")</f>
        <v>No</v>
      </c>
    </row>
    <row r="394" spans="1:11" x14ac:dyDescent="0.25">
      <c r="A394" t="s">
        <v>2579</v>
      </c>
      <c r="B394" t="s">
        <v>2580</v>
      </c>
      <c r="C394" t="s">
        <v>2581</v>
      </c>
      <c r="D394" t="s">
        <v>2582</v>
      </c>
      <c r="E394" t="s">
        <v>693</v>
      </c>
      <c r="F394" s="9">
        <v>44927</v>
      </c>
      <c r="G394" s="9">
        <v>45657</v>
      </c>
      <c r="H394">
        <v>12784</v>
      </c>
      <c r="I394" s="9">
        <v>45108</v>
      </c>
      <c r="J394" s="9">
        <v>45473</v>
      </c>
      <c r="K394" t="str">
        <f>IFERROR(INDEX(Crosswalk_API!$H$2:$H$527, MATCH(POP_API_TABLE[[#This Row],[PWSID]], CW_PWSID_LIST, 0)), "")</f>
        <v>No</v>
      </c>
    </row>
    <row r="395" spans="1:11" x14ac:dyDescent="0.25">
      <c r="A395" t="s">
        <v>2121</v>
      </c>
      <c r="B395" t="s">
        <v>2122</v>
      </c>
      <c r="C395" t="s">
        <v>2123</v>
      </c>
      <c r="D395" t="s">
        <v>2124</v>
      </c>
      <c r="E395" t="s">
        <v>862</v>
      </c>
      <c r="F395" s="9">
        <v>45292</v>
      </c>
      <c r="G395" s="9"/>
      <c r="H395">
        <v>41327</v>
      </c>
      <c r="I395" s="9">
        <v>45108</v>
      </c>
      <c r="J395" s="9">
        <v>45473</v>
      </c>
      <c r="K395" t="str">
        <f>IFERROR(INDEX(Crosswalk_API!$H$2:$H$527, MATCH(POP_API_TABLE[[#This Row],[PWSID]], CW_PWSID_LIST, 0)), "")</f>
        <v>No</v>
      </c>
    </row>
    <row r="396" spans="1:11" x14ac:dyDescent="0.25">
      <c r="A396" t="s">
        <v>2125</v>
      </c>
      <c r="B396" t="s">
        <v>2126</v>
      </c>
      <c r="C396" t="s">
        <v>2127</v>
      </c>
      <c r="D396" t="s">
        <v>2128</v>
      </c>
      <c r="E396" t="s">
        <v>942</v>
      </c>
      <c r="F396" s="9">
        <v>44562</v>
      </c>
      <c r="G396" s="9"/>
      <c r="H396">
        <v>113500</v>
      </c>
      <c r="I396" s="9">
        <v>45108</v>
      </c>
      <c r="J396" s="9">
        <v>45473</v>
      </c>
      <c r="K396" t="str">
        <f>IFERROR(INDEX(Crosswalk_API!$H$2:$H$527, MATCH(POP_API_TABLE[[#This Row],[PWSID]], CW_PWSID_LIST, 0)), "")</f>
        <v>No</v>
      </c>
    </row>
    <row r="397" spans="1:11" x14ac:dyDescent="0.25">
      <c r="A397" t="s">
        <v>2129</v>
      </c>
      <c r="B397" t="s">
        <v>2130</v>
      </c>
      <c r="C397" t="s">
        <v>2131</v>
      </c>
      <c r="D397" t="s">
        <v>2132</v>
      </c>
      <c r="E397" t="s">
        <v>731</v>
      </c>
      <c r="F397" s="9">
        <v>43831</v>
      </c>
      <c r="G397" s="9"/>
      <c r="H397">
        <v>51545</v>
      </c>
      <c r="I397" s="9">
        <v>45108</v>
      </c>
      <c r="J397" s="9">
        <v>45473</v>
      </c>
      <c r="K397" t="str">
        <f>IFERROR(INDEX(Crosswalk_API!$H$2:$H$527, MATCH(POP_API_TABLE[[#This Row],[PWSID]], CW_PWSID_LIST, 0)), "")</f>
        <v>No</v>
      </c>
    </row>
    <row r="398" spans="1:11" x14ac:dyDescent="0.25">
      <c r="A398" t="s">
        <v>2133</v>
      </c>
      <c r="B398" t="s">
        <v>2134</v>
      </c>
      <c r="C398" t="s">
        <v>2135</v>
      </c>
      <c r="D398" t="s">
        <v>2136</v>
      </c>
      <c r="E398" t="s">
        <v>937</v>
      </c>
      <c r="F398" s="9">
        <v>44320</v>
      </c>
      <c r="G398" s="9">
        <v>45519</v>
      </c>
      <c r="H398">
        <v>1374790</v>
      </c>
      <c r="I398" s="9">
        <v>45108</v>
      </c>
      <c r="J398" s="9">
        <v>45473</v>
      </c>
      <c r="K398" t="str">
        <f>IFERROR(INDEX(Crosswalk_API!$H$2:$H$527, MATCH(POP_API_TABLE[[#This Row],[PWSID]], CW_PWSID_LIST, 0)), "")</f>
        <v>No</v>
      </c>
    </row>
    <row r="399" spans="1:11" x14ac:dyDescent="0.25">
      <c r="A399" t="s">
        <v>2137</v>
      </c>
      <c r="B399" t="s">
        <v>2138</v>
      </c>
      <c r="C399" t="s">
        <v>2139</v>
      </c>
      <c r="D399" t="s">
        <v>2140</v>
      </c>
      <c r="E399" t="s">
        <v>937</v>
      </c>
      <c r="F399" s="9">
        <v>45125</v>
      </c>
      <c r="G399" s="9">
        <v>45519</v>
      </c>
      <c r="H399">
        <v>40103</v>
      </c>
      <c r="I399" s="9">
        <v>45108</v>
      </c>
      <c r="J399" s="9">
        <v>45473</v>
      </c>
      <c r="K399" t="str">
        <f>IFERROR(INDEX(Crosswalk_API!$H$2:$H$527, MATCH(POP_API_TABLE[[#This Row],[PWSID]], CW_PWSID_LIST, 0)), "")</f>
        <v>No</v>
      </c>
    </row>
    <row r="400" spans="1:11" x14ac:dyDescent="0.25">
      <c r="A400" t="s">
        <v>2141</v>
      </c>
      <c r="B400" t="s">
        <v>2142</v>
      </c>
      <c r="C400" t="s">
        <v>2143</v>
      </c>
      <c r="D400" t="s">
        <v>2144</v>
      </c>
      <c r="E400" t="s">
        <v>708</v>
      </c>
      <c r="F400" s="9">
        <v>43466</v>
      </c>
      <c r="G400" s="9"/>
      <c r="H400">
        <v>23946</v>
      </c>
      <c r="I400" s="9">
        <v>45108</v>
      </c>
      <c r="J400" s="9">
        <v>45473</v>
      </c>
      <c r="K400" t="str">
        <f>IFERROR(INDEX(Crosswalk_API!$H$2:$H$527, MATCH(POP_API_TABLE[[#This Row],[PWSID]], CW_PWSID_LIST, 0)), "")</f>
        <v>No</v>
      </c>
    </row>
    <row r="401" spans="1:11" x14ac:dyDescent="0.25">
      <c r="A401" t="s">
        <v>2145</v>
      </c>
      <c r="B401" t="s">
        <v>2146</v>
      </c>
      <c r="C401" t="s">
        <v>2147</v>
      </c>
      <c r="D401" t="s">
        <v>2148</v>
      </c>
      <c r="E401" t="s">
        <v>698</v>
      </c>
      <c r="F401" s="9">
        <v>44927</v>
      </c>
      <c r="G401" s="9"/>
      <c r="H401">
        <v>281</v>
      </c>
      <c r="I401" s="9">
        <v>45108</v>
      </c>
      <c r="J401" s="9">
        <v>45473</v>
      </c>
      <c r="K401" t="str">
        <f>IFERROR(INDEX(Crosswalk_API!$H$2:$H$527, MATCH(POP_API_TABLE[[#This Row],[PWSID]], CW_PWSID_LIST, 0)), "")</f>
        <v>No</v>
      </c>
    </row>
    <row r="402" spans="1:11" x14ac:dyDescent="0.25">
      <c r="A402" t="s">
        <v>2145</v>
      </c>
      <c r="B402" t="s">
        <v>2146</v>
      </c>
      <c r="C402" t="s">
        <v>2149</v>
      </c>
      <c r="D402" t="s">
        <v>2150</v>
      </c>
      <c r="E402" t="s">
        <v>698</v>
      </c>
      <c r="F402" s="9">
        <v>44811</v>
      </c>
      <c r="G402" s="9"/>
      <c r="H402">
        <v>1</v>
      </c>
      <c r="I402" s="9">
        <v>45108</v>
      </c>
      <c r="J402" s="9">
        <v>45473</v>
      </c>
      <c r="K402" t="str">
        <f>IFERROR(INDEX(Crosswalk_API!$H$2:$H$527, MATCH(POP_API_TABLE[[#This Row],[PWSID]], CW_PWSID_LIST, 0)), "")</f>
        <v>No</v>
      </c>
    </row>
    <row r="403" spans="1:11" x14ac:dyDescent="0.25">
      <c r="A403" t="s">
        <v>2145</v>
      </c>
      <c r="B403" t="s">
        <v>2146</v>
      </c>
      <c r="C403" t="s">
        <v>2151</v>
      </c>
      <c r="D403" t="s">
        <v>2152</v>
      </c>
      <c r="E403" t="s">
        <v>2153</v>
      </c>
      <c r="F403" s="9">
        <v>44927</v>
      </c>
      <c r="G403" s="9"/>
      <c r="H403">
        <v>848019</v>
      </c>
      <c r="I403" s="9">
        <v>45108</v>
      </c>
      <c r="J403" s="9">
        <v>45473</v>
      </c>
      <c r="K403" t="str">
        <f>IFERROR(INDEX(Crosswalk_API!$H$2:$H$527, MATCH(POP_API_TABLE[[#This Row],[PWSID]], CW_PWSID_LIST, 0)), "")</f>
        <v>No</v>
      </c>
    </row>
    <row r="404" spans="1:11" x14ac:dyDescent="0.25">
      <c r="A404" t="s">
        <v>2154</v>
      </c>
      <c r="B404" t="s">
        <v>2155</v>
      </c>
      <c r="C404" t="s">
        <v>2156</v>
      </c>
      <c r="D404" t="s">
        <v>2157</v>
      </c>
      <c r="E404" t="s">
        <v>708</v>
      </c>
      <c r="F404" s="9">
        <v>45292</v>
      </c>
      <c r="G404" s="9"/>
      <c r="H404">
        <v>39345</v>
      </c>
      <c r="I404" s="9">
        <v>45108</v>
      </c>
      <c r="J404" s="9">
        <v>45473</v>
      </c>
      <c r="K404" t="str">
        <f>IFERROR(INDEX(Crosswalk_API!$H$2:$H$527, MATCH(POP_API_TABLE[[#This Row],[PWSID]], CW_PWSID_LIST, 0)), "")</f>
        <v>No</v>
      </c>
    </row>
    <row r="405" spans="1:11" x14ac:dyDescent="0.25">
      <c r="A405" t="s">
        <v>2162</v>
      </c>
      <c r="B405" t="s">
        <v>2163</v>
      </c>
      <c r="C405" t="s">
        <v>2164</v>
      </c>
      <c r="D405" t="s">
        <v>2165</v>
      </c>
      <c r="E405" t="s">
        <v>708</v>
      </c>
      <c r="F405" s="9">
        <v>45292</v>
      </c>
      <c r="G405" s="9"/>
      <c r="H405">
        <v>248000</v>
      </c>
      <c r="I405" s="9">
        <v>45108</v>
      </c>
      <c r="J405" s="9">
        <v>45473</v>
      </c>
      <c r="K405" t="str">
        <f>IFERROR(INDEX(Crosswalk_API!$H$2:$H$527, MATCH(POP_API_TABLE[[#This Row],[PWSID]], CW_PWSID_LIST, 0)), "")</f>
        <v>No</v>
      </c>
    </row>
    <row r="406" spans="1:11" x14ac:dyDescent="0.25">
      <c r="A406" t="s">
        <v>2162</v>
      </c>
      <c r="B406" t="s">
        <v>2163</v>
      </c>
      <c r="C406" t="s">
        <v>2166</v>
      </c>
      <c r="D406" t="s">
        <v>2167</v>
      </c>
      <c r="E406" t="s">
        <v>708</v>
      </c>
      <c r="F406" s="9">
        <v>45292</v>
      </c>
      <c r="G406" s="9"/>
      <c r="H406">
        <v>9630</v>
      </c>
      <c r="I406" s="9">
        <v>45108</v>
      </c>
      <c r="J406" s="9">
        <v>45473</v>
      </c>
      <c r="K406" t="str">
        <f>IFERROR(INDEX(Crosswalk_API!$H$2:$H$527, MATCH(POP_API_TABLE[[#This Row],[PWSID]], CW_PWSID_LIST, 0)), "")</f>
        <v>No</v>
      </c>
    </row>
    <row r="407" spans="1:11" x14ac:dyDescent="0.25">
      <c r="A407" t="s">
        <v>2158</v>
      </c>
      <c r="B407" t="s">
        <v>2159</v>
      </c>
      <c r="C407" t="s">
        <v>2160</v>
      </c>
      <c r="D407" t="s">
        <v>2161</v>
      </c>
      <c r="E407" t="s">
        <v>693</v>
      </c>
      <c r="F407" s="9">
        <v>44927</v>
      </c>
      <c r="G407" s="9">
        <v>45657</v>
      </c>
      <c r="H407">
        <v>237600</v>
      </c>
      <c r="I407" s="9">
        <v>45108</v>
      </c>
      <c r="J407" s="9">
        <v>45473</v>
      </c>
      <c r="K407" t="str">
        <f>IFERROR(INDEX(Crosswalk_API!$H$2:$H$527, MATCH(POP_API_TABLE[[#This Row],[PWSID]], CW_PWSID_LIST, 0)), "")</f>
        <v>No</v>
      </c>
    </row>
    <row r="408" spans="1:11" x14ac:dyDescent="0.25">
      <c r="A408" t="s">
        <v>2168</v>
      </c>
      <c r="B408" t="s">
        <v>2169</v>
      </c>
      <c r="C408" t="s">
        <v>2170</v>
      </c>
      <c r="D408" t="s">
        <v>2171</v>
      </c>
      <c r="E408" t="s">
        <v>793</v>
      </c>
      <c r="F408" s="9">
        <v>44562</v>
      </c>
      <c r="G408" s="9"/>
      <c r="H408">
        <v>18950</v>
      </c>
      <c r="I408" s="9">
        <v>45108</v>
      </c>
      <c r="J408" s="9">
        <v>45473</v>
      </c>
      <c r="K408" t="str">
        <f>IFERROR(INDEX(Crosswalk_API!$H$2:$H$527, MATCH(POP_API_TABLE[[#This Row],[PWSID]], CW_PWSID_LIST, 0)), "")</f>
        <v>No</v>
      </c>
    </row>
    <row r="409" spans="1:11" x14ac:dyDescent="0.25">
      <c r="A409" t="s">
        <v>2172</v>
      </c>
      <c r="B409" t="s">
        <v>2173</v>
      </c>
      <c r="C409" t="s">
        <v>2174</v>
      </c>
      <c r="D409" t="s">
        <v>2175</v>
      </c>
      <c r="E409" t="s">
        <v>1007</v>
      </c>
      <c r="F409" s="9">
        <v>45292</v>
      </c>
      <c r="G409" s="9"/>
      <c r="H409">
        <v>45559</v>
      </c>
      <c r="I409" s="9">
        <v>45108</v>
      </c>
      <c r="J409" s="9">
        <v>45473</v>
      </c>
      <c r="K409" t="str">
        <f>IFERROR(INDEX(Crosswalk_API!$H$2:$H$527, MATCH(POP_API_TABLE[[#This Row],[PWSID]], CW_PWSID_LIST, 0)), "")</f>
        <v>No</v>
      </c>
    </row>
    <row r="410" spans="1:11" x14ac:dyDescent="0.25">
      <c r="A410" t="s">
        <v>2172</v>
      </c>
      <c r="B410" t="s">
        <v>2173</v>
      </c>
      <c r="C410" t="s">
        <v>2176</v>
      </c>
      <c r="D410" t="s">
        <v>2177</v>
      </c>
      <c r="E410" t="s">
        <v>1007</v>
      </c>
      <c r="F410" s="9">
        <v>45292</v>
      </c>
      <c r="G410" s="9"/>
      <c r="H410">
        <v>101265</v>
      </c>
      <c r="I410" s="9">
        <v>45108</v>
      </c>
      <c r="J410" s="9">
        <v>45473</v>
      </c>
      <c r="K410" t="str">
        <f>IFERROR(INDEX(Crosswalk_API!$H$2:$H$527, MATCH(POP_API_TABLE[[#This Row],[PWSID]], CW_PWSID_LIST, 0)), "")</f>
        <v>No</v>
      </c>
    </row>
    <row r="411" spans="1:11" x14ac:dyDescent="0.25">
      <c r="A411" t="s">
        <v>2178</v>
      </c>
      <c r="B411" t="s">
        <v>2179</v>
      </c>
      <c r="C411" t="s">
        <v>2180</v>
      </c>
      <c r="D411" t="s">
        <v>2181</v>
      </c>
      <c r="E411" t="s">
        <v>1007</v>
      </c>
      <c r="F411" s="9">
        <v>44824</v>
      </c>
      <c r="G411" s="9"/>
      <c r="H411">
        <v>1010207</v>
      </c>
      <c r="I411" s="9">
        <v>45108</v>
      </c>
      <c r="J411" s="9">
        <v>45473</v>
      </c>
      <c r="K411" t="str">
        <f>IFERROR(INDEX(Crosswalk_API!$H$2:$H$527, MATCH(POP_API_TABLE[[#This Row],[PWSID]], CW_PWSID_LIST, 0)), "")</f>
        <v>No</v>
      </c>
    </row>
    <row r="412" spans="1:11" x14ac:dyDescent="0.25">
      <c r="A412" t="s">
        <v>2178</v>
      </c>
      <c r="B412" t="s">
        <v>2179</v>
      </c>
      <c r="C412" t="s">
        <v>2182</v>
      </c>
      <c r="D412" t="s">
        <v>2183</v>
      </c>
      <c r="E412" t="s">
        <v>1007</v>
      </c>
      <c r="F412" s="9">
        <v>45292</v>
      </c>
      <c r="G412" s="9"/>
      <c r="H412">
        <v>16336</v>
      </c>
      <c r="I412" s="9">
        <v>45108</v>
      </c>
      <c r="J412" s="9">
        <v>45473</v>
      </c>
      <c r="K412" t="str">
        <f>IFERROR(INDEX(Crosswalk_API!$H$2:$H$527, MATCH(POP_API_TABLE[[#This Row],[PWSID]], CW_PWSID_LIST, 0)), "")</f>
        <v>No</v>
      </c>
    </row>
    <row r="413" spans="1:11" x14ac:dyDescent="0.25">
      <c r="A413" t="s">
        <v>2184</v>
      </c>
      <c r="B413" t="s">
        <v>2185</v>
      </c>
      <c r="C413" t="s">
        <v>2186</v>
      </c>
      <c r="D413" t="s">
        <v>2187</v>
      </c>
      <c r="E413" t="s">
        <v>913</v>
      </c>
      <c r="F413" s="9">
        <v>44927</v>
      </c>
      <c r="G413" s="9"/>
      <c r="H413">
        <v>29598</v>
      </c>
      <c r="I413" s="9">
        <v>45108</v>
      </c>
      <c r="J413" s="9">
        <v>45473</v>
      </c>
      <c r="K413" t="str">
        <f>IFERROR(INDEX(Crosswalk_API!$H$2:$H$527, MATCH(POP_API_TABLE[[#This Row],[PWSID]], CW_PWSID_LIST, 0)), "")</f>
        <v>No</v>
      </c>
    </row>
    <row r="414" spans="1:11" x14ac:dyDescent="0.25">
      <c r="A414" t="s">
        <v>2188</v>
      </c>
      <c r="B414" t="s">
        <v>2189</v>
      </c>
      <c r="C414" t="s">
        <v>2190</v>
      </c>
      <c r="D414" t="s">
        <v>2191</v>
      </c>
      <c r="E414" t="s">
        <v>2192</v>
      </c>
      <c r="F414" s="9">
        <v>45292</v>
      </c>
      <c r="G414" s="9"/>
      <c r="H414">
        <v>4340</v>
      </c>
      <c r="I414" s="9">
        <v>45108</v>
      </c>
      <c r="J414" s="9">
        <v>45473</v>
      </c>
      <c r="K414" t="str">
        <f>IFERROR(INDEX(Crosswalk_API!$H$2:$H$527, MATCH(POP_API_TABLE[[#This Row],[PWSID]], CW_PWSID_LIST, 0)), "")</f>
        <v>No</v>
      </c>
    </row>
    <row r="415" spans="1:11" x14ac:dyDescent="0.25">
      <c r="A415" t="s">
        <v>2188</v>
      </c>
      <c r="B415" t="s">
        <v>2189</v>
      </c>
      <c r="C415" t="s">
        <v>2193</v>
      </c>
      <c r="D415" t="s">
        <v>2194</v>
      </c>
      <c r="E415" t="s">
        <v>2192</v>
      </c>
      <c r="F415" s="9">
        <v>41640</v>
      </c>
      <c r="G415" s="9"/>
      <c r="H415">
        <v>21145</v>
      </c>
      <c r="I415" s="9">
        <v>45108</v>
      </c>
      <c r="J415" s="9">
        <v>45473</v>
      </c>
      <c r="K415" t="str">
        <f>IFERROR(INDEX(Crosswalk_API!$H$2:$H$527, MATCH(POP_API_TABLE[[#This Row],[PWSID]], CW_PWSID_LIST, 0)), "")</f>
        <v>No</v>
      </c>
    </row>
    <row r="416" spans="1:11" x14ac:dyDescent="0.25">
      <c r="A416" t="s">
        <v>2195</v>
      </c>
      <c r="B416" t="s">
        <v>2196</v>
      </c>
      <c r="C416" t="s">
        <v>2197</v>
      </c>
      <c r="D416" t="s">
        <v>2198</v>
      </c>
      <c r="E416" t="s">
        <v>761</v>
      </c>
      <c r="F416" s="9">
        <v>44927</v>
      </c>
      <c r="G416" s="9"/>
      <c r="H416">
        <v>47788</v>
      </c>
      <c r="I416" s="9">
        <v>45108</v>
      </c>
      <c r="J416" s="9">
        <v>45473</v>
      </c>
      <c r="K416" t="str">
        <f>IFERROR(INDEX(Crosswalk_API!$H$2:$H$527, MATCH(POP_API_TABLE[[#This Row],[PWSID]], CW_PWSID_LIST, 0)), "")</f>
        <v>No</v>
      </c>
    </row>
    <row r="417" spans="1:11" x14ac:dyDescent="0.25">
      <c r="A417" t="s">
        <v>2199</v>
      </c>
      <c r="B417" t="s">
        <v>2200</v>
      </c>
      <c r="C417" t="s">
        <v>2201</v>
      </c>
      <c r="D417" t="s">
        <v>2202</v>
      </c>
      <c r="E417" t="s">
        <v>788</v>
      </c>
      <c r="F417" s="9">
        <v>44824</v>
      </c>
      <c r="G417" s="9">
        <v>45790</v>
      </c>
      <c r="H417">
        <v>26241</v>
      </c>
      <c r="I417" s="9">
        <v>45108</v>
      </c>
      <c r="J417" s="9">
        <v>45473</v>
      </c>
      <c r="K417" t="str">
        <f>IFERROR(INDEX(Crosswalk_API!$H$2:$H$527, MATCH(POP_API_TABLE[[#This Row],[PWSID]], CW_PWSID_LIST, 0)), "")</f>
        <v>No</v>
      </c>
    </row>
    <row r="418" spans="1:11" x14ac:dyDescent="0.25">
      <c r="A418" t="s">
        <v>2203</v>
      </c>
      <c r="B418" t="s">
        <v>2204</v>
      </c>
      <c r="C418" t="s">
        <v>2205</v>
      </c>
      <c r="D418" t="s">
        <v>2206</v>
      </c>
      <c r="E418" t="s">
        <v>731</v>
      </c>
      <c r="F418" s="9">
        <v>44927</v>
      </c>
      <c r="G418" s="9">
        <v>45657</v>
      </c>
      <c r="H418">
        <v>308189</v>
      </c>
      <c r="I418" s="9">
        <v>45108</v>
      </c>
      <c r="J418" s="9">
        <v>45473</v>
      </c>
      <c r="K418" t="str">
        <f>IFERROR(INDEX(Crosswalk_API!$H$2:$H$527, MATCH(POP_API_TABLE[[#This Row],[PWSID]], CW_PWSID_LIST, 0)), "")</f>
        <v>No</v>
      </c>
    </row>
    <row r="419" spans="1:11" x14ac:dyDescent="0.25">
      <c r="A419" t="s">
        <v>2207</v>
      </c>
      <c r="B419" t="s">
        <v>2208</v>
      </c>
      <c r="C419" t="s">
        <v>2209</v>
      </c>
      <c r="D419" t="s">
        <v>2210</v>
      </c>
      <c r="E419" t="s">
        <v>1089</v>
      </c>
      <c r="F419" s="9">
        <v>44927</v>
      </c>
      <c r="G419" s="9"/>
      <c r="H419">
        <v>98872</v>
      </c>
      <c r="I419" s="9">
        <v>45108</v>
      </c>
      <c r="J419" s="9">
        <v>45473</v>
      </c>
      <c r="K419" t="str">
        <f>IFERROR(INDEX(Crosswalk_API!$H$2:$H$527, MATCH(POP_API_TABLE[[#This Row],[PWSID]], CW_PWSID_LIST, 0)), "")</f>
        <v>No</v>
      </c>
    </row>
    <row r="420" spans="1:11" x14ac:dyDescent="0.25">
      <c r="A420" t="s">
        <v>2211</v>
      </c>
      <c r="B420" t="s">
        <v>2212</v>
      </c>
      <c r="C420" t="s">
        <v>2213</v>
      </c>
      <c r="D420" t="s">
        <v>2214</v>
      </c>
      <c r="E420" t="s">
        <v>1007</v>
      </c>
      <c r="F420" s="9">
        <v>45292</v>
      </c>
      <c r="G420" s="9"/>
      <c r="H420">
        <v>130746</v>
      </c>
      <c r="I420" s="9">
        <v>45108</v>
      </c>
      <c r="J420" s="9">
        <v>45473</v>
      </c>
      <c r="K420" t="str">
        <f>IFERROR(INDEX(Crosswalk_API!$H$2:$H$527, MATCH(POP_API_TABLE[[#This Row],[PWSID]], CW_PWSID_LIST, 0)), "")</f>
        <v>No</v>
      </c>
    </row>
    <row r="421" spans="1:11" x14ac:dyDescent="0.25">
      <c r="A421" t="s">
        <v>2591</v>
      </c>
      <c r="B421" t="s">
        <v>2592</v>
      </c>
      <c r="C421" t="s">
        <v>2593</v>
      </c>
      <c r="D421" t="s">
        <v>2594</v>
      </c>
      <c r="E421" t="s">
        <v>708</v>
      </c>
      <c r="F421" s="9">
        <v>44927</v>
      </c>
      <c r="G421" s="9"/>
      <c r="H421">
        <v>135281</v>
      </c>
      <c r="I421" s="9">
        <v>45108</v>
      </c>
      <c r="J421" s="9">
        <v>45473</v>
      </c>
      <c r="K421" t="str">
        <f>IFERROR(INDEX(Crosswalk_API!$H$2:$H$527, MATCH(POP_API_TABLE[[#This Row],[PWSID]], CW_PWSID_LIST, 0)), "")</f>
        <v>No</v>
      </c>
    </row>
    <row r="422" spans="1:11" x14ac:dyDescent="0.25">
      <c r="A422" t="s">
        <v>2591</v>
      </c>
      <c r="B422" t="s">
        <v>2592</v>
      </c>
      <c r="C422" t="s">
        <v>2595</v>
      </c>
      <c r="D422" t="s">
        <v>2596</v>
      </c>
      <c r="E422" t="s">
        <v>708</v>
      </c>
      <c r="F422" s="9">
        <v>44927</v>
      </c>
      <c r="G422" s="9"/>
      <c r="H422">
        <v>17498</v>
      </c>
      <c r="I422" s="9">
        <v>45108</v>
      </c>
      <c r="J422" s="9">
        <v>45473</v>
      </c>
      <c r="K422" t="str">
        <f>IFERROR(INDEX(Crosswalk_API!$H$2:$H$527, MATCH(POP_API_TABLE[[#This Row],[PWSID]], CW_PWSID_LIST, 0)), "")</f>
        <v>No</v>
      </c>
    </row>
    <row r="423" spans="1:11" x14ac:dyDescent="0.25">
      <c r="A423" t="s">
        <v>2591</v>
      </c>
      <c r="B423" t="s">
        <v>2592</v>
      </c>
      <c r="C423" t="s">
        <v>2597</v>
      </c>
      <c r="D423" t="s">
        <v>2598</v>
      </c>
      <c r="E423" t="s">
        <v>708</v>
      </c>
      <c r="F423" s="9">
        <v>45292</v>
      </c>
      <c r="G423" s="9"/>
      <c r="H423">
        <v>294090</v>
      </c>
      <c r="I423" s="9">
        <v>45108</v>
      </c>
      <c r="J423" s="9">
        <v>45473</v>
      </c>
      <c r="K423" t="str">
        <f>IFERROR(INDEX(Crosswalk_API!$H$2:$H$527, MATCH(POP_API_TABLE[[#This Row],[PWSID]], CW_PWSID_LIST, 0)), "")</f>
        <v>No</v>
      </c>
    </row>
    <row r="424" spans="1:11" x14ac:dyDescent="0.25">
      <c r="A424" t="s">
        <v>2591</v>
      </c>
      <c r="B424" t="s">
        <v>2592</v>
      </c>
      <c r="C424" t="s">
        <v>2599</v>
      </c>
      <c r="D424" t="s">
        <v>2600</v>
      </c>
      <c r="E424" t="s">
        <v>708</v>
      </c>
      <c r="F424" s="9">
        <v>44927</v>
      </c>
      <c r="G424" s="9"/>
      <c r="H424">
        <v>9999</v>
      </c>
      <c r="I424" s="9">
        <v>45108</v>
      </c>
      <c r="J424" s="9">
        <v>45473</v>
      </c>
      <c r="K424" t="str">
        <f>IFERROR(INDEX(Crosswalk_API!$H$2:$H$527, MATCH(POP_API_TABLE[[#This Row],[PWSID]], CW_PWSID_LIST, 0)), "")</f>
        <v/>
      </c>
    </row>
    <row r="425" spans="1:11" x14ac:dyDescent="0.25">
      <c r="A425" t="s">
        <v>2591</v>
      </c>
      <c r="B425" t="s">
        <v>2592</v>
      </c>
      <c r="C425" t="s">
        <v>2601</v>
      </c>
      <c r="D425" t="s">
        <v>2602</v>
      </c>
      <c r="E425" t="s">
        <v>708</v>
      </c>
      <c r="F425" s="9">
        <v>44927</v>
      </c>
      <c r="G425" s="9"/>
      <c r="H425">
        <v>15998</v>
      </c>
      <c r="I425" s="9">
        <v>45108</v>
      </c>
      <c r="J425" s="9">
        <v>45473</v>
      </c>
      <c r="K425" t="str">
        <f>IFERROR(INDEX(Crosswalk_API!$H$2:$H$527, MATCH(POP_API_TABLE[[#This Row],[PWSID]], CW_PWSID_LIST, 0)), "")</f>
        <v/>
      </c>
    </row>
    <row r="426" spans="1:11" x14ac:dyDescent="0.25">
      <c r="A426" t="s">
        <v>2591</v>
      </c>
      <c r="B426" t="s">
        <v>2592</v>
      </c>
      <c r="C426" t="s">
        <v>2603</v>
      </c>
      <c r="D426" t="s">
        <v>2604</v>
      </c>
      <c r="E426" t="s">
        <v>708</v>
      </c>
      <c r="F426" s="9">
        <v>44927</v>
      </c>
      <c r="G426" s="9"/>
      <c r="H426">
        <v>6499</v>
      </c>
      <c r="I426" s="9">
        <v>45108</v>
      </c>
      <c r="J426" s="9">
        <v>45473</v>
      </c>
      <c r="K426" t="str">
        <f>IFERROR(INDEX(Crosswalk_API!$H$2:$H$527, MATCH(POP_API_TABLE[[#This Row],[PWSID]], CW_PWSID_LIST, 0)), "")</f>
        <v/>
      </c>
    </row>
    <row r="427" spans="1:11" x14ac:dyDescent="0.25">
      <c r="A427" t="s">
        <v>2215</v>
      </c>
      <c r="B427" t="s">
        <v>2216</v>
      </c>
      <c r="C427" t="s">
        <v>2217</v>
      </c>
      <c r="D427" t="s">
        <v>2218</v>
      </c>
      <c r="E427" t="s">
        <v>2192</v>
      </c>
      <c r="F427" s="9">
        <v>42736</v>
      </c>
      <c r="G427" s="9"/>
      <c r="H427">
        <v>94626</v>
      </c>
      <c r="I427" s="9">
        <v>45108</v>
      </c>
      <c r="J427" s="9">
        <v>45473</v>
      </c>
      <c r="K427" t="str">
        <f>IFERROR(INDEX(Crosswalk_API!$H$2:$H$527, MATCH(POP_API_TABLE[[#This Row],[PWSID]], CW_PWSID_LIST, 0)), "")</f>
        <v>No</v>
      </c>
    </row>
    <row r="428" spans="1:11" x14ac:dyDescent="0.25">
      <c r="A428" t="s">
        <v>2219</v>
      </c>
      <c r="B428" t="s">
        <v>2220</v>
      </c>
      <c r="C428" t="s">
        <v>2221</v>
      </c>
      <c r="D428" t="s">
        <v>2222</v>
      </c>
      <c r="E428" t="s">
        <v>937</v>
      </c>
      <c r="F428" s="9">
        <v>45125</v>
      </c>
      <c r="G428" s="9">
        <v>45519</v>
      </c>
      <c r="H428">
        <v>21539</v>
      </c>
      <c r="I428" s="9">
        <v>45108</v>
      </c>
      <c r="J428" s="9">
        <v>45473</v>
      </c>
      <c r="K428" t="str">
        <f>IFERROR(INDEX(Crosswalk_API!$H$2:$H$527, MATCH(POP_API_TABLE[[#This Row],[PWSID]], CW_PWSID_LIST, 0)), "")</f>
        <v>No</v>
      </c>
    </row>
    <row r="429" spans="1:11" x14ac:dyDescent="0.25">
      <c r="A429" t="s">
        <v>2223</v>
      </c>
      <c r="B429" t="s">
        <v>2224</v>
      </c>
      <c r="C429" t="s">
        <v>2225</v>
      </c>
      <c r="D429" t="s">
        <v>2226</v>
      </c>
      <c r="E429" t="s">
        <v>708</v>
      </c>
      <c r="F429" s="9">
        <v>44197</v>
      </c>
      <c r="G429" s="9"/>
      <c r="H429">
        <v>19219</v>
      </c>
      <c r="I429" s="9">
        <v>45108</v>
      </c>
      <c r="J429" s="9">
        <v>45473</v>
      </c>
      <c r="K429" t="str">
        <f>IFERROR(INDEX(Crosswalk_API!$H$2:$H$527, MATCH(POP_API_TABLE[[#This Row],[PWSID]], CW_PWSID_LIST, 0)), "")</f>
        <v>No</v>
      </c>
    </row>
    <row r="430" spans="1:11" x14ac:dyDescent="0.25">
      <c r="A430" t="s">
        <v>2227</v>
      </c>
      <c r="B430" t="s">
        <v>2228</v>
      </c>
      <c r="C430" t="s">
        <v>2231</v>
      </c>
      <c r="D430" t="s">
        <v>2232</v>
      </c>
      <c r="E430" t="s">
        <v>731</v>
      </c>
      <c r="F430" s="9">
        <v>45292</v>
      </c>
      <c r="G430" s="9">
        <v>45657</v>
      </c>
      <c r="H430">
        <v>38347</v>
      </c>
      <c r="I430" s="9">
        <v>45108</v>
      </c>
      <c r="J430" s="9">
        <v>45473</v>
      </c>
      <c r="K430" t="str">
        <f>IFERROR(INDEX(Crosswalk_API!$H$2:$H$527, MATCH(POP_API_TABLE[[#This Row],[PWSID]], CW_PWSID_LIST, 0)), "")</f>
        <v>No</v>
      </c>
    </row>
    <row r="431" spans="1:11" x14ac:dyDescent="0.25">
      <c r="A431" t="s">
        <v>2227</v>
      </c>
      <c r="B431" t="s">
        <v>2228</v>
      </c>
      <c r="C431" t="s">
        <v>2229</v>
      </c>
      <c r="D431" t="s">
        <v>2230</v>
      </c>
      <c r="E431" t="s">
        <v>731</v>
      </c>
      <c r="F431" s="9">
        <v>45292</v>
      </c>
      <c r="G431" s="9">
        <v>45657</v>
      </c>
      <c r="H431">
        <v>166600</v>
      </c>
      <c r="I431" s="9">
        <v>45108</v>
      </c>
      <c r="J431" s="9">
        <v>45473</v>
      </c>
      <c r="K431" t="str">
        <f>IFERROR(INDEX(Crosswalk_API!$H$2:$H$527, MATCH(POP_API_TABLE[[#This Row],[PWSID]], CW_PWSID_LIST, 0)), "")</f>
        <v>No</v>
      </c>
    </row>
    <row r="432" spans="1:11" x14ac:dyDescent="0.25">
      <c r="A432" t="s">
        <v>2233</v>
      </c>
      <c r="B432" t="s">
        <v>2234</v>
      </c>
      <c r="C432" t="s">
        <v>2235</v>
      </c>
      <c r="D432" t="s">
        <v>2236</v>
      </c>
      <c r="E432" t="s">
        <v>1089</v>
      </c>
      <c r="F432" s="9">
        <v>44927</v>
      </c>
      <c r="G432" s="9"/>
      <c r="H432">
        <v>109477</v>
      </c>
      <c r="I432" s="9">
        <v>45108</v>
      </c>
      <c r="J432" s="9">
        <v>45473</v>
      </c>
      <c r="K432" t="str">
        <f>IFERROR(INDEX(Crosswalk_API!$H$2:$H$527, MATCH(POP_API_TABLE[[#This Row],[PWSID]], CW_PWSID_LIST, 0)), "")</f>
        <v>No</v>
      </c>
    </row>
    <row r="433" spans="1:11" x14ac:dyDescent="0.25">
      <c r="A433" t="s">
        <v>2237</v>
      </c>
      <c r="B433" t="s">
        <v>2238</v>
      </c>
      <c r="C433" t="s">
        <v>2239</v>
      </c>
      <c r="D433" t="s">
        <v>2240</v>
      </c>
      <c r="E433" t="s">
        <v>708</v>
      </c>
      <c r="F433" s="9">
        <v>44927</v>
      </c>
      <c r="G433" s="9"/>
      <c r="H433">
        <v>89947</v>
      </c>
      <c r="I433" s="9">
        <v>45108</v>
      </c>
      <c r="J433" s="9">
        <v>45473</v>
      </c>
      <c r="K433" t="str">
        <f>IFERROR(INDEX(Crosswalk_API!$H$2:$H$527, MATCH(POP_API_TABLE[[#This Row],[PWSID]], CW_PWSID_LIST, 0)), "")</f>
        <v>No</v>
      </c>
    </row>
    <row r="434" spans="1:11" x14ac:dyDescent="0.25">
      <c r="A434" t="s">
        <v>2241</v>
      </c>
      <c r="B434" t="s">
        <v>2242</v>
      </c>
      <c r="C434" t="s">
        <v>2243</v>
      </c>
      <c r="D434" t="s">
        <v>2244</v>
      </c>
      <c r="E434" t="s">
        <v>942</v>
      </c>
      <c r="F434" s="9">
        <v>44927</v>
      </c>
      <c r="G434" s="9"/>
      <c r="H434">
        <v>31018</v>
      </c>
      <c r="I434" s="9">
        <v>45108</v>
      </c>
      <c r="J434" s="9">
        <v>45473</v>
      </c>
      <c r="K434" t="str">
        <f>IFERROR(INDEX(Crosswalk_API!$H$2:$H$527, MATCH(POP_API_TABLE[[#This Row],[PWSID]], CW_PWSID_LIST, 0)), "")</f>
        <v>No</v>
      </c>
    </row>
    <row r="435" spans="1:11" x14ac:dyDescent="0.25">
      <c r="A435" t="s">
        <v>2245</v>
      </c>
      <c r="B435" t="s">
        <v>2246</v>
      </c>
      <c r="C435" t="s">
        <v>2247</v>
      </c>
      <c r="D435" t="s">
        <v>2248</v>
      </c>
      <c r="E435" t="s">
        <v>1121</v>
      </c>
      <c r="F435" s="9">
        <v>45292</v>
      </c>
      <c r="G435" s="9"/>
      <c r="H435">
        <v>175396</v>
      </c>
      <c r="I435" s="9">
        <v>45108</v>
      </c>
      <c r="J435" s="9">
        <v>45473</v>
      </c>
      <c r="K435" t="str">
        <f>IFERROR(INDEX(Crosswalk_API!$H$2:$H$527, MATCH(POP_API_TABLE[[#This Row],[PWSID]], CW_PWSID_LIST, 0)), "")</f>
        <v>No</v>
      </c>
    </row>
    <row r="436" spans="1:11" x14ac:dyDescent="0.25">
      <c r="A436" t="s">
        <v>2249</v>
      </c>
      <c r="B436" t="s">
        <v>2250</v>
      </c>
      <c r="C436" t="s">
        <v>2251</v>
      </c>
      <c r="D436" t="s">
        <v>2252</v>
      </c>
      <c r="E436" t="s">
        <v>2192</v>
      </c>
      <c r="F436" s="9">
        <v>45292</v>
      </c>
      <c r="G436" s="9"/>
      <c r="H436">
        <v>11197</v>
      </c>
      <c r="I436" s="9">
        <v>45108</v>
      </c>
      <c r="J436" s="9">
        <v>45473</v>
      </c>
      <c r="K436" t="str">
        <f>IFERROR(INDEX(Crosswalk_API!$H$2:$H$527, MATCH(POP_API_TABLE[[#This Row],[PWSID]], CW_PWSID_LIST, 0)), "")</f>
        <v>No</v>
      </c>
    </row>
    <row r="437" spans="1:11" x14ac:dyDescent="0.25">
      <c r="A437" t="s">
        <v>2253</v>
      </c>
      <c r="B437" t="s">
        <v>2254</v>
      </c>
      <c r="C437" t="s">
        <v>2255</v>
      </c>
      <c r="D437" t="s">
        <v>2256</v>
      </c>
      <c r="E437" t="s">
        <v>731</v>
      </c>
      <c r="F437" s="9">
        <v>44927</v>
      </c>
      <c r="G437" s="9"/>
      <c r="H437">
        <v>24937</v>
      </c>
      <c r="I437" s="9">
        <v>45108</v>
      </c>
      <c r="J437" s="9">
        <v>45473</v>
      </c>
      <c r="K437" t="str">
        <f>IFERROR(INDEX(Crosswalk_API!$H$2:$H$527, MATCH(POP_API_TABLE[[#This Row],[PWSID]], CW_PWSID_LIST, 0)), "")</f>
        <v>No</v>
      </c>
    </row>
    <row r="438" spans="1:11" x14ac:dyDescent="0.25">
      <c r="A438" t="s">
        <v>2257</v>
      </c>
      <c r="B438" t="s">
        <v>2258</v>
      </c>
      <c r="C438" t="s">
        <v>2259</v>
      </c>
      <c r="D438" t="s">
        <v>2260</v>
      </c>
      <c r="E438" t="s">
        <v>766</v>
      </c>
      <c r="F438" s="9">
        <v>43466</v>
      </c>
      <c r="G438" s="9">
        <v>45756</v>
      </c>
      <c r="H438">
        <v>21036</v>
      </c>
      <c r="I438" s="9">
        <v>45108</v>
      </c>
      <c r="J438" s="9">
        <v>45473</v>
      </c>
      <c r="K438" t="str">
        <f>IFERROR(INDEX(Crosswalk_API!$H$2:$H$527, MATCH(POP_API_TABLE[[#This Row],[PWSID]], CW_PWSID_LIST, 0)), "")</f>
        <v>No</v>
      </c>
    </row>
    <row r="439" spans="1:11" x14ac:dyDescent="0.25">
      <c r="A439" t="s">
        <v>2261</v>
      </c>
      <c r="B439" t="s">
        <v>2262</v>
      </c>
      <c r="C439" t="s">
        <v>2263</v>
      </c>
      <c r="D439" t="s">
        <v>2264</v>
      </c>
      <c r="E439" t="s">
        <v>736</v>
      </c>
      <c r="F439" s="9">
        <v>44197</v>
      </c>
      <c r="G439" s="9"/>
      <c r="H439">
        <v>10657</v>
      </c>
      <c r="I439" s="9">
        <v>45108</v>
      </c>
      <c r="J439" s="9">
        <v>45473</v>
      </c>
      <c r="K439" t="str">
        <f>IFERROR(INDEX(Crosswalk_API!$H$2:$H$527, MATCH(POP_API_TABLE[[#This Row],[PWSID]], CW_PWSID_LIST, 0)), "")</f>
        <v>No</v>
      </c>
    </row>
    <row r="440" spans="1:11" x14ac:dyDescent="0.25">
      <c r="A440" t="s">
        <v>2265</v>
      </c>
      <c r="B440" t="s">
        <v>2266</v>
      </c>
      <c r="C440" t="s">
        <v>2267</v>
      </c>
      <c r="D440" t="s">
        <v>2268</v>
      </c>
      <c r="E440" t="s">
        <v>708</v>
      </c>
      <c r="F440" s="9">
        <v>43831</v>
      </c>
      <c r="G440" s="9"/>
      <c r="H440">
        <v>11000</v>
      </c>
      <c r="I440" s="9">
        <v>45108</v>
      </c>
      <c r="J440" s="9">
        <v>45473</v>
      </c>
      <c r="K440" t="str">
        <f>IFERROR(INDEX(Crosswalk_API!$H$2:$H$527, MATCH(POP_API_TABLE[[#This Row],[PWSID]], CW_PWSID_LIST, 0)), "")</f>
        <v>No</v>
      </c>
    </row>
    <row r="441" spans="1:11" x14ac:dyDescent="0.25">
      <c r="A441" t="s">
        <v>2269</v>
      </c>
      <c r="B441" t="s">
        <v>2270</v>
      </c>
      <c r="C441" t="s">
        <v>2271</v>
      </c>
      <c r="D441" t="s">
        <v>2272</v>
      </c>
      <c r="E441" t="s">
        <v>708</v>
      </c>
      <c r="F441" s="9">
        <v>43831</v>
      </c>
      <c r="G441" s="9">
        <v>45657</v>
      </c>
      <c r="H441">
        <v>11795</v>
      </c>
      <c r="I441" s="9">
        <v>45108</v>
      </c>
      <c r="J441" s="9">
        <v>45473</v>
      </c>
      <c r="K441" t="str">
        <f>IFERROR(INDEX(Crosswalk_API!$H$2:$H$527, MATCH(POP_API_TABLE[[#This Row],[PWSID]], CW_PWSID_LIST, 0)), "")</f>
        <v>No</v>
      </c>
    </row>
    <row r="442" spans="1:11" x14ac:dyDescent="0.25">
      <c r="A442" t="s">
        <v>2273</v>
      </c>
      <c r="B442" t="s">
        <v>2274</v>
      </c>
      <c r="C442" t="s">
        <v>2275</v>
      </c>
      <c r="D442" t="s">
        <v>2276</v>
      </c>
      <c r="E442" t="s">
        <v>703</v>
      </c>
      <c r="F442" s="9">
        <v>45292</v>
      </c>
      <c r="G442" s="9"/>
      <c r="H442">
        <v>19455</v>
      </c>
      <c r="I442" s="9">
        <v>45108</v>
      </c>
      <c r="J442" s="9">
        <v>45473</v>
      </c>
      <c r="K442" t="str">
        <f>IFERROR(INDEX(Crosswalk_API!$H$2:$H$527, MATCH(POP_API_TABLE[[#This Row],[PWSID]], CW_PWSID_LIST, 0)), "")</f>
        <v>No</v>
      </c>
    </row>
    <row r="443" spans="1:11" x14ac:dyDescent="0.25">
      <c r="A443" t="s">
        <v>2277</v>
      </c>
      <c r="B443" t="s">
        <v>2278</v>
      </c>
      <c r="C443" t="s">
        <v>2279</v>
      </c>
      <c r="D443" t="s">
        <v>2280</v>
      </c>
      <c r="E443" t="s">
        <v>1121</v>
      </c>
      <c r="F443" s="9">
        <v>45292</v>
      </c>
      <c r="G443" s="9"/>
      <c r="H443">
        <v>11725</v>
      </c>
      <c r="I443" s="9">
        <v>45108</v>
      </c>
      <c r="J443" s="9">
        <v>45473</v>
      </c>
      <c r="K443" t="str">
        <f>IFERROR(INDEX(Crosswalk_API!$H$2:$H$527, MATCH(POP_API_TABLE[[#This Row],[PWSID]], CW_PWSID_LIST, 0)), "")</f>
        <v>No</v>
      </c>
    </row>
    <row r="444" spans="1:11" x14ac:dyDescent="0.25">
      <c r="A444" t="s">
        <v>2281</v>
      </c>
      <c r="B444" t="s">
        <v>2282</v>
      </c>
      <c r="C444" t="s">
        <v>2283</v>
      </c>
      <c r="D444" t="s">
        <v>2284</v>
      </c>
      <c r="E444" t="s">
        <v>2192</v>
      </c>
      <c r="F444" s="9">
        <v>43831</v>
      </c>
      <c r="G444" s="9"/>
      <c r="H444">
        <v>40809</v>
      </c>
      <c r="I444" s="9">
        <v>45108</v>
      </c>
      <c r="J444" s="9">
        <v>45473</v>
      </c>
      <c r="K444" t="str">
        <f>IFERROR(INDEX(Crosswalk_API!$H$2:$H$527, MATCH(POP_API_TABLE[[#This Row],[PWSID]], CW_PWSID_LIST, 0)), "")</f>
        <v>No</v>
      </c>
    </row>
    <row r="445" spans="1:11" x14ac:dyDescent="0.25">
      <c r="A445" t="s">
        <v>2285</v>
      </c>
      <c r="B445" t="s">
        <v>2286</v>
      </c>
      <c r="C445" t="s">
        <v>2287</v>
      </c>
      <c r="D445" t="s">
        <v>2288</v>
      </c>
      <c r="E445" t="s">
        <v>731</v>
      </c>
      <c r="F445" s="9">
        <v>44927</v>
      </c>
      <c r="G445" s="9">
        <v>45657</v>
      </c>
      <c r="H445">
        <v>40937</v>
      </c>
      <c r="I445" s="9">
        <v>45108</v>
      </c>
      <c r="J445" s="9">
        <v>45473</v>
      </c>
      <c r="K445" t="str">
        <f>IFERROR(INDEX(Crosswalk_API!$H$2:$H$527, MATCH(POP_API_TABLE[[#This Row],[PWSID]], CW_PWSID_LIST, 0)), "")</f>
        <v>No</v>
      </c>
    </row>
    <row r="446" spans="1:11" x14ac:dyDescent="0.25">
      <c r="A446" t="s">
        <v>2289</v>
      </c>
      <c r="B446" t="s">
        <v>2290</v>
      </c>
      <c r="C446" t="s">
        <v>2291</v>
      </c>
      <c r="D446" t="s">
        <v>2292</v>
      </c>
      <c r="E446" t="s">
        <v>963</v>
      </c>
      <c r="F446" s="9">
        <v>45292</v>
      </c>
      <c r="G446" s="9"/>
      <c r="H446">
        <v>22664</v>
      </c>
      <c r="I446" s="9">
        <v>45108</v>
      </c>
      <c r="J446" s="9">
        <v>45473</v>
      </c>
      <c r="K446" t="str">
        <f>IFERROR(INDEX(Crosswalk_API!$H$2:$H$527, MATCH(POP_API_TABLE[[#This Row],[PWSID]], CW_PWSID_LIST, 0)), "")</f>
        <v>No</v>
      </c>
    </row>
    <row r="447" spans="1:11" x14ac:dyDescent="0.25">
      <c r="A447" t="s">
        <v>2289</v>
      </c>
      <c r="B447" t="s">
        <v>2290</v>
      </c>
      <c r="C447" t="s">
        <v>2293</v>
      </c>
      <c r="D447" t="s">
        <v>2294</v>
      </c>
      <c r="E447" t="s">
        <v>963</v>
      </c>
      <c r="F447" s="9">
        <v>45113</v>
      </c>
      <c r="G447" s="9"/>
      <c r="H447">
        <v>73</v>
      </c>
      <c r="I447" s="9">
        <v>45108</v>
      </c>
      <c r="J447" s="9">
        <v>45473</v>
      </c>
      <c r="K447" t="str">
        <f>IFERROR(INDEX(Crosswalk_API!$H$2:$H$527, MATCH(POP_API_TABLE[[#This Row],[PWSID]], CW_PWSID_LIST, 0)), "")</f>
        <v>No</v>
      </c>
    </row>
    <row r="448" spans="1:11" x14ac:dyDescent="0.25">
      <c r="A448" t="s">
        <v>2295</v>
      </c>
      <c r="B448" t="s">
        <v>2296</v>
      </c>
      <c r="C448" t="s">
        <v>2297</v>
      </c>
      <c r="D448" t="s">
        <v>2298</v>
      </c>
      <c r="E448" t="s">
        <v>708</v>
      </c>
      <c r="F448" s="9">
        <v>43831</v>
      </c>
      <c r="G448" s="9"/>
      <c r="H448">
        <v>76443</v>
      </c>
      <c r="I448" s="9">
        <v>45108</v>
      </c>
      <c r="J448" s="9">
        <v>45473</v>
      </c>
      <c r="K448" t="str">
        <f>IFERROR(INDEX(Crosswalk_API!$H$2:$H$527, MATCH(POP_API_TABLE[[#This Row],[PWSID]], CW_PWSID_LIST, 0)), "")</f>
        <v>No</v>
      </c>
    </row>
    <row r="449" spans="1:11" x14ac:dyDescent="0.25">
      <c r="A449" t="s">
        <v>2299</v>
      </c>
      <c r="B449" t="s">
        <v>2300</v>
      </c>
      <c r="C449" t="s">
        <v>2301</v>
      </c>
      <c r="D449" t="s">
        <v>2302</v>
      </c>
      <c r="E449" t="s">
        <v>708</v>
      </c>
      <c r="F449" s="9">
        <v>42005</v>
      </c>
      <c r="G449" s="9"/>
      <c r="H449">
        <v>25329</v>
      </c>
      <c r="I449" s="9">
        <v>45108</v>
      </c>
      <c r="J449" s="9">
        <v>45473</v>
      </c>
      <c r="K449" t="str">
        <f>IFERROR(INDEX(Crosswalk_API!$H$2:$H$527, MATCH(POP_API_TABLE[[#This Row],[PWSID]], CW_PWSID_LIST, 0)), "")</f>
        <v>No</v>
      </c>
    </row>
    <row r="450" spans="1:11" x14ac:dyDescent="0.25">
      <c r="A450" t="s">
        <v>2303</v>
      </c>
      <c r="B450" t="s">
        <v>2304</v>
      </c>
      <c r="C450" t="s">
        <v>2305</v>
      </c>
      <c r="D450" t="s">
        <v>2306</v>
      </c>
      <c r="E450" t="s">
        <v>1254</v>
      </c>
      <c r="F450" s="9"/>
      <c r="G450" s="9"/>
      <c r="I450" s="9">
        <v>45108</v>
      </c>
      <c r="J450" s="9">
        <v>45473</v>
      </c>
      <c r="K450" t="str">
        <f>IFERROR(INDEX(Crosswalk_API!$H$2:$H$527, MATCH(POP_API_TABLE[[#This Row],[PWSID]], CW_PWSID_LIST, 0)), "")</f>
        <v>No</v>
      </c>
    </row>
    <row r="451" spans="1:11" x14ac:dyDescent="0.25">
      <c r="A451" t="s">
        <v>2307</v>
      </c>
      <c r="B451" t="s">
        <v>2308</v>
      </c>
      <c r="C451" t="s">
        <v>2309</v>
      </c>
      <c r="D451" t="s">
        <v>2310</v>
      </c>
      <c r="E451" t="s">
        <v>1051</v>
      </c>
      <c r="F451" s="9"/>
      <c r="G451" s="9"/>
      <c r="I451" s="9">
        <v>45108</v>
      </c>
      <c r="J451" s="9">
        <v>45473</v>
      </c>
      <c r="K451" t="str">
        <f>IFERROR(INDEX(Crosswalk_API!$H$2:$H$527, MATCH(POP_API_TABLE[[#This Row],[PWSID]], CW_PWSID_LIST, 0)), "")</f>
        <v>No</v>
      </c>
    </row>
    <row r="452" spans="1:11" x14ac:dyDescent="0.25">
      <c r="A452" t="s">
        <v>2307</v>
      </c>
      <c r="B452" t="s">
        <v>2308</v>
      </c>
      <c r="C452" t="s">
        <v>2311</v>
      </c>
      <c r="D452" t="s">
        <v>2312</v>
      </c>
      <c r="E452" t="s">
        <v>1051</v>
      </c>
      <c r="F452" s="9">
        <v>44379</v>
      </c>
      <c r="G452" s="9">
        <v>45743</v>
      </c>
      <c r="H452">
        <v>190688</v>
      </c>
      <c r="I452" s="9">
        <v>45108</v>
      </c>
      <c r="J452" s="9">
        <v>45473</v>
      </c>
      <c r="K452" t="str">
        <f>IFERROR(INDEX(Crosswalk_API!$H$2:$H$527, MATCH(POP_API_TABLE[[#This Row],[PWSID]], CW_PWSID_LIST, 0)), "")</f>
        <v>No</v>
      </c>
    </row>
    <row r="453" spans="1:11" x14ac:dyDescent="0.25">
      <c r="A453" t="s">
        <v>2313</v>
      </c>
      <c r="B453" t="s">
        <v>2314</v>
      </c>
      <c r="C453" t="s">
        <v>2315</v>
      </c>
      <c r="D453" t="s">
        <v>2316</v>
      </c>
      <c r="E453" t="s">
        <v>708</v>
      </c>
      <c r="F453" s="9">
        <v>42370</v>
      </c>
      <c r="G453" s="9"/>
      <c r="H453">
        <v>5249</v>
      </c>
      <c r="I453" s="9">
        <v>45108</v>
      </c>
      <c r="J453" s="9">
        <v>45473</v>
      </c>
      <c r="K453" t="str">
        <f>IFERROR(INDEX(Crosswalk_API!$H$2:$H$527, MATCH(POP_API_TABLE[[#This Row],[PWSID]], CW_PWSID_LIST, 0)), "")</f>
        <v>No</v>
      </c>
    </row>
    <row r="454" spans="1:11" x14ac:dyDescent="0.25">
      <c r="A454" t="s">
        <v>2313</v>
      </c>
      <c r="B454" t="s">
        <v>2314</v>
      </c>
      <c r="C454" t="s">
        <v>2317</v>
      </c>
      <c r="D454" t="s">
        <v>2318</v>
      </c>
      <c r="E454" t="s">
        <v>708</v>
      </c>
      <c r="F454" s="9">
        <v>42370</v>
      </c>
      <c r="G454" s="9"/>
      <c r="H454">
        <v>1437</v>
      </c>
      <c r="I454" s="9">
        <v>45108</v>
      </c>
      <c r="J454" s="9">
        <v>45473</v>
      </c>
      <c r="K454" t="str">
        <f>IFERROR(INDEX(Crosswalk_API!$H$2:$H$527, MATCH(POP_API_TABLE[[#This Row],[PWSID]], CW_PWSID_LIST, 0)), "")</f>
        <v>No</v>
      </c>
    </row>
    <row r="455" spans="1:11" x14ac:dyDescent="0.25">
      <c r="A455" t="s">
        <v>2313</v>
      </c>
      <c r="B455" t="s">
        <v>2314</v>
      </c>
      <c r="C455" t="s">
        <v>2319</v>
      </c>
      <c r="D455" t="s">
        <v>2320</v>
      </c>
      <c r="E455" t="s">
        <v>708</v>
      </c>
      <c r="F455" s="9">
        <v>42370</v>
      </c>
      <c r="G455" s="9"/>
      <c r="H455">
        <v>168843</v>
      </c>
      <c r="I455" s="9">
        <v>45108</v>
      </c>
      <c r="J455" s="9">
        <v>45473</v>
      </c>
      <c r="K455" t="str">
        <f>IFERROR(INDEX(Crosswalk_API!$H$2:$H$527, MATCH(POP_API_TABLE[[#This Row],[PWSID]], CW_PWSID_LIST, 0)), "")</f>
        <v>No</v>
      </c>
    </row>
    <row r="456" spans="1:11" x14ac:dyDescent="0.25">
      <c r="A456" t="s">
        <v>2321</v>
      </c>
      <c r="B456" t="s">
        <v>2322</v>
      </c>
      <c r="C456" t="s">
        <v>2323</v>
      </c>
      <c r="D456" t="s">
        <v>2324</v>
      </c>
      <c r="E456" t="s">
        <v>708</v>
      </c>
      <c r="F456" s="9">
        <v>44927</v>
      </c>
      <c r="G456" s="9"/>
      <c r="H456">
        <v>56793</v>
      </c>
      <c r="I456" s="9">
        <v>45108</v>
      </c>
      <c r="J456" s="9">
        <v>45473</v>
      </c>
      <c r="K456" t="str">
        <f>IFERROR(INDEX(Crosswalk_API!$H$2:$H$527, MATCH(POP_API_TABLE[[#This Row],[PWSID]], CW_PWSID_LIST, 0)), "")</f>
        <v>No</v>
      </c>
    </row>
    <row r="457" spans="1:11" x14ac:dyDescent="0.25">
      <c r="A457" t="s">
        <v>2321</v>
      </c>
      <c r="B457" t="s">
        <v>2322</v>
      </c>
      <c r="C457" t="s">
        <v>2325</v>
      </c>
      <c r="D457" t="s">
        <v>2326</v>
      </c>
      <c r="E457" t="s">
        <v>708</v>
      </c>
      <c r="F457" s="9">
        <v>42370</v>
      </c>
      <c r="G457" s="9"/>
      <c r="H457">
        <v>66045</v>
      </c>
      <c r="I457" s="9">
        <v>45108</v>
      </c>
      <c r="J457" s="9">
        <v>45473</v>
      </c>
      <c r="K457" t="str">
        <f>IFERROR(INDEX(Crosswalk_API!$H$2:$H$527, MATCH(POP_API_TABLE[[#This Row],[PWSID]], CW_PWSID_LIST, 0)), "")</f>
        <v>No</v>
      </c>
    </row>
    <row r="458" spans="1:11" x14ac:dyDescent="0.25">
      <c r="A458" t="s">
        <v>2327</v>
      </c>
      <c r="B458" t="s">
        <v>2328</v>
      </c>
      <c r="C458" t="s">
        <v>2329</v>
      </c>
      <c r="D458" t="s">
        <v>2330</v>
      </c>
      <c r="E458" t="s">
        <v>814</v>
      </c>
      <c r="F458" s="9">
        <v>44927</v>
      </c>
      <c r="G458" s="9"/>
      <c r="H458">
        <v>29105</v>
      </c>
      <c r="I458" s="9">
        <v>45108</v>
      </c>
      <c r="J458" s="9">
        <v>45473</v>
      </c>
      <c r="K458" t="str">
        <f>IFERROR(INDEX(Crosswalk_API!$H$2:$H$527, MATCH(POP_API_TABLE[[#This Row],[PWSID]], CW_PWSID_LIST, 0)), "")</f>
        <v>No</v>
      </c>
    </row>
    <row r="459" spans="1:11" x14ac:dyDescent="0.25">
      <c r="A459" t="s">
        <v>2331</v>
      </c>
      <c r="B459" t="s">
        <v>2332</v>
      </c>
      <c r="C459" t="s">
        <v>2333</v>
      </c>
      <c r="D459" t="s">
        <v>2334</v>
      </c>
      <c r="E459" t="s">
        <v>708</v>
      </c>
      <c r="F459" s="9">
        <v>44562</v>
      </c>
      <c r="G459" s="9"/>
      <c r="H459">
        <v>25252</v>
      </c>
      <c r="I459" s="9">
        <v>45108</v>
      </c>
      <c r="J459" s="9">
        <v>45473</v>
      </c>
      <c r="K459" t="str">
        <f>IFERROR(INDEX(Crosswalk_API!$H$2:$H$527, MATCH(POP_API_TABLE[[#This Row],[PWSID]], CW_PWSID_LIST, 0)), "")</f>
        <v>No</v>
      </c>
    </row>
    <row r="460" spans="1:11" x14ac:dyDescent="0.25">
      <c r="A460" t="s">
        <v>2335</v>
      </c>
      <c r="B460" t="s">
        <v>2336</v>
      </c>
      <c r="C460" t="s">
        <v>2337</v>
      </c>
      <c r="D460" t="s">
        <v>2338</v>
      </c>
      <c r="E460" t="s">
        <v>1490</v>
      </c>
      <c r="F460" s="9">
        <v>43831</v>
      </c>
      <c r="G460" s="9"/>
      <c r="H460">
        <v>24954</v>
      </c>
      <c r="I460" s="9">
        <v>45108</v>
      </c>
      <c r="J460" s="9">
        <v>45473</v>
      </c>
      <c r="K460" t="str">
        <f>IFERROR(INDEX(Crosswalk_API!$H$2:$H$527, MATCH(POP_API_TABLE[[#This Row],[PWSID]], CW_PWSID_LIST, 0)), "")</f>
        <v>No</v>
      </c>
    </row>
    <row r="461" spans="1:11" x14ac:dyDescent="0.25">
      <c r="A461" t="s">
        <v>2339</v>
      </c>
      <c r="B461" t="s">
        <v>2340</v>
      </c>
      <c r="C461" t="s">
        <v>2341</v>
      </c>
      <c r="D461" t="s">
        <v>2342</v>
      </c>
      <c r="E461" t="s">
        <v>1007</v>
      </c>
      <c r="F461" s="9">
        <v>44824</v>
      </c>
      <c r="G461" s="9"/>
      <c r="H461">
        <v>156234</v>
      </c>
      <c r="I461" s="9">
        <v>45108</v>
      </c>
      <c r="J461" s="9">
        <v>45473</v>
      </c>
      <c r="K461" t="str">
        <f>IFERROR(INDEX(Crosswalk_API!$H$2:$H$527, MATCH(POP_API_TABLE[[#This Row],[PWSID]], CW_PWSID_LIST, 0)), "")</f>
        <v>No</v>
      </c>
    </row>
    <row r="462" spans="1:11" x14ac:dyDescent="0.25">
      <c r="A462" t="s">
        <v>2343</v>
      </c>
      <c r="B462" t="s">
        <v>2344</v>
      </c>
      <c r="C462" t="s">
        <v>2345</v>
      </c>
      <c r="D462" t="s">
        <v>2346</v>
      </c>
      <c r="E462" t="s">
        <v>2347</v>
      </c>
      <c r="F462" s="9">
        <v>44330</v>
      </c>
      <c r="G462" s="9"/>
      <c r="H462">
        <v>7811</v>
      </c>
      <c r="I462" s="9">
        <v>45108</v>
      </c>
      <c r="J462" s="9">
        <v>45473</v>
      </c>
      <c r="K462" t="str">
        <f>IFERROR(INDEX(Crosswalk_API!$H$2:$H$527, MATCH(POP_API_TABLE[[#This Row],[PWSID]], CW_PWSID_LIST, 0)), "")</f>
        <v>No</v>
      </c>
    </row>
    <row r="463" spans="1:11" x14ac:dyDescent="0.25">
      <c r="A463" t="s">
        <v>2348</v>
      </c>
      <c r="B463" t="s">
        <v>2349</v>
      </c>
      <c r="C463" t="s">
        <v>2350</v>
      </c>
      <c r="D463" t="s">
        <v>2351</v>
      </c>
      <c r="E463" t="s">
        <v>937</v>
      </c>
      <c r="F463" s="9">
        <v>45058</v>
      </c>
      <c r="G463" s="9"/>
      <c r="H463">
        <v>189371</v>
      </c>
      <c r="I463" s="9">
        <v>45108</v>
      </c>
      <c r="J463" s="9">
        <v>45473</v>
      </c>
      <c r="K463" t="str">
        <f>IFERROR(INDEX(Crosswalk_API!$H$2:$H$527, MATCH(POP_API_TABLE[[#This Row],[PWSID]], CW_PWSID_LIST, 0)), "")</f>
        <v>No</v>
      </c>
    </row>
    <row r="464" spans="1:11" x14ac:dyDescent="0.25">
      <c r="A464" t="s">
        <v>2352</v>
      </c>
      <c r="B464" t="s">
        <v>2353</v>
      </c>
      <c r="C464" t="s">
        <v>2354</v>
      </c>
      <c r="D464" t="s">
        <v>2355</v>
      </c>
      <c r="E464" t="s">
        <v>1121</v>
      </c>
      <c r="F464" s="9">
        <v>44811</v>
      </c>
      <c r="G464" s="9"/>
      <c r="H464">
        <v>6000</v>
      </c>
      <c r="I464" s="9">
        <v>45108</v>
      </c>
      <c r="J464" s="9">
        <v>45473</v>
      </c>
      <c r="K464" t="str">
        <f>IFERROR(INDEX(Crosswalk_API!$H$2:$H$527, MATCH(POP_API_TABLE[[#This Row],[PWSID]], CW_PWSID_LIST, 0)), "")</f>
        <v>No</v>
      </c>
    </row>
    <row r="465" spans="1:11" x14ac:dyDescent="0.25">
      <c r="A465" t="s">
        <v>2352</v>
      </c>
      <c r="B465" t="s">
        <v>2353</v>
      </c>
      <c r="C465" t="s">
        <v>2356</v>
      </c>
      <c r="D465" t="s">
        <v>2357</v>
      </c>
      <c r="E465" t="s">
        <v>1121</v>
      </c>
      <c r="F465" s="9">
        <v>45292</v>
      </c>
      <c r="G465" s="9"/>
      <c r="H465">
        <v>3000</v>
      </c>
      <c r="I465" s="9">
        <v>45108</v>
      </c>
      <c r="J465" s="9">
        <v>45473</v>
      </c>
      <c r="K465" t="str">
        <f>IFERROR(INDEX(Crosswalk_API!$H$2:$H$527, MATCH(POP_API_TABLE[[#This Row],[PWSID]], CW_PWSID_LIST, 0)), "")</f>
        <v>No</v>
      </c>
    </row>
    <row r="466" spans="1:11" x14ac:dyDescent="0.25">
      <c r="A466" t="s">
        <v>2358</v>
      </c>
      <c r="B466" t="s">
        <v>2359</v>
      </c>
      <c r="C466" t="s">
        <v>2360</v>
      </c>
      <c r="D466" t="s">
        <v>2361</v>
      </c>
      <c r="E466" t="s">
        <v>1254</v>
      </c>
      <c r="F466" s="9">
        <v>45292</v>
      </c>
      <c r="G466" s="9"/>
      <c r="H466">
        <v>703</v>
      </c>
      <c r="I466" s="9">
        <v>45108</v>
      </c>
      <c r="J466" s="9">
        <v>45473</v>
      </c>
      <c r="K466" t="str">
        <f>IFERROR(INDEX(Crosswalk_API!$H$2:$H$527, MATCH(POP_API_TABLE[[#This Row],[PWSID]], CW_PWSID_LIST, 0)), "")</f>
        <v>No</v>
      </c>
    </row>
    <row r="467" spans="1:11" x14ac:dyDescent="0.25">
      <c r="A467" t="s">
        <v>2358</v>
      </c>
      <c r="B467" t="s">
        <v>2359</v>
      </c>
      <c r="C467" t="s">
        <v>2362</v>
      </c>
      <c r="D467" t="s">
        <v>2363</v>
      </c>
      <c r="E467" t="s">
        <v>910</v>
      </c>
      <c r="F467" s="9">
        <v>45292</v>
      </c>
      <c r="G467" s="9"/>
      <c r="H467">
        <v>200</v>
      </c>
      <c r="I467" s="9">
        <v>45108</v>
      </c>
      <c r="J467" s="9">
        <v>45473</v>
      </c>
      <c r="K467" t="str">
        <f>IFERROR(INDEX(Crosswalk_API!$H$2:$H$527, MATCH(POP_API_TABLE[[#This Row],[PWSID]], CW_PWSID_LIST, 0)), "")</f>
        <v>No</v>
      </c>
    </row>
    <row r="468" spans="1:11" x14ac:dyDescent="0.25">
      <c r="A468" t="s">
        <v>2358</v>
      </c>
      <c r="B468" t="s">
        <v>2359</v>
      </c>
      <c r="C468" t="s">
        <v>2364</v>
      </c>
      <c r="D468" t="s">
        <v>2365</v>
      </c>
      <c r="E468" t="s">
        <v>910</v>
      </c>
      <c r="F468" s="9">
        <v>44811</v>
      </c>
      <c r="G468" s="9"/>
      <c r="H468">
        <v>5661</v>
      </c>
      <c r="I468" s="9">
        <v>45108</v>
      </c>
      <c r="J468" s="9">
        <v>45473</v>
      </c>
      <c r="K468" t="str">
        <f>IFERROR(INDEX(Crosswalk_API!$H$2:$H$527, MATCH(POP_API_TABLE[[#This Row],[PWSID]], CW_PWSID_LIST, 0)), "")</f>
        <v>No</v>
      </c>
    </row>
    <row r="469" spans="1:11" x14ac:dyDescent="0.25">
      <c r="A469" t="s">
        <v>2358</v>
      </c>
      <c r="B469" t="s">
        <v>2359</v>
      </c>
      <c r="C469" t="s">
        <v>2366</v>
      </c>
      <c r="D469" t="s">
        <v>2367</v>
      </c>
      <c r="E469" t="s">
        <v>910</v>
      </c>
      <c r="F469" s="9">
        <v>45292</v>
      </c>
      <c r="G469" s="9"/>
      <c r="H469">
        <v>844</v>
      </c>
      <c r="I469" s="9">
        <v>45108</v>
      </c>
      <c r="J469" s="9">
        <v>45473</v>
      </c>
      <c r="K469" t="str">
        <f>IFERROR(INDEX(Crosswalk_API!$H$2:$H$527, MATCH(POP_API_TABLE[[#This Row],[PWSID]], CW_PWSID_LIST, 0)), "")</f>
        <v>No</v>
      </c>
    </row>
    <row r="470" spans="1:11" x14ac:dyDescent="0.25">
      <c r="A470" t="s">
        <v>2358</v>
      </c>
      <c r="B470" t="s">
        <v>2359</v>
      </c>
      <c r="C470" t="s">
        <v>2368</v>
      </c>
      <c r="D470" t="s">
        <v>2369</v>
      </c>
      <c r="E470" t="s">
        <v>910</v>
      </c>
      <c r="F470" s="9">
        <v>45292</v>
      </c>
      <c r="G470" s="9"/>
      <c r="H470">
        <v>793</v>
      </c>
      <c r="I470" s="9">
        <v>45108</v>
      </c>
      <c r="J470" s="9">
        <v>45473</v>
      </c>
      <c r="K470" t="str">
        <f>IFERROR(INDEX(Crosswalk_API!$H$2:$H$527, MATCH(POP_API_TABLE[[#This Row],[PWSID]], CW_PWSID_LIST, 0)), "")</f>
        <v>No</v>
      </c>
    </row>
    <row r="471" spans="1:11" x14ac:dyDescent="0.25">
      <c r="A471" t="s">
        <v>2358</v>
      </c>
      <c r="B471" t="s">
        <v>2359</v>
      </c>
      <c r="C471" t="s">
        <v>2370</v>
      </c>
      <c r="D471" t="s">
        <v>2371</v>
      </c>
      <c r="E471" t="s">
        <v>910</v>
      </c>
      <c r="F471" s="9">
        <v>45292</v>
      </c>
      <c r="G471" s="9"/>
      <c r="H471">
        <v>300</v>
      </c>
      <c r="I471" s="9">
        <v>45108</v>
      </c>
      <c r="J471" s="9">
        <v>45473</v>
      </c>
      <c r="K471" t="str">
        <f>IFERROR(INDEX(Crosswalk_API!$H$2:$H$527, MATCH(POP_API_TABLE[[#This Row],[PWSID]], CW_PWSID_LIST, 0)), "")</f>
        <v>No</v>
      </c>
    </row>
    <row r="472" spans="1:11" x14ac:dyDescent="0.25">
      <c r="A472" t="s">
        <v>2358</v>
      </c>
      <c r="B472" t="s">
        <v>2359</v>
      </c>
      <c r="C472" t="s">
        <v>2372</v>
      </c>
      <c r="D472" t="s">
        <v>2373</v>
      </c>
      <c r="E472" t="s">
        <v>910</v>
      </c>
      <c r="F472" s="9">
        <v>45292</v>
      </c>
      <c r="G472" s="9"/>
      <c r="H472">
        <v>55</v>
      </c>
      <c r="I472" s="9">
        <v>45108</v>
      </c>
      <c r="J472" s="9">
        <v>45473</v>
      </c>
      <c r="K472" t="str">
        <f>IFERROR(INDEX(Crosswalk_API!$H$2:$H$527, MATCH(POP_API_TABLE[[#This Row],[PWSID]], CW_PWSID_LIST, 0)), "")</f>
        <v>No</v>
      </c>
    </row>
    <row r="473" spans="1:11" x14ac:dyDescent="0.25">
      <c r="A473" t="s">
        <v>2374</v>
      </c>
      <c r="B473" t="s">
        <v>2375</v>
      </c>
      <c r="C473" t="s">
        <v>2376</v>
      </c>
      <c r="D473" t="s">
        <v>2377</v>
      </c>
      <c r="E473" t="s">
        <v>766</v>
      </c>
      <c r="F473" s="9">
        <v>42370</v>
      </c>
      <c r="G473" s="9"/>
      <c r="H473">
        <v>9094</v>
      </c>
      <c r="I473" s="9">
        <v>45108</v>
      </c>
      <c r="J473" s="9">
        <v>45473</v>
      </c>
      <c r="K473" t="str">
        <f>IFERROR(INDEX(Crosswalk_API!$H$2:$H$527, MATCH(POP_API_TABLE[[#This Row],[PWSID]], CW_PWSID_LIST, 0)), "")</f>
        <v>No</v>
      </c>
    </row>
    <row r="474" spans="1:11" x14ac:dyDescent="0.25">
      <c r="A474" t="s">
        <v>1583</v>
      </c>
      <c r="B474" t="s">
        <v>1584</v>
      </c>
      <c r="C474" t="s">
        <v>1585</v>
      </c>
      <c r="D474" t="s">
        <v>1586</v>
      </c>
      <c r="E474" t="s">
        <v>793</v>
      </c>
      <c r="F474" s="9">
        <v>44927</v>
      </c>
      <c r="G474" s="9"/>
      <c r="H474">
        <v>21153</v>
      </c>
      <c r="I474" s="9">
        <v>45108</v>
      </c>
      <c r="J474" s="9">
        <v>45473</v>
      </c>
      <c r="K474" t="str">
        <f>IFERROR(INDEX(Crosswalk_API!$H$2:$H$527, MATCH(POP_API_TABLE[[#This Row],[PWSID]], CW_PWSID_LIST, 0)), "")</f>
        <v>No</v>
      </c>
    </row>
    <row r="475" spans="1:11" x14ac:dyDescent="0.25">
      <c r="A475" t="s">
        <v>2378</v>
      </c>
      <c r="B475" t="s">
        <v>2379</v>
      </c>
      <c r="C475" t="s">
        <v>2380</v>
      </c>
      <c r="D475" t="s">
        <v>2381</v>
      </c>
      <c r="E475" t="s">
        <v>963</v>
      </c>
      <c r="F475" s="9">
        <v>45113</v>
      </c>
      <c r="G475" s="9"/>
      <c r="H475">
        <v>12136</v>
      </c>
      <c r="I475" s="9">
        <v>45108</v>
      </c>
      <c r="J475" s="9">
        <v>45473</v>
      </c>
      <c r="K475" t="str">
        <f>IFERROR(INDEX(Crosswalk_API!$H$2:$H$527, MATCH(POP_API_TABLE[[#This Row],[PWSID]], CW_PWSID_LIST, 0)), "")</f>
        <v>No</v>
      </c>
    </row>
    <row r="476" spans="1:11" x14ac:dyDescent="0.25">
      <c r="A476" t="s">
        <v>2382</v>
      </c>
      <c r="B476" t="s">
        <v>2383</v>
      </c>
      <c r="C476" t="s">
        <v>2384</v>
      </c>
      <c r="D476" t="s">
        <v>2385</v>
      </c>
      <c r="E476" t="s">
        <v>942</v>
      </c>
      <c r="F476" s="9">
        <v>44197</v>
      </c>
      <c r="G476" s="9"/>
      <c r="H476">
        <v>53157</v>
      </c>
      <c r="I476" s="9">
        <v>45108</v>
      </c>
      <c r="J476" s="9">
        <v>45473</v>
      </c>
      <c r="K476" t="str">
        <f>IFERROR(INDEX(Crosswalk_API!$H$2:$H$527, MATCH(POP_API_TABLE[[#This Row],[PWSID]], CW_PWSID_LIST, 0)), "")</f>
        <v>No</v>
      </c>
    </row>
    <row r="477" spans="1:11" x14ac:dyDescent="0.25">
      <c r="A477" t="s">
        <v>2386</v>
      </c>
      <c r="B477" t="s">
        <v>2387</v>
      </c>
      <c r="C477" t="s">
        <v>2388</v>
      </c>
      <c r="D477" t="s">
        <v>2389</v>
      </c>
      <c r="E477" t="s">
        <v>708</v>
      </c>
      <c r="F477" s="9">
        <v>44197</v>
      </c>
      <c r="G477" s="9"/>
      <c r="H477">
        <v>106183</v>
      </c>
      <c r="I477" s="9">
        <v>45108</v>
      </c>
      <c r="J477" s="9">
        <v>45473</v>
      </c>
      <c r="K477" t="str">
        <f>IFERROR(INDEX(Crosswalk_API!$H$2:$H$527, MATCH(POP_API_TABLE[[#This Row],[PWSID]], CW_PWSID_LIST, 0)), "")</f>
        <v>No</v>
      </c>
    </row>
    <row r="478" spans="1:11" x14ac:dyDescent="0.25">
      <c r="A478" t="s">
        <v>2390</v>
      </c>
      <c r="B478" t="s">
        <v>2391</v>
      </c>
      <c r="C478" t="s">
        <v>2392</v>
      </c>
      <c r="D478" t="s">
        <v>2393</v>
      </c>
      <c r="E478" t="s">
        <v>731</v>
      </c>
      <c r="F478" s="9">
        <v>43466</v>
      </c>
      <c r="G478" s="9"/>
      <c r="H478">
        <v>13659</v>
      </c>
      <c r="I478" s="9">
        <v>45108</v>
      </c>
      <c r="J478" s="9">
        <v>45473</v>
      </c>
      <c r="K478" t="str">
        <f>IFERROR(INDEX(Crosswalk_API!$H$2:$H$527, MATCH(POP_API_TABLE[[#This Row],[PWSID]], CW_PWSID_LIST, 0)), "")</f>
        <v>No</v>
      </c>
    </row>
    <row r="479" spans="1:11" x14ac:dyDescent="0.25">
      <c r="A479" t="s">
        <v>2394</v>
      </c>
      <c r="B479" t="s">
        <v>2395</v>
      </c>
      <c r="C479" t="s">
        <v>2396</v>
      </c>
      <c r="D479" t="s">
        <v>2397</v>
      </c>
      <c r="E479" t="s">
        <v>1051</v>
      </c>
      <c r="F479" s="9">
        <v>45108</v>
      </c>
      <c r="G479" s="9">
        <v>45750</v>
      </c>
      <c r="H479">
        <v>94538</v>
      </c>
      <c r="I479" s="9">
        <v>45108</v>
      </c>
      <c r="J479" s="9">
        <v>45473</v>
      </c>
      <c r="K479" t="str">
        <f>IFERROR(INDEX(Crosswalk_API!$H$2:$H$527, MATCH(POP_API_TABLE[[#This Row],[PWSID]], CW_PWSID_LIST, 0)), "")</f>
        <v>No</v>
      </c>
    </row>
    <row r="480" spans="1:11" x14ac:dyDescent="0.25">
      <c r="A480" t="s">
        <v>2398</v>
      </c>
      <c r="B480" t="s">
        <v>2399</v>
      </c>
      <c r="C480" t="s">
        <v>2400</v>
      </c>
      <c r="D480" t="s">
        <v>2401</v>
      </c>
      <c r="E480" t="s">
        <v>942</v>
      </c>
      <c r="F480" s="9">
        <v>44811</v>
      </c>
      <c r="G480" s="9"/>
      <c r="H480">
        <v>13898</v>
      </c>
      <c r="I480" s="9">
        <v>45108</v>
      </c>
      <c r="J480" s="9">
        <v>45473</v>
      </c>
      <c r="K480" t="str">
        <f>IFERROR(INDEX(Crosswalk_API!$H$2:$H$527, MATCH(POP_API_TABLE[[#This Row],[PWSID]], CW_PWSID_LIST, 0)), "")</f>
        <v>No</v>
      </c>
    </row>
    <row r="481" spans="1:11" x14ac:dyDescent="0.25">
      <c r="A481" t="s">
        <v>2402</v>
      </c>
      <c r="B481" t="s">
        <v>2403</v>
      </c>
      <c r="C481" t="s">
        <v>2404</v>
      </c>
      <c r="D481" t="s">
        <v>2405</v>
      </c>
      <c r="E481" t="s">
        <v>1796</v>
      </c>
      <c r="F481" s="9">
        <v>45292</v>
      </c>
      <c r="G481" s="9"/>
      <c r="H481">
        <v>36730</v>
      </c>
      <c r="I481" s="9">
        <v>45108</v>
      </c>
      <c r="J481" s="9">
        <v>45473</v>
      </c>
      <c r="K481" t="str">
        <f>IFERROR(INDEX(Crosswalk_API!$H$2:$H$527, MATCH(POP_API_TABLE[[#This Row],[PWSID]], CW_PWSID_LIST, 0)), "")</f>
        <v>No</v>
      </c>
    </row>
    <row r="482" spans="1:11" x14ac:dyDescent="0.25">
      <c r="A482" t="s">
        <v>2406</v>
      </c>
      <c r="B482" t="s">
        <v>2407</v>
      </c>
      <c r="C482" t="s">
        <v>2408</v>
      </c>
      <c r="D482" t="s">
        <v>2409</v>
      </c>
      <c r="E482" t="s">
        <v>1056</v>
      </c>
      <c r="F482" s="9">
        <v>45292</v>
      </c>
      <c r="G482" s="9"/>
      <c r="H482">
        <v>72131</v>
      </c>
      <c r="I482" s="9">
        <v>45108</v>
      </c>
      <c r="J482" s="9">
        <v>45473</v>
      </c>
      <c r="K482" t="str">
        <f>IFERROR(INDEX(Crosswalk_API!$H$2:$H$527, MATCH(POP_API_TABLE[[#This Row],[PWSID]], CW_PWSID_LIST, 0)), "")</f>
        <v>No</v>
      </c>
    </row>
    <row r="483" spans="1:11" x14ac:dyDescent="0.25">
      <c r="A483" t="s">
        <v>2410</v>
      </c>
      <c r="B483" t="s">
        <v>2411</v>
      </c>
      <c r="C483" t="s">
        <v>2412</v>
      </c>
      <c r="D483" t="s">
        <v>2413</v>
      </c>
      <c r="E483" t="s">
        <v>1445</v>
      </c>
      <c r="F483" s="9">
        <v>45292</v>
      </c>
      <c r="G483" s="9"/>
      <c r="H483">
        <v>62</v>
      </c>
      <c r="I483" s="9">
        <v>45108</v>
      </c>
      <c r="J483" s="9">
        <v>45473</v>
      </c>
      <c r="K483" t="str">
        <f>IFERROR(INDEX(Crosswalk_API!$H$2:$H$527, MATCH(POP_API_TABLE[[#This Row],[PWSID]], CW_PWSID_LIST, 0)), "")</f>
        <v>No</v>
      </c>
    </row>
    <row r="484" spans="1:11" x14ac:dyDescent="0.25">
      <c r="A484" t="s">
        <v>2410</v>
      </c>
      <c r="B484" t="s">
        <v>2411</v>
      </c>
      <c r="C484" t="s">
        <v>2414</v>
      </c>
      <c r="D484" t="s">
        <v>2415</v>
      </c>
      <c r="E484" t="s">
        <v>1445</v>
      </c>
      <c r="F484" s="9">
        <v>45127</v>
      </c>
      <c r="G484" s="9"/>
      <c r="H484">
        <v>11054</v>
      </c>
      <c r="I484" s="9">
        <v>45108</v>
      </c>
      <c r="J484" s="9">
        <v>45473</v>
      </c>
      <c r="K484" t="str">
        <f>IFERROR(INDEX(Crosswalk_API!$H$2:$H$527, MATCH(POP_API_TABLE[[#This Row],[PWSID]], CW_PWSID_LIST, 0)), "")</f>
        <v>No</v>
      </c>
    </row>
    <row r="485" spans="1:11" x14ac:dyDescent="0.25">
      <c r="A485" t="s">
        <v>2410</v>
      </c>
      <c r="B485" t="s">
        <v>2411</v>
      </c>
      <c r="C485" t="s">
        <v>2416</v>
      </c>
      <c r="D485" t="s">
        <v>2417</v>
      </c>
      <c r="E485" t="s">
        <v>1445</v>
      </c>
      <c r="F485" s="9">
        <v>45127</v>
      </c>
      <c r="G485" s="9"/>
      <c r="H485">
        <v>1767</v>
      </c>
      <c r="I485" s="9">
        <v>45108</v>
      </c>
      <c r="J485" s="9">
        <v>45473</v>
      </c>
      <c r="K485" t="str">
        <f>IFERROR(INDEX(Crosswalk_API!$H$2:$H$527, MATCH(POP_API_TABLE[[#This Row],[PWSID]], CW_PWSID_LIST, 0)), "")</f>
        <v>No</v>
      </c>
    </row>
    <row r="486" spans="1:11" x14ac:dyDescent="0.25">
      <c r="A486" t="s">
        <v>2410</v>
      </c>
      <c r="B486" t="s">
        <v>2411</v>
      </c>
      <c r="C486" t="s">
        <v>2418</v>
      </c>
      <c r="D486" t="s">
        <v>2419</v>
      </c>
      <c r="E486" t="s">
        <v>1445</v>
      </c>
      <c r="F486" s="9">
        <v>45127</v>
      </c>
      <c r="G486" s="9">
        <v>45753</v>
      </c>
      <c r="H486">
        <v>1744</v>
      </c>
      <c r="I486" s="9">
        <v>45108</v>
      </c>
      <c r="J486" s="9">
        <v>45473</v>
      </c>
      <c r="K486" t="str">
        <f>IFERROR(INDEX(Crosswalk_API!$H$2:$H$527, MATCH(POP_API_TABLE[[#This Row],[PWSID]], CW_PWSID_LIST, 0)), "")</f>
        <v>No</v>
      </c>
    </row>
    <row r="487" spans="1:11" x14ac:dyDescent="0.25">
      <c r="A487" t="s">
        <v>2410</v>
      </c>
      <c r="B487" t="s">
        <v>2411</v>
      </c>
      <c r="C487" t="s">
        <v>2420</v>
      </c>
      <c r="D487" t="s">
        <v>2421</v>
      </c>
      <c r="E487" t="s">
        <v>1445</v>
      </c>
      <c r="F487" s="9">
        <v>45399</v>
      </c>
      <c r="G487" s="9">
        <v>45753</v>
      </c>
      <c r="H487">
        <v>10892</v>
      </c>
      <c r="I487" s="9">
        <v>45108</v>
      </c>
      <c r="J487" s="9">
        <v>45473</v>
      </c>
      <c r="K487" t="str">
        <f>IFERROR(INDEX(Crosswalk_API!$H$2:$H$527, MATCH(POP_API_TABLE[[#This Row],[PWSID]], CW_PWSID_LIST, 0)), "")</f>
        <v>No</v>
      </c>
    </row>
    <row r="488" spans="1:11" x14ac:dyDescent="0.25">
      <c r="A488" t="s">
        <v>2410</v>
      </c>
      <c r="B488" t="s">
        <v>2411</v>
      </c>
      <c r="C488" t="s">
        <v>2422</v>
      </c>
      <c r="D488" t="s">
        <v>2423</v>
      </c>
      <c r="E488" t="s">
        <v>1445</v>
      </c>
      <c r="F488" s="9">
        <v>45127</v>
      </c>
      <c r="G488" s="9"/>
      <c r="H488">
        <v>5463</v>
      </c>
      <c r="I488" s="9">
        <v>45108</v>
      </c>
      <c r="J488" s="9">
        <v>45473</v>
      </c>
      <c r="K488" t="str">
        <f>IFERROR(INDEX(Crosswalk_API!$H$2:$H$527, MATCH(POP_API_TABLE[[#This Row],[PWSID]], CW_PWSID_LIST, 0)), "")</f>
        <v>No</v>
      </c>
    </row>
    <row r="489" spans="1:11" x14ac:dyDescent="0.25">
      <c r="A489" t="s">
        <v>2410</v>
      </c>
      <c r="B489" t="s">
        <v>2411</v>
      </c>
      <c r="C489" t="s">
        <v>2424</v>
      </c>
      <c r="D489" t="s">
        <v>2425</v>
      </c>
      <c r="E489" t="s">
        <v>1445</v>
      </c>
      <c r="F489" s="9">
        <v>45127</v>
      </c>
      <c r="G489" s="9"/>
      <c r="H489">
        <v>1879</v>
      </c>
      <c r="I489" s="9">
        <v>45108</v>
      </c>
      <c r="J489" s="9">
        <v>45473</v>
      </c>
      <c r="K489" t="str">
        <f>IFERROR(INDEX(Crosswalk_API!$H$2:$H$527, MATCH(POP_API_TABLE[[#This Row],[PWSID]], CW_PWSID_LIST, 0)), "")</f>
        <v>No</v>
      </c>
    </row>
    <row r="490" spans="1:11" x14ac:dyDescent="0.25">
      <c r="A490" t="s">
        <v>2410</v>
      </c>
      <c r="B490" t="s">
        <v>2411</v>
      </c>
      <c r="C490" t="s">
        <v>2426</v>
      </c>
      <c r="D490" t="s">
        <v>2427</v>
      </c>
      <c r="E490" t="s">
        <v>1445</v>
      </c>
      <c r="F490" s="9">
        <v>45292</v>
      </c>
      <c r="G490" s="9"/>
      <c r="H490">
        <v>92</v>
      </c>
      <c r="I490" s="9">
        <v>45108</v>
      </c>
      <c r="J490" s="9">
        <v>45473</v>
      </c>
      <c r="K490" t="str">
        <f>IFERROR(INDEX(Crosswalk_API!$H$2:$H$527, MATCH(POP_API_TABLE[[#This Row],[PWSID]], CW_PWSID_LIST, 0)), "")</f>
        <v>No</v>
      </c>
    </row>
    <row r="491" spans="1:11" x14ac:dyDescent="0.25">
      <c r="A491" t="s">
        <v>2410</v>
      </c>
      <c r="B491" t="s">
        <v>2411</v>
      </c>
      <c r="C491" t="s">
        <v>2428</v>
      </c>
      <c r="D491" t="s">
        <v>2429</v>
      </c>
      <c r="E491" t="s">
        <v>1445</v>
      </c>
      <c r="F491" s="9">
        <v>45127</v>
      </c>
      <c r="G491" s="9"/>
      <c r="H491">
        <v>157</v>
      </c>
      <c r="I491" s="9">
        <v>45108</v>
      </c>
      <c r="J491" s="9">
        <v>45473</v>
      </c>
      <c r="K491" t="str">
        <f>IFERROR(INDEX(Crosswalk_API!$H$2:$H$527, MATCH(POP_API_TABLE[[#This Row],[PWSID]], CW_PWSID_LIST, 0)), "")</f>
        <v>No</v>
      </c>
    </row>
    <row r="492" spans="1:11" x14ac:dyDescent="0.25">
      <c r="A492" t="s">
        <v>2410</v>
      </c>
      <c r="B492" t="s">
        <v>2411</v>
      </c>
      <c r="C492" t="s">
        <v>2430</v>
      </c>
      <c r="D492" t="s">
        <v>2431</v>
      </c>
      <c r="E492" t="s">
        <v>1445</v>
      </c>
      <c r="F492" s="9">
        <v>45127</v>
      </c>
      <c r="G492" s="9"/>
      <c r="H492">
        <v>826</v>
      </c>
      <c r="I492" s="9">
        <v>45108</v>
      </c>
      <c r="J492" s="9">
        <v>45473</v>
      </c>
      <c r="K492" t="str">
        <f>IFERROR(INDEX(Crosswalk_API!$H$2:$H$527, MATCH(POP_API_TABLE[[#This Row],[PWSID]], CW_PWSID_LIST, 0)), "")</f>
        <v>No</v>
      </c>
    </row>
    <row r="493" spans="1:11" x14ac:dyDescent="0.25">
      <c r="A493" t="s">
        <v>2410</v>
      </c>
      <c r="B493" t="s">
        <v>2411</v>
      </c>
      <c r="C493" t="s">
        <v>2432</v>
      </c>
      <c r="D493" t="s">
        <v>2433</v>
      </c>
      <c r="E493" t="s">
        <v>1445</v>
      </c>
      <c r="F493" s="9">
        <v>27760</v>
      </c>
      <c r="G493" s="9">
        <v>45125</v>
      </c>
      <c r="H493">
        <v>344</v>
      </c>
      <c r="I493" s="9">
        <v>45108</v>
      </c>
      <c r="J493" s="9">
        <v>45473</v>
      </c>
      <c r="K493" t="str">
        <f>IFERROR(INDEX(Crosswalk_API!$H$2:$H$527, MATCH(POP_API_TABLE[[#This Row],[PWSID]], CW_PWSID_LIST, 0)), "")</f>
        <v>No</v>
      </c>
    </row>
    <row r="494" spans="1:11" x14ac:dyDescent="0.25">
      <c r="A494" t="s">
        <v>2434</v>
      </c>
      <c r="B494" t="s">
        <v>2435</v>
      </c>
      <c r="C494" t="s">
        <v>2436</v>
      </c>
      <c r="D494" t="s">
        <v>2437</v>
      </c>
      <c r="E494" t="s">
        <v>1100</v>
      </c>
      <c r="F494" s="9">
        <v>45108</v>
      </c>
      <c r="G494" s="9"/>
      <c r="H494">
        <v>72682</v>
      </c>
      <c r="I494" s="9">
        <v>45108</v>
      </c>
      <c r="J494" s="9">
        <v>45473</v>
      </c>
      <c r="K494" t="str">
        <f>IFERROR(INDEX(Crosswalk_API!$H$2:$H$527, MATCH(POP_API_TABLE[[#This Row],[PWSID]], CW_PWSID_LIST, 0)), "")</f>
        <v>No</v>
      </c>
    </row>
    <row r="495" spans="1:11" x14ac:dyDescent="0.25">
      <c r="A495" t="s">
        <v>2438</v>
      </c>
      <c r="B495" t="s">
        <v>2439</v>
      </c>
      <c r="C495" t="s">
        <v>2440</v>
      </c>
      <c r="D495" t="s">
        <v>2441</v>
      </c>
      <c r="E495" t="s">
        <v>731</v>
      </c>
      <c r="F495" s="9">
        <v>44927</v>
      </c>
      <c r="G495" s="9"/>
      <c r="H495">
        <v>66600</v>
      </c>
      <c r="I495" s="9">
        <v>45108</v>
      </c>
      <c r="J495" s="9">
        <v>45473</v>
      </c>
      <c r="K495" t="str">
        <f>IFERROR(INDEX(Crosswalk_API!$H$2:$H$527, MATCH(POP_API_TABLE[[#This Row],[PWSID]], CW_PWSID_LIST, 0)), "")</f>
        <v>No</v>
      </c>
    </row>
    <row r="496" spans="1:11" x14ac:dyDescent="0.25">
      <c r="A496" t="s">
        <v>2442</v>
      </c>
      <c r="B496" t="s">
        <v>2443</v>
      </c>
      <c r="C496" t="s">
        <v>2444</v>
      </c>
      <c r="D496" t="s">
        <v>2445</v>
      </c>
      <c r="E496" t="s">
        <v>693</v>
      </c>
      <c r="F496" s="9">
        <v>42736</v>
      </c>
      <c r="G496" s="9"/>
      <c r="H496">
        <v>18795</v>
      </c>
      <c r="I496" s="9">
        <v>45108</v>
      </c>
      <c r="J496" s="9">
        <v>45473</v>
      </c>
      <c r="K496" t="str">
        <f>IFERROR(INDEX(Crosswalk_API!$H$2:$H$527, MATCH(POP_API_TABLE[[#This Row],[PWSID]], CW_PWSID_LIST, 0)), "")</f>
        <v>No</v>
      </c>
    </row>
    <row r="497" spans="1:11" x14ac:dyDescent="0.25">
      <c r="A497" t="s">
        <v>2446</v>
      </c>
      <c r="B497" t="s">
        <v>2447</v>
      </c>
      <c r="C497" t="s">
        <v>2448</v>
      </c>
      <c r="D497" t="s">
        <v>2449</v>
      </c>
      <c r="E497" t="s">
        <v>2450</v>
      </c>
      <c r="F497" s="9">
        <v>43831</v>
      </c>
      <c r="G497" s="9"/>
      <c r="H497">
        <v>16607</v>
      </c>
      <c r="I497" s="9">
        <v>45108</v>
      </c>
      <c r="J497" s="9">
        <v>45473</v>
      </c>
      <c r="K497" t="str">
        <f>IFERROR(INDEX(Crosswalk_API!$H$2:$H$527, MATCH(POP_API_TABLE[[#This Row],[PWSID]], CW_PWSID_LIST, 0)), "")</f>
        <v>No</v>
      </c>
    </row>
    <row r="498" spans="1:11" x14ac:dyDescent="0.25">
      <c r="A498" t="s">
        <v>2451</v>
      </c>
      <c r="B498" t="s">
        <v>2452</v>
      </c>
      <c r="C498" t="s">
        <v>2453</v>
      </c>
      <c r="D498" t="s">
        <v>2454</v>
      </c>
      <c r="E498" t="s">
        <v>693</v>
      </c>
      <c r="F498" s="9">
        <v>44562</v>
      </c>
      <c r="G498" s="9"/>
      <c r="H498">
        <v>78376</v>
      </c>
      <c r="I498" s="9">
        <v>45108</v>
      </c>
      <c r="J498" s="9">
        <v>45473</v>
      </c>
      <c r="K498" t="str">
        <f>IFERROR(INDEX(Crosswalk_API!$H$2:$H$527, MATCH(POP_API_TABLE[[#This Row],[PWSID]], CW_PWSID_LIST, 0)), "")</f>
        <v>No</v>
      </c>
    </row>
    <row r="499" spans="1:11" x14ac:dyDescent="0.25">
      <c r="A499" t="s">
        <v>2455</v>
      </c>
      <c r="B499" t="s">
        <v>2456</v>
      </c>
      <c r="C499" t="s">
        <v>2457</v>
      </c>
      <c r="D499" t="s">
        <v>2458</v>
      </c>
      <c r="E499" t="s">
        <v>814</v>
      </c>
      <c r="F499" s="9">
        <v>44927</v>
      </c>
      <c r="G499" s="9"/>
      <c r="H499">
        <v>97000</v>
      </c>
      <c r="I499" s="9">
        <v>45108</v>
      </c>
      <c r="J499" s="9">
        <v>45473</v>
      </c>
      <c r="K499" t="str">
        <f>IFERROR(INDEX(Crosswalk_API!$H$2:$H$527, MATCH(POP_API_TABLE[[#This Row],[PWSID]], CW_PWSID_LIST, 0)), "")</f>
        <v>No</v>
      </c>
    </row>
    <row r="500" spans="1:11" x14ac:dyDescent="0.25">
      <c r="A500" t="s">
        <v>2459</v>
      </c>
      <c r="B500" t="s">
        <v>2460</v>
      </c>
      <c r="C500" t="s">
        <v>2461</v>
      </c>
      <c r="D500" t="s">
        <v>2462</v>
      </c>
      <c r="E500" t="s">
        <v>937</v>
      </c>
      <c r="F500" s="9">
        <v>45125</v>
      </c>
      <c r="G500" s="9">
        <v>45519</v>
      </c>
      <c r="H500">
        <v>111000</v>
      </c>
      <c r="I500" s="9">
        <v>45108</v>
      </c>
      <c r="J500" s="9">
        <v>45473</v>
      </c>
      <c r="K500" t="str">
        <f>IFERROR(INDEX(Crosswalk_API!$H$2:$H$527, MATCH(POP_API_TABLE[[#This Row],[PWSID]], CW_PWSID_LIST, 0)), "")</f>
        <v>No</v>
      </c>
    </row>
    <row r="501" spans="1:11" x14ac:dyDescent="0.25">
      <c r="A501" t="s">
        <v>2463</v>
      </c>
      <c r="B501" t="s">
        <v>2464</v>
      </c>
      <c r="C501" t="s">
        <v>2465</v>
      </c>
      <c r="D501" t="s">
        <v>2466</v>
      </c>
      <c r="E501" t="s">
        <v>814</v>
      </c>
      <c r="F501" s="9">
        <v>44927</v>
      </c>
      <c r="G501" s="9"/>
      <c r="H501">
        <v>121420</v>
      </c>
      <c r="I501" s="9">
        <v>45108</v>
      </c>
      <c r="J501" s="9">
        <v>45473</v>
      </c>
      <c r="K501" t="str">
        <f>IFERROR(INDEX(Crosswalk_API!$H$2:$H$527, MATCH(POP_API_TABLE[[#This Row],[PWSID]], CW_PWSID_LIST, 0)), "")</f>
        <v>No</v>
      </c>
    </row>
    <row r="502" spans="1:11" x14ac:dyDescent="0.25">
      <c r="A502" t="s">
        <v>2463</v>
      </c>
      <c r="B502" t="s">
        <v>2464</v>
      </c>
      <c r="C502" t="s">
        <v>2467</v>
      </c>
      <c r="D502" t="s">
        <v>2468</v>
      </c>
      <c r="E502" t="s">
        <v>814</v>
      </c>
      <c r="F502" s="9">
        <v>45292</v>
      </c>
      <c r="G502" s="9"/>
      <c r="H502">
        <v>2800</v>
      </c>
      <c r="I502" s="9">
        <v>45108</v>
      </c>
      <c r="J502" s="9">
        <v>45473</v>
      </c>
      <c r="K502" t="str">
        <f>IFERROR(INDEX(Crosswalk_API!$H$2:$H$527, MATCH(POP_API_TABLE[[#This Row],[PWSID]], CW_PWSID_LIST, 0)), "")</f>
        <v>No</v>
      </c>
    </row>
    <row r="503" spans="1:11" x14ac:dyDescent="0.25">
      <c r="A503" t="s">
        <v>2469</v>
      </c>
      <c r="B503" t="s">
        <v>2470</v>
      </c>
      <c r="C503" t="s">
        <v>2471</v>
      </c>
      <c r="D503" t="s">
        <v>2472</v>
      </c>
      <c r="E503" t="s">
        <v>937</v>
      </c>
      <c r="F503" s="9">
        <v>45384</v>
      </c>
      <c r="G503" s="9"/>
      <c r="H503">
        <v>29938</v>
      </c>
      <c r="I503" s="9">
        <v>45108</v>
      </c>
      <c r="J503" s="9">
        <v>45473</v>
      </c>
      <c r="K503" t="str">
        <f>IFERROR(INDEX(Crosswalk_API!$H$2:$H$527, MATCH(POP_API_TABLE[[#This Row],[PWSID]], CW_PWSID_LIST, 0)), "")</f>
        <v>No</v>
      </c>
    </row>
    <row r="504" spans="1:11" x14ac:dyDescent="0.25">
      <c r="A504" t="s">
        <v>2473</v>
      </c>
      <c r="B504" t="s">
        <v>2474</v>
      </c>
      <c r="C504" t="s">
        <v>2475</v>
      </c>
      <c r="D504" t="s">
        <v>2476</v>
      </c>
      <c r="E504" t="s">
        <v>708</v>
      </c>
      <c r="F504" s="9">
        <v>44927</v>
      </c>
      <c r="G504" s="9"/>
      <c r="H504">
        <v>68871</v>
      </c>
      <c r="I504" s="9">
        <v>45108</v>
      </c>
      <c r="J504" s="9">
        <v>45473</v>
      </c>
      <c r="K504" t="str">
        <f>IFERROR(INDEX(Crosswalk_API!$H$2:$H$527, MATCH(POP_API_TABLE[[#This Row],[PWSID]], CW_PWSID_LIST, 0)), "")</f>
        <v>No</v>
      </c>
    </row>
    <row r="505" spans="1:11" x14ac:dyDescent="0.25">
      <c r="A505" t="s">
        <v>2477</v>
      </c>
      <c r="B505" t="s">
        <v>2478</v>
      </c>
      <c r="C505" t="s">
        <v>2479</v>
      </c>
      <c r="D505" t="s">
        <v>2480</v>
      </c>
      <c r="E505" t="s">
        <v>1121</v>
      </c>
      <c r="F505" s="9">
        <v>45292</v>
      </c>
      <c r="G505" s="9"/>
      <c r="H505">
        <v>23107</v>
      </c>
      <c r="I505" s="9">
        <v>45108</v>
      </c>
      <c r="J505" s="9">
        <v>45473</v>
      </c>
      <c r="K505" t="str">
        <f>IFERROR(INDEX(Crosswalk_API!$H$2:$H$527, MATCH(POP_API_TABLE[[#This Row],[PWSID]], CW_PWSID_LIST, 0)), "")</f>
        <v>No</v>
      </c>
    </row>
    <row r="506" spans="1:11" x14ac:dyDescent="0.25">
      <c r="A506" t="s">
        <v>2481</v>
      </c>
      <c r="B506" t="s">
        <v>2482</v>
      </c>
      <c r="C506" t="s">
        <v>2483</v>
      </c>
      <c r="D506" t="s">
        <v>2484</v>
      </c>
      <c r="E506" t="s">
        <v>708</v>
      </c>
      <c r="F506" s="9">
        <v>44824</v>
      </c>
      <c r="G506" s="9"/>
      <c r="H506">
        <v>10070</v>
      </c>
      <c r="I506" s="9">
        <v>45108</v>
      </c>
      <c r="J506" s="9">
        <v>45473</v>
      </c>
      <c r="K506" t="str">
        <f>IFERROR(INDEX(Crosswalk_API!$H$2:$H$527, MATCH(POP_API_TABLE[[#This Row],[PWSID]], CW_PWSID_LIST, 0)), "")</f>
        <v>No</v>
      </c>
    </row>
    <row r="507" spans="1:11" x14ac:dyDescent="0.25">
      <c r="A507" t="s">
        <v>2485</v>
      </c>
      <c r="B507" t="s">
        <v>2486</v>
      </c>
      <c r="C507" t="s">
        <v>2487</v>
      </c>
      <c r="D507" t="s">
        <v>2488</v>
      </c>
      <c r="E507" t="s">
        <v>766</v>
      </c>
      <c r="F507" s="9">
        <v>44197</v>
      </c>
      <c r="G507" s="9">
        <v>45291</v>
      </c>
      <c r="H507">
        <v>36644</v>
      </c>
      <c r="I507" s="9">
        <v>45108</v>
      </c>
      <c r="J507" s="9">
        <v>45473</v>
      </c>
      <c r="K507" t="str">
        <f>IFERROR(INDEX(Crosswalk_API!$H$2:$H$527, MATCH(POP_API_TABLE[[#This Row],[PWSID]], CW_PWSID_LIST, 0)), "")</f>
        <v>No</v>
      </c>
    </row>
    <row r="508" spans="1:11" x14ac:dyDescent="0.25">
      <c r="A508" t="s">
        <v>2489</v>
      </c>
      <c r="B508" t="s">
        <v>2490</v>
      </c>
      <c r="C508" t="s">
        <v>2491</v>
      </c>
      <c r="D508" t="s">
        <v>2492</v>
      </c>
      <c r="E508" t="s">
        <v>942</v>
      </c>
      <c r="F508" s="9">
        <v>44927</v>
      </c>
      <c r="G508" s="9"/>
      <c r="H508">
        <v>35514</v>
      </c>
      <c r="I508" s="9">
        <v>45108</v>
      </c>
      <c r="J508" s="9">
        <v>45473</v>
      </c>
      <c r="K508" t="str">
        <f>IFERROR(INDEX(Crosswalk_API!$H$2:$H$527, MATCH(POP_API_TABLE[[#This Row],[PWSID]], CW_PWSID_LIST, 0)), "")</f>
        <v>No</v>
      </c>
    </row>
    <row r="509" spans="1:11" x14ac:dyDescent="0.25">
      <c r="A509" t="s">
        <v>2493</v>
      </c>
      <c r="B509" t="s">
        <v>2494</v>
      </c>
      <c r="C509" t="s">
        <v>2495</v>
      </c>
      <c r="D509" t="s">
        <v>2496</v>
      </c>
      <c r="E509" t="s">
        <v>942</v>
      </c>
      <c r="F509" s="9">
        <v>44197</v>
      </c>
      <c r="G509" s="9"/>
      <c r="H509">
        <v>94738</v>
      </c>
      <c r="I509" s="9">
        <v>45108</v>
      </c>
      <c r="J509" s="9">
        <v>45473</v>
      </c>
      <c r="K509" t="str">
        <f>IFERROR(INDEX(Crosswalk_API!$H$2:$H$527, MATCH(POP_API_TABLE[[#This Row],[PWSID]], CW_PWSID_LIST, 0)), "")</f>
        <v>No</v>
      </c>
    </row>
    <row r="510" spans="1:11" x14ac:dyDescent="0.25">
      <c r="A510" t="s">
        <v>2497</v>
      </c>
      <c r="B510" t="s">
        <v>2498</v>
      </c>
      <c r="C510" t="s">
        <v>2499</v>
      </c>
      <c r="D510" t="s">
        <v>2500</v>
      </c>
      <c r="E510" t="s">
        <v>708</v>
      </c>
      <c r="F510" s="9">
        <v>45382</v>
      </c>
      <c r="G510" s="9"/>
      <c r="H510">
        <v>112</v>
      </c>
      <c r="I510" s="9">
        <v>45108</v>
      </c>
      <c r="J510" s="9">
        <v>45473</v>
      </c>
      <c r="K510" t="str">
        <f>IFERROR(INDEX(Crosswalk_API!$H$2:$H$527, MATCH(POP_API_TABLE[[#This Row],[PWSID]], CW_PWSID_LIST, 0)), "")</f>
        <v>No</v>
      </c>
    </row>
    <row r="511" spans="1:11" x14ac:dyDescent="0.25">
      <c r="A511" t="s">
        <v>2501</v>
      </c>
      <c r="B511" t="s">
        <v>2502</v>
      </c>
      <c r="C511" t="s">
        <v>2503</v>
      </c>
      <c r="D511" t="s">
        <v>2504</v>
      </c>
      <c r="E511" t="s">
        <v>693</v>
      </c>
      <c r="F511" s="9">
        <v>43466</v>
      </c>
      <c r="G511" s="9">
        <v>45657</v>
      </c>
      <c r="H511">
        <v>124653</v>
      </c>
      <c r="I511" s="9">
        <v>45108</v>
      </c>
      <c r="J511" s="9">
        <v>45473</v>
      </c>
      <c r="K511" t="str">
        <f>IFERROR(INDEX(Crosswalk_API!$H$2:$H$527, MATCH(POP_API_TABLE[[#This Row],[PWSID]], CW_PWSID_LIST, 0)), "")</f>
        <v>No</v>
      </c>
    </row>
    <row r="512" spans="1:11" x14ac:dyDescent="0.25">
      <c r="A512" t="s">
        <v>2505</v>
      </c>
      <c r="B512" t="s">
        <v>2506</v>
      </c>
      <c r="C512" t="s">
        <v>2507</v>
      </c>
      <c r="D512" t="s">
        <v>2508</v>
      </c>
      <c r="E512" t="s">
        <v>937</v>
      </c>
      <c r="F512" s="9">
        <v>44378</v>
      </c>
      <c r="G512" s="9">
        <v>45519</v>
      </c>
      <c r="H512">
        <v>132838</v>
      </c>
      <c r="I512" s="9">
        <v>45108</v>
      </c>
      <c r="J512" s="9">
        <v>45473</v>
      </c>
      <c r="K512" t="str">
        <f>IFERROR(INDEX(Crosswalk_API!$H$2:$H$527, MATCH(POP_API_TABLE[[#This Row],[PWSID]], CW_PWSID_LIST, 0)), "")</f>
        <v>No</v>
      </c>
    </row>
    <row r="513" spans="1:11" x14ac:dyDescent="0.25">
      <c r="A513" t="s">
        <v>2509</v>
      </c>
      <c r="B513" t="s">
        <v>2510</v>
      </c>
      <c r="C513" t="s">
        <v>2511</v>
      </c>
      <c r="D513" t="s">
        <v>2512</v>
      </c>
      <c r="E513" t="s">
        <v>708</v>
      </c>
      <c r="F513" s="9">
        <v>44927</v>
      </c>
      <c r="G513" s="9"/>
      <c r="H513">
        <v>100941</v>
      </c>
      <c r="I513" s="9">
        <v>45108</v>
      </c>
      <c r="J513" s="9">
        <v>45473</v>
      </c>
      <c r="K513" t="str">
        <f>IFERROR(INDEX(Crosswalk_API!$H$2:$H$527, MATCH(POP_API_TABLE[[#This Row],[PWSID]], CW_PWSID_LIST, 0)), "")</f>
        <v>No</v>
      </c>
    </row>
    <row r="514" spans="1:11" x14ac:dyDescent="0.25">
      <c r="A514" t="s">
        <v>2513</v>
      </c>
      <c r="B514" t="s">
        <v>2514</v>
      </c>
      <c r="C514" t="s">
        <v>2515</v>
      </c>
      <c r="D514" t="s">
        <v>2516</v>
      </c>
      <c r="E514" t="s">
        <v>766</v>
      </c>
      <c r="F514" s="9">
        <v>45292</v>
      </c>
      <c r="G514" s="9">
        <v>45657</v>
      </c>
      <c r="H514">
        <v>22652</v>
      </c>
      <c r="I514" s="9">
        <v>45108</v>
      </c>
      <c r="J514" s="9">
        <v>45473</v>
      </c>
      <c r="K514" t="str">
        <f>IFERROR(INDEX(Crosswalk_API!$H$2:$H$527, MATCH(POP_API_TABLE[[#This Row],[PWSID]], CW_PWSID_LIST, 0)), "")</f>
        <v>No</v>
      </c>
    </row>
    <row r="515" spans="1:11" x14ac:dyDescent="0.25">
      <c r="A515" t="s">
        <v>2517</v>
      </c>
      <c r="B515" t="s">
        <v>2518</v>
      </c>
      <c r="C515" t="s">
        <v>2519</v>
      </c>
      <c r="D515" t="s">
        <v>2520</v>
      </c>
      <c r="E515" t="s">
        <v>2192</v>
      </c>
      <c r="F515" s="9">
        <v>43831</v>
      </c>
      <c r="G515" s="9"/>
      <c r="H515">
        <v>65231</v>
      </c>
      <c r="I515" s="9">
        <v>45108</v>
      </c>
      <c r="J515" s="9">
        <v>45473</v>
      </c>
      <c r="K515" t="str">
        <f>IFERROR(INDEX(Crosswalk_API!$H$2:$H$527, MATCH(POP_API_TABLE[[#This Row],[PWSID]], CW_PWSID_LIST, 0)), "")</f>
        <v>No</v>
      </c>
    </row>
    <row r="516" spans="1:11" x14ac:dyDescent="0.25">
      <c r="A516" t="s">
        <v>2521</v>
      </c>
      <c r="B516" t="s">
        <v>2522</v>
      </c>
      <c r="C516" t="s">
        <v>2523</v>
      </c>
      <c r="D516" t="s">
        <v>2524</v>
      </c>
      <c r="E516" t="s">
        <v>766</v>
      </c>
      <c r="F516" s="9">
        <v>45292</v>
      </c>
      <c r="G516" s="9"/>
      <c r="H516">
        <v>20500</v>
      </c>
      <c r="I516" s="9">
        <v>45108</v>
      </c>
      <c r="J516" s="9">
        <v>45473</v>
      </c>
      <c r="K516" t="str">
        <f>IFERROR(INDEX(Crosswalk_API!$H$2:$H$527, MATCH(POP_API_TABLE[[#This Row],[PWSID]], CW_PWSID_LIST, 0)), "")</f>
        <v>No</v>
      </c>
    </row>
    <row r="517" spans="1:11" x14ac:dyDescent="0.25">
      <c r="A517" t="s">
        <v>2525</v>
      </c>
      <c r="B517" t="s">
        <v>2526</v>
      </c>
      <c r="C517" t="s">
        <v>2527</v>
      </c>
      <c r="D517" t="s">
        <v>2528</v>
      </c>
      <c r="E517" t="s">
        <v>930</v>
      </c>
      <c r="F517" s="9">
        <v>44926</v>
      </c>
      <c r="G517" s="9"/>
      <c r="H517">
        <v>53355</v>
      </c>
      <c r="I517" s="9">
        <v>45108</v>
      </c>
      <c r="J517" s="9">
        <v>45473</v>
      </c>
      <c r="K517" t="str">
        <f>IFERROR(INDEX(Crosswalk_API!$H$2:$H$527, MATCH(POP_API_TABLE[[#This Row],[PWSID]], CW_PWSID_LIST, 0)), "")</f>
        <v>No</v>
      </c>
    </row>
    <row r="518" spans="1:11" x14ac:dyDescent="0.25">
      <c r="A518" t="s">
        <v>2529</v>
      </c>
      <c r="B518" t="s">
        <v>2530</v>
      </c>
      <c r="C518" t="s">
        <v>2531</v>
      </c>
      <c r="D518" t="s">
        <v>2532</v>
      </c>
      <c r="E518" t="s">
        <v>693</v>
      </c>
      <c r="F518" s="9">
        <v>43831</v>
      </c>
      <c r="G518" s="9">
        <v>45657</v>
      </c>
      <c r="H518">
        <v>98055</v>
      </c>
      <c r="I518" s="9">
        <v>45108</v>
      </c>
      <c r="J518" s="9">
        <v>45473</v>
      </c>
      <c r="K518" t="str">
        <f>IFERROR(INDEX(Crosswalk_API!$H$2:$H$527, MATCH(POP_API_TABLE[[#This Row],[PWSID]], CW_PWSID_LIST, 0)), "")</f>
        <v>No</v>
      </c>
    </row>
    <row r="519" spans="1:11" x14ac:dyDescent="0.25">
      <c r="A519" t="s">
        <v>2533</v>
      </c>
      <c r="B519" t="s">
        <v>2534</v>
      </c>
      <c r="C519" t="s">
        <v>2535</v>
      </c>
      <c r="D519" t="s">
        <v>2536</v>
      </c>
      <c r="E519" t="s">
        <v>862</v>
      </c>
      <c r="F519" s="9">
        <v>40909</v>
      </c>
      <c r="G519" s="9"/>
      <c r="H519">
        <v>13486</v>
      </c>
      <c r="I519" s="9">
        <v>45108</v>
      </c>
      <c r="J519" s="9">
        <v>45473</v>
      </c>
      <c r="K519" t="str">
        <f>IFERROR(INDEX(Crosswalk_API!$H$2:$H$527, MATCH(POP_API_TABLE[[#This Row],[PWSID]], CW_PWSID_LIST, 0)), "")</f>
        <v>No</v>
      </c>
    </row>
    <row r="520" spans="1:11" x14ac:dyDescent="0.25">
      <c r="A520" t="s">
        <v>2537</v>
      </c>
      <c r="B520" t="s">
        <v>2538</v>
      </c>
      <c r="C520" t="s">
        <v>2539</v>
      </c>
      <c r="D520" t="s">
        <v>2540</v>
      </c>
      <c r="E520" t="s">
        <v>793</v>
      </c>
      <c r="F520" s="9">
        <v>44927</v>
      </c>
      <c r="G520" s="9"/>
      <c r="H520">
        <v>17077</v>
      </c>
      <c r="I520" s="9">
        <v>45108</v>
      </c>
      <c r="J520" s="9">
        <v>45473</v>
      </c>
      <c r="K520" t="str">
        <f>IFERROR(INDEX(Crosswalk_API!$H$2:$H$527, MATCH(POP_API_TABLE[[#This Row],[PWSID]], CW_PWSID_LIST, 0)), "")</f>
        <v>No</v>
      </c>
    </row>
    <row r="521" spans="1:11" x14ac:dyDescent="0.25">
      <c r="A521" t="s">
        <v>2537</v>
      </c>
      <c r="B521" t="s">
        <v>2538</v>
      </c>
      <c r="C521" t="s">
        <v>2541</v>
      </c>
      <c r="D521" t="s">
        <v>2542</v>
      </c>
      <c r="E521" t="s">
        <v>793</v>
      </c>
      <c r="F521" s="9">
        <v>44927</v>
      </c>
      <c r="G521" s="9"/>
      <c r="H521">
        <v>84209</v>
      </c>
      <c r="I521" s="9">
        <v>45108</v>
      </c>
      <c r="J521" s="9">
        <v>45473</v>
      </c>
      <c r="K521" t="str">
        <f>IFERROR(INDEX(Crosswalk_API!$H$2:$H$527, MATCH(POP_API_TABLE[[#This Row],[PWSID]], CW_PWSID_LIST, 0)), "")</f>
        <v>No</v>
      </c>
    </row>
    <row r="522" spans="1:11" x14ac:dyDescent="0.25">
      <c r="A522" t="s">
        <v>2537</v>
      </c>
      <c r="B522" t="s">
        <v>2538</v>
      </c>
      <c r="C522" t="s">
        <v>2543</v>
      </c>
      <c r="D522" t="s">
        <v>2544</v>
      </c>
      <c r="E522" t="s">
        <v>793</v>
      </c>
      <c r="F522" s="9">
        <v>44927</v>
      </c>
      <c r="G522" s="9"/>
      <c r="H522">
        <v>192</v>
      </c>
      <c r="I522" s="9">
        <v>45108</v>
      </c>
      <c r="J522" s="9">
        <v>45473</v>
      </c>
      <c r="K522" t="str">
        <f>IFERROR(INDEX(Crosswalk_API!$H$2:$H$527, MATCH(POP_API_TABLE[[#This Row],[PWSID]], CW_PWSID_LIST, 0)), "")</f>
        <v>No</v>
      </c>
    </row>
    <row r="523" spans="1:11" x14ac:dyDescent="0.25">
      <c r="A523" t="s">
        <v>2545</v>
      </c>
      <c r="B523" t="s">
        <v>2546</v>
      </c>
      <c r="C523" t="s">
        <v>2547</v>
      </c>
      <c r="D523" t="s">
        <v>2548</v>
      </c>
      <c r="E523" t="s">
        <v>731</v>
      </c>
      <c r="F523" s="9">
        <v>43466</v>
      </c>
      <c r="G523" s="9"/>
      <c r="H523">
        <v>95256</v>
      </c>
      <c r="I523" s="9">
        <v>45108</v>
      </c>
      <c r="J523" s="9">
        <v>45473</v>
      </c>
      <c r="K523" t="str">
        <f>IFERROR(INDEX(Crosswalk_API!$H$2:$H$527, MATCH(POP_API_TABLE[[#This Row],[PWSID]], CW_PWSID_LIST, 0)), "")</f>
        <v>No</v>
      </c>
    </row>
    <row r="524" spans="1:11" x14ac:dyDescent="0.25">
      <c r="A524" t="s">
        <v>2549</v>
      </c>
      <c r="B524" t="s">
        <v>2550</v>
      </c>
      <c r="C524" t="s">
        <v>2551</v>
      </c>
      <c r="D524" t="s">
        <v>2552</v>
      </c>
      <c r="E524" t="s">
        <v>708</v>
      </c>
      <c r="F524" s="9">
        <v>43831</v>
      </c>
      <c r="G524" s="9"/>
      <c r="H524">
        <v>49954</v>
      </c>
      <c r="I524" s="9">
        <v>45108</v>
      </c>
      <c r="J524" s="9">
        <v>45473</v>
      </c>
      <c r="K524" t="str">
        <f>IFERROR(INDEX(Crosswalk_API!$H$2:$H$527, MATCH(POP_API_TABLE[[#This Row],[PWSID]], CW_PWSID_LIST, 0)), "")</f>
        <v>No</v>
      </c>
    </row>
    <row r="525" spans="1:11" x14ac:dyDescent="0.25">
      <c r="A525" t="s">
        <v>2553</v>
      </c>
      <c r="B525" t="s">
        <v>2554</v>
      </c>
      <c r="C525" t="s">
        <v>2555</v>
      </c>
      <c r="D525" t="s">
        <v>2556</v>
      </c>
      <c r="E525" t="s">
        <v>1121</v>
      </c>
      <c r="F525" s="9">
        <v>42878</v>
      </c>
      <c r="G525" s="9"/>
      <c r="H525">
        <v>25561</v>
      </c>
      <c r="I525" s="9">
        <v>45108</v>
      </c>
      <c r="J525" s="9">
        <v>45473</v>
      </c>
      <c r="K525" t="str">
        <f>IFERROR(INDEX(Crosswalk_API!$H$2:$H$527, MATCH(POP_API_TABLE[[#This Row],[PWSID]], CW_PWSID_LIST, 0)), "")</f>
        <v>No</v>
      </c>
    </row>
    <row r="526" spans="1:11" x14ac:dyDescent="0.25">
      <c r="A526" t="s">
        <v>2557</v>
      </c>
      <c r="B526" t="s">
        <v>2558</v>
      </c>
      <c r="C526" t="s">
        <v>2559</v>
      </c>
      <c r="D526" t="s">
        <v>2560</v>
      </c>
      <c r="E526" t="s">
        <v>930</v>
      </c>
      <c r="F526" s="9">
        <v>45292</v>
      </c>
      <c r="G526" s="9"/>
      <c r="H526">
        <v>61462</v>
      </c>
      <c r="I526" s="9">
        <v>45108</v>
      </c>
      <c r="J526" s="9">
        <v>45473</v>
      </c>
      <c r="K526" t="str">
        <f>IFERROR(INDEX(Crosswalk_API!$H$2:$H$527, MATCH(POP_API_TABLE[[#This Row],[PWSID]], CW_PWSID_LIST, 0)), "")</f>
        <v>No</v>
      </c>
    </row>
    <row r="527" spans="1:11" x14ac:dyDescent="0.25">
      <c r="A527" t="s">
        <v>2561</v>
      </c>
      <c r="B527" t="s">
        <v>2562</v>
      </c>
      <c r="C527" t="s">
        <v>2563</v>
      </c>
      <c r="D527" t="s">
        <v>2564</v>
      </c>
      <c r="E527" t="s">
        <v>731</v>
      </c>
      <c r="F527" s="9">
        <v>44927</v>
      </c>
      <c r="G527" s="9"/>
      <c r="H527">
        <v>84140</v>
      </c>
      <c r="I527" s="9">
        <v>45108</v>
      </c>
      <c r="J527" s="9">
        <v>45473</v>
      </c>
      <c r="K527" t="str">
        <f>IFERROR(INDEX(Crosswalk_API!$H$2:$H$527, MATCH(POP_API_TABLE[[#This Row],[PWSID]], CW_PWSID_LIST, 0)), "")</f>
        <v>No</v>
      </c>
    </row>
    <row r="528" spans="1:11" x14ac:dyDescent="0.25">
      <c r="A528" t="s">
        <v>2565</v>
      </c>
      <c r="B528" t="s">
        <v>2566</v>
      </c>
      <c r="C528" t="s">
        <v>2567</v>
      </c>
      <c r="D528" t="s">
        <v>2568</v>
      </c>
      <c r="E528" t="s">
        <v>2569</v>
      </c>
      <c r="F528" s="9">
        <v>45292</v>
      </c>
      <c r="G528" s="9"/>
      <c r="H528">
        <v>7825</v>
      </c>
      <c r="I528" s="9">
        <v>45108</v>
      </c>
      <c r="J528" s="9">
        <v>45473</v>
      </c>
      <c r="K528" t="str">
        <f>IFERROR(INDEX(Crosswalk_API!$H$2:$H$527, MATCH(POP_API_TABLE[[#This Row],[PWSID]], CW_PWSID_LIST, 0)), "")</f>
        <v>No</v>
      </c>
    </row>
    <row r="529" spans="1:11" x14ac:dyDescent="0.25">
      <c r="A529" t="s">
        <v>2570</v>
      </c>
      <c r="B529" t="s">
        <v>2571</v>
      </c>
      <c r="C529" t="s">
        <v>2572</v>
      </c>
      <c r="D529" t="s">
        <v>2573</v>
      </c>
      <c r="E529" t="s">
        <v>2574</v>
      </c>
      <c r="F529" s="9">
        <v>45292</v>
      </c>
      <c r="G529" s="9"/>
      <c r="H529">
        <v>70256</v>
      </c>
      <c r="I529" s="9">
        <v>45108</v>
      </c>
      <c r="J529" s="9">
        <v>45473</v>
      </c>
      <c r="K529" t="str">
        <f>IFERROR(INDEX(Crosswalk_API!$H$2:$H$527, MATCH(POP_API_TABLE[[#This Row],[PWSID]], CW_PWSID_LIST, 0)), "")</f>
        <v>No</v>
      </c>
    </row>
    <row r="530" spans="1:11" x14ac:dyDescent="0.25">
      <c r="A530" t="s">
        <v>2575</v>
      </c>
      <c r="B530" t="s">
        <v>2576</v>
      </c>
      <c r="C530" t="s">
        <v>2577</v>
      </c>
      <c r="D530" t="s">
        <v>2578</v>
      </c>
      <c r="E530" t="s">
        <v>693</v>
      </c>
      <c r="F530" s="9">
        <v>45292</v>
      </c>
      <c r="G530" s="9"/>
      <c r="H530">
        <v>52010</v>
      </c>
      <c r="I530" s="9">
        <v>45108</v>
      </c>
      <c r="J530" s="9">
        <v>45473</v>
      </c>
      <c r="K530" t="str">
        <f>IFERROR(INDEX(Crosswalk_API!$H$2:$H$527, MATCH(POP_API_TABLE[[#This Row],[PWSID]], CW_PWSID_LIST, 0)), "")</f>
        <v>No</v>
      </c>
    </row>
  </sheetData>
  <phoneticPr fontId="8" type="noConversion"/>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556FE-0867-4356-9459-0EE93025619C}">
  <sheetPr codeName="Sheet26">
    <tabColor theme="8" tint="0.39997558519241921"/>
  </sheetPr>
  <dimension ref="A1:AV410"/>
  <sheetViews>
    <sheetView workbookViewId="0"/>
  </sheetViews>
  <sheetFormatPr defaultRowHeight="15" x14ac:dyDescent="0.25"/>
  <cols>
    <col min="1" max="1" width="10.28515625" bestFit="1" customWidth="1"/>
    <col min="2" max="2" width="61.7109375" bestFit="1" customWidth="1"/>
    <col min="3" max="3" width="18.5703125" bestFit="1" customWidth="1"/>
    <col min="4" max="4" width="21.28515625" bestFit="1" customWidth="1"/>
    <col min="5" max="5" width="20.5703125" bestFit="1" customWidth="1"/>
    <col min="6" max="6" width="15.5703125" bestFit="1" customWidth="1"/>
    <col min="7" max="7" width="14.42578125" bestFit="1" customWidth="1"/>
    <col min="8" max="8" width="16.28515625" bestFit="1" customWidth="1"/>
    <col min="9" max="9" width="13.85546875" bestFit="1" customWidth="1"/>
    <col min="10" max="10" width="15.42578125" bestFit="1" customWidth="1"/>
    <col min="11" max="11" width="14.7109375" bestFit="1" customWidth="1"/>
    <col min="12" max="12" width="19.7109375" bestFit="1" customWidth="1"/>
    <col min="13" max="13" width="27.140625" bestFit="1" customWidth="1"/>
    <col min="14" max="14" width="33.42578125" bestFit="1" customWidth="1"/>
    <col min="15" max="15" width="32.28515625" bestFit="1" customWidth="1"/>
    <col min="16" max="16" width="28.42578125" bestFit="1" customWidth="1"/>
    <col min="17" max="17" width="26.5703125" bestFit="1" customWidth="1"/>
    <col min="18" max="18" width="25.5703125" bestFit="1" customWidth="1"/>
    <col min="19" max="19" width="27.28515625" bestFit="1" customWidth="1"/>
    <col min="20" max="20" width="25" bestFit="1" customWidth="1"/>
    <col min="21" max="21" width="26.28515625" bestFit="1" customWidth="1"/>
    <col min="22" max="22" width="25.7109375" bestFit="1" customWidth="1"/>
    <col min="23" max="23" width="30.7109375" bestFit="1" customWidth="1"/>
    <col min="24" max="24" width="32.140625" bestFit="1" customWidth="1"/>
    <col min="25" max="25" width="33.42578125" bestFit="1" customWidth="1"/>
    <col min="26" max="26" width="32.28515625" bestFit="1" customWidth="1"/>
    <col min="27" max="27" width="33.42578125" bestFit="1" customWidth="1"/>
    <col min="28" max="28" width="22.28515625" bestFit="1" customWidth="1"/>
    <col min="29" max="29" width="25.7109375" bestFit="1" customWidth="1"/>
    <col min="30" max="30" width="23.5703125" bestFit="1" customWidth="1"/>
    <col min="31" max="31" width="32.28515625" bestFit="1" customWidth="1"/>
    <col min="32" max="32" width="38.5703125" bestFit="1" customWidth="1"/>
    <col min="33" max="33" width="37.28515625" bestFit="1" customWidth="1"/>
    <col min="34" max="34" width="33.5703125" bestFit="1" customWidth="1"/>
    <col min="35" max="35" width="28.5703125" bestFit="1" customWidth="1"/>
    <col min="36" max="36" width="26.28515625" bestFit="1" customWidth="1"/>
    <col min="37" max="37" width="12.28515625" bestFit="1" customWidth="1"/>
    <col min="38" max="38" width="11.7109375" bestFit="1" customWidth="1"/>
    <col min="39" max="39" width="13.85546875" bestFit="1" customWidth="1"/>
    <col min="40" max="40" width="11" bestFit="1" customWidth="1"/>
    <col min="41" max="41" width="11.7109375" bestFit="1" customWidth="1"/>
    <col min="42" max="42" width="17.7109375" bestFit="1" customWidth="1"/>
    <col min="43" max="43" width="24.85546875" bestFit="1" customWidth="1"/>
    <col min="44" max="44" width="21.85546875" bestFit="1" customWidth="1"/>
    <col min="45" max="45" width="19.42578125" bestFit="1" customWidth="1"/>
    <col min="46" max="46" width="16.5703125" bestFit="1" customWidth="1"/>
    <col min="47" max="47" width="17" bestFit="1" customWidth="1"/>
    <col min="48" max="48" width="16" bestFit="1" customWidth="1"/>
    <col min="49" max="49" width="17.7109375" bestFit="1" customWidth="1"/>
    <col min="50" max="50" width="15.42578125" bestFit="1" customWidth="1"/>
    <col min="51" max="51" width="16.85546875" bestFit="1" customWidth="1"/>
    <col min="52" max="52" width="16.28515625" bestFit="1" customWidth="1"/>
    <col min="53" max="53" width="21.28515625" bestFit="1" customWidth="1"/>
  </cols>
  <sheetData>
    <row r="1" spans="1:48" x14ac:dyDescent="0.25">
      <c r="A1" t="s">
        <v>2611</v>
      </c>
      <c r="B1" t="s">
        <v>2612</v>
      </c>
      <c r="C1" t="s">
        <v>2613</v>
      </c>
      <c r="D1" t="s">
        <v>2614</v>
      </c>
      <c r="E1" t="s">
        <v>2615</v>
      </c>
      <c r="F1" t="s">
        <v>2616</v>
      </c>
      <c r="G1" t="s">
        <v>2617</v>
      </c>
      <c r="H1" t="s">
        <v>2618</v>
      </c>
      <c r="I1" t="s">
        <v>2619</v>
      </c>
      <c r="J1" t="s">
        <v>2620</v>
      </c>
      <c r="K1" t="s">
        <v>2621</v>
      </c>
      <c r="L1" t="s">
        <v>2622</v>
      </c>
      <c r="M1" t="s">
        <v>2623</v>
      </c>
      <c r="N1" t="s">
        <v>2624</v>
      </c>
      <c r="O1" t="s">
        <v>2625</v>
      </c>
      <c r="P1" t="s">
        <v>2626</v>
      </c>
      <c r="Q1" t="s">
        <v>2627</v>
      </c>
      <c r="R1" t="s">
        <v>2628</v>
      </c>
      <c r="S1" t="s">
        <v>2629</v>
      </c>
      <c r="T1" t="s">
        <v>2630</v>
      </c>
      <c r="U1" t="s">
        <v>2631</v>
      </c>
      <c r="V1" t="s">
        <v>2632</v>
      </c>
      <c r="W1" t="s">
        <v>2633</v>
      </c>
      <c r="X1" t="s">
        <v>2634</v>
      </c>
      <c r="Y1" t="s">
        <v>2635</v>
      </c>
      <c r="Z1" t="s">
        <v>2636</v>
      </c>
      <c r="AA1" t="s">
        <v>2637</v>
      </c>
      <c r="AB1" t="s">
        <v>2638</v>
      </c>
      <c r="AC1" t="s">
        <v>2639</v>
      </c>
      <c r="AD1" t="s">
        <v>2640</v>
      </c>
      <c r="AE1" t="s">
        <v>2641</v>
      </c>
      <c r="AF1" t="s">
        <v>2642</v>
      </c>
      <c r="AG1" t="s">
        <v>2643</v>
      </c>
      <c r="AH1" t="s">
        <v>2644</v>
      </c>
      <c r="AI1" t="s">
        <v>2645</v>
      </c>
      <c r="AJ1" t="s">
        <v>2646</v>
      </c>
      <c r="AK1" t="s">
        <v>2647</v>
      </c>
      <c r="AL1" t="s">
        <v>2648</v>
      </c>
      <c r="AM1" t="s">
        <v>2649</v>
      </c>
      <c r="AN1" t="s">
        <v>2650</v>
      </c>
      <c r="AO1" t="s">
        <v>2651</v>
      </c>
      <c r="AP1" t="s">
        <v>2652</v>
      </c>
      <c r="AQ1" t="s">
        <v>2653</v>
      </c>
      <c r="AR1" t="s">
        <v>2654</v>
      </c>
      <c r="AS1" t="s">
        <v>2655</v>
      </c>
      <c r="AT1" t="s">
        <v>2656</v>
      </c>
      <c r="AU1" t="s">
        <v>688</v>
      </c>
      <c r="AV1" s="3" t="str">
        <f>ORG_ID_REF</f>
        <v/>
      </c>
    </row>
    <row r="2" spans="1:48" x14ac:dyDescent="0.25">
      <c r="A2" t="s">
        <v>689</v>
      </c>
      <c r="B2" t="s">
        <v>2657</v>
      </c>
      <c r="C2" t="s">
        <v>2658</v>
      </c>
      <c r="D2" t="s">
        <v>2659</v>
      </c>
      <c r="E2">
        <v>2018</v>
      </c>
      <c r="F2">
        <v>8283</v>
      </c>
      <c r="G2">
        <v>59258</v>
      </c>
      <c r="H2">
        <v>131723</v>
      </c>
      <c r="I2">
        <v>5443844</v>
      </c>
      <c r="J2">
        <v>23013123</v>
      </c>
      <c r="K2">
        <v>71887215</v>
      </c>
      <c r="L2">
        <v>10046469</v>
      </c>
      <c r="M2" t="s">
        <v>1859</v>
      </c>
      <c r="AK2">
        <f>IF(LAM_API_TABLE[[#This Row],[Alternative_Data_Approval_Status]]="Approved",LAM_API_TABLE[[#This Row],[HCL_area_sqft_Alternative]],LAM_API_TABLE[[#This Row],[HCL_area_sqft]])</f>
        <v>8283</v>
      </c>
      <c r="AL2">
        <f>IF(LAM_API_TABLE[[#This Row],[Alternative_Data_Approval_Status]]="Approved",LAM_API_TABLE[[#This Row],[Ag_area_sqft_Alternative]],LAM_API_TABLE[[#This Row],[Ag_area_sqft]])</f>
        <v>59258</v>
      </c>
      <c r="AM2">
        <f>IF(LAM_API_TABLE[[#This Row],[Alternative_Data_Approval_Status]]="Approved",LAM_API_TABLE[[#This Row],[Pool_area_sqft_Alternative]],LAM_API_TABLE[[#This Row],[Pool_area_sqft]])</f>
        <v>131723</v>
      </c>
      <c r="AN2">
        <f>IF(LAM_API_TABLE[[#This Row],[Alternative_Data_Approval_Status]]="Approved",LAM_API_TABLE[[#This Row],[Total_II_sqft_Alternative]],LAM_API_TABLE[[#This Row],[Total_II_sqft]])</f>
        <v>5443844</v>
      </c>
      <c r="AO2">
        <f>IF(LAM_API_TABLE[[#This Row],[Alternative_Data_Approval_Status]]="Approved",LAM_API_TABLE[[#This Row],[Total_INI_sqft_Alternative]],LAM_API_TABLE[[#This Row],[Total_INI_sqft]])</f>
        <v>23013123</v>
      </c>
      <c r="AP2">
        <f>IF(LAM_API_TABLE[[#This Row],[New_Res_Constr_Approval_Status]]="Approved",LAM_API_TABLE[[#This Row],[New_Res_Constr_sqft]],0)</f>
        <v>0</v>
      </c>
      <c r="AQ2">
        <f>IF(LAM_API_TABLE[[#This Row],[New_Res_Constr_Approval_Status]]="Approved",LAM_API_TABLE[[#This Row],[New_Res_SLA_norec_sqft]],0)</f>
        <v>0</v>
      </c>
      <c r="AR2">
        <f>IF(LAM_API_TABLE[[#This Row],[New_Res_Constr_Approval_Status]]="Approved",LAM_API_TABLE[[#This Row],[New_Res_SLA_rec_sqft]],0)</f>
        <v>0</v>
      </c>
      <c r="AS2">
        <f>IF(LAM_API_TABLE[[#This Row],[Existing_Res_SLA_Data_Approval_Status]]="Approved",LAM_API_TABLE[[#This Row],[Existing_Res_SLA_norec_sqft]],0)</f>
        <v>0</v>
      </c>
      <c r="AT2">
        <f>IF(LAM_API_TABLE[[#This Row],[Existing_Res_SLA_Data_Approval_Status]]="Approved",LAM_API_TABLE[[#This Row],[Existing_Res_SLA_rec_sqft]],0)</f>
        <v>0</v>
      </c>
    </row>
    <row r="3" spans="1:48" x14ac:dyDescent="0.25">
      <c r="A3" t="s">
        <v>695</v>
      </c>
      <c r="B3" t="s">
        <v>95</v>
      </c>
      <c r="C3" t="s">
        <v>2660</v>
      </c>
      <c r="D3" t="s">
        <v>2661</v>
      </c>
      <c r="E3">
        <v>2018</v>
      </c>
      <c r="G3">
        <v>1334015</v>
      </c>
      <c r="H3">
        <v>1264297</v>
      </c>
      <c r="I3">
        <v>174502793</v>
      </c>
      <c r="J3">
        <v>51574794</v>
      </c>
      <c r="K3">
        <v>420788244</v>
      </c>
      <c r="L3">
        <v>184817752</v>
      </c>
      <c r="M3" t="s">
        <v>1859</v>
      </c>
      <c r="AK3">
        <f>IF(LAM_API_TABLE[[#This Row],[Alternative_Data_Approval_Status]]="Approved",LAM_API_TABLE[[#This Row],[HCL_area_sqft_Alternative]],LAM_API_TABLE[[#This Row],[HCL_area_sqft]])</f>
        <v>0</v>
      </c>
      <c r="AL3">
        <f>IF(LAM_API_TABLE[[#This Row],[Alternative_Data_Approval_Status]]="Approved",LAM_API_TABLE[[#This Row],[Ag_area_sqft_Alternative]],LAM_API_TABLE[[#This Row],[Ag_area_sqft]])</f>
        <v>1334015</v>
      </c>
      <c r="AM3">
        <f>IF(LAM_API_TABLE[[#This Row],[Alternative_Data_Approval_Status]]="Approved",LAM_API_TABLE[[#This Row],[Pool_area_sqft_Alternative]],LAM_API_TABLE[[#This Row],[Pool_area_sqft]])</f>
        <v>1264297</v>
      </c>
      <c r="AN3">
        <f>IF(LAM_API_TABLE[[#This Row],[Alternative_Data_Approval_Status]]="Approved",LAM_API_TABLE[[#This Row],[Total_II_sqft_Alternative]],LAM_API_TABLE[[#This Row],[Total_II_sqft]])</f>
        <v>174502793</v>
      </c>
      <c r="AO3">
        <f>IF(LAM_API_TABLE[[#This Row],[Alternative_Data_Approval_Status]]="Approved",LAM_API_TABLE[[#This Row],[Total_INI_sqft_Alternative]],LAM_API_TABLE[[#This Row],[Total_INI_sqft]])</f>
        <v>51574794</v>
      </c>
      <c r="AP3">
        <f>IF(LAM_API_TABLE[[#This Row],[New_Res_Constr_Approval_Status]]="Approved",LAM_API_TABLE[[#This Row],[New_Res_Constr_sqft]],0)</f>
        <v>0</v>
      </c>
      <c r="AQ3">
        <f>IF(LAM_API_TABLE[[#This Row],[New_Res_Constr_Approval_Status]]="Approved",LAM_API_TABLE[[#This Row],[New_Res_SLA_norec_sqft]],0)</f>
        <v>0</v>
      </c>
      <c r="AR3">
        <f>IF(LAM_API_TABLE[[#This Row],[New_Res_Constr_Approval_Status]]="Approved",LAM_API_TABLE[[#This Row],[New_Res_SLA_rec_sqft]],0)</f>
        <v>0</v>
      </c>
      <c r="AS3">
        <f>IF(LAM_API_TABLE[[#This Row],[Existing_Res_SLA_Data_Approval_Status]]="Approved",LAM_API_TABLE[[#This Row],[Existing_Res_SLA_norec_sqft]],0)</f>
        <v>0</v>
      </c>
      <c r="AT3">
        <f>IF(LAM_API_TABLE[[#This Row],[Existing_Res_SLA_Data_Approval_Status]]="Approved",LAM_API_TABLE[[#This Row],[Existing_Res_SLA_rec_sqft]],0)</f>
        <v>0</v>
      </c>
    </row>
    <row r="4" spans="1:48" x14ac:dyDescent="0.25">
      <c r="A4" t="s">
        <v>699</v>
      </c>
      <c r="B4" t="s">
        <v>700</v>
      </c>
      <c r="C4" t="s">
        <v>2662</v>
      </c>
      <c r="D4" t="s">
        <v>2663</v>
      </c>
      <c r="E4">
        <v>2018</v>
      </c>
      <c r="F4">
        <v>127943</v>
      </c>
      <c r="G4">
        <v>2992140</v>
      </c>
      <c r="H4">
        <v>9029</v>
      </c>
      <c r="I4">
        <v>11527417</v>
      </c>
      <c r="J4">
        <v>7636349</v>
      </c>
      <c r="K4">
        <v>50322429</v>
      </c>
      <c r="L4">
        <v>13054687</v>
      </c>
      <c r="M4" t="s">
        <v>1859</v>
      </c>
      <c r="AK4">
        <f>IF(LAM_API_TABLE[[#This Row],[Alternative_Data_Approval_Status]]="Approved",LAM_API_TABLE[[#This Row],[HCL_area_sqft_Alternative]],LAM_API_TABLE[[#This Row],[HCL_area_sqft]])</f>
        <v>127943</v>
      </c>
      <c r="AL4">
        <f>IF(LAM_API_TABLE[[#This Row],[Alternative_Data_Approval_Status]]="Approved",LAM_API_TABLE[[#This Row],[Ag_area_sqft_Alternative]],LAM_API_TABLE[[#This Row],[Ag_area_sqft]])</f>
        <v>2992140</v>
      </c>
      <c r="AM4">
        <f>IF(LAM_API_TABLE[[#This Row],[Alternative_Data_Approval_Status]]="Approved",LAM_API_TABLE[[#This Row],[Pool_area_sqft_Alternative]],LAM_API_TABLE[[#This Row],[Pool_area_sqft]])</f>
        <v>9029</v>
      </c>
      <c r="AN4">
        <f>IF(LAM_API_TABLE[[#This Row],[Alternative_Data_Approval_Status]]="Approved",LAM_API_TABLE[[#This Row],[Total_II_sqft_Alternative]],LAM_API_TABLE[[#This Row],[Total_II_sqft]])</f>
        <v>11527417</v>
      </c>
      <c r="AO4">
        <f>IF(LAM_API_TABLE[[#This Row],[Alternative_Data_Approval_Status]]="Approved",LAM_API_TABLE[[#This Row],[Total_INI_sqft_Alternative]],LAM_API_TABLE[[#This Row],[Total_INI_sqft]])</f>
        <v>7636349</v>
      </c>
      <c r="AP4">
        <f>IF(LAM_API_TABLE[[#This Row],[New_Res_Constr_Approval_Status]]="Approved",LAM_API_TABLE[[#This Row],[New_Res_Constr_sqft]],0)</f>
        <v>0</v>
      </c>
      <c r="AQ4">
        <f>IF(LAM_API_TABLE[[#This Row],[New_Res_Constr_Approval_Status]]="Approved",LAM_API_TABLE[[#This Row],[New_Res_SLA_norec_sqft]],0)</f>
        <v>0</v>
      </c>
      <c r="AR4">
        <f>IF(LAM_API_TABLE[[#This Row],[New_Res_Constr_Approval_Status]]="Approved",LAM_API_TABLE[[#This Row],[New_Res_SLA_rec_sqft]],0)</f>
        <v>0</v>
      </c>
      <c r="AS4">
        <f>IF(LAM_API_TABLE[[#This Row],[Existing_Res_SLA_Data_Approval_Status]]="Approved",LAM_API_TABLE[[#This Row],[Existing_Res_SLA_norec_sqft]],0)</f>
        <v>0</v>
      </c>
      <c r="AT4">
        <f>IF(LAM_API_TABLE[[#This Row],[Existing_Res_SLA_Data_Approval_Status]]="Approved",LAM_API_TABLE[[#This Row],[Existing_Res_SLA_rec_sqft]],0)</f>
        <v>0</v>
      </c>
    </row>
    <row r="5" spans="1:48" x14ac:dyDescent="0.25">
      <c r="A5" t="s">
        <v>704</v>
      </c>
      <c r="B5" t="s">
        <v>2664</v>
      </c>
      <c r="C5" t="s">
        <v>2665</v>
      </c>
      <c r="D5" t="s">
        <v>2666</v>
      </c>
      <c r="E5">
        <v>2018</v>
      </c>
      <c r="H5">
        <v>274936</v>
      </c>
      <c r="I5">
        <v>21647829</v>
      </c>
      <c r="J5">
        <v>16538935</v>
      </c>
      <c r="K5">
        <v>72866374</v>
      </c>
      <c r="L5">
        <v>24955616</v>
      </c>
      <c r="M5" t="s">
        <v>1859</v>
      </c>
      <c r="AK5">
        <f>IF(LAM_API_TABLE[[#This Row],[Alternative_Data_Approval_Status]]="Approved",LAM_API_TABLE[[#This Row],[HCL_area_sqft_Alternative]],LAM_API_TABLE[[#This Row],[HCL_area_sqft]])</f>
        <v>0</v>
      </c>
      <c r="AL5">
        <f>IF(LAM_API_TABLE[[#This Row],[Alternative_Data_Approval_Status]]="Approved",LAM_API_TABLE[[#This Row],[Ag_area_sqft_Alternative]],LAM_API_TABLE[[#This Row],[Ag_area_sqft]])</f>
        <v>0</v>
      </c>
      <c r="AM5">
        <f>IF(LAM_API_TABLE[[#This Row],[Alternative_Data_Approval_Status]]="Approved",LAM_API_TABLE[[#This Row],[Pool_area_sqft_Alternative]],LAM_API_TABLE[[#This Row],[Pool_area_sqft]])</f>
        <v>274936</v>
      </c>
      <c r="AN5">
        <f>IF(LAM_API_TABLE[[#This Row],[Alternative_Data_Approval_Status]]="Approved",LAM_API_TABLE[[#This Row],[Total_II_sqft_Alternative]],LAM_API_TABLE[[#This Row],[Total_II_sqft]])</f>
        <v>21647829</v>
      </c>
      <c r="AO5">
        <f>IF(LAM_API_TABLE[[#This Row],[Alternative_Data_Approval_Status]]="Approved",LAM_API_TABLE[[#This Row],[Total_INI_sqft_Alternative]],LAM_API_TABLE[[#This Row],[Total_INI_sqft]])</f>
        <v>16538935</v>
      </c>
      <c r="AP5">
        <f>IF(LAM_API_TABLE[[#This Row],[New_Res_Constr_Approval_Status]]="Approved",LAM_API_TABLE[[#This Row],[New_Res_Constr_sqft]],0)</f>
        <v>0</v>
      </c>
      <c r="AQ5">
        <f>IF(LAM_API_TABLE[[#This Row],[New_Res_Constr_Approval_Status]]="Approved",LAM_API_TABLE[[#This Row],[New_Res_SLA_norec_sqft]],0)</f>
        <v>0</v>
      </c>
      <c r="AR5">
        <f>IF(LAM_API_TABLE[[#This Row],[New_Res_Constr_Approval_Status]]="Approved",LAM_API_TABLE[[#This Row],[New_Res_SLA_rec_sqft]],0)</f>
        <v>0</v>
      </c>
      <c r="AS5">
        <f>IF(LAM_API_TABLE[[#This Row],[Existing_Res_SLA_Data_Approval_Status]]="Approved",LAM_API_TABLE[[#This Row],[Existing_Res_SLA_norec_sqft]],0)</f>
        <v>0</v>
      </c>
      <c r="AT5">
        <f>IF(LAM_API_TABLE[[#This Row],[Existing_Res_SLA_Data_Approval_Status]]="Approved",LAM_API_TABLE[[#This Row],[Existing_Res_SLA_rec_sqft]],0)</f>
        <v>0</v>
      </c>
    </row>
    <row r="6" spans="1:48" x14ac:dyDescent="0.25">
      <c r="A6" t="s">
        <v>709</v>
      </c>
      <c r="B6" t="s">
        <v>2667</v>
      </c>
      <c r="C6" t="s">
        <v>2668</v>
      </c>
      <c r="D6" t="s">
        <v>2669</v>
      </c>
      <c r="E6">
        <v>2018</v>
      </c>
      <c r="F6">
        <v>91200</v>
      </c>
      <c r="G6">
        <v>2366189</v>
      </c>
      <c r="H6">
        <v>86403</v>
      </c>
      <c r="I6">
        <v>25017685</v>
      </c>
      <c r="J6">
        <v>21382775</v>
      </c>
      <c r="K6">
        <v>323050434</v>
      </c>
      <c r="L6">
        <v>29294240</v>
      </c>
      <c r="M6" t="s">
        <v>1859</v>
      </c>
      <c r="AK6">
        <f>IF(LAM_API_TABLE[[#This Row],[Alternative_Data_Approval_Status]]="Approved",LAM_API_TABLE[[#This Row],[HCL_area_sqft_Alternative]],LAM_API_TABLE[[#This Row],[HCL_area_sqft]])</f>
        <v>91200</v>
      </c>
      <c r="AL6">
        <f>IF(LAM_API_TABLE[[#This Row],[Alternative_Data_Approval_Status]]="Approved",LAM_API_TABLE[[#This Row],[Ag_area_sqft_Alternative]],LAM_API_TABLE[[#This Row],[Ag_area_sqft]])</f>
        <v>2366189</v>
      </c>
      <c r="AM6">
        <f>IF(LAM_API_TABLE[[#This Row],[Alternative_Data_Approval_Status]]="Approved",LAM_API_TABLE[[#This Row],[Pool_area_sqft_Alternative]],LAM_API_TABLE[[#This Row],[Pool_area_sqft]])</f>
        <v>86403</v>
      </c>
      <c r="AN6">
        <f>IF(LAM_API_TABLE[[#This Row],[Alternative_Data_Approval_Status]]="Approved",LAM_API_TABLE[[#This Row],[Total_II_sqft_Alternative]],LAM_API_TABLE[[#This Row],[Total_II_sqft]])</f>
        <v>25017685</v>
      </c>
      <c r="AO6">
        <f>IF(LAM_API_TABLE[[#This Row],[Alternative_Data_Approval_Status]]="Approved",LAM_API_TABLE[[#This Row],[Total_INI_sqft_Alternative]],LAM_API_TABLE[[#This Row],[Total_INI_sqft]])</f>
        <v>21382775</v>
      </c>
      <c r="AP6">
        <f>IF(LAM_API_TABLE[[#This Row],[New_Res_Constr_Approval_Status]]="Approved",LAM_API_TABLE[[#This Row],[New_Res_Constr_sqft]],0)</f>
        <v>0</v>
      </c>
      <c r="AQ6">
        <f>IF(LAM_API_TABLE[[#This Row],[New_Res_Constr_Approval_Status]]="Approved",LAM_API_TABLE[[#This Row],[New_Res_SLA_norec_sqft]],0)</f>
        <v>0</v>
      </c>
      <c r="AR6">
        <f>IF(LAM_API_TABLE[[#This Row],[New_Res_Constr_Approval_Status]]="Approved",LAM_API_TABLE[[#This Row],[New_Res_SLA_rec_sqft]],0)</f>
        <v>0</v>
      </c>
      <c r="AS6">
        <f>IF(LAM_API_TABLE[[#This Row],[Existing_Res_SLA_Data_Approval_Status]]="Approved",LAM_API_TABLE[[#This Row],[Existing_Res_SLA_norec_sqft]],0)</f>
        <v>0</v>
      </c>
      <c r="AT6">
        <f>IF(LAM_API_TABLE[[#This Row],[Existing_Res_SLA_Data_Approval_Status]]="Approved",LAM_API_TABLE[[#This Row],[Existing_Res_SLA_rec_sqft]],0)</f>
        <v>0</v>
      </c>
    </row>
    <row r="7" spans="1:48" x14ac:dyDescent="0.25">
      <c r="A7" t="s">
        <v>722</v>
      </c>
      <c r="B7" t="s">
        <v>2670</v>
      </c>
      <c r="C7" t="s">
        <v>2671</v>
      </c>
      <c r="D7" t="s">
        <v>2672</v>
      </c>
      <c r="E7">
        <v>2018</v>
      </c>
      <c r="F7">
        <v>47738</v>
      </c>
      <c r="G7">
        <v>550538</v>
      </c>
      <c r="H7">
        <v>56863</v>
      </c>
      <c r="I7">
        <v>8267137</v>
      </c>
      <c r="J7">
        <v>10840742</v>
      </c>
      <c r="K7">
        <v>35604228</v>
      </c>
      <c r="L7">
        <v>10435285</v>
      </c>
      <c r="M7" t="s">
        <v>1859</v>
      </c>
      <c r="AK7">
        <f>IF(LAM_API_TABLE[[#This Row],[Alternative_Data_Approval_Status]]="Approved",LAM_API_TABLE[[#This Row],[HCL_area_sqft_Alternative]],LAM_API_TABLE[[#This Row],[HCL_area_sqft]])</f>
        <v>47738</v>
      </c>
      <c r="AL7">
        <f>IF(LAM_API_TABLE[[#This Row],[Alternative_Data_Approval_Status]]="Approved",LAM_API_TABLE[[#This Row],[Ag_area_sqft_Alternative]],LAM_API_TABLE[[#This Row],[Ag_area_sqft]])</f>
        <v>550538</v>
      </c>
      <c r="AM7">
        <f>IF(LAM_API_TABLE[[#This Row],[Alternative_Data_Approval_Status]]="Approved",LAM_API_TABLE[[#This Row],[Pool_area_sqft_Alternative]],LAM_API_TABLE[[#This Row],[Pool_area_sqft]])</f>
        <v>56863</v>
      </c>
      <c r="AN7">
        <f>IF(LAM_API_TABLE[[#This Row],[Alternative_Data_Approval_Status]]="Approved",LAM_API_TABLE[[#This Row],[Total_II_sqft_Alternative]],LAM_API_TABLE[[#This Row],[Total_II_sqft]])</f>
        <v>8267137</v>
      </c>
      <c r="AO7">
        <f>IF(LAM_API_TABLE[[#This Row],[Alternative_Data_Approval_Status]]="Approved",LAM_API_TABLE[[#This Row],[Total_INI_sqft_Alternative]],LAM_API_TABLE[[#This Row],[Total_INI_sqft]])</f>
        <v>10840742</v>
      </c>
      <c r="AP7">
        <f>IF(LAM_API_TABLE[[#This Row],[New_Res_Constr_Approval_Status]]="Approved",LAM_API_TABLE[[#This Row],[New_Res_Constr_sqft]],0)</f>
        <v>0</v>
      </c>
      <c r="AQ7">
        <f>IF(LAM_API_TABLE[[#This Row],[New_Res_Constr_Approval_Status]]="Approved",LAM_API_TABLE[[#This Row],[New_Res_SLA_norec_sqft]],0)</f>
        <v>0</v>
      </c>
      <c r="AR7">
        <f>IF(LAM_API_TABLE[[#This Row],[New_Res_Constr_Approval_Status]]="Approved",LAM_API_TABLE[[#This Row],[New_Res_SLA_rec_sqft]],0)</f>
        <v>0</v>
      </c>
      <c r="AS7">
        <f>IF(LAM_API_TABLE[[#This Row],[Existing_Res_SLA_Data_Approval_Status]]="Approved",LAM_API_TABLE[[#This Row],[Existing_Res_SLA_norec_sqft]],0)</f>
        <v>0</v>
      </c>
      <c r="AT7">
        <f>IF(LAM_API_TABLE[[#This Row],[Existing_Res_SLA_Data_Approval_Status]]="Approved",LAM_API_TABLE[[#This Row],[Existing_Res_SLA_rec_sqft]],0)</f>
        <v>0</v>
      </c>
    </row>
    <row r="8" spans="1:48" x14ac:dyDescent="0.25">
      <c r="A8" t="s">
        <v>727</v>
      </c>
      <c r="B8" t="s">
        <v>728</v>
      </c>
      <c r="C8" t="s">
        <v>2673</v>
      </c>
      <c r="D8" t="s">
        <v>2674</v>
      </c>
      <c r="E8">
        <v>2018</v>
      </c>
      <c r="G8">
        <v>614312</v>
      </c>
      <c r="H8">
        <v>4905487</v>
      </c>
      <c r="I8">
        <v>144655258</v>
      </c>
      <c r="J8">
        <v>38187889</v>
      </c>
      <c r="K8">
        <v>335339590</v>
      </c>
      <c r="L8">
        <v>152292836</v>
      </c>
      <c r="M8" t="s">
        <v>1859</v>
      </c>
      <c r="AK8">
        <f>IF(LAM_API_TABLE[[#This Row],[Alternative_Data_Approval_Status]]="Approved",LAM_API_TABLE[[#This Row],[HCL_area_sqft_Alternative]],LAM_API_TABLE[[#This Row],[HCL_area_sqft]])</f>
        <v>0</v>
      </c>
      <c r="AL8">
        <f>IF(LAM_API_TABLE[[#This Row],[Alternative_Data_Approval_Status]]="Approved",LAM_API_TABLE[[#This Row],[Ag_area_sqft_Alternative]],LAM_API_TABLE[[#This Row],[Ag_area_sqft]])</f>
        <v>614312</v>
      </c>
      <c r="AM8">
        <f>IF(LAM_API_TABLE[[#This Row],[Alternative_Data_Approval_Status]]="Approved",LAM_API_TABLE[[#This Row],[Pool_area_sqft_Alternative]],LAM_API_TABLE[[#This Row],[Pool_area_sqft]])</f>
        <v>4905487</v>
      </c>
      <c r="AN8">
        <f>IF(LAM_API_TABLE[[#This Row],[Alternative_Data_Approval_Status]]="Approved",LAM_API_TABLE[[#This Row],[Total_II_sqft_Alternative]],LAM_API_TABLE[[#This Row],[Total_II_sqft]])</f>
        <v>144655258</v>
      </c>
      <c r="AO8">
        <f>IF(LAM_API_TABLE[[#This Row],[Alternative_Data_Approval_Status]]="Approved",LAM_API_TABLE[[#This Row],[Total_INI_sqft_Alternative]],LAM_API_TABLE[[#This Row],[Total_INI_sqft]])</f>
        <v>38187889</v>
      </c>
      <c r="AP8">
        <f>IF(LAM_API_TABLE[[#This Row],[New_Res_Constr_Approval_Status]]="Approved",LAM_API_TABLE[[#This Row],[New_Res_Constr_sqft]],0)</f>
        <v>0</v>
      </c>
      <c r="AQ8">
        <f>IF(LAM_API_TABLE[[#This Row],[New_Res_Constr_Approval_Status]]="Approved",LAM_API_TABLE[[#This Row],[New_Res_SLA_norec_sqft]],0)</f>
        <v>0</v>
      </c>
      <c r="AR8">
        <f>IF(LAM_API_TABLE[[#This Row],[New_Res_Constr_Approval_Status]]="Approved",LAM_API_TABLE[[#This Row],[New_Res_SLA_rec_sqft]],0)</f>
        <v>0</v>
      </c>
      <c r="AS8">
        <f>IF(LAM_API_TABLE[[#This Row],[Existing_Res_SLA_Data_Approval_Status]]="Approved",LAM_API_TABLE[[#This Row],[Existing_Res_SLA_norec_sqft]],0)</f>
        <v>0</v>
      </c>
      <c r="AT8">
        <f>IF(LAM_API_TABLE[[#This Row],[Existing_Res_SLA_Data_Approval_Status]]="Approved",LAM_API_TABLE[[#This Row],[Existing_Res_SLA_rec_sqft]],0)</f>
        <v>0</v>
      </c>
    </row>
    <row r="9" spans="1:48" x14ac:dyDescent="0.25">
      <c r="A9" t="s">
        <v>732</v>
      </c>
      <c r="B9" t="s">
        <v>2675</v>
      </c>
      <c r="C9" t="s">
        <v>2676</v>
      </c>
      <c r="D9" t="s">
        <v>2677</v>
      </c>
      <c r="E9">
        <v>2018</v>
      </c>
      <c r="F9">
        <v>1319</v>
      </c>
      <c r="G9">
        <v>5763723</v>
      </c>
      <c r="H9">
        <v>70400</v>
      </c>
      <c r="I9">
        <v>12275024</v>
      </c>
      <c r="J9">
        <v>7697049</v>
      </c>
      <c r="K9">
        <v>30060559</v>
      </c>
      <c r="L9">
        <v>13814434</v>
      </c>
      <c r="M9" t="s">
        <v>1859</v>
      </c>
      <c r="AK9">
        <f>IF(LAM_API_TABLE[[#This Row],[Alternative_Data_Approval_Status]]="Approved",LAM_API_TABLE[[#This Row],[HCL_area_sqft_Alternative]],LAM_API_TABLE[[#This Row],[HCL_area_sqft]])</f>
        <v>1319</v>
      </c>
      <c r="AL9">
        <f>IF(LAM_API_TABLE[[#This Row],[Alternative_Data_Approval_Status]]="Approved",LAM_API_TABLE[[#This Row],[Ag_area_sqft_Alternative]],LAM_API_TABLE[[#This Row],[Ag_area_sqft]])</f>
        <v>5763723</v>
      </c>
      <c r="AM9">
        <f>IF(LAM_API_TABLE[[#This Row],[Alternative_Data_Approval_Status]]="Approved",LAM_API_TABLE[[#This Row],[Pool_area_sqft_Alternative]],LAM_API_TABLE[[#This Row],[Pool_area_sqft]])</f>
        <v>70400</v>
      </c>
      <c r="AN9">
        <f>IF(LAM_API_TABLE[[#This Row],[Alternative_Data_Approval_Status]]="Approved",LAM_API_TABLE[[#This Row],[Total_II_sqft_Alternative]],LAM_API_TABLE[[#This Row],[Total_II_sqft]])</f>
        <v>12275024</v>
      </c>
      <c r="AO9">
        <f>IF(LAM_API_TABLE[[#This Row],[Alternative_Data_Approval_Status]]="Approved",LAM_API_TABLE[[#This Row],[Total_INI_sqft_Alternative]],LAM_API_TABLE[[#This Row],[Total_INI_sqft]])</f>
        <v>7697049</v>
      </c>
      <c r="AP9">
        <f>IF(LAM_API_TABLE[[#This Row],[New_Res_Constr_Approval_Status]]="Approved",LAM_API_TABLE[[#This Row],[New_Res_Constr_sqft]],0)</f>
        <v>0</v>
      </c>
      <c r="AQ9">
        <f>IF(LAM_API_TABLE[[#This Row],[New_Res_Constr_Approval_Status]]="Approved",LAM_API_TABLE[[#This Row],[New_Res_SLA_norec_sqft]],0)</f>
        <v>0</v>
      </c>
      <c r="AR9">
        <f>IF(LAM_API_TABLE[[#This Row],[New_Res_Constr_Approval_Status]]="Approved",LAM_API_TABLE[[#This Row],[New_Res_SLA_rec_sqft]],0)</f>
        <v>0</v>
      </c>
      <c r="AS9">
        <f>IF(LAM_API_TABLE[[#This Row],[Existing_Res_SLA_Data_Approval_Status]]="Approved",LAM_API_TABLE[[#This Row],[Existing_Res_SLA_norec_sqft]],0)</f>
        <v>0</v>
      </c>
      <c r="AT9">
        <f>IF(LAM_API_TABLE[[#This Row],[Existing_Res_SLA_Data_Approval_Status]]="Approved",LAM_API_TABLE[[#This Row],[Existing_Res_SLA_rec_sqft]],0)</f>
        <v>0</v>
      </c>
    </row>
    <row r="10" spans="1:48" x14ac:dyDescent="0.25">
      <c r="A10" t="s">
        <v>737</v>
      </c>
      <c r="B10" t="s">
        <v>738</v>
      </c>
      <c r="C10" t="s">
        <v>2678</v>
      </c>
      <c r="D10" t="s">
        <v>2679</v>
      </c>
      <c r="E10">
        <v>2018</v>
      </c>
      <c r="G10">
        <v>1129900</v>
      </c>
      <c r="H10">
        <v>1441941</v>
      </c>
      <c r="I10">
        <v>64851512</v>
      </c>
      <c r="J10">
        <v>37307354</v>
      </c>
      <c r="K10">
        <v>144171108</v>
      </c>
      <c r="L10">
        <v>72312983</v>
      </c>
      <c r="M10" t="s">
        <v>1859</v>
      </c>
      <c r="AK10">
        <f>IF(LAM_API_TABLE[[#This Row],[Alternative_Data_Approval_Status]]="Approved",LAM_API_TABLE[[#This Row],[HCL_area_sqft_Alternative]],LAM_API_TABLE[[#This Row],[HCL_area_sqft]])</f>
        <v>0</v>
      </c>
      <c r="AL10">
        <f>IF(LAM_API_TABLE[[#This Row],[Alternative_Data_Approval_Status]]="Approved",LAM_API_TABLE[[#This Row],[Ag_area_sqft_Alternative]],LAM_API_TABLE[[#This Row],[Ag_area_sqft]])</f>
        <v>1129900</v>
      </c>
      <c r="AM10">
        <f>IF(LAM_API_TABLE[[#This Row],[Alternative_Data_Approval_Status]]="Approved",LAM_API_TABLE[[#This Row],[Pool_area_sqft_Alternative]],LAM_API_TABLE[[#This Row],[Pool_area_sqft]])</f>
        <v>1441941</v>
      </c>
      <c r="AN10">
        <f>IF(LAM_API_TABLE[[#This Row],[Alternative_Data_Approval_Status]]="Approved",LAM_API_TABLE[[#This Row],[Total_II_sqft_Alternative]],LAM_API_TABLE[[#This Row],[Total_II_sqft]])</f>
        <v>64851512</v>
      </c>
      <c r="AO10">
        <f>IF(LAM_API_TABLE[[#This Row],[Alternative_Data_Approval_Status]]="Approved",LAM_API_TABLE[[#This Row],[Total_INI_sqft_Alternative]],LAM_API_TABLE[[#This Row],[Total_INI_sqft]])</f>
        <v>37307354</v>
      </c>
      <c r="AP10">
        <f>IF(LAM_API_TABLE[[#This Row],[New_Res_Constr_Approval_Status]]="Approved",LAM_API_TABLE[[#This Row],[New_Res_Constr_sqft]],0)</f>
        <v>0</v>
      </c>
      <c r="AQ10">
        <f>IF(LAM_API_TABLE[[#This Row],[New_Res_Constr_Approval_Status]]="Approved",LAM_API_TABLE[[#This Row],[New_Res_SLA_norec_sqft]],0)</f>
        <v>0</v>
      </c>
      <c r="AR10">
        <f>IF(LAM_API_TABLE[[#This Row],[New_Res_Constr_Approval_Status]]="Approved",LAM_API_TABLE[[#This Row],[New_Res_SLA_rec_sqft]],0)</f>
        <v>0</v>
      </c>
      <c r="AS10">
        <f>IF(LAM_API_TABLE[[#This Row],[Existing_Res_SLA_Data_Approval_Status]]="Approved",LAM_API_TABLE[[#This Row],[Existing_Res_SLA_norec_sqft]],0)</f>
        <v>0</v>
      </c>
      <c r="AT10">
        <f>IF(LAM_API_TABLE[[#This Row],[Existing_Res_SLA_Data_Approval_Status]]="Approved",LAM_API_TABLE[[#This Row],[Existing_Res_SLA_rec_sqft]],0)</f>
        <v>0</v>
      </c>
    </row>
    <row r="11" spans="1:48" x14ac:dyDescent="0.25">
      <c r="A11" t="s">
        <v>742</v>
      </c>
      <c r="B11" t="s">
        <v>743</v>
      </c>
      <c r="C11" t="s">
        <v>2680</v>
      </c>
      <c r="D11" t="s">
        <v>2681</v>
      </c>
      <c r="E11">
        <v>2018</v>
      </c>
      <c r="F11">
        <v>93672</v>
      </c>
      <c r="G11">
        <v>2224516</v>
      </c>
      <c r="H11">
        <v>1262895</v>
      </c>
      <c r="I11">
        <v>37446397</v>
      </c>
      <c r="J11">
        <v>150627246</v>
      </c>
      <c r="K11">
        <v>324731304</v>
      </c>
      <c r="L11">
        <v>67571846</v>
      </c>
      <c r="M11" t="s">
        <v>1859</v>
      </c>
      <c r="AK11">
        <f>IF(LAM_API_TABLE[[#This Row],[Alternative_Data_Approval_Status]]="Approved",LAM_API_TABLE[[#This Row],[HCL_area_sqft_Alternative]],LAM_API_TABLE[[#This Row],[HCL_area_sqft]])</f>
        <v>93672</v>
      </c>
      <c r="AL11">
        <f>IF(LAM_API_TABLE[[#This Row],[Alternative_Data_Approval_Status]]="Approved",LAM_API_TABLE[[#This Row],[Ag_area_sqft_Alternative]],LAM_API_TABLE[[#This Row],[Ag_area_sqft]])</f>
        <v>2224516</v>
      </c>
      <c r="AM11">
        <f>IF(LAM_API_TABLE[[#This Row],[Alternative_Data_Approval_Status]]="Approved",LAM_API_TABLE[[#This Row],[Pool_area_sqft_Alternative]],LAM_API_TABLE[[#This Row],[Pool_area_sqft]])</f>
        <v>1262895</v>
      </c>
      <c r="AN11">
        <f>IF(LAM_API_TABLE[[#This Row],[Alternative_Data_Approval_Status]]="Approved",LAM_API_TABLE[[#This Row],[Total_II_sqft_Alternative]],LAM_API_TABLE[[#This Row],[Total_II_sqft]])</f>
        <v>37446397</v>
      </c>
      <c r="AO11">
        <f>IF(LAM_API_TABLE[[#This Row],[Alternative_Data_Approval_Status]]="Approved",LAM_API_TABLE[[#This Row],[Total_INI_sqft_Alternative]],LAM_API_TABLE[[#This Row],[Total_INI_sqft]])</f>
        <v>150627246</v>
      </c>
      <c r="AP11">
        <f>IF(LAM_API_TABLE[[#This Row],[New_Res_Constr_Approval_Status]]="Approved",LAM_API_TABLE[[#This Row],[New_Res_Constr_sqft]],0)</f>
        <v>0</v>
      </c>
      <c r="AQ11">
        <f>IF(LAM_API_TABLE[[#This Row],[New_Res_Constr_Approval_Status]]="Approved",LAM_API_TABLE[[#This Row],[New_Res_SLA_norec_sqft]],0)</f>
        <v>0</v>
      </c>
      <c r="AR11">
        <f>IF(LAM_API_TABLE[[#This Row],[New_Res_Constr_Approval_Status]]="Approved",LAM_API_TABLE[[#This Row],[New_Res_SLA_rec_sqft]],0)</f>
        <v>0</v>
      </c>
      <c r="AS11">
        <f>IF(LAM_API_TABLE[[#This Row],[Existing_Res_SLA_Data_Approval_Status]]="Approved",LAM_API_TABLE[[#This Row],[Existing_Res_SLA_norec_sqft]],0)</f>
        <v>0</v>
      </c>
      <c r="AT11">
        <f>IF(LAM_API_TABLE[[#This Row],[Existing_Res_SLA_Data_Approval_Status]]="Approved",LAM_API_TABLE[[#This Row],[Existing_Res_SLA_rec_sqft]],0)</f>
        <v>0</v>
      </c>
    </row>
    <row r="12" spans="1:48" x14ac:dyDescent="0.25">
      <c r="A12" t="s">
        <v>746</v>
      </c>
      <c r="B12" t="s">
        <v>2682</v>
      </c>
      <c r="C12" t="s">
        <v>2683</v>
      </c>
      <c r="D12" t="s">
        <v>2684</v>
      </c>
      <c r="E12">
        <v>2018</v>
      </c>
      <c r="F12">
        <v>6990</v>
      </c>
      <c r="H12">
        <v>2358876</v>
      </c>
      <c r="I12">
        <v>58354958</v>
      </c>
      <c r="J12">
        <v>23631467</v>
      </c>
      <c r="K12">
        <v>87995528</v>
      </c>
      <c r="L12">
        <v>63081251</v>
      </c>
      <c r="M12" t="s">
        <v>1859</v>
      </c>
      <c r="AK12">
        <f>IF(LAM_API_TABLE[[#This Row],[Alternative_Data_Approval_Status]]="Approved",LAM_API_TABLE[[#This Row],[HCL_area_sqft_Alternative]],LAM_API_TABLE[[#This Row],[HCL_area_sqft]])</f>
        <v>6990</v>
      </c>
      <c r="AL12">
        <f>IF(LAM_API_TABLE[[#This Row],[Alternative_Data_Approval_Status]]="Approved",LAM_API_TABLE[[#This Row],[Ag_area_sqft_Alternative]],LAM_API_TABLE[[#This Row],[Ag_area_sqft]])</f>
        <v>0</v>
      </c>
      <c r="AM12">
        <f>IF(LAM_API_TABLE[[#This Row],[Alternative_Data_Approval_Status]]="Approved",LAM_API_TABLE[[#This Row],[Pool_area_sqft_Alternative]],LAM_API_TABLE[[#This Row],[Pool_area_sqft]])</f>
        <v>2358876</v>
      </c>
      <c r="AN12">
        <f>IF(LAM_API_TABLE[[#This Row],[Alternative_Data_Approval_Status]]="Approved",LAM_API_TABLE[[#This Row],[Total_II_sqft_Alternative]],LAM_API_TABLE[[#This Row],[Total_II_sqft]])</f>
        <v>58354958</v>
      </c>
      <c r="AO12">
        <f>IF(LAM_API_TABLE[[#This Row],[Alternative_Data_Approval_Status]]="Approved",LAM_API_TABLE[[#This Row],[Total_INI_sqft_Alternative]],LAM_API_TABLE[[#This Row],[Total_INI_sqft]])</f>
        <v>23631467</v>
      </c>
      <c r="AP12">
        <f>IF(LAM_API_TABLE[[#This Row],[New_Res_Constr_Approval_Status]]="Approved",LAM_API_TABLE[[#This Row],[New_Res_Constr_sqft]],0)</f>
        <v>0</v>
      </c>
      <c r="AQ12">
        <f>IF(LAM_API_TABLE[[#This Row],[New_Res_Constr_Approval_Status]]="Approved",LAM_API_TABLE[[#This Row],[New_Res_SLA_norec_sqft]],0)</f>
        <v>0</v>
      </c>
      <c r="AR12">
        <f>IF(LAM_API_TABLE[[#This Row],[New_Res_Constr_Approval_Status]]="Approved",LAM_API_TABLE[[#This Row],[New_Res_SLA_rec_sqft]],0)</f>
        <v>0</v>
      </c>
      <c r="AS12">
        <f>IF(LAM_API_TABLE[[#This Row],[Existing_Res_SLA_Data_Approval_Status]]="Approved",LAM_API_TABLE[[#This Row],[Existing_Res_SLA_norec_sqft]],0)</f>
        <v>0</v>
      </c>
      <c r="AT12">
        <f>IF(LAM_API_TABLE[[#This Row],[Existing_Res_SLA_Data_Approval_Status]]="Approved",LAM_API_TABLE[[#This Row],[Existing_Res_SLA_rec_sqft]],0)</f>
        <v>0</v>
      </c>
    </row>
    <row r="13" spans="1:48" x14ac:dyDescent="0.25">
      <c r="A13" t="s">
        <v>750</v>
      </c>
      <c r="B13" t="s">
        <v>2685</v>
      </c>
      <c r="C13" t="s">
        <v>2686</v>
      </c>
      <c r="D13" t="s">
        <v>2687</v>
      </c>
      <c r="E13">
        <v>2018</v>
      </c>
      <c r="G13">
        <v>3221800</v>
      </c>
      <c r="H13">
        <v>56</v>
      </c>
      <c r="I13">
        <v>13031399</v>
      </c>
      <c r="J13">
        <v>11812450</v>
      </c>
      <c r="K13">
        <v>41579409</v>
      </c>
      <c r="L13">
        <v>15393889</v>
      </c>
      <c r="M13" t="s">
        <v>1859</v>
      </c>
      <c r="AK13">
        <f>IF(LAM_API_TABLE[[#This Row],[Alternative_Data_Approval_Status]]="Approved",LAM_API_TABLE[[#This Row],[HCL_area_sqft_Alternative]],LAM_API_TABLE[[#This Row],[HCL_area_sqft]])</f>
        <v>0</v>
      </c>
      <c r="AL13">
        <f>IF(LAM_API_TABLE[[#This Row],[Alternative_Data_Approval_Status]]="Approved",LAM_API_TABLE[[#This Row],[Ag_area_sqft_Alternative]],LAM_API_TABLE[[#This Row],[Ag_area_sqft]])</f>
        <v>3221800</v>
      </c>
      <c r="AM13">
        <f>IF(LAM_API_TABLE[[#This Row],[Alternative_Data_Approval_Status]]="Approved",LAM_API_TABLE[[#This Row],[Pool_area_sqft_Alternative]],LAM_API_TABLE[[#This Row],[Pool_area_sqft]])</f>
        <v>56</v>
      </c>
      <c r="AN13">
        <f>IF(LAM_API_TABLE[[#This Row],[Alternative_Data_Approval_Status]]="Approved",LAM_API_TABLE[[#This Row],[Total_II_sqft_Alternative]],LAM_API_TABLE[[#This Row],[Total_II_sqft]])</f>
        <v>13031399</v>
      </c>
      <c r="AO13">
        <f>IF(LAM_API_TABLE[[#This Row],[Alternative_Data_Approval_Status]]="Approved",LAM_API_TABLE[[#This Row],[Total_INI_sqft_Alternative]],LAM_API_TABLE[[#This Row],[Total_INI_sqft]])</f>
        <v>11812450</v>
      </c>
      <c r="AP13">
        <f>IF(LAM_API_TABLE[[#This Row],[New_Res_Constr_Approval_Status]]="Approved",LAM_API_TABLE[[#This Row],[New_Res_Constr_sqft]],0)</f>
        <v>0</v>
      </c>
      <c r="AQ13">
        <f>IF(LAM_API_TABLE[[#This Row],[New_Res_Constr_Approval_Status]]="Approved",LAM_API_TABLE[[#This Row],[New_Res_SLA_norec_sqft]],0)</f>
        <v>0</v>
      </c>
      <c r="AR13">
        <f>IF(LAM_API_TABLE[[#This Row],[New_Res_Constr_Approval_Status]]="Approved",LAM_API_TABLE[[#This Row],[New_Res_SLA_rec_sqft]],0)</f>
        <v>0</v>
      </c>
      <c r="AS13">
        <f>IF(LAM_API_TABLE[[#This Row],[Existing_Res_SLA_Data_Approval_Status]]="Approved",LAM_API_TABLE[[#This Row],[Existing_Res_SLA_norec_sqft]],0)</f>
        <v>0</v>
      </c>
      <c r="AT13">
        <f>IF(LAM_API_TABLE[[#This Row],[Existing_Res_SLA_Data_Approval_Status]]="Approved",LAM_API_TABLE[[#This Row],[Existing_Res_SLA_rec_sqft]],0)</f>
        <v>0</v>
      </c>
    </row>
    <row r="14" spans="1:48" x14ac:dyDescent="0.25">
      <c r="A14" t="s">
        <v>757</v>
      </c>
      <c r="B14" t="s">
        <v>758</v>
      </c>
      <c r="C14" t="s">
        <v>689</v>
      </c>
      <c r="D14" t="s">
        <v>2688</v>
      </c>
      <c r="E14">
        <v>2020</v>
      </c>
      <c r="F14">
        <v>2367</v>
      </c>
      <c r="G14">
        <v>4544332</v>
      </c>
      <c r="H14">
        <v>31658</v>
      </c>
      <c r="I14">
        <v>15471048</v>
      </c>
      <c r="J14">
        <v>8027123</v>
      </c>
      <c r="K14">
        <v>63105572</v>
      </c>
      <c r="L14">
        <v>17076473</v>
      </c>
      <c r="M14" t="s">
        <v>1859</v>
      </c>
      <c r="AK14">
        <f>IF(LAM_API_TABLE[[#This Row],[Alternative_Data_Approval_Status]]="Approved",LAM_API_TABLE[[#This Row],[HCL_area_sqft_Alternative]],LAM_API_TABLE[[#This Row],[HCL_area_sqft]])</f>
        <v>2367</v>
      </c>
      <c r="AL14">
        <f>IF(LAM_API_TABLE[[#This Row],[Alternative_Data_Approval_Status]]="Approved",LAM_API_TABLE[[#This Row],[Ag_area_sqft_Alternative]],LAM_API_TABLE[[#This Row],[Ag_area_sqft]])</f>
        <v>4544332</v>
      </c>
      <c r="AM14">
        <f>IF(LAM_API_TABLE[[#This Row],[Alternative_Data_Approval_Status]]="Approved",LAM_API_TABLE[[#This Row],[Pool_area_sqft_Alternative]],LAM_API_TABLE[[#This Row],[Pool_area_sqft]])</f>
        <v>31658</v>
      </c>
      <c r="AN14">
        <f>IF(LAM_API_TABLE[[#This Row],[Alternative_Data_Approval_Status]]="Approved",LAM_API_TABLE[[#This Row],[Total_II_sqft_Alternative]],LAM_API_TABLE[[#This Row],[Total_II_sqft]])</f>
        <v>15471048</v>
      </c>
      <c r="AO14">
        <f>IF(LAM_API_TABLE[[#This Row],[Alternative_Data_Approval_Status]]="Approved",LAM_API_TABLE[[#This Row],[Total_INI_sqft_Alternative]],LAM_API_TABLE[[#This Row],[Total_INI_sqft]])</f>
        <v>8027123</v>
      </c>
      <c r="AP14">
        <f>IF(LAM_API_TABLE[[#This Row],[New_Res_Constr_Approval_Status]]="Approved",LAM_API_TABLE[[#This Row],[New_Res_Constr_sqft]],0)</f>
        <v>0</v>
      </c>
      <c r="AQ14">
        <f>IF(LAM_API_TABLE[[#This Row],[New_Res_Constr_Approval_Status]]="Approved",LAM_API_TABLE[[#This Row],[New_Res_SLA_norec_sqft]],0)</f>
        <v>0</v>
      </c>
      <c r="AR14">
        <f>IF(LAM_API_TABLE[[#This Row],[New_Res_Constr_Approval_Status]]="Approved",LAM_API_TABLE[[#This Row],[New_Res_SLA_rec_sqft]],0)</f>
        <v>0</v>
      </c>
      <c r="AS14">
        <f>IF(LAM_API_TABLE[[#This Row],[Existing_Res_SLA_Data_Approval_Status]]="Approved",LAM_API_TABLE[[#This Row],[Existing_Res_SLA_norec_sqft]],0)</f>
        <v>0</v>
      </c>
      <c r="AT14">
        <f>IF(LAM_API_TABLE[[#This Row],[Existing_Res_SLA_Data_Approval_Status]]="Approved",LAM_API_TABLE[[#This Row],[Existing_Res_SLA_rec_sqft]],0)</f>
        <v>0</v>
      </c>
    </row>
    <row r="15" spans="1:48" x14ac:dyDescent="0.25">
      <c r="A15" t="s">
        <v>762</v>
      </c>
      <c r="B15" t="s">
        <v>763</v>
      </c>
      <c r="C15" t="s">
        <v>2689</v>
      </c>
      <c r="D15" t="s">
        <v>2690</v>
      </c>
      <c r="E15">
        <v>2018</v>
      </c>
      <c r="F15">
        <v>2243</v>
      </c>
      <c r="G15">
        <v>107934</v>
      </c>
      <c r="H15">
        <v>40438</v>
      </c>
      <c r="I15">
        <v>6601144</v>
      </c>
      <c r="J15">
        <v>4926893</v>
      </c>
      <c r="K15">
        <v>15273046</v>
      </c>
      <c r="L15">
        <v>7586523</v>
      </c>
      <c r="M15" t="s">
        <v>1859</v>
      </c>
      <c r="AK15">
        <f>IF(LAM_API_TABLE[[#This Row],[Alternative_Data_Approval_Status]]="Approved",LAM_API_TABLE[[#This Row],[HCL_area_sqft_Alternative]],LAM_API_TABLE[[#This Row],[HCL_area_sqft]])</f>
        <v>2243</v>
      </c>
      <c r="AL15">
        <f>IF(LAM_API_TABLE[[#This Row],[Alternative_Data_Approval_Status]]="Approved",LAM_API_TABLE[[#This Row],[Ag_area_sqft_Alternative]],LAM_API_TABLE[[#This Row],[Ag_area_sqft]])</f>
        <v>107934</v>
      </c>
      <c r="AM15">
        <f>IF(LAM_API_TABLE[[#This Row],[Alternative_Data_Approval_Status]]="Approved",LAM_API_TABLE[[#This Row],[Pool_area_sqft_Alternative]],LAM_API_TABLE[[#This Row],[Pool_area_sqft]])</f>
        <v>40438</v>
      </c>
      <c r="AN15">
        <f>IF(LAM_API_TABLE[[#This Row],[Alternative_Data_Approval_Status]]="Approved",LAM_API_TABLE[[#This Row],[Total_II_sqft_Alternative]],LAM_API_TABLE[[#This Row],[Total_II_sqft]])</f>
        <v>6601144</v>
      </c>
      <c r="AO15">
        <f>IF(LAM_API_TABLE[[#This Row],[Alternative_Data_Approval_Status]]="Approved",LAM_API_TABLE[[#This Row],[Total_INI_sqft_Alternative]],LAM_API_TABLE[[#This Row],[Total_INI_sqft]])</f>
        <v>4926893</v>
      </c>
      <c r="AP15">
        <f>IF(LAM_API_TABLE[[#This Row],[New_Res_Constr_Approval_Status]]="Approved",LAM_API_TABLE[[#This Row],[New_Res_Constr_sqft]],0)</f>
        <v>0</v>
      </c>
      <c r="AQ15">
        <f>IF(LAM_API_TABLE[[#This Row],[New_Res_Constr_Approval_Status]]="Approved",LAM_API_TABLE[[#This Row],[New_Res_SLA_norec_sqft]],0)</f>
        <v>0</v>
      </c>
      <c r="AR15">
        <f>IF(LAM_API_TABLE[[#This Row],[New_Res_Constr_Approval_Status]]="Approved",LAM_API_TABLE[[#This Row],[New_Res_SLA_rec_sqft]],0)</f>
        <v>0</v>
      </c>
      <c r="AS15">
        <f>IF(LAM_API_TABLE[[#This Row],[Existing_Res_SLA_Data_Approval_Status]]="Approved",LAM_API_TABLE[[#This Row],[Existing_Res_SLA_norec_sqft]],0)</f>
        <v>0</v>
      </c>
      <c r="AT15">
        <f>IF(LAM_API_TABLE[[#This Row],[Existing_Res_SLA_Data_Approval_Status]]="Approved",LAM_API_TABLE[[#This Row],[Existing_Res_SLA_rec_sqft]],0)</f>
        <v>0</v>
      </c>
    </row>
    <row r="16" spans="1:48" x14ac:dyDescent="0.25">
      <c r="A16" t="s">
        <v>767</v>
      </c>
      <c r="B16" t="s">
        <v>768</v>
      </c>
      <c r="C16" t="s">
        <v>2691</v>
      </c>
      <c r="D16" t="s">
        <v>2692</v>
      </c>
      <c r="E16">
        <v>2018</v>
      </c>
      <c r="F16">
        <v>458065</v>
      </c>
      <c r="G16">
        <v>2458015</v>
      </c>
      <c r="H16">
        <v>228430</v>
      </c>
      <c r="I16">
        <v>22320767</v>
      </c>
      <c r="J16">
        <v>80317194</v>
      </c>
      <c r="K16">
        <v>456572940</v>
      </c>
      <c r="L16">
        <v>38384206</v>
      </c>
      <c r="M16" t="s">
        <v>1859</v>
      </c>
      <c r="AK16">
        <f>IF(LAM_API_TABLE[[#This Row],[Alternative_Data_Approval_Status]]="Approved",LAM_API_TABLE[[#This Row],[HCL_area_sqft_Alternative]],LAM_API_TABLE[[#This Row],[HCL_area_sqft]])</f>
        <v>458065</v>
      </c>
      <c r="AL16">
        <f>IF(LAM_API_TABLE[[#This Row],[Alternative_Data_Approval_Status]]="Approved",LAM_API_TABLE[[#This Row],[Ag_area_sqft_Alternative]],LAM_API_TABLE[[#This Row],[Ag_area_sqft]])</f>
        <v>2458015</v>
      </c>
      <c r="AM16">
        <f>IF(LAM_API_TABLE[[#This Row],[Alternative_Data_Approval_Status]]="Approved",LAM_API_TABLE[[#This Row],[Pool_area_sqft_Alternative]],LAM_API_TABLE[[#This Row],[Pool_area_sqft]])</f>
        <v>228430</v>
      </c>
      <c r="AN16">
        <f>IF(LAM_API_TABLE[[#This Row],[Alternative_Data_Approval_Status]]="Approved",LAM_API_TABLE[[#This Row],[Total_II_sqft_Alternative]],LAM_API_TABLE[[#This Row],[Total_II_sqft]])</f>
        <v>22320767</v>
      </c>
      <c r="AO16">
        <f>IF(LAM_API_TABLE[[#This Row],[Alternative_Data_Approval_Status]]="Approved",LAM_API_TABLE[[#This Row],[Total_INI_sqft_Alternative]],LAM_API_TABLE[[#This Row],[Total_INI_sqft]])</f>
        <v>80317194</v>
      </c>
      <c r="AP16">
        <f>IF(LAM_API_TABLE[[#This Row],[New_Res_Constr_Approval_Status]]="Approved",LAM_API_TABLE[[#This Row],[New_Res_Constr_sqft]],0)</f>
        <v>0</v>
      </c>
      <c r="AQ16">
        <f>IF(LAM_API_TABLE[[#This Row],[New_Res_Constr_Approval_Status]]="Approved",LAM_API_TABLE[[#This Row],[New_Res_SLA_norec_sqft]],0)</f>
        <v>0</v>
      </c>
      <c r="AR16">
        <f>IF(LAM_API_TABLE[[#This Row],[New_Res_Constr_Approval_Status]]="Approved",LAM_API_TABLE[[#This Row],[New_Res_SLA_rec_sqft]],0)</f>
        <v>0</v>
      </c>
      <c r="AS16">
        <f>IF(LAM_API_TABLE[[#This Row],[Existing_Res_SLA_Data_Approval_Status]]="Approved",LAM_API_TABLE[[#This Row],[Existing_Res_SLA_norec_sqft]],0)</f>
        <v>0</v>
      </c>
      <c r="AT16">
        <f>IF(LAM_API_TABLE[[#This Row],[Existing_Res_SLA_Data_Approval_Status]]="Approved",LAM_API_TABLE[[#This Row],[Existing_Res_SLA_rec_sqft]],0)</f>
        <v>0</v>
      </c>
    </row>
    <row r="17" spans="1:46" x14ac:dyDescent="0.25">
      <c r="A17" t="s">
        <v>771</v>
      </c>
      <c r="B17" t="s">
        <v>2693</v>
      </c>
      <c r="C17" t="s">
        <v>2694</v>
      </c>
      <c r="D17" t="s">
        <v>2695</v>
      </c>
      <c r="E17">
        <v>2018</v>
      </c>
      <c r="G17">
        <v>1879325</v>
      </c>
      <c r="H17">
        <v>321047</v>
      </c>
      <c r="I17">
        <v>24307364</v>
      </c>
      <c r="J17">
        <v>10008499</v>
      </c>
      <c r="K17">
        <v>41238872</v>
      </c>
      <c r="L17">
        <v>26309064</v>
      </c>
      <c r="M17" t="s">
        <v>1859</v>
      </c>
      <c r="AK17">
        <f>IF(LAM_API_TABLE[[#This Row],[Alternative_Data_Approval_Status]]="Approved",LAM_API_TABLE[[#This Row],[HCL_area_sqft_Alternative]],LAM_API_TABLE[[#This Row],[HCL_area_sqft]])</f>
        <v>0</v>
      </c>
      <c r="AL17">
        <f>IF(LAM_API_TABLE[[#This Row],[Alternative_Data_Approval_Status]]="Approved",LAM_API_TABLE[[#This Row],[Ag_area_sqft_Alternative]],LAM_API_TABLE[[#This Row],[Ag_area_sqft]])</f>
        <v>1879325</v>
      </c>
      <c r="AM17">
        <f>IF(LAM_API_TABLE[[#This Row],[Alternative_Data_Approval_Status]]="Approved",LAM_API_TABLE[[#This Row],[Pool_area_sqft_Alternative]],LAM_API_TABLE[[#This Row],[Pool_area_sqft]])</f>
        <v>321047</v>
      </c>
      <c r="AN17">
        <f>IF(LAM_API_TABLE[[#This Row],[Alternative_Data_Approval_Status]]="Approved",LAM_API_TABLE[[#This Row],[Total_II_sqft_Alternative]],LAM_API_TABLE[[#This Row],[Total_II_sqft]])</f>
        <v>24307364</v>
      </c>
      <c r="AO17">
        <f>IF(LAM_API_TABLE[[#This Row],[Alternative_Data_Approval_Status]]="Approved",LAM_API_TABLE[[#This Row],[Total_INI_sqft_Alternative]],LAM_API_TABLE[[#This Row],[Total_INI_sqft]])</f>
        <v>10008499</v>
      </c>
      <c r="AP17">
        <f>IF(LAM_API_TABLE[[#This Row],[New_Res_Constr_Approval_Status]]="Approved",LAM_API_TABLE[[#This Row],[New_Res_Constr_sqft]],0)</f>
        <v>0</v>
      </c>
      <c r="AQ17">
        <f>IF(LAM_API_TABLE[[#This Row],[New_Res_Constr_Approval_Status]]="Approved",LAM_API_TABLE[[#This Row],[New_Res_SLA_norec_sqft]],0)</f>
        <v>0</v>
      </c>
      <c r="AR17">
        <f>IF(LAM_API_TABLE[[#This Row],[New_Res_Constr_Approval_Status]]="Approved",LAM_API_TABLE[[#This Row],[New_Res_SLA_rec_sqft]],0)</f>
        <v>0</v>
      </c>
      <c r="AS17">
        <f>IF(LAM_API_TABLE[[#This Row],[Existing_Res_SLA_Data_Approval_Status]]="Approved",LAM_API_TABLE[[#This Row],[Existing_Res_SLA_norec_sqft]],0)</f>
        <v>0</v>
      </c>
      <c r="AT17">
        <f>IF(LAM_API_TABLE[[#This Row],[Existing_Res_SLA_Data_Approval_Status]]="Approved",LAM_API_TABLE[[#This Row],[Existing_Res_SLA_rec_sqft]],0)</f>
        <v>0</v>
      </c>
    </row>
    <row r="18" spans="1:46" x14ac:dyDescent="0.25">
      <c r="A18" t="s">
        <v>776</v>
      </c>
      <c r="B18" t="s">
        <v>2696</v>
      </c>
      <c r="C18" t="s">
        <v>2697</v>
      </c>
      <c r="D18" t="s">
        <v>2698</v>
      </c>
      <c r="E18">
        <v>2018</v>
      </c>
      <c r="H18">
        <v>1054992</v>
      </c>
      <c r="I18">
        <v>37588979</v>
      </c>
      <c r="J18">
        <v>21094424</v>
      </c>
      <c r="K18">
        <v>103175203</v>
      </c>
      <c r="L18">
        <v>41807864</v>
      </c>
      <c r="M18" t="s">
        <v>1859</v>
      </c>
      <c r="AK18">
        <f>IF(LAM_API_TABLE[[#This Row],[Alternative_Data_Approval_Status]]="Approved",LAM_API_TABLE[[#This Row],[HCL_area_sqft_Alternative]],LAM_API_TABLE[[#This Row],[HCL_area_sqft]])</f>
        <v>0</v>
      </c>
      <c r="AL18">
        <f>IF(LAM_API_TABLE[[#This Row],[Alternative_Data_Approval_Status]]="Approved",LAM_API_TABLE[[#This Row],[Ag_area_sqft_Alternative]],LAM_API_TABLE[[#This Row],[Ag_area_sqft]])</f>
        <v>0</v>
      </c>
      <c r="AM18">
        <f>IF(LAM_API_TABLE[[#This Row],[Alternative_Data_Approval_Status]]="Approved",LAM_API_TABLE[[#This Row],[Pool_area_sqft_Alternative]],LAM_API_TABLE[[#This Row],[Pool_area_sqft]])</f>
        <v>1054992</v>
      </c>
      <c r="AN18">
        <f>IF(LAM_API_TABLE[[#This Row],[Alternative_Data_Approval_Status]]="Approved",LAM_API_TABLE[[#This Row],[Total_II_sqft_Alternative]],LAM_API_TABLE[[#This Row],[Total_II_sqft]])</f>
        <v>37588979</v>
      </c>
      <c r="AO18">
        <f>IF(LAM_API_TABLE[[#This Row],[Alternative_Data_Approval_Status]]="Approved",LAM_API_TABLE[[#This Row],[Total_INI_sqft_Alternative]],LAM_API_TABLE[[#This Row],[Total_INI_sqft]])</f>
        <v>21094424</v>
      </c>
      <c r="AP18">
        <f>IF(LAM_API_TABLE[[#This Row],[New_Res_Constr_Approval_Status]]="Approved",LAM_API_TABLE[[#This Row],[New_Res_Constr_sqft]],0)</f>
        <v>0</v>
      </c>
      <c r="AQ18">
        <f>IF(LAM_API_TABLE[[#This Row],[New_Res_Constr_Approval_Status]]="Approved",LAM_API_TABLE[[#This Row],[New_Res_SLA_norec_sqft]],0)</f>
        <v>0</v>
      </c>
      <c r="AR18">
        <f>IF(LAM_API_TABLE[[#This Row],[New_Res_Constr_Approval_Status]]="Approved",LAM_API_TABLE[[#This Row],[New_Res_SLA_rec_sqft]],0)</f>
        <v>0</v>
      </c>
      <c r="AS18">
        <f>IF(LAM_API_TABLE[[#This Row],[Existing_Res_SLA_Data_Approval_Status]]="Approved",LAM_API_TABLE[[#This Row],[Existing_Res_SLA_norec_sqft]],0)</f>
        <v>0</v>
      </c>
      <c r="AT18">
        <f>IF(LAM_API_TABLE[[#This Row],[Existing_Res_SLA_Data_Approval_Status]]="Approved",LAM_API_TABLE[[#This Row],[Existing_Res_SLA_rec_sqft]],0)</f>
        <v>0</v>
      </c>
    </row>
    <row r="19" spans="1:46" x14ac:dyDescent="0.25">
      <c r="A19" t="s">
        <v>780</v>
      </c>
      <c r="B19" t="s">
        <v>781</v>
      </c>
      <c r="C19" t="s">
        <v>2699</v>
      </c>
      <c r="D19" t="s">
        <v>2700</v>
      </c>
      <c r="E19">
        <v>2018</v>
      </c>
      <c r="G19">
        <v>5447691</v>
      </c>
      <c r="H19">
        <v>5120394</v>
      </c>
      <c r="I19">
        <v>163880870</v>
      </c>
      <c r="J19">
        <v>10370350</v>
      </c>
      <c r="K19">
        <v>269763943</v>
      </c>
      <c r="L19">
        <v>165954940</v>
      </c>
      <c r="M19" t="s">
        <v>1859</v>
      </c>
      <c r="AK19">
        <f>IF(LAM_API_TABLE[[#This Row],[Alternative_Data_Approval_Status]]="Approved",LAM_API_TABLE[[#This Row],[HCL_area_sqft_Alternative]],LAM_API_TABLE[[#This Row],[HCL_area_sqft]])</f>
        <v>0</v>
      </c>
      <c r="AL19">
        <f>IF(LAM_API_TABLE[[#This Row],[Alternative_Data_Approval_Status]]="Approved",LAM_API_TABLE[[#This Row],[Ag_area_sqft_Alternative]],LAM_API_TABLE[[#This Row],[Ag_area_sqft]])</f>
        <v>5447691</v>
      </c>
      <c r="AM19">
        <f>IF(LAM_API_TABLE[[#This Row],[Alternative_Data_Approval_Status]]="Approved",LAM_API_TABLE[[#This Row],[Pool_area_sqft_Alternative]],LAM_API_TABLE[[#This Row],[Pool_area_sqft]])</f>
        <v>5120394</v>
      </c>
      <c r="AN19">
        <f>IF(LAM_API_TABLE[[#This Row],[Alternative_Data_Approval_Status]]="Approved",LAM_API_TABLE[[#This Row],[Total_II_sqft_Alternative]],LAM_API_TABLE[[#This Row],[Total_II_sqft]])</f>
        <v>163880870</v>
      </c>
      <c r="AO19">
        <f>IF(LAM_API_TABLE[[#This Row],[Alternative_Data_Approval_Status]]="Approved",LAM_API_TABLE[[#This Row],[Total_INI_sqft_Alternative]],LAM_API_TABLE[[#This Row],[Total_INI_sqft]])</f>
        <v>10370350</v>
      </c>
      <c r="AP19">
        <f>IF(LAM_API_TABLE[[#This Row],[New_Res_Constr_Approval_Status]]="Approved",LAM_API_TABLE[[#This Row],[New_Res_Constr_sqft]],0)</f>
        <v>0</v>
      </c>
      <c r="AQ19">
        <f>IF(LAM_API_TABLE[[#This Row],[New_Res_Constr_Approval_Status]]="Approved",LAM_API_TABLE[[#This Row],[New_Res_SLA_norec_sqft]],0)</f>
        <v>0</v>
      </c>
      <c r="AR19">
        <f>IF(LAM_API_TABLE[[#This Row],[New_Res_Constr_Approval_Status]]="Approved",LAM_API_TABLE[[#This Row],[New_Res_SLA_rec_sqft]],0)</f>
        <v>0</v>
      </c>
      <c r="AS19">
        <f>IF(LAM_API_TABLE[[#This Row],[Existing_Res_SLA_Data_Approval_Status]]="Approved",LAM_API_TABLE[[#This Row],[Existing_Res_SLA_norec_sqft]],0)</f>
        <v>0</v>
      </c>
      <c r="AT19">
        <f>IF(LAM_API_TABLE[[#This Row],[Existing_Res_SLA_Data_Approval_Status]]="Approved",LAM_API_TABLE[[#This Row],[Existing_Res_SLA_rec_sqft]],0)</f>
        <v>0</v>
      </c>
    </row>
    <row r="20" spans="1:46" x14ac:dyDescent="0.25">
      <c r="A20" t="s">
        <v>784</v>
      </c>
      <c r="B20" t="s">
        <v>785</v>
      </c>
      <c r="C20" t="s">
        <v>2701</v>
      </c>
      <c r="D20" t="s">
        <v>2702</v>
      </c>
      <c r="E20">
        <v>2018</v>
      </c>
      <c r="G20">
        <v>52329</v>
      </c>
      <c r="H20">
        <v>174406</v>
      </c>
      <c r="I20">
        <v>12560476</v>
      </c>
      <c r="J20">
        <v>7250613</v>
      </c>
      <c r="K20">
        <v>18934701</v>
      </c>
      <c r="L20">
        <v>14010599</v>
      </c>
      <c r="M20" t="s">
        <v>1859</v>
      </c>
      <c r="AK20">
        <f>IF(LAM_API_TABLE[[#This Row],[Alternative_Data_Approval_Status]]="Approved",LAM_API_TABLE[[#This Row],[HCL_area_sqft_Alternative]],LAM_API_TABLE[[#This Row],[HCL_area_sqft]])</f>
        <v>0</v>
      </c>
      <c r="AL20">
        <f>IF(LAM_API_TABLE[[#This Row],[Alternative_Data_Approval_Status]]="Approved",LAM_API_TABLE[[#This Row],[Ag_area_sqft_Alternative]],LAM_API_TABLE[[#This Row],[Ag_area_sqft]])</f>
        <v>52329</v>
      </c>
      <c r="AM20">
        <f>IF(LAM_API_TABLE[[#This Row],[Alternative_Data_Approval_Status]]="Approved",LAM_API_TABLE[[#This Row],[Pool_area_sqft_Alternative]],LAM_API_TABLE[[#This Row],[Pool_area_sqft]])</f>
        <v>174406</v>
      </c>
      <c r="AN20">
        <f>IF(LAM_API_TABLE[[#This Row],[Alternative_Data_Approval_Status]]="Approved",LAM_API_TABLE[[#This Row],[Total_II_sqft_Alternative]],LAM_API_TABLE[[#This Row],[Total_II_sqft]])</f>
        <v>12560476</v>
      </c>
      <c r="AO20">
        <f>IF(LAM_API_TABLE[[#This Row],[Alternative_Data_Approval_Status]]="Approved",LAM_API_TABLE[[#This Row],[Total_INI_sqft_Alternative]],LAM_API_TABLE[[#This Row],[Total_INI_sqft]])</f>
        <v>7250613</v>
      </c>
      <c r="AP20">
        <f>IF(LAM_API_TABLE[[#This Row],[New_Res_Constr_Approval_Status]]="Approved",LAM_API_TABLE[[#This Row],[New_Res_Constr_sqft]],0)</f>
        <v>0</v>
      </c>
      <c r="AQ20">
        <f>IF(LAM_API_TABLE[[#This Row],[New_Res_Constr_Approval_Status]]="Approved",LAM_API_TABLE[[#This Row],[New_Res_SLA_norec_sqft]],0)</f>
        <v>0</v>
      </c>
      <c r="AR20">
        <f>IF(LAM_API_TABLE[[#This Row],[New_Res_Constr_Approval_Status]]="Approved",LAM_API_TABLE[[#This Row],[New_Res_SLA_rec_sqft]],0)</f>
        <v>0</v>
      </c>
      <c r="AS20">
        <f>IF(LAM_API_TABLE[[#This Row],[Existing_Res_SLA_Data_Approval_Status]]="Approved",LAM_API_TABLE[[#This Row],[Existing_Res_SLA_norec_sqft]],0)</f>
        <v>0</v>
      </c>
      <c r="AT20">
        <f>IF(LAM_API_TABLE[[#This Row],[Existing_Res_SLA_Data_Approval_Status]]="Approved",LAM_API_TABLE[[#This Row],[Existing_Res_SLA_rec_sqft]],0)</f>
        <v>0</v>
      </c>
    </row>
    <row r="21" spans="1:46" x14ac:dyDescent="0.25">
      <c r="A21" t="s">
        <v>789</v>
      </c>
      <c r="B21" t="s">
        <v>2703</v>
      </c>
      <c r="C21" t="s">
        <v>2704</v>
      </c>
      <c r="D21" t="s">
        <v>2705</v>
      </c>
      <c r="E21">
        <v>2018</v>
      </c>
      <c r="F21">
        <v>201846</v>
      </c>
      <c r="G21">
        <v>243775</v>
      </c>
      <c r="H21">
        <v>156667</v>
      </c>
      <c r="I21">
        <v>17290005</v>
      </c>
      <c r="J21">
        <v>17412954</v>
      </c>
      <c r="K21">
        <v>94079152</v>
      </c>
      <c r="L21">
        <v>20772596</v>
      </c>
      <c r="M21" t="s">
        <v>1859</v>
      </c>
      <c r="AK21">
        <f>IF(LAM_API_TABLE[[#This Row],[Alternative_Data_Approval_Status]]="Approved",LAM_API_TABLE[[#This Row],[HCL_area_sqft_Alternative]],LAM_API_TABLE[[#This Row],[HCL_area_sqft]])</f>
        <v>201846</v>
      </c>
      <c r="AL21">
        <f>IF(LAM_API_TABLE[[#This Row],[Alternative_Data_Approval_Status]]="Approved",LAM_API_TABLE[[#This Row],[Ag_area_sqft_Alternative]],LAM_API_TABLE[[#This Row],[Ag_area_sqft]])</f>
        <v>243775</v>
      </c>
      <c r="AM21">
        <f>IF(LAM_API_TABLE[[#This Row],[Alternative_Data_Approval_Status]]="Approved",LAM_API_TABLE[[#This Row],[Pool_area_sqft_Alternative]],LAM_API_TABLE[[#This Row],[Pool_area_sqft]])</f>
        <v>156667</v>
      </c>
      <c r="AN21">
        <f>IF(LAM_API_TABLE[[#This Row],[Alternative_Data_Approval_Status]]="Approved",LAM_API_TABLE[[#This Row],[Total_II_sqft_Alternative]],LAM_API_TABLE[[#This Row],[Total_II_sqft]])</f>
        <v>17290005</v>
      </c>
      <c r="AO21">
        <f>IF(LAM_API_TABLE[[#This Row],[Alternative_Data_Approval_Status]]="Approved",LAM_API_TABLE[[#This Row],[Total_INI_sqft_Alternative]],LAM_API_TABLE[[#This Row],[Total_INI_sqft]])</f>
        <v>17412954</v>
      </c>
      <c r="AP21">
        <f>IF(LAM_API_TABLE[[#This Row],[New_Res_Constr_Approval_Status]]="Approved",LAM_API_TABLE[[#This Row],[New_Res_Constr_sqft]],0)</f>
        <v>0</v>
      </c>
      <c r="AQ21">
        <f>IF(LAM_API_TABLE[[#This Row],[New_Res_Constr_Approval_Status]]="Approved",LAM_API_TABLE[[#This Row],[New_Res_SLA_norec_sqft]],0)</f>
        <v>0</v>
      </c>
      <c r="AR21">
        <f>IF(LAM_API_TABLE[[#This Row],[New_Res_Constr_Approval_Status]]="Approved",LAM_API_TABLE[[#This Row],[New_Res_SLA_rec_sqft]],0)</f>
        <v>0</v>
      </c>
      <c r="AS21">
        <f>IF(LAM_API_TABLE[[#This Row],[Existing_Res_SLA_Data_Approval_Status]]="Approved",LAM_API_TABLE[[#This Row],[Existing_Res_SLA_norec_sqft]],0)</f>
        <v>0</v>
      </c>
      <c r="AT21">
        <f>IF(LAM_API_TABLE[[#This Row],[Existing_Res_SLA_Data_Approval_Status]]="Approved",LAM_API_TABLE[[#This Row],[Existing_Res_SLA_rec_sqft]],0)</f>
        <v>0</v>
      </c>
    </row>
    <row r="22" spans="1:46" x14ac:dyDescent="0.25">
      <c r="A22" t="s">
        <v>794</v>
      </c>
      <c r="B22" t="s">
        <v>795</v>
      </c>
      <c r="AK22">
        <f>IF(LAM_API_TABLE[[#This Row],[Alternative_Data_Approval_Status]]="Approved",LAM_API_TABLE[[#This Row],[HCL_area_sqft_Alternative]],LAM_API_TABLE[[#This Row],[HCL_area_sqft]])</f>
        <v>0</v>
      </c>
      <c r="AL22">
        <f>IF(LAM_API_TABLE[[#This Row],[Alternative_Data_Approval_Status]]="Approved",LAM_API_TABLE[[#This Row],[Ag_area_sqft_Alternative]],LAM_API_TABLE[[#This Row],[Ag_area_sqft]])</f>
        <v>0</v>
      </c>
      <c r="AM22">
        <f>IF(LAM_API_TABLE[[#This Row],[Alternative_Data_Approval_Status]]="Approved",LAM_API_TABLE[[#This Row],[Pool_area_sqft_Alternative]],LAM_API_TABLE[[#This Row],[Pool_area_sqft]])</f>
        <v>0</v>
      </c>
      <c r="AN22">
        <f>IF(LAM_API_TABLE[[#This Row],[Alternative_Data_Approval_Status]]="Approved",LAM_API_TABLE[[#This Row],[Total_II_sqft_Alternative]],LAM_API_TABLE[[#This Row],[Total_II_sqft]])</f>
        <v>0</v>
      </c>
      <c r="AO22">
        <f>IF(LAM_API_TABLE[[#This Row],[Alternative_Data_Approval_Status]]="Approved",LAM_API_TABLE[[#This Row],[Total_INI_sqft_Alternative]],LAM_API_TABLE[[#This Row],[Total_INI_sqft]])</f>
        <v>0</v>
      </c>
      <c r="AP22">
        <f>IF(LAM_API_TABLE[[#This Row],[New_Res_Constr_Approval_Status]]="Approved",LAM_API_TABLE[[#This Row],[New_Res_Constr_sqft]],0)</f>
        <v>0</v>
      </c>
      <c r="AQ22">
        <f>IF(LAM_API_TABLE[[#This Row],[New_Res_Constr_Approval_Status]]="Approved",LAM_API_TABLE[[#This Row],[New_Res_SLA_norec_sqft]],0)</f>
        <v>0</v>
      </c>
      <c r="AR22">
        <f>IF(LAM_API_TABLE[[#This Row],[New_Res_Constr_Approval_Status]]="Approved",LAM_API_TABLE[[#This Row],[New_Res_SLA_rec_sqft]],0)</f>
        <v>0</v>
      </c>
      <c r="AS22">
        <f>IF(LAM_API_TABLE[[#This Row],[Existing_Res_SLA_Data_Approval_Status]]="Approved",LAM_API_TABLE[[#This Row],[Existing_Res_SLA_norec_sqft]],0)</f>
        <v>0</v>
      </c>
      <c r="AT22">
        <f>IF(LAM_API_TABLE[[#This Row],[Existing_Res_SLA_Data_Approval_Status]]="Approved",LAM_API_TABLE[[#This Row],[Existing_Res_SLA_rec_sqft]],0)</f>
        <v>0</v>
      </c>
    </row>
    <row r="23" spans="1:46" x14ac:dyDescent="0.25">
      <c r="A23" t="s">
        <v>798</v>
      </c>
      <c r="B23" t="s">
        <v>799</v>
      </c>
      <c r="C23" t="s">
        <v>2706</v>
      </c>
      <c r="D23" t="s">
        <v>2707</v>
      </c>
      <c r="E23">
        <v>2018</v>
      </c>
      <c r="F23">
        <v>184637</v>
      </c>
      <c r="G23">
        <v>793736</v>
      </c>
      <c r="H23">
        <v>413185</v>
      </c>
      <c r="I23">
        <v>43175416</v>
      </c>
      <c r="J23">
        <v>33607629</v>
      </c>
      <c r="K23">
        <v>129588906</v>
      </c>
      <c r="L23">
        <v>49896942</v>
      </c>
      <c r="M23" t="s">
        <v>1859</v>
      </c>
      <c r="AK23">
        <f>IF(LAM_API_TABLE[[#This Row],[Alternative_Data_Approval_Status]]="Approved",LAM_API_TABLE[[#This Row],[HCL_area_sqft_Alternative]],LAM_API_TABLE[[#This Row],[HCL_area_sqft]])</f>
        <v>184637</v>
      </c>
      <c r="AL23">
        <f>IF(LAM_API_TABLE[[#This Row],[Alternative_Data_Approval_Status]]="Approved",LAM_API_TABLE[[#This Row],[Ag_area_sqft_Alternative]],LAM_API_TABLE[[#This Row],[Ag_area_sqft]])</f>
        <v>793736</v>
      </c>
      <c r="AM23">
        <f>IF(LAM_API_TABLE[[#This Row],[Alternative_Data_Approval_Status]]="Approved",LAM_API_TABLE[[#This Row],[Pool_area_sqft_Alternative]],LAM_API_TABLE[[#This Row],[Pool_area_sqft]])</f>
        <v>413185</v>
      </c>
      <c r="AN23">
        <f>IF(LAM_API_TABLE[[#This Row],[Alternative_Data_Approval_Status]]="Approved",LAM_API_TABLE[[#This Row],[Total_II_sqft_Alternative]],LAM_API_TABLE[[#This Row],[Total_II_sqft]])</f>
        <v>43175416</v>
      </c>
      <c r="AO23">
        <f>IF(LAM_API_TABLE[[#This Row],[Alternative_Data_Approval_Status]]="Approved",LAM_API_TABLE[[#This Row],[Total_INI_sqft_Alternative]],LAM_API_TABLE[[#This Row],[Total_INI_sqft]])</f>
        <v>33607629</v>
      </c>
      <c r="AP23">
        <f>IF(LAM_API_TABLE[[#This Row],[New_Res_Constr_Approval_Status]]="Approved",LAM_API_TABLE[[#This Row],[New_Res_Constr_sqft]],0)</f>
        <v>0</v>
      </c>
      <c r="AQ23">
        <f>IF(LAM_API_TABLE[[#This Row],[New_Res_Constr_Approval_Status]]="Approved",LAM_API_TABLE[[#This Row],[New_Res_SLA_norec_sqft]],0)</f>
        <v>0</v>
      </c>
      <c r="AR23">
        <f>IF(LAM_API_TABLE[[#This Row],[New_Res_Constr_Approval_Status]]="Approved",LAM_API_TABLE[[#This Row],[New_Res_SLA_rec_sqft]],0)</f>
        <v>0</v>
      </c>
      <c r="AS23">
        <f>IF(LAM_API_TABLE[[#This Row],[Existing_Res_SLA_Data_Approval_Status]]="Approved",LAM_API_TABLE[[#This Row],[Existing_Res_SLA_norec_sqft]],0)</f>
        <v>0</v>
      </c>
      <c r="AT23">
        <f>IF(LAM_API_TABLE[[#This Row],[Existing_Res_SLA_Data_Approval_Status]]="Approved",LAM_API_TABLE[[#This Row],[Existing_Res_SLA_rec_sqft]],0)</f>
        <v>0</v>
      </c>
    </row>
    <row r="24" spans="1:46" x14ac:dyDescent="0.25">
      <c r="A24" t="s">
        <v>802</v>
      </c>
      <c r="B24" t="s">
        <v>803</v>
      </c>
      <c r="C24" t="s">
        <v>2708</v>
      </c>
      <c r="D24" t="s">
        <v>2709</v>
      </c>
      <c r="E24">
        <v>2018</v>
      </c>
      <c r="F24">
        <v>616534</v>
      </c>
      <c r="G24">
        <v>29717482</v>
      </c>
      <c r="H24">
        <v>601292</v>
      </c>
      <c r="I24">
        <v>65560050</v>
      </c>
      <c r="J24">
        <v>106723276</v>
      </c>
      <c r="K24">
        <v>652880107</v>
      </c>
      <c r="L24">
        <v>86904705</v>
      </c>
      <c r="M24" t="s">
        <v>1859</v>
      </c>
      <c r="AK24">
        <f>IF(LAM_API_TABLE[[#This Row],[Alternative_Data_Approval_Status]]="Approved",LAM_API_TABLE[[#This Row],[HCL_area_sqft_Alternative]],LAM_API_TABLE[[#This Row],[HCL_area_sqft]])</f>
        <v>616534</v>
      </c>
      <c r="AL24">
        <f>IF(LAM_API_TABLE[[#This Row],[Alternative_Data_Approval_Status]]="Approved",LAM_API_TABLE[[#This Row],[Ag_area_sqft_Alternative]],LAM_API_TABLE[[#This Row],[Ag_area_sqft]])</f>
        <v>29717482</v>
      </c>
      <c r="AM24">
        <f>IF(LAM_API_TABLE[[#This Row],[Alternative_Data_Approval_Status]]="Approved",LAM_API_TABLE[[#This Row],[Pool_area_sqft_Alternative]],LAM_API_TABLE[[#This Row],[Pool_area_sqft]])</f>
        <v>601292</v>
      </c>
      <c r="AN24">
        <f>IF(LAM_API_TABLE[[#This Row],[Alternative_Data_Approval_Status]]="Approved",LAM_API_TABLE[[#This Row],[Total_II_sqft_Alternative]],LAM_API_TABLE[[#This Row],[Total_II_sqft]])</f>
        <v>65560050</v>
      </c>
      <c r="AO24">
        <f>IF(LAM_API_TABLE[[#This Row],[Alternative_Data_Approval_Status]]="Approved",LAM_API_TABLE[[#This Row],[Total_INI_sqft_Alternative]],LAM_API_TABLE[[#This Row],[Total_INI_sqft]])</f>
        <v>106723276</v>
      </c>
      <c r="AP24">
        <f>IF(LAM_API_TABLE[[#This Row],[New_Res_Constr_Approval_Status]]="Approved",LAM_API_TABLE[[#This Row],[New_Res_Constr_sqft]],0)</f>
        <v>0</v>
      </c>
      <c r="AQ24">
        <f>IF(LAM_API_TABLE[[#This Row],[New_Res_Constr_Approval_Status]]="Approved",LAM_API_TABLE[[#This Row],[New_Res_SLA_norec_sqft]],0)</f>
        <v>0</v>
      </c>
      <c r="AR24">
        <f>IF(LAM_API_TABLE[[#This Row],[New_Res_Constr_Approval_Status]]="Approved",LAM_API_TABLE[[#This Row],[New_Res_SLA_rec_sqft]],0)</f>
        <v>0</v>
      </c>
      <c r="AS24">
        <f>IF(LAM_API_TABLE[[#This Row],[Existing_Res_SLA_Data_Approval_Status]]="Approved",LAM_API_TABLE[[#This Row],[Existing_Res_SLA_norec_sqft]],0)</f>
        <v>0</v>
      </c>
      <c r="AT24">
        <f>IF(LAM_API_TABLE[[#This Row],[Existing_Res_SLA_Data_Approval_Status]]="Approved",LAM_API_TABLE[[#This Row],[Existing_Res_SLA_rec_sqft]],0)</f>
        <v>0</v>
      </c>
    </row>
    <row r="25" spans="1:46" x14ac:dyDescent="0.25">
      <c r="A25" t="s">
        <v>806</v>
      </c>
      <c r="B25" t="s">
        <v>2710</v>
      </c>
      <c r="C25" t="s">
        <v>695</v>
      </c>
      <c r="D25" t="s">
        <v>2711</v>
      </c>
      <c r="E25">
        <v>2018</v>
      </c>
      <c r="F25">
        <v>26770</v>
      </c>
      <c r="H25">
        <v>200277</v>
      </c>
      <c r="I25">
        <v>11226200</v>
      </c>
      <c r="J25">
        <v>4946717</v>
      </c>
      <c r="K25">
        <v>37332195</v>
      </c>
      <c r="L25">
        <v>12215543</v>
      </c>
      <c r="M25" t="s">
        <v>1859</v>
      </c>
      <c r="AK25">
        <f>IF(LAM_API_TABLE[[#This Row],[Alternative_Data_Approval_Status]]="Approved",LAM_API_TABLE[[#This Row],[HCL_area_sqft_Alternative]],LAM_API_TABLE[[#This Row],[HCL_area_sqft]])</f>
        <v>26770</v>
      </c>
      <c r="AL25">
        <f>IF(LAM_API_TABLE[[#This Row],[Alternative_Data_Approval_Status]]="Approved",LAM_API_TABLE[[#This Row],[Ag_area_sqft_Alternative]],LAM_API_TABLE[[#This Row],[Ag_area_sqft]])</f>
        <v>0</v>
      </c>
      <c r="AM25">
        <f>IF(LAM_API_TABLE[[#This Row],[Alternative_Data_Approval_Status]]="Approved",LAM_API_TABLE[[#This Row],[Pool_area_sqft_Alternative]],LAM_API_TABLE[[#This Row],[Pool_area_sqft]])</f>
        <v>200277</v>
      </c>
      <c r="AN25">
        <f>IF(LAM_API_TABLE[[#This Row],[Alternative_Data_Approval_Status]]="Approved",LAM_API_TABLE[[#This Row],[Total_II_sqft_Alternative]],LAM_API_TABLE[[#This Row],[Total_II_sqft]])</f>
        <v>11226200</v>
      </c>
      <c r="AO25">
        <f>IF(LAM_API_TABLE[[#This Row],[Alternative_Data_Approval_Status]]="Approved",LAM_API_TABLE[[#This Row],[Total_INI_sqft_Alternative]],LAM_API_TABLE[[#This Row],[Total_INI_sqft]])</f>
        <v>4946717</v>
      </c>
      <c r="AP25">
        <f>IF(LAM_API_TABLE[[#This Row],[New_Res_Constr_Approval_Status]]="Approved",LAM_API_TABLE[[#This Row],[New_Res_Constr_sqft]],0)</f>
        <v>0</v>
      </c>
      <c r="AQ25">
        <f>IF(LAM_API_TABLE[[#This Row],[New_Res_Constr_Approval_Status]]="Approved",LAM_API_TABLE[[#This Row],[New_Res_SLA_norec_sqft]],0)</f>
        <v>0</v>
      </c>
      <c r="AR25">
        <f>IF(LAM_API_TABLE[[#This Row],[New_Res_Constr_Approval_Status]]="Approved",LAM_API_TABLE[[#This Row],[New_Res_SLA_rec_sqft]],0)</f>
        <v>0</v>
      </c>
      <c r="AS25">
        <f>IF(LAM_API_TABLE[[#This Row],[Existing_Res_SLA_Data_Approval_Status]]="Approved",LAM_API_TABLE[[#This Row],[Existing_Res_SLA_norec_sqft]],0)</f>
        <v>0</v>
      </c>
      <c r="AT25">
        <f>IF(LAM_API_TABLE[[#This Row],[Existing_Res_SLA_Data_Approval_Status]]="Approved",LAM_API_TABLE[[#This Row],[Existing_Res_SLA_rec_sqft]],0)</f>
        <v>0</v>
      </c>
    </row>
    <row r="26" spans="1:46" x14ac:dyDescent="0.25">
      <c r="A26" t="s">
        <v>810</v>
      </c>
      <c r="B26" t="s">
        <v>811</v>
      </c>
      <c r="C26" t="s">
        <v>2712</v>
      </c>
      <c r="D26" t="s">
        <v>2713</v>
      </c>
      <c r="E26">
        <v>2018</v>
      </c>
      <c r="H26">
        <v>86802</v>
      </c>
      <c r="I26">
        <v>27483096</v>
      </c>
      <c r="J26">
        <v>8297134</v>
      </c>
      <c r="K26">
        <v>39479662</v>
      </c>
      <c r="L26">
        <v>29142523</v>
      </c>
      <c r="M26" t="s">
        <v>1859</v>
      </c>
      <c r="AK26">
        <f>IF(LAM_API_TABLE[[#This Row],[Alternative_Data_Approval_Status]]="Approved",LAM_API_TABLE[[#This Row],[HCL_area_sqft_Alternative]],LAM_API_TABLE[[#This Row],[HCL_area_sqft]])</f>
        <v>0</v>
      </c>
      <c r="AL26">
        <f>IF(LAM_API_TABLE[[#This Row],[Alternative_Data_Approval_Status]]="Approved",LAM_API_TABLE[[#This Row],[Ag_area_sqft_Alternative]],LAM_API_TABLE[[#This Row],[Ag_area_sqft]])</f>
        <v>0</v>
      </c>
      <c r="AM26">
        <f>IF(LAM_API_TABLE[[#This Row],[Alternative_Data_Approval_Status]]="Approved",LAM_API_TABLE[[#This Row],[Pool_area_sqft_Alternative]],LAM_API_TABLE[[#This Row],[Pool_area_sqft]])</f>
        <v>86802</v>
      </c>
      <c r="AN26">
        <f>IF(LAM_API_TABLE[[#This Row],[Alternative_Data_Approval_Status]]="Approved",LAM_API_TABLE[[#This Row],[Total_II_sqft_Alternative]],LAM_API_TABLE[[#This Row],[Total_II_sqft]])</f>
        <v>27483096</v>
      </c>
      <c r="AO26">
        <f>IF(LAM_API_TABLE[[#This Row],[Alternative_Data_Approval_Status]]="Approved",LAM_API_TABLE[[#This Row],[Total_INI_sqft_Alternative]],LAM_API_TABLE[[#This Row],[Total_INI_sqft]])</f>
        <v>8297134</v>
      </c>
      <c r="AP26">
        <f>IF(LAM_API_TABLE[[#This Row],[New_Res_Constr_Approval_Status]]="Approved",LAM_API_TABLE[[#This Row],[New_Res_Constr_sqft]],0)</f>
        <v>0</v>
      </c>
      <c r="AQ26">
        <f>IF(LAM_API_TABLE[[#This Row],[New_Res_Constr_Approval_Status]]="Approved",LAM_API_TABLE[[#This Row],[New_Res_SLA_norec_sqft]],0)</f>
        <v>0</v>
      </c>
      <c r="AR26">
        <f>IF(LAM_API_TABLE[[#This Row],[New_Res_Constr_Approval_Status]]="Approved",LAM_API_TABLE[[#This Row],[New_Res_SLA_rec_sqft]],0)</f>
        <v>0</v>
      </c>
      <c r="AS26">
        <f>IF(LAM_API_TABLE[[#This Row],[Existing_Res_SLA_Data_Approval_Status]]="Approved",LAM_API_TABLE[[#This Row],[Existing_Res_SLA_norec_sqft]],0)</f>
        <v>0</v>
      </c>
      <c r="AT26">
        <f>IF(LAM_API_TABLE[[#This Row],[Existing_Res_SLA_Data_Approval_Status]]="Approved",LAM_API_TABLE[[#This Row],[Existing_Res_SLA_rec_sqft]],0)</f>
        <v>0</v>
      </c>
    </row>
    <row r="27" spans="1:46" x14ac:dyDescent="0.25">
      <c r="A27" t="s">
        <v>815</v>
      </c>
      <c r="B27" t="s">
        <v>816</v>
      </c>
      <c r="C27" t="s">
        <v>699</v>
      </c>
      <c r="D27" t="s">
        <v>2714</v>
      </c>
      <c r="E27">
        <v>2018</v>
      </c>
      <c r="H27">
        <v>1461284</v>
      </c>
      <c r="I27">
        <v>45146293</v>
      </c>
      <c r="J27">
        <v>5034624</v>
      </c>
      <c r="K27">
        <v>58768707</v>
      </c>
      <c r="L27">
        <v>46153218</v>
      </c>
      <c r="M27" t="s">
        <v>1859</v>
      </c>
      <c r="AK27">
        <f>IF(LAM_API_TABLE[[#This Row],[Alternative_Data_Approval_Status]]="Approved",LAM_API_TABLE[[#This Row],[HCL_area_sqft_Alternative]],LAM_API_TABLE[[#This Row],[HCL_area_sqft]])</f>
        <v>0</v>
      </c>
      <c r="AL27">
        <f>IF(LAM_API_TABLE[[#This Row],[Alternative_Data_Approval_Status]]="Approved",LAM_API_TABLE[[#This Row],[Ag_area_sqft_Alternative]],LAM_API_TABLE[[#This Row],[Ag_area_sqft]])</f>
        <v>0</v>
      </c>
      <c r="AM27">
        <f>IF(LAM_API_TABLE[[#This Row],[Alternative_Data_Approval_Status]]="Approved",LAM_API_TABLE[[#This Row],[Pool_area_sqft_Alternative]],LAM_API_TABLE[[#This Row],[Pool_area_sqft]])</f>
        <v>1461284</v>
      </c>
      <c r="AN27">
        <f>IF(LAM_API_TABLE[[#This Row],[Alternative_Data_Approval_Status]]="Approved",LAM_API_TABLE[[#This Row],[Total_II_sqft_Alternative]],LAM_API_TABLE[[#This Row],[Total_II_sqft]])</f>
        <v>45146293</v>
      </c>
      <c r="AO27">
        <f>IF(LAM_API_TABLE[[#This Row],[Alternative_Data_Approval_Status]]="Approved",LAM_API_TABLE[[#This Row],[Total_INI_sqft_Alternative]],LAM_API_TABLE[[#This Row],[Total_INI_sqft]])</f>
        <v>5034624</v>
      </c>
      <c r="AP27">
        <f>IF(LAM_API_TABLE[[#This Row],[New_Res_Constr_Approval_Status]]="Approved",LAM_API_TABLE[[#This Row],[New_Res_Constr_sqft]],0)</f>
        <v>0</v>
      </c>
      <c r="AQ27">
        <f>IF(LAM_API_TABLE[[#This Row],[New_Res_Constr_Approval_Status]]="Approved",LAM_API_TABLE[[#This Row],[New_Res_SLA_norec_sqft]],0)</f>
        <v>0</v>
      </c>
      <c r="AR27">
        <f>IF(LAM_API_TABLE[[#This Row],[New_Res_Constr_Approval_Status]]="Approved",LAM_API_TABLE[[#This Row],[New_Res_SLA_rec_sqft]],0)</f>
        <v>0</v>
      </c>
      <c r="AS27">
        <f>IF(LAM_API_TABLE[[#This Row],[Existing_Res_SLA_Data_Approval_Status]]="Approved",LAM_API_TABLE[[#This Row],[Existing_Res_SLA_norec_sqft]],0)</f>
        <v>0</v>
      </c>
      <c r="AT27">
        <f>IF(LAM_API_TABLE[[#This Row],[Existing_Res_SLA_Data_Approval_Status]]="Approved",LAM_API_TABLE[[#This Row],[Existing_Res_SLA_rec_sqft]],0)</f>
        <v>0</v>
      </c>
    </row>
    <row r="28" spans="1:46" x14ac:dyDescent="0.25">
      <c r="A28" t="s">
        <v>819</v>
      </c>
      <c r="B28" t="s">
        <v>2715</v>
      </c>
      <c r="C28" t="s">
        <v>2716</v>
      </c>
      <c r="D28" t="s">
        <v>2717</v>
      </c>
      <c r="E28">
        <v>2018</v>
      </c>
      <c r="F28">
        <v>83430</v>
      </c>
      <c r="G28">
        <v>106668</v>
      </c>
      <c r="H28">
        <v>1587</v>
      </c>
      <c r="I28">
        <v>2562669</v>
      </c>
      <c r="J28">
        <v>4934576</v>
      </c>
      <c r="K28">
        <v>80270910</v>
      </c>
      <c r="L28">
        <v>3549584</v>
      </c>
      <c r="M28" t="s">
        <v>1859</v>
      </c>
      <c r="AK28">
        <f>IF(LAM_API_TABLE[[#This Row],[Alternative_Data_Approval_Status]]="Approved",LAM_API_TABLE[[#This Row],[HCL_area_sqft_Alternative]],LAM_API_TABLE[[#This Row],[HCL_area_sqft]])</f>
        <v>83430</v>
      </c>
      <c r="AL28">
        <f>IF(LAM_API_TABLE[[#This Row],[Alternative_Data_Approval_Status]]="Approved",LAM_API_TABLE[[#This Row],[Ag_area_sqft_Alternative]],LAM_API_TABLE[[#This Row],[Ag_area_sqft]])</f>
        <v>106668</v>
      </c>
      <c r="AM28">
        <f>IF(LAM_API_TABLE[[#This Row],[Alternative_Data_Approval_Status]]="Approved",LAM_API_TABLE[[#This Row],[Pool_area_sqft_Alternative]],LAM_API_TABLE[[#This Row],[Pool_area_sqft]])</f>
        <v>1587</v>
      </c>
      <c r="AN28">
        <f>IF(LAM_API_TABLE[[#This Row],[Alternative_Data_Approval_Status]]="Approved",LAM_API_TABLE[[#This Row],[Total_II_sqft_Alternative]],LAM_API_TABLE[[#This Row],[Total_II_sqft]])</f>
        <v>2562669</v>
      </c>
      <c r="AO28">
        <f>IF(LAM_API_TABLE[[#This Row],[Alternative_Data_Approval_Status]]="Approved",LAM_API_TABLE[[#This Row],[Total_INI_sqft_Alternative]],LAM_API_TABLE[[#This Row],[Total_INI_sqft]])</f>
        <v>4934576</v>
      </c>
      <c r="AP28">
        <f>IF(LAM_API_TABLE[[#This Row],[New_Res_Constr_Approval_Status]]="Approved",LAM_API_TABLE[[#This Row],[New_Res_Constr_sqft]],0)</f>
        <v>0</v>
      </c>
      <c r="AQ28">
        <f>IF(LAM_API_TABLE[[#This Row],[New_Res_Constr_Approval_Status]]="Approved",LAM_API_TABLE[[#This Row],[New_Res_SLA_norec_sqft]],0)</f>
        <v>0</v>
      </c>
      <c r="AR28">
        <f>IF(LAM_API_TABLE[[#This Row],[New_Res_Constr_Approval_Status]]="Approved",LAM_API_TABLE[[#This Row],[New_Res_SLA_rec_sqft]],0)</f>
        <v>0</v>
      </c>
      <c r="AS28">
        <f>IF(LAM_API_TABLE[[#This Row],[Existing_Res_SLA_Data_Approval_Status]]="Approved",LAM_API_TABLE[[#This Row],[Existing_Res_SLA_norec_sqft]],0)</f>
        <v>0</v>
      </c>
      <c r="AT28">
        <f>IF(LAM_API_TABLE[[#This Row],[Existing_Res_SLA_Data_Approval_Status]]="Approved",LAM_API_TABLE[[#This Row],[Existing_Res_SLA_rec_sqft]],0)</f>
        <v>0</v>
      </c>
    </row>
    <row r="29" spans="1:46" x14ac:dyDescent="0.25">
      <c r="A29" t="s">
        <v>823</v>
      </c>
      <c r="B29" t="s">
        <v>824</v>
      </c>
      <c r="C29" t="s">
        <v>2718</v>
      </c>
      <c r="D29" t="s">
        <v>2719</v>
      </c>
      <c r="E29">
        <v>2018</v>
      </c>
      <c r="H29">
        <v>3542</v>
      </c>
      <c r="I29">
        <v>5931518</v>
      </c>
      <c r="J29">
        <v>17074918</v>
      </c>
      <c r="K29">
        <v>114902381</v>
      </c>
      <c r="L29">
        <v>9346502</v>
      </c>
      <c r="M29" t="s">
        <v>1859</v>
      </c>
      <c r="AK29">
        <f>IF(LAM_API_TABLE[[#This Row],[Alternative_Data_Approval_Status]]="Approved",LAM_API_TABLE[[#This Row],[HCL_area_sqft_Alternative]],LAM_API_TABLE[[#This Row],[HCL_area_sqft]])</f>
        <v>0</v>
      </c>
      <c r="AL29">
        <f>IF(LAM_API_TABLE[[#This Row],[Alternative_Data_Approval_Status]]="Approved",LAM_API_TABLE[[#This Row],[Ag_area_sqft_Alternative]],LAM_API_TABLE[[#This Row],[Ag_area_sqft]])</f>
        <v>0</v>
      </c>
      <c r="AM29">
        <f>IF(LAM_API_TABLE[[#This Row],[Alternative_Data_Approval_Status]]="Approved",LAM_API_TABLE[[#This Row],[Pool_area_sqft_Alternative]],LAM_API_TABLE[[#This Row],[Pool_area_sqft]])</f>
        <v>3542</v>
      </c>
      <c r="AN29">
        <f>IF(LAM_API_TABLE[[#This Row],[Alternative_Data_Approval_Status]]="Approved",LAM_API_TABLE[[#This Row],[Total_II_sqft_Alternative]],LAM_API_TABLE[[#This Row],[Total_II_sqft]])</f>
        <v>5931518</v>
      </c>
      <c r="AO29">
        <f>IF(LAM_API_TABLE[[#This Row],[Alternative_Data_Approval_Status]]="Approved",LAM_API_TABLE[[#This Row],[Total_INI_sqft_Alternative]],LAM_API_TABLE[[#This Row],[Total_INI_sqft]])</f>
        <v>17074918</v>
      </c>
      <c r="AP29">
        <f>IF(LAM_API_TABLE[[#This Row],[New_Res_Constr_Approval_Status]]="Approved",LAM_API_TABLE[[#This Row],[New_Res_Constr_sqft]],0)</f>
        <v>0</v>
      </c>
      <c r="AQ29">
        <f>IF(LAM_API_TABLE[[#This Row],[New_Res_Constr_Approval_Status]]="Approved",LAM_API_TABLE[[#This Row],[New_Res_SLA_norec_sqft]],0)</f>
        <v>0</v>
      </c>
      <c r="AR29">
        <f>IF(LAM_API_TABLE[[#This Row],[New_Res_Constr_Approval_Status]]="Approved",LAM_API_TABLE[[#This Row],[New_Res_SLA_rec_sqft]],0)</f>
        <v>0</v>
      </c>
      <c r="AS29">
        <f>IF(LAM_API_TABLE[[#This Row],[Existing_Res_SLA_Data_Approval_Status]]="Approved",LAM_API_TABLE[[#This Row],[Existing_Res_SLA_norec_sqft]],0)</f>
        <v>0</v>
      </c>
      <c r="AT29">
        <f>IF(LAM_API_TABLE[[#This Row],[Existing_Res_SLA_Data_Approval_Status]]="Approved",LAM_API_TABLE[[#This Row],[Existing_Res_SLA_rec_sqft]],0)</f>
        <v>0</v>
      </c>
    </row>
    <row r="30" spans="1:46" x14ac:dyDescent="0.25">
      <c r="A30" t="s">
        <v>833</v>
      </c>
      <c r="B30" t="s">
        <v>2720</v>
      </c>
      <c r="C30" t="s">
        <v>2721</v>
      </c>
      <c r="D30" t="s">
        <v>2722</v>
      </c>
      <c r="E30">
        <v>2018</v>
      </c>
      <c r="F30">
        <v>1475</v>
      </c>
      <c r="G30">
        <v>11570848</v>
      </c>
      <c r="H30">
        <v>83293</v>
      </c>
      <c r="I30">
        <v>10766428</v>
      </c>
      <c r="J30">
        <v>8306952</v>
      </c>
      <c r="K30">
        <v>46879979</v>
      </c>
      <c r="L30">
        <v>12427818</v>
      </c>
      <c r="M30" t="s">
        <v>1859</v>
      </c>
      <c r="AK30">
        <f>IF(LAM_API_TABLE[[#This Row],[Alternative_Data_Approval_Status]]="Approved",LAM_API_TABLE[[#This Row],[HCL_area_sqft_Alternative]],LAM_API_TABLE[[#This Row],[HCL_area_sqft]])</f>
        <v>1475</v>
      </c>
      <c r="AL30">
        <f>IF(LAM_API_TABLE[[#This Row],[Alternative_Data_Approval_Status]]="Approved",LAM_API_TABLE[[#This Row],[Ag_area_sqft_Alternative]],LAM_API_TABLE[[#This Row],[Ag_area_sqft]])</f>
        <v>11570848</v>
      </c>
      <c r="AM30">
        <f>IF(LAM_API_TABLE[[#This Row],[Alternative_Data_Approval_Status]]="Approved",LAM_API_TABLE[[#This Row],[Pool_area_sqft_Alternative]],LAM_API_TABLE[[#This Row],[Pool_area_sqft]])</f>
        <v>83293</v>
      </c>
      <c r="AN30">
        <f>IF(LAM_API_TABLE[[#This Row],[Alternative_Data_Approval_Status]]="Approved",LAM_API_TABLE[[#This Row],[Total_II_sqft_Alternative]],LAM_API_TABLE[[#This Row],[Total_II_sqft]])</f>
        <v>10766428</v>
      </c>
      <c r="AO30">
        <f>IF(LAM_API_TABLE[[#This Row],[Alternative_Data_Approval_Status]]="Approved",LAM_API_TABLE[[#This Row],[Total_INI_sqft_Alternative]],LAM_API_TABLE[[#This Row],[Total_INI_sqft]])</f>
        <v>8306952</v>
      </c>
      <c r="AP30">
        <f>IF(LAM_API_TABLE[[#This Row],[New_Res_Constr_Approval_Status]]="Approved",LAM_API_TABLE[[#This Row],[New_Res_Constr_sqft]],0)</f>
        <v>0</v>
      </c>
      <c r="AQ30">
        <f>IF(LAM_API_TABLE[[#This Row],[New_Res_Constr_Approval_Status]]="Approved",LAM_API_TABLE[[#This Row],[New_Res_SLA_norec_sqft]],0)</f>
        <v>0</v>
      </c>
      <c r="AR30">
        <f>IF(LAM_API_TABLE[[#This Row],[New_Res_Constr_Approval_Status]]="Approved",LAM_API_TABLE[[#This Row],[New_Res_SLA_rec_sqft]],0)</f>
        <v>0</v>
      </c>
      <c r="AS30">
        <f>IF(LAM_API_TABLE[[#This Row],[Existing_Res_SLA_Data_Approval_Status]]="Approved",LAM_API_TABLE[[#This Row],[Existing_Res_SLA_norec_sqft]],0)</f>
        <v>0</v>
      </c>
      <c r="AT30">
        <f>IF(LAM_API_TABLE[[#This Row],[Existing_Res_SLA_Data_Approval_Status]]="Approved",LAM_API_TABLE[[#This Row],[Existing_Res_SLA_rec_sqft]],0)</f>
        <v>0</v>
      </c>
    </row>
    <row r="31" spans="1:46" x14ac:dyDescent="0.25">
      <c r="A31" t="s">
        <v>837</v>
      </c>
      <c r="B31" t="s">
        <v>2723</v>
      </c>
      <c r="C31" t="s">
        <v>2724</v>
      </c>
      <c r="D31" t="s">
        <v>2725</v>
      </c>
      <c r="E31">
        <v>2018</v>
      </c>
      <c r="F31">
        <v>3094</v>
      </c>
      <c r="G31">
        <v>184732</v>
      </c>
      <c r="H31">
        <v>231352</v>
      </c>
      <c r="I31">
        <v>14696636</v>
      </c>
      <c r="J31">
        <v>10461014</v>
      </c>
      <c r="K31">
        <v>31451191</v>
      </c>
      <c r="L31">
        <v>16788839</v>
      </c>
      <c r="M31" t="s">
        <v>1859</v>
      </c>
      <c r="AK31">
        <f>IF(LAM_API_TABLE[[#This Row],[Alternative_Data_Approval_Status]]="Approved",LAM_API_TABLE[[#This Row],[HCL_area_sqft_Alternative]],LAM_API_TABLE[[#This Row],[HCL_area_sqft]])</f>
        <v>3094</v>
      </c>
      <c r="AL31">
        <f>IF(LAM_API_TABLE[[#This Row],[Alternative_Data_Approval_Status]]="Approved",LAM_API_TABLE[[#This Row],[Ag_area_sqft_Alternative]],LAM_API_TABLE[[#This Row],[Ag_area_sqft]])</f>
        <v>184732</v>
      </c>
      <c r="AM31">
        <f>IF(LAM_API_TABLE[[#This Row],[Alternative_Data_Approval_Status]]="Approved",LAM_API_TABLE[[#This Row],[Pool_area_sqft_Alternative]],LAM_API_TABLE[[#This Row],[Pool_area_sqft]])</f>
        <v>231352</v>
      </c>
      <c r="AN31">
        <f>IF(LAM_API_TABLE[[#This Row],[Alternative_Data_Approval_Status]]="Approved",LAM_API_TABLE[[#This Row],[Total_II_sqft_Alternative]],LAM_API_TABLE[[#This Row],[Total_II_sqft]])</f>
        <v>14696636</v>
      </c>
      <c r="AO31">
        <f>IF(LAM_API_TABLE[[#This Row],[Alternative_Data_Approval_Status]]="Approved",LAM_API_TABLE[[#This Row],[Total_INI_sqft_Alternative]],LAM_API_TABLE[[#This Row],[Total_INI_sqft]])</f>
        <v>10461014</v>
      </c>
      <c r="AP31">
        <f>IF(LAM_API_TABLE[[#This Row],[New_Res_Constr_Approval_Status]]="Approved",LAM_API_TABLE[[#This Row],[New_Res_Constr_sqft]],0)</f>
        <v>0</v>
      </c>
      <c r="AQ31">
        <f>IF(LAM_API_TABLE[[#This Row],[New_Res_Constr_Approval_Status]]="Approved",LAM_API_TABLE[[#This Row],[New_Res_SLA_norec_sqft]],0)</f>
        <v>0</v>
      </c>
      <c r="AR31">
        <f>IF(LAM_API_TABLE[[#This Row],[New_Res_Constr_Approval_Status]]="Approved",LAM_API_TABLE[[#This Row],[New_Res_SLA_rec_sqft]],0)</f>
        <v>0</v>
      </c>
      <c r="AS31">
        <f>IF(LAM_API_TABLE[[#This Row],[Existing_Res_SLA_Data_Approval_Status]]="Approved",LAM_API_TABLE[[#This Row],[Existing_Res_SLA_norec_sqft]],0)</f>
        <v>0</v>
      </c>
      <c r="AT31">
        <f>IF(LAM_API_TABLE[[#This Row],[Existing_Res_SLA_Data_Approval_Status]]="Approved",LAM_API_TABLE[[#This Row],[Existing_Res_SLA_rec_sqft]],0)</f>
        <v>0</v>
      </c>
    </row>
    <row r="32" spans="1:46" x14ac:dyDescent="0.25">
      <c r="A32" t="s">
        <v>842</v>
      </c>
      <c r="B32" t="s">
        <v>2726</v>
      </c>
      <c r="C32" t="s">
        <v>704</v>
      </c>
      <c r="D32" t="s">
        <v>2727</v>
      </c>
      <c r="E32">
        <v>2018</v>
      </c>
      <c r="F32">
        <v>85448</v>
      </c>
      <c r="H32">
        <v>684414</v>
      </c>
      <c r="I32">
        <v>25266621</v>
      </c>
      <c r="J32">
        <v>5634134</v>
      </c>
      <c r="K32">
        <v>58251762</v>
      </c>
      <c r="L32">
        <v>26393448</v>
      </c>
      <c r="M32" t="s">
        <v>1859</v>
      </c>
      <c r="AK32">
        <f>IF(LAM_API_TABLE[[#This Row],[Alternative_Data_Approval_Status]]="Approved",LAM_API_TABLE[[#This Row],[HCL_area_sqft_Alternative]],LAM_API_TABLE[[#This Row],[HCL_area_sqft]])</f>
        <v>85448</v>
      </c>
      <c r="AL32">
        <f>IF(LAM_API_TABLE[[#This Row],[Alternative_Data_Approval_Status]]="Approved",LAM_API_TABLE[[#This Row],[Ag_area_sqft_Alternative]],LAM_API_TABLE[[#This Row],[Ag_area_sqft]])</f>
        <v>0</v>
      </c>
      <c r="AM32">
        <f>IF(LAM_API_TABLE[[#This Row],[Alternative_Data_Approval_Status]]="Approved",LAM_API_TABLE[[#This Row],[Pool_area_sqft_Alternative]],LAM_API_TABLE[[#This Row],[Pool_area_sqft]])</f>
        <v>684414</v>
      </c>
      <c r="AN32">
        <f>IF(LAM_API_TABLE[[#This Row],[Alternative_Data_Approval_Status]]="Approved",LAM_API_TABLE[[#This Row],[Total_II_sqft_Alternative]],LAM_API_TABLE[[#This Row],[Total_II_sqft]])</f>
        <v>25266621</v>
      </c>
      <c r="AO32">
        <f>IF(LAM_API_TABLE[[#This Row],[Alternative_Data_Approval_Status]]="Approved",LAM_API_TABLE[[#This Row],[Total_INI_sqft_Alternative]],LAM_API_TABLE[[#This Row],[Total_INI_sqft]])</f>
        <v>5634134</v>
      </c>
      <c r="AP32">
        <f>IF(LAM_API_TABLE[[#This Row],[New_Res_Constr_Approval_Status]]="Approved",LAM_API_TABLE[[#This Row],[New_Res_Constr_sqft]],0)</f>
        <v>0</v>
      </c>
      <c r="AQ32">
        <f>IF(LAM_API_TABLE[[#This Row],[New_Res_Constr_Approval_Status]]="Approved",LAM_API_TABLE[[#This Row],[New_Res_SLA_norec_sqft]],0)</f>
        <v>0</v>
      </c>
      <c r="AR32">
        <f>IF(LAM_API_TABLE[[#This Row],[New_Res_Constr_Approval_Status]]="Approved",LAM_API_TABLE[[#This Row],[New_Res_SLA_rec_sqft]],0)</f>
        <v>0</v>
      </c>
      <c r="AS32">
        <f>IF(LAM_API_TABLE[[#This Row],[Existing_Res_SLA_Data_Approval_Status]]="Approved",LAM_API_TABLE[[#This Row],[Existing_Res_SLA_norec_sqft]],0)</f>
        <v>0</v>
      </c>
      <c r="AT32">
        <f>IF(LAM_API_TABLE[[#This Row],[Existing_Res_SLA_Data_Approval_Status]]="Approved",LAM_API_TABLE[[#This Row],[Existing_Res_SLA_rec_sqft]],0)</f>
        <v>0</v>
      </c>
    </row>
    <row r="33" spans="1:46" x14ac:dyDescent="0.25">
      <c r="A33" t="s">
        <v>846</v>
      </c>
      <c r="B33" t="s">
        <v>847</v>
      </c>
      <c r="C33" t="s">
        <v>2728</v>
      </c>
      <c r="D33" t="s">
        <v>2729</v>
      </c>
      <c r="E33">
        <v>2018</v>
      </c>
      <c r="F33">
        <v>12150</v>
      </c>
      <c r="G33">
        <v>1095189</v>
      </c>
      <c r="H33">
        <v>1310531</v>
      </c>
      <c r="I33">
        <v>50144040</v>
      </c>
      <c r="J33">
        <v>15271094</v>
      </c>
      <c r="K33">
        <v>111803669</v>
      </c>
      <c r="L33">
        <v>53198259</v>
      </c>
      <c r="M33" t="s">
        <v>1859</v>
      </c>
      <c r="AK33">
        <f>IF(LAM_API_TABLE[[#This Row],[Alternative_Data_Approval_Status]]="Approved",LAM_API_TABLE[[#This Row],[HCL_area_sqft_Alternative]],LAM_API_TABLE[[#This Row],[HCL_area_sqft]])</f>
        <v>12150</v>
      </c>
      <c r="AL33">
        <f>IF(LAM_API_TABLE[[#This Row],[Alternative_Data_Approval_Status]]="Approved",LAM_API_TABLE[[#This Row],[Ag_area_sqft_Alternative]],LAM_API_TABLE[[#This Row],[Ag_area_sqft]])</f>
        <v>1095189</v>
      </c>
      <c r="AM33">
        <f>IF(LAM_API_TABLE[[#This Row],[Alternative_Data_Approval_Status]]="Approved",LAM_API_TABLE[[#This Row],[Pool_area_sqft_Alternative]],LAM_API_TABLE[[#This Row],[Pool_area_sqft]])</f>
        <v>1310531</v>
      </c>
      <c r="AN33">
        <f>IF(LAM_API_TABLE[[#This Row],[Alternative_Data_Approval_Status]]="Approved",LAM_API_TABLE[[#This Row],[Total_II_sqft_Alternative]],LAM_API_TABLE[[#This Row],[Total_II_sqft]])</f>
        <v>50144040</v>
      </c>
      <c r="AO33">
        <f>IF(LAM_API_TABLE[[#This Row],[Alternative_Data_Approval_Status]]="Approved",LAM_API_TABLE[[#This Row],[Total_INI_sqft_Alternative]],LAM_API_TABLE[[#This Row],[Total_INI_sqft]])</f>
        <v>15271094</v>
      </c>
      <c r="AP33">
        <f>IF(LAM_API_TABLE[[#This Row],[New_Res_Constr_Approval_Status]]="Approved",LAM_API_TABLE[[#This Row],[New_Res_Constr_sqft]],0)</f>
        <v>0</v>
      </c>
      <c r="AQ33">
        <f>IF(LAM_API_TABLE[[#This Row],[New_Res_Constr_Approval_Status]]="Approved",LAM_API_TABLE[[#This Row],[New_Res_SLA_norec_sqft]],0)</f>
        <v>0</v>
      </c>
      <c r="AR33">
        <f>IF(LAM_API_TABLE[[#This Row],[New_Res_Constr_Approval_Status]]="Approved",LAM_API_TABLE[[#This Row],[New_Res_SLA_rec_sqft]],0)</f>
        <v>0</v>
      </c>
      <c r="AS33">
        <f>IF(LAM_API_TABLE[[#This Row],[Existing_Res_SLA_Data_Approval_Status]]="Approved",LAM_API_TABLE[[#This Row],[Existing_Res_SLA_norec_sqft]],0)</f>
        <v>0</v>
      </c>
      <c r="AT33">
        <f>IF(LAM_API_TABLE[[#This Row],[Existing_Res_SLA_Data_Approval_Status]]="Approved",LAM_API_TABLE[[#This Row],[Existing_Res_SLA_rec_sqft]],0)</f>
        <v>0</v>
      </c>
    </row>
    <row r="34" spans="1:46" x14ac:dyDescent="0.25">
      <c r="A34" t="s">
        <v>850</v>
      </c>
      <c r="B34" t="s">
        <v>851</v>
      </c>
      <c r="C34" t="s">
        <v>2730</v>
      </c>
      <c r="D34" t="s">
        <v>2731</v>
      </c>
      <c r="E34">
        <v>2018</v>
      </c>
      <c r="H34">
        <v>801602</v>
      </c>
      <c r="I34">
        <v>25593306</v>
      </c>
      <c r="J34">
        <v>13956564</v>
      </c>
      <c r="K34">
        <v>81095766</v>
      </c>
      <c r="L34">
        <v>28384619</v>
      </c>
      <c r="M34" t="s">
        <v>1859</v>
      </c>
      <c r="AK34">
        <f>IF(LAM_API_TABLE[[#This Row],[Alternative_Data_Approval_Status]]="Approved",LAM_API_TABLE[[#This Row],[HCL_area_sqft_Alternative]],LAM_API_TABLE[[#This Row],[HCL_area_sqft]])</f>
        <v>0</v>
      </c>
      <c r="AL34">
        <f>IF(LAM_API_TABLE[[#This Row],[Alternative_Data_Approval_Status]]="Approved",LAM_API_TABLE[[#This Row],[Ag_area_sqft_Alternative]],LAM_API_TABLE[[#This Row],[Ag_area_sqft]])</f>
        <v>0</v>
      </c>
      <c r="AM34">
        <f>IF(LAM_API_TABLE[[#This Row],[Alternative_Data_Approval_Status]]="Approved",LAM_API_TABLE[[#This Row],[Pool_area_sqft_Alternative]],LAM_API_TABLE[[#This Row],[Pool_area_sqft]])</f>
        <v>801602</v>
      </c>
      <c r="AN34">
        <f>IF(LAM_API_TABLE[[#This Row],[Alternative_Data_Approval_Status]]="Approved",LAM_API_TABLE[[#This Row],[Total_II_sqft_Alternative]],LAM_API_TABLE[[#This Row],[Total_II_sqft]])</f>
        <v>25593306</v>
      </c>
      <c r="AO34">
        <f>IF(LAM_API_TABLE[[#This Row],[Alternative_Data_Approval_Status]]="Approved",LAM_API_TABLE[[#This Row],[Total_INI_sqft_Alternative]],LAM_API_TABLE[[#This Row],[Total_INI_sqft]])</f>
        <v>13956564</v>
      </c>
      <c r="AP34">
        <f>IF(LAM_API_TABLE[[#This Row],[New_Res_Constr_Approval_Status]]="Approved",LAM_API_TABLE[[#This Row],[New_Res_Constr_sqft]],0)</f>
        <v>0</v>
      </c>
      <c r="AQ34">
        <f>IF(LAM_API_TABLE[[#This Row],[New_Res_Constr_Approval_Status]]="Approved",LAM_API_TABLE[[#This Row],[New_Res_SLA_norec_sqft]],0)</f>
        <v>0</v>
      </c>
      <c r="AR34">
        <f>IF(LAM_API_TABLE[[#This Row],[New_Res_Constr_Approval_Status]]="Approved",LAM_API_TABLE[[#This Row],[New_Res_SLA_rec_sqft]],0)</f>
        <v>0</v>
      </c>
      <c r="AS34">
        <f>IF(LAM_API_TABLE[[#This Row],[Existing_Res_SLA_Data_Approval_Status]]="Approved",LAM_API_TABLE[[#This Row],[Existing_Res_SLA_norec_sqft]],0)</f>
        <v>0</v>
      </c>
      <c r="AT34">
        <f>IF(LAM_API_TABLE[[#This Row],[Existing_Res_SLA_Data_Approval_Status]]="Approved",LAM_API_TABLE[[#This Row],[Existing_Res_SLA_rec_sqft]],0)</f>
        <v>0</v>
      </c>
    </row>
    <row r="35" spans="1:46" x14ac:dyDescent="0.25">
      <c r="A35" t="s">
        <v>854</v>
      </c>
      <c r="B35" t="s">
        <v>855</v>
      </c>
      <c r="C35" t="s">
        <v>2732</v>
      </c>
      <c r="D35" t="s">
        <v>2733</v>
      </c>
      <c r="E35">
        <v>2018</v>
      </c>
      <c r="F35">
        <v>10006</v>
      </c>
      <c r="H35">
        <v>1492539</v>
      </c>
      <c r="I35">
        <v>47858217</v>
      </c>
      <c r="J35">
        <v>15792688</v>
      </c>
      <c r="K35">
        <v>109960076</v>
      </c>
      <c r="L35">
        <v>51016755</v>
      </c>
      <c r="M35" t="s">
        <v>1859</v>
      </c>
      <c r="AK35">
        <f>IF(LAM_API_TABLE[[#This Row],[Alternative_Data_Approval_Status]]="Approved",LAM_API_TABLE[[#This Row],[HCL_area_sqft_Alternative]],LAM_API_TABLE[[#This Row],[HCL_area_sqft]])</f>
        <v>10006</v>
      </c>
      <c r="AL35">
        <f>IF(LAM_API_TABLE[[#This Row],[Alternative_Data_Approval_Status]]="Approved",LAM_API_TABLE[[#This Row],[Ag_area_sqft_Alternative]],LAM_API_TABLE[[#This Row],[Ag_area_sqft]])</f>
        <v>0</v>
      </c>
      <c r="AM35">
        <f>IF(LAM_API_TABLE[[#This Row],[Alternative_Data_Approval_Status]]="Approved",LAM_API_TABLE[[#This Row],[Pool_area_sqft_Alternative]],LAM_API_TABLE[[#This Row],[Pool_area_sqft]])</f>
        <v>1492539</v>
      </c>
      <c r="AN35">
        <f>IF(LAM_API_TABLE[[#This Row],[Alternative_Data_Approval_Status]]="Approved",LAM_API_TABLE[[#This Row],[Total_II_sqft_Alternative]],LAM_API_TABLE[[#This Row],[Total_II_sqft]])</f>
        <v>47858217</v>
      </c>
      <c r="AO35">
        <f>IF(LAM_API_TABLE[[#This Row],[Alternative_Data_Approval_Status]]="Approved",LAM_API_TABLE[[#This Row],[Total_INI_sqft_Alternative]],LAM_API_TABLE[[#This Row],[Total_INI_sqft]])</f>
        <v>15792688</v>
      </c>
      <c r="AP35">
        <f>IF(LAM_API_TABLE[[#This Row],[New_Res_Constr_Approval_Status]]="Approved",LAM_API_TABLE[[#This Row],[New_Res_Constr_sqft]],0)</f>
        <v>0</v>
      </c>
      <c r="AQ35">
        <f>IF(LAM_API_TABLE[[#This Row],[New_Res_Constr_Approval_Status]]="Approved",LAM_API_TABLE[[#This Row],[New_Res_SLA_norec_sqft]],0)</f>
        <v>0</v>
      </c>
      <c r="AR35">
        <f>IF(LAM_API_TABLE[[#This Row],[New_Res_Constr_Approval_Status]]="Approved",LAM_API_TABLE[[#This Row],[New_Res_SLA_rec_sqft]],0)</f>
        <v>0</v>
      </c>
      <c r="AS35">
        <f>IF(LAM_API_TABLE[[#This Row],[Existing_Res_SLA_Data_Approval_Status]]="Approved",LAM_API_TABLE[[#This Row],[Existing_Res_SLA_norec_sqft]],0)</f>
        <v>0</v>
      </c>
      <c r="AT35">
        <f>IF(LAM_API_TABLE[[#This Row],[Existing_Res_SLA_Data_Approval_Status]]="Approved",LAM_API_TABLE[[#This Row],[Existing_Res_SLA_rec_sqft]],0)</f>
        <v>0</v>
      </c>
    </row>
    <row r="36" spans="1:46" x14ac:dyDescent="0.25">
      <c r="A36" t="s">
        <v>858</v>
      </c>
      <c r="B36" t="s">
        <v>859</v>
      </c>
      <c r="C36" t="s">
        <v>2734</v>
      </c>
      <c r="D36" t="s">
        <v>2735</v>
      </c>
      <c r="E36">
        <v>2018</v>
      </c>
      <c r="H36">
        <v>133126</v>
      </c>
      <c r="I36">
        <v>22887678</v>
      </c>
      <c r="J36">
        <v>1817875</v>
      </c>
      <c r="K36">
        <v>33413649</v>
      </c>
      <c r="L36">
        <v>23251253</v>
      </c>
      <c r="M36" t="s">
        <v>1859</v>
      </c>
      <c r="AK36">
        <f>IF(LAM_API_TABLE[[#This Row],[Alternative_Data_Approval_Status]]="Approved",LAM_API_TABLE[[#This Row],[HCL_area_sqft_Alternative]],LAM_API_TABLE[[#This Row],[HCL_area_sqft]])</f>
        <v>0</v>
      </c>
      <c r="AL36">
        <f>IF(LAM_API_TABLE[[#This Row],[Alternative_Data_Approval_Status]]="Approved",LAM_API_TABLE[[#This Row],[Ag_area_sqft_Alternative]],LAM_API_TABLE[[#This Row],[Ag_area_sqft]])</f>
        <v>0</v>
      </c>
      <c r="AM36">
        <f>IF(LAM_API_TABLE[[#This Row],[Alternative_Data_Approval_Status]]="Approved",LAM_API_TABLE[[#This Row],[Pool_area_sqft_Alternative]],LAM_API_TABLE[[#This Row],[Pool_area_sqft]])</f>
        <v>133126</v>
      </c>
      <c r="AN36">
        <f>IF(LAM_API_TABLE[[#This Row],[Alternative_Data_Approval_Status]]="Approved",LAM_API_TABLE[[#This Row],[Total_II_sqft_Alternative]],LAM_API_TABLE[[#This Row],[Total_II_sqft]])</f>
        <v>22887678</v>
      </c>
      <c r="AO36">
        <f>IF(LAM_API_TABLE[[#This Row],[Alternative_Data_Approval_Status]]="Approved",LAM_API_TABLE[[#This Row],[Total_INI_sqft_Alternative]],LAM_API_TABLE[[#This Row],[Total_INI_sqft]])</f>
        <v>1817875</v>
      </c>
      <c r="AP36">
        <f>IF(LAM_API_TABLE[[#This Row],[New_Res_Constr_Approval_Status]]="Approved",LAM_API_TABLE[[#This Row],[New_Res_Constr_sqft]],0)</f>
        <v>0</v>
      </c>
      <c r="AQ36">
        <f>IF(LAM_API_TABLE[[#This Row],[New_Res_Constr_Approval_Status]]="Approved",LAM_API_TABLE[[#This Row],[New_Res_SLA_norec_sqft]],0)</f>
        <v>0</v>
      </c>
      <c r="AR36">
        <f>IF(LAM_API_TABLE[[#This Row],[New_Res_Constr_Approval_Status]]="Approved",LAM_API_TABLE[[#This Row],[New_Res_SLA_rec_sqft]],0)</f>
        <v>0</v>
      </c>
      <c r="AS36">
        <f>IF(LAM_API_TABLE[[#This Row],[Existing_Res_SLA_Data_Approval_Status]]="Approved",LAM_API_TABLE[[#This Row],[Existing_Res_SLA_norec_sqft]],0)</f>
        <v>0</v>
      </c>
      <c r="AT36">
        <f>IF(LAM_API_TABLE[[#This Row],[Existing_Res_SLA_Data_Approval_Status]]="Approved",LAM_API_TABLE[[#This Row],[Existing_Res_SLA_rec_sqft]],0)</f>
        <v>0</v>
      </c>
    </row>
    <row r="37" spans="1:46" x14ac:dyDescent="0.25">
      <c r="A37" t="s">
        <v>863</v>
      </c>
      <c r="B37" t="s">
        <v>864</v>
      </c>
      <c r="C37" t="s">
        <v>2736</v>
      </c>
      <c r="D37" t="s">
        <v>2737</v>
      </c>
      <c r="E37">
        <v>2020</v>
      </c>
      <c r="F37">
        <v>184505</v>
      </c>
      <c r="G37">
        <v>2495307</v>
      </c>
      <c r="H37">
        <v>246116</v>
      </c>
      <c r="I37">
        <v>24173701</v>
      </c>
      <c r="J37">
        <v>49461889</v>
      </c>
      <c r="K37">
        <v>503114572</v>
      </c>
      <c r="L37">
        <v>34066079</v>
      </c>
      <c r="M37" t="s">
        <v>1859</v>
      </c>
      <c r="AK37">
        <f>IF(LAM_API_TABLE[[#This Row],[Alternative_Data_Approval_Status]]="Approved",LAM_API_TABLE[[#This Row],[HCL_area_sqft_Alternative]],LAM_API_TABLE[[#This Row],[HCL_area_sqft]])</f>
        <v>184505</v>
      </c>
      <c r="AL37">
        <f>IF(LAM_API_TABLE[[#This Row],[Alternative_Data_Approval_Status]]="Approved",LAM_API_TABLE[[#This Row],[Ag_area_sqft_Alternative]],LAM_API_TABLE[[#This Row],[Ag_area_sqft]])</f>
        <v>2495307</v>
      </c>
      <c r="AM37">
        <f>IF(LAM_API_TABLE[[#This Row],[Alternative_Data_Approval_Status]]="Approved",LAM_API_TABLE[[#This Row],[Pool_area_sqft_Alternative]],LAM_API_TABLE[[#This Row],[Pool_area_sqft]])</f>
        <v>246116</v>
      </c>
      <c r="AN37">
        <f>IF(LAM_API_TABLE[[#This Row],[Alternative_Data_Approval_Status]]="Approved",LAM_API_TABLE[[#This Row],[Total_II_sqft_Alternative]],LAM_API_TABLE[[#This Row],[Total_II_sqft]])</f>
        <v>24173701</v>
      </c>
      <c r="AO37">
        <f>IF(LAM_API_TABLE[[#This Row],[Alternative_Data_Approval_Status]]="Approved",LAM_API_TABLE[[#This Row],[Total_INI_sqft_Alternative]],LAM_API_TABLE[[#This Row],[Total_INI_sqft]])</f>
        <v>49461889</v>
      </c>
      <c r="AP37">
        <f>IF(LAM_API_TABLE[[#This Row],[New_Res_Constr_Approval_Status]]="Approved",LAM_API_TABLE[[#This Row],[New_Res_Constr_sqft]],0)</f>
        <v>0</v>
      </c>
      <c r="AQ37">
        <f>IF(LAM_API_TABLE[[#This Row],[New_Res_Constr_Approval_Status]]="Approved",LAM_API_TABLE[[#This Row],[New_Res_SLA_norec_sqft]],0)</f>
        <v>0</v>
      </c>
      <c r="AR37">
        <f>IF(LAM_API_TABLE[[#This Row],[New_Res_Constr_Approval_Status]]="Approved",LAM_API_TABLE[[#This Row],[New_Res_SLA_rec_sqft]],0)</f>
        <v>0</v>
      </c>
      <c r="AS37">
        <f>IF(LAM_API_TABLE[[#This Row],[Existing_Res_SLA_Data_Approval_Status]]="Approved",LAM_API_TABLE[[#This Row],[Existing_Res_SLA_norec_sqft]],0)</f>
        <v>0</v>
      </c>
      <c r="AT37">
        <f>IF(LAM_API_TABLE[[#This Row],[Existing_Res_SLA_Data_Approval_Status]]="Approved",LAM_API_TABLE[[#This Row],[Existing_Res_SLA_rec_sqft]],0)</f>
        <v>0</v>
      </c>
    </row>
    <row r="38" spans="1:46" x14ac:dyDescent="0.25">
      <c r="A38" t="s">
        <v>878</v>
      </c>
      <c r="B38" t="s">
        <v>2738</v>
      </c>
      <c r="C38" t="s">
        <v>2739</v>
      </c>
      <c r="D38" t="s">
        <v>2740</v>
      </c>
      <c r="E38">
        <v>2018</v>
      </c>
      <c r="G38">
        <v>65339</v>
      </c>
      <c r="H38">
        <v>72777</v>
      </c>
      <c r="I38">
        <v>15240189</v>
      </c>
      <c r="J38">
        <v>10117654</v>
      </c>
      <c r="K38">
        <v>32662572</v>
      </c>
      <c r="L38">
        <v>17263720</v>
      </c>
      <c r="M38" t="s">
        <v>1859</v>
      </c>
      <c r="AK38">
        <f>IF(LAM_API_TABLE[[#This Row],[Alternative_Data_Approval_Status]]="Approved",LAM_API_TABLE[[#This Row],[HCL_area_sqft_Alternative]],LAM_API_TABLE[[#This Row],[HCL_area_sqft]])</f>
        <v>0</v>
      </c>
      <c r="AL38">
        <f>IF(LAM_API_TABLE[[#This Row],[Alternative_Data_Approval_Status]]="Approved",LAM_API_TABLE[[#This Row],[Ag_area_sqft_Alternative]],LAM_API_TABLE[[#This Row],[Ag_area_sqft]])</f>
        <v>65339</v>
      </c>
      <c r="AM38">
        <f>IF(LAM_API_TABLE[[#This Row],[Alternative_Data_Approval_Status]]="Approved",LAM_API_TABLE[[#This Row],[Pool_area_sqft_Alternative]],LAM_API_TABLE[[#This Row],[Pool_area_sqft]])</f>
        <v>72777</v>
      </c>
      <c r="AN38">
        <f>IF(LAM_API_TABLE[[#This Row],[Alternative_Data_Approval_Status]]="Approved",LAM_API_TABLE[[#This Row],[Total_II_sqft_Alternative]],LAM_API_TABLE[[#This Row],[Total_II_sqft]])</f>
        <v>15240189</v>
      </c>
      <c r="AO38">
        <f>IF(LAM_API_TABLE[[#This Row],[Alternative_Data_Approval_Status]]="Approved",LAM_API_TABLE[[#This Row],[Total_INI_sqft_Alternative]],LAM_API_TABLE[[#This Row],[Total_INI_sqft]])</f>
        <v>10117654</v>
      </c>
      <c r="AP38">
        <f>IF(LAM_API_TABLE[[#This Row],[New_Res_Constr_Approval_Status]]="Approved",LAM_API_TABLE[[#This Row],[New_Res_Constr_sqft]],0)</f>
        <v>0</v>
      </c>
      <c r="AQ38">
        <f>IF(LAM_API_TABLE[[#This Row],[New_Res_Constr_Approval_Status]]="Approved",LAM_API_TABLE[[#This Row],[New_Res_SLA_norec_sqft]],0)</f>
        <v>0</v>
      </c>
      <c r="AR38">
        <f>IF(LAM_API_TABLE[[#This Row],[New_Res_Constr_Approval_Status]]="Approved",LAM_API_TABLE[[#This Row],[New_Res_SLA_rec_sqft]],0)</f>
        <v>0</v>
      </c>
      <c r="AS38">
        <f>IF(LAM_API_TABLE[[#This Row],[Existing_Res_SLA_Data_Approval_Status]]="Approved",LAM_API_TABLE[[#This Row],[Existing_Res_SLA_norec_sqft]],0)</f>
        <v>0</v>
      </c>
      <c r="AT38">
        <f>IF(LAM_API_TABLE[[#This Row],[Existing_Res_SLA_Data_Approval_Status]]="Approved",LAM_API_TABLE[[#This Row],[Existing_Res_SLA_rec_sqft]],0)</f>
        <v>0</v>
      </c>
    </row>
    <row r="39" spans="1:46" x14ac:dyDescent="0.25">
      <c r="A39" t="s">
        <v>882</v>
      </c>
      <c r="B39" t="s">
        <v>2741</v>
      </c>
      <c r="C39" t="s">
        <v>2742</v>
      </c>
      <c r="D39" t="s">
        <v>2743</v>
      </c>
      <c r="E39">
        <v>2018</v>
      </c>
      <c r="F39">
        <v>130884</v>
      </c>
      <c r="G39">
        <v>112644</v>
      </c>
      <c r="H39">
        <v>2209755</v>
      </c>
      <c r="I39">
        <v>78212764</v>
      </c>
      <c r="J39">
        <v>45666275</v>
      </c>
      <c r="K39">
        <v>150723445</v>
      </c>
      <c r="L39">
        <v>87346019</v>
      </c>
      <c r="M39" t="s">
        <v>1859</v>
      </c>
      <c r="AK39">
        <f>IF(LAM_API_TABLE[[#This Row],[Alternative_Data_Approval_Status]]="Approved",LAM_API_TABLE[[#This Row],[HCL_area_sqft_Alternative]],LAM_API_TABLE[[#This Row],[HCL_area_sqft]])</f>
        <v>130884</v>
      </c>
      <c r="AL39">
        <f>IF(LAM_API_TABLE[[#This Row],[Alternative_Data_Approval_Status]]="Approved",LAM_API_TABLE[[#This Row],[Ag_area_sqft_Alternative]],LAM_API_TABLE[[#This Row],[Ag_area_sqft]])</f>
        <v>112644</v>
      </c>
      <c r="AM39">
        <f>IF(LAM_API_TABLE[[#This Row],[Alternative_Data_Approval_Status]]="Approved",LAM_API_TABLE[[#This Row],[Pool_area_sqft_Alternative]],LAM_API_TABLE[[#This Row],[Pool_area_sqft]])</f>
        <v>2209755</v>
      </c>
      <c r="AN39">
        <f>IF(LAM_API_TABLE[[#This Row],[Alternative_Data_Approval_Status]]="Approved",LAM_API_TABLE[[#This Row],[Total_II_sqft_Alternative]],LAM_API_TABLE[[#This Row],[Total_II_sqft]])</f>
        <v>78212764</v>
      </c>
      <c r="AO39">
        <f>IF(LAM_API_TABLE[[#This Row],[Alternative_Data_Approval_Status]]="Approved",LAM_API_TABLE[[#This Row],[Total_INI_sqft_Alternative]],LAM_API_TABLE[[#This Row],[Total_INI_sqft]])</f>
        <v>45666275</v>
      </c>
      <c r="AP39">
        <f>IF(LAM_API_TABLE[[#This Row],[New_Res_Constr_Approval_Status]]="Approved",LAM_API_TABLE[[#This Row],[New_Res_Constr_sqft]],0)</f>
        <v>0</v>
      </c>
      <c r="AQ39">
        <f>IF(LAM_API_TABLE[[#This Row],[New_Res_Constr_Approval_Status]]="Approved",LAM_API_TABLE[[#This Row],[New_Res_SLA_norec_sqft]],0)</f>
        <v>0</v>
      </c>
      <c r="AR39">
        <f>IF(LAM_API_TABLE[[#This Row],[New_Res_Constr_Approval_Status]]="Approved",LAM_API_TABLE[[#This Row],[New_Res_SLA_rec_sqft]],0)</f>
        <v>0</v>
      </c>
      <c r="AS39">
        <f>IF(LAM_API_TABLE[[#This Row],[Existing_Res_SLA_Data_Approval_Status]]="Approved",LAM_API_TABLE[[#This Row],[Existing_Res_SLA_norec_sqft]],0)</f>
        <v>0</v>
      </c>
      <c r="AT39">
        <f>IF(LAM_API_TABLE[[#This Row],[Existing_Res_SLA_Data_Approval_Status]]="Approved",LAM_API_TABLE[[#This Row],[Existing_Res_SLA_rec_sqft]],0)</f>
        <v>0</v>
      </c>
    </row>
    <row r="40" spans="1:46" x14ac:dyDescent="0.25">
      <c r="A40" t="s">
        <v>890</v>
      </c>
      <c r="B40" t="s">
        <v>891</v>
      </c>
      <c r="C40" t="s">
        <v>2744</v>
      </c>
      <c r="D40" t="s">
        <v>2745</v>
      </c>
      <c r="E40">
        <v>2018</v>
      </c>
      <c r="F40">
        <v>510531</v>
      </c>
      <c r="G40">
        <v>6783342</v>
      </c>
      <c r="H40">
        <v>233304</v>
      </c>
      <c r="I40">
        <v>102942243</v>
      </c>
      <c r="J40">
        <v>94709865</v>
      </c>
      <c r="K40">
        <v>542759396</v>
      </c>
      <c r="L40">
        <v>121884216</v>
      </c>
      <c r="M40" t="s">
        <v>1859</v>
      </c>
      <c r="AK40">
        <f>IF(LAM_API_TABLE[[#This Row],[Alternative_Data_Approval_Status]]="Approved",LAM_API_TABLE[[#This Row],[HCL_area_sqft_Alternative]],LAM_API_TABLE[[#This Row],[HCL_area_sqft]])</f>
        <v>510531</v>
      </c>
      <c r="AL40">
        <f>IF(LAM_API_TABLE[[#This Row],[Alternative_Data_Approval_Status]]="Approved",LAM_API_TABLE[[#This Row],[Ag_area_sqft_Alternative]],LAM_API_TABLE[[#This Row],[Ag_area_sqft]])</f>
        <v>6783342</v>
      </c>
      <c r="AM40">
        <f>IF(LAM_API_TABLE[[#This Row],[Alternative_Data_Approval_Status]]="Approved",LAM_API_TABLE[[#This Row],[Pool_area_sqft_Alternative]],LAM_API_TABLE[[#This Row],[Pool_area_sqft]])</f>
        <v>233304</v>
      </c>
      <c r="AN40">
        <f>IF(LAM_API_TABLE[[#This Row],[Alternative_Data_Approval_Status]]="Approved",LAM_API_TABLE[[#This Row],[Total_II_sqft_Alternative]],LAM_API_TABLE[[#This Row],[Total_II_sqft]])</f>
        <v>102942243</v>
      </c>
      <c r="AO40">
        <f>IF(LAM_API_TABLE[[#This Row],[Alternative_Data_Approval_Status]]="Approved",LAM_API_TABLE[[#This Row],[Total_INI_sqft_Alternative]],LAM_API_TABLE[[#This Row],[Total_INI_sqft]])</f>
        <v>94709865</v>
      </c>
      <c r="AP40">
        <f>IF(LAM_API_TABLE[[#This Row],[New_Res_Constr_Approval_Status]]="Approved",LAM_API_TABLE[[#This Row],[New_Res_Constr_sqft]],0)</f>
        <v>0</v>
      </c>
      <c r="AQ40">
        <f>IF(LAM_API_TABLE[[#This Row],[New_Res_Constr_Approval_Status]]="Approved",LAM_API_TABLE[[#This Row],[New_Res_SLA_norec_sqft]],0)</f>
        <v>0</v>
      </c>
      <c r="AR40">
        <f>IF(LAM_API_TABLE[[#This Row],[New_Res_Constr_Approval_Status]]="Approved",LAM_API_TABLE[[#This Row],[New_Res_SLA_rec_sqft]],0)</f>
        <v>0</v>
      </c>
      <c r="AS40">
        <f>IF(LAM_API_TABLE[[#This Row],[Existing_Res_SLA_Data_Approval_Status]]="Approved",LAM_API_TABLE[[#This Row],[Existing_Res_SLA_norec_sqft]],0)</f>
        <v>0</v>
      </c>
      <c r="AT40">
        <f>IF(LAM_API_TABLE[[#This Row],[Existing_Res_SLA_Data_Approval_Status]]="Approved",LAM_API_TABLE[[#This Row],[Existing_Res_SLA_rec_sqft]],0)</f>
        <v>0</v>
      </c>
    </row>
    <row r="41" spans="1:46" x14ac:dyDescent="0.25">
      <c r="A41" t="s">
        <v>906</v>
      </c>
      <c r="B41" t="s">
        <v>907</v>
      </c>
      <c r="C41" t="s">
        <v>2746</v>
      </c>
      <c r="D41" t="s">
        <v>2747</v>
      </c>
      <c r="E41">
        <v>2018</v>
      </c>
      <c r="F41">
        <v>296160</v>
      </c>
      <c r="G41">
        <v>31195372</v>
      </c>
      <c r="H41">
        <v>2004547</v>
      </c>
      <c r="I41">
        <v>149542477</v>
      </c>
      <c r="J41">
        <v>106953934</v>
      </c>
      <c r="K41">
        <v>403118718</v>
      </c>
      <c r="L41">
        <v>170933264</v>
      </c>
      <c r="M41" t="s">
        <v>1859</v>
      </c>
      <c r="AK41">
        <f>IF(LAM_API_TABLE[[#This Row],[Alternative_Data_Approval_Status]]="Approved",LAM_API_TABLE[[#This Row],[HCL_area_sqft_Alternative]],LAM_API_TABLE[[#This Row],[HCL_area_sqft]])</f>
        <v>296160</v>
      </c>
      <c r="AL41">
        <f>IF(LAM_API_TABLE[[#This Row],[Alternative_Data_Approval_Status]]="Approved",LAM_API_TABLE[[#This Row],[Ag_area_sqft_Alternative]],LAM_API_TABLE[[#This Row],[Ag_area_sqft]])</f>
        <v>31195372</v>
      </c>
      <c r="AM41">
        <f>IF(LAM_API_TABLE[[#This Row],[Alternative_Data_Approval_Status]]="Approved",LAM_API_TABLE[[#This Row],[Pool_area_sqft_Alternative]],LAM_API_TABLE[[#This Row],[Pool_area_sqft]])</f>
        <v>2004547</v>
      </c>
      <c r="AN41">
        <f>IF(LAM_API_TABLE[[#This Row],[Alternative_Data_Approval_Status]]="Approved",LAM_API_TABLE[[#This Row],[Total_II_sqft_Alternative]],LAM_API_TABLE[[#This Row],[Total_II_sqft]])</f>
        <v>149542477</v>
      </c>
      <c r="AO41">
        <f>IF(LAM_API_TABLE[[#This Row],[Alternative_Data_Approval_Status]]="Approved",LAM_API_TABLE[[#This Row],[Total_INI_sqft_Alternative]],LAM_API_TABLE[[#This Row],[Total_INI_sqft]])</f>
        <v>106953934</v>
      </c>
      <c r="AP41">
        <f>IF(LAM_API_TABLE[[#This Row],[New_Res_Constr_Approval_Status]]="Approved",LAM_API_TABLE[[#This Row],[New_Res_Constr_sqft]],0)</f>
        <v>0</v>
      </c>
      <c r="AQ41">
        <f>IF(LAM_API_TABLE[[#This Row],[New_Res_Constr_Approval_Status]]="Approved",LAM_API_TABLE[[#This Row],[New_Res_SLA_norec_sqft]],0)</f>
        <v>0</v>
      </c>
      <c r="AR41">
        <f>IF(LAM_API_TABLE[[#This Row],[New_Res_Constr_Approval_Status]]="Approved",LAM_API_TABLE[[#This Row],[New_Res_SLA_rec_sqft]],0)</f>
        <v>0</v>
      </c>
      <c r="AS41">
        <f>IF(LAM_API_TABLE[[#This Row],[Existing_Res_SLA_Data_Approval_Status]]="Approved",LAM_API_TABLE[[#This Row],[Existing_Res_SLA_norec_sqft]],0)</f>
        <v>0</v>
      </c>
      <c r="AT41">
        <f>IF(LAM_API_TABLE[[#This Row],[Existing_Res_SLA_Data_Approval_Status]]="Approved",LAM_API_TABLE[[#This Row],[Existing_Res_SLA_rec_sqft]],0)</f>
        <v>0</v>
      </c>
    </row>
    <row r="42" spans="1:46" x14ac:dyDescent="0.25">
      <c r="A42" t="s">
        <v>906</v>
      </c>
      <c r="B42" t="s">
        <v>907</v>
      </c>
      <c r="C42" t="s">
        <v>2748</v>
      </c>
      <c r="D42" t="s">
        <v>2749</v>
      </c>
      <c r="E42">
        <v>2018</v>
      </c>
      <c r="H42">
        <v>66653</v>
      </c>
      <c r="I42">
        <v>11865199</v>
      </c>
      <c r="J42">
        <v>5115645</v>
      </c>
      <c r="K42">
        <v>18997982</v>
      </c>
      <c r="L42">
        <v>12888328</v>
      </c>
      <c r="M42" t="s">
        <v>1859</v>
      </c>
      <c r="AK42">
        <f>IF(LAM_API_TABLE[[#This Row],[Alternative_Data_Approval_Status]]="Approved",LAM_API_TABLE[[#This Row],[HCL_area_sqft_Alternative]],LAM_API_TABLE[[#This Row],[HCL_area_sqft]])</f>
        <v>0</v>
      </c>
      <c r="AL42">
        <f>IF(LAM_API_TABLE[[#This Row],[Alternative_Data_Approval_Status]]="Approved",LAM_API_TABLE[[#This Row],[Ag_area_sqft_Alternative]],LAM_API_TABLE[[#This Row],[Ag_area_sqft]])</f>
        <v>0</v>
      </c>
      <c r="AM42">
        <f>IF(LAM_API_TABLE[[#This Row],[Alternative_Data_Approval_Status]]="Approved",LAM_API_TABLE[[#This Row],[Pool_area_sqft_Alternative]],LAM_API_TABLE[[#This Row],[Pool_area_sqft]])</f>
        <v>66653</v>
      </c>
      <c r="AN42">
        <f>IF(LAM_API_TABLE[[#This Row],[Alternative_Data_Approval_Status]]="Approved",LAM_API_TABLE[[#This Row],[Total_II_sqft_Alternative]],LAM_API_TABLE[[#This Row],[Total_II_sqft]])</f>
        <v>11865199</v>
      </c>
      <c r="AO42">
        <f>IF(LAM_API_TABLE[[#This Row],[Alternative_Data_Approval_Status]]="Approved",LAM_API_TABLE[[#This Row],[Total_INI_sqft_Alternative]],LAM_API_TABLE[[#This Row],[Total_INI_sqft]])</f>
        <v>5115645</v>
      </c>
      <c r="AP42">
        <f>IF(LAM_API_TABLE[[#This Row],[New_Res_Constr_Approval_Status]]="Approved",LAM_API_TABLE[[#This Row],[New_Res_Constr_sqft]],0)</f>
        <v>0</v>
      </c>
      <c r="AQ42">
        <f>IF(LAM_API_TABLE[[#This Row],[New_Res_Constr_Approval_Status]]="Approved",LAM_API_TABLE[[#This Row],[New_Res_SLA_norec_sqft]],0)</f>
        <v>0</v>
      </c>
      <c r="AR42">
        <f>IF(LAM_API_TABLE[[#This Row],[New_Res_Constr_Approval_Status]]="Approved",LAM_API_TABLE[[#This Row],[New_Res_SLA_rec_sqft]],0)</f>
        <v>0</v>
      </c>
      <c r="AS42">
        <f>IF(LAM_API_TABLE[[#This Row],[Existing_Res_SLA_Data_Approval_Status]]="Approved",LAM_API_TABLE[[#This Row],[Existing_Res_SLA_norec_sqft]],0)</f>
        <v>0</v>
      </c>
      <c r="AT42">
        <f>IF(LAM_API_TABLE[[#This Row],[Existing_Res_SLA_Data_Approval_Status]]="Approved",LAM_API_TABLE[[#This Row],[Existing_Res_SLA_rec_sqft]],0)</f>
        <v>0</v>
      </c>
    </row>
    <row r="43" spans="1:46" x14ac:dyDescent="0.25">
      <c r="A43" t="s">
        <v>933</v>
      </c>
      <c r="B43" t="s">
        <v>2750</v>
      </c>
      <c r="C43" t="s">
        <v>2751</v>
      </c>
      <c r="D43" t="s">
        <v>2752</v>
      </c>
      <c r="E43">
        <v>2018</v>
      </c>
      <c r="F43">
        <v>87453</v>
      </c>
      <c r="G43">
        <v>177722</v>
      </c>
      <c r="H43">
        <v>288941</v>
      </c>
      <c r="I43">
        <v>39178445</v>
      </c>
      <c r="J43">
        <v>5091614</v>
      </c>
      <c r="K43">
        <v>111530010</v>
      </c>
      <c r="L43">
        <v>40196768</v>
      </c>
      <c r="M43" t="s">
        <v>1859</v>
      </c>
      <c r="AK43">
        <f>IF(LAM_API_TABLE[[#This Row],[Alternative_Data_Approval_Status]]="Approved",LAM_API_TABLE[[#This Row],[HCL_area_sqft_Alternative]],LAM_API_TABLE[[#This Row],[HCL_area_sqft]])</f>
        <v>87453</v>
      </c>
      <c r="AL43">
        <f>IF(LAM_API_TABLE[[#This Row],[Alternative_Data_Approval_Status]]="Approved",LAM_API_TABLE[[#This Row],[Ag_area_sqft_Alternative]],LAM_API_TABLE[[#This Row],[Ag_area_sqft]])</f>
        <v>177722</v>
      </c>
      <c r="AM43">
        <f>IF(LAM_API_TABLE[[#This Row],[Alternative_Data_Approval_Status]]="Approved",LAM_API_TABLE[[#This Row],[Pool_area_sqft_Alternative]],LAM_API_TABLE[[#This Row],[Pool_area_sqft]])</f>
        <v>288941</v>
      </c>
      <c r="AN43">
        <f>IF(LAM_API_TABLE[[#This Row],[Alternative_Data_Approval_Status]]="Approved",LAM_API_TABLE[[#This Row],[Total_II_sqft_Alternative]],LAM_API_TABLE[[#This Row],[Total_II_sqft]])</f>
        <v>39178445</v>
      </c>
      <c r="AO43">
        <f>IF(LAM_API_TABLE[[#This Row],[Alternative_Data_Approval_Status]]="Approved",LAM_API_TABLE[[#This Row],[Total_INI_sqft_Alternative]],LAM_API_TABLE[[#This Row],[Total_INI_sqft]])</f>
        <v>5091614</v>
      </c>
      <c r="AP43">
        <f>IF(LAM_API_TABLE[[#This Row],[New_Res_Constr_Approval_Status]]="Approved",LAM_API_TABLE[[#This Row],[New_Res_Constr_sqft]],0)</f>
        <v>0</v>
      </c>
      <c r="AQ43">
        <f>IF(LAM_API_TABLE[[#This Row],[New_Res_Constr_Approval_Status]]="Approved",LAM_API_TABLE[[#This Row],[New_Res_SLA_norec_sqft]],0)</f>
        <v>0</v>
      </c>
      <c r="AR43">
        <f>IF(LAM_API_TABLE[[#This Row],[New_Res_Constr_Approval_Status]]="Approved",LAM_API_TABLE[[#This Row],[New_Res_SLA_rec_sqft]],0)</f>
        <v>0</v>
      </c>
      <c r="AS43">
        <f>IF(LAM_API_TABLE[[#This Row],[Existing_Res_SLA_Data_Approval_Status]]="Approved",LAM_API_TABLE[[#This Row],[Existing_Res_SLA_norec_sqft]],0)</f>
        <v>0</v>
      </c>
      <c r="AT43">
        <f>IF(LAM_API_TABLE[[#This Row],[Existing_Res_SLA_Data_Approval_Status]]="Approved",LAM_API_TABLE[[#This Row],[Existing_Res_SLA_rec_sqft]],0)</f>
        <v>0</v>
      </c>
    </row>
    <row r="44" spans="1:46" x14ac:dyDescent="0.25">
      <c r="A44" t="s">
        <v>938</v>
      </c>
      <c r="B44" t="s">
        <v>939</v>
      </c>
      <c r="C44" t="s">
        <v>2753</v>
      </c>
      <c r="D44" t="s">
        <v>2754</v>
      </c>
      <c r="E44">
        <v>2018</v>
      </c>
      <c r="F44">
        <v>25646</v>
      </c>
      <c r="G44">
        <v>433937</v>
      </c>
      <c r="H44">
        <v>2068776</v>
      </c>
      <c r="I44">
        <v>71632676</v>
      </c>
      <c r="J44">
        <v>31288510</v>
      </c>
      <c r="K44">
        <v>120079713</v>
      </c>
      <c r="L44">
        <v>77890378</v>
      </c>
      <c r="M44" t="s">
        <v>1859</v>
      </c>
      <c r="AK44">
        <f>IF(LAM_API_TABLE[[#This Row],[Alternative_Data_Approval_Status]]="Approved",LAM_API_TABLE[[#This Row],[HCL_area_sqft_Alternative]],LAM_API_TABLE[[#This Row],[HCL_area_sqft]])</f>
        <v>25646</v>
      </c>
      <c r="AL44">
        <f>IF(LAM_API_TABLE[[#This Row],[Alternative_Data_Approval_Status]]="Approved",LAM_API_TABLE[[#This Row],[Ag_area_sqft_Alternative]],LAM_API_TABLE[[#This Row],[Ag_area_sqft]])</f>
        <v>433937</v>
      </c>
      <c r="AM44">
        <f>IF(LAM_API_TABLE[[#This Row],[Alternative_Data_Approval_Status]]="Approved",LAM_API_TABLE[[#This Row],[Pool_area_sqft_Alternative]],LAM_API_TABLE[[#This Row],[Pool_area_sqft]])</f>
        <v>2068776</v>
      </c>
      <c r="AN44">
        <f>IF(LAM_API_TABLE[[#This Row],[Alternative_Data_Approval_Status]]="Approved",LAM_API_TABLE[[#This Row],[Total_II_sqft_Alternative]],LAM_API_TABLE[[#This Row],[Total_II_sqft]])</f>
        <v>71632676</v>
      </c>
      <c r="AO44">
        <f>IF(LAM_API_TABLE[[#This Row],[Alternative_Data_Approval_Status]]="Approved",LAM_API_TABLE[[#This Row],[Total_INI_sqft_Alternative]],LAM_API_TABLE[[#This Row],[Total_INI_sqft]])</f>
        <v>31288510</v>
      </c>
      <c r="AP44">
        <f>IF(LAM_API_TABLE[[#This Row],[New_Res_Constr_Approval_Status]]="Approved",LAM_API_TABLE[[#This Row],[New_Res_Constr_sqft]],0)</f>
        <v>0</v>
      </c>
      <c r="AQ44">
        <f>IF(LAM_API_TABLE[[#This Row],[New_Res_Constr_Approval_Status]]="Approved",LAM_API_TABLE[[#This Row],[New_Res_SLA_norec_sqft]],0)</f>
        <v>0</v>
      </c>
      <c r="AR44">
        <f>IF(LAM_API_TABLE[[#This Row],[New_Res_Constr_Approval_Status]]="Approved",LAM_API_TABLE[[#This Row],[New_Res_SLA_rec_sqft]],0)</f>
        <v>0</v>
      </c>
      <c r="AS44">
        <f>IF(LAM_API_TABLE[[#This Row],[Existing_Res_SLA_Data_Approval_Status]]="Approved",LAM_API_TABLE[[#This Row],[Existing_Res_SLA_norec_sqft]],0)</f>
        <v>0</v>
      </c>
      <c r="AT44">
        <f>IF(LAM_API_TABLE[[#This Row],[Existing_Res_SLA_Data_Approval_Status]]="Approved",LAM_API_TABLE[[#This Row],[Existing_Res_SLA_rec_sqft]],0)</f>
        <v>0</v>
      </c>
    </row>
    <row r="45" spans="1:46" x14ac:dyDescent="0.25">
      <c r="A45" t="s">
        <v>945</v>
      </c>
      <c r="B45" t="s">
        <v>2755</v>
      </c>
      <c r="C45" t="s">
        <v>2756</v>
      </c>
      <c r="D45" t="s">
        <v>2757</v>
      </c>
      <c r="E45">
        <v>2018</v>
      </c>
      <c r="F45">
        <v>3421</v>
      </c>
      <c r="H45">
        <v>82459</v>
      </c>
      <c r="I45">
        <v>4452602</v>
      </c>
      <c r="J45">
        <v>19481081</v>
      </c>
      <c r="K45">
        <v>75283667</v>
      </c>
      <c r="L45">
        <v>8348818</v>
      </c>
      <c r="M45" t="s">
        <v>1859</v>
      </c>
      <c r="AK45">
        <f>IF(LAM_API_TABLE[[#This Row],[Alternative_Data_Approval_Status]]="Approved",LAM_API_TABLE[[#This Row],[HCL_area_sqft_Alternative]],LAM_API_TABLE[[#This Row],[HCL_area_sqft]])</f>
        <v>3421</v>
      </c>
      <c r="AL45">
        <f>IF(LAM_API_TABLE[[#This Row],[Alternative_Data_Approval_Status]]="Approved",LAM_API_TABLE[[#This Row],[Ag_area_sqft_Alternative]],LAM_API_TABLE[[#This Row],[Ag_area_sqft]])</f>
        <v>0</v>
      </c>
      <c r="AM45">
        <f>IF(LAM_API_TABLE[[#This Row],[Alternative_Data_Approval_Status]]="Approved",LAM_API_TABLE[[#This Row],[Pool_area_sqft_Alternative]],LAM_API_TABLE[[#This Row],[Pool_area_sqft]])</f>
        <v>82459</v>
      </c>
      <c r="AN45">
        <f>IF(LAM_API_TABLE[[#This Row],[Alternative_Data_Approval_Status]]="Approved",LAM_API_TABLE[[#This Row],[Total_II_sqft_Alternative]],LAM_API_TABLE[[#This Row],[Total_II_sqft]])</f>
        <v>4452602</v>
      </c>
      <c r="AO45">
        <f>IF(LAM_API_TABLE[[#This Row],[Alternative_Data_Approval_Status]]="Approved",LAM_API_TABLE[[#This Row],[Total_INI_sqft_Alternative]],LAM_API_TABLE[[#This Row],[Total_INI_sqft]])</f>
        <v>19481081</v>
      </c>
      <c r="AP45">
        <f>IF(LAM_API_TABLE[[#This Row],[New_Res_Constr_Approval_Status]]="Approved",LAM_API_TABLE[[#This Row],[New_Res_Constr_sqft]],0)</f>
        <v>0</v>
      </c>
      <c r="AQ45">
        <f>IF(LAM_API_TABLE[[#This Row],[New_Res_Constr_Approval_Status]]="Approved",LAM_API_TABLE[[#This Row],[New_Res_SLA_norec_sqft]],0)</f>
        <v>0</v>
      </c>
      <c r="AR45">
        <f>IF(LAM_API_TABLE[[#This Row],[New_Res_Constr_Approval_Status]]="Approved",LAM_API_TABLE[[#This Row],[New_Res_SLA_rec_sqft]],0)</f>
        <v>0</v>
      </c>
      <c r="AS45">
        <f>IF(LAM_API_TABLE[[#This Row],[Existing_Res_SLA_Data_Approval_Status]]="Approved",LAM_API_TABLE[[#This Row],[Existing_Res_SLA_norec_sqft]],0)</f>
        <v>0</v>
      </c>
      <c r="AT45">
        <f>IF(LAM_API_TABLE[[#This Row],[Existing_Res_SLA_Data_Approval_Status]]="Approved",LAM_API_TABLE[[#This Row],[Existing_Res_SLA_rec_sqft]],0)</f>
        <v>0</v>
      </c>
    </row>
    <row r="46" spans="1:46" x14ac:dyDescent="0.25">
      <c r="A46" t="s">
        <v>949</v>
      </c>
      <c r="B46" t="s">
        <v>2758</v>
      </c>
      <c r="C46" t="s">
        <v>2759</v>
      </c>
      <c r="D46" t="s">
        <v>2760</v>
      </c>
      <c r="E46">
        <v>2020</v>
      </c>
      <c r="F46">
        <v>147265</v>
      </c>
      <c r="G46">
        <v>5372522</v>
      </c>
      <c r="H46">
        <v>4272364</v>
      </c>
      <c r="I46">
        <v>173630278</v>
      </c>
      <c r="J46">
        <v>71506934</v>
      </c>
      <c r="K46">
        <v>402942844</v>
      </c>
      <c r="L46">
        <v>187931664</v>
      </c>
      <c r="M46" t="s">
        <v>1859</v>
      </c>
      <c r="AK46">
        <f>IF(LAM_API_TABLE[[#This Row],[Alternative_Data_Approval_Status]]="Approved",LAM_API_TABLE[[#This Row],[HCL_area_sqft_Alternative]],LAM_API_TABLE[[#This Row],[HCL_area_sqft]])</f>
        <v>147265</v>
      </c>
      <c r="AL46">
        <f>IF(LAM_API_TABLE[[#This Row],[Alternative_Data_Approval_Status]]="Approved",LAM_API_TABLE[[#This Row],[Ag_area_sqft_Alternative]],LAM_API_TABLE[[#This Row],[Ag_area_sqft]])</f>
        <v>5372522</v>
      </c>
      <c r="AM46">
        <f>IF(LAM_API_TABLE[[#This Row],[Alternative_Data_Approval_Status]]="Approved",LAM_API_TABLE[[#This Row],[Pool_area_sqft_Alternative]],LAM_API_TABLE[[#This Row],[Pool_area_sqft]])</f>
        <v>4272364</v>
      </c>
      <c r="AN46">
        <f>IF(LAM_API_TABLE[[#This Row],[Alternative_Data_Approval_Status]]="Approved",LAM_API_TABLE[[#This Row],[Total_II_sqft_Alternative]],LAM_API_TABLE[[#This Row],[Total_II_sqft]])</f>
        <v>173630278</v>
      </c>
      <c r="AO46">
        <f>IF(LAM_API_TABLE[[#This Row],[Alternative_Data_Approval_Status]]="Approved",LAM_API_TABLE[[#This Row],[Total_INI_sqft_Alternative]],LAM_API_TABLE[[#This Row],[Total_INI_sqft]])</f>
        <v>71506934</v>
      </c>
      <c r="AP46">
        <f>IF(LAM_API_TABLE[[#This Row],[New_Res_Constr_Approval_Status]]="Approved",LAM_API_TABLE[[#This Row],[New_Res_Constr_sqft]],0)</f>
        <v>0</v>
      </c>
      <c r="AQ46">
        <f>IF(LAM_API_TABLE[[#This Row],[New_Res_Constr_Approval_Status]]="Approved",LAM_API_TABLE[[#This Row],[New_Res_SLA_norec_sqft]],0)</f>
        <v>0</v>
      </c>
      <c r="AR46">
        <f>IF(LAM_API_TABLE[[#This Row],[New_Res_Constr_Approval_Status]]="Approved",LAM_API_TABLE[[#This Row],[New_Res_SLA_rec_sqft]],0)</f>
        <v>0</v>
      </c>
      <c r="AS46">
        <f>IF(LAM_API_TABLE[[#This Row],[Existing_Res_SLA_Data_Approval_Status]]="Approved",LAM_API_TABLE[[#This Row],[Existing_Res_SLA_norec_sqft]],0)</f>
        <v>0</v>
      </c>
      <c r="AT46">
        <f>IF(LAM_API_TABLE[[#This Row],[Existing_Res_SLA_Data_Approval_Status]]="Approved",LAM_API_TABLE[[#This Row],[Existing_Res_SLA_rec_sqft]],0)</f>
        <v>0</v>
      </c>
    </row>
    <row r="47" spans="1:46" x14ac:dyDescent="0.25">
      <c r="A47" t="s">
        <v>955</v>
      </c>
      <c r="B47" t="s">
        <v>2761</v>
      </c>
      <c r="C47" t="s">
        <v>2762</v>
      </c>
      <c r="D47" t="s">
        <v>2763</v>
      </c>
      <c r="E47">
        <v>2018</v>
      </c>
      <c r="F47">
        <v>794062</v>
      </c>
      <c r="G47">
        <v>7727173</v>
      </c>
      <c r="H47">
        <v>1327266</v>
      </c>
      <c r="I47">
        <v>158354102</v>
      </c>
      <c r="J47">
        <v>39227586</v>
      </c>
      <c r="K47">
        <v>643424341</v>
      </c>
      <c r="L47">
        <v>166199619</v>
      </c>
      <c r="M47" t="s">
        <v>1859</v>
      </c>
      <c r="AK47">
        <f>IF(LAM_API_TABLE[[#This Row],[Alternative_Data_Approval_Status]]="Approved",LAM_API_TABLE[[#This Row],[HCL_area_sqft_Alternative]],LAM_API_TABLE[[#This Row],[HCL_area_sqft]])</f>
        <v>794062</v>
      </c>
      <c r="AL47">
        <f>IF(LAM_API_TABLE[[#This Row],[Alternative_Data_Approval_Status]]="Approved",LAM_API_TABLE[[#This Row],[Ag_area_sqft_Alternative]],LAM_API_TABLE[[#This Row],[Ag_area_sqft]])</f>
        <v>7727173</v>
      </c>
      <c r="AM47">
        <f>IF(LAM_API_TABLE[[#This Row],[Alternative_Data_Approval_Status]]="Approved",LAM_API_TABLE[[#This Row],[Pool_area_sqft_Alternative]],LAM_API_TABLE[[#This Row],[Pool_area_sqft]])</f>
        <v>1327266</v>
      </c>
      <c r="AN47">
        <f>IF(LAM_API_TABLE[[#This Row],[Alternative_Data_Approval_Status]]="Approved",LAM_API_TABLE[[#This Row],[Total_II_sqft_Alternative]],LAM_API_TABLE[[#This Row],[Total_II_sqft]])</f>
        <v>158354102</v>
      </c>
      <c r="AO47">
        <f>IF(LAM_API_TABLE[[#This Row],[Alternative_Data_Approval_Status]]="Approved",LAM_API_TABLE[[#This Row],[Total_INI_sqft_Alternative]],LAM_API_TABLE[[#This Row],[Total_INI_sqft]])</f>
        <v>39227586</v>
      </c>
      <c r="AP47">
        <f>IF(LAM_API_TABLE[[#This Row],[New_Res_Constr_Approval_Status]]="Approved",LAM_API_TABLE[[#This Row],[New_Res_Constr_sqft]],0)</f>
        <v>0</v>
      </c>
      <c r="AQ47">
        <f>IF(LAM_API_TABLE[[#This Row],[New_Res_Constr_Approval_Status]]="Approved",LAM_API_TABLE[[#This Row],[New_Res_SLA_norec_sqft]],0)</f>
        <v>0</v>
      </c>
      <c r="AR47">
        <f>IF(LAM_API_TABLE[[#This Row],[New_Res_Constr_Approval_Status]]="Approved",LAM_API_TABLE[[#This Row],[New_Res_SLA_rec_sqft]],0)</f>
        <v>0</v>
      </c>
      <c r="AS47">
        <f>IF(LAM_API_TABLE[[#This Row],[Existing_Res_SLA_Data_Approval_Status]]="Approved",LAM_API_TABLE[[#This Row],[Existing_Res_SLA_norec_sqft]],0)</f>
        <v>0</v>
      </c>
      <c r="AT47">
        <f>IF(LAM_API_TABLE[[#This Row],[Existing_Res_SLA_Data_Approval_Status]]="Approved",LAM_API_TABLE[[#This Row],[Existing_Res_SLA_rec_sqft]],0)</f>
        <v>0</v>
      </c>
    </row>
    <row r="48" spans="1:46" x14ac:dyDescent="0.25">
      <c r="A48" t="s">
        <v>959</v>
      </c>
      <c r="B48" t="s">
        <v>2764</v>
      </c>
      <c r="C48" t="s">
        <v>2765</v>
      </c>
      <c r="D48" t="s">
        <v>2766</v>
      </c>
      <c r="E48">
        <v>2018</v>
      </c>
      <c r="F48">
        <v>20585</v>
      </c>
      <c r="G48">
        <v>15141471</v>
      </c>
      <c r="H48">
        <v>1541811</v>
      </c>
      <c r="I48">
        <v>101752458</v>
      </c>
      <c r="J48">
        <v>69328290</v>
      </c>
      <c r="K48">
        <v>180061983</v>
      </c>
      <c r="L48">
        <v>115618116</v>
      </c>
      <c r="M48" t="s">
        <v>1859</v>
      </c>
      <c r="AK48">
        <f>IF(LAM_API_TABLE[[#This Row],[Alternative_Data_Approval_Status]]="Approved",LAM_API_TABLE[[#This Row],[HCL_area_sqft_Alternative]],LAM_API_TABLE[[#This Row],[HCL_area_sqft]])</f>
        <v>20585</v>
      </c>
      <c r="AL48">
        <f>IF(LAM_API_TABLE[[#This Row],[Alternative_Data_Approval_Status]]="Approved",LAM_API_TABLE[[#This Row],[Ag_area_sqft_Alternative]],LAM_API_TABLE[[#This Row],[Ag_area_sqft]])</f>
        <v>15141471</v>
      </c>
      <c r="AM48">
        <f>IF(LAM_API_TABLE[[#This Row],[Alternative_Data_Approval_Status]]="Approved",LAM_API_TABLE[[#This Row],[Pool_area_sqft_Alternative]],LAM_API_TABLE[[#This Row],[Pool_area_sqft]])</f>
        <v>1541811</v>
      </c>
      <c r="AN48">
        <f>IF(LAM_API_TABLE[[#This Row],[Alternative_Data_Approval_Status]]="Approved",LAM_API_TABLE[[#This Row],[Total_II_sqft_Alternative]],LAM_API_TABLE[[#This Row],[Total_II_sqft]])</f>
        <v>101752458</v>
      </c>
      <c r="AO48">
        <f>IF(LAM_API_TABLE[[#This Row],[Alternative_Data_Approval_Status]]="Approved",LAM_API_TABLE[[#This Row],[Total_INI_sqft_Alternative]],LAM_API_TABLE[[#This Row],[Total_INI_sqft]])</f>
        <v>69328290</v>
      </c>
      <c r="AP48">
        <f>IF(LAM_API_TABLE[[#This Row],[New_Res_Constr_Approval_Status]]="Approved",LAM_API_TABLE[[#This Row],[New_Res_Constr_sqft]],0)</f>
        <v>0</v>
      </c>
      <c r="AQ48">
        <f>IF(LAM_API_TABLE[[#This Row],[New_Res_Constr_Approval_Status]]="Approved",LAM_API_TABLE[[#This Row],[New_Res_SLA_norec_sqft]],0)</f>
        <v>0</v>
      </c>
      <c r="AR48">
        <f>IF(LAM_API_TABLE[[#This Row],[New_Res_Constr_Approval_Status]]="Approved",LAM_API_TABLE[[#This Row],[New_Res_SLA_rec_sqft]],0)</f>
        <v>0</v>
      </c>
      <c r="AS48">
        <f>IF(LAM_API_TABLE[[#This Row],[Existing_Res_SLA_Data_Approval_Status]]="Approved",LAM_API_TABLE[[#This Row],[Existing_Res_SLA_norec_sqft]],0)</f>
        <v>0</v>
      </c>
      <c r="AT48">
        <f>IF(LAM_API_TABLE[[#This Row],[Existing_Res_SLA_Data_Approval_Status]]="Approved",LAM_API_TABLE[[#This Row],[Existing_Res_SLA_rec_sqft]],0)</f>
        <v>0</v>
      </c>
    </row>
    <row r="49" spans="1:46" x14ac:dyDescent="0.25">
      <c r="A49" t="s">
        <v>967</v>
      </c>
      <c r="B49" t="s">
        <v>968</v>
      </c>
      <c r="AK49">
        <f>IF(LAM_API_TABLE[[#This Row],[Alternative_Data_Approval_Status]]="Approved",LAM_API_TABLE[[#This Row],[HCL_area_sqft_Alternative]],LAM_API_TABLE[[#This Row],[HCL_area_sqft]])</f>
        <v>0</v>
      </c>
      <c r="AL49">
        <f>IF(LAM_API_TABLE[[#This Row],[Alternative_Data_Approval_Status]]="Approved",LAM_API_TABLE[[#This Row],[Ag_area_sqft_Alternative]],LAM_API_TABLE[[#This Row],[Ag_area_sqft]])</f>
        <v>0</v>
      </c>
      <c r="AM49">
        <f>IF(LAM_API_TABLE[[#This Row],[Alternative_Data_Approval_Status]]="Approved",LAM_API_TABLE[[#This Row],[Pool_area_sqft_Alternative]],LAM_API_TABLE[[#This Row],[Pool_area_sqft]])</f>
        <v>0</v>
      </c>
      <c r="AN49">
        <f>IF(LAM_API_TABLE[[#This Row],[Alternative_Data_Approval_Status]]="Approved",LAM_API_TABLE[[#This Row],[Total_II_sqft_Alternative]],LAM_API_TABLE[[#This Row],[Total_II_sqft]])</f>
        <v>0</v>
      </c>
      <c r="AO49">
        <f>IF(LAM_API_TABLE[[#This Row],[Alternative_Data_Approval_Status]]="Approved",LAM_API_TABLE[[#This Row],[Total_INI_sqft_Alternative]],LAM_API_TABLE[[#This Row],[Total_INI_sqft]])</f>
        <v>0</v>
      </c>
      <c r="AP49">
        <f>IF(LAM_API_TABLE[[#This Row],[New_Res_Constr_Approval_Status]]="Approved",LAM_API_TABLE[[#This Row],[New_Res_Constr_sqft]],0)</f>
        <v>0</v>
      </c>
      <c r="AQ49">
        <f>IF(LAM_API_TABLE[[#This Row],[New_Res_Constr_Approval_Status]]="Approved",LAM_API_TABLE[[#This Row],[New_Res_SLA_norec_sqft]],0)</f>
        <v>0</v>
      </c>
      <c r="AR49">
        <f>IF(LAM_API_TABLE[[#This Row],[New_Res_Constr_Approval_Status]]="Approved",LAM_API_TABLE[[#This Row],[New_Res_SLA_rec_sqft]],0)</f>
        <v>0</v>
      </c>
      <c r="AS49">
        <f>IF(LAM_API_TABLE[[#This Row],[Existing_Res_SLA_Data_Approval_Status]]="Approved",LAM_API_TABLE[[#This Row],[Existing_Res_SLA_norec_sqft]],0)</f>
        <v>0</v>
      </c>
      <c r="AT49">
        <f>IF(LAM_API_TABLE[[#This Row],[Existing_Res_SLA_Data_Approval_Status]]="Approved",LAM_API_TABLE[[#This Row],[Existing_Res_SLA_rec_sqft]],0)</f>
        <v>0</v>
      </c>
    </row>
    <row r="50" spans="1:46" x14ac:dyDescent="0.25">
      <c r="A50" t="s">
        <v>971</v>
      </c>
      <c r="B50" t="s">
        <v>2767</v>
      </c>
      <c r="C50" t="s">
        <v>2768</v>
      </c>
      <c r="D50" t="s">
        <v>2769</v>
      </c>
      <c r="E50">
        <v>2018</v>
      </c>
      <c r="G50">
        <v>44586</v>
      </c>
      <c r="H50">
        <v>546543</v>
      </c>
      <c r="I50">
        <v>42269679</v>
      </c>
      <c r="J50">
        <v>20261628</v>
      </c>
      <c r="K50">
        <v>145760692</v>
      </c>
      <c r="L50">
        <v>46322005</v>
      </c>
      <c r="M50" t="s">
        <v>1859</v>
      </c>
      <c r="AK50">
        <f>IF(LAM_API_TABLE[[#This Row],[Alternative_Data_Approval_Status]]="Approved",LAM_API_TABLE[[#This Row],[HCL_area_sqft_Alternative]],LAM_API_TABLE[[#This Row],[HCL_area_sqft]])</f>
        <v>0</v>
      </c>
      <c r="AL50">
        <f>IF(LAM_API_TABLE[[#This Row],[Alternative_Data_Approval_Status]]="Approved",LAM_API_TABLE[[#This Row],[Ag_area_sqft_Alternative]],LAM_API_TABLE[[#This Row],[Ag_area_sqft]])</f>
        <v>44586</v>
      </c>
      <c r="AM50">
        <f>IF(LAM_API_TABLE[[#This Row],[Alternative_Data_Approval_Status]]="Approved",LAM_API_TABLE[[#This Row],[Pool_area_sqft_Alternative]],LAM_API_TABLE[[#This Row],[Pool_area_sqft]])</f>
        <v>546543</v>
      </c>
      <c r="AN50">
        <f>IF(LAM_API_TABLE[[#This Row],[Alternative_Data_Approval_Status]]="Approved",LAM_API_TABLE[[#This Row],[Total_II_sqft_Alternative]],LAM_API_TABLE[[#This Row],[Total_II_sqft]])</f>
        <v>42269679</v>
      </c>
      <c r="AO50">
        <f>IF(LAM_API_TABLE[[#This Row],[Alternative_Data_Approval_Status]]="Approved",LAM_API_TABLE[[#This Row],[Total_INI_sqft_Alternative]],LAM_API_TABLE[[#This Row],[Total_INI_sqft]])</f>
        <v>20261628</v>
      </c>
      <c r="AP50">
        <f>IF(LAM_API_TABLE[[#This Row],[New_Res_Constr_Approval_Status]]="Approved",LAM_API_TABLE[[#This Row],[New_Res_Constr_sqft]],0)</f>
        <v>0</v>
      </c>
      <c r="AQ50">
        <f>IF(LAM_API_TABLE[[#This Row],[New_Res_Constr_Approval_Status]]="Approved",LAM_API_TABLE[[#This Row],[New_Res_SLA_norec_sqft]],0)</f>
        <v>0</v>
      </c>
      <c r="AR50">
        <f>IF(LAM_API_TABLE[[#This Row],[New_Res_Constr_Approval_Status]]="Approved",LAM_API_TABLE[[#This Row],[New_Res_SLA_rec_sqft]],0)</f>
        <v>0</v>
      </c>
      <c r="AS50">
        <f>IF(LAM_API_TABLE[[#This Row],[Existing_Res_SLA_Data_Approval_Status]]="Approved",LAM_API_TABLE[[#This Row],[Existing_Res_SLA_norec_sqft]],0)</f>
        <v>0</v>
      </c>
      <c r="AT50">
        <f>IF(LAM_API_TABLE[[#This Row],[Existing_Res_SLA_Data_Approval_Status]]="Approved",LAM_API_TABLE[[#This Row],[Existing_Res_SLA_rec_sqft]],0)</f>
        <v>0</v>
      </c>
    </row>
    <row r="51" spans="1:46" x14ac:dyDescent="0.25">
      <c r="A51" t="s">
        <v>975</v>
      </c>
      <c r="B51" t="s">
        <v>2770</v>
      </c>
      <c r="C51" t="s">
        <v>2771</v>
      </c>
      <c r="D51" t="s">
        <v>2772</v>
      </c>
      <c r="E51">
        <v>2020</v>
      </c>
      <c r="H51">
        <v>169143</v>
      </c>
      <c r="I51">
        <v>27524094</v>
      </c>
      <c r="J51">
        <v>4218673</v>
      </c>
      <c r="K51">
        <v>88973243</v>
      </c>
      <c r="L51">
        <v>28367829</v>
      </c>
      <c r="M51" t="s">
        <v>1859</v>
      </c>
      <c r="AK51">
        <f>IF(LAM_API_TABLE[[#This Row],[Alternative_Data_Approval_Status]]="Approved",LAM_API_TABLE[[#This Row],[HCL_area_sqft_Alternative]],LAM_API_TABLE[[#This Row],[HCL_area_sqft]])</f>
        <v>0</v>
      </c>
      <c r="AL51">
        <f>IF(LAM_API_TABLE[[#This Row],[Alternative_Data_Approval_Status]]="Approved",LAM_API_TABLE[[#This Row],[Ag_area_sqft_Alternative]],LAM_API_TABLE[[#This Row],[Ag_area_sqft]])</f>
        <v>0</v>
      </c>
      <c r="AM51">
        <f>IF(LAM_API_TABLE[[#This Row],[Alternative_Data_Approval_Status]]="Approved",LAM_API_TABLE[[#This Row],[Pool_area_sqft_Alternative]],LAM_API_TABLE[[#This Row],[Pool_area_sqft]])</f>
        <v>169143</v>
      </c>
      <c r="AN51">
        <f>IF(LAM_API_TABLE[[#This Row],[Alternative_Data_Approval_Status]]="Approved",LAM_API_TABLE[[#This Row],[Total_II_sqft_Alternative]],LAM_API_TABLE[[#This Row],[Total_II_sqft]])</f>
        <v>27524094</v>
      </c>
      <c r="AO51">
        <f>IF(LAM_API_TABLE[[#This Row],[Alternative_Data_Approval_Status]]="Approved",LAM_API_TABLE[[#This Row],[Total_INI_sqft_Alternative]],LAM_API_TABLE[[#This Row],[Total_INI_sqft]])</f>
        <v>4218673</v>
      </c>
      <c r="AP51">
        <f>IF(LAM_API_TABLE[[#This Row],[New_Res_Constr_Approval_Status]]="Approved",LAM_API_TABLE[[#This Row],[New_Res_Constr_sqft]],0)</f>
        <v>0</v>
      </c>
      <c r="AQ51">
        <f>IF(LAM_API_TABLE[[#This Row],[New_Res_Constr_Approval_Status]]="Approved",LAM_API_TABLE[[#This Row],[New_Res_SLA_norec_sqft]],0)</f>
        <v>0</v>
      </c>
      <c r="AR51">
        <f>IF(LAM_API_TABLE[[#This Row],[New_Res_Constr_Approval_Status]]="Approved",LAM_API_TABLE[[#This Row],[New_Res_SLA_rec_sqft]],0)</f>
        <v>0</v>
      </c>
      <c r="AS51">
        <f>IF(LAM_API_TABLE[[#This Row],[Existing_Res_SLA_Data_Approval_Status]]="Approved",LAM_API_TABLE[[#This Row],[Existing_Res_SLA_norec_sqft]],0)</f>
        <v>0</v>
      </c>
      <c r="AT51">
        <f>IF(LAM_API_TABLE[[#This Row],[Existing_Res_SLA_Data_Approval_Status]]="Approved",LAM_API_TABLE[[#This Row],[Existing_Res_SLA_rec_sqft]],0)</f>
        <v>0</v>
      </c>
    </row>
    <row r="52" spans="1:46" x14ac:dyDescent="0.25">
      <c r="A52" t="s">
        <v>979</v>
      </c>
      <c r="B52" t="s">
        <v>2773</v>
      </c>
      <c r="C52" t="s">
        <v>2774</v>
      </c>
      <c r="D52" t="s">
        <v>2775</v>
      </c>
      <c r="E52">
        <v>2018</v>
      </c>
      <c r="H52">
        <v>200206</v>
      </c>
      <c r="I52">
        <v>30313711</v>
      </c>
      <c r="J52">
        <v>2071634</v>
      </c>
      <c r="K52">
        <v>95614859</v>
      </c>
      <c r="L52">
        <v>30728038</v>
      </c>
      <c r="M52" t="s">
        <v>1859</v>
      </c>
      <c r="AK52">
        <f>IF(LAM_API_TABLE[[#This Row],[Alternative_Data_Approval_Status]]="Approved",LAM_API_TABLE[[#This Row],[HCL_area_sqft_Alternative]],LAM_API_TABLE[[#This Row],[HCL_area_sqft]])</f>
        <v>0</v>
      </c>
      <c r="AL52">
        <f>IF(LAM_API_TABLE[[#This Row],[Alternative_Data_Approval_Status]]="Approved",LAM_API_TABLE[[#This Row],[Ag_area_sqft_Alternative]],LAM_API_TABLE[[#This Row],[Ag_area_sqft]])</f>
        <v>0</v>
      </c>
      <c r="AM52">
        <f>IF(LAM_API_TABLE[[#This Row],[Alternative_Data_Approval_Status]]="Approved",LAM_API_TABLE[[#This Row],[Pool_area_sqft_Alternative]],LAM_API_TABLE[[#This Row],[Pool_area_sqft]])</f>
        <v>200206</v>
      </c>
      <c r="AN52">
        <f>IF(LAM_API_TABLE[[#This Row],[Alternative_Data_Approval_Status]]="Approved",LAM_API_TABLE[[#This Row],[Total_II_sqft_Alternative]],LAM_API_TABLE[[#This Row],[Total_II_sqft]])</f>
        <v>30313711</v>
      </c>
      <c r="AO52">
        <f>IF(LAM_API_TABLE[[#This Row],[Alternative_Data_Approval_Status]]="Approved",LAM_API_TABLE[[#This Row],[Total_INI_sqft_Alternative]],LAM_API_TABLE[[#This Row],[Total_INI_sqft]])</f>
        <v>2071634</v>
      </c>
      <c r="AP52">
        <f>IF(LAM_API_TABLE[[#This Row],[New_Res_Constr_Approval_Status]]="Approved",LAM_API_TABLE[[#This Row],[New_Res_Constr_sqft]],0)</f>
        <v>0</v>
      </c>
      <c r="AQ52">
        <f>IF(LAM_API_TABLE[[#This Row],[New_Res_Constr_Approval_Status]]="Approved",LAM_API_TABLE[[#This Row],[New_Res_SLA_norec_sqft]],0)</f>
        <v>0</v>
      </c>
      <c r="AR52">
        <f>IF(LAM_API_TABLE[[#This Row],[New_Res_Constr_Approval_Status]]="Approved",LAM_API_TABLE[[#This Row],[New_Res_SLA_rec_sqft]],0)</f>
        <v>0</v>
      </c>
      <c r="AS52">
        <f>IF(LAM_API_TABLE[[#This Row],[Existing_Res_SLA_Data_Approval_Status]]="Approved",LAM_API_TABLE[[#This Row],[Existing_Res_SLA_norec_sqft]],0)</f>
        <v>0</v>
      </c>
      <c r="AT52">
        <f>IF(LAM_API_TABLE[[#This Row],[Existing_Res_SLA_Data_Approval_Status]]="Approved",LAM_API_TABLE[[#This Row],[Existing_Res_SLA_rec_sqft]],0)</f>
        <v>0</v>
      </c>
    </row>
    <row r="53" spans="1:46" x14ac:dyDescent="0.25">
      <c r="A53" t="s">
        <v>983</v>
      </c>
      <c r="B53" t="s">
        <v>984</v>
      </c>
      <c r="AK53">
        <f>IF(LAM_API_TABLE[[#This Row],[Alternative_Data_Approval_Status]]="Approved",LAM_API_TABLE[[#This Row],[HCL_area_sqft_Alternative]],LAM_API_TABLE[[#This Row],[HCL_area_sqft]])</f>
        <v>0</v>
      </c>
      <c r="AL53">
        <f>IF(LAM_API_TABLE[[#This Row],[Alternative_Data_Approval_Status]]="Approved",LAM_API_TABLE[[#This Row],[Ag_area_sqft_Alternative]],LAM_API_TABLE[[#This Row],[Ag_area_sqft]])</f>
        <v>0</v>
      </c>
      <c r="AM53">
        <f>IF(LAM_API_TABLE[[#This Row],[Alternative_Data_Approval_Status]]="Approved",LAM_API_TABLE[[#This Row],[Pool_area_sqft_Alternative]],LAM_API_TABLE[[#This Row],[Pool_area_sqft]])</f>
        <v>0</v>
      </c>
      <c r="AN53">
        <f>IF(LAM_API_TABLE[[#This Row],[Alternative_Data_Approval_Status]]="Approved",LAM_API_TABLE[[#This Row],[Total_II_sqft_Alternative]],LAM_API_TABLE[[#This Row],[Total_II_sqft]])</f>
        <v>0</v>
      </c>
      <c r="AO53">
        <f>IF(LAM_API_TABLE[[#This Row],[Alternative_Data_Approval_Status]]="Approved",LAM_API_TABLE[[#This Row],[Total_INI_sqft_Alternative]],LAM_API_TABLE[[#This Row],[Total_INI_sqft]])</f>
        <v>0</v>
      </c>
      <c r="AP53">
        <f>IF(LAM_API_TABLE[[#This Row],[New_Res_Constr_Approval_Status]]="Approved",LAM_API_TABLE[[#This Row],[New_Res_Constr_sqft]],0)</f>
        <v>0</v>
      </c>
      <c r="AQ53">
        <f>IF(LAM_API_TABLE[[#This Row],[New_Res_Constr_Approval_Status]]="Approved",LAM_API_TABLE[[#This Row],[New_Res_SLA_norec_sqft]],0)</f>
        <v>0</v>
      </c>
      <c r="AR53">
        <f>IF(LAM_API_TABLE[[#This Row],[New_Res_Constr_Approval_Status]]="Approved",LAM_API_TABLE[[#This Row],[New_Res_SLA_rec_sqft]],0)</f>
        <v>0</v>
      </c>
      <c r="AS53">
        <f>IF(LAM_API_TABLE[[#This Row],[Existing_Res_SLA_Data_Approval_Status]]="Approved",LAM_API_TABLE[[#This Row],[Existing_Res_SLA_norec_sqft]],0)</f>
        <v>0</v>
      </c>
      <c r="AT53">
        <f>IF(LAM_API_TABLE[[#This Row],[Existing_Res_SLA_Data_Approval_Status]]="Approved",LAM_API_TABLE[[#This Row],[Existing_Res_SLA_rec_sqft]],0)</f>
        <v>0</v>
      </c>
    </row>
    <row r="54" spans="1:46" x14ac:dyDescent="0.25">
      <c r="A54" t="s">
        <v>999</v>
      </c>
      <c r="B54" t="s">
        <v>2776</v>
      </c>
      <c r="C54" t="s">
        <v>2777</v>
      </c>
      <c r="D54" t="s">
        <v>2778</v>
      </c>
      <c r="E54">
        <v>2018</v>
      </c>
      <c r="F54">
        <v>161752</v>
      </c>
      <c r="G54">
        <v>21035229</v>
      </c>
      <c r="H54">
        <v>1193033</v>
      </c>
      <c r="I54">
        <v>54574777</v>
      </c>
      <c r="J54">
        <v>24561469</v>
      </c>
      <c r="K54">
        <v>127683886</v>
      </c>
      <c r="L54">
        <v>59487071</v>
      </c>
      <c r="M54" t="s">
        <v>1859</v>
      </c>
      <c r="AK54">
        <f>IF(LAM_API_TABLE[[#This Row],[Alternative_Data_Approval_Status]]="Approved",LAM_API_TABLE[[#This Row],[HCL_area_sqft_Alternative]],LAM_API_TABLE[[#This Row],[HCL_area_sqft]])</f>
        <v>161752</v>
      </c>
      <c r="AL54">
        <f>IF(LAM_API_TABLE[[#This Row],[Alternative_Data_Approval_Status]]="Approved",LAM_API_TABLE[[#This Row],[Ag_area_sqft_Alternative]],LAM_API_TABLE[[#This Row],[Ag_area_sqft]])</f>
        <v>21035229</v>
      </c>
      <c r="AM54">
        <f>IF(LAM_API_TABLE[[#This Row],[Alternative_Data_Approval_Status]]="Approved",LAM_API_TABLE[[#This Row],[Pool_area_sqft_Alternative]],LAM_API_TABLE[[#This Row],[Pool_area_sqft]])</f>
        <v>1193033</v>
      </c>
      <c r="AN54">
        <f>IF(LAM_API_TABLE[[#This Row],[Alternative_Data_Approval_Status]]="Approved",LAM_API_TABLE[[#This Row],[Total_II_sqft_Alternative]],LAM_API_TABLE[[#This Row],[Total_II_sqft]])</f>
        <v>54574777</v>
      </c>
      <c r="AO54">
        <f>IF(LAM_API_TABLE[[#This Row],[Alternative_Data_Approval_Status]]="Approved",LAM_API_TABLE[[#This Row],[Total_INI_sqft_Alternative]],LAM_API_TABLE[[#This Row],[Total_INI_sqft]])</f>
        <v>24561469</v>
      </c>
      <c r="AP54">
        <f>IF(LAM_API_TABLE[[#This Row],[New_Res_Constr_Approval_Status]]="Approved",LAM_API_TABLE[[#This Row],[New_Res_Constr_sqft]],0)</f>
        <v>0</v>
      </c>
      <c r="AQ54">
        <f>IF(LAM_API_TABLE[[#This Row],[New_Res_Constr_Approval_Status]]="Approved",LAM_API_TABLE[[#This Row],[New_Res_SLA_norec_sqft]],0)</f>
        <v>0</v>
      </c>
      <c r="AR54">
        <f>IF(LAM_API_TABLE[[#This Row],[New_Res_Constr_Approval_Status]]="Approved",LAM_API_TABLE[[#This Row],[New_Res_SLA_rec_sqft]],0)</f>
        <v>0</v>
      </c>
      <c r="AS54">
        <f>IF(LAM_API_TABLE[[#This Row],[Existing_Res_SLA_Data_Approval_Status]]="Approved",LAM_API_TABLE[[#This Row],[Existing_Res_SLA_norec_sqft]],0)</f>
        <v>0</v>
      </c>
      <c r="AT54">
        <f>IF(LAM_API_TABLE[[#This Row],[Existing_Res_SLA_Data_Approval_Status]]="Approved",LAM_API_TABLE[[#This Row],[Existing_Res_SLA_rec_sqft]],0)</f>
        <v>0</v>
      </c>
    </row>
    <row r="55" spans="1:46" x14ac:dyDescent="0.25">
      <c r="A55" t="s">
        <v>1003</v>
      </c>
      <c r="B55" t="s">
        <v>2779</v>
      </c>
      <c r="C55" t="s">
        <v>2780</v>
      </c>
      <c r="D55" t="s">
        <v>2781</v>
      </c>
      <c r="E55">
        <v>2018</v>
      </c>
      <c r="G55">
        <v>121597</v>
      </c>
      <c r="H55">
        <v>1108980</v>
      </c>
      <c r="I55">
        <v>101276403</v>
      </c>
      <c r="J55">
        <v>28152028</v>
      </c>
      <c r="K55">
        <v>130175803</v>
      </c>
      <c r="L55">
        <v>106906809</v>
      </c>
      <c r="M55" t="s">
        <v>1859</v>
      </c>
      <c r="AK55">
        <f>IF(LAM_API_TABLE[[#This Row],[Alternative_Data_Approval_Status]]="Approved",LAM_API_TABLE[[#This Row],[HCL_area_sqft_Alternative]],LAM_API_TABLE[[#This Row],[HCL_area_sqft]])</f>
        <v>0</v>
      </c>
      <c r="AL55">
        <f>IF(LAM_API_TABLE[[#This Row],[Alternative_Data_Approval_Status]]="Approved",LAM_API_TABLE[[#This Row],[Ag_area_sqft_Alternative]],LAM_API_TABLE[[#This Row],[Ag_area_sqft]])</f>
        <v>121597</v>
      </c>
      <c r="AM55">
        <f>IF(LAM_API_TABLE[[#This Row],[Alternative_Data_Approval_Status]]="Approved",LAM_API_TABLE[[#This Row],[Pool_area_sqft_Alternative]],LAM_API_TABLE[[#This Row],[Pool_area_sqft]])</f>
        <v>1108980</v>
      </c>
      <c r="AN55">
        <f>IF(LAM_API_TABLE[[#This Row],[Alternative_Data_Approval_Status]]="Approved",LAM_API_TABLE[[#This Row],[Total_II_sqft_Alternative]],LAM_API_TABLE[[#This Row],[Total_II_sqft]])</f>
        <v>101276403</v>
      </c>
      <c r="AO55">
        <f>IF(LAM_API_TABLE[[#This Row],[Alternative_Data_Approval_Status]]="Approved",LAM_API_TABLE[[#This Row],[Total_INI_sqft_Alternative]],LAM_API_TABLE[[#This Row],[Total_INI_sqft]])</f>
        <v>28152028</v>
      </c>
      <c r="AP55">
        <f>IF(LAM_API_TABLE[[#This Row],[New_Res_Constr_Approval_Status]]="Approved",LAM_API_TABLE[[#This Row],[New_Res_Constr_sqft]],0)</f>
        <v>0</v>
      </c>
      <c r="AQ55">
        <f>IF(LAM_API_TABLE[[#This Row],[New_Res_Constr_Approval_Status]]="Approved",LAM_API_TABLE[[#This Row],[New_Res_SLA_norec_sqft]],0)</f>
        <v>0</v>
      </c>
      <c r="AR55">
        <f>IF(LAM_API_TABLE[[#This Row],[New_Res_Constr_Approval_Status]]="Approved",LAM_API_TABLE[[#This Row],[New_Res_SLA_rec_sqft]],0)</f>
        <v>0</v>
      </c>
      <c r="AS55">
        <f>IF(LAM_API_TABLE[[#This Row],[Existing_Res_SLA_Data_Approval_Status]]="Approved",LAM_API_TABLE[[#This Row],[Existing_Res_SLA_norec_sqft]],0)</f>
        <v>0</v>
      </c>
      <c r="AT55">
        <f>IF(LAM_API_TABLE[[#This Row],[Existing_Res_SLA_Data_Approval_Status]]="Approved",LAM_API_TABLE[[#This Row],[Existing_Res_SLA_rec_sqft]],0)</f>
        <v>0</v>
      </c>
    </row>
    <row r="56" spans="1:46" x14ac:dyDescent="0.25">
      <c r="A56" t="s">
        <v>1008</v>
      </c>
      <c r="B56" t="s">
        <v>2782</v>
      </c>
      <c r="C56" t="s">
        <v>2783</v>
      </c>
      <c r="D56" t="s">
        <v>2784</v>
      </c>
      <c r="E56">
        <v>2018</v>
      </c>
      <c r="H56">
        <v>119627</v>
      </c>
      <c r="I56">
        <v>7393819</v>
      </c>
      <c r="J56">
        <v>3027574</v>
      </c>
      <c r="K56">
        <v>12461535</v>
      </c>
      <c r="L56">
        <v>7999334</v>
      </c>
      <c r="M56" t="s">
        <v>1859</v>
      </c>
      <c r="AK56">
        <f>IF(LAM_API_TABLE[[#This Row],[Alternative_Data_Approval_Status]]="Approved",LAM_API_TABLE[[#This Row],[HCL_area_sqft_Alternative]],LAM_API_TABLE[[#This Row],[HCL_area_sqft]])</f>
        <v>0</v>
      </c>
      <c r="AL56">
        <f>IF(LAM_API_TABLE[[#This Row],[Alternative_Data_Approval_Status]]="Approved",LAM_API_TABLE[[#This Row],[Ag_area_sqft_Alternative]],LAM_API_TABLE[[#This Row],[Ag_area_sqft]])</f>
        <v>0</v>
      </c>
      <c r="AM56">
        <f>IF(LAM_API_TABLE[[#This Row],[Alternative_Data_Approval_Status]]="Approved",LAM_API_TABLE[[#This Row],[Pool_area_sqft_Alternative]],LAM_API_TABLE[[#This Row],[Pool_area_sqft]])</f>
        <v>119627</v>
      </c>
      <c r="AN56">
        <f>IF(LAM_API_TABLE[[#This Row],[Alternative_Data_Approval_Status]]="Approved",LAM_API_TABLE[[#This Row],[Total_II_sqft_Alternative]],LAM_API_TABLE[[#This Row],[Total_II_sqft]])</f>
        <v>7393819</v>
      </c>
      <c r="AO56">
        <f>IF(LAM_API_TABLE[[#This Row],[Alternative_Data_Approval_Status]]="Approved",LAM_API_TABLE[[#This Row],[Total_INI_sqft_Alternative]],LAM_API_TABLE[[#This Row],[Total_INI_sqft]])</f>
        <v>3027574</v>
      </c>
      <c r="AP56">
        <f>IF(LAM_API_TABLE[[#This Row],[New_Res_Constr_Approval_Status]]="Approved",LAM_API_TABLE[[#This Row],[New_Res_Constr_sqft]],0)</f>
        <v>0</v>
      </c>
      <c r="AQ56">
        <f>IF(LAM_API_TABLE[[#This Row],[New_Res_Constr_Approval_Status]]="Approved",LAM_API_TABLE[[#This Row],[New_Res_SLA_norec_sqft]],0)</f>
        <v>0</v>
      </c>
      <c r="AR56">
        <f>IF(LAM_API_TABLE[[#This Row],[New_Res_Constr_Approval_Status]]="Approved",LAM_API_TABLE[[#This Row],[New_Res_SLA_rec_sqft]],0)</f>
        <v>0</v>
      </c>
      <c r="AS56">
        <f>IF(LAM_API_TABLE[[#This Row],[Existing_Res_SLA_Data_Approval_Status]]="Approved",LAM_API_TABLE[[#This Row],[Existing_Res_SLA_norec_sqft]],0)</f>
        <v>0</v>
      </c>
      <c r="AT56">
        <f>IF(LAM_API_TABLE[[#This Row],[Existing_Res_SLA_Data_Approval_Status]]="Approved",LAM_API_TABLE[[#This Row],[Existing_Res_SLA_rec_sqft]],0)</f>
        <v>0</v>
      </c>
    </row>
    <row r="57" spans="1:46" x14ac:dyDescent="0.25">
      <c r="A57" t="s">
        <v>1013</v>
      </c>
      <c r="B57" t="s">
        <v>2785</v>
      </c>
      <c r="C57" t="s">
        <v>2786</v>
      </c>
      <c r="D57" t="s">
        <v>2787</v>
      </c>
      <c r="E57">
        <v>2018</v>
      </c>
      <c r="H57">
        <v>45595</v>
      </c>
      <c r="I57">
        <v>4651572</v>
      </c>
      <c r="J57">
        <v>8608560</v>
      </c>
      <c r="K57">
        <v>15090203</v>
      </c>
      <c r="L57">
        <v>6373284</v>
      </c>
      <c r="M57" t="s">
        <v>1859</v>
      </c>
      <c r="AK57">
        <f>IF(LAM_API_TABLE[[#This Row],[Alternative_Data_Approval_Status]]="Approved",LAM_API_TABLE[[#This Row],[HCL_area_sqft_Alternative]],LAM_API_TABLE[[#This Row],[HCL_area_sqft]])</f>
        <v>0</v>
      </c>
      <c r="AL57">
        <f>IF(LAM_API_TABLE[[#This Row],[Alternative_Data_Approval_Status]]="Approved",LAM_API_TABLE[[#This Row],[Ag_area_sqft_Alternative]],LAM_API_TABLE[[#This Row],[Ag_area_sqft]])</f>
        <v>0</v>
      </c>
      <c r="AM57">
        <f>IF(LAM_API_TABLE[[#This Row],[Alternative_Data_Approval_Status]]="Approved",LAM_API_TABLE[[#This Row],[Pool_area_sqft_Alternative]],LAM_API_TABLE[[#This Row],[Pool_area_sqft]])</f>
        <v>45595</v>
      </c>
      <c r="AN57">
        <f>IF(LAM_API_TABLE[[#This Row],[Alternative_Data_Approval_Status]]="Approved",LAM_API_TABLE[[#This Row],[Total_II_sqft_Alternative]],LAM_API_TABLE[[#This Row],[Total_II_sqft]])</f>
        <v>4651572</v>
      </c>
      <c r="AO57">
        <f>IF(LAM_API_TABLE[[#This Row],[Alternative_Data_Approval_Status]]="Approved",LAM_API_TABLE[[#This Row],[Total_INI_sqft_Alternative]],LAM_API_TABLE[[#This Row],[Total_INI_sqft]])</f>
        <v>8608560</v>
      </c>
      <c r="AP57">
        <f>IF(LAM_API_TABLE[[#This Row],[New_Res_Constr_Approval_Status]]="Approved",LAM_API_TABLE[[#This Row],[New_Res_Constr_sqft]],0)</f>
        <v>0</v>
      </c>
      <c r="AQ57">
        <f>IF(LAM_API_TABLE[[#This Row],[New_Res_Constr_Approval_Status]]="Approved",LAM_API_TABLE[[#This Row],[New_Res_SLA_norec_sqft]],0)</f>
        <v>0</v>
      </c>
      <c r="AR57">
        <f>IF(LAM_API_TABLE[[#This Row],[New_Res_Constr_Approval_Status]]="Approved",LAM_API_TABLE[[#This Row],[New_Res_SLA_rec_sqft]],0)</f>
        <v>0</v>
      </c>
      <c r="AS57">
        <f>IF(LAM_API_TABLE[[#This Row],[Existing_Res_SLA_Data_Approval_Status]]="Approved",LAM_API_TABLE[[#This Row],[Existing_Res_SLA_norec_sqft]],0)</f>
        <v>0</v>
      </c>
      <c r="AT57">
        <f>IF(LAM_API_TABLE[[#This Row],[Existing_Res_SLA_Data_Approval_Status]]="Approved",LAM_API_TABLE[[#This Row],[Existing_Res_SLA_rec_sqft]],0)</f>
        <v>0</v>
      </c>
    </row>
    <row r="58" spans="1:46" x14ac:dyDescent="0.25">
      <c r="A58" t="s">
        <v>1017</v>
      </c>
      <c r="B58" t="s">
        <v>2788</v>
      </c>
      <c r="C58" t="s">
        <v>2789</v>
      </c>
      <c r="D58" t="s">
        <v>2790</v>
      </c>
      <c r="E58">
        <v>2018</v>
      </c>
      <c r="F58">
        <v>16443</v>
      </c>
      <c r="G58">
        <v>398691</v>
      </c>
      <c r="H58">
        <v>2718450</v>
      </c>
      <c r="I58">
        <v>125475870</v>
      </c>
      <c r="J58">
        <v>49352384</v>
      </c>
      <c r="K58">
        <v>207116222</v>
      </c>
      <c r="L58">
        <v>135346347</v>
      </c>
      <c r="M58" t="s">
        <v>1859</v>
      </c>
      <c r="AK58">
        <f>IF(LAM_API_TABLE[[#This Row],[Alternative_Data_Approval_Status]]="Approved",LAM_API_TABLE[[#This Row],[HCL_area_sqft_Alternative]],LAM_API_TABLE[[#This Row],[HCL_area_sqft]])</f>
        <v>16443</v>
      </c>
      <c r="AL58">
        <f>IF(LAM_API_TABLE[[#This Row],[Alternative_Data_Approval_Status]]="Approved",LAM_API_TABLE[[#This Row],[Ag_area_sqft_Alternative]],LAM_API_TABLE[[#This Row],[Ag_area_sqft]])</f>
        <v>398691</v>
      </c>
      <c r="AM58">
        <f>IF(LAM_API_TABLE[[#This Row],[Alternative_Data_Approval_Status]]="Approved",LAM_API_TABLE[[#This Row],[Pool_area_sqft_Alternative]],LAM_API_TABLE[[#This Row],[Pool_area_sqft]])</f>
        <v>2718450</v>
      </c>
      <c r="AN58">
        <f>IF(LAM_API_TABLE[[#This Row],[Alternative_Data_Approval_Status]]="Approved",LAM_API_TABLE[[#This Row],[Total_II_sqft_Alternative]],LAM_API_TABLE[[#This Row],[Total_II_sqft]])</f>
        <v>125475870</v>
      </c>
      <c r="AO58">
        <f>IF(LAM_API_TABLE[[#This Row],[Alternative_Data_Approval_Status]]="Approved",LAM_API_TABLE[[#This Row],[Total_INI_sqft_Alternative]],LAM_API_TABLE[[#This Row],[Total_INI_sqft]])</f>
        <v>49352384</v>
      </c>
      <c r="AP58">
        <f>IF(LAM_API_TABLE[[#This Row],[New_Res_Constr_Approval_Status]]="Approved",LAM_API_TABLE[[#This Row],[New_Res_Constr_sqft]],0)</f>
        <v>0</v>
      </c>
      <c r="AQ58">
        <f>IF(LAM_API_TABLE[[#This Row],[New_Res_Constr_Approval_Status]]="Approved",LAM_API_TABLE[[#This Row],[New_Res_SLA_norec_sqft]],0)</f>
        <v>0</v>
      </c>
      <c r="AR58">
        <f>IF(LAM_API_TABLE[[#This Row],[New_Res_Constr_Approval_Status]]="Approved",LAM_API_TABLE[[#This Row],[New_Res_SLA_rec_sqft]],0)</f>
        <v>0</v>
      </c>
      <c r="AS58">
        <f>IF(LAM_API_TABLE[[#This Row],[Existing_Res_SLA_Data_Approval_Status]]="Approved",LAM_API_TABLE[[#This Row],[Existing_Res_SLA_norec_sqft]],0)</f>
        <v>0</v>
      </c>
      <c r="AT58">
        <f>IF(LAM_API_TABLE[[#This Row],[Existing_Res_SLA_Data_Approval_Status]]="Approved",LAM_API_TABLE[[#This Row],[Existing_Res_SLA_rec_sqft]],0)</f>
        <v>0</v>
      </c>
    </row>
    <row r="59" spans="1:46" x14ac:dyDescent="0.25">
      <c r="A59" t="s">
        <v>1021</v>
      </c>
      <c r="B59" t="s">
        <v>2791</v>
      </c>
      <c r="C59" t="s">
        <v>709</v>
      </c>
      <c r="D59" t="s">
        <v>2792</v>
      </c>
      <c r="E59">
        <v>2018</v>
      </c>
      <c r="F59">
        <v>49630</v>
      </c>
      <c r="G59">
        <v>2394648</v>
      </c>
      <c r="H59">
        <v>106881</v>
      </c>
      <c r="I59">
        <v>50137834</v>
      </c>
      <c r="J59">
        <v>34051090</v>
      </c>
      <c r="K59">
        <v>184500319</v>
      </c>
      <c r="L59">
        <v>56948052</v>
      </c>
      <c r="M59" t="s">
        <v>1859</v>
      </c>
      <c r="AK59">
        <f>IF(LAM_API_TABLE[[#This Row],[Alternative_Data_Approval_Status]]="Approved",LAM_API_TABLE[[#This Row],[HCL_area_sqft_Alternative]],LAM_API_TABLE[[#This Row],[HCL_area_sqft]])</f>
        <v>49630</v>
      </c>
      <c r="AL59">
        <f>IF(LAM_API_TABLE[[#This Row],[Alternative_Data_Approval_Status]]="Approved",LAM_API_TABLE[[#This Row],[Ag_area_sqft_Alternative]],LAM_API_TABLE[[#This Row],[Ag_area_sqft]])</f>
        <v>2394648</v>
      </c>
      <c r="AM59">
        <f>IF(LAM_API_TABLE[[#This Row],[Alternative_Data_Approval_Status]]="Approved",LAM_API_TABLE[[#This Row],[Pool_area_sqft_Alternative]],LAM_API_TABLE[[#This Row],[Pool_area_sqft]])</f>
        <v>106881</v>
      </c>
      <c r="AN59">
        <f>IF(LAM_API_TABLE[[#This Row],[Alternative_Data_Approval_Status]]="Approved",LAM_API_TABLE[[#This Row],[Total_II_sqft_Alternative]],LAM_API_TABLE[[#This Row],[Total_II_sqft]])</f>
        <v>50137834</v>
      </c>
      <c r="AO59">
        <f>IF(LAM_API_TABLE[[#This Row],[Alternative_Data_Approval_Status]]="Approved",LAM_API_TABLE[[#This Row],[Total_INI_sqft_Alternative]],LAM_API_TABLE[[#This Row],[Total_INI_sqft]])</f>
        <v>34051090</v>
      </c>
      <c r="AP59">
        <f>IF(LAM_API_TABLE[[#This Row],[New_Res_Constr_Approval_Status]]="Approved",LAM_API_TABLE[[#This Row],[New_Res_Constr_sqft]],0)</f>
        <v>0</v>
      </c>
      <c r="AQ59">
        <f>IF(LAM_API_TABLE[[#This Row],[New_Res_Constr_Approval_Status]]="Approved",LAM_API_TABLE[[#This Row],[New_Res_SLA_norec_sqft]],0)</f>
        <v>0</v>
      </c>
      <c r="AR59">
        <f>IF(LAM_API_TABLE[[#This Row],[New_Res_Constr_Approval_Status]]="Approved",LAM_API_TABLE[[#This Row],[New_Res_SLA_rec_sqft]],0)</f>
        <v>0</v>
      </c>
      <c r="AS59">
        <f>IF(LAM_API_TABLE[[#This Row],[Existing_Res_SLA_Data_Approval_Status]]="Approved",LAM_API_TABLE[[#This Row],[Existing_Res_SLA_norec_sqft]],0)</f>
        <v>0</v>
      </c>
      <c r="AT59">
        <f>IF(LAM_API_TABLE[[#This Row],[Existing_Res_SLA_Data_Approval_Status]]="Approved",LAM_API_TABLE[[#This Row],[Existing_Res_SLA_rec_sqft]],0)</f>
        <v>0</v>
      </c>
    </row>
    <row r="60" spans="1:46" x14ac:dyDescent="0.25">
      <c r="A60" t="s">
        <v>1033</v>
      </c>
      <c r="B60" t="s">
        <v>2793</v>
      </c>
      <c r="C60" t="s">
        <v>2794</v>
      </c>
      <c r="D60" t="s">
        <v>2795</v>
      </c>
      <c r="E60">
        <v>2018</v>
      </c>
      <c r="G60">
        <v>4442</v>
      </c>
      <c r="H60">
        <v>512721</v>
      </c>
      <c r="I60">
        <v>71818893</v>
      </c>
      <c r="J60">
        <v>29201302</v>
      </c>
      <c r="K60">
        <v>160170823</v>
      </c>
      <c r="L60">
        <v>77659153</v>
      </c>
      <c r="M60" t="s">
        <v>1859</v>
      </c>
      <c r="AK60">
        <f>IF(LAM_API_TABLE[[#This Row],[Alternative_Data_Approval_Status]]="Approved",LAM_API_TABLE[[#This Row],[HCL_area_sqft_Alternative]],LAM_API_TABLE[[#This Row],[HCL_area_sqft]])</f>
        <v>0</v>
      </c>
      <c r="AL60">
        <f>IF(LAM_API_TABLE[[#This Row],[Alternative_Data_Approval_Status]]="Approved",LAM_API_TABLE[[#This Row],[Ag_area_sqft_Alternative]],LAM_API_TABLE[[#This Row],[Ag_area_sqft]])</f>
        <v>4442</v>
      </c>
      <c r="AM60">
        <f>IF(LAM_API_TABLE[[#This Row],[Alternative_Data_Approval_Status]]="Approved",LAM_API_TABLE[[#This Row],[Pool_area_sqft_Alternative]],LAM_API_TABLE[[#This Row],[Pool_area_sqft]])</f>
        <v>512721</v>
      </c>
      <c r="AN60">
        <f>IF(LAM_API_TABLE[[#This Row],[Alternative_Data_Approval_Status]]="Approved",LAM_API_TABLE[[#This Row],[Total_II_sqft_Alternative]],LAM_API_TABLE[[#This Row],[Total_II_sqft]])</f>
        <v>71818893</v>
      </c>
      <c r="AO60">
        <f>IF(LAM_API_TABLE[[#This Row],[Alternative_Data_Approval_Status]]="Approved",LAM_API_TABLE[[#This Row],[Total_INI_sqft_Alternative]],LAM_API_TABLE[[#This Row],[Total_INI_sqft]])</f>
        <v>29201302</v>
      </c>
      <c r="AP60">
        <f>IF(LAM_API_TABLE[[#This Row],[New_Res_Constr_Approval_Status]]="Approved",LAM_API_TABLE[[#This Row],[New_Res_Constr_sqft]],0)</f>
        <v>0</v>
      </c>
      <c r="AQ60">
        <f>IF(LAM_API_TABLE[[#This Row],[New_Res_Constr_Approval_Status]]="Approved",LAM_API_TABLE[[#This Row],[New_Res_SLA_norec_sqft]],0)</f>
        <v>0</v>
      </c>
      <c r="AR60">
        <f>IF(LAM_API_TABLE[[#This Row],[New_Res_Constr_Approval_Status]]="Approved",LAM_API_TABLE[[#This Row],[New_Res_SLA_rec_sqft]],0)</f>
        <v>0</v>
      </c>
      <c r="AS60">
        <f>IF(LAM_API_TABLE[[#This Row],[Existing_Res_SLA_Data_Approval_Status]]="Approved",LAM_API_TABLE[[#This Row],[Existing_Res_SLA_norec_sqft]],0)</f>
        <v>0</v>
      </c>
      <c r="AT60">
        <f>IF(LAM_API_TABLE[[#This Row],[Existing_Res_SLA_Data_Approval_Status]]="Approved",LAM_API_TABLE[[#This Row],[Existing_Res_SLA_rec_sqft]],0)</f>
        <v>0</v>
      </c>
    </row>
    <row r="61" spans="1:46" x14ac:dyDescent="0.25">
      <c r="A61" t="s">
        <v>1039</v>
      </c>
      <c r="B61" t="s">
        <v>2796</v>
      </c>
      <c r="C61" t="s">
        <v>2797</v>
      </c>
      <c r="D61" t="s">
        <v>2798</v>
      </c>
      <c r="E61">
        <v>2018</v>
      </c>
      <c r="G61">
        <v>4397715</v>
      </c>
      <c r="H61">
        <v>211893</v>
      </c>
      <c r="I61">
        <v>15711956</v>
      </c>
      <c r="J61">
        <v>8127393</v>
      </c>
      <c r="K61">
        <v>35933534</v>
      </c>
      <c r="L61">
        <v>17337435</v>
      </c>
      <c r="M61" t="s">
        <v>1859</v>
      </c>
      <c r="AK61">
        <f>IF(LAM_API_TABLE[[#This Row],[Alternative_Data_Approval_Status]]="Approved",LAM_API_TABLE[[#This Row],[HCL_area_sqft_Alternative]],LAM_API_TABLE[[#This Row],[HCL_area_sqft]])</f>
        <v>0</v>
      </c>
      <c r="AL61">
        <f>IF(LAM_API_TABLE[[#This Row],[Alternative_Data_Approval_Status]]="Approved",LAM_API_TABLE[[#This Row],[Ag_area_sqft_Alternative]],LAM_API_TABLE[[#This Row],[Ag_area_sqft]])</f>
        <v>4397715</v>
      </c>
      <c r="AM61">
        <f>IF(LAM_API_TABLE[[#This Row],[Alternative_Data_Approval_Status]]="Approved",LAM_API_TABLE[[#This Row],[Pool_area_sqft_Alternative]],LAM_API_TABLE[[#This Row],[Pool_area_sqft]])</f>
        <v>211893</v>
      </c>
      <c r="AN61">
        <f>IF(LAM_API_TABLE[[#This Row],[Alternative_Data_Approval_Status]]="Approved",LAM_API_TABLE[[#This Row],[Total_II_sqft_Alternative]],LAM_API_TABLE[[#This Row],[Total_II_sqft]])</f>
        <v>15711956</v>
      </c>
      <c r="AO61">
        <f>IF(LAM_API_TABLE[[#This Row],[Alternative_Data_Approval_Status]]="Approved",LAM_API_TABLE[[#This Row],[Total_INI_sqft_Alternative]],LAM_API_TABLE[[#This Row],[Total_INI_sqft]])</f>
        <v>8127393</v>
      </c>
      <c r="AP61">
        <f>IF(LAM_API_TABLE[[#This Row],[New_Res_Constr_Approval_Status]]="Approved",LAM_API_TABLE[[#This Row],[New_Res_Constr_sqft]],0)</f>
        <v>0</v>
      </c>
      <c r="AQ61">
        <f>IF(LAM_API_TABLE[[#This Row],[New_Res_Constr_Approval_Status]]="Approved",LAM_API_TABLE[[#This Row],[New_Res_SLA_norec_sqft]],0)</f>
        <v>0</v>
      </c>
      <c r="AR61">
        <f>IF(LAM_API_TABLE[[#This Row],[New_Res_Constr_Approval_Status]]="Approved",LAM_API_TABLE[[#This Row],[New_Res_SLA_rec_sqft]],0)</f>
        <v>0</v>
      </c>
      <c r="AS61">
        <f>IF(LAM_API_TABLE[[#This Row],[Existing_Res_SLA_Data_Approval_Status]]="Approved",LAM_API_TABLE[[#This Row],[Existing_Res_SLA_norec_sqft]],0)</f>
        <v>0</v>
      </c>
      <c r="AT61">
        <f>IF(LAM_API_TABLE[[#This Row],[Existing_Res_SLA_Data_Approval_Status]]="Approved",LAM_API_TABLE[[#This Row],[Existing_Res_SLA_rec_sqft]],0)</f>
        <v>0</v>
      </c>
    </row>
    <row r="62" spans="1:46" x14ac:dyDescent="0.25">
      <c r="A62" t="s">
        <v>1043</v>
      </c>
      <c r="B62" t="s">
        <v>2799</v>
      </c>
      <c r="C62" t="s">
        <v>722</v>
      </c>
      <c r="D62" t="s">
        <v>2800</v>
      </c>
      <c r="E62">
        <v>2018</v>
      </c>
      <c r="G62">
        <v>5</v>
      </c>
      <c r="H62">
        <v>5232</v>
      </c>
      <c r="I62">
        <v>10792536</v>
      </c>
      <c r="J62">
        <v>14810795</v>
      </c>
      <c r="K62">
        <v>53546224</v>
      </c>
      <c r="L62">
        <v>13754695</v>
      </c>
      <c r="M62" t="s">
        <v>1859</v>
      </c>
      <c r="AK62">
        <f>IF(LAM_API_TABLE[[#This Row],[Alternative_Data_Approval_Status]]="Approved",LAM_API_TABLE[[#This Row],[HCL_area_sqft_Alternative]],LAM_API_TABLE[[#This Row],[HCL_area_sqft]])</f>
        <v>0</v>
      </c>
      <c r="AL62">
        <f>IF(LAM_API_TABLE[[#This Row],[Alternative_Data_Approval_Status]]="Approved",LAM_API_TABLE[[#This Row],[Ag_area_sqft_Alternative]],LAM_API_TABLE[[#This Row],[Ag_area_sqft]])</f>
        <v>5</v>
      </c>
      <c r="AM62">
        <f>IF(LAM_API_TABLE[[#This Row],[Alternative_Data_Approval_Status]]="Approved",LAM_API_TABLE[[#This Row],[Pool_area_sqft_Alternative]],LAM_API_TABLE[[#This Row],[Pool_area_sqft]])</f>
        <v>5232</v>
      </c>
      <c r="AN62">
        <f>IF(LAM_API_TABLE[[#This Row],[Alternative_Data_Approval_Status]]="Approved",LAM_API_TABLE[[#This Row],[Total_II_sqft_Alternative]],LAM_API_TABLE[[#This Row],[Total_II_sqft]])</f>
        <v>10792536</v>
      </c>
      <c r="AO62">
        <f>IF(LAM_API_TABLE[[#This Row],[Alternative_Data_Approval_Status]]="Approved",LAM_API_TABLE[[#This Row],[Total_INI_sqft_Alternative]],LAM_API_TABLE[[#This Row],[Total_INI_sqft]])</f>
        <v>14810795</v>
      </c>
      <c r="AP62">
        <f>IF(LAM_API_TABLE[[#This Row],[New_Res_Constr_Approval_Status]]="Approved",LAM_API_TABLE[[#This Row],[New_Res_Constr_sqft]],0)</f>
        <v>0</v>
      </c>
      <c r="AQ62">
        <f>IF(LAM_API_TABLE[[#This Row],[New_Res_Constr_Approval_Status]]="Approved",LAM_API_TABLE[[#This Row],[New_Res_SLA_norec_sqft]],0)</f>
        <v>0</v>
      </c>
      <c r="AR62">
        <f>IF(LAM_API_TABLE[[#This Row],[New_Res_Constr_Approval_Status]]="Approved",LAM_API_TABLE[[#This Row],[New_Res_SLA_rec_sqft]],0)</f>
        <v>0</v>
      </c>
      <c r="AS62">
        <f>IF(LAM_API_TABLE[[#This Row],[Existing_Res_SLA_Data_Approval_Status]]="Approved",LAM_API_TABLE[[#This Row],[Existing_Res_SLA_norec_sqft]],0)</f>
        <v>0</v>
      </c>
      <c r="AT62">
        <f>IF(LAM_API_TABLE[[#This Row],[Existing_Res_SLA_Data_Approval_Status]]="Approved",LAM_API_TABLE[[#This Row],[Existing_Res_SLA_rec_sqft]],0)</f>
        <v>0</v>
      </c>
    </row>
    <row r="63" spans="1:46" x14ac:dyDescent="0.25">
      <c r="A63" t="s">
        <v>1047</v>
      </c>
      <c r="B63" t="s">
        <v>2801</v>
      </c>
      <c r="C63" t="s">
        <v>2802</v>
      </c>
      <c r="D63" t="s">
        <v>2803</v>
      </c>
      <c r="E63">
        <v>2018</v>
      </c>
      <c r="F63">
        <v>9542</v>
      </c>
      <c r="G63">
        <v>24214958</v>
      </c>
      <c r="H63">
        <v>611494</v>
      </c>
      <c r="I63">
        <v>77733522</v>
      </c>
      <c r="J63">
        <v>74603630</v>
      </c>
      <c r="K63">
        <v>217151546</v>
      </c>
      <c r="L63">
        <v>92654248</v>
      </c>
      <c r="M63" t="s">
        <v>1859</v>
      </c>
      <c r="AK63">
        <f>IF(LAM_API_TABLE[[#This Row],[Alternative_Data_Approval_Status]]="Approved",LAM_API_TABLE[[#This Row],[HCL_area_sqft_Alternative]],LAM_API_TABLE[[#This Row],[HCL_area_sqft]])</f>
        <v>9542</v>
      </c>
      <c r="AL63">
        <f>IF(LAM_API_TABLE[[#This Row],[Alternative_Data_Approval_Status]]="Approved",LAM_API_TABLE[[#This Row],[Ag_area_sqft_Alternative]],LAM_API_TABLE[[#This Row],[Ag_area_sqft]])</f>
        <v>24214958</v>
      </c>
      <c r="AM63">
        <f>IF(LAM_API_TABLE[[#This Row],[Alternative_Data_Approval_Status]]="Approved",LAM_API_TABLE[[#This Row],[Pool_area_sqft_Alternative]],LAM_API_TABLE[[#This Row],[Pool_area_sqft]])</f>
        <v>611494</v>
      </c>
      <c r="AN63">
        <f>IF(LAM_API_TABLE[[#This Row],[Alternative_Data_Approval_Status]]="Approved",LAM_API_TABLE[[#This Row],[Total_II_sqft_Alternative]],LAM_API_TABLE[[#This Row],[Total_II_sqft]])</f>
        <v>77733522</v>
      </c>
      <c r="AO63">
        <f>IF(LAM_API_TABLE[[#This Row],[Alternative_Data_Approval_Status]]="Approved",LAM_API_TABLE[[#This Row],[Total_INI_sqft_Alternative]],LAM_API_TABLE[[#This Row],[Total_INI_sqft]])</f>
        <v>74603630</v>
      </c>
      <c r="AP63">
        <f>IF(LAM_API_TABLE[[#This Row],[New_Res_Constr_Approval_Status]]="Approved",LAM_API_TABLE[[#This Row],[New_Res_Constr_sqft]],0)</f>
        <v>0</v>
      </c>
      <c r="AQ63">
        <f>IF(LAM_API_TABLE[[#This Row],[New_Res_Constr_Approval_Status]]="Approved",LAM_API_TABLE[[#This Row],[New_Res_SLA_norec_sqft]],0)</f>
        <v>0</v>
      </c>
      <c r="AR63">
        <f>IF(LAM_API_TABLE[[#This Row],[New_Res_Constr_Approval_Status]]="Approved",LAM_API_TABLE[[#This Row],[New_Res_SLA_rec_sqft]],0)</f>
        <v>0</v>
      </c>
      <c r="AS63">
        <f>IF(LAM_API_TABLE[[#This Row],[Existing_Res_SLA_Data_Approval_Status]]="Approved",LAM_API_TABLE[[#This Row],[Existing_Res_SLA_norec_sqft]],0)</f>
        <v>0</v>
      </c>
      <c r="AT63">
        <f>IF(LAM_API_TABLE[[#This Row],[Existing_Res_SLA_Data_Approval_Status]]="Approved",LAM_API_TABLE[[#This Row],[Existing_Res_SLA_rec_sqft]],0)</f>
        <v>0</v>
      </c>
    </row>
    <row r="64" spans="1:46" x14ac:dyDescent="0.25">
      <c r="A64" t="s">
        <v>1052</v>
      </c>
      <c r="B64" t="s">
        <v>2804</v>
      </c>
      <c r="C64" t="s">
        <v>2805</v>
      </c>
      <c r="D64" t="s">
        <v>2806</v>
      </c>
      <c r="E64">
        <v>2018</v>
      </c>
      <c r="F64">
        <v>5562</v>
      </c>
      <c r="G64">
        <v>9335544</v>
      </c>
      <c r="H64">
        <v>3808480</v>
      </c>
      <c r="I64">
        <v>125532613</v>
      </c>
      <c r="J64">
        <v>52401864</v>
      </c>
      <c r="K64">
        <v>238245223</v>
      </c>
      <c r="L64">
        <v>136012986</v>
      </c>
      <c r="M64" t="s">
        <v>1859</v>
      </c>
      <c r="AK64">
        <f>IF(LAM_API_TABLE[[#This Row],[Alternative_Data_Approval_Status]]="Approved",LAM_API_TABLE[[#This Row],[HCL_area_sqft_Alternative]],LAM_API_TABLE[[#This Row],[HCL_area_sqft]])</f>
        <v>5562</v>
      </c>
      <c r="AL64">
        <f>IF(LAM_API_TABLE[[#This Row],[Alternative_Data_Approval_Status]]="Approved",LAM_API_TABLE[[#This Row],[Ag_area_sqft_Alternative]],LAM_API_TABLE[[#This Row],[Ag_area_sqft]])</f>
        <v>9335544</v>
      </c>
      <c r="AM64">
        <f>IF(LAM_API_TABLE[[#This Row],[Alternative_Data_Approval_Status]]="Approved",LAM_API_TABLE[[#This Row],[Pool_area_sqft_Alternative]],LAM_API_TABLE[[#This Row],[Pool_area_sqft]])</f>
        <v>3808480</v>
      </c>
      <c r="AN64">
        <f>IF(LAM_API_TABLE[[#This Row],[Alternative_Data_Approval_Status]]="Approved",LAM_API_TABLE[[#This Row],[Total_II_sqft_Alternative]],LAM_API_TABLE[[#This Row],[Total_II_sqft]])</f>
        <v>125532613</v>
      </c>
      <c r="AO64">
        <f>IF(LAM_API_TABLE[[#This Row],[Alternative_Data_Approval_Status]]="Approved",LAM_API_TABLE[[#This Row],[Total_INI_sqft_Alternative]],LAM_API_TABLE[[#This Row],[Total_INI_sqft]])</f>
        <v>52401864</v>
      </c>
      <c r="AP64">
        <f>IF(LAM_API_TABLE[[#This Row],[New_Res_Constr_Approval_Status]]="Approved",LAM_API_TABLE[[#This Row],[New_Res_Constr_sqft]],0)</f>
        <v>0</v>
      </c>
      <c r="AQ64">
        <f>IF(LAM_API_TABLE[[#This Row],[New_Res_Constr_Approval_Status]]="Approved",LAM_API_TABLE[[#This Row],[New_Res_SLA_norec_sqft]],0)</f>
        <v>0</v>
      </c>
      <c r="AR64">
        <f>IF(LAM_API_TABLE[[#This Row],[New_Res_Constr_Approval_Status]]="Approved",LAM_API_TABLE[[#This Row],[New_Res_SLA_rec_sqft]],0)</f>
        <v>0</v>
      </c>
      <c r="AS64">
        <f>IF(LAM_API_TABLE[[#This Row],[Existing_Res_SLA_Data_Approval_Status]]="Approved",LAM_API_TABLE[[#This Row],[Existing_Res_SLA_norec_sqft]],0)</f>
        <v>0</v>
      </c>
      <c r="AT64">
        <f>IF(LAM_API_TABLE[[#This Row],[Existing_Res_SLA_Data_Approval_Status]]="Approved",LAM_API_TABLE[[#This Row],[Existing_Res_SLA_rec_sqft]],0)</f>
        <v>0</v>
      </c>
    </row>
    <row r="65" spans="1:46" x14ac:dyDescent="0.25">
      <c r="A65" t="s">
        <v>1061</v>
      </c>
      <c r="B65" t="s">
        <v>2807</v>
      </c>
      <c r="C65" t="s">
        <v>2808</v>
      </c>
      <c r="D65" t="s">
        <v>2809</v>
      </c>
      <c r="E65">
        <v>2018</v>
      </c>
      <c r="G65">
        <v>261299</v>
      </c>
      <c r="H65">
        <v>1008186</v>
      </c>
      <c r="I65">
        <v>34178796</v>
      </c>
      <c r="J65">
        <v>6905001</v>
      </c>
      <c r="K65">
        <v>57195787</v>
      </c>
      <c r="L65">
        <v>35559796</v>
      </c>
      <c r="M65" t="s">
        <v>1859</v>
      </c>
      <c r="AK65">
        <f>IF(LAM_API_TABLE[[#This Row],[Alternative_Data_Approval_Status]]="Approved",LAM_API_TABLE[[#This Row],[HCL_area_sqft_Alternative]],LAM_API_TABLE[[#This Row],[HCL_area_sqft]])</f>
        <v>0</v>
      </c>
      <c r="AL65">
        <f>IF(LAM_API_TABLE[[#This Row],[Alternative_Data_Approval_Status]]="Approved",LAM_API_TABLE[[#This Row],[Ag_area_sqft_Alternative]],LAM_API_TABLE[[#This Row],[Ag_area_sqft]])</f>
        <v>261299</v>
      </c>
      <c r="AM65">
        <f>IF(LAM_API_TABLE[[#This Row],[Alternative_Data_Approval_Status]]="Approved",LAM_API_TABLE[[#This Row],[Pool_area_sqft_Alternative]],LAM_API_TABLE[[#This Row],[Pool_area_sqft]])</f>
        <v>1008186</v>
      </c>
      <c r="AN65">
        <f>IF(LAM_API_TABLE[[#This Row],[Alternative_Data_Approval_Status]]="Approved",LAM_API_TABLE[[#This Row],[Total_II_sqft_Alternative]],LAM_API_TABLE[[#This Row],[Total_II_sqft]])</f>
        <v>34178796</v>
      </c>
      <c r="AO65">
        <f>IF(LAM_API_TABLE[[#This Row],[Alternative_Data_Approval_Status]]="Approved",LAM_API_TABLE[[#This Row],[Total_INI_sqft_Alternative]],LAM_API_TABLE[[#This Row],[Total_INI_sqft]])</f>
        <v>6905001</v>
      </c>
      <c r="AP65">
        <f>IF(LAM_API_TABLE[[#This Row],[New_Res_Constr_Approval_Status]]="Approved",LAM_API_TABLE[[#This Row],[New_Res_Constr_sqft]],0)</f>
        <v>0</v>
      </c>
      <c r="AQ65">
        <f>IF(LAM_API_TABLE[[#This Row],[New_Res_Constr_Approval_Status]]="Approved",LAM_API_TABLE[[#This Row],[New_Res_SLA_norec_sqft]],0)</f>
        <v>0</v>
      </c>
      <c r="AR65">
        <f>IF(LAM_API_TABLE[[#This Row],[New_Res_Constr_Approval_Status]]="Approved",LAM_API_TABLE[[#This Row],[New_Res_SLA_rec_sqft]],0)</f>
        <v>0</v>
      </c>
      <c r="AS65">
        <f>IF(LAM_API_TABLE[[#This Row],[Existing_Res_SLA_Data_Approval_Status]]="Approved",LAM_API_TABLE[[#This Row],[Existing_Res_SLA_norec_sqft]],0)</f>
        <v>0</v>
      </c>
      <c r="AT65">
        <f>IF(LAM_API_TABLE[[#This Row],[Existing_Res_SLA_Data_Approval_Status]]="Approved",LAM_API_TABLE[[#This Row],[Existing_Res_SLA_rec_sqft]],0)</f>
        <v>0</v>
      </c>
    </row>
    <row r="66" spans="1:46" x14ac:dyDescent="0.25">
      <c r="A66" t="s">
        <v>1065</v>
      </c>
      <c r="B66" t="s">
        <v>2810</v>
      </c>
      <c r="C66" t="s">
        <v>2811</v>
      </c>
      <c r="D66" t="s">
        <v>2812</v>
      </c>
      <c r="E66">
        <v>2018</v>
      </c>
      <c r="G66">
        <v>40862</v>
      </c>
      <c r="H66">
        <v>542513</v>
      </c>
      <c r="I66">
        <v>33815108</v>
      </c>
      <c r="J66">
        <v>6843567</v>
      </c>
      <c r="K66">
        <v>61920037</v>
      </c>
      <c r="L66">
        <v>35183821</v>
      </c>
      <c r="M66" t="s">
        <v>1859</v>
      </c>
      <c r="AK66">
        <f>IF(LAM_API_TABLE[[#This Row],[Alternative_Data_Approval_Status]]="Approved",LAM_API_TABLE[[#This Row],[HCL_area_sqft_Alternative]],LAM_API_TABLE[[#This Row],[HCL_area_sqft]])</f>
        <v>0</v>
      </c>
      <c r="AL66">
        <f>IF(LAM_API_TABLE[[#This Row],[Alternative_Data_Approval_Status]]="Approved",LAM_API_TABLE[[#This Row],[Ag_area_sqft_Alternative]],LAM_API_TABLE[[#This Row],[Ag_area_sqft]])</f>
        <v>40862</v>
      </c>
      <c r="AM66">
        <f>IF(LAM_API_TABLE[[#This Row],[Alternative_Data_Approval_Status]]="Approved",LAM_API_TABLE[[#This Row],[Pool_area_sqft_Alternative]],LAM_API_TABLE[[#This Row],[Pool_area_sqft]])</f>
        <v>542513</v>
      </c>
      <c r="AN66">
        <f>IF(LAM_API_TABLE[[#This Row],[Alternative_Data_Approval_Status]]="Approved",LAM_API_TABLE[[#This Row],[Total_II_sqft_Alternative]],LAM_API_TABLE[[#This Row],[Total_II_sqft]])</f>
        <v>33815108</v>
      </c>
      <c r="AO66">
        <f>IF(LAM_API_TABLE[[#This Row],[Alternative_Data_Approval_Status]]="Approved",LAM_API_TABLE[[#This Row],[Total_INI_sqft_Alternative]],LAM_API_TABLE[[#This Row],[Total_INI_sqft]])</f>
        <v>6843567</v>
      </c>
      <c r="AP66">
        <f>IF(LAM_API_TABLE[[#This Row],[New_Res_Constr_Approval_Status]]="Approved",LAM_API_TABLE[[#This Row],[New_Res_Constr_sqft]],0)</f>
        <v>0</v>
      </c>
      <c r="AQ66">
        <f>IF(LAM_API_TABLE[[#This Row],[New_Res_Constr_Approval_Status]]="Approved",LAM_API_TABLE[[#This Row],[New_Res_SLA_norec_sqft]],0)</f>
        <v>0</v>
      </c>
      <c r="AR66">
        <f>IF(LAM_API_TABLE[[#This Row],[New_Res_Constr_Approval_Status]]="Approved",LAM_API_TABLE[[#This Row],[New_Res_SLA_rec_sqft]],0)</f>
        <v>0</v>
      </c>
      <c r="AS66">
        <f>IF(LAM_API_TABLE[[#This Row],[Existing_Res_SLA_Data_Approval_Status]]="Approved",LAM_API_TABLE[[#This Row],[Existing_Res_SLA_norec_sqft]],0)</f>
        <v>0</v>
      </c>
      <c r="AT66">
        <f>IF(LAM_API_TABLE[[#This Row],[Existing_Res_SLA_Data_Approval_Status]]="Approved",LAM_API_TABLE[[#This Row],[Existing_Res_SLA_rec_sqft]],0)</f>
        <v>0</v>
      </c>
    </row>
    <row r="67" spans="1:46" x14ac:dyDescent="0.25">
      <c r="A67" t="s">
        <v>1069</v>
      </c>
      <c r="B67" t="s">
        <v>2813</v>
      </c>
      <c r="C67" t="s">
        <v>2814</v>
      </c>
      <c r="D67" t="s">
        <v>2815</v>
      </c>
      <c r="E67">
        <v>2018</v>
      </c>
      <c r="F67">
        <v>284</v>
      </c>
      <c r="G67">
        <v>105472</v>
      </c>
      <c r="H67">
        <v>1644</v>
      </c>
      <c r="I67">
        <v>5433331</v>
      </c>
      <c r="J67">
        <v>7872764</v>
      </c>
      <c r="K67">
        <v>32707715</v>
      </c>
      <c r="L67">
        <v>7007884</v>
      </c>
      <c r="M67" t="s">
        <v>1859</v>
      </c>
      <c r="AK67">
        <f>IF(LAM_API_TABLE[[#This Row],[Alternative_Data_Approval_Status]]="Approved",LAM_API_TABLE[[#This Row],[HCL_area_sqft_Alternative]],LAM_API_TABLE[[#This Row],[HCL_area_sqft]])</f>
        <v>284</v>
      </c>
      <c r="AL67">
        <f>IF(LAM_API_TABLE[[#This Row],[Alternative_Data_Approval_Status]]="Approved",LAM_API_TABLE[[#This Row],[Ag_area_sqft_Alternative]],LAM_API_TABLE[[#This Row],[Ag_area_sqft]])</f>
        <v>105472</v>
      </c>
      <c r="AM67">
        <f>IF(LAM_API_TABLE[[#This Row],[Alternative_Data_Approval_Status]]="Approved",LAM_API_TABLE[[#This Row],[Pool_area_sqft_Alternative]],LAM_API_TABLE[[#This Row],[Pool_area_sqft]])</f>
        <v>1644</v>
      </c>
      <c r="AN67">
        <f>IF(LAM_API_TABLE[[#This Row],[Alternative_Data_Approval_Status]]="Approved",LAM_API_TABLE[[#This Row],[Total_II_sqft_Alternative]],LAM_API_TABLE[[#This Row],[Total_II_sqft]])</f>
        <v>5433331</v>
      </c>
      <c r="AO67">
        <f>IF(LAM_API_TABLE[[#This Row],[Alternative_Data_Approval_Status]]="Approved",LAM_API_TABLE[[#This Row],[Total_INI_sqft_Alternative]],LAM_API_TABLE[[#This Row],[Total_INI_sqft]])</f>
        <v>7872764</v>
      </c>
      <c r="AP67">
        <f>IF(LAM_API_TABLE[[#This Row],[New_Res_Constr_Approval_Status]]="Approved",LAM_API_TABLE[[#This Row],[New_Res_Constr_sqft]],0)</f>
        <v>0</v>
      </c>
      <c r="AQ67">
        <f>IF(LAM_API_TABLE[[#This Row],[New_Res_Constr_Approval_Status]]="Approved",LAM_API_TABLE[[#This Row],[New_Res_SLA_norec_sqft]],0)</f>
        <v>0</v>
      </c>
      <c r="AR67">
        <f>IF(LAM_API_TABLE[[#This Row],[New_Res_Constr_Approval_Status]]="Approved",LAM_API_TABLE[[#This Row],[New_Res_SLA_rec_sqft]],0)</f>
        <v>0</v>
      </c>
      <c r="AS67">
        <f>IF(LAM_API_TABLE[[#This Row],[Existing_Res_SLA_Data_Approval_Status]]="Approved",LAM_API_TABLE[[#This Row],[Existing_Res_SLA_norec_sqft]],0)</f>
        <v>0</v>
      </c>
      <c r="AT67">
        <f>IF(LAM_API_TABLE[[#This Row],[Existing_Res_SLA_Data_Approval_Status]]="Approved",LAM_API_TABLE[[#This Row],[Existing_Res_SLA_rec_sqft]],0)</f>
        <v>0</v>
      </c>
    </row>
    <row r="68" spans="1:46" x14ac:dyDescent="0.25">
      <c r="A68" t="s">
        <v>1073</v>
      </c>
      <c r="B68" t="s">
        <v>1074</v>
      </c>
      <c r="C68" t="s">
        <v>2816</v>
      </c>
      <c r="D68" t="s">
        <v>2817</v>
      </c>
      <c r="E68">
        <v>2018</v>
      </c>
      <c r="F68">
        <v>1093291</v>
      </c>
      <c r="G68">
        <v>31382794</v>
      </c>
      <c r="H68">
        <v>788885</v>
      </c>
      <c r="I68">
        <v>50372121</v>
      </c>
      <c r="J68">
        <v>26343535</v>
      </c>
      <c r="K68">
        <v>177802502</v>
      </c>
      <c r="L68">
        <v>55640828</v>
      </c>
      <c r="M68" t="s">
        <v>1859</v>
      </c>
      <c r="AK68">
        <f>IF(LAM_API_TABLE[[#This Row],[Alternative_Data_Approval_Status]]="Approved",LAM_API_TABLE[[#This Row],[HCL_area_sqft_Alternative]],LAM_API_TABLE[[#This Row],[HCL_area_sqft]])</f>
        <v>1093291</v>
      </c>
      <c r="AL68">
        <f>IF(LAM_API_TABLE[[#This Row],[Alternative_Data_Approval_Status]]="Approved",LAM_API_TABLE[[#This Row],[Ag_area_sqft_Alternative]],LAM_API_TABLE[[#This Row],[Ag_area_sqft]])</f>
        <v>31382794</v>
      </c>
      <c r="AM68">
        <f>IF(LAM_API_TABLE[[#This Row],[Alternative_Data_Approval_Status]]="Approved",LAM_API_TABLE[[#This Row],[Pool_area_sqft_Alternative]],LAM_API_TABLE[[#This Row],[Pool_area_sqft]])</f>
        <v>788885</v>
      </c>
      <c r="AN68">
        <f>IF(LAM_API_TABLE[[#This Row],[Alternative_Data_Approval_Status]]="Approved",LAM_API_TABLE[[#This Row],[Total_II_sqft_Alternative]],LAM_API_TABLE[[#This Row],[Total_II_sqft]])</f>
        <v>50372121</v>
      </c>
      <c r="AO68">
        <f>IF(LAM_API_TABLE[[#This Row],[Alternative_Data_Approval_Status]]="Approved",LAM_API_TABLE[[#This Row],[Total_INI_sqft_Alternative]],LAM_API_TABLE[[#This Row],[Total_INI_sqft]])</f>
        <v>26343535</v>
      </c>
      <c r="AP68">
        <f>IF(LAM_API_TABLE[[#This Row],[New_Res_Constr_Approval_Status]]="Approved",LAM_API_TABLE[[#This Row],[New_Res_Constr_sqft]],0)</f>
        <v>0</v>
      </c>
      <c r="AQ68">
        <f>IF(LAM_API_TABLE[[#This Row],[New_Res_Constr_Approval_Status]]="Approved",LAM_API_TABLE[[#This Row],[New_Res_SLA_norec_sqft]],0)</f>
        <v>0</v>
      </c>
      <c r="AR68">
        <f>IF(LAM_API_TABLE[[#This Row],[New_Res_Constr_Approval_Status]]="Approved",LAM_API_TABLE[[#This Row],[New_Res_SLA_rec_sqft]],0)</f>
        <v>0</v>
      </c>
      <c r="AS68">
        <f>IF(LAM_API_TABLE[[#This Row],[Existing_Res_SLA_Data_Approval_Status]]="Approved",LAM_API_TABLE[[#This Row],[Existing_Res_SLA_norec_sqft]],0)</f>
        <v>0</v>
      </c>
      <c r="AT68">
        <f>IF(LAM_API_TABLE[[#This Row],[Existing_Res_SLA_Data_Approval_Status]]="Approved",LAM_API_TABLE[[#This Row],[Existing_Res_SLA_rec_sqft]],0)</f>
        <v>0</v>
      </c>
    </row>
    <row r="69" spans="1:46" x14ac:dyDescent="0.25">
      <c r="A69" t="s">
        <v>1077</v>
      </c>
      <c r="B69" t="s">
        <v>1078</v>
      </c>
      <c r="C69" t="s">
        <v>727</v>
      </c>
      <c r="D69" t="s">
        <v>2818</v>
      </c>
      <c r="E69">
        <v>2018</v>
      </c>
      <c r="F69">
        <v>36978</v>
      </c>
      <c r="G69">
        <v>299053</v>
      </c>
      <c r="H69">
        <v>1159374</v>
      </c>
      <c r="I69">
        <v>81256084</v>
      </c>
      <c r="J69">
        <v>22642089</v>
      </c>
      <c r="K69">
        <v>159310797</v>
      </c>
      <c r="L69">
        <v>85784502</v>
      </c>
      <c r="M69" t="s">
        <v>1859</v>
      </c>
      <c r="AK69">
        <f>IF(LAM_API_TABLE[[#This Row],[Alternative_Data_Approval_Status]]="Approved",LAM_API_TABLE[[#This Row],[HCL_area_sqft_Alternative]],LAM_API_TABLE[[#This Row],[HCL_area_sqft]])</f>
        <v>36978</v>
      </c>
      <c r="AL69">
        <f>IF(LAM_API_TABLE[[#This Row],[Alternative_Data_Approval_Status]]="Approved",LAM_API_TABLE[[#This Row],[Ag_area_sqft_Alternative]],LAM_API_TABLE[[#This Row],[Ag_area_sqft]])</f>
        <v>299053</v>
      </c>
      <c r="AM69">
        <f>IF(LAM_API_TABLE[[#This Row],[Alternative_Data_Approval_Status]]="Approved",LAM_API_TABLE[[#This Row],[Pool_area_sqft_Alternative]],LAM_API_TABLE[[#This Row],[Pool_area_sqft]])</f>
        <v>1159374</v>
      </c>
      <c r="AN69">
        <f>IF(LAM_API_TABLE[[#This Row],[Alternative_Data_Approval_Status]]="Approved",LAM_API_TABLE[[#This Row],[Total_II_sqft_Alternative]],LAM_API_TABLE[[#This Row],[Total_II_sqft]])</f>
        <v>81256084</v>
      </c>
      <c r="AO69">
        <f>IF(LAM_API_TABLE[[#This Row],[Alternative_Data_Approval_Status]]="Approved",LAM_API_TABLE[[#This Row],[Total_INI_sqft_Alternative]],LAM_API_TABLE[[#This Row],[Total_INI_sqft]])</f>
        <v>22642089</v>
      </c>
      <c r="AP69">
        <f>IF(LAM_API_TABLE[[#This Row],[New_Res_Constr_Approval_Status]]="Approved",LAM_API_TABLE[[#This Row],[New_Res_Constr_sqft]],0)</f>
        <v>0</v>
      </c>
      <c r="AQ69">
        <f>IF(LAM_API_TABLE[[#This Row],[New_Res_Constr_Approval_Status]]="Approved",LAM_API_TABLE[[#This Row],[New_Res_SLA_norec_sqft]],0)</f>
        <v>0</v>
      </c>
      <c r="AR69">
        <f>IF(LAM_API_TABLE[[#This Row],[New_Res_Constr_Approval_Status]]="Approved",LAM_API_TABLE[[#This Row],[New_Res_SLA_rec_sqft]],0)</f>
        <v>0</v>
      </c>
      <c r="AS69">
        <f>IF(LAM_API_TABLE[[#This Row],[Existing_Res_SLA_Data_Approval_Status]]="Approved",LAM_API_TABLE[[#This Row],[Existing_Res_SLA_norec_sqft]],0)</f>
        <v>0</v>
      </c>
      <c r="AT69">
        <f>IF(LAM_API_TABLE[[#This Row],[Existing_Res_SLA_Data_Approval_Status]]="Approved",LAM_API_TABLE[[#This Row],[Existing_Res_SLA_rec_sqft]],0)</f>
        <v>0</v>
      </c>
    </row>
    <row r="70" spans="1:46" x14ac:dyDescent="0.25">
      <c r="A70" t="s">
        <v>1081</v>
      </c>
      <c r="B70" t="s">
        <v>1082</v>
      </c>
      <c r="C70" t="s">
        <v>2819</v>
      </c>
      <c r="D70" t="s">
        <v>2820</v>
      </c>
      <c r="E70">
        <v>2018</v>
      </c>
      <c r="F70">
        <v>18924</v>
      </c>
      <c r="H70">
        <v>827438</v>
      </c>
      <c r="I70">
        <v>67352763</v>
      </c>
      <c r="J70">
        <v>27294254</v>
      </c>
      <c r="K70">
        <v>58363550</v>
      </c>
      <c r="L70">
        <v>72811614</v>
      </c>
      <c r="M70" t="s">
        <v>1859</v>
      </c>
      <c r="AK70">
        <f>IF(LAM_API_TABLE[[#This Row],[Alternative_Data_Approval_Status]]="Approved",LAM_API_TABLE[[#This Row],[HCL_area_sqft_Alternative]],LAM_API_TABLE[[#This Row],[HCL_area_sqft]])</f>
        <v>18924</v>
      </c>
      <c r="AL70">
        <f>IF(LAM_API_TABLE[[#This Row],[Alternative_Data_Approval_Status]]="Approved",LAM_API_TABLE[[#This Row],[Ag_area_sqft_Alternative]],LAM_API_TABLE[[#This Row],[Ag_area_sqft]])</f>
        <v>0</v>
      </c>
      <c r="AM70">
        <f>IF(LAM_API_TABLE[[#This Row],[Alternative_Data_Approval_Status]]="Approved",LAM_API_TABLE[[#This Row],[Pool_area_sqft_Alternative]],LAM_API_TABLE[[#This Row],[Pool_area_sqft]])</f>
        <v>827438</v>
      </c>
      <c r="AN70">
        <f>IF(LAM_API_TABLE[[#This Row],[Alternative_Data_Approval_Status]]="Approved",LAM_API_TABLE[[#This Row],[Total_II_sqft_Alternative]],LAM_API_TABLE[[#This Row],[Total_II_sqft]])</f>
        <v>67352763</v>
      </c>
      <c r="AO70">
        <f>IF(LAM_API_TABLE[[#This Row],[Alternative_Data_Approval_Status]]="Approved",LAM_API_TABLE[[#This Row],[Total_INI_sqft_Alternative]],LAM_API_TABLE[[#This Row],[Total_INI_sqft]])</f>
        <v>27294254</v>
      </c>
      <c r="AP70">
        <f>IF(LAM_API_TABLE[[#This Row],[New_Res_Constr_Approval_Status]]="Approved",LAM_API_TABLE[[#This Row],[New_Res_Constr_sqft]],0)</f>
        <v>0</v>
      </c>
      <c r="AQ70">
        <f>IF(LAM_API_TABLE[[#This Row],[New_Res_Constr_Approval_Status]]="Approved",LAM_API_TABLE[[#This Row],[New_Res_SLA_norec_sqft]],0)</f>
        <v>0</v>
      </c>
      <c r="AR70">
        <f>IF(LAM_API_TABLE[[#This Row],[New_Res_Constr_Approval_Status]]="Approved",LAM_API_TABLE[[#This Row],[New_Res_SLA_rec_sqft]],0)</f>
        <v>0</v>
      </c>
      <c r="AS70">
        <f>IF(LAM_API_TABLE[[#This Row],[Existing_Res_SLA_Data_Approval_Status]]="Approved",LAM_API_TABLE[[#This Row],[Existing_Res_SLA_norec_sqft]],0)</f>
        <v>0</v>
      </c>
      <c r="AT70">
        <f>IF(LAM_API_TABLE[[#This Row],[Existing_Res_SLA_Data_Approval_Status]]="Approved",LAM_API_TABLE[[#This Row],[Existing_Res_SLA_rec_sqft]],0)</f>
        <v>0</v>
      </c>
    </row>
    <row r="71" spans="1:46" x14ac:dyDescent="0.25">
      <c r="A71" t="s">
        <v>1085</v>
      </c>
      <c r="B71" t="s">
        <v>2821</v>
      </c>
      <c r="C71" t="s">
        <v>732</v>
      </c>
      <c r="D71" t="s">
        <v>2822</v>
      </c>
      <c r="E71">
        <v>2018</v>
      </c>
      <c r="F71">
        <v>27405</v>
      </c>
      <c r="G71">
        <v>3104960</v>
      </c>
      <c r="H71">
        <v>65858</v>
      </c>
      <c r="I71">
        <v>14719429</v>
      </c>
      <c r="J71">
        <v>7221163</v>
      </c>
      <c r="K71">
        <v>34484107</v>
      </c>
      <c r="L71">
        <v>16163661</v>
      </c>
      <c r="M71" t="s">
        <v>1859</v>
      </c>
      <c r="AK71">
        <f>IF(LAM_API_TABLE[[#This Row],[Alternative_Data_Approval_Status]]="Approved",LAM_API_TABLE[[#This Row],[HCL_area_sqft_Alternative]],LAM_API_TABLE[[#This Row],[HCL_area_sqft]])</f>
        <v>27405</v>
      </c>
      <c r="AL71">
        <f>IF(LAM_API_TABLE[[#This Row],[Alternative_Data_Approval_Status]]="Approved",LAM_API_TABLE[[#This Row],[Ag_area_sqft_Alternative]],LAM_API_TABLE[[#This Row],[Ag_area_sqft]])</f>
        <v>3104960</v>
      </c>
      <c r="AM71">
        <f>IF(LAM_API_TABLE[[#This Row],[Alternative_Data_Approval_Status]]="Approved",LAM_API_TABLE[[#This Row],[Pool_area_sqft_Alternative]],LAM_API_TABLE[[#This Row],[Pool_area_sqft]])</f>
        <v>65858</v>
      </c>
      <c r="AN71">
        <f>IF(LAM_API_TABLE[[#This Row],[Alternative_Data_Approval_Status]]="Approved",LAM_API_TABLE[[#This Row],[Total_II_sqft_Alternative]],LAM_API_TABLE[[#This Row],[Total_II_sqft]])</f>
        <v>14719429</v>
      </c>
      <c r="AO71">
        <f>IF(LAM_API_TABLE[[#This Row],[Alternative_Data_Approval_Status]]="Approved",LAM_API_TABLE[[#This Row],[Total_INI_sqft_Alternative]],LAM_API_TABLE[[#This Row],[Total_INI_sqft]])</f>
        <v>7221163</v>
      </c>
      <c r="AP71">
        <f>IF(LAM_API_TABLE[[#This Row],[New_Res_Constr_Approval_Status]]="Approved",LAM_API_TABLE[[#This Row],[New_Res_Constr_sqft]],0)</f>
        <v>0</v>
      </c>
      <c r="AQ71">
        <f>IF(LAM_API_TABLE[[#This Row],[New_Res_Constr_Approval_Status]]="Approved",LAM_API_TABLE[[#This Row],[New_Res_SLA_norec_sqft]],0)</f>
        <v>0</v>
      </c>
      <c r="AR71">
        <f>IF(LAM_API_TABLE[[#This Row],[New_Res_Constr_Approval_Status]]="Approved",LAM_API_TABLE[[#This Row],[New_Res_SLA_rec_sqft]],0)</f>
        <v>0</v>
      </c>
      <c r="AS71">
        <f>IF(LAM_API_TABLE[[#This Row],[Existing_Res_SLA_Data_Approval_Status]]="Approved",LAM_API_TABLE[[#This Row],[Existing_Res_SLA_norec_sqft]],0)</f>
        <v>0</v>
      </c>
      <c r="AT71">
        <f>IF(LAM_API_TABLE[[#This Row],[Existing_Res_SLA_Data_Approval_Status]]="Approved",LAM_API_TABLE[[#This Row],[Existing_Res_SLA_rec_sqft]],0)</f>
        <v>0</v>
      </c>
    </row>
    <row r="72" spans="1:46" x14ac:dyDescent="0.25">
      <c r="A72" t="s">
        <v>1090</v>
      </c>
      <c r="B72" t="s">
        <v>1091</v>
      </c>
      <c r="C72" t="s">
        <v>2823</v>
      </c>
      <c r="D72" t="s">
        <v>2824</v>
      </c>
      <c r="E72">
        <v>2020</v>
      </c>
      <c r="F72">
        <v>860967</v>
      </c>
      <c r="G72">
        <v>55611167</v>
      </c>
      <c r="H72">
        <v>422802</v>
      </c>
      <c r="I72">
        <v>29950845</v>
      </c>
      <c r="J72">
        <v>35314697</v>
      </c>
      <c r="K72">
        <v>328342000</v>
      </c>
      <c r="L72">
        <v>37013784</v>
      </c>
      <c r="M72" t="s">
        <v>1859</v>
      </c>
      <c r="AK72">
        <f>IF(LAM_API_TABLE[[#This Row],[Alternative_Data_Approval_Status]]="Approved",LAM_API_TABLE[[#This Row],[HCL_area_sqft_Alternative]],LAM_API_TABLE[[#This Row],[HCL_area_sqft]])</f>
        <v>860967</v>
      </c>
      <c r="AL72">
        <f>IF(LAM_API_TABLE[[#This Row],[Alternative_Data_Approval_Status]]="Approved",LAM_API_TABLE[[#This Row],[Ag_area_sqft_Alternative]],LAM_API_TABLE[[#This Row],[Ag_area_sqft]])</f>
        <v>55611167</v>
      </c>
      <c r="AM72">
        <f>IF(LAM_API_TABLE[[#This Row],[Alternative_Data_Approval_Status]]="Approved",LAM_API_TABLE[[#This Row],[Pool_area_sqft_Alternative]],LAM_API_TABLE[[#This Row],[Pool_area_sqft]])</f>
        <v>422802</v>
      </c>
      <c r="AN72">
        <f>IF(LAM_API_TABLE[[#This Row],[Alternative_Data_Approval_Status]]="Approved",LAM_API_TABLE[[#This Row],[Total_II_sqft_Alternative]],LAM_API_TABLE[[#This Row],[Total_II_sqft]])</f>
        <v>29950845</v>
      </c>
      <c r="AO72">
        <f>IF(LAM_API_TABLE[[#This Row],[Alternative_Data_Approval_Status]]="Approved",LAM_API_TABLE[[#This Row],[Total_INI_sqft_Alternative]],LAM_API_TABLE[[#This Row],[Total_INI_sqft]])</f>
        <v>35314697</v>
      </c>
      <c r="AP72">
        <f>IF(LAM_API_TABLE[[#This Row],[New_Res_Constr_Approval_Status]]="Approved",LAM_API_TABLE[[#This Row],[New_Res_Constr_sqft]],0)</f>
        <v>0</v>
      </c>
      <c r="AQ72">
        <f>IF(LAM_API_TABLE[[#This Row],[New_Res_Constr_Approval_Status]]="Approved",LAM_API_TABLE[[#This Row],[New_Res_SLA_norec_sqft]],0)</f>
        <v>0</v>
      </c>
      <c r="AR72">
        <f>IF(LAM_API_TABLE[[#This Row],[New_Res_Constr_Approval_Status]]="Approved",LAM_API_TABLE[[#This Row],[New_Res_SLA_rec_sqft]],0)</f>
        <v>0</v>
      </c>
      <c r="AS72">
        <f>IF(LAM_API_TABLE[[#This Row],[Existing_Res_SLA_Data_Approval_Status]]="Approved",LAM_API_TABLE[[#This Row],[Existing_Res_SLA_norec_sqft]],0)</f>
        <v>0</v>
      </c>
      <c r="AT72">
        <f>IF(LAM_API_TABLE[[#This Row],[Existing_Res_SLA_Data_Approval_Status]]="Approved",LAM_API_TABLE[[#This Row],[Existing_Res_SLA_rec_sqft]],0)</f>
        <v>0</v>
      </c>
    </row>
    <row r="73" spans="1:46" x14ac:dyDescent="0.25">
      <c r="A73" t="s">
        <v>1096</v>
      </c>
      <c r="B73" t="s">
        <v>1097</v>
      </c>
      <c r="C73" t="s">
        <v>2825</v>
      </c>
      <c r="D73" t="s">
        <v>2826</v>
      </c>
      <c r="E73">
        <v>2018</v>
      </c>
      <c r="H73">
        <v>469556</v>
      </c>
      <c r="I73">
        <v>28498825</v>
      </c>
      <c r="J73">
        <v>7540972</v>
      </c>
      <c r="K73">
        <v>53867853</v>
      </c>
      <c r="L73">
        <v>30007019</v>
      </c>
      <c r="M73" t="s">
        <v>1859</v>
      </c>
      <c r="AK73">
        <f>IF(LAM_API_TABLE[[#This Row],[Alternative_Data_Approval_Status]]="Approved",LAM_API_TABLE[[#This Row],[HCL_area_sqft_Alternative]],LAM_API_TABLE[[#This Row],[HCL_area_sqft]])</f>
        <v>0</v>
      </c>
      <c r="AL73">
        <f>IF(LAM_API_TABLE[[#This Row],[Alternative_Data_Approval_Status]]="Approved",LAM_API_TABLE[[#This Row],[Ag_area_sqft_Alternative]],LAM_API_TABLE[[#This Row],[Ag_area_sqft]])</f>
        <v>0</v>
      </c>
      <c r="AM73">
        <f>IF(LAM_API_TABLE[[#This Row],[Alternative_Data_Approval_Status]]="Approved",LAM_API_TABLE[[#This Row],[Pool_area_sqft_Alternative]],LAM_API_TABLE[[#This Row],[Pool_area_sqft]])</f>
        <v>469556</v>
      </c>
      <c r="AN73">
        <f>IF(LAM_API_TABLE[[#This Row],[Alternative_Data_Approval_Status]]="Approved",LAM_API_TABLE[[#This Row],[Total_II_sqft_Alternative]],LAM_API_TABLE[[#This Row],[Total_II_sqft]])</f>
        <v>28498825</v>
      </c>
      <c r="AO73">
        <f>IF(LAM_API_TABLE[[#This Row],[Alternative_Data_Approval_Status]]="Approved",LAM_API_TABLE[[#This Row],[Total_INI_sqft_Alternative]],LAM_API_TABLE[[#This Row],[Total_INI_sqft]])</f>
        <v>7540972</v>
      </c>
      <c r="AP73">
        <f>IF(LAM_API_TABLE[[#This Row],[New_Res_Constr_Approval_Status]]="Approved",LAM_API_TABLE[[#This Row],[New_Res_Constr_sqft]],0)</f>
        <v>0</v>
      </c>
      <c r="AQ73">
        <f>IF(LAM_API_TABLE[[#This Row],[New_Res_Constr_Approval_Status]]="Approved",LAM_API_TABLE[[#This Row],[New_Res_SLA_norec_sqft]],0)</f>
        <v>0</v>
      </c>
      <c r="AR73">
        <f>IF(LAM_API_TABLE[[#This Row],[New_Res_Constr_Approval_Status]]="Approved",LAM_API_TABLE[[#This Row],[New_Res_SLA_rec_sqft]],0)</f>
        <v>0</v>
      </c>
      <c r="AS73">
        <f>IF(LAM_API_TABLE[[#This Row],[Existing_Res_SLA_Data_Approval_Status]]="Approved",LAM_API_TABLE[[#This Row],[Existing_Res_SLA_norec_sqft]],0)</f>
        <v>0</v>
      </c>
      <c r="AT73">
        <f>IF(LAM_API_TABLE[[#This Row],[Existing_Res_SLA_Data_Approval_Status]]="Approved",LAM_API_TABLE[[#This Row],[Existing_Res_SLA_rec_sqft]],0)</f>
        <v>0</v>
      </c>
    </row>
    <row r="74" spans="1:46" x14ac:dyDescent="0.25">
      <c r="A74" t="s">
        <v>1101</v>
      </c>
      <c r="B74" t="s">
        <v>2827</v>
      </c>
      <c r="C74" t="s">
        <v>2828</v>
      </c>
      <c r="D74" t="s">
        <v>2829</v>
      </c>
      <c r="E74">
        <v>2018</v>
      </c>
      <c r="G74">
        <v>156673</v>
      </c>
      <c r="H74">
        <v>772243</v>
      </c>
      <c r="I74">
        <v>27349797</v>
      </c>
      <c r="J74">
        <v>1539296</v>
      </c>
      <c r="K74">
        <v>60657773</v>
      </c>
      <c r="L74">
        <v>27657656</v>
      </c>
      <c r="M74" t="s">
        <v>1859</v>
      </c>
      <c r="AK74">
        <f>IF(LAM_API_TABLE[[#This Row],[Alternative_Data_Approval_Status]]="Approved",LAM_API_TABLE[[#This Row],[HCL_area_sqft_Alternative]],LAM_API_TABLE[[#This Row],[HCL_area_sqft]])</f>
        <v>0</v>
      </c>
      <c r="AL74">
        <f>IF(LAM_API_TABLE[[#This Row],[Alternative_Data_Approval_Status]]="Approved",LAM_API_TABLE[[#This Row],[Ag_area_sqft_Alternative]],LAM_API_TABLE[[#This Row],[Ag_area_sqft]])</f>
        <v>156673</v>
      </c>
      <c r="AM74">
        <f>IF(LAM_API_TABLE[[#This Row],[Alternative_Data_Approval_Status]]="Approved",LAM_API_TABLE[[#This Row],[Pool_area_sqft_Alternative]],LAM_API_TABLE[[#This Row],[Pool_area_sqft]])</f>
        <v>772243</v>
      </c>
      <c r="AN74">
        <f>IF(LAM_API_TABLE[[#This Row],[Alternative_Data_Approval_Status]]="Approved",LAM_API_TABLE[[#This Row],[Total_II_sqft_Alternative]],LAM_API_TABLE[[#This Row],[Total_II_sqft]])</f>
        <v>27349797</v>
      </c>
      <c r="AO74">
        <f>IF(LAM_API_TABLE[[#This Row],[Alternative_Data_Approval_Status]]="Approved",LAM_API_TABLE[[#This Row],[Total_INI_sqft_Alternative]],LAM_API_TABLE[[#This Row],[Total_INI_sqft]])</f>
        <v>1539296</v>
      </c>
      <c r="AP74">
        <f>IF(LAM_API_TABLE[[#This Row],[New_Res_Constr_Approval_Status]]="Approved",LAM_API_TABLE[[#This Row],[New_Res_Constr_sqft]],0)</f>
        <v>0</v>
      </c>
      <c r="AQ74">
        <f>IF(LAM_API_TABLE[[#This Row],[New_Res_Constr_Approval_Status]]="Approved",LAM_API_TABLE[[#This Row],[New_Res_SLA_norec_sqft]],0)</f>
        <v>0</v>
      </c>
      <c r="AR74">
        <f>IF(LAM_API_TABLE[[#This Row],[New_Res_Constr_Approval_Status]]="Approved",LAM_API_TABLE[[#This Row],[New_Res_SLA_rec_sqft]],0)</f>
        <v>0</v>
      </c>
      <c r="AS74">
        <f>IF(LAM_API_TABLE[[#This Row],[Existing_Res_SLA_Data_Approval_Status]]="Approved",LAM_API_TABLE[[#This Row],[Existing_Res_SLA_norec_sqft]],0)</f>
        <v>0</v>
      </c>
      <c r="AT74">
        <f>IF(LAM_API_TABLE[[#This Row],[Existing_Res_SLA_Data_Approval_Status]]="Approved",LAM_API_TABLE[[#This Row],[Existing_Res_SLA_rec_sqft]],0)</f>
        <v>0</v>
      </c>
    </row>
    <row r="75" spans="1:46" x14ac:dyDescent="0.25">
      <c r="A75" t="s">
        <v>1105</v>
      </c>
      <c r="B75" t="s">
        <v>2830</v>
      </c>
      <c r="C75" t="s">
        <v>2831</v>
      </c>
      <c r="D75" t="s">
        <v>2832</v>
      </c>
      <c r="E75">
        <v>2018</v>
      </c>
      <c r="F75">
        <v>32072</v>
      </c>
      <c r="G75">
        <v>7981473</v>
      </c>
      <c r="H75">
        <v>1357777</v>
      </c>
      <c r="I75">
        <v>44773409</v>
      </c>
      <c r="J75">
        <v>11004878</v>
      </c>
      <c r="K75">
        <v>116541835</v>
      </c>
      <c r="L75">
        <v>46974384</v>
      </c>
      <c r="M75" t="s">
        <v>1859</v>
      </c>
      <c r="AK75">
        <f>IF(LAM_API_TABLE[[#This Row],[Alternative_Data_Approval_Status]]="Approved",LAM_API_TABLE[[#This Row],[HCL_area_sqft_Alternative]],LAM_API_TABLE[[#This Row],[HCL_area_sqft]])</f>
        <v>32072</v>
      </c>
      <c r="AL75">
        <f>IF(LAM_API_TABLE[[#This Row],[Alternative_Data_Approval_Status]]="Approved",LAM_API_TABLE[[#This Row],[Ag_area_sqft_Alternative]],LAM_API_TABLE[[#This Row],[Ag_area_sqft]])</f>
        <v>7981473</v>
      </c>
      <c r="AM75">
        <f>IF(LAM_API_TABLE[[#This Row],[Alternative_Data_Approval_Status]]="Approved",LAM_API_TABLE[[#This Row],[Pool_area_sqft_Alternative]],LAM_API_TABLE[[#This Row],[Pool_area_sqft]])</f>
        <v>1357777</v>
      </c>
      <c r="AN75">
        <f>IF(LAM_API_TABLE[[#This Row],[Alternative_Data_Approval_Status]]="Approved",LAM_API_TABLE[[#This Row],[Total_II_sqft_Alternative]],LAM_API_TABLE[[#This Row],[Total_II_sqft]])</f>
        <v>44773409</v>
      </c>
      <c r="AO75">
        <f>IF(LAM_API_TABLE[[#This Row],[Alternative_Data_Approval_Status]]="Approved",LAM_API_TABLE[[#This Row],[Total_INI_sqft_Alternative]],LAM_API_TABLE[[#This Row],[Total_INI_sqft]])</f>
        <v>11004878</v>
      </c>
      <c r="AP75">
        <f>IF(LAM_API_TABLE[[#This Row],[New_Res_Constr_Approval_Status]]="Approved",LAM_API_TABLE[[#This Row],[New_Res_Constr_sqft]],0)</f>
        <v>0</v>
      </c>
      <c r="AQ75">
        <f>IF(LAM_API_TABLE[[#This Row],[New_Res_Constr_Approval_Status]]="Approved",LAM_API_TABLE[[#This Row],[New_Res_SLA_norec_sqft]],0)</f>
        <v>0</v>
      </c>
      <c r="AR75">
        <f>IF(LAM_API_TABLE[[#This Row],[New_Res_Constr_Approval_Status]]="Approved",LAM_API_TABLE[[#This Row],[New_Res_SLA_rec_sqft]],0)</f>
        <v>0</v>
      </c>
      <c r="AS75">
        <f>IF(LAM_API_TABLE[[#This Row],[Existing_Res_SLA_Data_Approval_Status]]="Approved",LAM_API_TABLE[[#This Row],[Existing_Res_SLA_norec_sqft]],0)</f>
        <v>0</v>
      </c>
      <c r="AT75">
        <f>IF(LAM_API_TABLE[[#This Row],[Existing_Res_SLA_Data_Approval_Status]]="Approved",LAM_API_TABLE[[#This Row],[Existing_Res_SLA_rec_sqft]],0)</f>
        <v>0</v>
      </c>
    </row>
    <row r="76" spans="1:46" x14ac:dyDescent="0.25">
      <c r="A76" t="s">
        <v>1109</v>
      </c>
      <c r="B76" t="s">
        <v>2833</v>
      </c>
      <c r="C76" t="s">
        <v>2834</v>
      </c>
      <c r="D76" t="s">
        <v>2835</v>
      </c>
      <c r="E76">
        <v>2018</v>
      </c>
      <c r="F76">
        <v>247914</v>
      </c>
      <c r="G76">
        <v>815784</v>
      </c>
      <c r="H76">
        <v>1353062</v>
      </c>
      <c r="I76">
        <v>64457690</v>
      </c>
      <c r="J76">
        <v>5424199</v>
      </c>
      <c r="K76">
        <v>197520057</v>
      </c>
      <c r="L76">
        <v>65542530</v>
      </c>
      <c r="M76" t="s">
        <v>1859</v>
      </c>
      <c r="AK76">
        <f>IF(LAM_API_TABLE[[#This Row],[Alternative_Data_Approval_Status]]="Approved",LAM_API_TABLE[[#This Row],[HCL_area_sqft_Alternative]],LAM_API_TABLE[[#This Row],[HCL_area_sqft]])</f>
        <v>247914</v>
      </c>
      <c r="AL76">
        <f>IF(LAM_API_TABLE[[#This Row],[Alternative_Data_Approval_Status]]="Approved",LAM_API_TABLE[[#This Row],[Ag_area_sqft_Alternative]],LAM_API_TABLE[[#This Row],[Ag_area_sqft]])</f>
        <v>815784</v>
      </c>
      <c r="AM76">
        <f>IF(LAM_API_TABLE[[#This Row],[Alternative_Data_Approval_Status]]="Approved",LAM_API_TABLE[[#This Row],[Pool_area_sqft_Alternative]],LAM_API_TABLE[[#This Row],[Pool_area_sqft]])</f>
        <v>1353062</v>
      </c>
      <c r="AN76">
        <f>IF(LAM_API_TABLE[[#This Row],[Alternative_Data_Approval_Status]]="Approved",LAM_API_TABLE[[#This Row],[Total_II_sqft_Alternative]],LAM_API_TABLE[[#This Row],[Total_II_sqft]])</f>
        <v>64457690</v>
      </c>
      <c r="AO76">
        <f>IF(LAM_API_TABLE[[#This Row],[Alternative_Data_Approval_Status]]="Approved",LAM_API_TABLE[[#This Row],[Total_INI_sqft_Alternative]],LAM_API_TABLE[[#This Row],[Total_INI_sqft]])</f>
        <v>5424199</v>
      </c>
      <c r="AP76">
        <f>IF(LAM_API_TABLE[[#This Row],[New_Res_Constr_Approval_Status]]="Approved",LAM_API_TABLE[[#This Row],[New_Res_Constr_sqft]],0)</f>
        <v>0</v>
      </c>
      <c r="AQ76">
        <f>IF(LAM_API_TABLE[[#This Row],[New_Res_Constr_Approval_Status]]="Approved",LAM_API_TABLE[[#This Row],[New_Res_SLA_norec_sqft]],0)</f>
        <v>0</v>
      </c>
      <c r="AR76">
        <f>IF(LAM_API_TABLE[[#This Row],[New_Res_Constr_Approval_Status]]="Approved",LAM_API_TABLE[[#This Row],[New_Res_SLA_rec_sqft]],0)</f>
        <v>0</v>
      </c>
      <c r="AS76">
        <f>IF(LAM_API_TABLE[[#This Row],[Existing_Res_SLA_Data_Approval_Status]]="Approved",LAM_API_TABLE[[#This Row],[Existing_Res_SLA_norec_sqft]],0)</f>
        <v>0</v>
      </c>
      <c r="AT76">
        <f>IF(LAM_API_TABLE[[#This Row],[Existing_Res_SLA_Data_Approval_Status]]="Approved",LAM_API_TABLE[[#This Row],[Existing_Res_SLA_rec_sqft]],0)</f>
        <v>0</v>
      </c>
    </row>
    <row r="77" spans="1:46" x14ac:dyDescent="0.25">
      <c r="A77" t="s">
        <v>1113</v>
      </c>
      <c r="B77" t="s">
        <v>1114</v>
      </c>
      <c r="C77" t="s">
        <v>2836</v>
      </c>
      <c r="D77" t="s">
        <v>2837</v>
      </c>
      <c r="E77">
        <v>2018</v>
      </c>
      <c r="F77">
        <v>3028</v>
      </c>
      <c r="G77">
        <v>216139</v>
      </c>
      <c r="H77">
        <v>1036328</v>
      </c>
      <c r="I77">
        <v>88168901</v>
      </c>
      <c r="J77">
        <v>33055069</v>
      </c>
      <c r="K77">
        <v>115315296</v>
      </c>
      <c r="L77">
        <v>94779915</v>
      </c>
      <c r="M77" t="s">
        <v>1859</v>
      </c>
      <c r="AK77">
        <f>IF(LAM_API_TABLE[[#This Row],[Alternative_Data_Approval_Status]]="Approved",LAM_API_TABLE[[#This Row],[HCL_area_sqft_Alternative]],LAM_API_TABLE[[#This Row],[HCL_area_sqft]])</f>
        <v>3028</v>
      </c>
      <c r="AL77">
        <f>IF(LAM_API_TABLE[[#This Row],[Alternative_Data_Approval_Status]]="Approved",LAM_API_TABLE[[#This Row],[Ag_area_sqft_Alternative]],LAM_API_TABLE[[#This Row],[Ag_area_sqft]])</f>
        <v>216139</v>
      </c>
      <c r="AM77">
        <f>IF(LAM_API_TABLE[[#This Row],[Alternative_Data_Approval_Status]]="Approved",LAM_API_TABLE[[#This Row],[Pool_area_sqft_Alternative]],LAM_API_TABLE[[#This Row],[Pool_area_sqft]])</f>
        <v>1036328</v>
      </c>
      <c r="AN77">
        <f>IF(LAM_API_TABLE[[#This Row],[Alternative_Data_Approval_Status]]="Approved",LAM_API_TABLE[[#This Row],[Total_II_sqft_Alternative]],LAM_API_TABLE[[#This Row],[Total_II_sqft]])</f>
        <v>88168901</v>
      </c>
      <c r="AO77">
        <f>IF(LAM_API_TABLE[[#This Row],[Alternative_Data_Approval_Status]]="Approved",LAM_API_TABLE[[#This Row],[Total_INI_sqft_Alternative]],LAM_API_TABLE[[#This Row],[Total_INI_sqft]])</f>
        <v>33055069</v>
      </c>
      <c r="AP77">
        <f>IF(LAM_API_TABLE[[#This Row],[New_Res_Constr_Approval_Status]]="Approved",LAM_API_TABLE[[#This Row],[New_Res_Constr_sqft]],0)</f>
        <v>0</v>
      </c>
      <c r="AQ77">
        <f>IF(LAM_API_TABLE[[#This Row],[New_Res_Constr_Approval_Status]]="Approved",LAM_API_TABLE[[#This Row],[New_Res_SLA_norec_sqft]],0)</f>
        <v>0</v>
      </c>
      <c r="AR77">
        <f>IF(LAM_API_TABLE[[#This Row],[New_Res_Constr_Approval_Status]]="Approved",LAM_API_TABLE[[#This Row],[New_Res_SLA_rec_sqft]],0)</f>
        <v>0</v>
      </c>
      <c r="AS77">
        <f>IF(LAM_API_TABLE[[#This Row],[Existing_Res_SLA_Data_Approval_Status]]="Approved",LAM_API_TABLE[[#This Row],[Existing_Res_SLA_norec_sqft]],0)</f>
        <v>0</v>
      </c>
      <c r="AT77">
        <f>IF(LAM_API_TABLE[[#This Row],[Existing_Res_SLA_Data_Approval_Status]]="Approved",LAM_API_TABLE[[#This Row],[Existing_Res_SLA_rec_sqft]],0)</f>
        <v>0</v>
      </c>
    </row>
    <row r="78" spans="1:46" x14ac:dyDescent="0.25">
      <c r="A78" t="s">
        <v>1117</v>
      </c>
      <c r="B78" t="s">
        <v>2838</v>
      </c>
      <c r="C78" t="s">
        <v>2839</v>
      </c>
      <c r="D78" t="s">
        <v>2840</v>
      </c>
      <c r="E78">
        <v>2018</v>
      </c>
      <c r="F78">
        <v>2063</v>
      </c>
      <c r="G78">
        <v>80239</v>
      </c>
      <c r="H78">
        <v>66650</v>
      </c>
      <c r="I78">
        <v>8074981</v>
      </c>
      <c r="J78">
        <v>5054701</v>
      </c>
      <c r="K78">
        <v>23421598</v>
      </c>
      <c r="L78">
        <v>9085921</v>
      </c>
      <c r="M78" t="s">
        <v>1859</v>
      </c>
      <c r="AK78">
        <f>IF(LAM_API_TABLE[[#This Row],[Alternative_Data_Approval_Status]]="Approved",LAM_API_TABLE[[#This Row],[HCL_area_sqft_Alternative]],LAM_API_TABLE[[#This Row],[HCL_area_sqft]])</f>
        <v>2063</v>
      </c>
      <c r="AL78">
        <f>IF(LAM_API_TABLE[[#This Row],[Alternative_Data_Approval_Status]]="Approved",LAM_API_TABLE[[#This Row],[Ag_area_sqft_Alternative]],LAM_API_TABLE[[#This Row],[Ag_area_sqft]])</f>
        <v>80239</v>
      </c>
      <c r="AM78">
        <f>IF(LAM_API_TABLE[[#This Row],[Alternative_Data_Approval_Status]]="Approved",LAM_API_TABLE[[#This Row],[Pool_area_sqft_Alternative]],LAM_API_TABLE[[#This Row],[Pool_area_sqft]])</f>
        <v>66650</v>
      </c>
      <c r="AN78">
        <f>IF(LAM_API_TABLE[[#This Row],[Alternative_Data_Approval_Status]]="Approved",LAM_API_TABLE[[#This Row],[Total_II_sqft_Alternative]],LAM_API_TABLE[[#This Row],[Total_II_sqft]])</f>
        <v>8074981</v>
      </c>
      <c r="AO78">
        <f>IF(LAM_API_TABLE[[#This Row],[Alternative_Data_Approval_Status]]="Approved",LAM_API_TABLE[[#This Row],[Total_INI_sqft_Alternative]],LAM_API_TABLE[[#This Row],[Total_INI_sqft]])</f>
        <v>5054701</v>
      </c>
      <c r="AP78">
        <f>IF(LAM_API_TABLE[[#This Row],[New_Res_Constr_Approval_Status]]="Approved",LAM_API_TABLE[[#This Row],[New_Res_Constr_sqft]],0)</f>
        <v>0</v>
      </c>
      <c r="AQ78">
        <f>IF(LAM_API_TABLE[[#This Row],[New_Res_Constr_Approval_Status]]="Approved",LAM_API_TABLE[[#This Row],[New_Res_SLA_norec_sqft]],0)</f>
        <v>0</v>
      </c>
      <c r="AR78">
        <f>IF(LAM_API_TABLE[[#This Row],[New_Res_Constr_Approval_Status]]="Approved",LAM_API_TABLE[[#This Row],[New_Res_SLA_rec_sqft]],0)</f>
        <v>0</v>
      </c>
      <c r="AS78">
        <f>IF(LAM_API_TABLE[[#This Row],[Existing_Res_SLA_Data_Approval_Status]]="Approved",LAM_API_TABLE[[#This Row],[Existing_Res_SLA_norec_sqft]],0)</f>
        <v>0</v>
      </c>
      <c r="AT78">
        <f>IF(LAM_API_TABLE[[#This Row],[Existing_Res_SLA_Data_Approval_Status]]="Approved",LAM_API_TABLE[[#This Row],[Existing_Res_SLA_rec_sqft]],0)</f>
        <v>0</v>
      </c>
    </row>
    <row r="79" spans="1:46" x14ac:dyDescent="0.25">
      <c r="A79" t="s">
        <v>1122</v>
      </c>
      <c r="B79" t="s">
        <v>1123</v>
      </c>
      <c r="C79" t="s">
        <v>2841</v>
      </c>
      <c r="D79" t="s">
        <v>2842</v>
      </c>
      <c r="E79">
        <v>2018</v>
      </c>
      <c r="G79">
        <v>5236154</v>
      </c>
      <c r="H79">
        <v>2529487</v>
      </c>
      <c r="I79">
        <v>107726381</v>
      </c>
      <c r="J79">
        <v>32932244</v>
      </c>
      <c r="K79">
        <v>193011662</v>
      </c>
      <c r="L79">
        <v>114312830</v>
      </c>
      <c r="M79" t="s">
        <v>1859</v>
      </c>
      <c r="AK79">
        <f>IF(LAM_API_TABLE[[#This Row],[Alternative_Data_Approval_Status]]="Approved",LAM_API_TABLE[[#This Row],[HCL_area_sqft_Alternative]],LAM_API_TABLE[[#This Row],[HCL_area_sqft]])</f>
        <v>0</v>
      </c>
      <c r="AL79">
        <f>IF(LAM_API_TABLE[[#This Row],[Alternative_Data_Approval_Status]]="Approved",LAM_API_TABLE[[#This Row],[Ag_area_sqft_Alternative]],LAM_API_TABLE[[#This Row],[Ag_area_sqft]])</f>
        <v>5236154</v>
      </c>
      <c r="AM79">
        <f>IF(LAM_API_TABLE[[#This Row],[Alternative_Data_Approval_Status]]="Approved",LAM_API_TABLE[[#This Row],[Pool_area_sqft_Alternative]],LAM_API_TABLE[[#This Row],[Pool_area_sqft]])</f>
        <v>2529487</v>
      </c>
      <c r="AN79">
        <f>IF(LAM_API_TABLE[[#This Row],[Alternative_Data_Approval_Status]]="Approved",LAM_API_TABLE[[#This Row],[Total_II_sqft_Alternative]],LAM_API_TABLE[[#This Row],[Total_II_sqft]])</f>
        <v>107726381</v>
      </c>
      <c r="AO79">
        <f>IF(LAM_API_TABLE[[#This Row],[Alternative_Data_Approval_Status]]="Approved",LAM_API_TABLE[[#This Row],[Total_INI_sqft_Alternative]],LAM_API_TABLE[[#This Row],[Total_INI_sqft]])</f>
        <v>32932244</v>
      </c>
      <c r="AP79">
        <f>IF(LAM_API_TABLE[[#This Row],[New_Res_Constr_Approval_Status]]="Approved",LAM_API_TABLE[[#This Row],[New_Res_Constr_sqft]],0)</f>
        <v>0</v>
      </c>
      <c r="AQ79">
        <f>IF(LAM_API_TABLE[[#This Row],[New_Res_Constr_Approval_Status]]="Approved",LAM_API_TABLE[[#This Row],[New_Res_SLA_norec_sqft]],0)</f>
        <v>0</v>
      </c>
      <c r="AR79">
        <f>IF(LAM_API_TABLE[[#This Row],[New_Res_Constr_Approval_Status]]="Approved",LAM_API_TABLE[[#This Row],[New_Res_SLA_rec_sqft]],0)</f>
        <v>0</v>
      </c>
      <c r="AS79">
        <f>IF(LAM_API_TABLE[[#This Row],[Existing_Res_SLA_Data_Approval_Status]]="Approved",LAM_API_TABLE[[#This Row],[Existing_Res_SLA_norec_sqft]],0)</f>
        <v>0</v>
      </c>
      <c r="AT79">
        <f>IF(LAM_API_TABLE[[#This Row],[Existing_Res_SLA_Data_Approval_Status]]="Approved",LAM_API_TABLE[[#This Row],[Existing_Res_SLA_rec_sqft]],0)</f>
        <v>0</v>
      </c>
    </row>
    <row r="80" spans="1:46" x14ac:dyDescent="0.25">
      <c r="A80" t="s">
        <v>1126</v>
      </c>
      <c r="B80" t="s">
        <v>2843</v>
      </c>
      <c r="C80" t="s">
        <v>2844</v>
      </c>
      <c r="D80" t="s">
        <v>2845</v>
      </c>
      <c r="E80">
        <v>2018</v>
      </c>
      <c r="F80">
        <v>50459</v>
      </c>
      <c r="G80">
        <v>7784029</v>
      </c>
      <c r="H80">
        <v>111400</v>
      </c>
      <c r="I80">
        <v>21592767</v>
      </c>
      <c r="J80">
        <v>9171047</v>
      </c>
      <c r="K80">
        <v>66192432</v>
      </c>
      <c r="L80">
        <v>23426976</v>
      </c>
      <c r="M80" t="s">
        <v>1859</v>
      </c>
      <c r="AK80">
        <f>IF(LAM_API_TABLE[[#This Row],[Alternative_Data_Approval_Status]]="Approved",LAM_API_TABLE[[#This Row],[HCL_area_sqft_Alternative]],LAM_API_TABLE[[#This Row],[HCL_area_sqft]])</f>
        <v>50459</v>
      </c>
      <c r="AL80">
        <f>IF(LAM_API_TABLE[[#This Row],[Alternative_Data_Approval_Status]]="Approved",LAM_API_TABLE[[#This Row],[Ag_area_sqft_Alternative]],LAM_API_TABLE[[#This Row],[Ag_area_sqft]])</f>
        <v>7784029</v>
      </c>
      <c r="AM80">
        <f>IF(LAM_API_TABLE[[#This Row],[Alternative_Data_Approval_Status]]="Approved",LAM_API_TABLE[[#This Row],[Pool_area_sqft_Alternative]],LAM_API_TABLE[[#This Row],[Pool_area_sqft]])</f>
        <v>111400</v>
      </c>
      <c r="AN80">
        <f>IF(LAM_API_TABLE[[#This Row],[Alternative_Data_Approval_Status]]="Approved",LAM_API_TABLE[[#This Row],[Total_II_sqft_Alternative]],LAM_API_TABLE[[#This Row],[Total_II_sqft]])</f>
        <v>21592767</v>
      </c>
      <c r="AO80">
        <f>IF(LAM_API_TABLE[[#This Row],[Alternative_Data_Approval_Status]]="Approved",LAM_API_TABLE[[#This Row],[Total_INI_sqft_Alternative]],LAM_API_TABLE[[#This Row],[Total_INI_sqft]])</f>
        <v>9171047</v>
      </c>
      <c r="AP80">
        <f>IF(LAM_API_TABLE[[#This Row],[New_Res_Constr_Approval_Status]]="Approved",LAM_API_TABLE[[#This Row],[New_Res_Constr_sqft]],0)</f>
        <v>0</v>
      </c>
      <c r="AQ80">
        <f>IF(LAM_API_TABLE[[#This Row],[New_Res_Constr_Approval_Status]]="Approved",LAM_API_TABLE[[#This Row],[New_Res_SLA_norec_sqft]],0)</f>
        <v>0</v>
      </c>
      <c r="AR80">
        <f>IF(LAM_API_TABLE[[#This Row],[New_Res_Constr_Approval_Status]]="Approved",LAM_API_TABLE[[#This Row],[New_Res_SLA_rec_sqft]],0)</f>
        <v>0</v>
      </c>
      <c r="AS80">
        <f>IF(LAM_API_TABLE[[#This Row],[Existing_Res_SLA_Data_Approval_Status]]="Approved",LAM_API_TABLE[[#This Row],[Existing_Res_SLA_norec_sqft]],0)</f>
        <v>0</v>
      </c>
      <c r="AT80">
        <f>IF(LAM_API_TABLE[[#This Row],[Existing_Res_SLA_Data_Approval_Status]]="Approved",LAM_API_TABLE[[#This Row],[Existing_Res_SLA_rec_sqft]],0)</f>
        <v>0</v>
      </c>
    </row>
    <row r="81" spans="1:46" x14ac:dyDescent="0.25">
      <c r="A81" t="s">
        <v>1130</v>
      </c>
      <c r="B81" t="s">
        <v>1131</v>
      </c>
      <c r="C81" t="s">
        <v>2846</v>
      </c>
      <c r="D81" t="s">
        <v>2847</v>
      </c>
      <c r="E81">
        <v>2018</v>
      </c>
      <c r="F81">
        <v>1015081</v>
      </c>
      <c r="G81">
        <v>66661937</v>
      </c>
      <c r="H81">
        <v>12039288</v>
      </c>
      <c r="I81">
        <v>350771322</v>
      </c>
      <c r="J81">
        <v>93239237</v>
      </c>
      <c r="K81">
        <v>1481098238</v>
      </c>
      <c r="L81">
        <v>369419169</v>
      </c>
      <c r="M81" t="s">
        <v>1859</v>
      </c>
      <c r="AK81">
        <f>IF(LAM_API_TABLE[[#This Row],[Alternative_Data_Approval_Status]]="Approved",LAM_API_TABLE[[#This Row],[HCL_area_sqft_Alternative]],LAM_API_TABLE[[#This Row],[HCL_area_sqft]])</f>
        <v>1015081</v>
      </c>
      <c r="AL81">
        <f>IF(LAM_API_TABLE[[#This Row],[Alternative_Data_Approval_Status]]="Approved",LAM_API_TABLE[[#This Row],[Ag_area_sqft_Alternative]],LAM_API_TABLE[[#This Row],[Ag_area_sqft]])</f>
        <v>66661937</v>
      </c>
      <c r="AM81">
        <f>IF(LAM_API_TABLE[[#This Row],[Alternative_Data_Approval_Status]]="Approved",LAM_API_TABLE[[#This Row],[Pool_area_sqft_Alternative]],LAM_API_TABLE[[#This Row],[Pool_area_sqft]])</f>
        <v>12039288</v>
      </c>
      <c r="AN81">
        <f>IF(LAM_API_TABLE[[#This Row],[Alternative_Data_Approval_Status]]="Approved",LAM_API_TABLE[[#This Row],[Total_II_sqft_Alternative]],LAM_API_TABLE[[#This Row],[Total_II_sqft]])</f>
        <v>350771322</v>
      </c>
      <c r="AO81">
        <f>IF(LAM_API_TABLE[[#This Row],[Alternative_Data_Approval_Status]]="Approved",LAM_API_TABLE[[#This Row],[Total_INI_sqft_Alternative]],LAM_API_TABLE[[#This Row],[Total_INI_sqft]])</f>
        <v>93239237</v>
      </c>
      <c r="AP81">
        <f>IF(LAM_API_TABLE[[#This Row],[New_Res_Constr_Approval_Status]]="Approved",LAM_API_TABLE[[#This Row],[New_Res_Constr_sqft]],0)</f>
        <v>0</v>
      </c>
      <c r="AQ81">
        <f>IF(LAM_API_TABLE[[#This Row],[New_Res_Constr_Approval_Status]]="Approved",LAM_API_TABLE[[#This Row],[New_Res_SLA_norec_sqft]],0)</f>
        <v>0</v>
      </c>
      <c r="AR81">
        <f>IF(LAM_API_TABLE[[#This Row],[New_Res_Constr_Approval_Status]]="Approved",LAM_API_TABLE[[#This Row],[New_Res_SLA_rec_sqft]],0)</f>
        <v>0</v>
      </c>
      <c r="AS81">
        <f>IF(LAM_API_TABLE[[#This Row],[Existing_Res_SLA_Data_Approval_Status]]="Approved",LAM_API_TABLE[[#This Row],[Existing_Res_SLA_norec_sqft]],0)</f>
        <v>0</v>
      </c>
      <c r="AT81">
        <f>IF(LAM_API_TABLE[[#This Row],[Existing_Res_SLA_Data_Approval_Status]]="Approved",LAM_API_TABLE[[#This Row],[Existing_Res_SLA_rec_sqft]],0)</f>
        <v>0</v>
      </c>
    </row>
    <row r="82" spans="1:46" x14ac:dyDescent="0.25">
      <c r="A82" t="s">
        <v>1136</v>
      </c>
      <c r="B82" t="s">
        <v>1137</v>
      </c>
      <c r="C82" t="s">
        <v>2848</v>
      </c>
      <c r="D82" t="s">
        <v>2849</v>
      </c>
      <c r="E82">
        <v>2018</v>
      </c>
      <c r="F82">
        <v>7041</v>
      </c>
      <c r="G82">
        <v>1806201</v>
      </c>
      <c r="H82">
        <v>175927</v>
      </c>
      <c r="I82">
        <v>6252605</v>
      </c>
      <c r="J82">
        <v>3963879</v>
      </c>
      <c r="K82">
        <v>19966621</v>
      </c>
      <c r="L82">
        <v>7045381</v>
      </c>
      <c r="M82" t="s">
        <v>1859</v>
      </c>
      <c r="AK82">
        <f>IF(LAM_API_TABLE[[#This Row],[Alternative_Data_Approval_Status]]="Approved",LAM_API_TABLE[[#This Row],[HCL_area_sqft_Alternative]],LAM_API_TABLE[[#This Row],[HCL_area_sqft]])</f>
        <v>7041</v>
      </c>
      <c r="AL82">
        <f>IF(LAM_API_TABLE[[#This Row],[Alternative_Data_Approval_Status]]="Approved",LAM_API_TABLE[[#This Row],[Ag_area_sqft_Alternative]],LAM_API_TABLE[[#This Row],[Ag_area_sqft]])</f>
        <v>1806201</v>
      </c>
      <c r="AM82">
        <f>IF(LAM_API_TABLE[[#This Row],[Alternative_Data_Approval_Status]]="Approved",LAM_API_TABLE[[#This Row],[Pool_area_sqft_Alternative]],LAM_API_TABLE[[#This Row],[Pool_area_sqft]])</f>
        <v>175927</v>
      </c>
      <c r="AN82">
        <f>IF(LAM_API_TABLE[[#This Row],[Alternative_Data_Approval_Status]]="Approved",LAM_API_TABLE[[#This Row],[Total_II_sqft_Alternative]],LAM_API_TABLE[[#This Row],[Total_II_sqft]])</f>
        <v>6252605</v>
      </c>
      <c r="AO82">
        <f>IF(LAM_API_TABLE[[#This Row],[Alternative_Data_Approval_Status]]="Approved",LAM_API_TABLE[[#This Row],[Total_INI_sqft_Alternative]],LAM_API_TABLE[[#This Row],[Total_INI_sqft]])</f>
        <v>3963879</v>
      </c>
      <c r="AP82">
        <f>IF(LAM_API_TABLE[[#This Row],[New_Res_Constr_Approval_Status]]="Approved",LAM_API_TABLE[[#This Row],[New_Res_Constr_sqft]],0)</f>
        <v>0</v>
      </c>
      <c r="AQ82">
        <f>IF(LAM_API_TABLE[[#This Row],[New_Res_Constr_Approval_Status]]="Approved",LAM_API_TABLE[[#This Row],[New_Res_SLA_norec_sqft]],0)</f>
        <v>0</v>
      </c>
      <c r="AR82">
        <f>IF(LAM_API_TABLE[[#This Row],[New_Res_Constr_Approval_Status]]="Approved",LAM_API_TABLE[[#This Row],[New_Res_SLA_rec_sqft]],0)</f>
        <v>0</v>
      </c>
      <c r="AS82">
        <f>IF(LAM_API_TABLE[[#This Row],[Existing_Res_SLA_Data_Approval_Status]]="Approved",LAM_API_TABLE[[#This Row],[Existing_Res_SLA_norec_sqft]],0)</f>
        <v>0</v>
      </c>
      <c r="AT82">
        <f>IF(LAM_API_TABLE[[#This Row],[Existing_Res_SLA_Data_Approval_Status]]="Approved",LAM_API_TABLE[[#This Row],[Existing_Res_SLA_rec_sqft]],0)</f>
        <v>0</v>
      </c>
    </row>
    <row r="83" spans="1:46" x14ac:dyDescent="0.25">
      <c r="A83" t="s">
        <v>1140</v>
      </c>
      <c r="B83" t="s">
        <v>1141</v>
      </c>
      <c r="C83" t="s">
        <v>2850</v>
      </c>
      <c r="D83" t="s">
        <v>2851</v>
      </c>
      <c r="E83">
        <v>2018</v>
      </c>
      <c r="F83">
        <v>144634</v>
      </c>
      <c r="G83">
        <v>5776567</v>
      </c>
      <c r="H83">
        <v>479</v>
      </c>
      <c r="I83">
        <v>14429749</v>
      </c>
      <c r="J83">
        <v>5214419</v>
      </c>
      <c r="K83">
        <v>37890065</v>
      </c>
      <c r="L83">
        <v>15472633</v>
      </c>
      <c r="M83" t="s">
        <v>1859</v>
      </c>
      <c r="AK83">
        <f>IF(LAM_API_TABLE[[#This Row],[Alternative_Data_Approval_Status]]="Approved",LAM_API_TABLE[[#This Row],[HCL_area_sqft_Alternative]],LAM_API_TABLE[[#This Row],[HCL_area_sqft]])</f>
        <v>144634</v>
      </c>
      <c r="AL83">
        <f>IF(LAM_API_TABLE[[#This Row],[Alternative_Data_Approval_Status]]="Approved",LAM_API_TABLE[[#This Row],[Ag_area_sqft_Alternative]],LAM_API_TABLE[[#This Row],[Ag_area_sqft]])</f>
        <v>5776567</v>
      </c>
      <c r="AM83">
        <f>IF(LAM_API_TABLE[[#This Row],[Alternative_Data_Approval_Status]]="Approved",LAM_API_TABLE[[#This Row],[Pool_area_sqft_Alternative]],LAM_API_TABLE[[#This Row],[Pool_area_sqft]])</f>
        <v>479</v>
      </c>
      <c r="AN83">
        <f>IF(LAM_API_TABLE[[#This Row],[Alternative_Data_Approval_Status]]="Approved",LAM_API_TABLE[[#This Row],[Total_II_sqft_Alternative]],LAM_API_TABLE[[#This Row],[Total_II_sqft]])</f>
        <v>14429749</v>
      </c>
      <c r="AO83">
        <f>IF(LAM_API_TABLE[[#This Row],[Alternative_Data_Approval_Status]]="Approved",LAM_API_TABLE[[#This Row],[Total_INI_sqft_Alternative]],LAM_API_TABLE[[#This Row],[Total_INI_sqft]])</f>
        <v>5214419</v>
      </c>
      <c r="AP83">
        <f>IF(LAM_API_TABLE[[#This Row],[New_Res_Constr_Approval_Status]]="Approved",LAM_API_TABLE[[#This Row],[New_Res_Constr_sqft]],0)</f>
        <v>0</v>
      </c>
      <c r="AQ83">
        <f>IF(LAM_API_TABLE[[#This Row],[New_Res_Constr_Approval_Status]]="Approved",LAM_API_TABLE[[#This Row],[New_Res_SLA_norec_sqft]],0)</f>
        <v>0</v>
      </c>
      <c r="AR83">
        <f>IF(LAM_API_TABLE[[#This Row],[New_Res_Constr_Approval_Status]]="Approved",LAM_API_TABLE[[#This Row],[New_Res_SLA_rec_sqft]],0)</f>
        <v>0</v>
      </c>
      <c r="AS83">
        <f>IF(LAM_API_TABLE[[#This Row],[Existing_Res_SLA_Data_Approval_Status]]="Approved",LAM_API_TABLE[[#This Row],[Existing_Res_SLA_norec_sqft]],0)</f>
        <v>0</v>
      </c>
      <c r="AT83">
        <f>IF(LAM_API_TABLE[[#This Row],[Existing_Res_SLA_Data_Approval_Status]]="Approved",LAM_API_TABLE[[#This Row],[Existing_Res_SLA_rec_sqft]],0)</f>
        <v>0</v>
      </c>
    </row>
    <row r="84" spans="1:46" x14ac:dyDescent="0.25">
      <c r="A84" t="s">
        <v>1144</v>
      </c>
      <c r="B84" t="s">
        <v>2852</v>
      </c>
      <c r="C84" t="s">
        <v>2853</v>
      </c>
      <c r="D84" t="s">
        <v>2854</v>
      </c>
      <c r="E84">
        <v>2018</v>
      </c>
      <c r="F84">
        <v>19300</v>
      </c>
      <c r="G84">
        <v>102020</v>
      </c>
      <c r="H84">
        <v>357914</v>
      </c>
      <c r="I84">
        <v>21944625</v>
      </c>
      <c r="J84">
        <v>18347460</v>
      </c>
      <c r="K84">
        <v>71885796</v>
      </c>
      <c r="L84">
        <v>25614117</v>
      </c>
      <c r="M84" t="s">
        <v>1859</v>
      </c>
      <c r="AK84">
        <f>IF(LAM_API_TABLE[[#This Row],[Alternative_Data_Approval_Status]]="Approved",LAM_API_TABLE[[#This Row],[HCL_area_sqft_Alternative]],LAM_API_TABLE[[#This Row],[HCL_area_sqft]])</f>
        <v>19300</v>
      </c>
      <c r="AL84">
        <f>IF(LAM_API_TABLE[[#This Row],[Alternative_Data_Approval_Status]]="Approved",LAM_API_TABLE[[#This Row],[Ag_area_sqft_Alternative]],LAM_API_TABLE[[#This Row],[Ag_area_sqft]])</f>
        <v>102020</v>
      </c>
      <c r="AM84">
        <f>IF(LAM_API_TABLE[[#This Row],[Alternative_Data_Approval_Status]]="Approved",LAM_API_TABLE[[#This Row],[Pool_area_sqft_Alternative]],LAM_API_TABLE[[#This Row],[Pool_area_sqft]])</f>
        <v>357914</v>
      </c>
      <c r="AN84">
        <f>IF(LAM_API_TABLE[[#This Row],[Alternative_Data_Approval_Status]]="Approved",LAM_API_TABLE[[#This Row],[Total_II_sqft_Alternative]],LAM_API_TABLE[[#This Row],[Total_II_sqft]])</f>
        <v>21944625</v>
      </c>
      <c r="AO84">
        <f>IF(LAM_API_TABLE[[#This Row],[Alternative_Data_Approval_Status]]="Approved",LAM_API_TABLE[[#This Row],[Total_INI_sqft_Alternative]],LAM_API_TABLE[[#This Row],[Total_INI_sqft]])</f>
        <v>18347460</v>
      </c>
      <c r="AP84">
        <f>IF(LAM_API_TABLE[[#This Row],[New_Res_Constr_Approval_Status]]="Approved",LAM_API_TABLE[[#This Row],[New_Res_Constr_sqft]],0)</f>
        <v>0</v>
      </c>
      <c r="AQ84">
        <f>IF(LAM_API_TABLE[[#This Row],[New_Res_Constr_Approval_Status]]="Approved",LAM_API_TABLE[[#This Row],[New_Res_SLA_norec_sqft]],0)</f>
        <v>0</v>
      </c>
      <c r="AR84">
        <f>IF(LAM_API_TABLE[[#This Row],[New_Res_Constr_Approval_Status]]="Approved",LAM_API_TABLE[[#This Row],[New_Res_SLA_rec_sqft]],0)</f>
        <v>0</v>
      </c>
      <c r="AS84">
        <f>IF(LAM_API_TABLE[[#This Row],[Existing_Res_SLA_Data_Approval_Status]]="Approved",LAM_API_TABLE[[#This Row],[Existing_Res_SLA_norec_sqft]],0)</f>
        <v>0</v>
      </c>
      <c r="AT84">
        <f>IF(LAM_API_TABLE[[#This Row],[Existing_Res_SLA_Data_Approval_Status]]="Approved",LAM_API_TABLE[[#This Row],[Existing_Res_SLA_rec_sqft]],0)</f>
        <v>0</v>
      </c>
    </row>
    <row r="85" spans="1:46" x14ac:dyDescent="0.25">
      <c r="A85" t="s">
        <v>1148</v>
      </c>
      <c r="B85" t="s">
        <v>2855</v>
      </c>
      <c r="C85" t="s">
        <v>2856</v>
      </c>
      <c r="D85" t="s">
        <v>2857</v>
      </c>
      <c r="E85">
        <v>2018</v>
      </c>
      <c r="F85">
        <v>1637</v>
      </c>
      <c r="H85">
        <v>93665</v>
      </c>
      <c r="I85">
        <v>18914125</v>
      </c>
      <c r="J85">
        <v>13225070</v>
      </c>
      <c r="K85">
        <v>50557956</v>
      </c>
      <c r="L85">
        <v>21559139</v>
      </c>
      <c r="M85" t="s">
        <v>1859</v>
      </c>
      <c r="AK85">
        <f>IF(LAM_API_TABLE[[#This Row],[Alternative_Data_Approval_Status]]="Approved",LAM_API_TABLE[[#This Row],[HCL_area_sqft_Alternative]],LAM_API_TABLE[[#This Row],[HCL_area_sqft]])</f>
        <v>1637</v>
      </c>
      <c r="AL85">
        <f>IF(LAM_API_TABLE[[#This Row],[Alternative_Data_Approval_Status]]="Approved",LAM_API_TABLE[[#This Row],[Ag_area_sqft_Alternative]],LAM_API_TABLE[[#This Row],[Ag_area_sqft]])</f>
        <v>0</v>
      </c>
      <c r="AM85">
        <f>IF(LAM_API_TABLE[[#This Row],[Alternative_Data_Approval_Status]]="Approved",LAM_API_TABLE[[#This Row],[Pool_area_sqft_Alternative]],LAM_API_TABLE[[#This Row],[Pool_area_sqft]])</f>
        <v>93665</v>
      </c>
      <c r="AN85">
        <f>IF(LAM_API_TABLE[[#This Row],[Alternative_Data_Approval_Status]]="Approved",LAM_API_TABLE[[#This Row],[Total_II_sqft_Alternative]],LAM_API_TABLE[[#This Row],[Total_II_sqft]])</f>
        <v>18914125</v>
      </c>
      <c r="AO85">
        <f>IF(LAM_API_TABLE[[#This Row],[Alternative_Data_Approval_Status]]="Approved",LAM_API_TABLE[[#This Row],[Total_INI_sqft_Alternative]],LAM_API_TABLE[[#This Row],[Total_INI_sqft]])</f>
        <v>13225070</v>
      </c>
      <c r="AP85">
        <f>IF(LAM_API_TABLE[[#This Row],[New_Res_Constr_Approval_Status]]="Approved",LAM_API_TABLE[[#This Row],[New_Res_Constr_sqft]],0)</f>
        <v>0</v>
      </c>
      <c r="AQ85">
        <f>IF(LAM_API_TABLE[[#This Row],[New_Res_Constr_Approval_Status]]="Approved",LAM_API_TABLE[[#This Row],[New_Res_SLA_norec_sqft]],0)</f>
        <v>0</v>
      </c>
      <c r="AR85">
        <f>IF(LAM_API_TABLE[[#This Row],[New_Res_Constr_Approval_Status]]="Approved",LAM_API_TABLE[[#This Row],[New_Res_SLA_rec_sqft]],0)</f>
        <v>0</v>
      </c>
      <c r="AS85">
        <f>IF(LAM_API_TABLE[[#This Row],[Existing_Res_SLA_Data_Approval_Status]]="Approved",LAM_API_TABLE[[#This Row],[Existing_Res_SLA_norec_sqft]],0)</f>
        <v>0</v>
      </c>
      <c r="AT85">
        <f>IF(LAM_API_TABLE[[#This Row],[Existing_Res_SLA_Data_Approval_Status]]="Approved",LAM_API_TABLE[[#This Row],[Existing_Res_SLA_rec_sqft]],0)</f>
        <v>0</v>
      </c>
    </row>
    <row r="86" spans="1:46" x14ac:dyDescent="0.25">
      <c r="A86" t="s">
        <v>1152</v>
      </c>
      <c r="B86" t="s">
        <v>1153</v>
      </c>
      <c r="C86" t="s">
        <v>737</v>
      </c>
      <c r="D86" t="s">
        <v>2858</v>
      </c>
      <c r="E86">
        <v>2018</v>
      </c>
      <c r="F86">
        <v>125472</v>
      </c>
      <c r="G86">
        <v>778832</v>
      </c>
      <c r="H86">
        <v>2830438</v>
      </c>
      <c r="I86">
        <v>226848665</v>
      </c>
      <c r="J86">
        <v>56563612</v>
      </c>
      <c r="K86">
        <v>384577974</v>
      </c>
      <c r="L86">
        <v>238161388</v>
      </c>
      <c r="M86" t="s">
        <v>1859</v>
      </c>
      <c r="AK86">
        <f>IF(LAM_API_TABLE[[#This Row],[Alternative_Data_Approval_Status]]="Approved",LAM_API_TABLE[[#This Row],[HCL_area_sqft_Alternative]],LAM_API_TABLE[[#This Row],[HCL_area_sqft]])</f>
        <v>125472</v>
      </c>
      <c r="AL86">
        <f>IF(LAM_API_TABLE[[#This Row],[Alternative_Data_Approval_Status]]="Approved",LAM_API_TABLE[[#This Row],[Ag_area_sqft_Alternative]],LAM_API_TABLE[[#This Row],[Ag_area_sqft]])</f>
        <v>778832</v>
      </c>
      <c r="AM86">
        <f>IF(LAM_API_TABLE[[#This Row],[Alternative_Data_Approval_Status]]="Approved",LAM_API_TABLE[[#This Row],[Pool_area_sqft_Alternative]],LAM_API_TABLE[[#This Row],[Pool_area_sqft]])</f>
        <v>2830438</v>
      </c>
      <c r="AN86">
        <f>IF(LAM_API_TABLE[[#This Row],[Alternative_Data_Approval_Status]]="Approved",LAM_API_TABLE[[#This Row],[Total_II_sqft_Alternative]],LAM_API_TABLE[[#This Row],[Total_II_sqft]])</f>
        <v>226848665</v>
      </c>
      <c r="AO86">
        <f>IF(LAM_API_TABLE[[#This Row],[Alternative_Data_Approval_Status]]="Approved",LAM_API_TABLE[[#This Row],[Total_INI_sqft_Alternative]],LAM_API_TABLE[[#This Row],[Total_INI_sqft]])</f>
        <v>56563612</v>
      </c>
      <c r="AP86">
        <f>IF(LAM_API_TABLE[[#This Row],[New_Res_Constr_Approval_Status]]="Approved",LAM_API_TABLE[[#This Row],[New_Res_Constr_sqft]],0)</f>
        <v>0</v>
      </c>
      <c r="AQ86">
        <f>IF(LAM_API_TABLE[[#This Row],[New_Res_Constr_Approval_Status]]="Approved",LAM_API_TABLE[[#This Row],[New_Res_SLA_norec_sqft]],0)</f>
        <v>0</v>
      </c>
      <c r="AR86">
        <f>IF(LAM_API_TABLE[[#This Row],[New_Res_Constr_Approval_Status]]="Approved",LAM_API_TABLE[[#This Row],[New_Res_SLA_rec_sqft]],0)</f>
        <v>0</v>
      </c>
      <c r="AS86">
        <f>IF(LAM_API_TABLE[[#This Row],[Existing_Res_SLA_Data_Approval_Status]]="Approved",LAM_API_TABLE[[#This Row],[Existing_Res_SLA_norec_sqft]],0)</f>
        <v>0</v>
      </c>
      <c r="AT86">
        <f>IF(LAM_API_TABLE[[#This Row],[Existing_Res_SLA_Data_Approval_Status]]="Approved",LAM_API_TABLE[[#This Row],[Existing_Res_SLA_rec_sqft]],0)</f>
        <v>0</v>
      </c>
    </row>
    <row r="87" spans="1:46" x14ac:dyDescent="0.25">
      <c r="A87" t="s">
        <v>1156</v>
      </c>
      <c r="B87" t="s">
        <v>1157</v>
      </c>
      <c r="C87" t="s">
        <v>2859</v>
      </c>
      <c r="D87" t="s">
        <v>2860</v>
      </c>
      <c r="E87">
        <v>2018</v>
      </c>
      <c r="F87">
        <v>735</v>
      </c>
      <c r="G87">
        <v>27569520</v>
      </c>
      <c r="H87">
        <v>112516</v>
      </c>
      <c r="I87">
        <v>11563889</v>
      </c>
      <c r="J87">
        <v>7019904</v>
      </c>
      <c r="K87">
        <v>61988853</v>
      </c>
      <c r="L87">
        <v>12967870</v>
      </c>
      <c r="M87" t="s">
        <v>1859</v>
      </c>
      <c r="AK87">
        <f>IF(LAM_API_TABLE[[#This Row],[Alternative_Data_Approval_Status]]="Approved",LAM_API_TABLE[[#This Row],[HCL_area_sqft_Alternative]],LAM_API_TABLE[[#This Row],[HCL_area_sqft]])</f>
        <v>735</v>
      </c>
      <c r="AL87">
        <f>IF(LAM_API_TABLE[[#This Row],[Alternative_Data_Approval_Status]]="Approved",LAM_API_TABLE[[#This Row],[Ag_area_sqft_Alternative]],LAM_API_TABLE[[#This Row],[Ag_area_sqft]])</f>
        <v>27569520</v>
      </c>
      <c r="AM87">
        <f>IF(LAM_API_TABLE[[#This Row],[Alternative_Data_Approval_Status]]="Approved",LAM_API_TABLE[[#This Row],[Pool_area_sqft_Alternative]],LAM_API_TABLE[[#This Row],[Pool_area_sqft]])</f>
        <v>112516</v>
      </c>
      <c r="AN87">
        <f>IF(LAM_API_TABLE[[#This Row],[Alternative_Data_Approval_Status]]="Approved",LAM_API_TABLE[[#This Row],[Total_II_sqft_Alternative]],LAM_API_TABLE[[#This Row],[Total_II_sqft]])</f>
        <v>11563889</v>
      </c>
      <c r="AO87">
        <f>IF(LAM_API_TABLE[[#This Row],[Alternative_Data_Approval_Status]]="Approved",LAM_API_TABLE[[#This Row],[Total_INI_sqft_Alternative]],LAM_API_TABLE[[#This Row],[Total_INI_sqft]])</f>
        <v>7019904</v>
      </c>
      <c r="AP87">
        <f>IF(LAM_API_TABLE[[#This Row],[New_Res_Constr_Approval_Status]]="Approved",LAM_API_TABLE[[#This Row],[New_Res_Constr_sqft]],0)</f>
        <v>0</v>
      </c>
      <c r="AQ87">
        <f>IF(LAM_API_TABLE[[#This Row],[New_Res_Constr_Approval_Status]]="Approved",LAM_API_TABLE[[#This Row],[New_Res_SLA_norec_sqft]],0)</f>
        <v>0</v>
      </c>
      <c r="AR87">
        <f>IF(LAM_API_TABLE[[#This Row],[New_Res_Constr_Approval_Status]]="Approved",LAM_API_TABLE[[#This Row],[New_Res_SLA_rec_sqft]],0)</f>
        <v>0</v>
      </c>
      <c r="AS87">
        <f>IF(LAM_API_TABLE[[#This Row],[Existing_Res_SLA_Data_Approval_Status]]="Approved",LAM_API_TABLE[[#This Row],[Existing_Res_SLA_norec_sqft]],0)</f>
        <v>0</v>
      </c>
      <c r="AT87">
        <f>IF(LAM_API_TABLE[[#This Row],[Existing_Res_SLA_Data_Approval_Status]]="Approved",LAM_API_TABLE[[#This Row],[Existing_Res_SLA_rec_sqft]],0)</f>
        <v>0</v>
      </c>
    </row>
    <row r="88" spans="1:46" x14ac:dyDescent="0.25">
      <c r="A88" t="s">
        <v>1161</v>
      </c>
      <c r="B88" t="s">
        <v>2861</v>
      </c>
      <c r="C88" t="s">
        <v>2862</v>
      </c>
      <c r="D88" t="s">
        <v>2863</v>
      </c>
      <c r="E88">
        <v>2018</v>
      </c>
      <c r="F88">
        <v>21287</v>
      </c>
      <c r="G88">
        <v>1603194</v>
      </c>
      <c r="H88">
        <v>3768408</v>
      </c>
      <c r="I88">
        <v>117779087</v>
      </c>
      <c r="J88">
        <v>39839373</v>
      </c>
      <c r="K88">
        <v>222396660</v>
      </c>
      <c r="L88">
        <v>125746962</v>
      </c>
      <c r="M88" t="s">
        <v>1859</v>
      </c>
      <c r="AK88">
        <f>IF(LAM_API_TABLE[[#This Row],[Alternative_Data_Approval_Status]]="Approved",LAM_API_TABLE[[#This Row],[HCL_area_sqft_Alternative]],LAM_API_TABLE[[#This Row],[HCL_area_sqft]])</f>
        <v>21287</v>
      </c>
      <c r="AL88">
        <f>IF(LAM_API_TABLE[[#This Row],[Alternative_Data_Approval_Status]]="Approved",LAM_API_TABLE[[#This Row],[Ag_area_sqft_Alternative]],LAM_API_TABLE[[#This Row],[Ag_area_sqft]])</f>
        <v>1603194</v>
      </c>
      <c r="AM88">
        <f>IF(LAM_API_TABLE[[#This Row],[Alternative_Data_Approval_Status]]="Approved",LAM_API_TABLE[[#This Row],[Pool_area_sqft_Alternative]],LAM_API_TABLE[[#This Row],[Pool_area_sqft]])</f>
        <v>3768408</v>
      </c>
      <c r="AN88">
        <f>IF(LAM_API_TABLE[[#This Row],[Alternative_Data_Approval_Status]]="Approved",LAM_API_TABLE[[#This Row],[Total_II_sqft_Alternative]],LAM_API_TABLE[[#This Row],[Total_II_sqft]])</f>
        <v>117779087</v>
      </c>
      <c r="AO88">
        <f>IF(LAM_API_TABLE[[#This Row],[Alternative_Data_Approval_Status]]="Approved",LAM_API_TABLE[[#This Row],[Total_INI_sqft_Alternative]],LAM_API_TABLE[[#This Row],[Total_INI_sqft]])</f>
        <v>39839373</v>
      </c>
      <c r="AP88">
        <f>IF(LAM_API_TABLE[[#This Row],[New_Res_Constr_Approval_Status]]="Approved",LAM_API_TABLE[[#This Row],[New_Res_Constr_sqft]],0)</f>
        <v>0</v>
      </c>
      <c r="AQ88">
        <f>IF(LAM_API_TABLE[[#This Row],[New_Res_Constr_Approval_Status]]="Approved",LAM_API_TABLE[[#This Row],[New_Res_SLA_norec_sqft]],0)</f>
        <v>0</v>
      </c>
      <c r="AR88">
        <f>IF(LAM_API_TABLE[[#This Row],[New_Res_Constr_Approval_Status]]="Approved",LAM_API_TABLE[[#This Row],[New_Res_SLA_rec_sqft]],0)</f>
        <v>0</v>
      </c>
      <c r="AS88">
        <f>IF(LAM_API_TABLE[[#This Row],[Existing_Res_SLA_Data_Approval_Status]]="Approved",LAM_API_TABLE[[#This Row],[Existing_Res_SLA_norec_sqft]],0)</f>
        <v>0</v>
      </c>
      <c r="AT88">
        <f>IF(LAM_API_TABLE[[#This Row],[Existing_Res_SLA_Data_Approval_Status]]="Approved",LAM_API_TABLE[[#This Row],[Existing_Res_SLA_rec_sqft]],0)</f>
        <v>0</v>
      </c>
    </row>
    <row r="89" spans="1:46" x14ac:dyDescent="0.25">
      <c r="A89" t="s">
        <v>1165</v>
      </c>
      <c r="B89" t="s">
        <v>2864</v>
      </c>
      <c r="C89" t="s">
        <v>2865</v>
      </c>
      <c r="D89" t="s">
        <v>2866</v>
      </c>
      <c r="E89">
        <v>2018</v>
      </c>
      <c r="F89">
        <v>22527</v>
      </c>
      <c r="H89">
        <v>836407</v>
      </c>
      <c r="I89">
        <v>13942212</v>
      </c>
      <c r="J89">
        <v>13931329</v>
      </c>
      <c r="K89">
        <v>44572834</v>
      </c>
      <c r="L89">
        <v>16728478</v>
      </c>
      <c r="M89" t="s">
        <v>1859</v>
      </c>
      <c r="AK89">
        <f>IF(LAM_API_TABLE[[#This Row],[Alternative_Data_Approval_Status]]="Approved",LAM_API_TABLE[[#This Row],[HCL_area_sqft_Alternative]],LAM_API_TABLE[[#This Row],[HCL_area_sqft]])</f>
        <v>22527</v>
      </c>
      <c r="AL89">
        <f>IF(LAM_API_TABLE[[#This Row],[Alternative_Data_Approval_Status]]="Approved",LAM_API_TABLE[[#This Row],[Ag_area_sqft_Alternative]],LAM_API_TABLE[[#This Row],[Ag_area_sqft]])</f>
        <v>0</v>
      </c>
      <c r="AM89">
        <f>IF(LAM_API_TABLE[[#This Row],[Alternative_Data_Approval_Status]]="Approved",LAM_API_TABLE[[#This Row],[Pool_area_sqft_Alternative]],LAM_API_TABLE[[#This Row],[Pool_area_sqft]])</f>
        <v>836407</v>
      </c>
      <c r="AN89">
        <f>IF(LAM_API_TABLE[[#This Row],[Alternative_Data_Approval_Status]]="Approved",LAM_API_TABLE[[#This Row],[Total_II_sqft_Alternative]],LAM_API_TABLE[[#This Row],[Total_II_sqft]])</f>
        <v>13942212</v>
      </c>
      <c r="AO89">
        <f>IF(LAM_API_TABLE[[#This Row],[Alternative_Data_Approval_Status]]="Approved",LAM_API_TABLE[[#This Row],[Total_INI_sqft_Alternative]],LAM_API_TABLE[[#This Row],[Total_INI_sqft]])</f>
        <v>13931329</v>
      </c>
      <c r="AP89">
        <f>IF(LAM_API_TABLE[[#This Row],[New_Res_Constr_Approval_Status]]="Approved",LAM_API_TABLE[[#This Row],[New_Res_Constr_sqft]],0)</f>
        <v>0</v>
      </c>
      <c r="AQ89">
        <f>IF(LAM_API_TABLE[[#This Row],[New_Res_Constr_Approval_Status]]="Approved",LAM_API_TABLE[[#This Row],[New_Res_SLA_norec_sqft]],0)</f>
        <v>0</v>
      </c>
      <c r="AR89">
        <f>IF(LAM_API_TABLE[[#This Row],[New_Res_Constr_Approval_Status]]="Approved",LAM_API_TABLE[[#This Row],[New_Res_SLA_rec_sqft]],0)</f>
        <v>0</v>
      </c>
      <c r="AS89">
        <f>IF(LAM_API_TABLE[[#This Row],[Existing_Res_SLA_Data_Approval_Status]]="Approved",LAM_API_TABLE[[#This Row],[Existing_Res_SLA_norec_sqft]],0)</f>
        <v>0</v>
      </c>
      <c r="AT89">
        <f>IF(LAM_API_TABLE[[#This Row],[Existing_Res_SLA_Data_Approval_Status]]="Approved",LAM_API_TABLE[[#This Row],[Existing_Res_SLA_rec_sqft]],0)</f>
        <v>0</v>
      </c>
    </row>
    <row r="90" spans="1:46" x14ac:dyDescent="0.25">
      <c r="A90" t="s">
        <v>1169</v>
      </c>
      <c r="B90" t="s">
        <v>2867</v>
      </c>
      <c r="C90" t="s">
        <v>742</v>
      </c>
      <c r="D90" t="s">
        <v>2868</v>
      </c>
      <c r="E90">
        <v>2018</v>
      </c>
      <c r="G90">
        <v>1585562</v>
      </c>
      <c r="H90">
        <v>1985</v>
      </c>
      <c r="I90">
        <v>6592774</v>
      </c>
      <c r="J90">
        <v>28182837</v>
      </c>
      <c r="K90">
        <v>60232631</v>
      </c>
      <c r="L90">
        <v>12229341</v>
      </c>
      <c r="M90" t="s">
        <v>1859</v>
      </c>
      <c r="AK90">
        <f>IF(LAM_API_TABLE[[#This Row],[Alternative_Data_Approval_Status]]="Approved",LAM_API_TABLE[[#This Row],[HCL_area_sqft_Alternative]],LAM_API_TABLE[[#This Row],[HCL_area_sqft]])</f>
        <v>0</v>
      </c>
      <c r="AL90">
        <f>IF(LAM_API_TABLE[[#This Row],[Alternative_Data_Approval_Status]]="Approved",LAM_API_TABLE[[#This Row],[Ag_area_sqft_Alternative]],LAM_API_TABLE[[#This Row],[Ag_area_sqft]])</f>
        <v>1585562</v>
      </c>
      <c r="AM90">
        <f>IF(LAM_API_TABLE[[#This Row],[Alternative_Data_Approval_Status]]="Approved",LAM_API_TABLE[[#This Row],[Pool_area_sqft_Alternative]],LAM_API_TABLE[[#This Row],[Pool_area_sqft]])</f>
        <v>1985</v>
      </c>
      <c r="AN90">
        <f>IF(LAM_API_TABLE[[#This Row],[Alternative_Data_Approval_Status]]="Approved",LAM_API_TABLE[[#This Row],[Total_II_sqft_Alternative]],LAM_API_TABLE[[#This Row],[Total_II_sqft]])</f>
        <v>6592774</v>
      </c>
      <c r="AO90">
        <f>IF(LAM_API_TABLE[[#This Row],[Alternative_Data_Approval_Status]]="Approved",LAM_API_TABLE[[#This Row],[Total_INI_sqft_Alternative]],LAM_API_TABLE[[#This Row],[Total_INI_sqft]])</f>
        <v>28182837</v>
      </c>
      <c r="AP90">
        <f>IF(LAM_API_TABLE[[#This Row],[New_Res_Constr_Approval_Status]]="Approved",LAM_API_TABLE[[#This Row],[New_Res_Constr_sqft]],0)</f>
        <v>0</v>
      </c>
      <c r="AQ90">
        <f>IF(LAM_API_TABLE[[#This Row],[New_Res_Constr_Approval_Status]]="Approved",LAM_API_TABLE[[#This Row],[New_Res_SLA_norec_sqft]],0)</f>
        <v>0</v>
      </c>
      <c r="AR90">
        <f>IF(LAM_API_TABLE[[#This Row],[New_Res_Constr_Approval_Status]]="Approved",LAM_API_TABLE[[#This Row],[New_Res_SLA_rec_sqft]],0)</f>
        <v>0</v>
      </c>
      <c r="AS90">
        <f>IF(LAM_API_TABLE[[#This Row],[Existing_Res_SLA_Data_Approval_Status]]="Approved",LAM_API_TABLE[[#This Row],[Existing_Res_SLA_norec_sqft]],0)</f>
        <v>0</v>
      </c>
      <c r="AT90">
        <f>IF(LAM_API_TABLE[[#This Row],[Existing_Res_SLA_Data_Approval_Status]]="Approved",LAM_API_TABLE[[#This Row],[Existing_Res_SLA_rec_sqft]],0)</f>
        <v>0</v>
      </c>
    </row>
    <row r="91" spans="1:46" x14ac:dyDescent="0.25">
      <c r="A91" t="s">
        <v>1174</v>
      </c>
      <c r="B91" t="s">
        <v>2869</v>
      </c>
      <c r="C91" t="s">
        <v>2870</v>
      </c>
      <c r="D91" t="s">
        <v>2871</v>
      </c>
      <c r="E91">
        <v>2018</v>
      </c>
      <c r="H91">
        <v>501416</v>
      </c>
      <c r="I91">
        <v>23063019</v>
      </c>
      <c r="J91">
        <v>3535338</v>
      </c>
      <c r="K91">
        <v>41326738</v>
      </c>
      <c r="L91">
        <v>23770087</v>
      </c>
      <c r="M91" t="s">
        <v>1859</v>
      </c>
      <c r="AK91">
        <f>IF(LAM_API_TABLE[[#This Row],[Alternative_Data_Approval_Status]]="Approved",LAM_API_TABLE[[#This Row],[HCL_area_sqft_Alternative]],LAM_API_TABLE[[#This Row],[HCL_area_sqft]])</f>
        <v>0</v>
      </c>
      <c r="AL91">
        <f>IF(LAM_API_TABLE[[#This Row],[Alternative_Data_Approval_Status]]="Approved",LAM_API_TABLE[[#This Row],[Ag_area_sqft_Alternative]],LAM_API_TABLE[[#This Row],[Ag_area_sqft]])</f>
        <v>0</v>
      </c>
      <c r="AM91">
        <f>IF(LAM_API_TABLE[[#This Row],[Alternative_Data_Approval_Status]]="Approved",LAM_API_TABLE[[#This Row],[Pool_area_sqft_Alternative]],LAM_API_TABLE[[#This Row],[Pool_area_sqft]])</f>
        <v>501416</v>
      </c>
      <c r="AN91">
        <f>IF(LAM_API_TABLE[[#This Row],[Alternative_Data_Approval_Status]]="Approved",LAM_API_TABLE[[#This Row],[Total_II_sqft_Alternative]],LAM_API_TABLE[[#This Row],[Total_II_sqft]])</f>
        <v>23063019</v>
      </c>
      <c r="AO91">
        <f>IF(LAM_API_TABLE[[#This Row],[Alternative_Data_Approval_Status]]="Approved",LAM_API_TABLE[[#This Row],[Total_INI_sqft_Alternative]],LAM_API_TABLE[[#This Row],[Total_INI_sqft]])</f>
        <v>3535338</v>
      </c>
      <c r="AP91">
        <f>IF(LAM_API_TABLE[[#This Row],[New_Res_Constr_Approval_Status]]="Approved",LAM_API_TABLE[[#This Row],[New_Res_Constr_sqft]],0)</f>
        <v>0</v>
      </c>
      <c r="AQ91">
        <f>IF(LAM_API_TABLE[[#This Row],[New_Res_Constr_Approval_Status]]="Approved",LAM_API_TABLE[[#This Row],[New_Res_SLA_norec_sqft]],0)</f>
        <v>0</v>
      </c>
      <c r="AR91">
        <f>IF(LAM_API_TABLE[[#This Row],[New_Res_Constr_Approval_Status]]="Approved",LAM_API_TABLE[[#This Row],[New_Res_SLA_rec_sqft]],0)</f>
        <v>0</v>
      </c>
      <c r="AS91">
        <f>IF(LAM_API_TABLE[[#This Row],[Existing_Res_SLA_Data_Approval_Status]]="Approved",LAM_API_TABLE[[#This Row],[Existing_Res_SLA_norec_sqft]],0)</f>
        <v>0</v>
      </c>
      <c r="AT91">
        <f>IF(LAM_API_TABLE[[#This Row],[Existing_Res_SLA_Data_Approval_Status]]="Approved",LAM_API_TABLE[[#This Row],[Existing_Res_SLA_rec_sqft]],0)</f>
        <v>0</v>
      </c>
    </row>
    <row r="92" spans="1:46" x14ac:dyDescent="0.25">
      <c r="A92" t="s">
        <v>1178</v>
      </c>
      <c r="B92" t="s">
        <v>1179</v>
      </c>
      <c r="C92" t="s">
        <v>2872</v>
      </c>
      <c r="D92" t="s">
        <v>2873</v>
      </c>
      <c r="E92">
        <v>2018</v>
      </c>
      <c r="H92">
        <v>671</v>
      </c>
      <c r="I92">
        <v>1139725</v>
      </c>
      <c r="J92">
        <v>3471172</v>
      </c>
      <c r="K92">
        <v>39355065</v>
      </c>
      <c r="L92">
        <v>1833959</v>
      </c>
      <c r="M92" t="s">
        <v>1859</v>
      </c>
      <c r="AK92">
        <f>IF(LAM_API_TABLE[[#This Row],[Alternative_Data_Approval_Status]]="Approved",LAM_API_TABLE[[#This Row],[HCL_area_sqft_Alternative]],LAM_API_TABLE[[#This Row],[HCL_area_sqft]])</f>
        <v>0</v>
      </c>
      <c r="AL92">
        <f>IF(LAM_API_TABLE[[#This Row],[Alternative_Data_Approval_Status]]="Approved",LAM_API_TABLE[[#This Row],[Ag_area_sqft_Alternative]],LAM_API_TABLE[[#This Row],[Ag_area_sqft]])</f>
        <v>0</v>
      </c>
      <c r="AM92">
        <f>IF(LAM_API_TABLE[[#This Row],[Alternative_Data_Approval_Status]]="Approved",LAM_API_TABLE[[#This Row],[Pool_area_sqft_Alternative]],LAM_API_TABLE[[#This Row],[Pool_area_sqft]])</f>
        <v>671</v>
      </c>
      <c r="AN92">
        <f>IF(LAM_API_TABLE[[#This Row],[Alternative_Data_Approval_Status]]="Approved",LAM_API_TABLE[[#This Row],[Total_II_sqft_Alternative]],LAM_API_TABLE[[#This Row],[Total_II_sqft]])</f>
        <v>1139725</v>
      </c>
      <c r="AO92">
        <f>IF(LAM_API_TABLE[[#This Row],[Alternative_Data_Approval_Status]]="Approved",LAM_API_TABLE[[#This Row],[Total_INI_sqft_Alternative]],LAM_API_TABLE[[#This Row],[Total_INI_sqft]])</f>
        <v>3471172</v>
      </c>
      <c r="AP92">
        <f>IF(LAM_API_TABLE[[#This Row],[New_Res_Constr_Approval_Status]]="Approved",LAM_API_TABLE[[#This Row],[New_Res_Constr_sqft]],0)</f>
        <v>0</v>
      </c>
      <c r="AQ92">
        <f>IF(LAM_API_TABLE[[#This Row],[New_Res_Constr_Approval_Status]]="Approved",LAM_API_TABLE[[#This Row],[New_Res_SLA_norec_sqft]],0)</f>
        <v>0</v>
      </c>
      <c r="AR92">
        <f>IF(LAM_API_TABLE[[#This Row],[New_Res_Constr_Approval_Status]]="Approved",LAM_API_TABLE[[#This Row],[New_Res_SLA_rec_sqft]],0)</f>
        <v>0</v>
      </c>
      <c r="AS92">
        <f>IF(LAM_API_TABLE[[#This Row],[Existing_Res_SLA_Data_Approval_Status]]="Approved",LAM_API_TABLE[[#This Row],[Existing_Res_SLA_norec_sqft]],0)</f>
        <v>0</v>
      </c>
      <c r="AT92">
        <f>IF(LAM_API_TABLE[[#This Row],[Existing_Res_SLA_Data_Approval_Status]]="Approved",LAM_API_TABLE[[#This Row],[Existing_Res_SLA_rec_sqft]],0)</f>
        <v>0</v>
      </c>
    </row>
    <row r="93" spans="1:46" x14ac:dyDescent="0.25">
      <c r="A93" t="s">
        <v>1182</v>
      </c>
      <c r="B93" t="s">
        <v>1183</v>
      </c>
      <c r="C93" t="s">
        <v>2874</v>
      </c>
      <c r="D93" t="s">
        <v>2875</v>
      </c>
      <c r="E93">
        <v>2018</v>
      </c>
      <c r="F93">
        <v>326861</v>
      </c>
      <c r="G93">
        <v>1876952</v>
      </c>
      <c r="H93">
        <v>4748906</v>
      </c>
      <c r="I93">
        <v>148494580</v>
      </c>
      <c r="J93">
        <v>65752775</v>
      </c>
      <c r="K93">
        <v>282977810</v>
      </c>
      <c r="L93">
        <v>161645135</v>
      </c>
      <c r="M93" t="s">
        <v>1859</v>
      </c>
      <c r="AK93">
        <f>IF(LAM_API_TABLE[[#This Row],[Alternative_Data_Approval_Status]]="Approved",LAM_API_TABLE[[#This Row],[HCL_area_sqft_Alternative]],LAM_API_TABLE[[#This Row],[HCL_area_sqft]])</f>
        <v>326861</v>
      </c>
      <c r="AL93">
        <f>IF(LAM_API_TABLE[[#This Row],[Alternative_Data_Approval_Status]]="Approved",LAM_API_TABLE[[#This Row],[Ag_area_sqft_Alternative]],LAM_API_TABLE[[#This Row],[Ag_area_sqft]])</f>
        <v>1876952</v>
      </c>
      <c r="AM93">
        <f>IF(LAM_API_TABLE[[#This Row],[Alternative_Data_Approval_Status]]="Approved",LAM_API_TABLE[[#This Row],[Pool_area_sqft_Alternative]],LAM_API_TABLE[[#This Row],[Pool_area_sqft]])</f>
        <v>4748906</v>
      </c>
      <c r="AN93">
        <f>IF(LAM_API_TABLE[[#This Row],[Alternative_Data_Approval_Status]]="Approved",LAM_API_TABLE[[#This Row],[Total_II_sqft_Alternative]],LAM_API_TABLE[[#This Row],[Total_II_sqft]])</f>
        <v>148494580</v>
      </c>
      <c r="AO93">
        <f>IF(LAM_API_TABLE[[#This Row],[Alternative_Data_Approval_Status]]="Approved",LAM_API_TABLE[[#This Row],[Total_INI_sqft_Alternative]],LAM_API_TABLE[[#This Row],[Total_INI_sqft]])</f>
        <v>65752775</v>
      </c>
      <c r="AP93">
        <f>IF(LAM_API_TABLE[[#This Row],[New_Res_Constr_Approval_Status]]="Approved",LAM_API_TABLE[[#This Row],[New_Res_Constr_sqft]],0)</f>
        <v>0</v>
      </c>
      <c r="AQ93">
        <f>IF(LAM_API_TABLE[[#This Row],[New_Res_Constr_Approval_Status]]="Approved",LAM_API_TABLE[[#This Row],[New_Res_SLA_norec_sqft]],0)</f>
        <v>0</v>
      </c>
      <c r="AR93">
        <f>IF(LAM_API_TABLE[[#This Row],[New_Res_Constr_Approval_Status]]="Approved",LAM_API_TABLE[[#This Row],[New_Res_SLA_rec_sqft]],0)</f>
        <v>0</v>
      </c>
      <c r="AS93">
        <f>IF(LAM_API_TABLE[[#This Row],[Existing_Res_SLA_Data_Approval_Status]]="Approved",LAM_API_TABLE[[#This Row],[Existing_Res_SLA_norec_sqft]],0)</f>
        <v>0</v>
      </c>
      <c r="AT93">
        <f>IF(LAM_API_TABLE[[#This Row],[Existing_Res_SLA_Data_Approval_Status]]="Approved",LAM_API_TABLE[[#This Row],[Existing_Res_SLA_rec_sqft]],0)</f>
        <v>0</v>
      </c>
    </row>
    <row r="94" spans="1:46" x14ac:dyDescent="0.25">
      <c r="A94" t="s">
        <v>1186</v>
      </c>
      <c r="B94" t="s">
        <v>1187</v>
      </c>
      <c r="C94" t="s">
        <v>2876</v>
      </c>
      <c r="D94" t="s">
        <v>2877</v>
      </c>
      <c r="E94">
        <v>2018</v>
      </c>
      <c r="H94">
        <v>7815</v>
      </c>
      <c r="I94">
        <v>13112772</v>
      </c>
      <c r="J94">
        <v>12779211</v>
      </c>
      <c r="K94">
        <v>58165595</v>
      </c>
      <c r="L94">
        <v>15668614</v>
      </c>
      <c r="M94" t="s">
        <v>1859</v>
      </c>
      <c r="AK94">
        <f>IF(LAM_API_TABLE[[#This Row],[Alternative_Data_Approval_Status]]="Approved",LAM_API_TABLE[[#This Row],[HCL_area_sqft_Alternative]],LAM_API_TABLE[[#This Row],[HCL_area_sqft]])</f>
        <v>0</v>
      </c>
      <c r="AL94">
        <f>IF(LAM_API_TABLE[[#This Row],[Alternative_Data_Approval_Status]]="Approved",LAM_API_TABLE[[#This Row],[Ag_area_sqft_Alternative]],LAM_API_TABLE[[#This Row],[Ag_area_sqft]])</f>
        <v>0</v>
      </c>
      <c r="AM94">
        <f>IF(LAM_API_TABLE[[#This Row],[Alternative_Data_Approval_Status]]="Approved",LAM_API_TABLE[[#This Row],[Pool_area_sqft_Alternative]],LAM_API_TABLE[[#This Row],[Pool_area_sqft]])</f>
        <v>7815</v>
      </c>
      <c r="AN94">
        <f>IF(LAM_API_TABLE[[#This Row],[Alternative_Data_Approval_Status]]="Approved",LAM_API_TABLE[[#This Row],[Total_II_sqft_Alternative]],LAM_API_TABLE[[#This Row],[Total_II_sqft]])</f>
        <v>13112772</v>
      </c>
      <c r="AO94">
        <f>IF(LAM_API_TABLE[[#This Row],[Alternative_Data_Approval_Status]]="Approved",LAM_API_TABLE[[#This Row],[Total_INI_sqft_Alternative]],LAM_API_TABLE[[#This Row],[Total_INI_sqft]])</f>
        <v>12779211</v>
      </c>
      <c r="AP94">
        <f>IF(LAM_API_TABLE[[#This Row],[New_Res_Constr_Approval_Status]]="Approved",LAM_API_TABLE[[#This Row],[New_Res_Constr_sqft]],0)</f>
        <v>0</v>
      </c>
      <c r="AQ94">
        <f>IF(LAM_API_TABLE[[#This Row],[New_Res_Constr_Approval_Status]]="Approved",LAM_API_TABLE[[#This Row],[New_Res_SLA_norec_sqft]],0)</f>
        <v>0</v>
      </c>
      <c r="AR94">
        <f>IF(LAM_API_TABLE[[#This Row],[New_Res_Constr_Approval_Status]]="Approved",LAM_API_TABLE[[#This Row],[New_Res_SLA_rec_sqft]],0)</f>
        <v>0</v>
      </c>
      <c r="AS94">
        <f>IF(LAM_API_TABLE[[#This Row],[Existing_Res_SLA_Data_Approval_Status]]="Approved",LAM_API_TABLE[[#This Row],[Existing_Res_SLA_norec_sqft]],0)</f>
        <v>0</v>
      </c>
      <c r="AT94">
        <f>IF(LAM_API_TABLE[[#This Row],[Existing_Res_SLA_Data_Approval_Status]]="Approved",LAM_API_TABLE[[#This Row],[Existing_Res_SLA_rec_sqft]],0)</f>
        <v>0</v>
      </c>
    </row>
    <row r="95" spans="1:46" x14ac:dyDescent="0.25">
      <c r="A95" t="s">
        <v>1190</v>
      </c>
      <c r="B95" t="s">
        <v>1191</v>
      </c>
      <c r="C95" t="s">
        <v>746</v>
      </c>
      <c r="D95" t="s">
        <v>2878</v>
      </c>
      <c r="E95">
        <v>2018</v>
      </c>
      <c r="G95">
        <v>588035</v>
      </c>
      <c r="H95">
        <v>759937</v>
      </c>
      <c r="I95">
        <v>60610868</v>
      </c>
      <c r="J95">
        <v>10853069</v>
      </c>
      <c r="K95">
        <v>68554305</v>
      </c>
      <c r="L95">
        <v>62781482</v>
      </c>
      <c r="M95" t="s">
        <v>1859</v>
      </c>
      <c r="AK95">
        <f>IF(LAM_API_TABLE[[#This Row],[Alternative_Data_Approval_Status]]="Approved",LAM_API_TABLE[[#This Row],[HCL_area_sqft_Alternative]],LAM_API_TABLE[[#This Row],[HCL_area_sqft]])</f>
        <v>0</v>
      </c>
      <c r="AL95">
        <f>IF(LAM_API_TABLE[[#This Row],[Alternative_Data_Approval_Status]]="Approved",LAM_API_TABLE[[#This Row],[Ag_area_sqft_Alternative]],LAM_API_TABLE[[#This Row],[Ag_area_sqft]])</f>
        <v>588035</v>
      </c>
      <c r="AM95">
        <f>IF(LAM_API_TABLE[[#This Row],[Alternative_Data_Approval_Status]]="Approved",LAM_API_TABLE[[#This Row],[Pool_area_sqft_Alternative]],LAM_API_TABLE[[#This Row],[Pool_area_sqft]])</f>
        <v>759937</v>
      </c>
      <c r="AN95">
        <f>IF(LAM_API_TABLE[[#This Row],[Alternative_Data_Approval_Status]]="Approved",LAM_API_TABLE[[#This Row],[Total_II_sqft_Alternative]],LAM_API_TABLE[[#This Row],[Total_II_sqft]])</f>
        <v>60610868</v>
      </c>
      <c r="AO95">
        <f>IF(LAM_API_TABLE[[#This Row],[Alternative_Data_Approval_Status]]="Approved",LAM_API_TABLE[[#This Row],[Total_INI_sqft_Alternative]],LAM_API_TABLE[[#This Row],[Total_INI_sqft]])</f>
        <v>10853069</v>
      </c>
      <c r="AP95">
        <f>IF(LAM_API_TABLE[[#This Row],[New_Res_Constr_Approval_Status]]="Approved",LAM_API_TABLE[[#This Row],[New_Res_Constr_sqft]],0)</f>
        <v>0</v>
      </c>
      <c r="AQ95">
        <f>IF(LAM_API_TABLE[[#This Row],[New_Res_Constr_Approval_Status]]="Approved",LAM_API_TABLE[[#This Row],[New_Res_SLA_norec_sqft]],0)</f>
        <v>0</v>
      </c>
      <c r="AR95">
        <f>IF(LAM_API_TABLE[[#This Row],[New_Res_Constr_Approval_Status]]="Approved",LAM_API_TABLE[[#This Row],[New_Res_SLA_rec_sqft]],0)</f>
        <v>0</v>
      </c>
      <c r="AS95">
        <f>IF(LAM_API_TABLE[[#This Row],[Existing_Res_SLA_Data_Approval_Status]]="Approved",LAM_API_TABLE[[#This Row],[Existing_Res_SLA_norec_sqft]],0)</f>
        <v>0</v>
      </c>
      <c r="AT95">
        <f>IF(LAM_API_TABLE[[#This Row],[Existing_Res_SLA_Data_Approval_Status]]="Approved",LAM_API_TABLE[[#This Row],[Existing_Res_SLA_rec_sqft]],0)</f>
        <v>0</v>
      </c>
    </row>
    <row r="96" spans="1:46" x14ac:dyDescent="0.25">
      <c r="A96" t="s">
        <v>1194</v>
      </c>
      <c r="B96" t="s">
        <v>2879</v>
      </c>
      <c r="C96" t="s">
        <v>750</v>
      </c>
      <c r="D96" t="s">
        <v>2880</v>
      </c>
      <c r="E96">
        <v>2018</v>
      </c>
      <c r="H96">
        <v>5332</v>
      </c>
      <c r="I96">
        <v>4702477</v>
      </c>
      <c r="J96">
        <v>5095304</v>
      </c>
      <c r="K96">
        <v>76549726</v>
      </c>
      <c r="L96">
        <v>5721538</v>
      </c>
      <c r="M96" t="s">
        <v>1859</v>
      </c>
      <c r="AK96">
        <f>IF(LAM_API_TABLE[[#This Row],[Alternative_Data_Approval_Status]]="Approved",LAM_API_TABLE[[#This Row],[HCL_area_sqft_Alternative]],LAM_API_TABLE[[#This Row],[HCL_area_sqft]])</f>
        <v>0</v>
      </c>
      <c r="AL96">
        <f>IF(LAM_API_TABLE[[#This Row],[Alternative_Data_Approval_Status]]="Approved",LAM_API_TABLE[[#This Row],[Ag_area_sqft_Alternative]],LAM_API_TABLE[[#This Row],[Ag_area_sqft]])</f>
        <v>0</v>
      </c>
      <c r="AM96">
        <f>IF(LAM_API_TABLE[[#This Row],[Alternative_Data_Approval_Status]]="Approved",LAM_API_TABLE[[#This Row],[Pool_area_sqft_Alternative]],LAM_API_TABLE[[#This Row],[Pool_area_sqft]])</f>
        <v>5332</v>
      </c>
      <c r="AN96">
        <f>IF(LAM_API_TABLE[[#This Row],[Alternative_Data_Approval_Status]]="Approved",LAM_API_TABLE[[#This Row],[Total_II_sqft_Alternative]],LAM_API_TABLE[[#This Row],[Total_II_sqft]])</f>
        <v>4702477</v>
      </c>
      <c r="AO96">
        <f>IF(LAM_API_TABLE[[#This Row],[Alternative_Data_Approval_Status]]="Approved",LAM_API_TABLE[[#This Row],[Total_INI_sqft_Alternative]],LAM_API_TABLE[[#This Row],[Total_INI_sqft]])</f>
        <v>5095304</v>
      </c>
      <c r="AP96">
        <f>IF(LAM_API_TABLE[[#This Row],[New_Res_Constr_Approval_Status]]="Approved",LAM_API_TABLE[[#This Row],[New_Res_Constr_sqft]],0)</f>
        <v>0</v>
      </c>
      <c r="AQ96">
        <f>IF(LAM_API_TABLE[[#This Row],[New_Res_Constr_Approval_Status]]="Approved",LAM_API_TABLE[[#This Row],[New_Res_SLA_norec_sqft]],0)</f>
        <v>0</v>
      </c>
      <c r="AR96">
        <f>IF(LAM_API_TABLE[[#This Row],[New_Res_Constr_Approval_Status]]="Approved",LAM_API_TABLE[[#This Row],[New_Res_SLA_rec_sqft]],0)</f>
        <v>0</v>
      </c>
      <c r="AS96">
        <f>IF(LAM_API_TABLE[[#This Row],[Existing_Res_SLA_Data_Approval_Status]]="Approved",LAM_API_TABLE[[#This Row],[Existing_Res_SLA_norec_sqft]],0)</f>
        <v>0</v>
      </c>
      <c r="AT96">
        <f>IF(LAM_API_TABLE[[#This Row],[Existing_Res_SLA_Data_Approval_Status]]="Approved",LAM_API_TABLE[[#This Row],[Existing_Res_SLA_rec_sqft]],0)</f>
        <v>0</v>
      </c>
    </row>
    <row r="97" spans="1:46" x14ac:dyDescent="0.25">
      <c r="A97" t="s">
        <v>1198</v>
      </c>
      <c r="B97" t="s">
        <v>1199</v>
      </c>
      <c r="C97" t="s">
        <v>2881</v>
      </c>
      <c r="D97" t="s">
        <v>2882</v>
      </c>
      <c r="E97">
        <v>2018</v>
      </c>
      <c r="F97">
        <v>11559</v>
      </c>
      <c r="G97">
        <v>241235</v>
      </c>
      <c r="H97">
        <v>202180</v>
      </c>
      <c r="I97">
        <v>17814221</v>
      </c>
      <c r="J97">
        <v>11560452</v>
      </c>
      <c r="K97">
        <v>51343506</v>
      </c>
      <c r="L97">
        <v>20126311</v>
      </c>
      <c r="M97" t="s">
        <v>1859</v>
      </c>
      <c r="AK97">
        <f>IF(LAM_API_TABLE[[#This Row],[Alternative_Data_Approval_Status]]="Approved",LAM_API_TABLE[[#This Row],[HCL_area_sqft_Alternative]],LAM_API_TABLE[[#This Row],[HCL_area_sqft]])</f>
        <v>11559</v>
      </c>
      <c r="AL97">
        <f>IF(LAM_API_TABLE[[#This Row],[Alternative_Data_Approval_Status]]="Approved",LAM_API_TABLE[[#This Row],[Ag_area_sqft_Alternative]],LAM_API_TABLE[[#This Row],[Ag_area_sqft]])</f>
        <v>241235</v>
      </c>
      <c r="AM97">
        <f>IF(LAM_API_TABLE[[#This Row],[Alternative_Data_Approval_Status]]="Approved",LAM_API_TABLE[[#This Row],[Pool_area_sqft_Alternative]],LAM_API_TABLE[[#This Row],[Pool_area_sqft]])</f>
        <v>202180</v>
      </c>
      <c r="AN97">
        <f>IF(LAM_API_TABLE[[#This Row],[Alternative_Data_Approval_Status]]="Approved",LAM_API_TABLE[[#This Row],[Total_II_sqft_Alternative]],LAM_API_TABLE[[#This Row],[Total_II_sqft]])</f>
        <v>17814221</v>
      </c>
      <c r="AO97">
        <f>IF(LAM_API_TABLE[[#This Row],[Alternative_Data_Approval_Status]]="Approved",LAM_API_TABLE[[#This Row],[Total_INI_sqft_Alternative]],LAM_API_TABLE[[#This Row],[Total_INI_sqft]])</f>
        <v>11560452</v>
      </c>
      <c r="AP97">
        <f>IF(LAM_API_TABLE[[#This Row],[New_Res_Constr_Approval_Status]]="Approved",LAM_API_TABLE[[#This Row],[New_Res_Constr_sqft]],0)</f>
        <v>0</v>
      </c>
      <c r="AQ97">
        <f>IF(LAM_API_TABLE[[#This Row],[New_Res_Constr_Approval_Status]]="Approved",LAM_API_TABLE[[#This Row],[New_Res_SLA_norec_sqft]],0)</f>
        <v>0</v>
      </c>
      <c r="AR97">
        <f>IF(LAM_API_TABLE[[#This Row],[New_Res_Constr_Approval_Status]]="Approved",LAM_API_TABLE[[#This Row],[New_Res_SLA_rec_sqft]],0)</f>
        <v>0</v>
      </c>
      <c r="AS97">
        <f>IF(LAM_API_TABLE[[#This Row],[Existing_Res_SLA_Data_Approval_Status]]="Approved",LAM_API_TABLE[[#This Row],[Existing_Res_SLA_norec_sqft]],0)</f>
        <v>0</v>
      </c>
      <c r="AT97">
        <f>IF(LAM_API_TABLE[[#This Row],[Existing_Res_SLA_Data_Approval_Status]]="Approved",LAM_API_TABLE[[#This Row],[Existing_Res_SLA_rec_sqft]],0)</f>
        <v>0</v>
      </c>
    </row>
    <row r="98" spans="1:46" x14ac:dyDescent="0.25">
      <c r="A98" t="s">
        <v>1202</v>
      </c>
      <c r="B98" t="s">
        <v>1203</v>
      </c>
      <c r="C98" t="s">
        <v>2883</v>
      </c>
      <c r="D98" t="s">
        <v>2884</v>
      </c>
      <c r="E98">
        <v>2020</v>
      </c>
      <c r="F98">
        <v>44916</v>
      </c>
      <c r="G98">
        <v>5292</v>
      </c>
      <c r="H98">
        <v>4833354</v>
      </c>
      <c r="I98">
        <v>84144214</v>
      </c>
      <c r="J98">
        <v>8492935</v>
      </c>
      <c r="K98">
        <v>316584332</v>
      </c>
      <c r="L98">
        <v>85842801</v>
      </c>
      <c r="M98" t="s">
        <v>1859</v>
      </c>
      <c r="AK98">
        <f>IF(LAM_API_TABLE[[#This Row],[Alternative_Data_Approval_Status]]="Approved",LAM_API_TABLE[[#This Row],[HCL_area_sqft_Alternative]],LAM_API_TABLE[[#This Row],[HCL_area_sqft]])</f>
        <v>44916</v>
      </c>
      <c r="AL98">
        <f>IF(LAM_API_TABLE[[#This Row],[Alternative_Data_Approval_Status]]="Approved",LAM_API_TABLE[[#This Row],[Ag_area_sqft_Alternative]],LAM_API_TABLE[[#This Row],[Ag_area_sqft]])</f>
        <v>5292</v>
      </c>
      <c r="AM98">
        <f>IF(LAM_API_TABLE[[#This Row],[Alternative_Data_Approval_Status]]="Approved",LAM_API_TABLE[[#This Row],[Pool_area_sqft_Alternative]],LAM_API_TABLE[[#This Row],[Pool_area_sqft]])</f>
        <v>4833354</v>
      </c>
      <c r="AN98">
        <f>IF(LAM_API_TABLE[[#This Row],[Alternative_Data_Approval_Status]]="Approved",LAM_API_TABLE[[#This Row],[Total_II_sqft_Alternative]],LAM_API_TABLE[[#This Row],[Total_II_sqft]])</f>
        <v>84144214</v>
      </c>
      <c r="AO98">
        <f>IF(LAM_API_TABLE[[#This Row],[Alternative_Data_Approval_Status]]="Approved",LAM_API_TABLE[[#This Row],[Total_INI_sqft_Alternative]],LAM_API_TABLE[[#This Row],[Total_INI_sqft]])</f>
        <v>8492935</v>
      </c>
      <c r="AP98">
        <f>IF(LAM_API_TABLE[[#This Row],[New_Res_Constr_Approval_Status]]="Approved",LAM_API_TABLE[[#This Row],[New_Res_Constr_sqft]],0)</f>
        <v>0</v>
      </c>
      <c r="AQ98">
        <f>IF(LAM_API_TABLE[[#This Row],[New_Res_Constr_Approval_Status]]="Approved",LAM_API_TABLE[[#This Row],[New_Res_SLA_norec_sqft]],0)</f>
        <v>0</v>
      </c>
      <c r="AR98">
        <f>IF(LAM_API_TABLE[[#This Row],[New_Res_Constr_Approval_Status]]="Approved",LAM_API_TABLE[[#This Row],[New_Res_SLA_rec_sqft]],0)</f>
        <v>0</v>
      </c>
      <c r="AS98">
        <f>IF(LAM_API_TABLE[[#This Row],[Existing_Res_SLA_Data_Approval_Status]]="Approved",LAM_API_TABLE[[#This Row],[Existing_Res_SLA_norec_sqft]],0)</f>
        <v>0</v>
      </c>
      <c r="AT98">
        <f>IF(LAM_API_TABLE[[#This Row],[Existing_Res_SLA_Data_Approval_Status]]="Approved",LAM_API_TABLE[[#This Row],[Existing_Res_SLA_rec_sqft]],0)</f>
        <v>0</v>
      </c>
    </row>
    <row r="99" spans="1:46" x14ac:dyDescent="0.25">
      <c r="A99" t="s">
        <v>1206</v>
      </c>
      <c r="B99" t="s">
        <v>1207</v>
      </c>
      <c r="C99" t="s">
        <v>2885</v>
      </c>
      <c r="D99" t="s">
        <v>2886</v>
      </c>
      <c r="E99">
        <v>2018</v>
      </c>
      <c r="F99">
        <v>205503</v>
      </c>
      <c r="G99">
        <v>19672353</v>
      </c>
      <c r="H99">
        <v>803228</v>
      </c>
      <c r="I99">
        <v>31548575</v>
      </c>
      <c r="J99">
        <v>20181626</v>
      </c>
      <c r="K99">
        <v>113260282</v>
      </c>
      <c r="L99">
        <v>35584900</v>
      </c>
      <c r="M99" t="s">
        <v>1859</v>
      </c>
      <c r="AK99">
        <f>IF(LAM_API_TABLE[[#This Row],[Alternative_Data_Approval_Status]]="Approved",LAM_API_TABLE[[#This Row],[HCL_area_sqft_Alternative]],LAM_API_TABLE[[#This Row],[HCL_area_sqft]])</f>
        <v>205503</v>
      </c>
      <c r="AL99">
        <f>IF(LAM_API_TABLE[[#This Row],[Alternative_Data_Approval_Status]]="Approved",LAM_API_TABLE[[#This Row],[Ag_area_sqft_Alternative]],LAM_API_TABLE[[#This Row],[Ag_area_sqft]])</f>
        <v>19672353</v>
      </c>
      <c r="AM99">
        <f>IF(LAM_API_TABLE[[#This Row],[Alternative_Data_Approval_Status]]="Approved",LAM_API_TABLE[[#This Row],[Pool_area_sqft_Alternative]],LAM_API_TABLE[[#This Row],[Pool_area_sqft]])</f>
        <v>803228</v>
      </c>
      <c r="AN99">
        <f>IF(LAM_API_TABLE[[#This Row],[Alternative_Data_Approval_Status]]="Approved",LAM_API_TABLE[[#This Row],[Total_II_sqft_Alternative]],LAM_API_TABLE[[#This Row],[Total_II_sqft]])</f>
        <v>31548575</v>
      </c>
      <c r="AO99">
        <f>IF(LAM_API_TABLE[[#This Row],[Alternative_Data_Approval_Status]]="Approved",LAM_API_TABLE[[#This Row],[Total_INI_sqft_Alternative]],LAM_API_TABLE[[#This Row],[Total_INI_sqft]])</f>
        <v>20181626</v>
      </c>
      <c r="AP99">
        <f>IF(LAM_API_TABLE[[#This Row],[New_Res_Constr_Approval_Status]]="Approved",LAM_API_TABLE[[#This Row],[New_Res_Constr_sqft]],0)</f>
        <v>0</v>
      </c>
      <c r="AQ99">
        <f>IF(LAM_API_TABLE[[#This Row],[New_Res_Constr_Approval_Status]]="Approved",LAM_API_TABLE[[#This Row],[New_Res_SLA_norec_sqft]],0)</f>
        <v>0</v>
      </c>
      <c r="AR99">
        <f>IF(LAM_API_TABLE[[#This Row],[New_Res_Constr_Approval_Status]]="Approved",LAM_API_TABLE[[#This Row],[New_Res_SLA_rec_sqft]],0)</f>
        <v>0</v>
      </c>
      <c r="AS99">
        <f>IF(LAM_API_TABLE[[#This Row],[Existing_Res_SLA_Data_Approval_Status]]="Approved",LAM_API_TABLE[[#This Row],[Existing_Res_SLA_norec_sqft]],0)</f>
        <v>0</v>
      </c>
      <c r="AT99">
        <f>IF(LAM_API_TABLE[[#This Row],[Existing_Res_SLA_Data_Approval_Status]]="Approved",LAM_API_TABLE[[#This Row],[Existing_Res_SLA_rec_sqft]],0)</f>
        <v>0</v>
      </c>
    </row>
    <row r="100" spans="1:46" x14ac:dyDescent="0.25">
      <c r="A100" t="s">
        <v>1210</v>
      </c>
      <c r="B100" t="s">
        <v>1211</v>
      </c>
      <c r="C100" t="s">
        <v>2887</v>
      </c>
      <c r="D100" t="s">
        <v>2888</v>
      </c>
      <c r="E100">
        <v>2018</v>
      </c>
      <c r="G100">
        <v>7064613</v>
      </c>
      <c r="H100">
        <v>209430</v>
      </c>
      <c r="I100">
        <v>12947447</v>
      </c>
      <c r="J100">
        <v>9935794</v>
      </c>
      <c r="K100">
        <v>35636436</v>
      </c>
      <c r="L100">
        <v>14934606</v>
      </c>
      <c r="M100" t="s">
        <v>1859</v>
      </c>
      <c r="AK100">
        <f>IF(LAM_API_TABLE[[#This Row],[Alternative_Data_Approval_Status]]="Approved",LAM_API_TABLE[[#This Row],[HCL_area_sqft_Alternative]],LAM_API_TABLE[[#This Row],[HCL_area_sqft]])</f>
        <v>0</v>
      </c>
      <c r="AL100">
        <f>IF(LAM_API_TABLE[[#This Row],[Alternative_Data_Approval_Status]]="Approved",LAM_API_TABLE[[#This Row],[Ag_area_sqft_Alternative]],LAM_API_TABLE[[#This Row],[Ag_area_sqft]])</f>
        <v>7064613</v>
      </c>
      <c r="AM100">
        <f>IF(LAM_API_TABLE[[#This Row],[Alternative_Data_Approval_Status]]="Approved",LAM_API_TABLE[[#This Row],[Pool_area_sqft_Alternative]],LAM_API_TABLE[[#This Row],[Pool_area_sqft]])</f>
        <v>209430</v>
      </c>
      <c r="AN100">
        <f>IF(LAM_API_TABLE[[#This Row],[Alternative_Data_Approval_Status]]="Approved",LAM_API_TABLE[[#This Row],[Total_II_sqft_Alternative]],LAM_API_TABLE[[#This Row],[Total_II_sqft]])</f>
        <v>12947447</v>
      </c>
      <c r="AO100">
        <f>IF(LAM_API_TABLE[[#This Row],[Alternative_Data_Approval_Status]]="Approved",LAM_API_TABLE[[#This Row],[Total_INI_sqft_Alternative]],LAM_API_TABLE[[#This Row],[Total_INI_sqft]])</f>
        <v>9935794</v>
      </c>
      <c r="AP100">
        <f>IF(LAM_API_TABLE[[#This Row],[New_Res_Constr_Approval_Status]]="Approved",LAM_API_TABLE[[#This Row],[New_Res_Constr_sqft]],0)</f>
        <v>0</v>
      </c>
      <c r="AQ100">
        <f>IF(LAM_API_TABLE[[#This Row],[New_Res_Constr_Approval_Status]]="Approved",LAM_API_TABLE[[#This Row],[New_Res_SLA_norec_sqft]],0)</f>
        <v>0</v>
      </c>
      <c r="AR100">
        <f>IF(LAM_API_TABLE[[#This Row],[New_Res_Constr_Approval_Status]]="Approved",LAM_API_TABLE[[#This Row],[New_Res_SLA_rec_sqft]],0)</f>
        <v>0</v>
      </c>
      <c r="AS100">
        <f>IF(LAM_API_TABLE[[#This Row],[Existing_Res_SLA_Data_Approval_Status]]="Approved",LAM_API_TABLE[[#This Row],[Existing_Res_SLA_norec_sqft]],0)</f>
        <v>0</v>
      </c>
      <c r="AT100">
        <f>IF(LAM_API_TABLE[[#This Row],[Existing_Res_SLA_Data_Approval_Status]]="Approved",LAM_API_TABLE[[#This Row],[Existing_Res_SLA_rec_sqft]],0)</f>
        <v>0</v>
      </c>
    </row>
    <row r="101" spans="1:46" x14ac:dyDescent="0.25">
      <c r="A101" t="s">
        <v>1214</v>
      </c>
      <c r="B101" t="s">
        <v>2889</v>
      </c>
      <c r="C101" t="s">
        <v>757</v>
      </c>
      <c r="D101" t="s">
        <v>2890</v>
      </c>
      <c r="E101">
        <v>2018</v>
      </c>
      <c r="H101">
        <v>241497</v>
      </c>
      <c r="I101">
        <v>12654368</v>
      </c>
      <c r="J101">
        <v>2301804</v>
      </c>
      <c r="K101">
        <v>45707932</v>
      </c>
      <c r="L101">
        <v>13114729</v>
      </c>
      <c r="M101" t="s">
        <v>1859</v>
      </c>
      <c r="AK101">
        <f>IF(LAM_API_TABLE[[#This Row],[Alternative_Data_Approval_Status]]="Approved",LAM_API_TABLE[[#This Row],[HCL_area_sqft_Alternative]],LAM_API_TABLE[[#This Row],[HCL_area_sqft]])</f>
        <v>0</v>
      </c>
      <c r="AL101">
        <f>IF(LAM_API_TABLE[[#This Row],[Alternative_Data_Approval_Status]]="Approved",LAM_API_TABLE[[#This Row],[Ag_area_sqft_Alternative]],LAM_API_TABLE[[#This Row],[Ag_area_sqft]])</f>
        <v>0</v>
      </c>
      <c r="AM101">
        <f>IF(LAM_API_TABLE[[#This Row],[Alternative_Data_Approval_Status]]="Approved",LAM_API_TABLE[[#This Row],[Pool_area_sqft_Alternative]],LAM_API_TABLE[[#This Row],[Pool_area_sqft]])</f>
        <v>241497</v>
      </c>
      <c r="AN101">
        <f>IF(LAM_API_TABLE[[#This Row],[Alternative_Data_Approval_Status]]="Approved",LAM_API_TABLE[[#This Row],[Total_II_sqft_Alternative]],LAM_API_TABLE[[#This Row],[Total_II_sqft]])</f>
        <v>12654368</v>
      </c>
      <c r="AO101">
        <f>IF(LAM_API_TABLE[[#This Row],[Alternative_Data_Approval_Status]]="Approved",LAM_API_TABLE[[#This Row],[Total_INI_sqft_Alternative]],LAM_API_TABLE[[#This Row],[Total_INI_sqft]])</f>
        <v>2301804</v>
      </c>
      <c r="AP101">
        <f>IF(LAM_API_TABLE[[#This Row],[New_Res_Constr_Approval_Status]]="Approved",LAM_API_TABLE[[#This Row],[New_Res_Constr_sqft]],0)</f>
        <v>0</v>
      </c>
      <c r="AQ101">
        <f>IF(LAM_API_TABLE[[#This Row],[New_Res_Constr_Approval_Status]]="Approved",LAM_API_TABLE[[#This Row],[New_Res_SLA_norec_sqft]],0)</f>
        <v>0</v>
      </c>
      <c r="AR101">
        <f>IF(LAM_API_TABLE[[#This Row],[New_Res_Constr_Approval_Status]]="Approved",LAM_API_TABLE[[#This Row],[New_Res_SLA_rec_sqft]],0)</f>
        <v>0</v>
      </c>
      <c r="AS101">
        <f>IF(LAM_API_TABLE[[#This Row],[Existing_Res_SLA_Data_Approval_Status]]="Approved",LAM_API_TABLE[[#This Row],[Existing_Res_SLA_norec_sqft]],0)</f>
        <v>0</v>
      </c>
      <c r="AT101">
        <f>IF(LAM_API_TABLE[[#This Row],[Existing_Res_SLA_Data_Approval_Status]]="Approved",LAM_API_TABLE[[#This Row],[Existing_Res_SLA_rec_sqft]],0)</f>
        <v>0</v>
      </c>
    </row>
    <row r="102" spans="1:46" x14ac:dyDescent="0.25">
      <c r="A102" t="s">
        <v>1218</v>
      </c>
      <c r="B102" t="s">
        <v>2891</v>
      </c>
      <c r="C102" t="s">
        <v>2892</v>
      </c>
      <c r="D102" t="s">
        <v>2893</v>
      </c>
      <c r="E102">
        <v>2018</v>
      </c>
      <c r="H102">
        <v>1777984</v>
      </c>
      <c r="I102">
        <v>45417793</v>
      </c>
      <c r="J102">
        <v>15953302</v>
      </c>
      <c r="K102">
        <v>103189079</v>
      </c>
      <c r="L102">
        <v>48608453</v>
      </c>
      <c r="M102" t="s">
        <v>1859</v>
      </c>
      <c r="AK102">
        <f>IF(LAM_API_TABLE[[#This Row],[Alternative_Data_Approval_Status]]="Approved",LAM_API_TABLE[[#This Row],[HCL_area_sqft_Alternative]],LAM_API_TABLE[[#This Row],[HCL_area_sqft]])</f>
        <v>0</v>
      </c>
      <c r="AL102">
        <f>IF(LAM_API_TABLE[[#This Row],[Alternative_Data_Approval_Status]]="Approved",LAM_API_TABLE[[#This Row],[Ag_area_sqft_Alternative]],LAM_API_TABLE[[#This Row],[Ag_area_sqft]])</f>
        <v>0</v>
      </c>
      <c r="AM102">
        <f>IF(LAM_API_TABLE[[#This Row],[Alternative_Data_Approval_Status]]="Approved",LAM_API_TABLE[[#This Row],[Pool_area_sqft_Alternative]],LAM_API_TABLE[[#This Row],[Pool_area_sqft]])</f>
        <v>1777984</v>
      </c>
      <c r="AN102">
        <f>IF(LAM_API_TABLE[[#This Row],[Alternative_Data_Approval_Status]]="Approved",LAM_API_TABLE[[#This Row],[Total_II_sqft_Alternative]],LAM_API_TABLE[[#This Row],[Total_II_sqft]])</f>
        <v>45417793</v>
      </c>
      <c r="AO102">
        <f>IF(LAM_API_TABLE[[#This Row],[Alternative_Data_Approval_Status]]="Approved",LAM_API_TABLE[[#This Row],[Total_INI_sqft_Alternative]],LAM_API_TABLE[[#This Row],[Total_INI_sqft]])</f>
        <v>15953302</v>
      </c>
      <c r="AP102">
        <f>IF(LAM_API_TABLE[[#This Row],[New_Res_Constr_Approval_Status]]="Approved",LAM_API_TABLE[[#This Row],[New_Res_Constr_sqft]],0)</f>
        <v>0</v>
      </c>
      <c r="AQ102">
        <f>IF(LAM_API_TABLE[[#This Row],[New_Res_Constr_Approval_Status]]="Approved",LAM_API_TABLE[[#This Row],[New_Res_SLA_norec_sqft]],0)</f>
        <v>0</v>
      </c>
      <c r="AR102">
        <f>IF(LAM_API_TABLE[[#This Row],[New_Res_Constr_Approval_Status]]="Approved",LAM_API_TABLE[[#This Row],[New_Res_SLA_rec_sqft]],0)</f>
        <v>0</v>
      </c>
      <c r="AS102">
        <f>IF(LAM_API_TABLE[[#This Row],[Existing_Res_SLA_Data_Approval_Status]]="Approved",LAM_API_TABLE[[#This Row],[Existing_Res_SLA_norec_sqft]],0)</f>
        <v>0</v>
      </c>
      <c r="AT102">
        <f>IF(LAM_API_TABLE[[#This Row],[Existing_Res_SLA_Data_Approval_Status]]="Approved",LAM_API_TABLE[[#This Row],[Existing_Res_SLA_rec_sqft]],0)</f>
        <v>0</v>
      </c>
    </row>
    <row r="103" spans="1:46" x14ac:dyDescent="0.25">
      <c r="A103" t="s">
        <v>1222</v>
      </c>
      <c r="B103" t="s">
        <v>1223</v>
      </c>
      <c r="C103" t="s">
        <v>2894</v>
      </c>
      <c r="D103" t="s">
        <v>2895</v>
      </c>
      <c r="E103">
        <v>2018</v>
      </c>
      <c r="F103">
        <v>25733</v>
      </c>
      <c r="G103">
        <v>114598</v>
      </c>
      <c r="H103">
        <v>351237</v>
      </c>
      <c r="I103">
        <v>53794616</v>
      </c>
      <c r="J103">
        <v>6938026</v>
      </c>
      <c r="K103">
        <v>116474913</v>
      </c>
      <c r="L103">
        <v>55182221</v>
      </c>
      <c r="M103" t="s">
        <v>1859</v>
      </c>
      <c r="AK103">
        <f>IF(LAM_API_TABLE[[#This Row],[Alternative_Data_Approval_Status]]="Approved",LAM_API_TABLE[[#This Row],[HCL_area_sqft_Alternative]],LAM_API_TABLE[[#This Row],[HCL_area_sqft]])</f>
        <v>25733</v>
      </c>
      <c r="AL103">
        <f>IF(LAM_API_TABLE[[#This Row],[Alternative_Data_Approval_Status]]="Approved",LAM_API_TABLE[[#This Row],[Ag_area_sqft_Alternative]],LAM_API_TABLE[[#This Row],[Ag_area_sqft]])</f>
        <v>114598</v>
      </c>
      <c r="AM103">
        <f>IF(LAM_API_TABLE[[#This Row],[Alternative_Data_Approval_Status]]="Approved",LAM_API_TABLE[[#This Row],[Pool_area_sqft_Alternative]],LAM_API_TABLE[[#This Row],[Pool_area_sqft]])</f>
        <v>351237</v>
      </c>
      <c r="AN103">
        <f>IF(LAM_API_TABLE[[#This Row],[Alternative_Data_Approval_Status]]="Approved",LAM_API_TABLE[[#This Row],[Total_II_sqft_Alternative]],LAM_API_TABLE[[#This Row],[Total_II_sqft]])</f>
        <v>53794616</v>
      </c>
      <c r="AO103">
        <f>IF(LAM_API_TABLE[[#This Row],[Alternative_Data_Approval_Status]]="Approved",LAM_API_TABLE[[#This Row],[Total_INI_sqft_Alternative]],LAM_API_TABLE[[#This Row],[Total_INI_sqft]])</f>
        <v>6938026</v>
      </c>
      <c r="AP103">
        <f>IF(LAM_API_TABLE[[#This Row],[New_Res_Constr_Approval_Status]]="Approved",LAM_API_TABLE[[#This Row],[New_Res_Constr_sqft]],0)</f>
        <v>0</v>
      </c>
      <c r="AQ103">
        <f>IF(LAM_API_TABLE[[#This Row],[New_Res_Constr_Approval_Status]]="Approved",LAM_API_TABLE[[#This Row],[New_Res_SLA_norec_sqft]],0)</f>
        <v>0</v>
      </c>
      <c r="AR103">
        <f>IF(LAM_API_TABLE[[#This Row],[New_Res_Constr_Approval_Status]]="Approved",LAM_API_TABLE[[#This Row],[New_Res_SLA_rec_sqft]],0)</f>
        <v>0</v>
      </c>
      <c r="AS103">
        <f>IF(LAM_API_TABLE[[#This Row],[Existing_Res_SLA_Data_Approval_Status]]="Approved",LAM_API_TABLE[[#This Row],[Existing_Res_SLA_norec_sqft]],0)</f>
        <v>0</v>
      </c>
      <c r="AT103">
        <f>IF(LAM_API_TABLE[[#This Row],[Existing_Res_SLA_Data_Approval_Status]]="Approved",LAM_API_TABLE[[#This Row],[Existing_Res_SLA_rec_sqft]],0)</f>
        <v>0</v>
      </c>
    </row>
    <row r="104" spans="1:46" x14ac:dyDescent="0.25">
      <c r="A104" t="s">
        <v>1226</v>
      </c>
      <c r="B104" t="s">
        <v>1227</v>
      </c>
      <c r="C104" t="s">
        <v>762</v>
      </c>
      <c r="D104" t="s">
        <v>2896</v>
      </c>
      <c r="E104">
        <v>2018</v>
      </c>
      <c r="F104">
        <v>339329</v>
      </c>
      <c r="G104">
        <v>2554191</v>
      </c>
      <c r="H104">
        <v>7166823</v>
      </c>
      <c r="I104">
        <v>753363351</v>
      </c>
      <c r="J104">
        <v>617166138</v>
      </c>
      <c r="K104">
        <v>2201664155</v>
      </c>
      <c r="L104">
        <v>876796579</v>
      </c>
      <c r="M104" t="s">
        <v>1859</v>
      </c>
      <c r="AK104">
        <f>IF(LAM_API_TABLE[[#This Row],[Alternative_Data_Approval_Status]]="Approved",LAM_API_TABLE[[#This Row],[HCL_area_sqft_Alternative]],LAM_API_TABLE[[#This Row],[HCL_area_sqft]])</f>
        <v>339329</v>
      </c>
      <c r="AL104">
        <f>IF(LAM_API_TABLE[[#This Row],[Alternative_Data_Approval_Status]]="Approved",LAM_API_TABLE[[#This Row],[Ag_area_sqft_Alternative]],LAM_API_TABLE[[#This Row],[Ag_area_sqft]])</f>
        <v>2554191</v>
      </c>
      <c r="AM104">
        <f>IF(LAM_API_TABLE[[#This Row],[Alternative_Data_Approval_Status]]="Approved",LAM_API_TABLE[[#This Row],[Pool_area_sqft_Alternative]],LAM_API_TABLE[[#This Row],[Pool_area_sqft]])</f>
        <v>7166823</v>
      </c>
      <c r="AN104">
        <f>IF(LAM_API_TABLE[[#This Row],[Alternative_Data_Approval_Status]]="Approved",LAM_API_TABLE[[#This Row],[Total_II_sqft_Alternative]],LAM_API_TABLE[[#This Row],[Total_II_sqft]])</f>
        <v>753363351</v>
      </c>
      <c r="AO104">
        <f>IF(LAM_API_TABLE[[#This Row],[Alternative_Data_Approval_Status]]="Approved",LAM_API_TABLE[[#This Row],[Total_INI_sqft_Alternative]],LAM_API_TABLE[[#This Row],[Total_INI_sqft]])</f>
        <v>617166138</v>
      </c>
      <c r="AP104">
        <f>IF(LAM_API_TABLE[[#This Row],[New_Res_Constr_Approval_Status]]="Approved",LAM_API_TABLE[[#This Row],[New_Res_Constr_sqft]],0)</f>
        <v>0</v>
      </c>
      <c r="AQ104">
        <f>IF(LAM_API_TABLE[[#This Row],[New_Res_Constr_Approval_Status]]="Approved",LAM_API_TABLE[[#This Row],[New_Res_SLA_norec_sqft]],0)</f>
        <v>0</v>
      </c>
      <c r="AR104">
        <f>IF(LAM_API_TABLE[[#This Row],[New_Res_Constr_Approval_Status]]="Approved",LAM_API_TABLE[[#This Row],[New_Res_SLA_rec_sqft]],0)</f>
        <v>0</v>
      </c>
      <c r="AS104">
        <f>IF(LAM_API_TABLE[[#This Row],[Existing_Res_SLA_Data_Approval_Status]]="Approved",LAM_API_TABLE[[#This Row],[Existing_Res_SLA_norec_sqft]],0)</f>
        <v>0</v>
      </c>
      <c r="AT104">
        <f>IF(LAM_API_TABLE[[#This Row],[Existing_Res_SLA_Data_Approval_Status]]="Approved",LAM_API_TABLE[[#This Row],[Existing_Res_SLA_rec_sqft]],0)</f>
        <v>0</v>
      </c>
    </row>
    <row r="105" spans="1:46" x14ac:dyDescent="0.25">
      <c r="A105" t="s">
        <v>1230</v>
      </c>
      <c r="B105" t="s">
        <v>1231</v>
      </c>
      <c r="C105" t="s">
        <v>2897</v>
      </c>
      <c r="D105" t="s">
        <v>2898</v>
      </c>
      <c r="E105">
        <v>2018</v>
      </c>
      <c r="F105">
        <v>76524</v>
      </c>
      <c r="G105">
        <v>2462484</v>
      </c>
      <c r="H105">
        <v>444928</v>
      </c>
      <c r="I105">
        <v>26906679</v>
      </c>
      <c r="J105">
        <v>15265277</v>
      </c>
      <c r="K105">
        <v>68089922</v>
      </c>
      <c r="L105">
        <v>29959734</v>
      </c>
      <c r="M105" t="s">
        <v>1859</v>
      </c>
      <c r="AK105">
        <f>IF(LAM_API_TABLE[[#This Row],[Alternative_Data_Approval_Status]]="Approved",LAM_API_TABLE[[#This Row],[HCL_area_sqft_Alternative]],LAM_API_TABLE[[#This Row],[HCL_area_sqft]])</f>
        <v>76524</v>
      </c>
      <c r="AL105">
        <f>IF(LAM_API_TABLE[[#This Row],[Alternative_Data_Approval_Status]]="Approved",LAM_API_TABLE[[#This Row],[Ag_area_sqft_Alternative]],LAM_API_TABLE[[#This Row],[Ag_area_sqft]])</f>
        <v>2462484</v>
      </c>
      <c r="AM105">
        <f>IF(LAM_API_TABLE[[#This Row],[Alternative_Data_Approval_Status]]="Approved",LAM_API_TABLE[[#This Row],[Pool_area_sqft_Alternative]],LAM_API_TABLE[[#This Row],[Pool_area_sqft]])</f>
        <v>444928</v>
      </c>
      <c r="AN105">
        <f>IF(LAM_API_TABLE[[#This Row],[Alternative_Data_Approval_Status]]="Approved",LAM_API_TABLE[[#This Row],[Total_II_sqft_Alternative]],LAM_API_TABLE[[#This Row],[Total_II_sqft]])</f>
        <v>26906679</v>
      </c>
      <c r="AO105">
        <f>IF(LAM_API_TABLE[[#This Row],[Alternative_Data_Approval_Status]]="Approved",LAM_API_TABLE[[#This Row],[Total_INI_sqft_Alternative]],LAM_API_TABLE[[#This Row],[Total_INI_sqft]])</f>
        <v>15265277</v>
      </c>
      <c r="AP105">
        <f>IF(LAM_API_TABLE[[#This Row],[New_Res_Constr_Approval_Status]]="Approved",LAM_API_TABLE[[#This Row],[New_Res_Constr_sqft]],0)</f>
        <v>0</v>
      </c>
      <c r="AQ105">
        <f>IF(LAM_API_TABLE[[#This Row],[New_Res_Constr_Approval_Status]]="Approved",LAM_API_TABLE[[#This Row],[New_Res_SLA_norec_sqft]],0)</f>
        <v>0</v>
      </c>
      <c r="AR105">
        <f>IF(LAM_API_TABLE[[#This Row],[New_Res_Constr_Approval_Status]]="Approved",LAM_API_TABLE[[#This Row],[New_Res_SLA_rec_sqft]],0)</f>
        <v>0</v>
      </c>
      <c r="AS105">
        <f>IF(LAM_API_TABLE[[#This Row],[Existing_Res_SLA_Data_Approval_Status]]="Approved",LAM_API_TABLE[[#This Row],[Existing_Res_SLA_norec_sqft]],0)</f>
        <v>0</v>
      </c>
      <c r="AT105">
        <f>IF(LAM_API_TABLE[[#This Row],[Existing_Res_SLA_Data_Approval_Status]]="Approved",LAM_API_TABLE[[#This Row],[Existing_Res_SLA_rec_sqft]],0)</f>
        <v>0</v>
      </c>
    </row>
    <row r="106" spans="1:46" x14ac:dyDescent="0.25">
      <c r="A106" t="s">
        <v>1234</v>
      </c>
      <c r="B106" t="s">
        <v>2899</v>
      </c>
      <c r="C106" t="s">
        <v>2900</v>
      </c>
      <c r="D106" t="s">
        <v>2901</v>
      </c>
      <c r="E106">
        <v>2018</v>
      </c>
      <c r="G106">
        <v>19950</v>
      </c>
      <c r="H106">
        <v>15369</v>
      </c>
      <c r="I106">
        <v>6466773</v>
      </c>
      <c r="J106">
        <v>4094128</v>
      </c>
      <c r="K106">
        <v>15973833</v>
      </c>
      <c r="L106">
        <v>7285599</v>
      </c>
      <c r="M106" t="s">
        <v>1859</v>
      </c>
      <c r="AK106">
        <f>IF(LAM_API_TABLE[[#This Row],[Alternative_Data_Approval_Status]]="Approved",LAM_API_TABLE[[#This Row],[HCL_area_sqft_Alternative]],LAM_API_TABLE[[#This Row],[HCL_area_sqft]])</f>
        <v>0</v>
      </c>
      <c r="AL106">
        <f>IF(LAM_API_TABLE[[#This Row],[Alternative_Data_Approval_Status]]="Approved",LAM_API_TABLE[[#This Row],[Ag_area_sqft_Alternative]],LAM_API_TABLE[[#This Row],[Ag_area_sqft]])</f>
        <v>19950</v>
      </c>
      <c r="AM106">
        <f>IF(LAM_API_TABLE[[#This Row],[Alternative_Data_Approval_Status]]="Approved",LAM_API_TABLE[[#This Row],[Pool_area_sqft_Alternative]],LAM_API_TABLE[[#This Row],[Pool_area_sqft]])</f>
        <v>15369</v>
      </c>
      <c r="AN106">
        <f>IF(LAM_API_TABLE[[#This Row],[Alternative_Data_Approval_Status]]="Approved",LAM_API_TABLE[[#This Row],[Total_II_sqft_Alternative]],LAM_API_TABLE[[#This Row],[Total_II_sqft]])</f>
        <v>6466773</v>
      </c>
      <c r="AO106">
        <f>IF(LAM_API_TABLE[[#This Row],[Alternative_Data_Approval_Status]]="Approved",LAM_API_TABLE[[#This Row],[Total_INI_sqft_Alternative]],LAM_API_TABLE[[#This Row],[Total_INI_sqft]])</f>
        <v>4094128</v>
      </c>
      <c r="AP106">
        <f>IF(LAM_API_TABLE[[#This Row],[New_Res_Constr_Approval_Status]]="Approved",LAM_API_TABLE[[#This Row],[New_Res_Constr_sqft]],0)</f>
        <v>0</v>
      </c>
      <c r="AQ106">
        <f>IF(LAM_API_TABLE[[#This Row],[New_Res_Constr_Approval_Status]]="Approved",LAM_API_TABLE[[#This Row],[New_Res_SLA_norec_sqft]],0)</f>
        <v>0</v>
      </c>
      <c r="AR106">
        <f>IF(LAM_API_TABLE[[#This Row],[New_Res_Constr_Approval_Status]]="Approved",LAM_API_TABLE[[#This Row],[New_Res_SLA_rec_sqft]],0)</f>
        <v>0</v>
      </c>
      <c r="AS106">
        <f>IF(LAM_API_TABLE[[#This Row],[Existing_Res_SLA_Data_Approval_Status]]="Approved",LAM_API_TABLE[[#This Row],[Existing_Res_SLA_norec_sqft]],0)</f>
        <v>0</v>
      </c>
      <c r="AT106">
        <f>IF(LAM_API_TABLE[[#This Row],[Existing_Res_SLA_Data_Approval_Status]]="Approved",LAM_API_TABLE[[#This Row],[Existing_Res_SLA_rec_sqft]],0)</f>
        <v>0</v>
      </c>
    </row>
    <row r="107" spans="1:46" x14ac:dyDescent="0.25">
      <c r="A107" t="s">
        <v>1238</v>
      </c>
      <c r="B107" t="s">
        <v>1239</v>
      </c>
      <c r="C107" t="s">
        <v>2902</v>
      </c>
      <c r="D107" t="s">
        <v>2903</v>
      </c>
      <c r="E107">
        <v>2018</v>
      </c>
      <c r="F107">
        <v>34727</v>
      </c>
      <c r="G107">
        <v>280907</v>
      </c>
      <c r="H107">
        <v>1684388</v>
      </c>
      <c r="I107">
        <v>56403638</v>
      </c>
      <c r="J107">
        <v>55747720</v>
      </c>
      <c r="K107">
        <v>125311917</v>
      </c>
      <c r="L107">
        <v>67553182</v>
      </c>
      <c r="M107" t="s">
        <v>1859</v>
      </c>
      <c r="AK107">
        <f>IF(LAM_API_TABLE[[#This Row],[Alternative_Data_Approval_Status]]="Approved",LAM_API_TABLE[[#This Row],[HCL_area_sqft_Alternative]],LAM_API_TABLE[[#This Row],[HCL_area_sqft]])</f>
        <v>34727</v>
      </c>
      <c r="AL107">
        <f>IF(LAM_API_TABLE[[#This Row],[Alternative_Data_Approval_Status]]="Approved",LAM_API_TABLE[[#This Row],[Ag_area_sqft_Alternative]],LAM_API_TABLE[[#This Row],[Ag_area_sqft]])</f>
        <v>280907</v>
      </c>
      <c r="AM107">
        <f>IF(LAM_API_TABLE[[#This Row],[Alternative_Data_Approval_Status]]="Approved",LAM_API_TABLE[[#This Row],[Pool_area_sqft_Alternative]],LAM_API_TABLE[[#This Row],[Pool_area_sqft]])</f>
        <v>1684388</v>
      </c>
      <c r="AN107">
        <f>IF(LAM_API_TABLE[[#This Row],[Alternative_Data_Approval_Status]]="Approved",LAM_API_TABLE[[#This Row],[Total_II_sqft_Alternative]],LAM_API_TABLE[[#This Row],[Total_II_sqft]])</f>
        <v>56403638</v>
      </c>
      <c r="AO107">
        <f>IF(LAM_API_TABLE[[#This Row],[Alternative_Data_Approval_Status]]="Approved",LAM_API_TABLE[[#This Row],[Total_INI_sqft_Alternative]],LAM_API_TABLE[[#This Row],[Total_INI_sqft]])</f>
        <v>55747720</v>
      </c>
      <c r="AP107">
        <f>IF(LAM_API_TABLE[[#This Row],[New_Res_Constr_Approval_Status]]="Approved",LAM_API_TABLE[[#This Row],[New_Res_Constr_sqft]],0)</f>
        <v>0</v>
      </c>
      <c r="AQ107">
        <f>IF(LAM_API_TABLE[[#This Row],[New_Res_Constr_Approval_Status]]="Approved",LAM_API_TABLE[[#This Row],[New_Res_SLA_norec_sqft]],0)</f>
        <v>0</v>
      </c>
      <c r="AR107">
        <f>IF(LAM_API_TABLE[[#This Row],[New_Res_Constr_Approval_Status]]="Approved",LAM_API_TABLE[[#This Row],[New_Res_SLA_rec_sqft]],0)</f>
        <v>0</v>
      </c>
      <c r="AS107">
        <f>IF(LAM_API_TABLE[[#This Row],[Existing_Res_SLA_Data_Approval_Status]]="Approved",LAM_API_TABLE[[#This Row],[Existing_Res_SLA_norec_sqft]],0)</f>
        <v>0</v>
      </c>
      <c r="AT107">
        <f>IF(LAM_API_TABLE[[#This Row],[Existing_Res_SLA_Data_Approval_Status]]="Approved",LAM_API_TABLE[[#This Row],[Existing_Res_SLA_rec_sqft]],0)</f>
        <v>0</v>
      </c>
    </row>
    <row r="108" spans="1:46" x14ac:dyDescent="0.25">
      <c r="A108" t="s">
        <v>1242</v>
      </c>
      <c r="B108" t="s">
        <v>1243</v>
      </c>
      <c r="C108" t="s">
        <v>767</v>
      </c>
      <c r="D108" t="s">
        <v>2904</v>
      </c>
      <c r="E108">
        <v>2018</v>
      </c>
      <c r="F108">
        <v>5294411</v>
      </c>
      <c r="G108">
        <v>26708596</v>
      </c>
      <c r="H108">
        <v>6829854</v>
      </c>
      <c r="I108">
        <v>363038743</v>
      </c>
      <c r="J108">
        <v>382743566</v>
      </c>
      <c r="K108">
        <v>1932071766</v>
      </c>
      <c r="L108">
        <v>439587456</v>
      </c>
      <c r="M108" t="s">
        <v>1859</v>
      </c>
      <c r="AK108">
        <f>IF(LAM_API_TABLE[[#This Row],[Alternative_Data_Approval_Status]]="Approved",LAM_API_TABLE[[#This Row],[HCL_area_sqft_Alternative]],LAM_API_TABLE[[#This Row],[HCL_area_sqft]])</f>
        <v>5294411</v>
      </c>
      <c r="AL108">
        <f>IF(LAM_API_TABLE[[#This Row],[Alternative_Data_Approval_Status]]="Approved",LAM_API_TABLE[[#This Row],[Ag_area_sqft_Alternative]],LAM_API_TABLE[[#This Row],[Ag_area_sqft]])</f>
        <v>26708596</v>
      </c>
      <c r="AM108">
        <f>IF(LAM_API_TABLE[[#This Row],[Alternative_Data_Approval_Status]]="Approved",LAM_API_TABLE[[#This Row],[Pool_area_sqft_Alternative]],LAM_API_TABLE[[#This Row],[Pool_area_sqft]])</f>
        <v>6829854</v>
      </c>
      <c r="AN108">
        <f>IF(LAM_API_TABLE[[#This Row],[Alternative_Data_Approval_Status]]="Approved",LAM_API_TABLE[[#This Row],[Total_II_sqft_Alternative]],LAM_API_TABLE[[#This Row],[Total_II_sqft]])</f>
        <v>363038743</v>
      </c>
      <c r="AO108">
        <f>IF(LAM_API_TABLE[[#This Row],[Alternative_Data_Approval_Status]]="Approved",LAM_API_TABLE[[#This Row],[Total_INI_sqft_Alternative]],LAM_API_TABLE[[#This Row],[Total_INI_sqft]])</f>
        <v>382743566</v>
      </c>
      <c r="AP108">
        <f>IF(LAM_API_TABLE[[#This Row],[New_Res_Constr_Approval_Status]]="Approved",LAM_API_TABLE[[#This Row],[New_Res_Constr_sqft]],0)</f>
        <v>0</v>
      </c>
      <c r="AQ108">
        <f>IF(LAM_API_TABLE[[#This Row],[New_Res_Constr_Approval_Status]]="Approved",LAM_API_TABLE[[#This Row],[New_Res_SLA_norec_sqft]],0)</f>
        <v>0</v>
      </c>
      <c r="AR108">
        <f>IF(LAM_API_TABLE[[#This Row],[New_Res_Constr_Approval_Status]]="Approved",LAM_API_TABLE[[#This Row],[New_Res_SLA_rec_sqft]],0)</f>
        <v>0</v>
      </c>
      <c r="AS108">
        <f>IF(LAM_API_TABLE[[#This Row],[Existing_Res_SLA_Data_Approval_Status]]="Approved",LAM_API_TABLE[[#This Row],[Existing_Res_SLA_norec_sqft]],0)</f>
        <v>0</v>
      </c>
      <c r="AT108">
        <f>IF(LAM_API_TABLE[[#This Row],[Existing_Res_SLA_Data_Approval_Status]]="Approved",LAM_API_TABLE[[#This Row],[Existing_Res_SLA_rec_sqft]],0)</f>
        <v>0</v>
      </c>
    </row>
    <row r="109" spans="1:46" x14ac:dyDescent="0.25">
      <c r="A109" t="s">
        <v>1246</v>
      </c>
      <c r="B109" t="s">
        <v>2905</v>
      </c>
      <c r="C109" t="s">
        <v>2906</v>
      </c>
      <c r="D109" t="s">
        <v>2907</v>
      </c>
      <c r="E109">
        <v>2018</v>
      </c>
      <c r="F109">
        <v>3637</v>
      </c>
      <c r="G109">
        <v>22755</v>
      </c>
      <c r="H109">
        <v>331016</v>
      </c>
      <c r="I109">
        <v>18217813</v>
      </c>
      <c r="J109">
        <v>17319856</v>
      </c>
      <c r="K109">
        <v>61227372</v>
      </c>
      <c r="L109">
        <v>21681784</v>
      </c>
      <c r="M109" t="s">
        <v>1859</v>
      </c>
      <c r="AK109">
        <f>IF(LAM_API_TABLE[[#This Row],[Alternative_Data_Approval_Status]]="Approved",LAM_API_TABLE[[#This Row],[HCL_area_sqft_Alternative]],LAM_API_TABLE[[#This Row],[HCL_area_sqft]])</f>
        <v>3637</v>
      </c>
      <c r="AL109">
        <f>IF(LAM_API_TABLE[[#This Row],[Alternative_Data_Approval_Status]]="Approved",LAM_API_TABLE[[#This Row],[Ag_area_sqft_Alternative]],LAM_API_TABLE[[#This Row],[Ag_area_sqft]])</f>
        <v>22755</v>
      </c>
      <c r="AM109">
        <f>IF(LAM_API_TABLE[[#This Row],[Alternative_Data_Approval_Status]]="Approved",LAM_API_TABLE[[#This Row],[Pool_area_sqft_Alternative]],LAM_API_TABLE[[#This Row],[Pool_area_sqft]])</f>
        <v>331016</v>
      </c>
      <c r="AN109">
        <f>IF(LAM_API_TABLE[[#This Row],[Alternative_Data_Approval_Status]]="Approved",LAM_API_TABLE[[#This Row],[Total_II_sqft_Alternative]],LAM_API_TABLE[[#This Row],[Total_II_sqft]])</f>
        <v>18217813</v>
      </c>
      <c r="AO109">
        <f>IF(LAM_API_TABLE[[#This Row],[Alternative_Data_Approval_Status]]="Approved",LAM_API_TABLE[[#This Row],[Total_INI_sqft_Alternative]],LAM_API_TABLE[[#This Row],[Total_INI_sqft]])</f>
        <v>17319856</v>
      </c>
      <c r="AP109">
        <f>IF(LAM_API_TABLE[[#This Row],[New_Res_Constr_Approval_Status]]="Approved",LAM_API_TABLE[[#This Row],[New_Res_Constr_sqft]],0)</f>
        <v>0</v>
      </c>
      <c r="AQ109">
        <f>IF(LAM_API_TABLE[[#This Row],[New_Res_Constr_Approval_Status]]="Approved",LAM_API_TABLE[[#This Row],[New_Res_SLA_norec_sqft]],0)</f>
        <v>0</v>
      </c>
      <c r="AR109">
        <f>IF(LAM_API_TABLE[[#This Row],[New_Res_Constr_Approval_Status]]="Approved",LAM_API_TABLE[[#This Row],[New_Res_SLA_rec_sqft]],0)</f>
        <v>0</v>
      </c>
      <c r="AS109">
        <f>IF(LAM_API_TABLE[[#This Row],[Existing_Res_SLA_Data_Approval_Status]]="Approved",LAM_API_TABLE[[#This Row],[Existing_Res_SLA_norec_sqft]],0)</f>
        <v>0</v>
      </c>
      <c r="AT109">
        <f>IF(LAM_API_TABLE[[#This Row],[Existing_Res_SLA_Data_Approval_Status]]="Approved",LAM_API_TABLE[[#This Row],[Existing_Res_SLA_rec_sqft]],0)</f>
        <v>0</v>
      </c>
    </row>
    <row r="110" spans="1:46" x14ac:dyDescent="0.25">
      <c r="A110" t="s">
        <v>1250</v>
      </c>
      <c r="B110" t="s">
        <v>1251</v>
      </c>
      <c r="C110" t="s">
        <v>2908</v>
      </c>
      <c r="D110" t="s">
        <v>2909</v>
      </c>
      <c r="E110">
        <v>2018</v>
      </c>
      <c r="F110">
        <v>1751284</v>
      </c>
      <c r="G110">
        <v>125131867</v>
      </c>
      <c r="H110">
        <v>5851963</v>
      </c>
      <c r="I110">
        <v>296856450</v>
      </c>
      <c r="J110">
        <v>176229867</v>
      </c>
      <c r="K110">
        <v>3396949210</v>
      </c>
      <c r="L110">
        <v>332102423</v>
      </c>
      <c r="M110" t="s">
        <v>1859</v>
      </c>
      <c r="AK110">
        <f>IF(LAM_API_TABLE[[#This Row],[Alternative_Data_Approval_Status]]="Approved",LAM_API_TABLE[[#This Row],[HCL_area_sqft_Alternative]],LAM_API_TABLE[[#This Row],[HCL_area_sqft]])</f>
        <v>1751284</v>
      </c>
      <c r="AL110">
        <f>IF(LAM_API_TABLE[[#This Row],[Alternative_Data_Approval_Status]]="Approved",LAM_API_TABLE[[#This Row],[Ag_area_sqft_Alternative]],LAM_API_TABLE[[#This Row],[Ag_area_sqft]])</f>
        <v>125131867</v>
      </c>
      <c r="AM110">
        <f>IF(LAM_API_TABLE[[#This Row],[Alternative_Data_Approval_Status]]="Approved",LAM_API_TABLE[[#This Row],[Pool_area_sqft_Alternative]],LAM_API_TABLE[[#This Row],[Pool_area_sqft]])</f>
        <v>5851963</v>
      </c>
      <c r="AN110">
        <f>IF(LAM_API_TABLE[[#This Row],[Alternative_Data_Approval_Status]]="Approved",LAM_API_TABLE[[#This Row],[Total_II_sqft_Alternative]],LAM_API_TABLE[[#This Row],[Total_II_sqft]])</f>
        <v>296856450</v>
      </c>
      <c r="AO110">
        <f>IF(LAM_API_TABLE[[#This Row],[Alternative_Data_Approval_Status]]="Approved",LAM_API_TABLE[[#This Row],[Total_INI_sqft_Alternative]],LAM_API_TABLE[[#This Row],[Total_INI_sqft]])</f>
        <v>176229867</v>
      </c>
      <c r="AP110">
        <f>IF(LAM_API_TABLE[[#This Row],[New_Res_Constr_Approval_Status]]="Approved",LAM_API_TABLE[[#This Row],[New_Res_Constr_sqft]],0)</f>
        <v>0</v>
      </c>
      <c r="AQ110">
        <f>IF(LAM_API_TABLE[[#This Row],[New_Res_Constr_Approval_Status]]="Approved",LAM_API_TABLE[[#This Row],[New_Res_SLA_norec_sqft]],0)</f>
        <v>0</v>
      </c>
      <c r="AR110">
        <f>IF(LAM_API_TABLE[[#This Row],[New_Res_Constr_Approval_Status]]="Approved",LAM_API_TABLE[[#This Row],[New_Res_SLA_rec_sqft]],0)</f>
        <v>0</v>
      </c>
      <c r="AS110">
        <f>IF(LAM_API_TABLE[[#This Row],[Existing_Res_SLA_Data_Approval_Status]]="Approved",LAM_API_TABLE[[#This Row],[Existing_Res_SLA_norec_sqft]],0)</f>
        <v>0</v>
      </c>
      <c r="AT110">
        <f>IF(LAM_API_TABLE[[#This Row],[Existing_Res_SLA_Data_Approval_Status]]="Approved",LAM_API_TABLE[[#This Row],[Existing_Res_SLA_rec_sqft]],0)</f>
        <v>0</v>
      </c>
    </row>
    <row r="111" spans="1:46" x14ac:dyDescent="0.25">
      <c r="A111" t="s">
        <v>1259</v>
      </c>
      <c r="B111" t="s">
        <v>1260</v>
      </c>
      <c r="C111" t="s">
        <v>771</v>
      </c>
      <c r="D111" t="s">
        <v>2910</v>
      </c>
      <c r="E111">
        <v>2018</v>
      </c>
      <c r="H111">
        <v>66820</v>
      </c>
      <c r="I111">
        <v>5195852</v>
      </c>
      <c r="J111">
        <v>2932502</v>
      </c>
      <c r="K111">
        <v>15368842</v>
      </c>
      <c r="L111">
        <v>5782352</v>
      </c>
      <c r="M111" t="s">
        <v>1859</v>
      </c>
      <c r="AK111">
        <f>IF(LAM_API_TABLE[[#This Row],[Alternative_Data_Approval_Status]]="Approved",LAM_API_TABLE[[#This Row],[HCL_area_sqft_Alternative]],LAM_API_TABLE[[#This Row],[HCL_area_sqft]])</f>
        <v>0</v>
      </c>
      <c r="AL111">
        <f>IF(LAM_API_TABLE[[#This Row],[Alternative_Data_Approval_Status]]="Approved",LAM_API_TABLE[[#This Row],[Ag_area_sqft_Alternative]],LAM_API_TABLE[[#This Row],[Ag_area_sqft]])</f>
        <v>0</v>
      </c>
      <c r="AM111">
        <f>IF(LAM_API_TABLE[[#This Row],[Alternative_Data_Approval_Status]]="Approved",LAM_API_TABLE[[#This Row],[Pool_area_sqft_Alternative]],LAM_API_TABLE[[#This Row],[Pool_area_sqft]])</f>
        <v>66820</v>
      </c>
      <c r="AN111">
        <f>IF(LAM_API_TABLE[[#This Row],[Alternative_Data_Approval_Status]]="Approved",LAM_API_TABLE[[#This Row],[Total_II_sqft_Alternative]],LAM_API_TABLE[[#This Row],[Total_II_sqft]])</f>
        <v>5195852</v>
      </c>
      <c r="AO111">
        <f>IF(LAM_API_TABLE[[#This Row],[Alternative_Data_Approval_Status]]="Approved",LAM_API_TABLE[[#This Row],[Total_INI_sqft_Alternative]],LAM_API_TABLE[[#This Row],[Total_INI_sqft]])</f>
        <v>2932502</v>
      </c>
      <c r="AP111">
        <f>IF(LAM_API_TABLE[[#This Row],[New_Res_Constr_Approval_Status]]="Approved",LAM_API_TABLE[[#This Row],[New_Res_Constr_sqft]],0)</f>
        <v>0</v>
      </c>
      <c r="AQ111">
        <f>IF(LAM_API_TABLE[[#This Row],[New_Res_Constr_Approval_Status]]="Approved",LAM_API_TABLE[[#This Row],[New_Res_SLA_norec_sqft]],0)</f>
        <v>0</v>
      </c>
      <c r="AR111">
        <f>IF(LAM_API_TABLE[[#This Row],[New_Res_Constr_Approval_Status]]="Approved",LAM_API_TABLE[[#This Row],[New_Res_SLA_rec_sqft]],0)</f>
        <v>0</v>
      </c>
      <c r="AS111">
        <f>IF(LAM_API_TABLE[[#This Row],[Existing_Res_SLA_Data_Approval_Status]]="Approved",LAM_API_TABLE[[#This Row],[Existing_Res_SLA_norec_sqft]],0)</f>
        <v>0</v>
      </c>
      <c r="AT111">
        <f>IF(LAM_API_TABLE[[#This Row],[Existing_Res_SLA_Data_Approval_Status]]="Approved",LAM_API_TABLE[[#This Row],[Existing_Res_SLA_rec_sqft]],0)</f>
        <v>0</v>
      </c>
    </row>
    <row r="112" spans="1:46" x14ac:dyDescent="0.25">
      <c r="A112" t="s">
        <v>1263</v>
      </c>
      <c r="B112" t="s">
        <v>2911</v>
      </c>
      <c r="C112" t="s">
        <v>2912</v>
      </c>
      <c r="D112" t="s">
        <v>2913</v>
      </c>
      <c r="E112">
        <v>2018</v>
      </c>
      <c r="H112">
        <v>71064</v>
      </c>
      <c r="I112">
        <v>7094383</v>
      </c>
      <c r="J112">
        <v>591307</v>
      </c>
      <c r="K112">
        <v>16484769</v>
      </c>
      <c r="L112">
        <v>7212644</v>
      </c>
      <c r="M112" t="s">
        <v>1859</v>
      </c>
      <c r="AK112">
        <f>IF(LAM_API_TABLE[[#This Row],[Alternative_Data_Approval_Status]]="Approved",LAM_API_TABLE[[#This Row],[HCL_area_sqft_Alternative]],LAM_API_TABLE[[#This Row],[HCL_area_sqft]])</f>
        <v>0</v>
      </c>
      <c r="AL112">
        <f>IF(LAM_API_TABLE[[#This Row],[Alternative_Data_Approval_Status]]="Approved",LAM_API_TABLE[[#This Row],[Ag_area_sqft_Alternative]],LAM_API_TABLE[[#This Row],[Ag_area_sqft]])</f>
        <v>0</v>
      </c>
      <c r="AM112">
        <f>IF(LAM_API_TABLE[[#This Row],[Alternative_Data_Approval_Status]]="Approved",LAM_API_TABLE[[#This Row],[Pool_area_sqft_Alternative]],LAM_API_TABLE[[#This Row],[Pool_area_sqft]])</f>
        <v>71064</v>
      </c>
      <c r="AN112">
        <f>IF(LAM_API_TABLE[[#This Row],[Alternative_Data_Approval_Status]]="Approved",LAM_API_TABLE[[#This Row],[Total_II_sqft_Alternative]],LAM_API_TABLE[[#This Row],[Total_II_sqft]])</f>
        <v>7094383</v>
      </c>
      <c r="AO112">
        <f>IF(LAM_API_TABLE[[#This Row],[Alternative_Data_Approval_Status]]="Approved",LAM_API_TABLE[[#This Row],[Total_INI_sqft_Alternative]],LAM_API_TABLE[[#This Row],[Total_INI_sqft]])</f>
        <v>591307</v>
      </c>
      <c r="AP112">
        <f>IF(LAM_API_TABLE[[#This Row],[New_Res_Constr_Approval_Status]]="Approved",LAM_API_TABLE[[#This Row],[New_Res_Constr_sqft]],0)</f>
        <v>0</v>
      </c>
      <c r="AQ112">
        <f>IF(LAM_API_TABLE[[#This Row],[New_Res_Constr_Approval_Status]]="Approved",LAM_API_TABLE[[#This Row],[New_Res_SLA_norec_sqft]],0)</f>
        <v>0</v>
      </c>
      <c r="AR112">
        <f>IF(LAM_API_TABLE[[#This Row],[New_Res_Constr_Approval_Status]]="Approved",LAM_API_TABLE[[#This Row],[New_Res_SLA_rec_sqft]],0)</f>
        <v>0</v>
      </c>
      <c r="AS112">
        <f>IF(LAM_API_TABLE[[#This Row],[Existing_Res_SLA_Data_Approval_Status]]="Approved",LAM_API_TABLE[[#This Row],[Existing_Res_SLA_norec_sqft]],0)</f>
        <v>0</v>
      </c>
      <c r="AT112">
        <f>IF(LAM_API_TABLE[[#This Row],[Existing_Res_SLA_Data_Approval_Status]]="Approved",LAM_API_TABLE[[#This Row],[Existing_Res_SLA_rec_sqft]],0)</f>
        <v>0</v>
      </c>
    </row>
    <row r="113" spans="1:46" x14ac:dyDescent="0.25">
      <c r="A113" t="s">
        <v>1267</v>
      </c>
      <c r="B113" t="s">
        <v>1268</v>
      </c>
      <c r="C113" t="s">
        <v>2914</v>
      </c>
      <c r="D113" t="s">
        <v>2915</v>
      </c>
      <c r="E113">
        <v>2018</v>
      </c>
      <c r="H113">
        <v>567776</v>
      </c>
      <c r="I113">
        <v>40877648</v>
      </c>
      <c r="J113">
        <v>4292117</v>
      </c>
      <c r="K113">
        <v>60778676</v>
      </c>
      <c r="L113">
        <v>41736071</v>
      </c>
      <c r="M113" t="s">
        <v>1859</v>
      </c>
      <c r="AK113">
        <f>IF(LAM_API_TABLE[[#This Row],[Alternative_Data_Approval_Status]]="Approved",LAM_API_TABLE[[#This Row],[HCL_area_sqft_Alternative]],LAM_API_TABLE[[#This Row],[HCL_area_sqft]])</f>
        <v>0</v>
      </c>
      <c r="AL113">
        <f>IF(LAM_API_TABLE[[#This Row],[Alternative_Data_Approval_Status]]="Approved",LAM_API_TABLE[[#This Row],[Ag_area_sqft_Alternative]],LAM_API_TABLE[[#This Row],[Ag_area_sqft]])</f>
        <v>0</v>
      </c>
      <c r="AM113">
        <f>IF(LAM_API_TABLE[[#This Row],[Alternative_Data_Approval_Status]]="Approved",LAM_API_TABLE[[#This Row],[Pool_area_sqft_Alternative]],LAM_API_TABLE[[#This Row],[Pool_area_sqft]])</f>
        <v>567776</v>
      </c>
      <c r="AN113">
        <f>IF(LAM_API_TABLE[[#This Row],[Alternative_Data_Approval_Status]]="Approved",LAM_API_TABLE[[#This Row],[Total_II_sqft_Alternative]],LAM_API_TABLE[[#This Row],[Total_II_sqft]])</f>
        <v>40877648</v>
      </c>
      <c r="AO113">
        <f>IF(LAM_API_TABLE[[#This Row],[Alternative_Data_Approval_Status]]="Approved",LAM_API_TABLE[[#This Row],[Total_INI_sqft_Alternative]],LAM_API_TABLE[[#This Row],[Total_INI_sqft]])</f>
        <v>4292117</v>
      </c>
      <c r="AP113">
        <f>IF(LAM_API_TABLE[[#This Row],[New_Res_Constr_Approval_Status]]="Approved",LAM_API_TABLE[[#This Row],[New_Res_Constr_sqft]],0)</f>
        <v>0</v>
      </c>
      <c r="AQ113">
        <f>IF(LAM_API_TABLE[[#This Row],[New_Res_Constr_Approval_Status]]="Approved",LAM_API_TABLE[[#This Row],[New_Res_SLA_norec_sqft]],0)</f>
        <v>0</v>
      </c>
      <c r="AR113">
        <f>IF(LAM_API_TABLE[[#This Row],[New_Res_Constr_Approval_Status]]="Approved",LAM_API_TABLE[[#This Row],[New_Res_SLA_rec_sqft]],0)</f>
        <v>0</v>
      </c>
      <c r="AS113">
        <f>IF(LAM_API_TABLE[[#This Row],[Existing_Res_SLA_Data_Approval_Status]]="Approved",LAM_API_TABLE[[#This Row],[Existing_Res_SLA_norec_sqft]],0)</f>
        <v>0</v>
      </c>
      <c r="AT113">
        <f>IF(LAM_API_TABLE[[#This Row],[Existing_Res_SLA_Data_Approval_Status]]="Approved",LAM_API_TABLE[[#This Row],[Existing_Res_SLA_rec_sqft]],0)</f>
        <v>0</v>
      </c>
    </row>
    <row r="114" spans="1:46" x14ac:dyDescent="0.25">
      <c r="A114" t="s">
        <v>1271</v>
      </c>
      <c r="B114" t="s">
        <v>1272</v>
      </c>
      <c r="C114" t="s">
        <v>2916</v>
      </c>
      <c r="D114" t="s">
        <v>2917</v>
      </c>
      <c r="E114">
        <v>2018</v>
      </c>
      <c r="F114">
        <v>158942</v>
      </c>
      <c r="G114">
        <v>11683975</v>
      </c>
      <c r="H114">
        <v>1140563</v>
      </c>
      <c r="I114">
        <v>51619975</v>
      </c>
      <c r="J114">
        <v>28366429</v>
      </c>
      <c r="K114">
        <v>111360475</v>
      </c>
      <c r="L114">
        <v>57293261</v>
      </c>
      <c r="M114" t="s">
        <v>1859</v>
      </c>
      <c r="AK114">
        <f>IF(LAM_API_TABLE[[#This Row],[Alternative_Data_Approval_Status]]="Approved",LAM_API_TABLE[[#This Row],[HCL_area_sqft_Alternative]],LAM_API_TABLE[[#This Row],[HCL_area_sqft]])</f>
        <v>158942</v>
      </c>
      <c r="AL114">
        <f>IF(LAM_API_TABLE[[#This Row],[Alternative_Data_Approval_Status]]="Approved",LAM_API_TABLE[[#This Row],[Ag_area_sqft_Alternative]],LAM_API_TABLE[[#This Row],[Ag_area_sqft]])</f>
        <v>11683975</v>
      </c>
      <c r="AM114">
        <f>IF(LAM_API_TABLE[[#This Row],[Alternative_Data_Approval_Status]]="Approved",LAM_API_TABLE[[#This Row],[Pool_area_sqft_Alternative]],LAM_API_TABLE[[#This Row],[Pool_area_sqft]])</f>
        <v>1140563</v>
      </c>
      <c r="AN114">
        <f>IF(LAM_API_TABLE[[#This Row],[Alternative_Data_Approval_Status]]="Approved",LAM_API_TABLE[[#This Row],[Total_II_sqft_Alternative]],LAM_API_TABLE[[#This Row],[Total_II_sqft]])</f>
        <v>51619975</v>
      </c>
      <c r="AO114">
        <f>IF(LAM_API_TABLE[[#This Row],[Alternative_Data_Approval_Status]]="Approved",LAM_API_TABLE[[#This Row],[Total_INI_sqft_Alternative]],LAM_API_TABLE[[#This Row],[Total_INI_sqft]])</f>
        <v>28366429</v>
      </c>
      <c r="AP114">
        <f>IF(LAM_API_TABLE[[#This Row],[New_Res_Constr_Approval_Status]]="Approved",LAM_API_TABLE[[#This Row],[New_Res_Constr_sqft]],0)</f>
        <v>0</v>
      </c>
      <c r="AQ114">
        <f>IF(LAM_API_TABLE[[#This Row],[New_Res_Constr_Approval_Status]]="Approved",LAM_API_TABLE[[#This Row],[New_Res_SLA_norec_sqft]],0)</f>
        <v>0</v>
      </c>
      <c r="AR114">
        <f>IF(LAM_API_TABLE[[#This Row],[New_Res_Constr_Approval_Status]]="Approved",LAM_API_TABLE[[#This Row],[New_Res_SLA_rec_sqft]],0)</f>
        <v>0</v>
      </c>
      <c r="AS114">
        <f>IF(LAM_API_TABLE[[#This Row],[Existing_Res_SLA_Data_Approval_Status]]="Approved",LAM_API_TABLE[[#This Row],[Existing_Res_SLA_norec_sqft]],0)</f>
        <v>0</v>
      </c>
      <c r="AT114">
        <f>IF(LAM_API_TABLE[[#This Row],[Existing_Res_SLA_Data_Approval_Status]]="Approved",LAM_API_TABLE[[#This Row],[Existing_Res_SLA_rec_sqft]],0)</f>
        <v>0</v>
      </c>
    </row>
    <row r="115" spans="1:46" x14ac:dyDescent="0.25">
      <c r="A115" t="s">
        <v>1275</v>
      </c>
      <c r="B115" t="s">
        <v>1276</v>
      </c>
      <c r="C115" t="s">
        <v>2918</v>
      </c>
      <c r="D115" t="s">
        <v>2919</v>
      </c>
      <c r="E115">
        <v>2018</v>
      </c>
      <c r="F115">
        <v>886036</v>
      </c>
      <c r="G115">
        <v>2766665</v>
      </c>
      <c r="H115">
        <v>2888038</v>
      </c>
      <c r="I115">
        <v>113727568</v>
      </c>
      <c r="J115">
        <v>115510540</v>
      </c>
      <c r="K115">
        <v>440097889</v>
      </c>
      <c r="L115">
        <v>136829676</v>
      </c>
      <c r="M115" t="s">
        <v>1859</v>
      </c>
      <c r="AK115">
        <f>IF(LAM_API_TABLE[[#This Row],[Alternative_Data_Approval_Status]]="Approved",LAM_API_TABLE[[#This Row],[HCL_area_sqft_Alternative]],LAM_API_TABLE[[#This Row],[HCL_area_sqft]])</f>
        <v>886036</v>
      </c>
      <c r="AL115">
        <f>IF(LAM_API_TABLE[[#This Row],[Alternative_Data_Approval_Status]]="Approved",LAM_API_TABLE[[#This Row],[Ag_area_sqft_Alternative]],LAM_API_TABLE[[#This Row],[Ag_area_sqft]])</f>
        <v>2766665</v>
      </c>
      <c r="AM115">
        <f>IF(LAM_API_TABLE[[#This Row],[Alternative_Data_Approval_Status]]="Approved",LAM_API_TABLE[[#This Row],[Pool_area_sqft_Alternative]],LAM_API_TABLE[[#This Row],[Pool_area_sqft]])</f>
        <v>2888038</v>
      </c>
      <c r="AN115">
        <f>IF(LAM_API_TABLE[[#This Row],[Alternative_Data_Approval_Status]]="Approved",LAM_API_TABLE[[#This Row],[Total_II_sqft_Alternative]],LAM_API_TABLE[[#This Row],[Total_II_sqft]])</f>
        <v>113727568</v>
      </c>
      <c r="AO115">
        <f>IF(LAM_API_TABLE[[#This Row],[Alternative_Data_Approval_Status]]="Approved",LAM_API_TABLE[[#This Row],[Total_INI_sqft_Alternative]],LAM_API_TABLE[[#This Row],[Total_INI_sqft]])</f>
        <v>115510540</v>
      </c>
      <c r="AP115">
        <f>IF(LAM_API_TABLE[[#This Row],[New_Res_Constr_Approval_Status]]="Approved",LAM_API_TABLE[[#This Row],[New_Res_Constr_sqft]],0)</f>
        <v>0</v>
      </c>
      <c r="AQ115">
        <f>IF(LAM_API_TABLE[[#This Row],[New_Res_Constr_Approval_Status]]="Approved",LAM_API_TABLE[[#This Row],[New_Res_SLA_norec_sqft]],0)</f>
        <v>0</v>
      </c>
      <c r="AR115">
        <f>IF(LAM_API_TABLE[[#This Row],[New_Res_Constr_Approval_Status]]="Approved",LAM_API_TABLE[[#This Row],[New_Res_SLA_rec_sqft]],0)</f>
        <v>0</v>
      </c>
      <c r="AS115">
        <f>IF(LAM_API_TABLE[[#This Row],[Existing_Res_SLA_Data_Approval_Status]]="Approved",LAM_API_TABLE[[#This Row],[Existing_Res_SLA_norec_sqft]],0)</f>
        <v>0</v>
      </c>
      <c r="AT115">
        <f>IF(LAM_API_TABLE[[#This Row],[Existing_Res_SLA_Data_Approval_Status]]="Approved",LAM_API_TABLE[[#This Row],[Existing_Res_SLA_rec_sqft]],0)</f>
        <v>0</v>
      </c>
    </row>
    <row r="116" spans="1:46" x14ac:dyDescent="0.25">
      <c r="A116" t="s">
        <v>1279</v>
      </c>
      <c r="B116" t="s">
        <v>2920</v>
      </c>
      <c r="C116" t="s">
        <v>2921</v>
      </c>
      <c r="D116" t="s">
        <v>2922</v>
      </c>
      <c r="E116">
        <v>2018</v>
      </c>
      <c r="F116">
        <v>164229</v>
      </c>
      <c r="G116">
        <v>13685781</v>
      </c>
      <c r="H116">
        <v>1840919</v>
      </c>
      <c r="I116">
        <v>100446321</v>
      </c>
      <c r="J116">
        <v>78698750</v>
      </c>
      <c r="K116">
        <v>232957251</v>
      </c>
      <c r="L116">
        <v>116186071</v>
      </c>
      <c r="M116" t="s">
        <v>1859</v>
      </c>
      <c r="AK116">
        <f>IF(LAM_API_TABLE[[#This Row],[Alternative_Data_Approval_Status]]="Approved",LAM_API_TABLE[[#This Row],[HCL_area_sqft_Alternative]],LAM_API_TABLE[[#This Row],[HCL_area_sqft]])</f>
        <v>164229</v>
      </c>
      <c r="AL116">
        <f>IF(LAM_API_TABLE[[#This Row],[Alternative_Data_Approval_Status]]="Approved",LAM_API_TABLE[[#This Row],[Ag_area_sqft_Alternative]],LAM_API_TABLE[[#This Row],[Ag_area_sqft]])</f>
        <v>13685781</v>
      </c>
      <c r="AM116">
        <f>IF(LAM_API_TABLE[[#This Row],[Alternative_Data_Approval_Status]]="Approved",LAM_API_TABLE[[#This Row],[Pool_area_sqft_Alternative]],LAM_API_TABLE[[#This Row],[Pool_area_sqft]])</f>
        <v>1840919</v>
      </c>
      <c r="AN116">
        <f>IF(LAM_API_TABLE[[#This Row],[Alternative_Data_Approval_Status]]="Approved",LAM_API_TABLE[[#This Row],[Total_II_sqft_Alternative]],LAM_API_TABLE[[#This Row],[Total_II_sqft]])</f>
        <v>100446321</v>
      </c>
      <c r="AO116">
        <f>IF(LAM_API_TABLE[[#This Row],[Alternative_Data_Approval_Status]]="Approved",LAM_API_TABLE[[#This Row],[Total_INI_sqft_Alternative]],LAM_API_TABLE[[#This Row],[Total_INI_sqft]])</f>
        <v>78698750</v>
      </c>
      <c r="AP116">
        <f>IF(LAM_API_TABLE[[#This Row],[New_Res_Constr_Approval_Status]]="Approved",LAM_API_TABLE[[#This Row],[New_Res_Constr_sqft]],0)</f>
        <v>0</v>
      </c>
      <c r="AQ116">
        <f>IF(LAM_API_TABLE[[#This Row],[New_Res_Constr_Approval_Status]]="Approved",LAM_API_TABLE[[#This Row],[New_Res_SLA_norec_sqft]],0)</f>
        <v>0</v>
      </c>
      <c r="AR116">
        <f>IF(LAM_API_TABLE[[#This Row],[New_Res_Constr_Approval_Status]]="Approved",LAM_API_TABLE[[#This Row],[New_Res_SLA_rec_sqft]],0)</f>
        <v>0</v>
      </c>
      <c r="AS116">
        <f>IF(LAM_API_TABLE[[#This Row],[Existing_Res_SLA_Data_Approval_Status]]="Approved",LAM_API_TABLE[[#This Row],[Existing_Res_SLA_norec_sqft]],0)</f>
        <v>0</v>
      </c>
      <c r="AT116">
        <f>IF(LAM_API_TABLE[[#This Row],[Existing_Res_SLA_Data_Approval_Status]]="Approved",LAM_API_TABLE[[#This Row],[Existing_Res_SLA_rec_sqft]],0)</f>
        <v>0</v>
      </c>
    </row>
    <row r="117" spans="1:46" x14ac:dyDescent="0.25">
      <c r="A117" t="s">
        <v>1283</v>
      </c>
      <c r="B117" t="s">
        <v>1284</v>
      </c>
      <c r="C117" t="s">
        <v>2923</v>
      </c>
      <c r="D117" t="s">
        <v>2924</v>
      </c>
      <c r="E117">
        <v>2018</v>
      </c>
      <c r="H117">
        <v>109230</v>
      </c>
      <c r="I117">
        <v>13326311</v>
      </c>
      <c r="J117">
        <v>1679988</v>
      </c>
      <c r="K117">
        <v>44694580</v>
      </c>
      <c r="L117">
        <v>13662309</v>
      </c>
      <c r="M117" t="s">
        <v>1859</v>
      </c>
      <c r="AK117">
        <f>IF(LAM_API_TABLE[[#This Row],[Alternative_Data_Approval_Status]]="Approved",LAM_API_TABLE[[#This Row],[HCL_area_sqft_Alternative]],LAM_API_TABLE[[#This Row],[HCL_area_sqft]])</f>
        <v>0</v>
      </c>
      <c r="AL117">
        <f>IF(LAM_API_TABLE[[#This Row],[Alternative_Data_Approval_Status]]="Approved",LAM_API_TABLE[[#This Row],[Ag_area_sqft_Alternative]],LAM_API_TABLE[[#This Row],[Ag_area_sqft]])</f>
        <v>0</v>
      </c>
      <c r="AM117">
        <f>IF(LAM_API_TABLE[[#This Row],[Alternative_Data_Approval_Status]]="Approved",LAM_API_TABLE[[#This Row],[Pool_area_sqft_Alternative]],LAM_API_TABLE[[#This Row],[Pool_area_sqft]])</f>
        <v>109230</v>
      </c>
      <c r="AN117">
        <f>IF(LAM_API_TABLE[[#This Row],[Alternative_Data_Approval_Status]]="Approved",LAM_API_TABLE[[#This Row],[Total_II_sqft_Alternative]],LAM_API_TABLE[[#This Row],[Total_II_sqft]])</f>
        <v>13326311</v>
      </c>
      <c r="AO117">
        <f>IF(LAM_API_TABLE[[#This Row],[Alternative_Data_Approval_Status]]="Approved",LAM_API_TABLE[[#This Row],[Total_INI_sqft_Alternative]],LAM_API_TABLE[[#This Row],[Total_INI_sqft]])</f>
        <v>1679988</v>
      </c>
      <c r="AP117">
        <f>IF(LAM_API_TABLE[[#This Row],[New_Res_Constr_Approval_Status]]="Approved",LAM_API_TABLE[[#This Row],[New_Res_Constr_sqft]],0)</f>
        <v>0</v>
      </c>
      <c r="AQ117">
        <f>IF(LAM_API_TABLE[[#This Row],[New_Res_Constr_Approval_Status]]="Approved",LAM_API_TABLE[[#This Row],[New_Res_SLA_norec_sqft]],0)</f>
        <v>0</v>
      </c>
      <c r="AR117">
        <f>IF(LAM_API_TABLE[[#This Row],[New_Res_Constr_Approval_Status]]="Approved",LAM_API_TABLE[[#This Row],[New_Res_SLA_rec_sqft]],0)</f>
        <v>0</v>
      </c>
      <c r="AS117">
        <f>IF(LAM_API_TABLE[[#This Row],[Existing_Res_SLA_Data_Approval_Status]]="Approved",LAM_API_TABLE[[#This Row],[Existing_Res_SLA_norec_sqft]],0)</f>
        <v>0</v>
      </c>
      <c r="AT117">
        <f>IF(LAM_API_TABLE[[#This Row],[Existing_Res_SLA_Data_Approval_Status]]="Approved",LAM_API_TABLE[[#This Row],[Existing_Res_SLA_rec_sqft]],0)</f>
        <v>0</v>
      </c>
    </row>
    <row r="118" spans="1:46" x14ac:dyDescent="0.25">
      <c r="A118" t="s">
        <v>1287</v>
      </c>
      <c r="B118" t="s">
        <v>2925</v>
      </c>
      <c r="C118" t="s">
        <v>776</v>
      </c>
      <c r="D118" t="s">
        <v>2926</v>
      </c>
      <c r="E118">
        <v>2018</v>
      </c>
      <c r="H118">
        <v>1901</v>
      </c>
      <c r="I118">
        <v>13025461</v>
      </c>
      <c r="J118">
        <v>16360558</v>
      </c>
      <c r="K118">
        <v>43782587</v>
      </c>
      <c r="L118">
        <v>16297573</v>
      </c>
      <c r="M118" t="s">
        <v>1859</v>
      </c>
      <c r="AK118">
        <f>IF(LAM_API_TABLE[[#This Row],[Alternative_Data_Approval_Status]]="Approved",LAM_API_TABLE[[#This Row],[HCL_area_sqft_Alternative]],LAM_API_TABLE[[#This Row],[HCL_area_sqft]])</f>
        <v>0</v>
      </c>
      <c r="AL118">
        <f>IF(LAM_API_TABLE[[#This Row],[Alternative_Data_Approval_Status]]="Approved",LAM_API_TABLE[[#This Row],[Ag_area_sqft_Alternative]],LAM_API_TABLE[[#This Row],[Ag_area_sqft]])</f>
        <v>0</v>
      </c>
      <c r="AM118">
        <f>IF(LAM_API_TABLE[[#This Row],[Alternative_Data_Approval_Status]]="Approved",LAM_API_TABLE[[#This Row],[Pool_area_sqft_Alternative]],LAM_API_TABLE[[#This Row],[Pool_area_sqft]])</f>
        <v>1901</v>
      </c>
      <c r="AN118">
        <f>IF(LAM_API_TABLE[[#This Row],[Alternative_Data_Approval_Status]]="Approved",LAM_API_TABLE[[#This Row],[Total_II_sqft_Alternative]],LAM_API_TABLE[[#This Row],[Total_II_sqft]])</f>
        <v>13025461</v>
      </c>
      <c r="AO118">
        <f>IF(LAM_API_TABLE[[#This Row],[Alternative_Data_Approval_Status]]="Approved",LAM_API_TABLE[[#This Row],[Total_INI_sqft_Alternative]],LAM_API_TABLE[[#This Row],[Total_INI_sqft]])</f>
        <v>16360558</v>
      </c>
      <c r="AP118">
        <f>IF(LAM_API_TABLE[[#This Row],[New_Res_Constr_Approval_Status]]="Approved",LAM_API_TABLE[[#This Row],[New_Res_Constr_sqft]],0)</f>
        <v>0</v>
      </c>
      <c r="AQ118">
        <f>IF(LAM_API_TABLE[[#This Row],[New_Res_Constr_Approval_Status]]="Approved",LAM_API_TABLE[[#This Row],[New_Res_SLA_norec_sqft]],0)</f>
        <v>0</v>
      </c>
      <c r="AR118">
        <f>IF(LAM_API_TABLE[[#This Row],[New_Res_Constr_Approval_Status]]="Approved",LAM_API_TABLE[[#This Row],[New_Res_SLA_rec_sqft]],0)</f>
        <v>0</v>
      </c>
      <c r="AS118">
        <f>IF(LAM_API_TABLE[[#This Row],[Existing_Res_SLA_Data_Approval_Status]]="Approved",LAM_API_TABLE[[#This Row],[Existing_Res_SLA_norec_sqft]],0)</f>
        <v>0</v>
      </c>
      <c r="AT118">
        <f>IF(LAM_API_TABLE[[#This Row],[Existing_Res_SLA_Data_Approval_Status]]="Approved",LAM_API_TABLE[[#This Row],[Existing_Res_SLA_rec_sqft]],0)</f>
        <v>0</v>
      </c>
    </row>
    <row r="119" spans="1:46" x14ac:dyDescent="0.25">
      <c r="A119" t="s">
        <v>1291</v>
      </c>
      <c r="B119" t="s">
        <v>1292</v>
      </c>
      <c r="C119" t="s">
        <v>2927</v>
      </c>
      <c r="D119" t="s">
        <v>2928</v>
      </c>
      <c r="E119">
        <v>2018</v>
      </c>
      <c r="G119">
        <v>179153</v>
      </c>
      <c r="H119">
        <v>195982</v>
      </c>
      <c r="I119">
        <v>8945998</v>
      </c>
      <c r="J119">
        <v>3815940</v>
      </c>
      <c r="K119">
        <v>16635457</v>
      </c>
      <c r="L119">
        <v>9709186</v>
      </c>
      <c r="M119" t="s">
        <v>1859</v>
      </c>
      <c r="AK119">
        <f>IF(LAM_API_TABLE[[#This Row],[Alternative_Data_Approval_Status]]="Approved",LAM_API_TABLE[[#This Row],[HCL_area_sqft_Alternative]],LAM_API_TABLE[[#This Row],[HCL_area_sqft]])</f>
        <v>0</v>
      </c>
      <c r="AL119">
        <f>IF(LAM_API_TABLE[[#This Row],[Alternative_Data_Approval_Status]]="Approved",LAM_API_TABLE[[#This Row],[Ag_area_sqft_Alternative]],LAM_API_TABLE[[#This Row],[Ag_area_sqft]])</f>
        <v>179153</v>
      </c>
      <c r="AM119">
        <f>IF(LAM_API_TABLE[[#This Row],[Alternative_Data_Approval_Status]]="Approved",LAM_API_TABLE[[#This Row],[Pool_area_sqft_Alternative]],LAM_API_TABLE[[#This Row],[Pool_area_sqft]])</f>
        <v>195982</v>
      </c>
      <c r="AN119">
        <f>IF(LAM_API_TABLE[[#This Row],[Alternative_Data_Approval_Status]]="Approved",LAM_API_TABLE[[#This Row],[Total_II_sqft_Alternative]],LAM_API_TABLE[[#This Row],[Total_II_sqft]])</f>
        <v>8945998</v>
      </c>
      <c r="AO119">
        <f>IF(LAM_API_TABLE[[#This Row],[Alternative_Data_Approval_Status]]="Approved",LAM_API_TABLE[[#This Row],[Total_INI_sqft_Alternative]],LAM_API_TABLE[[#This Row],[Total_INI_sqft]])</f>
        <v>3815940</v>
      </c>
      <c r="AP119">
        <f>IF(LAM_API_TABLE[[#This Row],[New_Res_Constr_Approval_Status]]="Approved",LAM_API_TABLE[[#This Row],[New_Res_Constr_sqft]],0)</f>
        <v>0</v>
      </c>
      <c r="AQ119">
        <f>IF(LAM_API_TABLE[[#This Row],[New_Res_Constr_Approval_Status]]="Approved",LAM_API_TABLE[[#This Row],[New_Res_SLA_norec_sqft]],0)</f>
        <v>0</v>
      </c>
      <c r="AR119">
        <f>IF(LAM_API_TABLE[[#This Row],[New_Res_Constr_Approval_Status]]="Approved",LAM_API_TABLE[[#This Row],[New_Res_SLA_rec_sqft]],0)</f>
        <v>0</v>
      </c>
      <c r="AS119">
        <f>IF(LAM_API_TABLE[[#This Row],[Existing_Res_SLA_Data_Approval_Status]]="Approved",LAM_API_TABLE[[#This Row],[Existing_Res_SLA_norec_sqft]],0)</f>
        <v>0</v>
      </c>
      <c r="AT119">
        <f>IF(LAM_API_TABLE[[#This Row],[Existing_Res_SLA_Data_Approval_Status]]="Approved",LAM_API_TABLE[[#This Row],[Existing_Res_SLA_rec_sqft]],0)</f>
        <v>0</v>
      </c>
    </row>
    <row r="120" spans="1:46" x14ac:dyDescent="0.25">
      <c r="A120" t="s">
        <v>1295</v>
      </c>
      <c r="B120" t="s">
        <v>1296</v>
      </c>
      <c r="C120" t="s">
        <v>2929</v>
      </c>
      <c r="D120" t="s">
        <v>2930</v>
      </c>
      <c r="E120">
        <v>2018</v>
      </c>
      <c r="F120">
        <v>5351</v>
      </c>
      <c r="G120">
        <v>380366</v>
      </c>
      <c r="H120">
        <v>865581</v>
      </c>
      <c r="I120">
        <v>68191461</v>
      </c>
      <c r="J120">
        <v>36716514</v>
      </c>
      <c r="K120">
        <v>87174361</v>
      </c>
      <c r="L120">
        <v>75534764</v>
      </c>
      <c r="M120" t="s">
        <v>1859</v>
      </c>
      <c r="AK120">
        <f>IF(LAM_API_TABLE[[#This Row],[Alternative_Data_Approval_Status]]="Approved",LAM_API_TABLE[[#This Row],[HCL_area_sqft_Alternative]],LAM_API_TABLE[[#This Row],[HCL_area_sqft]])</f>
        <v>5351</v>
      </c>
      <c r="AL120">
        <f>IF(LAM_API_TABLE[[#This Row],[Alternative_Data_Approval_Status]]="Approved",LAM_API_TABLE[[#This Row],[Ag_area_sqft_Alternative]],LAM_API_TABLE[[#This Row],[Ag_area_sqft]])</f>
        <v>380366</v>
      </c>
      <c r="AM120">
        <f>IF(LAM_API_TABLE[[#This Row],[Alternative_Data_Approval_Status]]="Approved",LAM_API_TABLE[[#This Row],[Pool_area_sqft_Alternative]],LAM_API_TABLE[[#This Row],[Pool_area_sqft]])</f>
        <v>865581</v>
      </c>
      <c r="AN120">
        <f>IF(LAM_API_TABLE[[#This Row],[Alternative_Data_Approval_Status]]="Approved",LAM_API_TABLE[[#This Row],[Total_II_sqft_Alternative]],LAM_API_TABLE[[#This Row],[Total_II_sqft]])</f>
        <v>68191461</v>
      </c>
      <c r="AO120">
        <f>IF(LAM_API_TABLE[[#This Row],[Alternative_Data_Approval_Status]]="Approved",LAM_API_TABLE[[#This Row],[Total_INI_sqft_Alternative]],LAM_API_TABLE[[#This Row],[Total_INI_sqft]])</f>
        <v>36716514</v>
      </c>
      <c r="AP120">
        <f>IF(LAM_API_TABLE[[#This Row],[New_Res_Constr_Approval_Status]]="Approved",LAM_API_TABLE[[#This Row],[New_Res_Constr_sqft]],0)</f>
        <v>0</v>
      </c>
      <c r="AQ120">
        <f>IF(LAM_API_TABLE[[#This Row],[New_Res_Constr_Approval_Status]]="Approved",LAM_API_TABLE[[#This Row],[New_Res_SLA_norec_sqft]],0)</f>
        <v>0</v>
      </c>
      <c r="AR120">
        <f>IF(LAM_API_TABLE[[#This Row],[New_Res_Constr_Approval_Status]]="Approved",LAM_API_TABLE[[#This Row],[New_Res_SLA_rec_sqft]],0)</f>
        <v>0</v>
      </c>
      <c r="AS120">
        <f>IF(LAM_API_TABLE[[#This Row],[Existing_Res_SLA_Data_Approval_Status]]="Approved",LAM_API_TABLE[[#This Row],[Existing_Res_SLA_norec_sqft]],0)</f>
        <v>0</v>
      </c>
      <c r="AT120">
        <f>IF(LAM_API_TABLE[[#This Row],[Existing_Res_SLA_Data_Approval_Status]]="Approved",LAM_API_TABLE[[#This Row],[Existing_Res_SLA_rec_sqft]],0)</f>
        <v>0</v>
      </c>
    </row>
    <row r="121" spans="1:46" x14ac:dyDescent="0.25">
      <c r="A121" t="s">
        <v>1299</v>
      </c>
      <c r="B121" t="s">
        <v>1300</v>
      </c>
      <c r="C121" t="s">
        <v>2931</v>
      </c>
      <c r="D121" t="s">
        <v>2932</v>
      </c>
      <c r="E121">
        <v>2018</v>
      </c>
      <c r="H121">
        <v>480990</v>
      </c>
      <c r="I121">
        <v>68546722</v>
      </c>
      <c r="J121">
        <v>30109954</v>
      </c>
      <c r="K121">
        <v>132385364</v>
      </c>
      <c r="L121">
        <v>74568713</v>
      </c>
      <c r="M121" t="s">
        <v>1859</v>
      </c>
      <c r="AK121">
        <f>IF(LAM_API_TABLE[[#This Row],[Alternative_Data_Approval_Status]]="Approved",LAM_API_TABLE[[#This Row],[HCL_area_sqft_Alternative]],LAM_API_TABLE[[#This Row],[HCL_area_sqft]])</f>
        <v>0</v>
      </c>
      <c r="AL121">
        <f>IF(LAM_API_TABLE[[#This Row],[Alternative_Data_Approval_Status]]="Approved",LAM_API_TABLE[[#This Row],[Ag_area_sqft_Alternative]],LAM_API_TABLE[[#This Row],[Ag_area_sqft]])</f>
        <v>0</v>
      </c>
      <c r="AM121">
        <f>IF(LAM_API_TABLE[[#This Row],[Alternative_Data_Approval_Status]]="Approved",LAM_API_TABLE[[#This Row],[Pool_area_sqft_Alternative]],LAM_API_TABLE[[#This Row],[Pool_area_sqft]])</f>
        <v>480990</v>
      </c>
      <c r="AN121">
        <f>IF(LAM_API_TABLE[[#This Row],[Alternative_Data_Approval_Status]]="Approved",LAM_API_TABLE[[#This Row],[Total_II_sqft_Alternative]],LAM_API_TABLE[[#This Row],[Total_II_sqft]])</f>
        <v>68546722</v>
      </c>
      <c r="AO121">
        <f>IF(LAM_API_TABLE[[#This Row],[Alternative_Data_Approval_Status]]="Approved",LAM_API_TABLE[[#This Row],[Total_INI_sqft_Alternative]],LAM_API_TABLE[[#This Row],[Total_INI_sqft]])</f>
        <v>30109954</v>
      </c>
      <c r="AP121">
        <f>IF(LAM_API_TABLE[[#This Row],[New_Res_Constr_Approval_Status]]="Approved",LAM_API_TABLE[[#This Row],[New_Res_Constr_sqft]],0)</f>
        <v>0</v>
      </c>
      <c r="AQ121">
        <f>IF(LAM_API_TABLE[[#This Row],[New_Res_Constr_Approval_Status]]="Approved",LAM_API_TABLE[[#This Row],[New_Res_SLA_norec_sqft]],0)</f>
        <v>0</v>
      </c>
      <c r="AR121">
        <f>IF(LAM_API_TABLE[[#This Row],[New_Res_Constr_Approval_Status]]="Approved",LAM_API_TABLE[[#This Row],[New_Res_SLA_rec_sqft]],0)</f>
        <v>0</v>
      </c>
      <c r="AS121">
        <f>IF(LAM_API_TABLE[[#This Row],[Existing_Res_SLA_Data_Approval_Status]]="Approved",LAM_API_TABLE[[#This Row],[Existing_Res_SLA_norec_sqft]],0)</f>
        <v>0</v>
      </c>
      <c r="AT121">
        <f>IF(LAM_API_TABLE[[#This Row],[Existing_Res_SLA_Data_Approval_Status]]="Approved",LAM_API_TABLE[[#This Row],[Existing_Res_SLA_rec_sqft]],0)</f>
        <v>0</v>
      </c>
    </row>
    <row r="122" spans="1:46" x14ac:dyDescent="0.25">
      <c r="A122" t="s">
        <v>1303</v>
      </c>
      <c r="B122" t="s">
        <v>2933</v>
      </c>
      <c r="C122" t="s">
        <v>2934</v>
      </c>
      <c r="D122" t="s">
        <v>2935</v>
      </c>
      <c r="E122">
        <v>2018</v>
      </c>
      <c r="F122">
        <v>436319</v>
      </c>
      <c r="G122">
        <v>60358653</v>
      </c>
      <c r="H122">
        <v>713820</v>
      </c>
      <c r="I122">
        <v>58456559</v>
      </c>
      <c r="J122">
        <v>76203394</v>
      </c>
      <c r="K122">
        <v>346757753</v>
      </c>
      <c r="L122">
        <v>73697238</v>
      </c>
      <c r="M122" t="s">
        <v>1859</v>
      </c>
      <c r="AK122">
        <f>IF(LAM_API_TABLE[[#This Row],[Alternative_Data_Approval_Status]]="Approved",LAM_API_TABLE[[#This Row],[HCL_area_sqft_Alternative]],LAM_API_TABLE[[#This Row],[HCL_area_sqft]])</f>
        <v>436319</v>
      </c>
      <c r="AL122">
        <f>IF(LAM_API_TABLE[[#This Row],[Alternative_Data_Approval_Status]]="Approved",LAM_API_TABLE[[#This Row],[Ag_area_sqft_Alternative]],LAM_API_TABLE[[#This Row],[Ag_area_sqft]])</f>
        <v>60358653</v>
      </c>
      <c r="AM122">
        <f>IF(LAM_API_TABLE[[#This Row],[Alternative_Data_Approval_Status]]="Approved",LAM_API_TABLE[[#This Row],[Pool_area_sqft_Alternative]],LAM_API_TABLE[[#This Row],[Pool_area_sqft]])</f>
        <v>713820</v>
      </c>
      <c r="AN122">
        <f>IF(LAM_API_TABLE[[#This Row],[Alternative_Data_Approval_Status]]="Approved",LAM_API_TABLE[[#This Row],[Total_II_sqft_Alternative]],LAM_API_TABLE[[#This Row],[Total_II_sqft]])</f>
        <v>58456559</v>
      </c>
      <c r="AO122">
        <f>IF(LAM_API_TABLE[[#This Row],[Alternative_Data_Approval_Status]]="Approved",LAM_API_TABLE[[#This Row],[Total_INI_sqft_Alternative]],LAM_API_TABLE[[#This Row],[Total_INI_sqft]])</f>
        <v>76203394</v>
      </c>
      <c r="AP122">
        <f>IF(LAM_API_TABLE[[#This Row],[New_Res_Constr_Approval_Status]]="Approved",LAM_API_TABLE[[#This Row],[New_Res_Constr_sqft]],0)</f>
        <v>0</v>
      </c>
      <c r="AQ122">
        <f>IF(LAM_API_TABLE[[#This Row],[New_Res_Constr_Approval_Status]]="Approved",LAM_API_TABLE[[#This Row],[New_Res_SLA_norec_sqft]],0)</f>
        <v>0</v>
      </c>
      <c r="AR122">
        <f>IF(LAM_API_TABLE[[#This Row],[New_Res_Constr_Approval_Status]]="Approved",LAM_API_TABLE[[#This Row],[New_Res_SLA_rec_sqft]],0)</f>
        <v>0</v>
      </c>
      <c r="AS122">
        <f>IF(LAM_API_TABLE[[#This Row],[Existing_Res_SLA_Data_Approval_Status]]="Approved",LAM_API_TABLE[[#This Row],[Existing_Res_SLA_norec_sqft]],0)</f>
        <v>0</v>
      </c>
      <c r="AT122">
        <f>IF(LAM_API_TABLE[[#This Row],[Existing_Res_SLA_Data_Approval_Status]]="Approved",LAM_API_TABLE[[#This Row],[Existing_Res_SLA_rec_sqft]],0)</f>
        <v>0</v>
      </c>
    </row>
    <row r="123" spans="1:46" x14ac:dyDescent="0.25">
      <c r="A123" t="s">
        <v>1307</v>
      </c>
      <c r="B123" t="s">
        <v>2936</v>
      </c>
      <c r="C123" t="s">
        <v>2937</v>
      </c>
      <c r="D123" t="s">
        <v>2938</v>
      </c>
      <c r="E123">
        <v>2018</v>
      </c>
      <c r="F123">
        <v>95633</v>
      </c>
      <c r="G123">
        <v>281767</v>
      </c>
      <c r="H123">
        <v>118991</v>
      </c>
      <c r="I123">
        <v>5912013</v>
      </c>
      <c r="J123">
        <v>4115761</v>
      </c>
      <c r="K123">
        <v>18573587</v>
      </c>
      <c r="L123">
        <v>6735165</v>
      </c>
      <c r="M123" t="s">
        <v>1859</v>
      </c>
      <c r="AK123">
        <f>IF(LAM_API_TABLE[[#This Row],[Alternative_Data_Approval_Status]]="Approved",LAM_API_TABLE[[#This Row],[HCL_area_sqft_Alternative]],LAM_API_TABLE[[#This Row],[HCL_area_sqft]])</f>
        <v>95633</v>
      </c>
      <c r="AL123">
        <f>IF(LAM_API_TABLE[[#This Row],[Alternative_Data_Approval_Status]]="Approved",LAM_API_TABLE[[#This Row],[Ag_area_sqft_Alternative]],LAM_API_TABLE[[#This Row],[Ag_area_sqft]])</f>
        <v>281767</v>
      </c>
      <c r="AM123">
        <f>IF(LAM_API_TABLE[[#This Row],[Alternative_Data_Approval_Status]]="Approved",LAM_API_TABLE[[#This Row],[Pool_area_sqft_Alternative]],LAM_API_TABLE[[#This Row],[Pool_area_sqft]])</f>
        <v>118991</v>
      </c>
      <c r="AN123">
        <f>IF(LAM_API_TABLE[[#This Row],[Alternative_Data_Approval_Status]]="Approved",LAM_API_TABLE[[#This Row],[Total_II_sqft_Alternative]],LAM_API_TABLE[[#This Row],[Total_II_sqft]])</f>
        <v>5912013</v>
      </c>
      <c r="AO123">
        <f>IF(LAM_API_TABLE[[#This Row],[Alternative_Data_Approval_Status]]="Approved",LAM_API_TABLE[[#This Row],[Total_INI_sqft_Alternative]],LAM_API_TABLE[[#This Row],[Total_INI_sqft]])</f>
        <v>4115761</v>
      </c>
      <c r="AP123">
        <f>IF(LAM_API_TABLE[[#This Row],[New_Res_Constr_Approval_Status]]="Approved",LAM_API_TABLE[[#This Row],[New_Res_Constr_sqft]],0)</f>
        <v>0</v>
      </c>
      <c r="AQ123">
        <f>IF(LAM_API_TABLE[[#This Row],[New_Res_Constr_Approval_Status]]="Approved",LAM_API_TABLE[[#This Row],[New_Res_SLA_norec_sqft]],0)</f>
        <v>0</v>
      </c>
      <c r="AR123">
        <f>IF(LAM_API_TABLE[[#This Row],[New_Res_Constr_Approval_Status]]="Approved",LAM_API_TABLE[[#This Row],[New_Res_SLA_rec_sqft]],0)</f>
        <v>0</v>
      </c>
      <c r="AS123">
        <f>IF(LAM_API_TABLE[[#This Row],[Existing_Res_SLA_Data_Approval_Status]]="Approved",LAM_API_TABLE[[#This Row],[Existing_Res_SLA_norec_sqft]],0)</f>
        <v>0</v>
      </c>
      <c r="AT123">
        <f>IF(LAM_API_TABLE[[#This Row],[Existing_Res_SLA_Data_Approval_Status]]="Approved",LAM_API_TABLE[[#This Row],[Existing_Res_SLA_rec_sqft]],0)</f>
        <v>0</v>
      </c>
    </row>
    <row r="124" spans="1:46" x14ac:dyDescent="0.25">
      <c r="A124" t="s">
        <v>1311</v>
      </c>
      <c r="B124" t="s">
        <v>1312</v>
      </c>
      <c r="C124" t="s">
        <v>780</v>
      </c>
      <c r="D124" t="s">
        <v>2939</v>
      </c>
      <c r="E124">
        <v>2020</v>
      </c>
      <c r="G124">
        <v>38883</v>
      </c>
      <c r="H124">
        <v>1726395</v>
      </c>
      <c r="I124">
        <v>62766238</v>
      </c>
      <c r="J124">
        <v>20556686</v>
      </c>
      <c r="K124">
        <v>125551845</v>
      </c>
      <c r="L124">
        <v>66877575</v>
      </c>
      <c r="M124" t="s">
        <v>1859</v>
      </c>
      <c r="AK124">
        <f>IF(LAM_API_TABLE[[#This Row],[Alternative_Data_Approval_Status]]="Approved",LAM_API_TABLE[[#This Row],[HCL_area_sqft_Alternative]],LAM_API_TABLE[[#This Row],[HCL_area_sqft]])</f>
        <v>0</v>
      </c>
      <c r="AL124">
        <f>IF(LAM_API_TABLE[[#This Row],[Alternative_Data_Approval_Status]]="Approved",LAM_API_TABLE[[#This Row],[Ag_area_sqft_Alternative]],LAM_API_TABLE[[#This Row],[Ag_area_sqft]])</f>
        <v>38883</v>
      </c>
      <c r="AM124">
        <f>IF(LAM_API_TABLE[[#This Row],[Alternative_Data_Approval_Status]]="Approved",LAM_API_TABLE[[#This Row],[Pool_area_sqft_Alternative]],LAM_API_TABLE[[#This Row],[Pool_area_sqft]])</f>
        <v>1726395</v>
      </c>
      <c r="AN124">
        <f>IF(LAM_API_TABLE[[#This Row],[Alternative_Data_Approval_Status]]="Approved",LAM_API_TABLE[[#This Row],[Total_II_sqft_Alternative]],LAM_API_TABLE[[#This Row],[Total_II_sqft]])</f>
        <v>62766238</v>
      </c>
      <c r="AO124">
        <f>IF(LAM_API_TABLE[[#This Row],[Alternative_Data_Approval_Status]]="Approved",LAM_API_TABLE[[#This Row],[Total_INI_sqft_Alternative]],LAM_API_TABLE[[#This Row],[Total_INI_sqft]])</f>
        <v>20556686</v>
      </c>
      <c r="AP124">
        <f>IF(LAM_API_TABLE[[#This Row],[New_Res_Constr_Approval_Status]]="Approved",LAM_API_TABLE[[#This Row],[New_Res_Constr_sqft]],0)</f>
        <v>0</v>
      </c>
      <c r="AQ124">
        <f>IF(LAM_API_TABLE[[#This Row],[New_Res_Constr_Approval_Status]]="Approved",LAM_API_TABLE[[#This Row],[New_Res_SLA_norec_sqft]],0)</f>
        <v>0</v>
      </c>
      <c r="AR124">
        <f>IF(LAM_API_TABLE[[#This Row],[New_Res_Constr_Approval_Status]]="Approved",LAM_API_TABLE[[#This Row],[New_Res_SLA_rec_sqft]],0)</f>
        <v>0</v>
      </c>
      <c r="AS124">
        <f>IF(LAM_API_TABLE[[#This Row],[Existing_Res_SLA_Data_Approval_Status]]="Approved",LAM_API_TABLE[[#This Row],[Existing_Res_SLA_norec_sqft]],0)</f>
        <v>0</v>
      </c>
      <c r="AT124">
        <f>IF(LAM_API_TABLE[[#This Row],[Existing_Res_SLA_Data_Approval_Status]]="Approved",LAM_API_TABLE[[#This Row],[Existing_Res_SLA_rec_sqft]],0)</f>
        <v>0</v>
      </c>
    </row>
    <row r="125" spans="1:46" x14ac:dyDescent="0.25">
      <c r="A125" t="s">
        <v>1317</v>
      </c>
      <c r="B125" t="s">
        <v>2940</v>
      </c>
      <c r="C125" t="s">
        <v>784</v>
      </c>
      <c r="D125" t="s">
        <v>2941</v>
      </c>
      <c r="E125">
        <v>2018</v>
      </c>
      <c r="F125">
        <v>30786</v>
      </c>
      <c r="G125">
        <v>11385849</v>
      </c>
      <c r="H125">
        <v>792</v>
      </c>
      <c r="I125">
        <v>11868688</v>
      </c>
      <c r="J125">
        <v>17927832</v>
      </c>
      <c r="K125">
        <v>66115438</v>
      </c>
      <c r="L125">
        <v>15454254</v>
      </c>
      <c r="M125" t="s">
        <v>1859</v>
      </c>
      <c r="AK125">
        <f>IF(LAM_API_TABLE[[#This Row],[Alternative_Data_Approval_Status]]="Approved",LAM_API_TABLE[[#This Row],[HCL_area_sqft_Alternative]],LAM_API_TABLE[[#This Row],[HCL_area_sqft]])</f>
        <v>30786</v>
      </c>
      <c r="AL125">
        <f>IF(LAM_API_TABLE[[#This Row],[Alternative_Data_Approval_Status]]="Approved",LAM_API_TABLE[[#This Row],[Ag_area_sqft_Alternative]],LAM_API_TABLE[[#This Row],[Ag_area_sqft]])</f>
        <v>11385849</v>
      </c>
      <c r="AM125">
        <f>IF(LAM_API_TABLE[[#This Row],[Alternative_Data_Approval_Status]]="Approved",LAM_API_TABLE[[#This Row],[Pool_area_sqft_Alternative]],LAM_API_TABLE[[#This Row],[Pool_area_sqft]])</f>
        <v>792</v>
      </c>
      <c r="AN125">
        <f>IF(LAM_API_TABLE[[#This Row],[Alternative_Data_Approval_Status]]="Approved",LAM_API_TABLE[[#This Row],[Total_II_sqft_Alternative]],LAM_API_TABLE[[#This Row],[Total_II_sqft]])</f>
        <v>11868688</v>
      </c>
      <c r="AO125">
        <f>IF(LAM_API_TABLE[[#This Row],[Alternative_Data_Approval_Status]]="Approved",LAM_API_TABLE[[#This Row],[Total_INI_sqft_Alternative]],LAM_API_TABLE[[#This Row],[Total_INI_sqft]])</f>
        <v>17927832</v>
      </c>
      <c r="AP125">
        <f>IF(LAM_API_TABLE[[#This Row],[New_Res_Constr_Approval_Status]]="Approved",LAM_API_TABLE[[#This Row],[New_Res_Constr_sqft]],0)</f>
        <v>0</v>
      </c>
      <c r="AQ125">
        <f>IF(LAM_API_TABLE[[#This Row],[New_Res_Constr_Approval_Status]]="Approved",LAM_API_TABLE[[#This Row],[New_Res_SLA_norec_sqft]],0)</f>
        <v>0</v>
      </c>
      <c r="AR125">
        <f>IF(LAM_API_TABLE[[#This Row],[New_Res_Constr_Approval_Status]]="Approved",LAM_API_TABLE[[#This Row],[New_Res_SLA_rec_sqft]],0)</f>
        <v>0</v>
      </c>
      <c r="AS125">
        <f>IF(LAM_API_TABLE[[#This Row],[Existing_Res_SLA_Data_Approval_Status]]="Approved",LAM_API_TABLE[[#This Row],[Existing_Res_SLA_norec_sqft]],0)</f>
        <v>0</v>
      </c>
      <c r="AT125">
        <f>IF(LAM_API_TABLE[[#This Row],[Existing_Res_SLA_Data_Approval_Status]]="Approved",LAM_API_TABLE[[#This Row],[Existing_Res_SLA_rec_sqft]],0)</f>
        <v>0</v>
      </c>
    </row>
    <row r="126" spans="1:46" x14ac:dyDescent="0.25">
      <c r="A126" t="s">
        <v>1321</v>
      </c>
      <c r="B126" t="s">
        <v>2942</v>
      </c>
      <c r="C126" t="s">
        <v>2943</v>
      </c>
      <c r="D126" t="s">
        <v>2944</v>
      </c>
      <c r="E126">
        <v>2018</v>
      </c>
      <c r="G126">
        <v>120589</v>
      </c>
      <c r="H126">
        <v>1163873</v>
      </c>
      <c r="I126">
        <v>28800960</v>
      </c>
      <c r="J126">
        <v>4951300</v>
      </c>
      <c r="K126">
        <v>70480491</v>
      </c>
      <c r="L126">
        <v>29791220</v>
      </c>
      <c r="M126" t="s">
        <v>1859</v>
      </c>
      <c r="AK126">
        <f>IF(LAM_API_TABLE[[#This Row],[Alternative_Data_Approval_Status]]="Approved",LAM_API_TABLE[[#This Row],[HCL_area_sqft_Alternative]],LAM_API_TABLE[[#This Row],[HCL_area_sqft]])</f>
        <v>0</v>
      </c>
      <c r="AL126">
        <f>IF(LAM_API_TABLE[[#This Row],[Alternative_Data_Approval_Status]]="Approved",LAM_API_TABLE[[#This Row],[Ag_area_sqft_Alternative]],LAM_API_TABLE[[#This Row],[Ag_area_sqft]])</f>
        <v>120589</v>
      </c>
      <c r="AM126">
        <f>IF(LAM_API_TABLE[[#This Row],[Alternative_Data_Approval_Status]]="Approved",LAM_API_TABLE[[#This Row],[Pool_area_sqft_Alternative]],LAM_API_TABLE[[#This Row],[Pool_area_sqft]])</f>
        <v>1163873</v>
      </c>
      <c r="AN126">
        <f>IF(LAM_API_TABLE[[#This Row],[Alternative_Data_Approval_Status]]="Approved",LAM_API_TABLE[[#This Row],[Total_II_sqft_Alternative]],LAM_API_TABLE[[#This Row],[Total_II_sqft]])</f>
        <v>28800960</v>
      </c>
      <c r="AO126">
        <f>IF(LAM_API_TABLE[[#This Row],[Alternative_Data_Approval_Status]]="Approved",LAM_API_TABLE[[#This Row],[Total_INI_sqft_Alternative]],LAM_API_TABLE[[#This Row],[Total_INI_sqft]])</f>
        <v>4951300</v>
      </c>
      <c r="AP126">
        <f>IF(LAM_API_TABLE[[#This Row],[New_Res_Constr_Approval_Status]]="Approved",LAM_API_TABLE[[#This Row],[New_Res_Constr_sqft]],0)</f>
        <v>0</v>
      </c>
      <c r="AQ126">
        <f>IF(LAM_API_TABLE[[#This Row],[New_Res_Constr_Approval_Status]]="Approved",LAM_API_TABLE[[#This Row],[New_Res_SLA_norec_sqft]],0)</f>
        <v>0</v>
      </c>
      <c r="AR126">
        <f>IF(LAM_API_TABLE[[#This Row],[New_Res_Constr_Approval_Status]]="Approved",LAM_API_TABLE[[#This Row],[New_Res_SLA_rec_sqft]],0)</f>
        <v>0</v>
      </c>
      <c r="AS126">
        <f>IF(LAM_API_TABLE[[#This Row],[Existing_Res_SLA_Data_Approval_Status]]="Approved",LAM_API_TABLE[[#This Row],[Existing_Res_SLA_norec_sqft]],0)</f>
        <v>0</v>
      </c>
      <c r="AT126">
        <f>IF(LAM_API_TABLE[[#This Row],[Existing_Res_SLA_Data_Approval_Status]]="Approved",LAM_API_TABLE[[#This Row],[Existing_Res_SLA_rec_sqft]],0)</f>
        <v>0</v>
      </c>
    </row>
    <row r="127" spans="1:46" x14ac:dyDescent="0.25">
      <c r="A127" t="s">
        <v>1325</v>
      </c>
      <c r="B127" t="s">
        <v>2945</v>
      </c>
      <c r="C127" t="s">
        <v>2946</v>
      </c>
      <c r="D127" t="s">
        <v>2947</v>
      </c>
      <c r="E127">
        <v>2018</v>
      </c>
      <c r="F127">
        <v>202996</v>
      </c>
      <c r="G127">
        <v>75632873</v>
      </c>
      <c r="H127">
        <v>8935015</v>
      </c>
      <c r="I127">
        <v>475177208</v>
      </c>
      <c r="J127">
        <v>172741880</v>
      </c>
      <c r="K127">
        <v>837917556</v>
      </c>
      <c r="L127">
        <v>509725584</v>
      </c>
      <c r="M127" t="s">
        <v>1859</v>
      </c>
      <c r="AK127">
        <f>IF(LAM_API_TABLE[[#This Row],[Alternative_Data_Approval_Status]]="Approved",LAM_API_TABLE[[#This Row],[HCL_area_sqft_Alternative]],LAM_API_TABLE[[#This Row],[HCL_area_sqft]])</f>
        <v>202996</v>
      </c>
      <c r="AL127">
        <f>IF(LAM_API_TABLE[[#This Row],[Alternative_Data_Approval_Status]]="Approved",LAM_API_TABLE[[#This Row],[Ag_area_sqft_Alternative]],LAM_API_TABLE[[#This Row],[Ag_area_sqft]])</f>
        <v>75632873</v>
      </c>
      <c r="AM127">
        <f>IF(LAM_API_TABLE[[#This Row],[Alternative_Data_Approval_Status]]="Approved",LAM_API_TABLE[[#This Row],[Pool_area_sqft_Alternative]],LAM_API_TABLE[[#This Row],[Pool_area_sqft]])</f>
        <v>8935015</v>
      </c>
      <c r="AN127">
        <f>IF(LAM_API_TABLE[[#This Row],[Alternative_Data_Approval_Status]]="Approved",LAM_API_TABLE[[#This Row],[Total_II_sqft_Alternative]],LAM_API_TABLE[[#This Row],[Total_II_sqft]])</f>
        <v>475177208</v>
      </c>
      <c r="AO127">
        <f>IF(LAM_API_TABLE[[#This Row],[Alternative_Data_Approval_Status]]="Approved",LAM_API_TABLE[[#This Row],[Total_INI_sqft_Alternative]],LAM_API_TABLE[[#This Row],[Total_INI_sqft]])</f>
        <v>172741880</v>
      </c>
      <c r="AP127">
        <f>IF(LAM_API_TABLE[[#This Row],[New_Res_Constr_Approval_Status]]="Approved",LAM_API_TABLE[[#This Row],[New_Res_Constr_sqft]],0)</f>
        <v>0</v>
      </c>
      <c r="AQ127">
        <f>IF(LAM_API_TABLE[[#This Row],[New_Res_Constr_Approval_Status]]="Approved",LAM_API_TABLE[[#This Row],[New_Res_SLA_norec_sqft]],0)</f>
        <v>0</v>
      </c>
      <c r="AR127">
        <f>IF(LAM_API_TABLE[[#This Row],[New_Res_Constr_Approval_Status]]="Approved",LAM_API_TABLE[[#This Row],[New_Res_SLA_rec_sqft]],0)</f>
        <v>0</v>
      </c>
      <c r="AS127">
        <f>IF(LAM_API_TABLE[[#This Row],[Existing_Res_SLA_Data_Approval_Status]]="Approved",LAM_API_TABLE[[#This Row],[Existing_Res_SLA_norec_sqft]],0)</f>
        <v>0</v>
      </c>
      <c r="AT127">
        <f>IF(LAM_API_TABLE[[#This Row],[Existing_Res_SLA_Data_Approval_Status]]="Approved",LAM_API_TABLE[[#This Row],[Existing_Res_SLA_rec_sqft]],0)</f>
        <v>0</v>
      </c>
    </row>
    <row r="128" spans="1:46" x14ac:dyDescent="0.25">
      <c r="A128" t="s">
        <v>1329</v>
      </c>
      <c r="B128" t="s">
        <v>1330</v>
      </c>
      <c r="C128" t="s">
        <v>2948</v>
      </c>
      <c r="D128" t="s">
        <v>2949</v>
      </c>
      <c r="E128">
        <v>2018</v>
      </c>
      <c r="F128">
        <v>52023</v>
      </c>
      <c r="G128">
        <v>45465</v>
      </c>
      <c r="H128">
        <v>2348577</v>
      </c>
      <c r="I128">
        <v>89615375</v>
      </c>
      <c r="J128">
        <v>24109044</v>
      </c>
      <c r="K128">
        <v>162288595</v>
      </c>
      <c r="L128">
        <v>94437184</v>
      </c>
      <c r="M128" t="s">
        <v>1859</v>
      </c>
      <c r="AK128">
        <f>IF(LAM_API_TABLE[[#This Row],[Alternative_Data_Approval_Status]]="Approved",LAM_API_TABLE[[#This Row],[HCL_area_sqft_Alternative]],LAM_API_TABLE[[#This Row],[HCL_area_sqft]])</f>
        <v>52023</v>
      </c>
      <c r="AL128">
        <f>IF(LAM_API_TABLE[[#This Row],[Alternative_Data_Approval_Status]]="Approved",LAM_API_TABLE[[#This Row],[Ag_area_sqft_Alternative]],LAM_API_TABLE[[#This Row],[Ag_area_sqft]])</f>
        <v>45465</v>
      </c>
      <c r="AM128">
        <f>IF(LAM_API_TABLE[[#This Row],[Alternative_Data_Approval_Status]]="Approved",LAM_API_TABLE[[#This Row],[Pool_area_sqft_Alternative]],LAM_API_TABLE[[#This Row],[Pool_area_sqft]])</f>
        <v>2348577</v>
      </c>
      <c r="AN128">
        <f>IF(LAM_API_TABLE[[#This Row],[Alternative_Data_Approval_Status]]="Approved",LAM_API_TABLE[[#This Row],[Total_II_sqft_Alternative]],LAM_API_TABLE[[#This Row],[Total_II_sqft]])</f>
        <v>89615375</v>
      </c>
      <c r="AO128">
        <f>IF(LAM_API_TABLE[[#This Row],[Alternative_Data_Approval_Status]]="Approved",LAM_API_TABLE[[#This Row],[Total_INI_sqft_Alternative]],LAM_API_TABLE[[#This Row],[Total_INI_sqft]])</f>
        <v>24109044</v>
      </c>
      <c r="AP128">
        <f>IF(LAM_API_TABLE[[#This Row],[New_Res_Constr_Approval_Status]]="Approved",LAM_API_TABLE[[#This Row],[New_Res_Constr_sqft]],0)</f>
        <v>0</v>
      </c>
      <c r="AQ128">
        <f>IF(LAM_API_TABLE[[#This Row],[New_Res_Constr_Approval_Status]]="Approved",LAM_API_TABLE[[#This Row],[New_Res_SLA_norec_sqft]],0)</f>
        <v>0</v>
      </c>
      <c r="AR128">
        <f>IF(LAM_API_TABLE[[#This Row],[New_Res_Constr_Approval_Status]]="Approved",LAM_API_TABLE[[#This Row],[New_Res_SLA_rec_sqft]],0)</f>
        <v>0</v>
      </c>
      <c r="AS128">
        <f>IF(LAM_API_TABLE[[#This Row],[Existing_Res_SLA_Data_Approval_Status]]="Approved",LAM_API_TABLE[[#This Row],[Existing_Res_SLA_norec_sqft]],0)</f>
        <v>0</v>
      </c>
      <c r="AT128">
        <f>IF(LAM_API_TABLE[[#This Row],[Existing_Res_SLA_Data_Approval_Status]]="Approved",LAM_API_TABLE[[#This Row],[Existing_Res_SLA_rec_sqft]],0)</f>
        <v>0</v>
      </c>
    </row>
    <row r="129" spans="1:46" x14ac:dyDescent="0.25">
      <c r="A129" t="s">
        <v>1333</v>
      </c>
      <c r="B129" t="s">
        <v>1334</v>
      </c>
      <c r="C129" t="s">
        <v>789</v>
      </c>
      <c r="D129" t="s">
        <v>2950</v>
      </c>
      <c r="E129">
        <v>2018</v>
      </c>
      <c r="G129">
        <v>5246165</v>
      </c>
      <c r="H129">
        <v>347057</v>
      </c>
      <c r="I129">
        <v>21955100</v>
      </c>
      <c r="J129">
        <v>7357200</v>
      </c>
      <c r="K129">
        <v>42695450</v>
      </c>
      <c r="L129">
        <v>23426540</v>
      </c>
      <c r="M129" t="s">
        <v>1859</v>
      </c>
      <c r="AK129">
        <f>IF(LAM_API_TABLE[[#This Row],[Alternative_Data_Approval_Status]]="Approved",LAM_API_TABLE[[#This Row],[HCL_area_sqft_Alternative]],LAM_API_TABLE[[#This Row],[HCL_area_sqft]])</f>
        <v>0</v>
      </c>
      <c r="AL129">
        <f>IF(LAM_API_TABLE[[#This Row],[Alternative_Data_Approval_Status]]="Approved",LAM_API_TABLE[[#This Row],[Ag_area_sqft_Alternative]],LAM_API_TABLE[[#This Row],[Ag_area_sqft]])</f>
        <v>5246165</v>
      </c>
      <c r="AM129">
        <f>IF(LAM_API_TABLE[[#This Row],[Alternative_Data_Approval_Status]]="Approved",LAM_API_TABLE[[#This Row],[Pool_area_sqft_Alternative]],LAM_API_TABLE[[#This Row],[Pool_area_sqft]])</f>
        <v>347057</v>
      </c>
      <c r="AN129">
        <f>IF(LAM_API_TABLE[[#This Row],[Alternative_Data_Approval_Status]]="Approved",LAM_API_TABLE[[#This Row],[Total_II_sqft_Alternative]],LAM_API_TABLE[[#This Row],[Total_II_sqft]])</f>
        <v>21955100</v>
      </c>
      <c r="AO129">
        <f>IF(LAM_API_TABLE[[#This Row],[Alternative_Data_Approval_Status]]="Approved",LAM_API_TABLE[[#This Row],[Total_INI_sqft_Alternative]],LAM_API_TABLE[[#This Row],[Total_INI_sqft]])</f>
        <v>7357200</v>
      </c>
      <c r="AP129">
        <f>IF(LAM_API_TABLE[[#This Row],[New_Res_Constr_Approval_Status]]="Approved",LAM_API_TABLE[[#This Row],[New_Res_Constr_sqft]],0)</f>
        <v>0</v>
      </c>
      <c r="AQ129">
        <f>IF(LAM_API_TABLE[[#This Row],[New_Res_Constr_Approval_Status]]="Approved",LAM_API_TABLE[[#This Row],[New_Res_SLA_norec_sqft]],0)</f>
        <v>0</v>
      </c>
      <c r="AR129">
        <f>IF(LAM_API_TABLE[[#This Row],[New_Res_Constr_Approval_Status]]="Approved",LAM_API_TABLE[[#This Row],[New_Res_SLA_rec_sqft]],0)</f>
        <v>0</v>
      </c>
      <c r="AS129">
        <f>IF(LAM_API_TABLE[[#This Row],[Existing_Res_SLA_Data_Approval_Status]]="Approved",LAM_API_TABLE[[#This Row],[Existing_Res_SLA_norec_sqft]],0)</f>
        <v>0</v>
      </c>
      <c r="AT129">
        <f>IF(LAM_API_TABLE[[#This Row],[Existing_Res_SLA_Data_Approval_Status]]="Approved",LAM_API_TABLE[[#This Row],[Existing_Res_SLA_rec_sqft]],0)</f>
        <v>0</v>
      </c>
    </row>
    <row r="130" spans="1:46" x14ac:dyDescent="0.25">
      <c r="A130" t="s">
        <v>1337</v>
      </c>
      <c r="B130" t="s">
        <v>2951</v>
      </c>
      <c r="C130" t="s">
        <v>2952</v>
      </c>
      <c r="D130" t="s">
        <v>2953</v>
      </c>
      <c r="E130">
        <v>2018</v>
      </c>
      <c r="H130">
        <v>1784723</v>
      </c>
      <c r="I130">
        <v>58026760</v>
      </c>
      <c r="J130">
        <v>28469373</v>
      </c>
      <c r="K130">
        <v>165354385</v>
      </c>
      <c r="L130">
        <v>63720635</v>
      </c>
      <c r="M130" t="s">
        <v>1859</v>
      </c>
      <c r="AK130">
        <f>IF(LAM_API_TABLE[[#This Row],[Alternative_Data_Approval_Status]]="Approved",LAM_API_TABLE[[#This Row],[HCL_area_sqft_Alternative]],LAM_API_TABLE[[#This Row],[HCL_area_sqft]])</f>
        <v>0</v>
      </c>
      <c r="AL130">
        <f>IF(LAM_API_TABLE[[#This Row],[Alternative_Data_Approval_Status]]="Approved",LAM_API_TABLE[[#This Row],[Ag_area_sqft_Alternative]],LAM_API_TABLE[[#This Row],[Ag_area_sqft]])</f>
        <v>0</v>
      </c>
      <c r="AM130">
        <f>IF(LAM_API_TABLE[[#This Row],[Alternative_Data_Approval_Status]]="Approved",LAM_API_TABLE[[#This Row],[Pool_area_sqft_Alternative]],LAM_API_TABLE[[#This Row],[Pool_area_sqft]])</f>
        <v>1784723</v>
      </c>
      <c r="AN130">
        <f>IF(LAM_API_TABLE[[#This Row],[Alternative_Data_Approval_Status]]="Approved",LAM_API_TABLE[[#This Row],[Total_II_sqft_Alternative]],LAM_API_TABLE[[#This Row],[Total_II_sqft]])</f>
        <v>58026760</v>
      </c>
      <c r="AO130">
        <f>IF(LAM_API_TABLE[[#This Row],[Alternative_Data_Approval_Status]]="Approved",LAM_API_TABLE[[#This Row],[Total_INI_sqft_Alternative]],LAM_API_TABLE[[#This Row],[Total_INI_sqft]])</f>
        <v>28469373</v>
      </c>
      <c r="AP130">
        <f>IF(LAM_API_TABLE[[#This Row],[New_Res_Constr_Approval_Status]]="Approved",LAM_API_TABLE[[#This Row],[New_Res_Constr_sqft]],0)</f>
        <v>0</v>
      </c>
      <c r="AQ130">
        <f>IF(LAM_API_TABLE[[#This Row],[New_Res_Constr_Approval_Status]]="Approved",LAM_API_TABLE[[#This Row],[New_Res_SLA_norec_sqft]],0)</f>
        <v>0</v>
      </c>
      <c r="AR130">
        <f>IF(LAM_API_TABLE[[#This Row],[New_Res_Constr_Approval_Status]]="Approved",LAM_API_TABLE[[#This Row],[New_Res_SLA_rec_sqft]],0)</f>
        <v>0</v>
      </c>
      <c r="AS130">
        <f>IF(LAM_API_TABLE[[#This Row],[Existing_Res_SLA_Data_Approval_Status]]="Approved",LAM_API_TABLE[[#This Row],[Existing_Res_SLA_norec_sqft]],0)</f>
        <v>0</v>
      </c>
      <c r="AT130">
        <f>IF(LAM_API_TABLE[[#This Row],[Existing_Res_SLA_Data_Approval_Status]]="Approved",LAM_API_TABLE[[#This Row],[Existing_Res_SLA_rec_sqft]],0)</f>
        <v>0</v>
      </c>
    </row>
    <row r="131" spans="1:46" x14ac:dyDescent="0.25">
      <c r="A131" t="s">
        <v>1341</v>
      </c>
      <c r="B131" t="s">
        <v>1342</v>
      </c>
      <c r="C131" t="s">
        <v>2954</v>
      </c>
      <c r="D131" t="s">
        <v>2955</v>
      </c>
      <c r="E131">
        <v>2018</v>
      </c>
      <c r="F131">
        <v>382739</v>
      </c>
      <c r="G131">
        <v>15766101</v>
      </c>
      <c r="H131">
        <v>102515</v>
      </c>
      <c r="I131">
        <v>13263366</v>
      </c>
      <c r="J131">
        <v>26269471</v>
      </c>
      <c r="K131">
        <v>520438795</v>
      </c>
      <c r="L131">
        <v>18517260</v>
      </c>
      <c r="M131" t="s">
        <v>1859</v>
      </c>
      <c r="AK131">
        <f>IF(LAM_API_TABLE[[#This Row],[Alternative_Data_Approval_Status]]="Approved",LAM_API_TABLE[[#This Row],[HCL_area_sqft_Alternative]],LAM_API_TABLE[[#This Row],[HCL_area_sqft]])</f>
        <v>382739</v>
      </c>
      <c r="AL131">
        <f>IF(LAM_API_TABLE[[#This Row],[Alternative_Data_Approval_Status]]="Approved",LAM_API_TABLE[[#This Row],[Ag_area_sqft_Alternative]],LAM_API_TABLE[[#This Row],[Ag_area_sqft]])</f>
        <v>15766101</v>
      </c>
      <c r="AM131">
        <f>IF(LAM_API_TABLE[[#This Row],[Alternative_Data_Approval_Status]]="Approved",LAM_API_TABLE[[#This Row],[Pool_area_sqft_Alternative]],LAM_API_TABLE[[#This Row],[Pool_area_sqft]])</f>
        <v>102515</v>
      </c>
      <c r="AN131">
        <f>IF(LAM_API_TABLE[[#This Row],[Alternative_Data_Approval_Status]]="Approved",LAM_API_TABLE[[#This Row],[Total_II_sqft_Alternative]],LAM_API_TABLE[[#This Row],[Total_II_sqft]])</f>
        <v>13263366</v>
      </c>
      <c r="AO131">
        <f>IF(LAM_API_TABLE[[#This Row],[Alternative_Data_Approval_Status]]="Approved",LAM_API_TABLE[[#This Row],[Total_INI_sqft_Alternative]],LAM_API_TABLE[[#This Row],[Total_INI_sqft]])</f>
        <v>26269471</v>
      </c>
      <c r="AP131">
        <f>IF(LAM_API_TABLE[[#This Row],[New_Res_Constr_Approval_Status]]="Approved",LAM_API_TABLE[[#This Row],[New_Res_Constr_sqft]],0)</f>
        <v>0</v>
      </c>
      <c r="AQ131">
        <f>IF(LAM_API_TABLE[[#This Row],[New_Res_Constr_Approval_Status]]="Approved",LAM_API_TABLE[[#This Row],[New_Res_SLA_norec_sqft]],0)</f>
        <v>0</v>
      </c>
      <c r="AR131">
        <f>IF(LAM_API_TABLE[[#This Row],[New_Res_Constr_Approval_Status]]="Approved",LAM_API_TABLE[[#This Row],[New_Res_SLA_rec_sqft]],0)</f>
        <v>0</v>
      </c>
      <c r="AS131">
        <f>IF(LAM_API_TABLE[[#This Row],[Existing_Res_SLA_Data_Approval_Status]]="Approved",LAM_API_TABLE[[#This Row],[Existing_Res_SLA_norec_sqft]],0)</f>
        <v>0</v>
      </c>
      <c r="AT131">
        <f>IF(LAM_API_TABLE[[#This Row],[Existing_Res_SLA_Data_Approval_Status]]="Approved",LAM_API_TABLE[[#This Row],[Existing_Res_SLA_rec_sqft]],0)</f>
        <v>0</v>
      </c>
    </row>
    <row r="132" spans="1:46" x14ac:dyDescent="0.25">
      <c r="A132" t="s">
        <v>1345</v>
      </c>
      <c r="B132" t="s">
        <v>1346</v>
      </c>
      <c r="C132" t="s">
        <v>2956</v>
      </c>
      <c r="D132" t="s">
        <v>2957</v>
      </c>
      <c r="E132">
        <v>2018</v>
      </c>
      <c r="G132">
        <v>1180934</v>
      </c>
      <c r="H132">
        <v>554578</v>
      </c>
      <c r="I132">
        <v>33811600</v>
      </c>
      <c r="J132">
        <v>14388355</v>
      </c>
      <c r="K132">
        <v>76875957</v>
      </c>
      <c r="L132">
        <v>36689271</v>
      </c>
      <c r="M132" t="s">
        <v>1859</v>
      </c>
      <c r="AK132">
        <f>IF(LAM_API_TABLE[[#This Row],[Alternative_Data_Approval_Status]]="Approved",LAM_API_TABLE[[#This Row],[HCL_area_sqft_Alternative]],LAM_API_TABLE[[#This Row],[HCL_area_sqft]])</f>
        <v>0</v>
      </c>
      <c r="AL132">
        <f>IF(LAM_API_TABLE[[#This Row],[Alternative_Data_Approval_Status]]="Approved",LAM_API_TABLE[[#This Row],[Ag_area_sqft_Alternative]],LAM_API_TABLE[[#This Row],[Ag_area_sqft]])</f>
        <v>1180934</v>
      </c>
      <c r="AM132">
        <f>IF(LAM_API_TABLE[[#This Row],[Alternative_Data_Approval_Status]]="Approved",LAM_API_TABLE[[#This Row],[Pool_area_sqft_Alternative]],LAM_API_TABLE[[#This Row],[Pool_area_sqft]])</f>
        <v>554578</v>
      </c>
      <c r="AN132">
        <f>IF(LAM_API_TABLE[[#This Row],[Alternative_Data_Approval_Status]]="Approved",LAM_API_TABLE[[#This Row],[Total_II_sqft_Alternative]],LAM_API_TABLE[[#This Row],[Total_II_sqft]])</f>
        <v>33811600</v>
      </c>
      <c r="AO132">
        <f>IF(LAM_API_TABLE[[#This Row],[Alternative_Data_Approval_Status]]="Approved",LAM_API_TABLE[[#This Row],[Total_INI_sqft_Alternative]],LAM_API_TABLE[[#This Row],[Total_INI_sqft]])</f>
        <v>14388355</v>
      </c>
      <c r="AP132">
        <f>IF(LAM_API_TABLE[[#This Row],[New_Res_Constr_Approval_Status]]="Approved",LAM_API_TABLE[[#This Row],[New_Res_Constr_sqft]],0)</f>
        <v>0</v>
      </c>
      <c r="AQ132">
        <f>IF(LAM_API_TABLE[[#This Row],[New_Res_Constr_Approval_Status]]="Approved",LAM_API_TABLE[[#This Row],[New_Res_SLA_norec_sqft]],0)</f>
        <v>0</v>
      </c>
      <c r="AR132">
        <f>IF(LAM_API_TABLE[[#This Row],[New_Res_Constr_Approval_Status]]="Approved",LAM_API_TABLE[[#This Row],[New_Res_SLA_rec_sqft]],0)</f>
        <v>0</v>
      </c>
      <c r="AS132">
        <f>IF(LAM_API_TABLE[[#This Row],[Existing_Res_SLA_Data_Approval_Status]]="Approved",LAM_API_TABLE[[#This Row],[Existing_Res_SLA_norec_sqft]],0)</f>
        <v>0</v>
      </c>
      <c r="AT132">
        <f>IF(LAM_API_TABLE[[#This Row],[Existing_Res_SLA_Data_Approval_Status]]="Approved",LAM_API_TABLE[[#This Row],[Existing_Res_SLA_rec_sqft]],0)</f>
        <v>0</v>
      </c>
    </row>
    <row r="133" spans="1:46" x14ac:dyDescent="0.25">
      <c r="A133" t="s">
        <v>1349</v>
      </c>
      <c r="B133" t="s">
        <v>2958</v>
      </c>
      <c r="C133" t="s">
        <v>2959</v>
      </c>
      <c r="D133" t="s">
        <v>2960</v>
      </c>
      <c r="E133">
        <v>2020</v>
      </c>
      <c r="F133">
        <v>6914</v>
      </c>
      <c r="G133">
        <v>5726</v>
      </c>
      <c r="H133">
        <v>2007720</v>
      </c>
      <c r="I133">
        <v>74594330</v>
      </c>
      <c r="J133">
        <v>19755742</v>
      </c>
      <c r="K133">
        <v>180894839</v>
      </c>
      <c r="L133">
        <v>78545478</v>
      </c>
      <c r="M133" t="s">
        <v>1859</v>
      </c>
      <c r="AK133">
        <f>IF(LAM_API_TABLE[[#This Row],[Alternative_Data_Approval_Status]]="Approved",LAM_API_TABLE[[#This Row],[HCL_area_sqft_Alternative]],LAM_API_TABLE[[#This Row],[HCL_area_sqft]])</f>
        <v>6914</v>
      </c>
      <c r="AL133">
        <f>IF(LAM_API_TABLE[[#This Row],[Alternative_Data_Approval_Status]]="Approved",LAM_API_TABLE[[#This Row],[Ag_area_sqft_Alternative]],LAM_API_TABLE[[#This Row],[Ag_area_sqft]])</f>
        <v>5726</v>
      </c>
      <c r="AM133">
        <f>IF(LAM_API_TABLE[[#This Row],[Alternative_Data_Approval_Status]]="Approved",LAM_API_TABLE[[#This Row],[Pool_area_sqft_Alternative]],LAM_API_TABLE[[#This Row],[Pool_area_sqft]])</f>
        <v>2007720</v>
      </c>
      <c r="AN133">
        <f>IF(LAM_API_TABLE[[#This Row],[Alternative_Data_Approval_Status]]="Approved",LAM_API_TABLE[[#This Row],[Total_II_sqft_Alternative]],LAM_API_TABLE[[#This Row],[Total_II_sqft]])</f>
        <v>74594330</v>
      </c>
      <c r="AO133">
        <f>IF(LAM_API_TABLE[[#This Row],[Alternative_Data_Approval_Status]]="Approved",LAM_API_TABLE[[#This Row],[Total_INI_sqft_Alternative]],LAM_API_TABLE[[#This Row],[Total_INI_sqft]])</f>
        <v>19755742</v>
      </c>
      <c r="AP133">
        <f>IF(LAM_API_TABLE[[#This Row],[New_Res_Constr_Approval_Status]]="Approved",LAM_API_TABLE[[#This Row],[New_Res_Constr_sqft]],0)</f>
        <v>0</v>
      </c>
      <c r="AQ133">
        <f>IF(LAM_API_TABLE[[#This Row],[New_Res_Constr_Approval_Status]]="Approved",LAM_API_TABLE[[#This Row],[New_Res_SLA_norec_sqft]],0)</f>
        <v>0</v>
      </c>
      <c r="AR133">
        <f>IF(LAM_API_TABLE[[#This Row],[New_Res_Constr_Approval_Status]]="Approved",LAM_API_TABLE[[#This Row],[New_Res_SLA_rec_sqft]],0)</f>
        <v>0</v>
      </c>
      <c r="AS133">
        <f>IF(LAM_API_TABLE[[#This Row],[Existing_Res_SLA_Data_Approval_Status]]="Approved",LAM_API_TABLE[[#This Row],[Existing_Res_SLA_norec_sqft]],0)</f>
        <v>0</v>
      </c>
      <c r="AT133">
        <f>IF(LAM_API_TABLE[[#This Row],[Existing_Res_SLA_Data_Approval_Status]]="Approved",LAM_API_TABLE[[#This Row],[Existing_Res_SLA_rec_sqft]],0)</f>
        <v>0</v>
      </c>
    </row>
    <row r="134" spans="1:46" x14ac:dyDescent="0.25">
      <c r="A134" t="s">
        <v>1353</v>
      </c>
      <c r="B134" t="s">
        <v>2961</v>
      </c>
      <c r="C134" t="s">
        <v>2962</v>
      </c>
      <c r="D134" t="s">
        <v>2963</v>
      </c>
      <c r="E134">
        <v>2018</v>
      </c>
      <c r="F134">
        <v>40649</v>
      </c>
      <c r="H134">
        <v>1743888</v>
      </c>
      <c r="I134">
        <v>44323036</v>
      </c>
      <c r="J134">
        <v>22054535</v>
      </c>
      <c r="K134">
        <v>109976610</v>
      </c>
      <c r="L134">
        <v>48733943</v>
      </c>
      <c r="M134" t="s">
        <v>1859</v>
      </c>
      <c r="AK134">
        <f>IF(LAM_API_TABLE[[#This Row],[Alternative_Data_Approval_Status]]="Approved",LAM_API_TABLE[[#This Row],[HCL_area_sqft_Alternative]],LAM_API_TABLE[[#This Row],[HCL_area_sqft]])</f>
        <v>40649</v>
      </c>
      <c r="AL134">
        <f>IF(LAM_API_TABLE[[#This Row],[Alternative_Data_Approval_Status]]="Approved",LAM_API_TABLE[[#This Row],[Ag_area_sqft_Alternative]],LAM_API_TABLE[[#This Row],[Ag_area_sqft]])</f>
        <v>0</v>
      </c>
      <c r="AM134">
        <f>IF(LAM_API_TABLE[[#This Row],[Alternative_Data_Approval_Status]]="Approved",LAM_API_TABLE[[#This Row],[Pool_area_sqft_Alternative]],LAM_API_TABLE[[#This Row],[Pool_area_sqft]])</f>
        <v>1743888</v>
      </c>
      <c r="AN134">
        <f>IF(LAM_API_TABLE[[#This Row],[Alternative_Data_Approval_Status]]="Approved",LAM_API_TABLE[[#This Row],[Total_II_sqft_Alternative]],LAM_API_TABLE[[#This Row],[Total_II_sqft]])</f>
        <v>44323036</v>
      </c>
      <c r="AO134">
        <f>IF(LAM_API_TABLE[[#This Row],[Alternative_Data_Approval_Status]]="Approved",LAM_API_TABLE[[#This Row],[Total_INI_sqft_Alternative]],LAM_API_TABLE[[#This Row],[Total_INI_sqft]])</f>
        <v>22054535</v>
      </c>
      <c r="AP134">
        <f>IF(LAM_API_TABLE[[#This Row],[New_Res_Constr_Approval_Status]]="Approved",LAM_API_TABLE[[#This Row],[New_Res_Constr_sqft]],0)</f>
        <v>0</v>
      </c>
      <c r="AQ134">
        <f>IF(LAM_API_TABLE[[#This Row],[New_Res_Constr_Approval_Status]]="Approved",LAM_API_TABLE[[#This Row],[New_Res_SLA_norec_sqft]],0)</f>
        <v>0</v>
      </c>
      <c r="AR134">
        <f>IF(LAM_API_TABLE[[#This Row],[New_Res_Constr_Approval_Status]]="Approved",LAM_API_TABLE[[#This Row],[New_Res_SLA_rec_sqft]],0)</f>
        <v>0</v>
      </c>
      <c r="AS134">
        <f>IF(LAM_API_TABLE[[#This Row],[Existing_Res_SLA_Data_Approval_Status]]="Approved",LAM_API_TABLE[[#This Row],[Existing_Res_SLA_norec_sqft]],0)</f>
        <v>0</v>
      </c>
      <c r="AT134">
        <f>IF(LAM_API_TABLE[[#This Row],[Existing_Res_SLA_Data_Approval_Status]]="Approved",LAM_API_TABLE[[#This Row],[Existing_Res_SLA_rec_sqft]],0)</f>
        <v>0</v>
      </c>
    </row>
    <row r="135" spans="1:46" x14ac:dyDescent="0.25">
      <c r="A135" t="s">
        <v>1357</v>
      </c>
      <c r="B135" t="s">
        <v>1358</v>
      </c>
      <c r="C135" t="s">
        <v>2964</v>
      </c>
      <c r="D135" t="s">
        <v>2965</v>
      </c>
      <c r="E135">
        <v>2018</v>
      </c>
      <c r="H135">
        <v>228824</v>
      </c>
      <c r="I135">
        <v>10584407</v>
      </c>
      <c r="J135">
        <v>6761450</v>
      </c>
      <c r="K135">
        <v>40724067</v>
      </c>
      <c r="L135">
        <v>11936697</v>
      </c>
      <c r="M135" t="s">
        <v>1859</v>
      </c>
      <c r="AK135">
        <f>IF(LAM_API_TABLE[[#This Row],[Alternative_Data_Approval_Status]]="Approved",LAM_API_TABLE[[#This Row],[HCL_area_sqft_Alternative]],LAM_API_TABLE[[#This Row],[HCL_area_sqft]])</f>
        <v>0</v>
      </c>
      <c r="AL135">
        <f>IF(LAM_API_TABLE[[#This Row],[Alternative_Data_Approval_Status]]="Approved",LAM_API_TABLE[[#This Row],[Ag_area_sqft_Alternative]],LAM_API_TABLE[[#This Row],[Ag_area_sqft]])</f>
        <v>0</v>
      </c>
      <c r="AM135">
        <f>IF(LAM_API_TABLE[[#This Row],[Alternative_Data_Approval_Status]]="Approved",LAM_API_TABLE[[#This Row],[Pool_area_sqft_Alternative]],LAM_API_TABLE[[#This Row],[Pool_area_sqft]])</f>
        <v>228824</v>
      </c>
      <c r="AN135">
        <f>IF(LAM_API_TABLE[[#This Row],[Alternative_Data_Approval_Status]]="Approved",LAM_API_TABLE[[#This Row],[Total_II_sqft_Alternative]],LAM_API_TABLE[[#This Row],[Total_II_sqft]])</f>
        <v>10584407</v>
      </c>
      <c r="AO135">
        <f>IF(LAM_API_TABLE[[#This Row],[Alternative_Data_Approval_Status]]="Approved",LAM_API_TABLE[[#This Row],[Total_INI_sqft_Alternative]],LAM_API_TABLE[[#This Row],[Total_INI_sqft]])</f>
        <v>6761450</v>
      </c>
      <c r="AP135">
        <f>IF(LAM_API_TABLE[[#This Row],[New_Res_Constr_Approval_Status]]="Approved",LAM_API_TABLE[[#This Row],[New_Res_Constr_sqft]],0)</f>
        <v>0</v>
      </c>
      <c r="AQ135">
        <f>IF(LAM_API_TABLE[[#This Row],[New_Res_Constr_Approval_Status]]="Approved",LAM_API_TABLE[[#This Row],[New_Res_SLA_norec_sqft]],0)</f>
        <v>0</v>
      </c>
      <c r="AR135">
        <f>IF(LAM_API_TABLE[[#This Row],[New_Res_Constr_Approval_Status]]="Approved",LAM_API_TABLE[[#This Row],[New_Res_SLA_rec_sqft]],0)</f>
        <v>0</v>
      </c>
      <c r="AS135">
        <f>IF(LAM_API_TABLE[[#This Row],[Existing_Res_SLA_Data_Approval_Status]]="Approved",LAM_API_TABLE[[#This Row],[Existing_Res_SLA_norec_sqft]],0)</f>
        <v>0</v>
      </c>
      <c r="AT135">
        <f>IF(LAM_API_TABLE[[#This Row],[Existing_Res_SLA_Data_Approval_Status]]="Approved",LAM_API_TABLE[[#This Row],[Existing_Res_SLA_rec_sqft]],0)</f>
        <v>0</v>
      </c>
    </row>
    <row r="136" spans="1:46" x14ac:dyDescent="0.25">
      <c r="A136" t="s">
        <v>1361</v>
      </c>
      <c r="B136" t="s">
        <v>1362</v>
      </c>
      <c r="C136" t="s">
        <v>2966</v>
      </c>
      <c r="D136" t="s">
        <v>2967</v>
      </c>
      <c r="E136">
        <v>2018</v>
      </c>
      <c r="F136">
        <v>35452</v>
      </c>
      <c r="H136">
        <v>302447</v>
      </c>
      <c r="I136">
        <v>8651892</v>
      </c>
      <c r="J136">
        <v>24107253</v>
      </c>
      <c r="K136">
        <v>146372256</v>
      </c>
      <c r="L136">
        <v>13473343</v>
      </c>
      <c r="M136" t="s">
        <v>1859</v>
      </c>
      <c r="AK136">
        <f>IF(LAM_API_TABLE[[#This Row],[Alternative_Data_Approval_Status]]="Approved",LAM_API_TABLE[[#This Row],[HCL_area_sqft_Alternative]],LAM_API_TABLE[[#This Row],[HCL_area_sqft]])</f>
        <v>35452</v>
      </c>
      <c r="AL136">
        <f>IF(LAM_API_TABLE[[#This Row],[Alternative_Data_Approval_Status]]="Approved",LAM_API_TABLE[[#This Row],[Ag_area_sqft_Alternative]],LAM_API_TABLE[[#This Row],[Ag_area_sqft]])</f>
        <v>0</v>
      </c>
      <c r="AM136">
        <f>IF(LAM_API_TABLE[[#This Row],[Alternative_Data_Approval_Status]]="Approved",LAM_API_TABLE[[#This Row],[Pool_area_sqft_Alternative]],LAM_API_TABLE[[#This Row],[Pool_area_sqft]])</f>
        <v>302447</v>
      </c>
      <c r="AN136">
        <f>IF(LAM_API_TABLE[[#This Row],[Alternative_Data_Approval_Status]]="Approved",LAM_API_TABLE[[#This Row],[Total_II_sqft_Alternative]],LAM_API_TABLE[[#This Row],[Total_II_sqft]])</f>
        <v>8651892</v>
      </c>
      <c r="AO136">
        <f>IF(LAM_API_TABLE[[#This Row],[Alternative_Data_Approval_Status]]="Approved",LAM_API_TABLE[[#This Row],[Total_INI_sqft_Alternative]],LAM_API_TABLE[[#This Row],[Total_INI_sqft]])</f>
        <v>24107253</v>
      </c>
      <c r="AP136">
        <f>IF(LAM_API_TABLE[[#This Row],[New_Res_Constr_Approval_Status]]="Approved",LAM_API_TABLE[[#This Row],[New_Res_Constr_sqft]],0)</f>
        <v>0</v>
      </c>
      <c r="AQ136">
        <f>IF(LAM_API_TABLE[[#This Row],[New_Res_Constr_Approval_Status]]="Approved",LAM_API_TABLE[[#This Row],[New_Res_SLA_norec_sqft]],0)</f>
        <v>0</v>
      </c>
      <c r="AR136">
        <f>IF(LAM_API_TABLE[[#This Row],[New_Res_Constr_Approval_Status]]="Approved",LAM_API_TABLE[[#This Row],[New_Res_SLA_rec_sqft]],0)</f>
        <v>0</v>
      </c>
      <c r="AS136">
        <f>IF(LAM_API_TABLE[[#This Row],[Existing_Res_SLA_Data_Approval_Status]]="Approved",LAM_API_TABLE[[#This Row],[Existing_Res_SLA_norec_sqft]],0)</f>
        <v>0</v>
      </c>
      <c r="AT136">
        <f>IF(LAM_API_TABLE[[#This Row],[Existing_Res_SLA_Data_Approval_Status]]="Approved",LAM_API_TABLE[[#This Row],[Existing_Res_SLA_rec_sqft]],0)</f>
        <v>0</v>
      </c>
    </row>
    <row r="137" spans="1:46" x14ac:dyDescent="0.25">
      <c r="A137" t="s">
        <v>1365</v>
      </c>
      <c r="B137" t="s">
        <v>1366</v>
      </c>
      <c r="C137" t="s">
        <v>2968</v>
      </c>
      <c r="D137" t="s">
        <v>2969</v>
      </c>
      <c r="E137">
        <v>2018</v>
      </c>
      <c r="H137">
        <v>28921</v>
      </c>
      <c r="I137">
        <v>4026523</v>
      </c>
      <c r="J137">
        <v>9887790</v>
      </c>
      <c r="K137">
        <v>26181865</v>
      </c>
      <c r="L137">
        <v>6004081</v>
      </c>
      <c r="M137" t="s">
        <v>1859</v>
      </c>
      <c r="AK137">
        <f>IF(LAM_API_TABLE[[#This Row],[Alternative_Data_Approval_Status]]="Approved",LAM_API_TABLE[[#This Row],[HCL_area_sqft_Alternative]],LAM_API_TABLE[[#This Row],[HCL_area_sqft]])</f>
        <v>0</v>
      </c>
      <c r="AL137">
        <f>IF(LAM_API_TABLE[[#This Row],[Alternative_Data_Approval_Status]]="Approved",LAM_API_TABLE[[#This Row],[Ag_area_sqft_Alternative]],LAM_API_TABLE[[#This Row],[Ag_area_sqft]])</f>
        <v>0</v>
      </c>
      <c r="AM137">
        <f>IF(LAM_API_TABLE[[#This Row],[Alternative_Data_Approval_Status]]="Approved",LAM_API_TABLE[[#This Row],[Pool_area_sqft_Alternative]],LAM_API_TABLE[[#This Row],[Pool_area_sqft]])</f>
        <v>28921</v>
      </c>
      <c r="AN137">
        <f>IF(LAM_API_TABLE[[#This Row],[Alternative_Data_Approval_Status]]="Approved",LAM_API_TABLE[[#This Row],[Total_II_sqft_Alternative]],LAM_API_TABLE[[#This Row],[Total_II_sqft]])</f>
        <v>4026523</v>
      </c>
      <c r="AO137">
        <f>IF(LAM_API_TABLE[[#This Row],[Alternative_Data_Approval_Status]]="Approved",LAM_API_TABLE[[#This Row],[Total_INI_sqft_Alternative]],LAM_API_TABLE[[#This Row],[Total_INI_sqft]])</f>
        <v>9887790</v>
      </c>
      <c r="AP137">
        <f>IF(LAM_API_TABLE[[#This Row],[New_Res_Constr_Approval_Status]]="Approved",LAM_API_TABLE[[#This Row],[New_Res_Constr_sqft]],0)</f>
        <v>0</v>
      </c>
      <c r="AQ137">
        <f>IF(LAM_API_TABLE[[#This Row],[New_Res_Constr_Approval_Status]]="Approved",LAM_API_TABLE[[#This Row],[New_Res_SLA_norec_sqft]],0)</f>
        <v>0</v>
      </c>
      <c r="AR137">
        <f>IF(LAM_API_TABLE[[#This Row],[New_Res_Constr_Approval_Status]]="Approved",LAM_API_TABLE[[#This Row],[New_Res_SLA_rec_sqft]],0)</f>
        <v>0</v>
      </c>
      <c r="AS137">
        <f>IF(LAM_API_TABLE[[#This Row],[Existing_Res_SLA_Data_Approval_Status]]="Approved",LAM_API_TABLE[[#This Row],[Existing_Res_SLA_norec_sqft]],0)</f>
        <v>0</v>
      </c>
      <c r="AT137">
        <f>IF(LAM_API_TABLE[[#This Row],[Existing_Res_SLA_Data_Approval_Status]]="Approved",LAM_API_TABLE[[#This Row],[Existing_Res_SLA_rec_sqft]],0)</f>
        <v>0</v>
      </c>
    </row>
    <row r="138" spans="1:46" x14ac:dyDescent="0.25">
      <c r="A138" t="s">
        <v>1369</v>
      </c>
      <c r="B138" t="s">
        <v>2970</v>
      </c>
      <c r="C138" t="s">
        <v>2971</v>
      </c>
      <c r="D138" t="s">
        <v>2972</v>
      </c>
      <c r="E138">
        <v>2018</v>
      </c>
      <c r="H138">
        <v>42828</v>
      </c>
      <c r="I138">
        <v>6207181</v>
      </c>
      <c r="J138">
        <v>5587376</v>
      </c>
      <c r="K138">
        <v>31496631</v>
      </c>
      <c r="L138">
        <v>7324656</v>
      </c>
      <c r="M138" t="s">
        <v>1859</v>
      </c>
      <c r="AK138">
        <f>IF(LAM_API_TABLE[[#This Row],[Alternative_Data_Approval_Status]]="Approved",LAM_API_TABLE[[#This Row],[HCL_area_sqft_Alternative]],LAM_API_TABLE[[#This Row],[HCL_area_sqft]])</f>
        <v>0</v>
      </c>
      <c r="AL138">
        <f>IF(LAM_API_TABLE[[#This Row],[Alternative_Data_Approval_Status]]="Approved",LAM_API_TABLE[[#This Row],[Ag_area_sqft_Alternative]],LAM_API_TABLE[[#This Row],[Ag_area_sqft]])</f>
        <v>0</v>
      </c>
      <c r="AM138">
        <f>IF(LAM_API_TABLE[[#This Row],[Alternative_Data_Approval_Status]]="Approved",LAM_API_TABLE[[#This Row],[Pool_area_sqft_Alternative]],LAM_API_TABLE[[#This Row],[Pool_area_sqft]])</f>
        <v>42828</v>
      </c>
      <c r="AN138">
        <f>IF(LAM_API_TABLE[[#This Row],[Alternative_Data_Approval_Status]]="Approved",LAM_API_TABLE[[#This Row],[Total_II_sqft_Alternative]],LAM_API_TABLE[[#This Row],[Total_II_sqft]])</f>
        <v>6207181</v>
      </c>
      <c r="AO138">
        <f>IF(LAM_API_TABLE[[#This Row],[Alternative_Data_Approval_Status]]="Approved",LAM_API_TABLE[[#This Row],[Total_INI_sqft_Alternative]],LAM_API_TABLE[[#This Row],[Total_INI_sqft]])</f>
        <v>5587376</v>
      </c>
      <c r="AP138">
        <f>IF(LAM_API_TABLE[[#This Row],[New_Res_Constr_Approval_Status]]="Approved",LAM_API_TABLE[[#This Row],[New_Res_Constr_sqft]],0)</f>
        <v>0</v>
      </c>
      <c r="AQ138">
        <f>IF(LAM_API_TABLE[[#This Row],[New_Res_Constr_Approval_Status]]="Approved",LAM_API_TABLE[[#This Row],[New_Res_SLA_norec_sqft]],0)</f>
        <v>0</v>
      </c>
      <c r="AR138">
        <f>IF(LAM_API_TABLE[[#This Row],[New_Res_Constr_Approval_Status]]="Approved",LAM_API_TABLE[[#This Row],[New_Res_SLA_rec_sqft]],0)</f>
        <v>0</v>
      </c>
      <c r="AS138">
        <f>IF(LAM_API_TABLE[[#This Row],[Existing_Res_SLA_Data_Approval_Status]]="Approved",LAM_API_TABLE[[#This Row],[Existing_Res_SLA_norec_sqft]],0)</f>
        <v>0</v>
      </c>
      <c r="AT138">
        <f>IF(LAM_API_TABLE[[#This Row],[Existing_Res_SLA_Data_Approval_Status]]="Approved",LAM_API_TABLE[[#This Row],[Existing_Res_SLA_rec_sqft]],0)</f>
        <v>0</v>
      </c>
    </row>
    <row r="139" spans="1:46" x14ac:dyDescent="0.25">
      <c r="A139" t="s">
        <v>1373</v>
      </c>
      <c r="B139" t="s">
        <v>1374</v>
      </c>
      <c r="C139" t="s">
        <v>2973</v>
      </c>
      <c r="D139" t="s">
        <v>2974</v>
      </c>
      <c r="E139">
        <v>2018</v>
      </c>
      <c r="G139">
        <v>83840</v>
      </c>
      <c r="H139">
        <v>1429384</v>
      </c>
      <c r="I139">
        <v>53075171</v>
      </c>
      <c r="J139">
        <v>14525601</v>
      </c>
      <c r="K139">
        <v>65837998</v>
      </c>
      <c r="L139">
        <v>55980291</v>
      </c>
      <c r="M139" t="s">
        <v>1859</v>
      </c>
      <c r="AK139">
        <f>IF(LAM_API_TABLE[[#This Row],[Alternative_Data_Approval_Status]]="Approved",LAM_API_TABLE[[#This Row],[HCL_area_sqft_Alternative]],LAM_API_TABLE[[#This Row],[HCL_area_sqft]])</f>
        <v>0</v>
      </c>
      <c r="AL139">
        <f>IF(LAM_API_TABLE[[#This Row],[Alternative_Data_Approval_Status]]="Approved",LAM_API_TABLE[[#This Row],[Ag_area_sqft_Alternative]],LAM_API_TABLE[[#This Row],[Ag_area_sqft]])</f>
        <v>83840</v>
      </c>
      <c r="AM139">
        <f>IF(LAM_API_TABLE[[#This Row],[Alternative_Data_Approval_Status]]="Approved",LAM_API_TABLE[[#This Row],[Pool_area_sqft_Alternative]],LAM_API_TABLE[[#This Row],[Pool_area_sqft]])</f>
        <v>1429384</v>
      </c>
      <c r="AN139">
        <f>IF(LAM_API_TABLE[[#This Row],[Alternative_Data_Approval_Status]]="Approved",LAM_API_TABLE[[#This Row],[Total_II_sqft_Alternative]],LAM_API_TABLE[[#This Row],[Total_II_sqft]])</f>
        <v>53075171</v>
      </c>
      <c r="AO139">
        <f>IF(LAM_API_TABLE[[#This Row],[Alternative_Data_Approval_Status]]="Approved",LAM_API_TABLE[[#This Row],[Total_INI_sqft_Alternative]],LAM_API_TABLE[[#This Row],[Total_INI_sqft]])</f>
        <v>14525601</v>
      </c>
      <c r="AP139">
        <f>IF(LAM_API_TABLE[[#This Row],[New_Res_Constr_Approval_Status]]="Approved",LAM_API_TABLE[[#This Row],[New_Res_Constr_sqft]],0)</f>
        <v>0</v>
      </c>
      <c r="AQ139">
        <f>IF(LAM_API_TABLE[[#This Row],[New_Res_Constr_Approval_Status]]="Approved",LAM_API_TABLE[[#This Row],[New_Res_SLA_norec_sqft]],0)</f>
        <v>0</v>
      </c>
      <c r="AR139">
        <f>IF(LAM_API_TABLE[[#This Row],[New_Res_Constr_Approval_Status]]="Approved",LAM_API_TABLE[[#This Row],[New_Res_SLA_rec_sqft]],0)</f>
        <v>0</v>
      </c>
      <c r="AS139">
        <f>IF(LAM_API_TABLE[[#This Row],[Existing_Res_SLA_Data_Approval_Status]]="Approved",LAM_API_TABLE[[#This Row],[Existing_Res_SLA_norec_sqft]],0)</f>
        <v>0</v>
      </c>
      <c r="AT139">
        <f>IF(LAM_API_TABLE[[#This Row],[Existing_Res_SLA_Data_Approval_Status]]="Approved",LAM_API_TABLE[[#This Row],[Existing_Res_SLA_rec_sqft]],0)</f>
        <v>0</v>
      </c>
    </row>
    <row r="140" spans="1:46" x14ac:dyDescent="0.25">
      <c r="A140" t="s">
        <v>1377</v>
      </c>
      <c r="B140" t="s">
        <v>1378</v>
      </c>
      <c r="C140" t="s">
        <v>2975</v>
      </c>
      <c r="D140" t="s">
        <v>2976</v>
      </c>
      <c r="E140">
        <v>2018</v>
      </c>
      <c r="H140">
        <v>452909</v>
      </c>
      <c r="I140">
        <v>45679078</v>
      </c>
      <c r="J140">
        <v>7599216</v>
      </c>
      <c r="K140">
        <v>62292664</v>
      </c>
      <c r="L140">
        <v>47198921</v>
      </c>
      <c r="M140" t="s">
        <v>1859</v>
      </c>
      <c r="AK140">
        <f>IF(LAM_API_TABLE[[#This Row],[Alternative_Data_Approval_Status]]="Approved",LAM_API_TABLE[[#This Row],[HCL_area_sqft_Alternative]],LAM_API_TABLE[[#This Row],[HCL_area_sqft]])</f>
        <v>0</v>
      </c>
      <c r="AL140">
        <f>IF(LAM_API_TABLE[[#This Row],[Alternative_Data_Approval_Status]]="Approved",LAM_API_TABLE[[#This Row],[Ag_area_sqft_Alternative]],LAM_API_TABLE[[#This Row],[Ag_area_sqft]])</f>
        <v>0</v>
      </c>
      <c r="AM140">
        <f>IF(LAM_API_TABLE[[#This Row],[Alternative_Data_Approval_Status]]="Approved",LAM_API_TABLE[[#This Row],[Pool_area_sqft_Alternative]],LAM_API_TABLE[[#This Row],[Pool_area_sqft]])</f>
        <v>452909</v>
      </c>
      <c r="AN140">
        <f>IF(LAM_API_TABLE[[#This Row],[Alternative_Data_Approval_Status]]="Approved",LAM_API_TABLE[[#This Row],[Total_II_sqft_Alternative]],LAM_API_TABLE[[#This Row],[Total_II_sqft]])</f>
        <v>45679078</v>
      </c>
      <c r="AO140">
        <f>IF(LAM_API_TABLE[[#This Row],[Alternative_Data_Approval_Status]]="Approved",LAM_API_TABLE[[#This Row],[Total_INI_sqft_Alternative]],LAM_API_TABLE[[#This Row],[Total_INI_sqft]])</f>
        <v>7599216</v>
      </c>
      <c r="AP140">
        <f>IF(LAM_API_TABLE[[#This Row],[New_Res_Constr_Approval_Status]]="Approved",LAM_API_TABLE[[#This Row],[New_Res_Constr_sqft]],0)</f>
        <v>0</v>
      </c>
      <c r="AQ140">
        <f>IF(LAM_API_TABLE[[#This Row],[New_Res_Constr_Approval_Status]]="Approved",LAM_API_TABLE[[#This Row],[New_Res_SLA_norec_sqft]],0)</f>
        <v>0</v>
      </c>
      <c r="AR140">
        <f>IF(LAM_API_TABLE[[#This Row],[New_Res_Constr_Approval_Status]]="Approved",LAM_API_TABLE[[#This Row],[New_Res_SLA_rec_sqft]],0)</f>
        <v>0</v>
      </c>
      <c r="AS140">
        <f>IF(LAM_API_TABLE[[#This Row],[Existing_Res_SLA_Data_Approval_Status]]="Approved",LAM_API_TABLE[[#This Row],[Existing_Res_SLA_norec_sqft]],0)</f>
        <v>0</v>
      </c>
      <c r="AT140">
        <f>IF(LAM_API_TABLE[[#This Row],[Existing_Res_SLA_Data_Approval_Status]]="Approved",LAM_API_TABLE[[#This Row],[Existing_Res_SLA_rec_sqft]],0)</f>
        <v>0</v>
      </c>
    </row>
    <row r="141" spans="1:46" x14ac:dyDescent="0.25">
      <c r="A141" t="s">
        <v>1381</v>
      </c>
      <c r="B141" t="s">
        <v>1382</v>
      </c>
      <c r="C141" t="s">
        <v>2977</v>
      </c>
      <c r="D141" t="s">
        <v>2978</v>
      </c>
      <c r="E141">
        <v>2018</v>
      </c>
      <c r="H141">
        <v>138331</v>
      </c>
      <c r="I141">
        <v>15774834</v>
      </c>
      <c r="J141">
        <v>2178486</v>
      </c>
      <c r="K141">
        <v>32578922</v>
      </c>
      <c r="L141">
        <v>16210531</v>
      </c>
      <c r="M141" t="s">
        <v>1859</v>
      </c>
      <c r="AK141">
        <f>IF(LAM_API_TABLE[[#This Row],[Alternative_Data_Approval_Status]]="Approved",LAM_API_TABLE[[#This Row],[HCL_area_sqft_Alternative]],LAM_API_TABLE[[#This Row],[HCL_area_sqft]])</f>
        <v>0</v>
      </c>
      <c r="AL141">
        <f>IF(LAM_API_TABLE[[#This Row],[Alternative_Data_Approval_Status]]="Approved",LAM_API_TABLE[[#This Row],[Ag_area_sqft_Alternative]],LAM_API_TABLE[[#This Row],[Ag_area_sqft]])</f>
        <v>0</v>
      </c>
      <c r="AM141">
        <f>IF(LAM_API_TABLE[[#This Row],[Alternative_Data_Approval_Status]]="Approved",LAM_API_TABLE[[#This Row],[Pool_area_sqft_Alternative]],LAM_API_TABLE[[#This Row],[Pool_area_sqft]])</f>
        <v>138331</v>
      </c>
      <c r="AN141">
        <f>IF(LAM_API_TABLE[[#This Row],[Alternative_Data_Approval_Status]]="Approved",LAM_API_TABLE[[#This Row],[Total_II_sqft_Alternative]],LAM_API_TABLE[[#This Row],[Total_II_sqft]])</f>
        <v>15774834</v>
      </c>
      <c r="AO141">
        <f>IF(LAM_API_TABLE[[#This Row],[Alternative_Data_Approval_Status]]="Approved",LAM_API_TABLE[[#This Row],[Total_INI_sqft_Alternative]],LAM_API_TABLE[[#This Row],[Total_INI_sqft]])</f>
        <v>2178486</v>
      </c>
      <c r="AP141">
        <f>IF(LAM_API_TABLE[[#This Row],[New_Res_Constr_Approval_Status]]="Approved",LAM_API_TABLE[[#This Row],[New_Res_Constr_sqft]],0)</f>
        <v>0</v>
      </c>
      <c r="AQ141">
        <f>IF(LAM_API_TABLE[[#This Row],[New_Res_Constr_Approval_Status]]="Approved",LAM_API_TABLE[[#This Row],[New_Res_SLA_norec_sqft]],0)</f>
        <v>0</v>
      </c>
      <c r="AR141">
        <f>IF(LAM_API_TABLE[[#This Row],[New_Res_Constr_Approval_Status]]="Approved",LAM_API_TABLE[[#This Row],[New_Res_SLA_rec_sqft]],0)</f>
        <v>0</v>
      </c>
      <c r="AS141">
        <f>IF(LAM_API_TABLE[[#This Row],[Existing_Res_SLA_Data_Approval_Status]]="Approved",LAM_API_TABLE[[#This Row],[Existing_Res_SLA_norec_sqft]],0)</f>
        <v>0</v>
      </c>
      <c r="AT141">
        <f>IF(LAM_API_TABLE[[#This Row],[Existing_Res_SLA_Data_Approval_Status]]="Approved",LAM_API_TABLE[[#This Row],[Existing_Res_SLA_rec_sqft]],0)</f>
        <v>0</v>
      </c>
    </row>
    <row r="142" spans="1:46" x14ac:dyDescent="0.25">
      <c r="A142" t="s">
        <v>1385</v>
      </c>
      <c r="B142" t="s">
        <v>2979</v>
      </c>
      <c r="C142" t="s">
        <v>2980</v>
      </c>
      <c r="D142" t="s">
        <v>2981</v>
      </c>
      <c r="E142">
        <v>2018</v>
      </c>
      <c r="H142">
        <v>16246</v>
      </c>
      <c r="I142">
        <v>7685947</v>
      </c>
      <c r="J142">
        <v>4556452</v>
      </c>
      <c r="K142">
        <v>33713167</v>
      </c>
      <c r="L142">
        <v>8597237</v>
      </c>
      <c r="M142" t="s">
        <v>1859</v>
      </c>
      <c r="AK142">
        <f>IF(LAM_API_TABLE[[#This Row],[Alternative_Data_Approval_Status]]="Approved",LAM_API_TABLE[[#This Row],[HCL_area_sqft_Alternative]],LAM_API_TABLE[[#This Row],[HCL_area_sqft]])</f>
        <v>0</v>
      </c>
      <c r="AL142">
        <f>IF(LAM_API_TABLE[[#This Row],[Alternative_Data_Approval_Status]]="Approved",LAM_API_TABLE[[#This Row],[Ag_area_sqft_Alternative]],LAM_API_TABLE[[#This Row],[Ag_area_sqft]])</f>
        <v>0</v>
      </c>
      <c r="AM142">
        <f>IF(LAM_API_TABLE[[#This Row],[Alternative_Data_Approval_Status]]="Approved",LAM_API_TABLE[[#This Row],[Pool_area_sqft_Alternative]],LAM_API_TABLE[[#This Row],[Pool_area_sqft]])</f>
        <v>16246</v>
      </c>
      <c r="AN142">
        <f>IF(LAM_API_TABLE[[#This Row],[Alternative_Data_Approval_Status]]="Approved",LAM_API_TABLE[[#This Row],[Total_II_sqft_Alternative]],LAM_API_TABLE[[#This Row],[Total_II_sqft]])</f>
        <v>7685947</v>
      </c>
      <c r="AO142">
        <f>IF(LAM_API_TABLE[[#This Row],[Alternative_Data_Approval_Status]]="Approved",LAM_API_TABLE[[#This Row],[Total_INI_sqft_Alternative]],LAM_API_TABLE[[#This Row],[Total_INI_sqft]])</f>
        <v>4556452</v>
      </c>
      <c r="AP142">
        <f>IF(LAM_API_TABLE[[#This Row],[New_Res_Constr_Approval_Status]]="Approved",LAM_API_TABLE[[#This Row],[New_Res_Constr_sqft]],0)</f>
        <v>0</v>
      </c>
      <c r="AQ142">
        <f>IF(LAM_API_TABLE[[#This Row],[New_Res_Constr_Approval_Status]]="Approved",LAM_API_TABLE[[#This Row],[New_Res_SLA_norec_sqft]],0)</f>
        <v>0</v>
      </c>
      <c r="AR142">
        <f>IF(LAM_API_TABLE[[#This Row],[New_Res_Constr_Approval_Status]]="Approved",LAM_API_TABLE[[#This Row],[New_Res_SLA_rec_sqft]],0)</f>
        <v>0</v>
      </c>
      <c r="AS142">
        <f>IF(LAM_API_TABLE[[#This Row],[Existing_Res_SLA_Data_Approval_Status]]="Approved",LAM_API_TABLE[[#This Row],[Existing_Res_SLA_norec_sqft]],0)</f>
        <v>0</v>
      </c>
      <c r="AT142">
        <f>IF(LAM_API_TABLE[[#This Row],[Existing_Res_SLA_Data_Approval_Status]]="Approved",LAM_API_TABLE[[#This Row],[Existing_Res_SLA_rec_sqft]],0)</f>
        <v>0</v>
      </c>
    </row>
    <row r="143" spans="1:46" x14ac:dyDescent="0.25">
      <c r="A143" t="s">
        <v>1389</v>
      </c>
      <c r="B143" t="s">
        <v>1390</v>
      </c>
      <c r="C143" t="s">
        <v>2982</v>
      </c>
      <c r="D143" t="s">
        <v>2983</v>
      </c>
      <c r="E143">
        <v>2018</v>
      </c>
      <c r="F143">
        <v>6511</v>
      </c>
      <c r="H143">
        <v>183957</v>
      </c>
      <c r="I143">
        <v>10086842</v>
      </c>
      <c r="J143">
        <v>9134203</v>
      </c>
      <c r="K143">
        <v>36045965</v>
      </c>
      <c r="L143">
        <v>11913683</v>
      </c>
      <c r="M143" t="s">
        <v>1859</v>
      </c>
      <c r="AK143">
        <f>IF(LAM_API_TABLE[[#This Row],[Alternative_Data_Approval_Status]]="Approved",LAM_API_TABLE[[#This Row],[HCL_area_sqft_Alternative]],LAM_API_TABLE[[#This Row],[HCL_area_sqft]])</f>
        <v>6511</v>
      </c>
      <c r="AL143">
        <f>IF(LAM_API_TABLE[[#This Row],[Alternative_Data_Approval_Status]]="Approved",LAM_API_TABLE[[#This Row],[Ag_area_sqft_Alternative]],LAM_API_TABLE[[#This Row],[Ag_area_sqft]])</f>
        <v>0</v>
      </c>
      <c r="AM143">
        <f>IF(LAM_API_TABLE[[#This Row],[Alternative_Data_Approval_Status]]="Approved",LAM_API_TABLE[[#This Row],[Pool_area_sqft_Alternative]],LAM_API_TABLE[[#This Row],[Pool_area_sqft]])</f>
        <v>183957</v>
      </c>
      <c r="AN143">
        <f>IF(LAM_API_TABLE[[#This Row],[Alternative_Data_Approval_Status]]="Approved",LAM_API_TABLE[[#This Row],[Total_II_sqft_Alternative]],LAM_API_TABLE[[#This Row],[Total_II_sqft]])</f>
        <v>10086842</v>
      </c>
      <c r="AO143">
        <f>IF(LAM_API_TABLE[[#This Row],[Alternative_Data_Approval_Status]]="Approved",LAM_API_TABLE[[#This Row],[Total_INI_sqft_Alternative]],LAM_API_TABLE[[#This Row],[Total_INI_sqft]])</f>
        <v>9134203</v>
      </c>
      <c r="AP143">
        <f>IF(LAM_API_TABLE[[#This Row],[New_Res_Constr_Approval_Status]]="Approved",LAM_API_TABLE[[#This Row],[New_Res_Constr_sqft]],0)</f>
        <v>0</v>
      </c>
      <c r="AQ143">
        <f>IF(LAM_API_TABLE[[#This Row],[New_Res_Constr_Approval_Status]]="Approved",LAM_API_TABLE[[#This Row],[New_Res_SLA_norec_sqft]],0)</f>
        <v>0</v>
      </c>
      <c r="AR143">
        <f>IF(LAM_API_TABLE[[#This Row],[New_Res_Constr_Approval_Status]]="Approved",LAM_API_TABLE[[#This Row],[New_Res_SLA_rec_sqft]],0)</f>
        <v>0</v>
      </c>
      <c r="AS143">
        <f>IF(LAM_API_TABLE[[#This Row],[Existing_Res_SLA_Data_Approval_Status]]="Approved",LAM_API_TABLE[[#This Row],[Existing_Res_SLA_norec_sqft]],0)</f>
        <v>0</v>
      </c>
      <c r="AT143">
        <f>IF(LAM_API_TABLE[[#This Row],[Existing_Res_SLA_Data_Approval_Status]]="Approved",LAM_API_TABLE[[#This Row],[Existing_Res_SLA_rec_sqft]],0)</f>
        <v>0</v>
      </c>
    </row>
    <row r="144" spans="1:46" x14ac:dyDescent="0.25">
      <c r="A144" t="s">
        <v>1393</v>
      </c>
      <c r="B144" t="s">
        <v>1394</v>
      </c>
      <c r="C144" t="s">
        <v>2984</v>
      </c>
      <c r="D144" t="s">
        <v>2985</v>
      </c>
      <c r="E144">
        <v>2018</v>
      </c>
      <c r="F144">
        <v>191218</v>
      </c>
      <c r="H144">
        <v>89633</v>
      </c>
      <c r="I144">
        <v>38447141</v>
      </c>
      <c r="J144">
        <v>21079550</v>
      </c>
      <c r="K144">
        <v>80623452</v>
      </c>
      <c r="L144">
        <v>42663051</v>
      </c>
      <c r="M144" t="s">
        <v>1859</v>
      </c>
      <c r="AK144">
        <f>IF(LAM_API_TABLE[[#This Row],[Alternative_Data_Approval_Status]]="Approved",LAM_API_TABLE[[#This Row],[HCL_area_sqft_Alternative]],LAM_API_TABLE[[#This Row],[HCL_area_sqft]])</f>
        <v>191218</v>
      </c>
      <c r="AL144">
        <f>IF(LAM_API_TABLE[[#This Row],[Alternative_Data_Approval_Status]]="Approved",LAM_API_TABLE[[#This Row],[Ag_area_sqft_Alternative]],LAM_API_TABLE[[#This Row],[Ag_area_sqft]])</f>
        <v>0</v>
      </c>
      <c r="AM144">
        <f>IF(LAM_API_TABLE[[#This Row],[Alternative_Data_Approval_Status]]="Approved",LAM_API_TABLE[[#This Row],[Pool_area_sqft_Alternative]],LAM_API_TABLE[[#This Row],[Pool_area_sqft]])</f>
        <v>89633</v>
      </c>
      <c r="AN144">
        <f>IF(LAM_API_TABLE[[#This Row],[Alternative_Data_Approval_Status]]="Approved",LAM_API_TABLE[[#This Row],[Total_II_sqft_Alternative]],LAM_API_TABLE[[#This Row],[Total_II_sqft]])</f>
        <v>38447141</v>
      </c>
      <c r="AO144">
        <f>IF(LAM_API_TABLE[[#This Row],[Alternative_Data_Approval_Status]]="Approved",LAM_API_TABLE[[#This Row],[Total_INI_sqft_Alternative]],LAM_API_TABLE[[#This Row],[Total_INI_sqft]])</f>
        <v>21079550</v>
      </c>
      <c r="AP144">
        <f>IF(LAM_API_TABLE[[#This Row],[New_Res_Constr_Approval_Status]]="Approved",LAM_API_TABLE[[#This Row],[New_Res_Constr_sqft]],0)</f>
        <v>0</v>
      </c>
      <c r="AQ144">
        <f>IF(LAM_API_TABLE[[#This Row],[New_Res_Constr_Approval_Status]]="Approved",LAM_API_TABLE[[#This Row],[New_Res_SLA_norec_sqft]],0)</f>
        <v>0</v>
      </c>
      <c r="AR144">
        <f>IF(LAM_API_TABLE[[#This Row],[New_Res_Constr_Approval_Status]]="Approved",LAM_API_TABLE[[#This Row],[New_Res_SLA_rec_sqft]],0)</f>
        <v>0</v>
      </c>
      <c r="AS144">
        <f>IF(LAM_API_TABLE[[#This Row],[Existing_Res_SLA_Data_Approval_Status]]="Approved",LAM_API_TABLE[[#This Row],[Existing_Res_SLA_norec_sqft]],0)</f>
        <v>0</v>
      </c>
      <c r="AT144">
        <f>IF(LAM_API_TABLE[[#This Row],[Existing_Res_SLA_Data_Approval_Status]]="Approved",LAM_API_TABLE[[#This Row],[Existing_Res_SLA_rec_sqft]],0)</f>
        <v>0</v>
      </c>
    </row>
    <row r="145" spans="1:46" x14ac:dyDescent="0.25">
      <c r="A145" t="s">
        <v>1397</v>
      </c>
      <c r="B145" t="s">
        <v>1398</v>
      </c>
      <c r="C145" t="s">
        <v>2986</v>
      </c>
      <c r="D145" t="s">
        <v>2987</v>
      </c>
      <c r="E145">
        <v>2018</v>
      </c>
      <c r="H145">
        <v>1536870</v>
      </c>
      <c r="I145">
        <v>43183964</v>
      </c>
      <c r="J145">
        <v>14192621</v>
      </c>
      <c r="K145">
        <v>76915875</v>
      </c>
      <c r="L145">
        <v>46022488</v>
      </c>
      <c r="M145" t="s">
        <v>1859</v>
      </c>
      <c r="AK145">
        <f>IF(LAM_API_TABLE[[#This Row],[Alternative_Data_Approval_Status]]="Approved",LAM_API_TABLE[[#This Row],[HCL_area_sqft_Alternative]],LAM_API_TABLE[[#This Row],[HCL_area_sqft]])</f>
        <v>0</v>
      </c>
      <c r="AL145">
        <f>IF(LAM_API_TABLE[[#This Row],[Alternative_Data_Approval_Status]]="Approved",LAM_API_TABLE[[#This Row],[Ag_area_sqft_Alternative]],LAM_API_TABLE[[#This Row],[Ag_area_sqft]])</f>
        <v>0</v>
      </c>
      <c r="AM145">
        <f>IF(LAM_API_TABLE[[#This Row],[Alternative_Data_Approval_Status]]="Approved",LAM_API_TABLE[[#This Row],[Pool_area_sqft_Alternative]],LAM_API_TABLE[[#This Row],[Pool_area_sqft]])</f>
        <v>1536870</v>
      </c>
      <c r="AN145">
        <f>IF(LAM_API_TABLE[[#This Row],[Alternative_Data_Approval_Status]]="Approved",LAM_API_TABLE[[#This Row],[Total_II_sqft_Alternative]],LAM_API_TABLE[[#This Row],[Total_II_sqft]])</f>
        <v>43183964</v>
      </c>
      <c r="AO145">
        <f>IF(LAM_API_TABLE[[#This Row],[Alternative_Data_Approval_Status]]="Approved",LAM_API_TABLE[[#This Row],[Total_INI_sqft_Alternative]],LAM_API_TABLE[[#This Row],[Total_INI_sqft]])</f>
        <v>14192621</v>
      </c>
      <c r="AP145">
        <f>IF(LAM_API_TABLE[[#This Row],[New_Res_Constr_Approval_Status]]="Approved",LAM_API_TABLE[[#This Row],[New_Res_Constr_sqft]],0)</f>
        <v>0</v>
      </c>
      <c r="AQ145">
        <f>IF(LAM_API_TABLE[[#This Row],[New_Res_Constr_Approval_Status]]="Approved",LAM_API_TABLE[[#This Row],[New_Res_SLA_norec_sqft]],0)</f>
        <v>0</v>
      </c>
      <c r="AR145">
        <f>IF(LAM_API_TABLE[[#This Row],[New_Res_Constr_Approval_Status]]="Approved",LAM_API_TABLE[[#This Row],[New_Res_SLA_rec_sqft]],0)</f>
        <v>0</v>
      </c>
      <c r="AS145">
        <f>IF(LAM_API_TABLE[[#This Row],[Existing_Res_SLA_Data_Approval_Status]]="Approved",LAM_API_TABLE[[#This Row],[Existing_Res_SLA_norec_sqft]],0)</f>
        <v>0</v>
      </c>
      <c r="AT145">
        <f>IF(LAM_API_TABLE[[#This Row],[Existing_Res_SLA_Data_Approval_Status]]="Approved",LAM_API_TABLE[[#This Row],[Existing_Res_SLA_rec_sqft]],0)</f>
        <v>0</v>
      </c>
    </row>
    <row r="146" spans="1:46" x14ac:dyDescent="0.25">
      <c r="A146" t="s">
        <v>1401</v>
      </c>
      <c r="B146" t="s">
        <v>1402</v>
      </c>
      <c r="C146" t="s">
        <v>2988</v>
      </c>
      <c r="D146" t="s">
        <v>2989</v>
      </c>
      <c r="E146">
        <v>2018</v>
      </c>
      <c r="F146">
        <v>62326</v>
      </c>
      <c r="H146">
        <v>1614932</v>
      </c>
      <c r="I146">
        <v>42855569</v>
      </c>
      <c r="J146">
        <v>16472913</v>
      </c>
      <c r="K146">
        <v>98972898</v>
      </c>
      <c r="L146">
        <v>46150152</v>
      </c>
      <c r="M146" t="s">
        <v>1859</v>
      </c>
      <c r="AK146">
        <f>IF(LAM_API_TABLE[[#This Row],[Alternative_Data_Approval_Status]]="Approved",LAM_API_TABLE[[#This Row],[HCL_area_sqft_Alternative]],LAM_API_TABLE[[#This Row],[HCL_area_sqft]])</f>
        <v>62326</v>
      </c>
      <c r="AL146">
        <f>IF(LAM_API_TABLE[[#This Row],[Alternative_Data_Approval_Status]]="Approved",LAM_API_TABLE[[#This Row],[Ag_area_sqft_Alternative]],LAM_API_TABLE[[#This Row],[Ag_area_sqft]])</f>
        <v>0</v>
      </c>
      <c r="AM146">
        <f>IF(LAM_API_TABLE[[#This Row],[Alternative_Data_Approval_Status]]="Approved",LAM_API_TABLE[[#This Row],[Pool_area_sqft_Alternative]],LAM_API_TABLE[[#This Row],[Pool_area_sqft]])</f>
        <v>1614932</v>
      </c>
      <c r="AN146">
        <f>IF(LAM_API_TABLE[[#This Row],[Alternative_Data_Approval_Status]]="Approved",LAM_API_TABLE[[#This Row],[Total_II_sqft_Alternative]],LAM_API_TABLE[[#This Row],[Total_II_sqft]])</f>
        <v>42855569</v>
      </c>
      <c r="AO146">
        <f>IF(LAM_API_TABLE[[#This Row],[Alternative_Data_Approval_Status]]="Approved",LAM_API_TABLE[[#This Row],[Total_INI_sqft_Alternative]],LAM_API_TABLE[[#This Row],[Total_INI_sqft]])</f>
        <v>16472913</v>
      </c>
      <c r="AP146">
        <f>IF(LAM_API_TABLE[[#This Row],[New_Res_Constr_Approval_Status]]="Approved",LAM_API_TABLE[[#This Row],[New_Res_Constr_sqft]],0)</f>
        <v>0</v>
      </c>
      <c r="AQ146">
        <f>IF(LAM_API_TABLE[[#This Row],[New_Res_Constr_Approval_Status]]="Approved",LAM_API_TABLE[[#This Row],[New_Res_SLA_norec_sqft]],0)</f>
        <v>0</v>
      </c>
      <c r="AR146">
        <f>IF(LAM_API_TABLE[[#This Row],[New_Res_Constr_Approval_Status]]="Approved",LAM_API_TABLE[[#This Row],[New_Res_SLA_rec_sqft]],0)</f>
        <v>0</v>
      </c>
      <c r="AS146">
        <f>IF(LAM_API_TABLE[[#This Row],[Existing_Res_SLA_Data_Approval_Status]]="Approved",LAM_API_TABLE[[#This Row],[Existing_Res_SLA_norec_sqft]],0)</f>
        <v>0</v>
      </c>
      <c r="AT146">
        <f>IF(LAM_API_TABLE[[#This Row],[Existing_Res_SLA_Data_Approval_Status]]="Approved",LAM_API_TABLE[[#This Row],[Existing_Res_SLA_rec_sqft]],0)</f>
        <v>0</v>
      </c>
    </row>
    <row r="147" spans="1:46" x14ac:dyDescent="0.25">
      <c r="A147" t="s">
        <v>1405</v>
      </c>
      <c r="B147" t="s">
        <v>1406</v>
      </c>
      <c r="C147" t="s">
        <v>2990</v>
      </c>
      <c r="D147" t="s">
        <v>2991</v>
      </c>
      <c r="E147">
        <v>2018</v>
      </c>
      <c r="H147">
        <v>929054</v>
      </c>
      <c r="I147">
        <v>26306135</v>
      </c>
      <c r="J147">
        <v>9206307</v>
      </c>
      <c r="K147">
        <v>53851576</v>
      </c>
      <c r="L147">
        <v>28147396</v>
      </c>
      <c r="M147" t="s">
        <v>1859</v>
      </c>
      <c r="AK147">
        <f>IF(LAM_API_TABLE[[#This Row],[Alternative_Data_Approval_Status]]="Approved",LAM_API_TABLE[[#This Row],[HCL_area_sqft_Alternative]],LAM_API_TABLE[[#This Row],[HCL_area_sqft]])</f>
        <v>0</v>
      </c>
      <c r="AL147">
        <f>IF(LAM_API_TABLE[[#This Row],[Alternative_Data_Approval_Status]]="Approved",LAM_API_TABLE[[#This Row],[Ag_area_sqft_Alternative]],LAM_API_TABLE[[#This Row],[Ag_area_sqft]])</f>
        <v>0</v>
      </c>
      <c r="AM147">
        <f>IF(LAM_API_TABLE[[#This Row],[Alternative_Data_Approval_Status]]="Approved",LAM_API_TABLE[[#This Row],[Pool_area_sqft_Alternative]],LAM_API_TABLE[[#This Row],[Pool_area_sqft]])</f>
        <v>929054</v>
      </c>
      <c r="AN147">
        <f>IF(LAM_API_TABLE[[#This Row],[Alternative_Data_Approval_Status]]="Approved",LAM_API_TABLE[[#This Row],[Total_II_sqft_Alternative]],LAM_API_TABLE[[#This Row],[Total_II_sqft]])</f>
        <v>26306135</v>
      </c>
      <c r="AO147">
        <f>IF(LAM_API_TABLE[[#This Row],[Alternative_Data_Approval_Status]]="Approved",LAM_API_TABLE[[#This Row],[Total_INI_sqft_Alternative]],LAM_API_TABLE[[#This Row],[Total_INI_sqft]])</f>
        <v>9206307</v>
      </c>
      <c r="AP147">
        <f>IF(LAM_API_TABLE[[#This Row],[New_Res_Constr_Approval_Status]]="Approved",LAM_API_TABLE[[#This Row],[New_Res_Constr_sqft]],0)</f>
        <v>0</v>
      </c>
      <c r="AQ147">
        <f>IF(LAM_API_TABLE[[#This Row],[New_Res_Constr_Approval_Status]]="Approved",LAM_API_TABLE[[#This Row],[New_Res_SLA_norec_sqft]],0)</f>
        <v>0</v>
      </c>
      <c r="AR147">
        <f>IF(LAM_API_TABLE[[#This Row],[New_Res_Constr_Approval_Status]]="Approved",LAM_API_TABLE[[#This Row],[New_Res_SLA_rec_sqft]],0)</f>
        <v>0</v>
      </c>
      <c r="AS147">
        <f>IF(LAM_API_TABLE[[#This Row],[Existing_Res_SLA_Data_Approval_Status]]="Approved",LAM_API_TABLE[[#This Row],[Existing_Res_SLA_norec_sqft]],0)</f>
        <v>0</v>
      </c>
      <c r="AT147">
        <f>IF(LAM_API_TABLE[[#This Row],[Existing_Res_SLA_Data_Approval_Status]]="Approved",LAM_API_TABLE[[#This Row],[Existing_Res_SLA_rec_sqft]],0)</f>
        <v>0</v>
      </c>
    </row>
    <row r="148" spans="1:46" x14ac:dyDescent="0.25">
      <c r="A148" t="s">
        <v>1409</v>
      </c>
      <c r="B148" t="s">
        <v>1410</v>
      </c>
      <c r="C148" t="s">
        <v>2992</v>
      </c>
      <c r="D148" t="s">
        <v>2993</v>
      </c>
      <c r="E148">
        <v>2018</v>
      </c>
      <c r="H148">
        <v>303253</v>
      </c>
      <c r="I148">
        <v>7144519</v>
      </c>
      <c r="J148">
        <v>13470931</v>
      </c>
      <c r="K148">
        <v>33060646</v>
      </c>
      <c r="L148">
        <v>9838705</v>
      </c>
      <c r="M148" t="s">
        <v>1859</v>
      </c>
      <c r="AK148">
        <f>IF(LAM_API_TABLE[[#This Row],[Alternative_Data_Approval_Status]]="Approved",LAM_API_TABLE[[#This Row],[HCL_area_sqft_Alternative]],LAM_API_TABLE[[#This Row],[HCL_area_sqft]])</f>
        <v>0</v>
      </c>
      <c r="AL148">
        <f>IF(LAM_API_TABLE[[#This Row],[Alternative_Data_Approval_Status]]="Approved",LAM_API_TABLE[[#This Row],[Ag_area_sqft_Alternative]],LAM_API_TABLE[[#This Row],[Ag_area_sqft]])</f>
        <v>0</v>
      </c>
      <c r="AM148">
        <f>IF(LAM_API_TABLE[[#This Row],[Alternative_Data_Approval_Status]]="Approved",LAM_API_TABLE[[#This Row],[Pool_area_sqft_Alternative]],LAM_API_TABLE[[#This Row],[Pool_area_sqft]])</f>
        <v>303253</v>
      </c>
      <c r="AN148">
        <f>IF(LAM_API_TABLE[[#This Row],[Alternative_Data_Approval_Status]]="Approved",LAM_API_TABLE[[#This Row],[Total_II_sqft_Alternative]],LAM_API_TABLE[[#This Row],[Total_II_sqft]])</f>
        <v>7144519</v>
      </c>
      <c r="AO148">
        <f>IF(LAM_API_TABLE[[#This Row],[Alternative_Data_Approval_Status]]="Approved",LAM_API_TABLE[[#This Row],[Total_INI_sqft_Alternative]],LAM_API_TABLE[[#This Row],[Total_INI_sqft]])</f>
        <v>13470931</v>
      </c>
      <c r="AP148">
        <f>IF(LAM_API_TABLE[[#This Row],[New_Res_Constr_Approval_Status]]="Approved",LAM_API_TABLE[[#This Row],[New_Res_Constr_sqft]],0)</f>
        <v>0</v>
      </c>
      <c r="AQ148">
        <f>IF(LAM_API_TABLE[[#This Row],[New_Res_Constr_Approval_Status]]="Approved",LAM_API_TABLE[[#This Row],[New_Res_SLA_norec_sqft]],0)</f>
        <v>0</v>
      </c>
      <c r="AR148">
        <f>IF(LAM_API_TABLE[[#This Row],[New_Res_Constr_Approval_Status]]="Approved",LAM_API_TABLE[[#This Row],[New_Res_SLA_rec_sqft]],0)</f>
        <v>0</v>
      </c>
      <c r="AS148">
        <f>IF(LAM_API_TABLE[[#This Row],[Existing_Res_SLA_Data_Approval_Status]]="Approved",LAM_API_TABLE[[#This Row],[Existing_Res_SLA_norec_sqft]],0)</f>
        <v>0</v>
      </c>
      <c r="AT148">
        <f>IF(LAM_API_TABLE[[#This Row],[Existing_Res_SLA_Data_Approval_Status]]="Approved",LAM_API_TABLE[[#This Row],[Existing_Res_SLA_rec_sqft]],0)</f>
        <v>0</v>
      </c>
    </row>
    <row r="149" spans="1:46" x14ac:dyDescent="0.25">
      <c r="A149" t="s">
        <v>1413</v>
      </c>
      <c r="B149" t="s">
        <v>1414</v>
      </c>
      <c r="C149" t="s">
        <v>2994</v>
      </c>
      <c r="D149" t="s">
        <v>2995</v>
      </c>
      <c r="E149">
        <v>2018</v>
      </c>
      <c r="H149">
        <v>18326</v>
      </c>
      <c r="I149">
        <v>3117040</v>
      </c>
      <c r="J149">
        <v>7493630</v>
      </c>
      <c r="K149">
        <v>21582225</v>
      </c>
      <c r="L149">
        <v>4615766</v>
      </c>
      <c r="M149" t="s">
        <v>1859</v>
      </c>
      <c r="AK149">
        <f>IF(LAM_API_TABLE[[#This Row],[Alternative_Data_Approval_Status]]="Approved",LAM_API_TABLE[[#This Row],[HCL_area_sqft_Alternative]],LAM_API_TABLE[[#This Row],[HCL_area_sqft]])</f>
        <v>0</v>
      </c>
      <c r="AL149">
        <f>IF(LAM_API_TABLE[[#This Row],[Alternative_Data_Approval_Status]]="Approved",LAM_API_TABLE[[#This Row],[Ag_area_sqft_Alternative]],LAM_API_TABLE[[#This Row],[Ag_area_sqft]])</f>
        <v>0</v>
      </c>
      <c r="AM149">
        <f>IF(LAM_API_TABLE[[#This Row],[Alternative_Data_Approval_Status]]="Approved",LAM_API_TABLE[[#This Row],[Pool_area_sqft_Alternative]],LAM_API_TABLE[[#This Row],[Pool_area_sqft]])</f>
        <v>18326</v>
      </c>
      <c r="AN149">
        <f>IF(LAM_API_TABLE[[#This Row],[Alternative_Data_Approval_Status]]="Approved",LAM_API_TABLE[[#This Row],[Total_II_sqft_Alternative]],LAM_API_TABLE[[#This Row],[Total_II_sqft]])</f>
        <v>3117040</v>
      </c>
      <c r="AO149">
        <f>IF(LAM_API_TABLE[[#This Row],[Alternative_Data_Approval_Status]]="Approved",LAM_API_TABLE[[#This Row],[Total_INI_sqft_Alternative]],LAM_API_TABLE[[#This Row],[Total_INI_sqft]])</f>
        <v>7493630</v>
      </c>
      <c r="AP149">
        <f>IF(LAM_API_TABLE[[#This Row],[New_Res_Constr_Approval_Status]]="Approved",LAM_API_TABLE[[#This Row],[New_Res_Constr_sqft]],0)</f>
        <v>0</v>
      </c>
      <c r="AQ149">
        <f>IF(LAM_API_TABLE[[#This Row],[New_Res_Constr_Approval_Status]]="Approved",LAM_API_TABLE[[#This Row],[New_Res_SLA_norec_sqft]],0)</f>
        <v>0</v>
      </c>
      <c r="AR149">
        <f>IF(LAM_API_TABLE[[#This Row],[New_Res_Constr_Approval_Status]]="Approved",LAM_API_TABLE[[#This Row],[New_Res_SLA_rec_sqft]],0)</f>
        <v>0</v>
      </c>
      <c r="AS149">
        <f>IF(LAM_API_TABLE[[#This Row],[Existing_Res_SLA_Data_Approval_Status]]="Approved",LAM_API_TABLE[[#This Row],[Existing_Res_SLA_norec_sqft]],0)</f>
        <v>0</v>
      </c>
      <c r="AT149">
        <f>IF(LAM_API_TABLE[[#This Row],[Existing_Res_SLA_Data_Approval_Status]]="Approved",LAM_API_TABLE[[#This Row],[Existing_Res_SLA_rec_sqft]],0)</f>
        <v>0</v>
      </c>
    </row>
    <row r="150" spans="1:46" x14ac:dyDescent="0.25">
      <c r="A150" t="s">
        <v>1417</v>
      </c>
      <c r="B150" t="s">
        <v>1418</v>
      </c>
      <c r="C150" t="s">
        <v>2996</v>
      </c>
      <c r="D150" t="s">
        <v>2997</v>
      </c>
      <c r="E150">
        <v>2018</v>
      </c>
      <c r="H150">
        <v>409971</v>
      </c>
      <c r="I150">
        <v>57059804</v>
      </c>
      <c r="J150">
        <v>41539110</v>
      </c>
      <c r="K150">
        <v>202101559</v>
      </c>
      <c r="L150">
        <v>65367626</v>
      </c>
      <c r="M150" t="s">
        <v>1859</v>
      </c>
      <c r="AK150">
        <f>IF(LAM_API_TABLE[[#This Row],[Alternative_Data_Approval_Status]]="Approved",LAM_API_TABLE[[#This Row],[HCL_area_sqft_Alternative]],LAM_API_TABLE[[#This Row],[HCL_area_sqft]])</f>
        <v>0</v>
      </c>
      <c r="AL150">
        <f>IF(LAM_API_TABLE[[#This Row],[Alternative_Data_Approval_Status]]="Approved",LAM_API_TABLE[[#This Row],[Ag_area_sqft_Alternative]],LAM_API_TABLE[[#This Row],[Ag_area_sqft]])</f>
        <v>0</v>
      </c>
      <c r="AM150">
        <f>IF(LAM_API_TABLE[[#This Row],[Alternative_Data_Approval_Status]]="Approved",LAM_API_TABLE[[#This Row],[Pool_area_sqft_Alternative]],LAM_API_TABLE[[#This Row],[Pool_area_sqft]])</f>
        <v>409971</v>
      </c>
      <c r="AN150">
        <f>IF(LAM_API_TABLE[[#This Row],[Alternative_Data_Approval_Status]]="Approved",LAM_API_TABLE[[#This Row],[Total_II_sqft_Alternative]],LAM_API_TABLE[[#This Row],[Total_II_sqft]])</f>
        <v>57059804</v>
      </c>
      <c r="AO150">
        <f>IF(LAM_API_TABLE[[#This Row],[Alternative_Data_Approval_Status]]="Approved",LAM_API_TABLE[[#This Row],[Total_INI_sqft_Alternative]],LAM_API_TABLE[[#This Row],[Total_INI_sqft]])</f>
        <v>41539110</v>
      </c>
      <c r="AP150">
        <f>IF(LAM_API_TABLE[[#This Row],[New_Res_Constr_Approval_Status]]="Approved",LAM_API_TABLE[[#This Row],[New_Res_Constr_sqft]],0)</f>
        <v>0</v>
      </c>
      <c r="AQ150">
        <f>IF(LAM_API_TABLE[[#This Row],[New_Res_Constr_Approval_Status]]="Approved",LAM_API_TABLE[[#This Row],[New_Res_SLA_norec_sqft]],0)</f>
        <v>0</v>
      </c>
      <c r="AR150">
        <f>IF(LAM_API_TABLE[[#This Row],[New_Res_Constr_Approval_Status]]="Approved",LAM_API_TABLE[[#This Row],[New_Res_SLA_rec_sqft]],0)</f>
        <v>0</v>
      </c>
      <c r="AS150">
        <f>IF(LAM_API_TABLE[[#This Row],[Existing_Res_SLA_Data_Approval_Status]]="Approved",LAM_API_TABLE[[#This Row],[Existing_Res_SLA_norec_sqft]],0)</f>
        <v>0</v>
      </c>
      <c r="AT150">
        <f>IF(LAM_API_TABLE[[#This Row],[Existing_Res_SLA_Data_Approval_Status]]="Approved",LAM_API_TABLE[[#This Row],[Existing_Res_SLA_rec_sqft]],0)</f>
        <v>0</v>
      </c>
    </row>
    <row r="151" spans="1:46" x14ac:dyDescent="0.25">
      <c r="A151" t="s">
        <v>1421</v>
      </c>
      <c r="B151" t="s">
        <v>1422</v>
      </c>
      <c r="C151" t="s">
        <v>2998</v>
      </c>
      <c r="D151" t="s">
        <v>2999</v>
      </c>
      <c r="E151">
        <v>2018</v>
      </c>
      <c r="G151">
        <v>39248</v>
      </c>
      <c r="H151">
        <v>1636966</v>
      </c>
      <c r="I151">
        <v>31034038</v>
      </c>
      <c r="J151">
        <v>13881424</v>
      </c>
      <c r="K151">
        <v>116980344</v>
      </c>
      <c r="L151">
        <v>33810323</v>
      </c>
      <c r="M151" t="s">
        <v>1859</v>
      </c>
      <c r="AK151">
        <f>IF(LAM_API_TABLE[[#This Row],[Alternative_Data_Approval_Status]]="Approved",LAM_API_TABLE[[#This Row],[HCL_area_sqft_Alternative]],LAM_API_TABLE[[#This Row],[HCL_area_sqft]])</f>
        <v>0</v>
      </c>
      <c r="AL151">
        <f>IF(LAM_API_TABLE[[#This Row],[Alternative_Data_Approval_Status]]="Approved",LAM_API_TABLE[[#This Row],[Ag_area_sqft_Alternative]],LAM_API_TABLE[[#This Row],[Ag_area_sqft]])</f>
        <v>39248</v>
      </c>
      <c r="AM151">
        <f>IF(LAM_API_TABLE[[#This Row],[Alternative_Data_Approval_Status]]="Approved",LAM_API_TABLE[[#This Row],[Pool_area_sqft_Alternative]],LAM_API_TABLE[[#This Row],[Pool_area_sqft]])</f>
        <v>1636966</v>
      </c>
      <c r="AN151">
        <f>IF(LAM_API_TABLE[[#This Row],[Alternative_Data_Approval_Status]]="Approved",LAM_API_TABLE[[#This Row],[Total_II_sqft_Alternative]],LAM_API_TABLE[[#This Row],[Total_II_sqft]])</f>
        <v>31034038</v>
      </c>
      <c r="AO151">
        <f>IF(LAM_API_TABLE[[#This Row],[Alternative_Data_Approval_Status]]="Approved",LAM_API_TABLE[[#This Row],[Total_INI_sqft_Alternative]],LAM_API_TABLE[[#This Row],[Total_INI_sqft]])</f>
        <v>13881424</v>
      </c>
      <c r="AP151">
        <f>IF(LAM_API_TABLE[[#This Row],[New_Res_Constr_Approval_Status]]="Approved",LAM_API_TABLE[[#This Row],[New_Res_Constr_sqft]],0)</f>
        <v>0</v>
      </c>
      <c r="AQ151">
        <f>IF(LAM_API_TABLE[[#This Row],[New_Res_Constr_Approval_Status]]="Approved",LAM_API_TABLE[[#This Row],[New_Res_SLA_norec_sqft]],0)</f>
        <v>0</v>
      </c>
      <c r="AR151">
        <f>IF(LAM_API_TABLE[[#This Row],[New_Res_Constr_Approval_Status]]="Approved",LAM_API_TABLE[[#This Row],[New_Res_SLA_rec_sqft]],0)</f>
        <v>0</v>
      </c>
      <c r="AS151">
        <f>IF(LAM_API_TABLE[[#This Row],[Existing_Res_SLA_Data_Approval_Status]]="Approved",LAM_API_TABLE[[#This Row],[Existing_Res_SLA_norec_sqft]],0)</f>
        <v>0</v>
      </c>
      <c r="AT151">
        <f>IF(LAM_API_TABLE[[#This Row],[Existing_Res_SLA_Data_Approval_Status]]="Approved",LAM_API_TABLE[[#This Row],[Existing_Res_SLA_rec_sqft]],0)</f>
        <v>0</v>
      </c>
    </row>
    <row r="152" spans="1:46" x14ac:dyDescent="0.25">
      <c r="A152" t="s">
        <v>1425</v>
      </c>
      <c r="B152" t="s">
        <v>1426</v>
      </c>
      <c r="C152" t="s">
        <v>3000</v>
      </c>
      <c r="D152" t="s">
        <v>3001</v>
      </c>
      <c r="E152">
        <v>2018</v>
      </c>
      <c r="F152">
        <v>144151</v>
      </c>
      <c r="G152">
        <v>2852976</v>
      </c>
      <c r="H152">
        <v>393030</v>
      </c>
      <c r="I152">
        <v>55663826</v>
      </c>
      <c r="J152">
        <v>30870790</v>
      </c>
      <c r="K152">
        <v>138236165</v>
      </c>
      <c r="L152">
        <v>61837984</v>
      </c>
      <c r="M152" t="s">
        <v>1859</v>
      </c>
      <c r="AK152">
        <f>IF(LAM_API_TABLE[[#This Row],[Alternative_Data_Approval_Status]]="Approved",LAM_API_TABLE[[#This Row],[HCL_area_sqft_Alternative]],LAM_API_TABLE[[#This Row],[HCL_area_sqft]])</f>
        <v>144151</v>
      </c>
      <c r="AL152">
        <f>IF(LAM_API_TABLE[[#This Row],[Alternative_Data_Approval_Status]]="Approved",LAM_API_TABLE[[#This Row],[Ag_area_sqft_Alternative]],LAM_API_TABLE[[#This Row],[Ag_area_sqft]])</f>
        <v>2852976</v>
      </c>
      <c r="AM152">
        <f>IF(LAM_API_TABLE[[#This Row],[Alternative_Data_Approval_Status]]="Approved",LAM_API_TABLE[[#This Row],[Pool_area_sqft_Alternative]],LAM_API_TABLE[[#This Row],[Pool_area_sqft]])</f>
        <v>393030</v>
      </c>
      <c r="AN152">
        <f>IF(LAM_API_TABLE[[#This Row],[Alternative_Data_Approval_Status]]="Approved",LAM_API_TABLE[[#This Row],[Total_II_sqft_Alternative]],LAM_API_TABLE[[#This Row],[Total_II_sqft]])</f>
        <v>55663826</v>
      </c>
      <c r="AO152">
        <f>IF(LAM_API_TABLE[[#This Row],[Alternative_Data_Approval_Status]]="Approved",LAM_API_TABLE[[#This Row],[Total_INI_sqft_Alternative]],LAM_API_TABLE[[#This Row],[Total_INI_sqft]])</f>
        <v>30870790</v>
      </c>
      <c r="AP152">
        <f>IF(LAM_API_TABLE[[#This Row],[New_Res_Constr_Approval_Status]]="Approved",LAM_API_TABLE[[#This Row],[New_Res_Constr_sqft]],0)</f>
        <v>0</v>
      </c>
      <c r="AQ152">
        <f>IF(LAM_API_TABLE[[#This Row],[New_Res_Constr_Approval_Status]]="Approved",LAM_API_TABLE[[#This Row],[New_Res_SLA_norec_sqft]],0)</f>
        <v>0</v>
      </c>
      <c r="AR152">
        <f>IF(LAM_API_TABLE[[#This Row],[New_Res_Constr_Approval_Status]]="Approved",LAM_API_TABLE[[#This Row],[New_Res_SLA_rec_sqft]],0)</f>
        <v>0</v>
      </c>
      <c r="AS152">
        <f>IF(LAM_API_TABLE[[#This Row],[Existing_Res_SLA_Data_Approval_Status]]="Approved",LAM_API_TABLE[[#This Row],[Existing_Res_SLA_norec_sqft]],0)</f>
        <v>0</v>
      </c>
      <c r="AT152">
        <f>IF(LAM_API_TABLE[[#This Row],[Existing_Res_SLA_Data_Approval_Status]]="Approved",LAM_API_TABLE[[#This Row],[Existing_Res_SLA_rec_sqft]],0)</f>
        <v>0</v>
      </c>
    </row>
    <row r="153" spans="1:46" x14ac:dyDescent="0.25">
      <c r="A153" t="s">
        <v>1429</v>
      </c>
      <c r="B153" t="s">
        <v>1430</v>
      </c>
      <c r="C153" t="s">
        <v>3002</v>
      </c>
      <c r="D153" t="s">
        <v>3003</v>
      </c>
      <c r="E153">
        <v>2020</v>
      </c>
      <c r="F153">
        <v>153102</v>
      </c>
      <c r="G153">
        <v>2238480</v>
      </c>
      <c r="H153">
        <v>890737</v>
      </c>
      <c r="I153">
        <v>47089783</v>
      </c>
      <c r="J153">
        <v>14249241</v>
      </c>
      <c r="K153">
        <v>120137053</v>
      </c>
      <c r="L153">
        <v>49939631</v>
      </c>
      <c r="M153" t="s">
        <v>1859</v>
      </c>
      <c r="AK153">
        <f>IF(LAM_API_TABLE[[#This Row],[Alternative_Data_Approval_Status]]="Approved",LAM_API_TABLE[[#This Row],[HCL_area_sqft_Alternative]],LAM_API_TABLE[[#This Row],[HCL_area_sqft]])</f>
        <v>153102</v>
      </c>
      <c r="AL153">
        <f>IF(LAM_API_TABLE[[#This Row],[Alternative_Data_Approval_Status]]="Approved",LAM_API_TABLE[[#This Row],[Ag_area_sqft_Alternative]],LAM_API_TABLE[[#This Row],[Ag_area_sqft]])</f>
        <v>2238480</v>
      </c>
      <c r="AM153">
        <f>IF(LAM_API_TABLE[[#This Row],[Alternative_Data_Approval_Status]]="Approved",LAM_API_TABLE[[#This Row],[Pool_area_sqft_Alternative]],LAM_API_TABLE[[#This Row],[Pool_area_sqft]])</f>
        <v>890737</v>
      </c>
      <c r="AN153">
        <f>IF(LAM_API_TABLE[[#This Row],[Alternative_Data_Approval_Status]]="Approved",LAM_API_TABLE[[#This Row],[Total_II_sqft_Alternative]],LAM_API_TABLE[[#This Row],[Total_II_sqft]])</f>
        <v>47089783</v>
      </c>
      <c r="AO153">
        <f>IF(LAM_API_TABLE[[#This Row],[Alternative_Data_Approval_Status]]="Approved",LAM_API_TABLE[[#This Row],[Total_INI_sqft_Alternative]],LAM_API_TABLE[[#This Row],[Total_INI_sqft]])</f>
        <v>14249241</v>
      </c>
      <c r="AP153">
        <f>IF(LAM_API_TABLE[[#This Row],[New_Res_Constr_Approval_Status]]="Approved",LAM_API_TABLE[[#This Row],[New_Res_Constr_sqft]],0)</f>
        <v>0</v>
      </c>
      <c r="AQ153">
        <f>IF(LAM_API_TABLE[[#This Row],[New_Res_Constr_Approval_Status]]="Approved",LAM_API_TABLE[[#This Row],[New_Res_SLA_norec_sqft]],0)</f>
        <v>0</v>
      </c>
      <c r="AR153">
        <f>IF(LAM_API_TABLE[[#This Row],[New_Res_Constr_Approval_Status]]="Approved",LAM_API_TABLE[[#This Row],[New_Res_SLA_rec_sqft]],0)</f>
        <v>0</v>
      </c>
      <c r="AS153">
        <f>IF(LAM_API_TABLE[[#This Row],[Existing_Res_SLA_Data_Approval_Status]]="Approved",LAM_API_TABLE[[#This Row],[Existing_Res_SLA_norec_sqft]],0)</f>
        <v>0</v>
      </c>
      <c r="AT153">
        <f>IF(LAM_API_TABLE[[#This Row],[Existing_Res_SLA_Data_Approval_Status]]="Approved",LAM_API_TABLE[[#This Row],[Existing_Res_SLA_rec_sqft]],0)</f>
        <v>0</v>
      </c>
    </row>
    <row r="154" spans="1:46" x14ac:dyDescent="0.25">
      <c r="A154" t="s">
        <v>1433</v>
      </c>
      <c r="B154" t="s">
        <v>1434</v>
      </c>
      <c r="C154" t="s">
        <v>3004</v>
      </c>
      <c r="D154" t="s">
        <v>3005</v>
      </c>
      <c r="E154">
        <v>2018</v>
      </c>
      <c r="G154">
        <v>160778</v>
      </c>
      <c r="H154">
        <v>2076</v>
      </c>
      <c r="I154">
        <v>4567865</v>
      </c>
      <c r="J154">
        <v>4080872</v>
      </c>
      <c r="K154">
        <v>15489799</v>
      </c>
      <c r="L154">
        <v>5384039</v>
      </c>
      <c r="M154" t="s">
        <v>1859</v>
      </c>
      <c r="AK154">
        <f>IF(LAM_API_TABLE[[#This Row],[Alternative_Data_Approval_Status]]="Approved",LAM_API_TABLE[[#This Row],[HCL_area_sqft_Alternative]],LAM_API_TABLE[[#This Row],[HCL_area_sqft]])</f>
        <v>0</v>
      </c>
      <c r="AL154">
        <f>IF(LAM_API_TABLE[[#This Row],[Alternative_Data_Approval_Status]]="Approved",LAM_API_TABLE[[#This Row],[Ag_area_sqft_Alternative]],LAM_API_TABLE[[#This Row],[Ag_area_sqft]])</f>
        <v>160778</v>
      </c>
      <c r="AM154">
        <f>IF(LAM_API_TABLE[[#This Row],[Alternative_Data_Approval_Status]]="Approved",LAM_API_TABLE[[#This Row],[Pool_area_sqft_Alternative]],LAM_API_TABLE[[#This Row],[Pool_area_sqft]])</f>
        <v>2076</v>
      </c>
      <c r="AN154">
        <f>IF(LAM_API_TABLE[[#This Row],[Alternative_Data_Approval_Status]]="Approved",LAM_API_TABLE[[#This Row],[Total_II_sqft_Alternative]],LAM_API_TABLE[[#This Row],[Total_II_sqft]])</f>
        <v>4567865</v>
      </c>
      <c r="AO154">
        <f>IF(LAM_API_TABLE[[#This Row],[Alternative_Data_Approval_Status]]="Approved",LAM_API_TABLE[[#This Row],[Total_INI_sqft_Alternative]],LAM_API_TABLE[[#This Row],[Total_INI_sqft]])</f>
        <v>4080872</v>
      </c>
      <c r="AP154">
        <f>IF(LAM_API_TABLE[[#This Row],[New_Res_Constr_Approval_Status]]="Approved",LAM_API_TABLE[[#This Row],[New_Res_Constr_sqft]],0)</f>
        <v>0</v>
      </c>
      <c r="AQ154">
        <f>IF(LAM_API_TABLE[[#This Row],[New_Res_Constr_Approval_Status]]="Approved",LAM_API_TABLE[[#This Row],[New_Res_SLA_norec_sqft]],0)</f>
        <v>0</v>
      </c>
      <c r="AR154">
        <f>IF(LAM_API_TABLE[[#This Row],[New_Res_Constr_Approval_Status]]="Approved",LAM_API_TABLE[[#This Row],[New_Res_SLA_rec_sqft]],0)</f>
        <v>0</v>
      </c>
      <c r="AS154">
        <f>IF(LAM_API_TABLE[[#This Row],[Existing_Res_SLA_Data_Approval_Status]]="Approved",LAM_API_TABLE[[#This Row],[Existing_Res_SLA_norec_sqft]],0)</f>
        <v>0</v>
      </c>
      <c r="AT154">
        <f>IF(LAM_API_TABLE[[#This Row],[Existing_Res_SLA_Data_Approval_Status]]="Approved",LAM_API_TABLE[[#This Row],[Existing_Res_SLA_rec_sqft]],0)</f>
        <v>0</v>
      </c>
    </row>
    <row r="155" spans="1:46" x14ac:dyDescent="0.25">
      <c r="A155" t="s">
        <v>1437</v>
      </c>
      <c r="B155" t="s">
        <v>1438</v>
      </c>
      <c r="C155" t="s">
        <v>794</v>
      </c>
      <c r="D155" t="s">
        <v>3006</v>
      </c>
      <c r="E155">
        <v>2018</v>
      </c>
      <c r="F155">
        <v>2189</v>
      </c>
      <c r="G155">
        <v>2053747</v>
      </c>
      <c r="H155">
        <v>128330</v>
      </c>
      <c r="I155">
        <v>9910663</v>
      </c>
      <c r="J155">
        <v>4867863</v>
      </c>
      <c r="K155">
        <v>20948151</v>
      </c>
      <c r="L155">
        <v>10884236</v>
      </c>
      <c r="M155" t="s">
        <v>1859</v>
      </c>
      <c r="AK155">
        <f>IF(LAM_API_TABLE[[#This Row],[Alternative_Data_Approval_Status]]="Approved",LAM_API_TABLE[[#This Row],[HCL_area_sqft_Alternative]],LAM_API_TABLE[[#This Row],[HCL_area_sqft]])</f>
        <v>2189</v>
      </c>
      <c r="AL155">
        <f>IF(LAM_API_TABLE[[#This Row],[Alternative_Data_Approval_Status]]="Approved",LAM_API_TABLE[[#This Row],[Ag_area_sqft_Alternative]],LAM_API_TABLE[[#This Row],[Ag_area_sqft]])</f>
        <v>2053747</v>
      </c>
      <c r="AM155">
        <f>IF(LAM_API_TABLE[[#This Row],[Alternative_Data_Approval_Status]]="Approved",LAM_API_TABLE[[#This Row],[Pool_area_sqft_Alternative]],LAM_API_TABLE[[#This Row],[Pool_area_sqft]])</f>
        <v>128330</v>
      </c>
      <c r="AN155">
        <f>IF(LAM_API_TABLE[[#This Row],[Alternative_Data_Approval_Status]]="Approved",LAM_API_TABLE[[#This Row],[Total_II_sqft_Alternative]],LAM_API_TABLE[[#This Row],[Total_II_sqft]])</f>
        <v>9910663</v>
      </c>
      <c r="AO155">
        <f>IF(LAM_API_TABLE[[#This Row],[Alternative_Data_Approval_Status]]="Approved",LAM_API_TABLE[[#This Row],[Total_INI_sqft_Alternative]],LAM_API_TABLE[[#This Row],[Total_INI_sqft]])</f>
        <v>4867863</v>
      </c>
      <c r="AP155">
        <f>IF(LAM_API_TABLE[[#This Row],[New_Res_Constr_Approval_Status]]="Approved",LAM_API_TABLE[[#This Row],[New_Res_Constr_sqft]],0)</f>
        <v>0</v>
      </c>
      <c r="AQ155">
        <f>IF(LAM_API_TABLE[[#This Row],[New_Res_Constr_Approval_Status]]="Approved",LAM_API_TABLE[[#This Row],[New_Res_SLA_norec_sqft]],0)</f>
        <v>0</v>
      </c>
      <c r="AR155">
        <f>IF(LAM_API_TABLE[[#This Row],[New_Res_Constr_Approval_Status]]="Approved",LAM_API_TABLE[[#This Row],[New_Res_SLA_rec_sqft]],0)</f>
        <v>0</v>
      </c>
      <c r="AS155">
        <f>IF(LAM_API_TABLE[[#This Row],[Existing_Res_SLA_Data_Approval_Status]]="Approved",LAM_API_TABLE[[#This Row],[Existing_Res_SLA_norec_sqft]],0)</f>
        <v>0</v>
      </c>
      <c r="AT155">
        <f>IF(LAM_API_TABLE[[#This Row],[Existing_Res_SLA_Data_Approval_Status]]="Approved",LAM_API_TABLE[[#This Row],[Existing_Res_SLA_rec_sqft]],0)</f>
        <v>0</v>
      </c>
    </row>
    <row r="156" spans="1:46" x14ac:dyDescent="0.25">
      <c r="A156" t="s">
        <v>1441</v>
      </c>
      <c r="B156" t="s">
        <v>1442</v>
      </c>
      <c r="C156" t="s">
        <v>3007</v>
      </c>
      <c r="D156" t="s">
        <v>3008</v>
      </c>
      <c r="E156">
        <v>2018</v>
      </c>
      <c r="F156">
        <v>39071</v>
      </c>
      <c r="G156">
        <v>54700</v>
      </c>
      <c r="H156">
        <v>2119</v>
      </c>
      <c r="I156">
        <v>1529189</v>
      </c>
      <c r="J156">
        <v>11598866</v>
      </c>
      <c r="K156">
        <v>140804952</v>
      </c>
      <c r="L156">
        <v>3848962</v>
      </c>
      <c r="M156" t="s">
        <v>1859</v>
      </c>
      <c r="AK156">
        <f>IF(LAM_API_TABLE[[#This Row],[Alternative_Data_Approval_Status]]="Approved",LAM_API_TABLE[[#This Row],[HCL_area_sqft_Alternative]],LAM_API_TABLE[[#This Row],[HCL_area_sqft]])</f>
        <v>39071</v>
      </c>
      <c r="AL156">
        <f>IF(LAM_API_TABLE[[#This Row],[Alternative_Data_Approval_Status]]="Approved",LAM_API_TABLE[[#This Row],[Ag_area_sqft_Alternative]],LAM_API_TABLE[[#This Row],[Ag_area_sqft]])</f>
        <v>54700</v>
      </c>
      <c r="AM156">
        <f>IF(LAM_API_TABLE[[#This Row],[Alternative_Data_Approval_Status]]="Approved",LAM_API_TABLE[[#This Row],[Pool_area_sqft_Alternative]],LAM_API_TABLE[[#This Row],[Pool_area_sqft]])</f>
        <v>2119</v>
      </c>
      <c r="AN156">
        <f>IF(LAM_API_TABLE[[#This Row],[Alternative_Data_Approval_Status]]="Approved",LAM_API_TABLE[[#This Row],[Total_II_sqft_Alternative]],LAM_API_TABLE[[#This Row],[Total_II_sqft]])</f>
        <v>1529189</v>
      </c>
      <c r="AO156">
        <f>IF(LAM_API_TABLE[[#This Row],[Alternative_Data_Approval_Status]]="Approved",LAM_API_TABLE[[#This Row],[Total_INI_sqft_Alternative]],LAM_API_TABLE[[#This Row],[Total_INI_sqft]])</f>
        <v>11598866</v>
      </c>
      <c r="AP156">
        <f>IF(LAM_API_TABLE[[#This Row],[New_Res_Constr_Approval_Status]]="Approved",LAM_API_TABLE[[#This Row],[New_Res_Constr_sqft]],0)</f>
        <v>0</v>
      </c>
      <c r="AQ156">
        <f>IF(LAM_API_TABLE[[#This Row],[New_Res_Constr_Approval_Status]]="Approved",LAM_API_TABLE[[#This Row],[New_Res_SLA_norec_sqft]],0)</f>
        <v>0</v>
      </c>
      <c r="AR156">
        <f>IF(LAM_API_TABLE[[#This Row],[New_Res_Constr_Approval_Status]]="Approved",LAM_API_TABLE[[#This Row],[New_Res_SLA_rec_sqft]],0)</f>
        <v>0</v>
      </c>
      <c r="AS156">
        <f>IF(LAM_API_TABLE[[#This Row],[Existing_Res_SLA_Data_Approval_Status]]="Approved",LAM_API_TABLE[[#This Row],[Existing_Res_SLA_norec_sqft]],0)</f>
        <v>0</v>
      </c>
      <c r="AT156">
        <f>IF(LAM_API_TABLE[[#This Row],[Existing_Res_SLA_Data_Approval_Status]]="Approved",LAM_API_TABLE[[#This Row],[Existing_Res_SLA_rec_sqft]],0)</f>
        <v>0</v>
      </c>
    </row>
    <row r="157" spans="1:46" x14ac:dyDescent="0.25">
      <c r="A157" t="s">
        <v>1446</v>
      </c>
      <c r="B157" t="s">
        <v>3009</v>
      </c>
      <c r="C157" t="s">
        <v>3010</v>
      </c>
      <c r="D157" t="s">
        <v>3011</v>
      </c>
      <c r="E157">
        <v>2018</v>
      </c>
      <c r="G157">
        <v>26145</v>
      </c>
      <c r="H157">
        <v>2248</v>
      </c>
      <c r="I157">
        <v>5335435</v>
      </c>
      <c r="J157">
        <v>4152375</v>
      </c>
      <c r="K157">
        <v>21448911</v>
      </c>
      <c r="L157">
        <v>6165910</v>
      </c>
      <c r="M157" t="s">
        <v>1859</v>
      </c>
      <c r="AK157">
        <f>IF(LAM_API_TABLE[[#This Row],[Alternative_Data_Approval_Status]]="Approved",LAM_API_TABLE[[#This Row],[HCL_area_sqft_Alternative]],LAM_API_TABLE[[#This Row],[HCL_area_sqft]])</f>
        <v>0</v>
      </c>
      <c r="AL157">
        <f>IF(LAM_API_TABLE[[#This Row],[Alternative_Data_Approval_Status]]="Approved",LAM_API_TABLE[[#This Row],[Ag_area_sqft_Alternative]],LAM_API_TABLE[[#This Row],[Ag_area_sqft]])</f>
        <v>26145</v>
      </c>
      <c r="AM157">
        <f>IF(LAM_API_TABLE[[#This Row],[Alternative_Data_Approval_Status]]="Approved",LAM_API_TABLE[[#This Row],[Pool_area_sqft_Alternative]],LAM_API_TABLE[[#This Row],[Pool_area_sqft]])</f>
        <v>2248</v>
      </c>
      <c r="AN157">
        <f>IF(LAM_API_TABLE[[#This Row],[Alternative_Data_Approval_Status]]="Approved",LAM_API_TABLE[[#This Row],[Total_II_sqft_Alternative]],LAM_API_TABLE[[#This Row],[Total_II_sqft]])</f>
        <v>5335435</v>
      </c>
      <c r="AO157">
        <f>IF(LAM_API_TABLE[[#This Row],[Alternative_Data_Approval_Status]]="Approved",LAM_API_TABLE[[#This Row],[Total_INI_sqft_Alternative]],LAM_API_TABLE[[#This Row],[Total_INI_sqft]])</f>
        <v>4152375</v>
      </c>
      <c r="AP157">
        <f>IF(LAM_API_TABLE[[#This Row],[New_Res_Constr_Approval_Status]]="Approved",LAM_API_TABLE[[#This Row],[New_Res_Constr_sqft]],0)</f>
        <v>0</v>
      </c>
      <c r="AQ157">
        <f>IF(LAM_API_TABLE[[#This Row],[New_Res_Constr_Approval_Status]]="Approved",LAM_API_TABLE[[#This Row],[New_Res_SLA_norec_sqft]],0)</f>
        <v>0</v>
      </c>
      <c r="AR157">
        <f>IF(LAM_API_TABLE[[#This Row],[New_Res_Constr_Approval_Status]]="Approved",LAM_API_TABLE[[#This Row],[New_Res_SLA_rec_sqft]],0)</f>
        <v>0</v>
      </c>
      <c r="AS157">
        <f>IF(LAM_API_TABLE[[#This Row],[Existing_Res_SLA_Data_Approval_Status]]="Approved",LAM_API_TABLE[[#This Row],[Existing_Res_SLA_norec_sqft]],0)</f>
        <v>0</v>
      </c>
      <c r="AT157">
        <f>IF(LAM_API_TABLE[[#This Row],[Existing_Res_SLA_Data_Approval_Status]]="Approved",LAM_API_TABLE[[#This Row],[Existing_Res_SLA_rec_sqft]],0)</f>
        <v>0</v>
      </c>
    </row>
    <row r="158" spans="1:46" x14ac:dyDescent="0.25">
      <c r="A158" t="s">
        <v>1450</v>
      </c>
      <c r="B158" t="s">
        <v>1451</v>
      </c>
      <c r="C158" t="s">
        <v>3012</v>
      </c>
      <c r="D158" t="s">
        <v>3013</v>
      </c>
      <c r="E158">
        <v>2018</v>
      </c>
      <c r="F158">
        <v>104592</v>
      </c>
      <c r="G158">
        <v>16326241</v>
      </c>
      <c r="H158">
        <v>1096308</v>
      </c>
      <c r="I158">
        <v>47138019</v>
      </c>
      <c r="J158">
        <v>15643607</v>
      </c>
      <c r="K158">
        <v>121831628</v>
      </c>
      <c r="L158">
        <v>50266740</v>
      </c>
      <c r="M158" t="s">
        <v>1859</v>
      </c>
      <c r="AK158">
        <f>IF(LAM_API_TABLE[[#This Row],[Alternative_Data_Approval_Status]]="Approved",LAM_API_TABLE[[#This Row],[HCL_area_sqft_Alternative]],LAM_API_TABLE[[#This Row],[HCL_area_sqft]])</f>
        <v>104592</v>
      </c>
      <c r="AL158">
        <f>IF(LAM_API_TABLE[[#This Row],[Alternative_Data_Approval_Status]]="Approved",LAM_API_TABLE[[#This Row],[Ag_area_sqft_Alternative]],LAM_API_TABLE[[#This Row],[Ag_area_sqft]])</f>
        <v>16326241</v>
      </c>
      <c r="AM158">
        <f>IF(LAM_API_TABLE[[#This Row],[Alternative_Data_Approval_Status]]="Approved",LAM_API_TABLE[[#This Row],[Pool_area_sqft_Alternative]],LAM_API_TABLE[[#This Row],[Pool_area_sqft]])</f>
        <v>1096308</v>
      </c>
      <c r="AN158">
        <f>IF(LAM_API_TABLE[[#This Row],[Alternative_Data_Approval_Status]]="Approved",LAM_API_TABLE[[#This Row],[Total_II_sqft_Alternative]],LAM_API_TABLE[[#This Row],[Total_II_sqft]])</f>
        <v>47138019</v>
      </c>
      <c r="AO158">
        <f>IF(LAM_API_TABLE[[#This Row],[Alternative_Data_Approval_Status]]="Approved",LAM_API_TABLE[[#This Row],[Total_INI_sqft_Alternative]],LAM_API_TABLE[[#This Row],[Total_INI_sqft]])</f>
        <v>15643607</v>
      </c>
      <c r="AP158">
        <f>IF(LAM_API_TABLE[[#This Row],[New_Res_Constr_Approval_Status]]="Approved",LAM_API_TABLE[[#This Row],[New_Res_Constr_sqft]],0)</f>
        <v>0</v>
      </c>
      <c r="AQ158">
        <f>IF(LAM_API_TABLE[[#This Row],[New_Res_Constr_Approval_Status]]="Approved",LAM_API_TABLE[[#This Row],[New_Res_SLA_norec_sqft]],0)</f>
        <v>0</v>
      </c>
      <c r="AR158">
        <f>IF(LAM_API_TABLE[[#This Row],[New_Res_Constr_Approval_Status]]="Approved",LAM_API_TABLE[[#This Row],[New_Res_SLA_rec_sqft]],0)</f>
        <v>0</v>
      </c>
      <c r="AS158">
        <f>IF(LAM_API_TABLE[[#This Row],[Existing_Res_SLA_Data_Approval_Status]]="Approved",LAM_API_TABLE[[#This Row],[Existing_Res_SLA_norec_sqft]],0)</f>
        <v>0</v>
      </c>
      <c r="AT158">
        <f>IF(LAM_API_TABLE[[#This Row],[Existing_Res_SLA_Data_Approval_Status]]="Approved",LAM_API_TABLE[[#This Row],[Existing_Res_SLA_rec_sqft]],0)</f>
        <v>0</v>
      </c>
    </row>
    <row r="159" spans="1:46" x14ac:dyDescent="0.25">
      <c r="A159" t="s">
        <v>1454</v>
      </c>
      <c r="B159" t="s">
        <v>1455</v>
      </c>
      <c r="C159" t="s">
        <v>798</v>
      </c>
      <c r="D159" t="s">
        <v>3014</v>
      </c>
      <c r="E159">
        <v>2018</v>
      </c>
      <c r="H159">
        <v>59082</v>
      </c>
      <c r="I159">
        <v>5266599</v>
      </c>
      <c r="J159">
        <v>2795579</v>
      </c>
      <c r="K159">
        <v>28312132</v>
      </c>
      <c r="L159">
        <v>5825715</v>
      </c>
      <c r="M159" t="s">
        <v>1859</v>
      </c>
      <c r="AK159">
        <f>IF(LAM_API_TABLE[[#This Row],[Alternative_Data_Approval_Status]]="Approved",LAM_API_TABLE[[#This Row],[HCL_area_sqft_Alternative]],LAM_API_TABLE[[#This Row],[HCL_area_sqft]])</f>
        <v>0</v>
      </c>
      <c r="AL159">
        <f>IF(LAM_API_TABLE[[#This Row],[Alternative_Data_Approval_Status]]="Approved",LAM_API_TABLE[[#This Row],[Ag_area_sqft_Alternative]],LAM_API_TABLE[[#This Row],[Ag_area_sqft]])</f>
        <v>0</v>
      </c>
      <c r="AM159">
        <f>IF(LAM_API_TABLE[[#This Row],[Alternative_Data_Approval_Status]]="Approved",LAM_API_TABLE[[#This Row],[Pool_area_sqft_Alternative]],LAM_API_TABLE[[#This Row],[Pool_area_sqft]])</f>
        <v>59082</v>
      </c>
      <c r="AN159">
        <f>IF(LAM_API_TABLE[[#This Row],[Alternative_Data_Approval_Status]]="Approved",LAM_API_TABLE[[#This Row],[Total_II_sqft_Alternative]],LAM_API_TABLE[[#This Row],[Total_II_sqft]])</f>
        <v>5266599</v>
      </c>
      <c r="AO159">
        <f>IF(LAM_API_TABLE[[#This Row],[Alternative_Data_Approval_Status]]="Approved",LAM_API_TABLE[[#This Row],[Total_INI_sqft_Alternative]],LAM_API_TABLE[[#This Row],[Total_INI_sqft]])</f>
        <v>2795579</v>
      </c>
      <c r="AP159">
        <f>IF(LAM_API_TABLE[[#This Row],[New_Res_Constr_Approval_Status]]="Approved",LAM_API_TABLE[[#This Row],[New_Res_Constr_sqft]],0)</f>
        <v>0</v>
      </c>
      <c r="AQ159">
        <f>IF(LAM_API_TABLE[[#This Row],[New_Res_Constr_Approval_Status]]="Approved",LAM_API_TABLE[[#This Row],[New_Res_SLA_norec_sqft]],0)</f>
        <v>0</v>
      </c>
      <c r="AR159">
        <f>IF(LAM_API_TABLE[[#This Row],[New_Res_Constr_Approval_Status]]="Approved",LAM_API_TABLE[[#This Row],[New_Res_SLA_rec_sqft]],0)</f>
        <v>0</v>
      </c>
      <c r="AS159">
        <f>IF(LAM_API_TABLE[[#This Row],[Existing_Res_SLA_Data_Approval_Status]]="Approved",LAM_API_TABLE[[#This Row],[Existing_Res_SLA_norec_sqft]],0)</f>
        <v>0</v>
      </c>
      <c r="AT159">
        <f>IF(LAM_API_TABLE[[#This Row],[Existing_Res_SLA_Data_Approval_Status]]="Approved",LAM_API_TABLE[[#This Row],[Existing_Res_SLA_rec_sqft]],0)</f>
        <v>0</v>
      </c>
    </row>
    <row r="160" spans="1:46" x14ac:dyDescent="0.25">
      <c r="A160" t="s">
        <v>1458</v>
      </c>
      <c r="B160" t="s">
        <v>1459</v>
      </c>
      <c r="C160" t="s">
        <v>3015</v>
      </c>
      <c r="D160" t="s">
        <v>3016</v>
      </c>
      <c r="E160">
        <v>2018</v>
      </c>
      <c r="F160">
        <v>3058</v>
      </c>
      <c r="G160">
        <v>209909</v>
      </c>
      <c r="H160">
        <v>260288</v>
      </c>
      <c r="I160">
        <v>47345729</v>
      </c>
      <c r="J160">
        <v>28282417</v>
      </c>
      <c r="K160">
        <v>179092165</v>
      </c>
      <c r="L160">
        <v>53002212</v>
      </c>
      <c r="M160" t="s">
        <v>1859</v>
      </c>
      <c r="AK160">
        <f>IF(LAM_API_TABLE[[#This Row],[Alternative_Data_Approval_Status]]="Approved",LAM_API_TABLE[[#This Row],[HCL_area_sqft_Alternative]],LAM_API_TABLE[[#This Row],[HCL_area_sqft]])</f>
        <v>3058</v>
      </c>
      <c r="AL160">
        <f>IF(LAM_API_TABLE[[#This Row],[Alternative_Data_Approval_Status]]="Approved",LAM_API_TABLE[[#This Row],[Ag_area_sqft_Alternative]],LAM_API_TABLE[[#This Row],[Ag_area_sqft]])</f>
        <v>209909</v>
      </c>
      <c r="AM160">
        <f>IF(LAM_API_TABLE[[#This Row],[Alternative_Data_Approval_Status]]="Approved",LAM_API_TABLE[[#This Row],[Pool_area_sqft_Alternative]],LAM_API_TABLE[[#This Row],[Pool_area_sqft]])</f>
        <v>260288</v>
      </c>
      <c r="AN160">
        <f>IF(LAM_API_TABLE[[#This Row],[Alternative_Data_Approval_Status]]="Approved",LAM_API_TABLE[[#This Row],[Total_II_sqft_Alternative]],LAM_API_TABLE[[#This Row],[Total_II_sqft]])</f>
        <v>47345729</v>
      </c>
      <c r="AO160">
        <f>IF(LAM_API_TABLE[[#This Row],[Alternative_Data_Approval_Status]]="Approved",LAM_API_TABLE[[#This Row],[Total_INI_sqft_Alternative]],LAM_API_TABLE[[#This Row],[Total_INI_sqft]])</f>
        <v>28282417</v>
      </c>
      <c r="AP160">
        <f>IF(LAM_API_TABLE[[#This Row],[New_Res_Constr_Approval_Status]]="Approved",LAM_API_TABLE[[#This Row],[New_Res_Constr_sqft]],0)</f>
        <v>0</v>
      </c>
      <c r="AQ160">
        <f>IF(LAM_API_TABLE[[#This Row],[New_Res_Constr_Approval_Status]]="Approved",LAM_API_TABLE[[#This Row],[New_Res_SLA_norec_sqft]],0)</f>
        <v>0</v>
      </c>
      <c r="AR160">
        <f>IF(LAM_API_TABLE[[#This Row],[New_Res_Constr_Approval_Status]]="Approved",LAM_API_TABLE[[#This Row],[New_Res_SLA_rec_sqft]],0)</f>
        <v>0</v>
      </c>
      <c r="AS160">
        <f>IF(LAM_API_TABLE[[#This Row],[Existing_Res_SLA_Data_Approval_Status]]="Approved",LAM_API_TABLE[[#This Row],[Existing_Res_SLA_norec_sqft]],0)</f>
        <v>0</v>
      </c>
      <c r="AT160">
        <f>IF(LAM_API_TABLE[[#This Row],[Existing_Res_SLA_Data_Approval_Status]]="Approved",LAM_API_TABLE[[#This Row],[Existing_Res_SLA_rec_sqft]],0)</f>
        <v>0</v>
      </c>
    </row>
    <row r="161" spans="1:46" x14ac:dyDescent="0.25">
      <c r="A161" t="s">
        <v>1462</v>
      </c>
      <c r="B161" t="s">
        <v>1463</v>
      </c>
      <c r="C161" t="s">
        <v>3017</v>
      </c>
      <c r="D161" t="s">
        <v>3018</v>
      </c>
      <c r="E161">
        <v>2018</v>
      </c>
      <c r="G161">
        <v>128088</v>
      </c>
      <c r="H161">
        <v>72555</v>
      </c>
      <c r="I161">
        <v>13263231</v>
      </c>
      <c r="J161">
        <v>6488275</v>
      </c>
      <c r="K161">
        <v>28073469</v>
      </c>
      <c r="L161">
        <v>14560886</v>
      </c>
      <c r="M161" t="s">
        <v>1859</v>
      </c>
      <c r="AK161">
        <f>IF(LAM_API_TABLE[[#This Row],[Alternative_Data_Approval_Status]]="Approved",LAM_API_TABLE[[#This Row],[HCL_area_sqft_Alternative]],LAM_API_TABLE[[#This Row],[HCL_area_sqft]])</f>
        <v>0</v>
      </c>
      <c r="AL161">
        <f>IF(LAM_API_TABLE[[#This Row],[Alternative_Data_Approval_Status]]="Approved",LAM_API_TABLE[[#This Row],[Ag_area_sqft_Alternative]],LAM_API_TABLE[[#This Row],[Ag_area_sqft]])</f>
        <v>128088</v>
      </c>
      <c r="AM161">
        <f>IF(LAM_API_TABLE[[#This Row],[Alternative_Data_Approval_Status]]="Approved",LAM_API_TABLE[[#This Row],[Pool_area_sqft_Alternative]],LAM_API_TABLE[[#This Row],[Pool_area_sqft]])</f>
        <v>72555</v>
      </c>
      <c r="AN161">
        <f>IF(LAM_API_TABLE[[#This Row],[Alternative_Data_Approval_Status]]="Approved",LAM_API_TABLE[[#This Row],[Total_II_sqft_Alternative]],LAM_API_TABLE[[#This Row],[Total_II_sqft]])</f>
        <v>13263231</v>
      </c>
      <c r="AO161">
        <f>IF(LAM_API_TABLE[[#This Row],[Alternative_Data_Approval_Status]]="Approved",LAM_API_TABLE[[#This Row],[Total_INI_sqft_Alternative]],LAM_API_TABLE[[#This Row],[Total_INI_sqft]])</f>
        <v>6488275</v>
      </c>
      <c r="AP161">
        <f>IF(LAM_API_TABLE[[#This Row],[New_Res_Constr_Approval_Status]]="Approved",LAM_API_TABLE[[#This Row],[New_Res_Constr_sqft]],0)</f>
        <v>0</v>
      </c>
      <c r="AQ161">
        <f>IF(LAM_API_TABLE[[#This Row],[New_Res_Constr_Approval_Status]]="Approved",LAM_API_TABLE[[#This Row],[New_Res_SLA_norec_sqft]],0)</f>
        <v>0</v>
      </c>
      <c r="AR161">
        <f>IF(LAM_API_TABLE[[#This Row],[New_Res_Constr_Approval_Status]]="Approved",LAM_API_TABLE[[#This Row],[New_Res_SLA_rec_sqft]],0)</f>
        <v>0</v>
      </c>
      <c r="AS161">
        <f>IF(LAM_API_TABLE[[#This Row],[Existing_Res_SLA_Data_Approval_Status]]="Approved",LAM_API_TABLE[[#This Row],[Existing_Res_SLA_norec_sqft]],0)</f>
        <v>0</v>
      </c>
      <c r="AT161">
        <f>IF(LAM_API_TABLE[[#This Row],[Existing_Res_SLA_Data_Approval_Status]]="Approved",LAM_API_TABLE[[#This Row],[Existing_Res_SLA_rec_sqft]],0)</f>
        <v>0</v>
      </c>
    </row>
    <row r="162" spans="1:46" x14ac:dyDescent="0.25">
      <c r="A162" t="s">
        <v>1466</v>
      </c>
      <c r="B162" t="s">
        <v>1467</v>
      </c>
      <c r="C162" t="s">
        <v>3019</v>
      </c>
      <c r="D162" t="s">
        <v>3020</v>
      </c>
      <c r="E162">
        <v>2018</v>
      </c>
      <c r="F162">
        <v>31910</v>
      </c>
      <c r="G162">
        <v>307351</v>
      </c>
      <c r="H162">
        <v>4002359</v>
      </c>
      <c r="I162">
        <v>265721825</v>
      </c>
      <c r="J162">
        <v>35418810</v>
      </c>
      <c r="K162">
        <v>489734596</v>
      </c>
      <c r="L162">
        <v>272805587</v>
      </c>
      <c r="M162" t="s">
        <v>1859</v>
      </c>
      <c r="AK162">
        <f>IF(LAM_API_TABLE[[#This Row],[Alternative_Data_Approval_Status]]="Approved",LAM_API_TABLE[[#This Row],[HCL_area_sqft_Alternative]],LAM_API_TABLE[[#This Row],[HCL_area_sqft]])</f>
        <v>31910</v>
      </c>
      <c r="AL162">
        <f>IF(LAM_API_TABLE[[#This Row],[Alternative_Data_Approval_Status]]="Approved",LAM_API_TABLE[[#This Row],[Ag_area_sqft_Alternative]],LAM_API_TABLE[[#This Row],[Ag_area_sqft]])</f>
        <v>307351</v>
      </c>
      <c r="AM162">
        <f>IF(LAM_API_TABLE[[#This Row],[Alternative_Data_Approval_Status]]="Approved",LAM_API_TABLE[[#This Row],[Pool_area_sqft_Alternative]],LAM_API_TABLE[[#This Row],[Pool_area_sqft]])</f>
        <v>4002359</v>
      </c>
      <c r="AN162">
        <f>IF(LAM_API_TABLE[[#This Row],[Alternative_Data_Approval_Status]]="Approved",LAM_API_TABLE[[#This Row],[Total_II_sqft_Alternative]],LAM_API_TABLE[[#This Row],[Total_II_sqft]])</f>
        <v>265721825</v>
      </c>
      <c r="AO162">
        <f>IF(LAM_API_TABLE[[#This Row],[Alternative_Data_Approval_Status]]="Approved",LAM_API_TABLE[[#This Row],[Total_INI_sqft_Alternative]],LAM_API_TABLE[[#This Row],[Total_INI_sqft]])</f>
        <v>35418810</v>
      </c>
      <c r="AP162">
        <f>IF(LAM_API_TABLE[[#This Row],[New_Res_Constr_Approval_Status]]="Approved",LAM_API_TABLE[[#This Row],[New_Res_Constr_sqft]],0)</f>
        <v>0</v>
      </c>
      <c r="AQ162">
        <f>IF(LAM_API_TABLE[[#This Row],[New_Res_Constr_Approval_Status]]="Approved",LAM_API_TABLE[[#This Row],[New_Res_SLA_norec_sqft]],0)</f>
        <v>0</v>
      </c>
      <c r="AR162">
        <f>IF(LAM_API_TABLE[[#This Row],[New_Res_Constr_Approval_Status]]="Approved",LAM_API_TABLE[[#This Row],[New_Res_SLA_rec_sqft]],0)</f>
        <v>0</v>
      </c>
      <c r="AS162">
        <f>IF(LAM_API_TABLE[[#This Row],[Existing_Res_SLA_Data_Approval_Status]]="Approved",LAM_API_TABLE[[#This Row],[Existing_Res_SLA_norec_sqft]],0)</f>
        <v>0</v>
      </c>
      <c r="AT162">
        <f>IF(LAM_API_TABLE[[#This Row],[Existing_Res_SLA_Data_Approval_Status]]="Approved",LAM_API_TABLE[[#This Row],[Existing_Res_SLA_rec_sqft]],0)</f>
        <v>0</v>
      </c>
    </row>
    <row r="163" spans="1:46" x14ac:dyDescent="0.25">
      <c r="A163" t="s">
        <v>1470</v>
      </c>
      <c r="B163" t="s">
        <v>3021</v>
      </c>
      <c r="C163" t="s">
        <v>3022</v>
      </c>
      <c r="D163" t="s">
        <v>3023</v>
      </c>
      <c r="E163">
        <v>2018</v>
      </c>
      <c r="H163">
        <v>129608</v>
      </c>
      <c r="I163">
        <v>7287611</v>
      </c>
      <c r="J163">
        <v>14324023</v>
      </c>
      <c r="K163">
        <v>44548765</v>
      </c>
      <c r="L163">
        <v>10152416</v>
      </c>
      <c r="M163" t="s">
        <v>1859</v>
      </c>
      <c r="AK163">
        <f>IF(LAM_API_TABLE[[#This Row],[Alternative_Data_Approval_Status]]="Approved",LAM_API_TABLE[[#This Row],[HCL_area_sqft_Alternative]],LAM_API_TABLE[[#This Row],[HCL_area_sqft]])</f>
        <v>0</v>
      </c>
      <c r="AL163">
        <f>IF(LAM_API_TABLE[[#This Row],[Alternative_Data_Approval_Status]]="Approved",LAM_API_TABLE[[#This Row],[Ag_area_sqft_Alternative]],LAM_API_TABLE[[#This Row],[Ag_area_sqft]])</f>
        <v>0</v>
      </c>
      <c r="AM163">
        <f>IF(LAM_API_TABLE[[#This Row],[Alternative_Data_Approval_Status]]="Approved",LAM_API_TABLE[[#This Row],[Pool_area_sqft_Alternative]],LAM_API_TABLE[[#This Row],[Pool_area_sqft]])</f>
        <v>129608</v>
      </c>
      <c r="AN163">
        <f>IF(LAM_API_TABLE[[#This Row],[Alternative_Data_Approval_Status]]="Approved",LAM_API_TABLE[[#This Row],[Total_II_sqft_Alternative]],LAM_API_TABLE[[#This Row],[Total_II_sqft]])</f>
        <v>7287611</v>
      </c>
      <c r="AO163">
        <f>IF(LAM_API_TABLE[[#This Row],[Alternative_Data_Approval_Status]]="Approved",LAM_API_TABLE[[#This Row],[Total_INI_sqft_Alternative]],LAM_API_TABLE[[#This Row],[Total_INI_sqft]])</f>
        <v>14324023</v>
      </c>
      <c r="AP163">
        <f>IF(LAM_API_TABLE[[#This Row],[New_Res_Constr_Approval_Status]]="Approved",LAM_API_TABLE[[#This Row],[New_Res_Constr_sqft]],0)</f>
        <v>0</v>
      </c>
      <c r="AQ163">
        <f>IF(LAM_API_TABLE[[#This Row],[New_Res_Constr_Approval_Status]]="Approved",LAM_API_TABLE[[#This Row],[New_Res_SLA_norec_sqft]],0)</f>
        <v>0</v>
      </c>
      <c r="AR163">
        <f>IF(LAM_API_TABLE[[#This Row],[New_Res_Constr_Approval_Status]]="Approved",LAM_API_TABLE[[#This Row],[New_Res_SLA_rec_sqft]],0)</f>
        <v>0</v>
      </c>
      <c r="AS163">
        <f>IF(LAM_API_TABLE[[#This Row],[Existing_Res_SLA_Data_Approval_Status]]="Approved",LAM_API_TABLE[[#This Row],[Existing_Res_SLA_norec_sqft]],0)</f>
        <v>0</v>
      </c>
      <c r="AT163">
        <f>IF(LAM_API_TABLE[[#This Row],[Existing_Res_SLA_Data_Approval_Status]]="Approved",LAM_API_TABLE[[#This Row],[Existing_Res_SLA_rec_sqft]],0)</f>
        <v>0</v>
      </c>
    </row>
    <row r="164" spans="1:46" x14ac:dyDescent="0.25">
      <c r="A164" t="s">
        <v>1474</v>
      </c>
      <c r="B164" t="s">
        <v>1475</v>
      </c>
      <c r="C164" t="s">
        <v>3024</v>
      </c>
      <c r="D164" t="s">
        <v>3025</v>
      </c>
      <c r="E164">
        <v>2018</v>
      </c>
      <c r="F164">
        <v>450683</v>
      </c>
      <c r="G164">
        <v>258459</v>
      </c>
      <c r="H164">
        <v>973562</v>
      </c>
      <c r="I164">
        <v>32075284</v>
      </c>
      <c r="J164">
        <v>134172941</v>
      </c>
      <c r="K164">
        <v>522724616</v>
      </c>
      <c r="L164">
        <v>58909872</v>
      </c>
      <c r="M164" t="s">
        <v>1859</v>
      </c>
      <c r="AK164">
        <f>IF(LAM_API_TABLE[[#This Row],[Alternative_Data_Approval_Status]]="Approved",LAM_API_TABLE[[#This Row],[HCL_area_sqft_Alternative]],LAM_API_TABLE[[#This Row],[HCL_area_sqft]])</f>
        <v>450683</v>
      </c>
      <c r="AL164">
        <f>IF(LAM_API_TABLE[[#This Row],[Alternative_Data_Approval_Status]]="Approved",LAM_API_TABLE[[#This Row],[Ag_area_sqft_Alternative]],LAM_API_TABLE[[#This Row],[Ag_area_sqft]])</f>
        <v>258459</v>
      </c>
      <c r="AM164">
        <f>IF(LAM_API_TABLE[[#This Row],[Alternative_Data_Approval_Status]]="Approved",LAM_API_TABLE[[#This Row],[Pool_area_sqft_Alternative]],LAM_API_TABLE[[#This Row],[Pool_area_sqft]])</f>
        <v>973562</v>
      </c>
      <c r="AN164">
        <f>IF(LAM_API_TABLE[[#This Row],[Alternative_Data_Approval_Status]]="Approved",LAM_API_TABLE[[#This Row],[Total_II_sqft_Alternative]],LAM_API_TABLE[[#This Row],[Total_II_sqft]])</f>
        <v>32075284</v>
      </c>
      <c r="AO164">
        <f>IF(LAM_API_TABLE[[#This Row],[Alternative_Data_Approval_Status]]="Approved",LAM_API_TABLE[[#This Row],[Total_INI_sqft_Alternative]],LAM_API_TABLE[[#This Row],[Total_INI_sqft]])</f>
        <v>134172941</v>
      </c>
      <c r="AP164">
        <f>IF(LAM_API_TABLE[[#This Row],[New_Res_Constr_Approval_Status]]="Approved",LAM_API_TABLE[[#This Row],[New_Res_Constr_sqft]],0)</f>
        <v>0</v>
      </c>
      <c r="AQ164">
        <f>IF(LAM_API_TABLE[[#This Row],[New_Res_Constr_Approval_Status]]="Approved",LAM_API_TABLE[[#This Row],[New_Res_SLA_norec_sqft]],0)</f>
        <v>0</v>
      </c>
      <c r="AR164">
        <f>IF(LAM_API_TABLE[[#This Row],[New_Res_Constr_Approval_Status]]="Approved",LAM_API_TABLE[[#This Row],[New_Res_SLA_rec_sqft]],0)</f>
        <v>0</v>
      </c>
      <c r="AS164">
        <f>IF(LAM_API_TABLE[[#This Row],[Existing_Res_SLA_Data_Approval_Status]]="Approved",LAM_API_TABLE[[#This Row],[Existing_Res_SLA_norec_sqft]],0)</f>
        <v>0</v>
      </c>
      <c r="AT164">
        <f>IF(LAM_API_TABLE[[#This Row],[Existing_Res_SLA_Data_Approval_Status]]="Approved",LAM_API_TABLE[[#This Row],[Existing_Res_SLA_rec_sqft]],0)</f>
        <v>0</v>
      </c>
    </row>
    <row r="165" spans="1:46" x14ac:dyDescent="0.25">
      <c r="A165" t="s">
        <v>1478</v>
      </c>
      <c r="B165" t="s">
        <v>1479</v>
      </c>
      <c r="C165" t="s">
        <v>3026</v>
      </c>
      <c r="D165" t="s">
        <v>3027</v>
      </c>
      <c r="E165">
        <v>2018</v>
      </c>
      <c r="F165">
        <v>737882</v>
      </c>
      <c r="H165">
        <v>82500</v>
      </c>
      <c r="I165">
        <v>8487208</v>
      </c>
      <c r="J165">
        <v>88536570</v>
      </c>
      <c r="K165">
        <v>415596534</v>
      </c>
      <c r="L165">
        <v>26194522</v>
      </c>
      <c r="M165" t="s">
        <v>1859</v>
      </c>
      <c r="AK165">
        <f>IF(LAM_API_TABLE[[#This Row],[Alternative_Data_Approval_Status]]="Approved",LAM_API_TABLE[[#This Row],[HCL_area_sqft_Alternative]],LAM_API_TABLE[[#This Row],[HCL_area_sqft]])</f>
        <v>737882</v>
      </c>
      <c r="AL165">
        <f>IF(LAM_API_TABLE[[#This Row],[Alternative_Data_Approval_Status]]="Approved",LAM_API_TABLE[[#This Row],[Ag_area_sqft_Alternative]],LAM_API_TABLE[[#This Row],[Ag_area_sqft]])</f>
        <v>0</v>
      </c>
      <c r="AM165">
        <f>IF(LAM_API_TABLE[[#This Row],[Alternative_Data_Approval_Status]]="Approved",LAM_API_TABLE[[#This Row],[Pool_area_sqft_Alternative]],LAM_API_TABLE[[#This Row],[Pool_area_sqft]])</f>
        <v>82500</v>
      </c>
      <c r="AN165">
        <f>IF(LAM_API_TABLE[[#This Row],[Alternative_Data_Approval_Status]]="Approved",LAM_API_TABLE[[#This Row],[Total_II_sqft_Alternative]],LAM_API_TABLE[[#This Row],[Total_II_sqft]])</f>
        <v>8487208</v>
      </c>
      <c r="AO165">
        <f>IF(LAM_API_TABLE[[#This Row],[Alternative_Data_Approval_Status]]="Approved",LAM_API_TABLE[[#This Row],[Total_INI_sqft_Alternative]],LAM_API_TABLE[[#This Row],[Total_INI_sqft]])</f>
        <v>88536570</v>
      </c>
      <c r="AP165">
        <f>IF(LAM_API_TABLE[[#This Row],[New_Res_Constr_Approval_Status]]="Approved",LAM_API_TABLE[[#This Row],[New_Res_Constr_sqft]],0)</f>
        <v>0</v>
      </c>
      <c r="AQ165">
        <f>IF(LAM_API_TABLE[[#This Row],[New_Res_Constr_Approval_Status]]="Approved",LAM_API_TABLE[[#This Row],[New_Res_SLA_norec_sqft]],0)</f>
        <v>0</v>
      </c>
      <c r="AR165">
        <f>IF(LAM_API_TABLE[[#This Row],[New_Res_Constr_Approval_Status]]="Approved",LAM_API_TABLE[[#This Row],[New_Res_SLA_rec_sqft]],0)</f>
        <v>0</v>
      </c>
      <c r="AS165">
        <f>IF(LAM_API_TABLE[[#This Row],[Existing_Res_SLA_Data_Approval_Status]]="Approved",LAM_API_TABLE[[#This Row],[Existing_Res_SLA_norec_sqft]],0)</f>
        <v>0</v>
      </c>
      <c r="AT165">
        <f>IF(LAM_API_TABLE[[#This Row],[Existing_Res_SLA_Data_Approval_Status]]="Approved",LAM_API_TABLE[[#This Row],[Existing_Res_SLA_rec_sqft]],0)</f>
        <v>0</v>
      </c>
    </row>
    <row r="166" spans="1:46" x14ac:dyDescent="0.25">
      <c r="A166" t="s">
        <v>1482</v>
      </c>
      <c r="B166" t="s">
        <v>3028</v>
      </c>
      <c r="C166" t="s">
        <v>3029</v>
      </c>
      <c r="D166" t="s">
        <v>3030</v>
      </c>
      <c r="E166">
        <v>2018</v>
      </c>
      <c r="H166">
        <v>541788</v>
      </c>
      <c r="I166">
        <v>48695255</v>
      </c>
      <c r="J166">
        <v>10717606</v>
      </c>
      <c r="K166">
        <v>68769964</v>
      </c>
      <c r="L166">
        <v>50838776</v>
      </c>
      <c r="M166" t="s">
        <v>1859</v>
      </c>
      <c r="AK166">
        <f>IF(LAM_API_TABLE[[#This Row],[Alternative_Data_Approval_Status]]="Approved",LAM_API_TABLE[[#This Row],[HCL_area_sqft_Alternative]],LAM_API_TABLE[[#This Row],[HCL_area_sqft]])</f>
        <v>0</v>
      </c>
      <c r="AL166">
        <f>IF(LAM_API_TABLE[[#This Row],[Alternative_Data_Approval_Status]]="Approved",LAM_API_TABLE[[#This Row],[Ag_area_sqft_Alternative]],LAM_API_TABLE[[#This Row],[Ag_area_sqft]])</f>
        <v>0</v>
      </c>
      <c r="AM166">
        <f>IF(LAM_API_TABLE[[#This Row],[Alternative_Data_Approval_Status]]="Approved",LAM_API_TABLE[[#This Row],[Pool_area_sqft_Alternative]],LAM_API_TABLE[[#This Row],[Pool_area_sqft]])</f>
        <v>541788</v>
      </c>
      <c r="AN166">
        <f>IF(LAM_API_TABLE[[#This Row],[Alternative_Data_Approval_Status]]="Approved",LAM_API_TABLE[[#This Row],[Total_II_sqft_Alternative]],LAM_API_TABLE[[#This Row],[Total_II_sqft]])</f>
        <v>48695255</v>
      </c>
      <c r="AO166">
        <f>IF(LAM_API_TABLE[[#This Row],[Alternative_Data_Approval_Status]]="Approved",LAM_API_TABLE[[#This Row],[Total_INI_sqft_Alternative]],LAM_API_TABLE[[#This Row],[Total_INI_sqft]])</f>
        <v>10717606</v>
      </c>
      <c r="AP166">
        <f>IF(LAM_API_TABLE[[#This Row],[New_Res_Constr_Approval_Status]]="Approved",LAM_API_TABLE[[#This Row],[New_Res_Constr_sqft]],0)</f>
        <v>0</v>
      </c>
      <c r="AQ166">
        <f>IF(LAM_API_TABLE[[#This Row],[New_Res_Constr_Approval_Status]]="Approved",LAM_API_TABLE[[#This Row],[New_Res_SLA_norec_sqft]],0)</f>
        <v>0</v>
      </c>
      <c r="AR166">
        <f>IF(LAM_API_TABLE[[#This Row],[New_Res_Constr_Approval_Status]]="Approved",LAM_API_TABLE[[#This Row],[New_Res_SLA_rec_sqft]],0)</f>
        <v>0</v>
      </c>
      <c r="AS166">
        <f>IF(LAM_API_TABLE[[#This Row],[Existing_Res_SLA_Data_Approval_Status]]="Approved",LAM_API_TABLE[[#This Row],[Existing_Res_SLA_norec_sqft]],0)</f>
        <v>0</v>
      </c>
      <c r="AT166">
        <f>IF(LAM_API_TABLE[[#This Row],[Existing_Res_SLA_Data_Approval_Status]]="Approved",LAM_API_TABLE[[#This Row],[Existing_Res_SLA_rec_sqft]],0)</f>
        <v>0</v>
      </c>
    </row>
    <row r="167" spans="1:46" x14ac:dyDescent="0.25">
      <c r="A167" t="s">
        <v>1486</v>
      </c>
      <c r="B167" t="s">
        <v>3031</v>
      </c>
      <c r="C167" t="s">
        <v>802</v>
      </c>
      <c r="D167" t="s">
        <v>3032</v>
      </c>
      <c r="E167">
        <v>2018</v>
      </c>
      <c r="F167">
        <v>5528</v>
      </c>
      <c r="G167">
        <v>6399196</v>
      </c>
      <c r="H167">
        <v>85777</v>
      </c>
      <c r="I167">
        <v>9318503</v>
      </c>
      <c r="J167">
        <v>6172871</v>
      </c>
      <c r="K167">
        <v>34593632</v>
      </c>
      <c r="L167">
        <v>10553077</v>
      </c>
      <c r="M167" t="s">
        <v>1859</v>
      </c>
      <c r="AK167">
        <f>IF(LAM_API_TABLE[[#This Row],[Alternative_Data_Approval_Status]]="Approved",LAM_API_TABLE[[#This Row],[HCL_area_sqft_Alternative]],LAM_API_TABLE[[#This Row],[HCL_area_sqft]])</f>
        <v>5528</v>
      </c>
      <c r="AL167">
        <f>IF(LAM_API_TABLE[[#This Row],[Alternative_Data_Approval_Status]]="Approved",LAM_API_TABLE[[#This Row],[Ag_area_sqft_Alternative]],LAM_API_TABLE[[#This Row],[Ag_area_sqft]])</f>
        <v>6399196</v>
      </c>
      <c r="AM167">
        <f>IF(LAM_API_TABLE[[#This Row],[Alternative_Data_Approval_Status]]="Approved",LAM_API_TABLE[[#This Row],[Pool_area_sqft_Alternative]],LAM_API_TABLE[[#This Row],[Pool_area_sqft]])</f>
        <v>85777</v>
      </c>
      <c r="AN167">
        <f>IF(LAM_API_TABLE[[#This Row],[Alternative_Data_Approval_Status]]="Approved",LAM_API_TABLE[[#This Row],[Total_II_sqft_Alternative]],LAM_API_TABLE[[#This Row],[Total_II_sqft]])</f>
        <v>9318503</v>
      </c>
      <c r="AO167">
        <f>IF(LAM_API_TABLE[[#This Row],[Alternative_Data_Approval_Status]]="Approved",LAM_API_TABLE[[#This Row],[Total_INI_sqft_Alternative]],LAM_API_TABLE[[#This Row],[Total_INI_sqft]])</f>
        <v>6172871</v>
      </c>
      <c r="AP167">
        <f>IF(LAM_API_TABLE[[#This Row],[New_Res_Constr_Approval_Status]]="Approved",LAM_API_TABLE[[#This Row],[New_Res_Constr_sqft]],0)</f>
        <v>0</v>
      </c>
      <c r="AQ167">
        <f>IF(LAM_API_TABLE[[#This Row],[New_Res_Constr_Approval_Status]]="Approved",LAM_API_TABLE[[#This Row],[New_Res_SLA_norec_sqft]],0)</f>
        <v>0</v>
      </c>
      <c r="AR167">
        <f>IF(LAM_API_TABLE[[#This Row],[New_Res_Constr_Approval_Status]]="Approved",LAM_API_TABLE[[#This Row],[New_Res_SLA_rec_sqft]],0)</f>
        <v>0</v>
      </c>
      <c r="AS167">
        <f>IF(LAM_API_TABLE[[#This Row],[Existing_Res_SLA_Data_Approval_Status]]="Approved",LAM_API_TABLE[[#This Row],[Existing_Res_SLA_norec_sqft]],0)</f>
        <v>0</v>
      </c>
      <c r="AT167">
        <f>IF(LAM_API_TABLE[[#This Row],[Existing_Res_SLA_Data_Approval_Status]]="Approved",LAM_API_TABLE[[#This Row],[Existing_Res_SLA_rec_sqft]],0)</f>
        <v>0</v>
      </c>
    </row>
    <row r="168" spans="1:46" x14ac:dyDescent="0.25">
      <c r="A168" t="s">
        <v>1491</v>
      </c>
      <c r="B168" t="s">
        <v>3033</v>
      </c>
      <c r="C168" t="s">
        <v>3034</v>
      </c>
      <c r="D168" t="s">
        <v>3035</v>
      </c>
      <c r="E168">
        <v>2018</v>
      </c>
      <c r="F168">
        <v>50809</v>
      </c>
      <c r="G168">
        <v>3573952</v>
      </c>
      <c r="H168">
        <v>208</v>
      </c>
      <c r="I168">
        <v>21232623</v>
      </c>
      <c r="J168">
        <v>24462882</v>
      </c>
      <c r="K168">
        <v>138205999</v>
      </c>
      <c r="L168">
        <v>26125199</v>
      </c>
      <c r="M168" t="s">
        <v>1859</v>
      </c>
      <c r="AK168">
        <f>IF(LAM_API_TABLE[[#This Row],[Alternative_Data_Approval_Status]]="Approved",LAM_API_TABLE[[#This Row],[HCL_area_sqft_Alternative]],LAM_API_TABLE[[#This Row],[HCL_area_sqft]])</f>
        <v>50809</v>
      </c>
      <c r="AL168">
        <f>IF(LAM_API_TABLE[[#This Row],[Alternative_Data_Approval_Status]]="Approved",LAM_API_TABLE[[#This Row],[Ag_area_sqft_Alternative]],LAM_API_TABLE[[#This Row],[Ag_area_sqft]])</f>
        <v>3573952</v>
      </c>
      <c r="AM168">
        <f>IF(LAM_API_TABLE[[#This Row],[Alternative_Data_Approval_Status]]="Approved",LAM_API_TABLE[[#This Row],[Pool_area_sqft_Alternative]],LAM_API_TABLE[[#This Row],[Pool_area_sqft]])</f>
        <v>208</v>
      </c>
      <c r="AN168">
        <f>IF(LAM_API_TABLE[[#This Row],[Alternative_Data_Approval_Status]]="Approved",LAM_API_TABLE[[#This Row],[Total_II_sqft_Alternative]],LAM_API_TABLE[[#This Row],[Total_II_sqft]])</f>
        <v>21232623</v>
      </c>
      <c r="AO168">
        <f>IF(LAM_API_TABLE[[#This Row],[Alternative_Data_Approval_Status]]="Approved",LAM_API_TABLE[[#This Row],[Total_INI_sqft_Alternative]],LAM_API_TABLE[[#This Row],[Total_INI_sqft]])</f>
        <v>24462882</v>
      </c>
      <c r="AP168">
        <f>IF(LAM_API_TABLE[[#This Row],[New_Res_Constr_Approval_Status]]="Approved",LAM_API_TABLE[[#This Row],[New_Res_Constr_sqft]],0)</f>
        <v>0</v>
      </c>
      <c r="AQ168">
        <f>IF(LAM_API_TABLE[[#This Row],[New_Res_Constr_Approval_Status]]="Approved",LAM_API_TABLE[[#This Row],[New_Res_SLA_norec_sqft]],0)</f>
        <v>0</v>
      </c>
      <c r="AR168">
        <f>IF(LAM_API_TABLE[[#This Row],[New_Res_Constr_Approval_Status]]="Approved",LAM_API_TABLE[[#This Row],[New_Res_SLA_rec_sqft]],0)</f>
        <v>0</v>
      </c>
      <c r="AS168">
        <f>IF(LAM_API_TABLE[[#This Row],[Existing_Res_SLA_Data_Approval_Status]]="Approved",LAM_API_TABLE[[#This Row],[Existing_Res_SLA_norec_sqft]],0)</f>
        <v>0</v>
      </c>
      <c r="AT168">
        <f>IF(LAM_API_TABLE[[#This Row],[Existing_Res_SLA_Data_Approval_Status]]="Approved",LAM_API_TABLE[[#This Row],[Existing_Res_SLA_rec_sqft]],0)</f>
        <v>0</v>
      </c>
    </row>
    <row r="169" spans="1:46" x14ac:dyDescent="0.25">
      <c r="A169" t="s">
        <v>1495</v>
      </c>
      <c r="B169" t="s">
        <v>3036</v>
      </c>
      <c r="C169" t="s">
        <v>3037</v>
      </c>
      <c r="D169" t="s">
        <v>3038</v>
      </c>
      <c r="E169">
        <v>2018</v>
      </c>
      <c r="F169">
        <v>261156</v>
      </c>
      <c r="G169">
        <v>220500</v>
      </c>
      <c r="H169">
        <v>2708104</v>
      </c>
      <c r="I169">
        <v>88929626</v>
      </c>
      <c r="J169">
        <v>5193285</v>
      </c>
      <c r="K169">
        <v>239727004</v>
      </c>
      <c r="L169">
        <v>89968283</v>
      </c>
      <c r="M169" t="s">
        <v>1859</v>
      </c>
      <c r="AK169">
        <f>IF(LAM_API_TABLE[[#This Row],[Alternative_Data_Approval_Status]]="Approved",LAM_API_TABLE[[#This Row],[HCL_area_sqft_Alternative]],LAM_API_TABLE[[#This Row],[HCL_area_sqft]])</f>
        <v>261156</v>
      </c>
      <c r="AL169">
        <f>IF(LAM_API_TABLE[[#This Row],[Alternative_Data_Approval_Status]]="Approved",LAM_API_TABLE[[#This Row],[Ag_area_sqft_Alternative]],LAM_API_TABLE[[#This Row],[Ag_area_sqft]])</f>
        <v>220500</v>
      </c>
      <c r="AM169">
        <f>IF(LAM_API_TABLE[[#This Row],[Alternative_Data_Approval_Status]]="Approved",LAM_API_TABLE[[#This Row],[Pool_area_sqft_Alternative]],LAM_API_TABLE[[#This Row],[Pool_area_sqft]])</f>
        <v>2708104</v>
      </c>
      <c r="AN169">
        <f>IF(LAM_API_TABLE[[#This Row],[Alternative_Data_Approval_Status]]="Approved",LAM_API_TABLE[[#This Row],[Total_II_sqft_Alternative]],LAM_API_TABLE[[#This Row],[Total_II_sqft]])</f>
        <v>88929626</v>
      </c>
      <c r="AO169">
        <f>IF(LAM_API_TABLE[[#This Row],[Alternative_Data_Approval_Status]]="Approved",LAM_API_TABLE[[#This Row],[Total_INI_sqft_Alternative]],LAM_API_TABLE[[#This Row],[Total_INI_sqft]])</f>
        <v>5193285</v>
      </c>
      <c r="AP169">
        <f>IF(LAM_API_TABLE[[#This Row],[New_Res_Constr_Approval_Status]]="Approved",LAM_API_TABLE[[#This Row],[New_Res_Constr_sqft]],0)</f>
        <v>0</v>
      </c>
      <c r="AQ169">
        <f>IF(LAM_API_TABLE[[#This Row],[New_Res_Constr_Approval_Status]]="Approved",LAM_API_TABLE[[#This Row],[New_Res_SLA_norec_sqft]],0)</f>
        <v>0</v>
      </c>
      <c r="AR169">
        <f>IF(LAM_API_TABLE[[#This Row],[New_Res_Constr_Approval_Status]]="Approved",LAM_API_TABLE[[#This Row],[New_Res_SLA_rec_sqft]],0)</f>
        <v>0</v>
      </c>
      <c r="AS169">
        <f>IF(LAM_API_TABLE[[#This Row],[Existing_Res_SLA_Data_Approval_Status]]="Approved",LAM_API_TABLE[[#This Row],[Existing_Res_SLA_norec_sqft]],0)</f>
        <v>0</v>
      </c>
      <c r="AT169">
        <f>IF(LAM_API_TABLE[[#This Row],[Existing_Res_SLA_Data_Approval_Status]]="Approved",LAM_API_TABLE[[#This Row],[Existing_Res_SLA_rec_sqft]],0)</f>
        <v>0</v>
      </c>
    </row>
    <row r="170" spans="1:46" x14ac:dyDescent="0.25">
      <c r="A170" t="s">
        <v>1499</v>
      </c>
      <c r="B170" t="s">
        <v>3039</v>
      </c>
      <c r="C170" t="s">
        <v>806</v>
      </c>
      <c r="D170" t="s">
        <v>3040</v>
      </c>
      <c r="E170">
        <v>2018</v>
      </c>
      <c r="H170">
        <v>59072</v>
      </c>
      <c r="I170">
        <v>5374111</v>
      </c>
      <c r="J170">
        <v>2873458</v>
      </c>
      <c r="K170">
        <v>22636889</v>
      </c>
      <c r="L170">
        <v>5948803</v>
      </c>
      <c r="M170" t="s">
        <v>1859</v>
      </c>
      <c r="AK170">
        <f>IF(LAM_API_TABLE[[#This Row],[Alternative_Data_Approval_Status]]="Approved",LAM_API_TABLE[[#This Row],[HCL_area_sqft_Alternative]],LAM_API_TABLE[[#This Row],[HCL_area_sqft]])</f>
        <v>0</v>
      </c>
      <c r="AL170">
        <f>IF(LAM_API_TABLE[[#This Row],[Alternative_Data_Approval_Status]]="Approved",LAM_API_TABLE[[#This Row],[Ag_area_sqft_Alternative]],LAM_API_TABLE[[#This Row],[Ag_area_sqft]])</f>
        <v>0</v>
      </c>
      <c r="AM170">
        <f>IF(LAM_API_TABLE[[#This Row],[Alternative_Data_Approval_Status]]="Approved",LAM_API_TABLE[[#This Row],[Pool_area_sqft_Alternative]],LAM_API_TABLE[[#This Row],[Pool_area_sqft]])</f>
        <v>59072</v>
      </c>
      <c r="AN170">
        <f>IF(LAM_API_TABLE[[#This Row],[Alternative_Data_Approval_Status]]="Approved",LAM_API_TABLE[[#This Row],[Total_II_sqft_Alternative]],LAM_API_TABLE[[#This Row],[Total_II_sqft]])</f>
        <v>5374111</v>
      </c>
      <c r="AO170">
        <f>IF(LAM_API_TABLE[[#This Row],[Alternative_Data_Approval_Status]]="Approved",LAM_API_TABLE[[#This Row],[Total_INI_sqft_Alternative]],LAM_API_TABLE[[#This Row],[Total_INI_sqft]])</f>
        <v>2873458</v>
      </c>
      <c r="AP170">
        <f>IF(LAM_API_TABLE[[#This Row],[New_Res_Constr_Approval_Status]]="Approved",LAM_API_TABLE[[#This Row],[New_Res_Constr_sqft]],0)</f>
        <v>0</v>
      </c>
      <c r="AQ170">
        <f>IF(LAM_API_TABLE[[#This Row],[New_Res_Constr_Approval_Status]]="Approved",LAM_API_TABLE[[#This Row],[New_Res_SLA_norec_sqft]],0)</f>
        <v>0</v>
      </c>
      <c r="AR170">
        <f>IF(LAM_API_TABLE[[#This Row],[New_Res_Constr_Approval_Status]]="Approved",LAM_API_TABLE[[#This Row],[New_Res_SLA_rec_sqft]],0)</f>
        <v>0</v>
      </c>
      <c r="AS170">
        <f>IF(LAM_API_TABLE[[#This Row],[Existing_Res_SLA_Data_Approval_Status]]="Approved",LAM_API_TABLE[[#This Row],[Existing_Res_SLA_norec_sqft]],0)</f>
        <v>0</v>
      </c>
      <c r="AT170">
        <f>IF(LAM_API_TABLE[[#This Row],[Existing_Res_SLA_Data_Approval_Status]]="Approved",LAM_API_TABLE[[#This Row],[Existing_Res_SLA_rec_sqft]],0)</f>
        <v>0</v>
      </c>
    </row>
    <row r="171" spans="1:46" x14ac:dyDescent="0.25">
      <c r="A171" t="s">
        <v>1503</v>
      </c>
      <c r="B171" t="s">
        <v>3041</v>
      </c>
      <c r="C171" t="s">
        <v>3042</v>
      </c>
      <c r="D171" t="s">
        <v>3043</v>
      </c>
      <c r="E171">
        <v>2018</v>
      </c>
      <c r="F171">
        <v>2439</v>
      </c>
      <c r="G171">
        <v>88426</v>
      </c>
      <c r="H171">
        <v>112916</v>
      </c>
      <c r="I171">
        <v>8779157</v>
      </c>
      <c r="J171">
        <v>8277793</v>
      </c>
      <c r="K171">
        <v>24152846</v>
      </c>
      <c r="L171">
        <v>10434716</v>
      </c>
      <c r="M171" t="s">
        <v>1859</v>
      </c>
      <c r="AK171">
        <f>IF(LAM_API_TABLE[[#This Row],[Alternative_Data_Approval_Status]]="Approved",LAM_API_TABLE[[#This Row],[HCL_area_sqft_Alternative]],LAM_API_TABLE[[#This Row],[HCL_area_sqft]])</f>
        <v>2439</v>
      </c>
      <c r="AL171">
        <f>IF(LAM_API_TABLE[[#This Row],[Alternative_Data_Approval_Status]]="Approved",LAM_API_TABLE[[#This Row],[Ag_area_sqft_Alternative]],LAM_API_TABLE[[#This Row],[Ag_area_sqft]])</f>
        <v>88426</v>
      </c>
      <c r="AM171">
        <f>IF(LAM_API_TABLE[[#This Row],[Alternative_Data_Approval_Status]]="Approved",LAM_API_TABLE[[#This Row],[Pool_area_sqft_Alternative]],LAM_API_TABLE[[#This Row],[Pool_area_sqft]])</f>
        <v>112916</v>
      </c>
      <c r="AN171">
        <f>IF(LAM_API_TABLE[[#This Row],[Alternative_Data_Approval_Status]]="Approved",LAM_API_TABLE[[#This Row],[Total_II_sqft_Alternative]],LAM_API_TABLE[[#This Row],[Total_II_sqft]])</f>
        <v>8779157</v>
      </c>
      <c r="AO171">
        <f>IF(LAM_API_TABLE[[#This Row],[Alternative_Data_Approval_Status]]="Approved",LAM_API_TABLE[[#This Row],[Total_INI_sqft_Alternative]],LAM_API_TABLE[[#This Row],[Total_INI_sqft]])</f>
        <v>8277793</v>
      </c>
      <c r="AP171">
        <f>IF(LAM_API_TABLE[[#This Row],[New_Res_Constr_Approval_Status]]="Approved",LAM_API_TABLE[[#This Row],[New_Res_Constr_sqft]],0)</f>
        <v>0</v>
      </c>
      <c r="AQ171">
        <f>IF(LAM_API_TABLE[[#This Row],[New_Res_Constr_Approval_Status]]="Approved",LAM_API_TABLE[[#This Row],[New_Res_SLA_norec_sqft]],0)</f>
        <v>0</v>
      </c>
      <c r="AR171">
        <f>IF(LAM_API_TABLE[[#This Row],[New_Res_Constr_Approval_Status]]="Approved",LAM_API_TABLE[[#This Row],[New_Res_SLA_rec_sqft]],0)</f>
        <v>0</v>
      </c>
      <c r="AS171">
        <f>IF(LAM_API_TABLE[[#This Row],[Existing_Res_SLA_Data_Approval_Status]]="Approved",LAM_API_TABLE[[#This Row],[Existing_Res_SLA_norec_sqft]],0)</f>
        <v>0</v>
      </c>
      <c r="AT171">
        <f>IF(LAM_API_TABLE[[#This Row],[Existing_Res_SLA_Data_Approval_Status]]="Approved",LAM_API_TABLE[[#This Row],[Existing_Res_SLA_rec_sqft]],0)</f>
        <v>0</v>
      </c>
    </row>
    <row r="172" spans="1:46" x14ac:dyDescent="0.25">
      <c r="A172" t="s">
        <v>1507</v>
      </c>
      <c r="B172" t="s">
        <v>1508</v>
      </c>
      <c r="C172" t="s">
        <v>3044</v>
      </c>
      <c r="D172" t="s">
        <v>3045</v>
      </c>
      <c r="E172">
        <v>2018</v>
      </c>
      <c r="F172">
        <v>394134</v>
      </c>
      <c r="G172">
        <v>1419231</v>
      </c>
      <c r="H172">
        <v>364990</v>
      </c>
      <c r="I172">
        <v>23933743</v>
      </c>
      <c r="J172">
        <v>48202740</v>
      </c>
      <c r="K172">
        <v>176020145</v>
      </c>
      <c r="L172">
        <v>33574291</v>
      </c>
      <c r="M172" t="s">
        <v>1859</v>
      </c>
      <c r="AK172">
        <f>IF(LAM_API_TABLE[[#This Row],[Alternative_Data_Approval_Status]]="Approved",LAM_API_TABLE[[#This Row],[HCL_area_sqft_Alternative]],LAM_API_TABLE[[#This Row],[HCL_area_sqft]])</f>
        <v>394134</v>
      </c>
      <c r="AL172">
        <f>IF(LAM_API_TABLE[[#This Row],[Alternative_Data_Approval_Status]]="Approved",LAM_API_TABLE[[#This Row],[Ag_area_sqft_Alternative]],LAM_API_TABLE[[#This Row],[Ag_area_sqft]])</f>
        <v>1419231</v>
      </c>
      <c r="AM172">
        <f>IF(LAM_API_TABLE[[#This Row],[Alternative_Data_Approval_Status]]="Approved",LAM_API_TABLE[[#This Row],[Pool_area_sqft_Alternative]],LAM_API_TABLE[[#This Row],[Pool_area_sqft]])</f>
        <v>364990</v>
      </c>
      <c r="AN172">
        <f>IF(LAM_API_TABLE[[#This Row],[Alternative_Data_Approval_Status]]="Approved",LAM_API_TABLE[[#This Row],[Total_II_sqft_Alternative]],LAM_API_TABLE[[#This Row],[Total_II_sqft]])</f>
        <v>23933743</v>
      </c>
      <c r="AO172">
        <f>IF(LAM_API_TABLE[[#This Row],[Alternative_Data_Approval_Status]]="Approved",LAM_API_TABLE[[#This Row],[Total_INI_sqft_Alternative]],LAM_API_TABLE[[#This Row],[Total_INI_sqft]])</f>
        <v>48202740</v>
      </c>
      <c r="AP172">
        <f>IF(LAM_API_TABLE[[#This Row],[New_Res_Constr_Approval_Status]]="Approved",LAM_API_TABLE[[#This Row],[New_Res_Constr_sqft]],0)</f>
        <v>0</v>
      </c>
      <c r="AQ172">
        <f>IF(LAM_API_TABLE[[#This Row],[New_Res_Constr_Approval_Status]]="Approved",LAM_API_TABLE[[#This Row],[New_Res_SLA_norec_sqft]],0)</f>
        <v>0</v>
      </c>
      <c r="AR172">
        <f>IF(LAM_API_TABLE[[#This Row],[New_Res_Constr_Approval_Status]]="Approved",LAM_API_TABLE[[#This Row],[New_Res_SLA_rec_sqft]],0)</f>
        <v>0</v>
      </c>
      <c r="AS172">
        <f>IF(LAM_API_TABLE[[#This Row],[Existing_Res_SLA_Data_Approval_Status]]="Approved",LAM_API_TABLE[[#This Row],[Existing_Res_SLA_norec_sqft]],0)</f>
        <v>0</v>
      </c>
      <c r="AT172">
        <f>IF(LAM_API_TABLE[[#This Row],[Existing_Res_SLA_Data_Approval_Status]]="Approved",LAM_API_TABLE[[#This Row],[Existing_Res_SLA_rec_sqft]],0)</f>
        <v>0</v>
      </c>
    </row>
    <row r="173" spans="1:46" x14ac:dyDescent="0.25">
      <c r="A173" t="s">
        <v>1511</v>
      </c>
      <c r="B173" t="s">
        <v>3046</v>
      </c>
      <c r="C173" t="s">
        <v>3047</v>
      </c>
      <c r="D173" t="s">
        <v>3048</v>
      </c>
      <c r="E173">
        <v>2018</v>
      </c>
      <c r="F173">
        <v>108312</v>
      </c>
      <c r="G173">
        <v>5885092</v>
      </c>
      <c r="H173">
        <v>1583004</v>
      </c>
      <c r="I173">
        <v>63472623</v>
      </c>
      <c r="J173">
        <v>13008888</v>
      </c>
      <c r="K173">
        <v>150029275</v>
      </c>
      <c r="L173">
        <v>66074401</v>
      </c>
      <c r="M173" t="s">
        <v>1859</v>
      </c>
      <c r="AK173">
        <f>IF(LAM_API_TABLE[[#This Row],[Alternative_Data_Approval_Status]]="Approved",LAM_API_TABLE[[#This Row],[HCL_area_sqft_Alternative]],LAM_API_TABLE[[#This Row],[HCL_area_sqft]])</f>
        <v>108312</v>
      </c>
      <c r="AL173">
        <f>IF(LAM_API_TABLE[[#This Row],[Alternative_Data_Approval_Status]]="Approved",LAM_API_TABLE[[#This Row],[Ag_area_sqft_Alternative]],LAM_API_TABLE[[#This Row],[Ag_area_sqft]])</f>
        <v>5885092</v>
      </c>
      <c r="AM173">
        <f>IF(LAM_API_TABLE[[#This Row],[Alternative_Data_Approval_Status]]="Approved",LAM_API_TABLE[[#This Row],[Pool_area_sqft_Alternative]],LAM_API_TABLE[[#This Row],[Pool_area_sqft]])</f>
        <v>1583004</v>
      </c>
      <c r="AN173">
        <f>IF(LAM_API_TABLE[[#This Row],[Alternative_Data_Approval_Status]]="Approved",LAM_API_TABLE[[#This Row],[Total_II_sqft_Alternative]],LAM_API_TABLE[[#This Row],[Total_II_sqft]])</f>
        <v>63472623</v>
      </c>
      <c r="AO173">
        <f>IF(LAM_API_TABLE[[#This Row],[Alternative_Data_Approval_Status]]="Approved",LAM_API_TABLE[[#This Row],[Total_INI_sqft_Alternative]],LAM_API_TABLE[[#This Row],[Total_INI_sqft]])</f>
        <v>13008888</v>
      </c>
      <c r="AP173">
        <f>IF(LAM_API_TABLE[[#This Row],[New_Res_Constr_Approval_Status]]="Approved",LAM_API_TABLE[[#This Row],[New_Res_Constr_sqft]],0)</f>
        <v>0</v>
      </c>
      <c r="AQ173">
        <f>IF(LAM_API_TABLE[[#This Row],[New_Res_Constr_Approval_Status]]="Approved",LAM_API_TABLE[[#This Row],[New_Res_SLA_norec_sqft]],0)</f>
        <v>0</v>
      </c>
      <c r="AR173">
        <f>IF(LAM_API_TABLE[[#This Row],[New_Res_Constr_Approval_Status]]="Approved",LAM_API_TABLE[[#This Row],[New_Res_SLA_rec_sqft]],0)</f>
        <v>0</v>
      </c>
      <c r="AS173">
        <f>IF(LAM_API_TABLE[[#This Row],[Existing_Res_SLA_Data_Approval_Status]]="Approved",LAM_API_TABLE[[#This Row],[Existing_Res_SLA_norec_sqft]],0)</f>
        <v>0</v>
      </c>
      <c r="AT173">
        <f>IF(LAM_API_TABLE[[#This Row],[Existing_Res_SLA_Data_Approval_Status]]="Approved",LAM_API_TABLE[[#This Row],[Existing_Res_SLA_rec_sqft]],0)</f>
        <v>0</v>
      </c>
    </row>
    <row r="174" spans="1:46" x14ac:dyDescent="0.25">
      <c r="A174" t="s">
        <v>1515</v>
      </c>
      <c r="B174" t="s">
        <v>3049</v>
      </c>
      <c r="C174" t="s">
        <v>3050</v>
      </c>
      <c r="D174" t="s">
        <v>3051</v>
      </c>
      <c r="E174">
        <v>2018</v>
      </c>
      <c r="H174">
        <v>192303</v>
      </c>
      <c r="I174">
        <v>19587107</v>
      </c>
      <c r="J174">
        <v>8932558</v>
      </c>
      <c r="K174">
        <v>62945632</v>
      </c>
      <c r="L174">
        <v>21373619</v>
      </c>
      <c r="M174" t="s">
        <v>1859</v>
      </c>
      <c r="AK174">
        <f>IF(LAM_API_TABLE[[#This Row],[Alternative_Data_Approval_Status]]="Approved",LAM_API_TABLE[[#This Row],[HCL_area_sqft_Alternative]],LAM_API_TABLE[[#This Row],[HCL_area_sqft]])</f>
        <v>0</v>
      </c>
      <c r="AL174">
        <f>IF(LAM_API_TABLE[[#This Row],[Alternative_Data_Approval_Status]]="Approved",LAM_API_TABLE[[#This Row],[Ag_area_sqft_Alternative]],LAM_API_TABLE[[#This Row],[Ag_area_sqft]])</f>
        <v>0</v>
      </c>
      <c r="AM174">
        <f>IF(LAM_API_TABLE[[#This Row],[Alternative_Data_Approval_Status]]="Approved",LAM_API_TABLE[[#This Row],[Pool_area_sqft_Alternative]],LAM_API_TABLE[[#This Row],[Pool_area_sqft]])</f>
        <v>192303</v>
      </c>
      <c r="AN174">
        <f>IF(LAM_API_TABLE[[#This Row],[Alternative_Data_Approval_Status]]="Approved",LAM_API_TABLE[[#This Row],[Total_II_sqft_Alternative]],LAM_API_TABLE[[#This Row],[Total_II_sqft]])</f>
        <v>19587107</v>
      </c>
      <c r="AO174">
        <f>IF(LAM_API_TABLE[[#This Row],[Alternative_Data_Approval_Status]]="Approved",LAM_API_TABLE[[#This Row],[Total_INI_sqft_Alternative]],LAM_API_TABLE[[#This Row],[Total_INI_sqft]])</f>
        <v>8932558</v>
      </c>
      <c r="AP174">
        <f>IF(LAM_API_TABLE[[#This Row],[New_Res_Constr_Approval_Status]]="Approved",LAM_API_TABLE[[#This Row],[New_Res_Constr_sqft]],0)</f>
        <v>0</v>
      </c>
      <c r="AQ174">
        <f>IF(LAM_API_TABLE[[#This Row],[New_Res_Constr_Approval_Status]]="Approved",LAM_API_TABLE[[#This Row],[New_Res_SLA_norec_sqft]],0)</f>
        <v>0</v>
      </c>
      <c r="AR174">
        <f>IF(LAM_API_TABLE[[#This Row],[New_Res_Constr_Approval_Status]]="Approved",LAM_API_TABLE[[#This Row],[New_Res_SLA_rec_sqft]],0)</f>
        <v>0</v>
      </c>
      <c r="AS174">
        <f>IF(LAM_API_TABLE[[#This Row],[Existing_Res_SLA_Data_Approval_Status]]="Approved",LAM_API_TABLE[[#This Row],[Existing_Res_SLA_norec_sqft]],0)</f>
        <v>0</v>
      </c>
      <c r="AT174">
        <f>IF(LAM_API_TABLE[[#This Row],[Existing_Res_SLA_Data_Approval_Status]]="Approved",LAM_API_TABLE[[#This Row],[Existing_Res_SLA_rec_sqft]],0)</f>
        <v>0</v>
      </c>
    </row>
    <row r="175" spans="1:46" x14ac:dyDescent="0.25">
      <c r="A175" t="s">
        <v>1519</v>
      </c>
      <c r="B175" t="s">
        <v>1520</v>
      </c>
      <c r="C175" t="s">
        <v>3052</v>
      </c>
      <c r="D175" t="s">
        <v>3053</v>
      </c>
      <c r="E175">
        <v>2018</v>
      </c>
      <c r="F175">
        <v>1000306</v>
      </c>
      <c r="G175">
        <v>1289655</v>
      </c>
      <c r="H175">
        <v>2681475</v>
      </c>
      <c r="I175">
        <v>188318925</v>
      </c>
      <c r="J175">
        <v>5459028</v>
      </c>
      <c r="K175">
        <v>474887555</v>
      </c>
      <c r="L175">
        <v>189410731</v>
      </c>
      <c r="M175" t="s">
        <v>109</v>
      </c>
      <c r="N175" t="s">
        <v>3054</v>
      </c>
      <c r="O175" t="s">
        <v>3055</v>
      </c>
      <c r="P175">
        <v>2022</v>
      </c>
      <c r="Q175">
        <v>1040574</v>
      </c>
      <c r="R175">
        <v>8626</v>
      </c>
      <c r="S175">
        <v>3894483</v>
      </c>
      <c r="T175">
        <v>132713978</v>
      </c>
      <c r="U175">
        <v>10000558</v>
      </c>
      <c r="W175">
        <v>134714089.59999999</v>
      </c>
      <c r="AK175">
        <f>IF(LAM_API_TABLE[[#This Row],[Alternative_Data_Approval_Status]]="Approved",LAM_API_TABLE[[#This Row],[HCL_area_sqft_Alternative]],LAM_API_TABLE[[#This Row],[HCL_area_sqft]])</f>
        <v>1040574</v>
      </c>
      <c r="AL175">
        <f>IF(LAM_API_TABLE[[#This Row],[Alternative_Data_Approval_Status]]="Approved",LAM_API_TABLE[[#This Row],[Ag_area_sqft_Alternative]],LAM_API_TABLE[[#This Row],[Ag_area_sqft]])</f>
        <v>8626</v>
      </c>
      <c r="AM175">
        <f>IF(LAM_API_TABLE[[#This Row],[Alternative_Data_Approval_Status]]="Approved",LAM_API_TABLE[[#This Row],[Pool_area_sqft_Alternative]],LAM_API_TABLE[[#This Row],[Pool_area_sqft]])</f>
        <v>3894483</v>
      </c>
      <c r="AN175">
        <f>IF(LAM_API_TABLE[[#This Row],[Alternative_Data_Approval_Status]]="Approved",LAM_API_TABLE[[#This Row],[Total_II_sqft_Alternative]],LAM_API_TABLE[[#This Row],[Total_II_sqft]])</f>
        <v>132713978</v>
      </c>
      <c r="AO175">
        <f>IF(LAM_API_TABLE[[#This Row],[Alternative_Data_Approval_Status]]="Approved",LAM_API_TABLE[[#This Row],[Total_INI_sqft_Alternative]],LAM_API_TABLE[[#This Row],[Total_INI_sqft]])</f>
        <v>10000558</v>
      </c>
      <c r="AP175">
        <f>IF(LAM_API_TABLE[[#This Row],[New_Res_Constr_Approval_Status]]="Approved",LAM_API_TABLE[[#This Row],[New_Res_Constr_sqft]],0)</f>
        <v>0</v>
      </c>
      <c r="AQ175">
        <f>IF(LAM_API_TABLE[[#This Row],[New_Res_Constr_Approval_Status]]="Approved",LAM_API_TABLE[[#This Row],[New_Res_SLA_norec_sqft]],0)</f>
        <v>0</v>
      </c>
      <c r="AR175">
        <f>IF(LAM_API_TABLE[[#This Row],[New_Res_Constr_Approval_Status]]="Approved",LAM_API_TABLE[[#This Row],[New_Res_SLA_rec_sqft]],0)</f>
        <v>0</v>
      </c>
      <c r="AS175">
        <f>IF(LAM_API_TABLE[[#This Row],[Existing_Res_SLA_Data_Approval_Status]]="Approved",LAM_API_TABLE[[#This Row],[Existing_Res_SLA_norec_sqft]],0)</f>
        <v>0</v>
      </c>
      <c r="AT175">
        <f>IF(LAM_API_TABLE[[#This Row],[Existing_Res_SLA_Data_Approval_Status]]="Approved",LAM_API_TABLE[[#This Row],[Existing_Res_SLA_rec_sqft]],0)</f>
        <v>0</v>
      </c>
    </row>
    <row r="176" spans="1:46" x14ac:dyDescent="0.25">
      <c r="A176" t="s">
        <v>1523</v>
      </c>
      <c r="B176" t="s">
        <v>1524</v>
      </c>
      <c r="C176" t="s">
        <v>3056</v>
      </c>
      <c r="D176" t="s">
        <v>3057</v>
      </c>
      <c r="E176">
        <v>2020</v>
      </c>
      <c r="F176">
        <v>142791</v>
      </c>
      <c r="G176">
        <v>3576284</v>
      </c>
      <c r="H176">
        <v>92613</v>
      </c>
      <c r="I176">
        <v>10902260</v>
      </c>
      <c r="J176">
        <v>2181502</v>
      </c>
      <c r="K176">
        <v>468815821</v>
      </c>
      <c r="L176">
        <v>11338560</v>
      </c>
      <c r="M176" t="s">
        <v>1859</v>
      </c>
      <c r="AK176">
        <f>IF(LAM_API_TABLE[[#This Row],[Alternative_Data_Approval_Status]]="Approved",LAM_API_TABLE[[#This Row],[HCL_area_sqft_Alternative]],LAM_API_TABLE[[#This Row],[HCL_area_sqft]])</f>
        <v>142791</v>
      </c>
      <c r="AL176">
        <f>IF(LAM_API_TABLE[[#This Row],[Alternative_Data_Approval_Status]]="Approved",LAM_API_TABLE[[#This Row],[Ag_area_sqft_Alternative]],LAM_API_TABLE[[#This Row],[Ag_area_sqft]])</f>
        <v>3576284</v>
      </c>
      <c r="AM176">
        <f>IF(LAM_API_TABLE[[#This Row],[Alternative_Data_Approval_Status]]="Approved",LAM_API_TABLE[[#This Row],[Pool_area_sqft_Alternative]],LAM_API_TABLE[[#This Row],[Pool_area_sqft]])</f>
        <v>92613</v>
      </c>
      <c r="AN176">
        <f>IF(LAM_API_TABLE[[#This Row],[Alternative_Data_Approval_Status]]="Approved",LAM_API_TABLE[[#This Row],[Total_II_sqft_Alternative]],LAM_API_TABLE[[#This Row],[Total_II_sqft]])</f>
        <v>10902260</v>
      </c>
      <c r="AO176">
        <f>IF(LAM_API_TABLE[[#This Row],[Alternative_Data_Approval_Status]]="Approved",LAM_API_TABLE[[#This Row],[Total_INI_sqft_Alternative]],LAM_API_TABLE[[#This Row],[Total_INI_sqft]])</f>
        <v>2181502</v>
      </c>
      <c r="AP176">
        <f>IF(LAM_API_TABLE[[#This Row],[New_Res_Constr_Approval_Status]]="Approved",LAM_API_TABLE[[#This Row],[New_Res_Constr_sqft]],0)</f>
        <v>0</v>
      </c>
      <c r="AQ176">
        <f>IF(LAM_API_TABLE[[#This Row],[New_Res_Constr_Approval_Status]]="Approved",LAM_API_TABLE[[#This Row],[New_Res_SLA_norec_sqft]],0)</f>
        <v>0</v>
      </c>
      <c r="AR176">
        <f>IF(LAM_API_TABLE[[#This Row],[New_Res_Constr_Approval_Status]]="Approved",LAM_API_TABLE[[#This Row],[New_Res_SLA_rec_sqft]],0)</f>
        <v>0</v>
      </c>
      <c r="AS176">
        <f>IF(LAM_API_TABLE[[#This Row],[Existing_Res_SLA_Data_Approval_Status]]="Approved",LAM_API_TABLE[[#This Row],[Existing_Res_SLA_norec_sqft]],0)</f>
        <v>0</v>
      </c>
      <c r="AT176">
        <f>IF(LAM_API_TABLE[[#This Row],[Existing_Res_SLA_Data_Approval_Status]]="Approved",LAM_API_TABLE[[#This Row],[Existing_Res_SLA_rec_sqft]],0)</f>
        <v>0</v>
      </c>
    </row>
    <row r="177" spans="1:46" x14ac:dyDescent="0.25">
      <c r="A177" t="s">
        <v>1527</v>
      </c>
      <c r="B177" t="s">
        <v>3058</v>
      </c>
      <c r="C177" t="s">
        <v>3059</v>
      </c>
      <c r="D177" t="s">
        <v>3060</v>
      </c>
      <c r="E177">
        <v>2018</v>
      </c>
      <c r="F177">
        <v>297950</v>
      </c>
      <c r="G177">
        <v>4729860</v>
      </c>
      <c r="H177">
        <v>1790821</v>
      </c>
      <c r="I177">
        <v>87781534</v>
      </c>
      <c r="J177">
        <v>71526430</v>
      </c>
      <c r="K177">
        <v>259097558</v>
      </c>
      <c r="L177">
        <v>102086820</v>
      </c>
      <c r="M177" t="s">
        <v>1859</v>
      </c>
      <c r="AK177">
        <f>IF(LAM_API_TABLE[[#This Row],[Alternative_Data_Approval_Status]]="Approved",LAM_API_TABLE[[#This Row],[HCL_area_sqft_Alternative]],LAM_API_TABLE[[#This Row],[HCL_area_sqft]])</f>
        <v>297950</v>
      </c>
      <c r="AL177">
        <f>IF(LAM_API_TABLE[[#This Row],[Alternative_Data_Approval_Status]]="Approved",LAM_API_TABLE[[#This Row],[Ag_area_sqft_Alternative]],LAM_API_TABLE[[#This Row],[Ag_area_sqft]])</f>
        <v>4729860</v>
      </c>
      <c r="AM177">
        <f>IF(LAM_API_TABLE[[#This Row],[Alternative_Data_Approval_Status]]="Approved",LAM_API_TABLE[[#This Row],[Pool_area_sqft_Alternative]],LAM_API_TABLE[[#This Row],[Pool_area_sqft]])</f>
        <v>1790821</v>
      </c>
      <c r="AN177">
        <f>IF(LAM_API_TABLE[[#This Row],[Alternative_Data_Approval_Status]]="Approved",LAM_API_TABLE[[#This Row],[Total_II_sqft_Alternative]],LAM_API_TABLE[[#This Row],[Total_II_sqft]])</f>
        <v>87781534</v>
      </c>
      <c r="AO177">
        <f>IF(LAM_API_TABLE[[#This Row],[Alternative_Data_Approval_Status]]="Approved",LAM_API_TABLE[[#This Row],[Total_INI_sqft_Alternative]],LAM_API_TABLE[[#This Row],[Total_INI_sqft]])</f>
        <v>71526430</v>
      </c>
      <c r="AP177">
        <f>IF(LAM_API_TABLE[[#This Row],[New_Res_Constr_Approval_Status]]="Approved",LAM_API_TABLE[[#This Row],[New_Res_Constr_sqft]],0)</f>
        <v>0</v>
      </c>
      <c r="AQ177">
        <f>IF(LAM_API_TABLE[[#This Row],[New_Res_Constr_Approval_Status]]="Approved",LAM_API_TABLE[[#This Row],[New_Res_SLA_norec_sqft]],0)</f>
        <v>0</v>
      </c>
      <c r="AR177">
        <f>IF(LAM_API_TABLE[[#This Row],[New_Res_Constr_Approval_Status]]="Approved",LAM_API_TABLE[[#This Row],[New_Res_SLA_rec_sqft]],0)</f>
        <v>0</v>
      </c>
      <c r="AS177">
        <f>IF(LAM_API_TABLE[[#This Row],[Existing_Res_SLA_Data_Approval_Status]]="Approved",LAM_API_TABLE[[#This Row],[Existing_Res_SLA_norec_sqft]],0)</f>
        <v>0</v>
      </c>
      <c r="AT177">
        <f>IF(LAM_API_TABLE[[#This Row],[Existing_Res_SLA_Data_Approval_Status]]="Approved",LAM_API_TABLE[[#This Row],[Existing_Res_SLA_rec_sqft]],0)</f>
        <v>0</v>
      </c>
    </row>
    <row r="178" spans="1:46" x14ac:dyDescent="0.25">
      <c r="A178" t="s">
        <v>1531</v>
      </c>
      <c r="B178" t="s">
        <v>1532</v>
      </c>
      <c r="C178" t="s">
        <v>810</v>
      </c>
      <c r="D178" t="s">
        <v>3061</v>
      </c>
      <c r="E178">
        <v>2018</v>
      </c>
      <c r="G178">
        <v>696694</v>
      </c>
      <c r="H178">
        <v>123545</v>
      </c>
      <c r="I178">
        <v>8900296</v>
      </c>
      <c r="J178">
        <v>3833199</v>
      </c>
      <c r="K178">
        <v>18825245</v>
      </c>
      <c r="L178">
        <v>9666936</v>
      </c>
      <c r="M178" t="s">
        <v>1859</v>
      </c>
      <c r="AK178">
        <f>IF(LAM_API_TABLE[[#This Row],[Alternative_Data_Approval_Status]]="Approved",LAM_API_TABLE[[#This Row],[HCL_area_sqft_Alternative]],LAM_API_TABLE[[#This Row],[HCL_area_sqft]])</f>
        <v>0</v>
      </c>
      <c r="AL178">
        <f>IF(LAM_API_TABLE[[#This Row],[Alternative_Data_Approval_Status]]="Approved",LAM_API_TABLE[[#This Row],[Ag_area_sqft_Alternative]],LAM_API_TABLE[[#This Row],[Ag_area_sqft]])</f>
        <v>696694</v>
      </c>
      <c r="AM178">
        <f>IF(LAM_API_TABLE[[#This Row],[Alternative_Data_Approval_Status]]="Approved",LAM_API_TABLE[[#This Row],[Pool_area_sqft_Alternative]],LAM_API_TABLE[[#This Row],[Pool_area_sqft]])</f>
        <v>123545</v>
      </c>
      <c r="AN178">
        <f>IF(LAM_API_TABLE[[#This Row],[Alternative_Data_Approval_Status]]="Approved",LAM_API_TABLE[[#This Row],[Total_II_sqft_Alternative]],LAM_API_TABLE[[#This Row],[Total_II_sqft]])</f>
        <v>8900296</v>
      </c>
      <c r="AO178">
        <f>IF(LAM_API_TABLE[[#This Row],[Alternative_Data_Approval_Status]]="Approved",LAM_API_TABLE[[#This Row],[Total_INI_sqft_Alternative]],LAM_API_TABLE[[#This Row],[Total_INI_sqft]])</f>
        <v>3833199</v>
      </c>
      <c r="AP178">
        <f>IF(LAM_API_TABLE[[#This Row],[New_Res_Constr_Approval_Status]]="Approved",LAM_API_TABLE[[#This Row],[New_Res_Constr_sqft]],0)</f>
        <v>0</v>
      </c>
      <c r="AQ178">
        <f>IF(LAM_API_TABLE[[#This Row],[New_Res_Constr_Approval_Status]]="Approved",LAM_API_TABLE[[#This Row],[New_Res_SLA_norec_sqft]],0)</f>
        <v>0</v>
      </c>
      <c r="AR178">
        <f>IF(LAM_API_TABLE[[#This Row],[New_Res_Constr_Approval_Status]]="Approved",LAM_API_TABLE[[#This Row],[New_Res_SLA_rec_sqft]],0)</f>
        <v>0</v>
      </c>
      <c r="AS178">
        <f>IF(LAM_API_TABLE[[#This Row],[Existing_Res_SLA_Data_Approval_Status]]="Approved",LAM_API_TABLE[[#This Row],[Existing_Res_SLA_norec_sqft]],0)</f>
        <v>0</v>
      </c>
      <c r="AT178">
        <f>IF(LAM_API_TABLE[[#This Row],[Existing_Res_SLA_Data_Approval_Status]]="Approved",LAM_API_TABLE[[#This Row],[Existing_Res_SLA_rec_sqft]],0)</f>
        <v>0</v>
      </c>
    </row>
    <row r="179" spans="1:46" x14ac:dyDescent="0.25">
      <c r="A179" t="s">
        <v>1535</v>
      </c>
      <c r="B179" t="s">
        <v>1536</v>
      </c>
      <c r="C179" t="s">
        <v>3062</v>
      </c>
      <c r="D179" t="s">
        <v>3063</v>
      </c>
      <c r="E179">
        <v>2018</v>
      </c>
      <c r="G179">
        <v>252222</v>
      </c>
      <c r="H179">
        <v>260850</v>
      </c>
      <c r="I179">
        <v>11432234</v>
      </c>
      <c r="J179">
        <v>2321445</v>
      </c>
      <c r="K179">
        <v>18678952</v>
      </c>
      <c r="L179">
        <v>11896523</v>
      </c>
      <c r="M179" t="s">
        <v>1859</v>
      </c>
      <c r="AK179">
        <f>IF(LAM_API_TABLE[[#This Row],[Alternative_Data_Approval_Status]]="Approved",LAM_API_TABLE[[#This Row],[HCL_area_sqft_Alternative]],LAM_API_TABLE[[#This Row],[HCL_area_sqft]])</f>
        <v>0</v>
      </c>
      <c r="AL179">
        <f>IF(LAM_API_TABLE[[#This Row],[Alternative_Data_Approval_Status]]="Approved",LAM_API_TABLE[[#This Row],[Ag_area_sqft_Alternative]],LAM_API_TABLE[[#This Row],[Ag_area_sqft]])</f>
        <v>252222</v>
      </c>
      <c r="AM179">
        <f>IF(LAM_API_TABLE[[#This Row],[Alternative_Data_Approval_Status]]="Approved",LAM_API_TABLE[[#This Row],[Pool_area_sqft_Alternative]],LAM_API_TABLE[[#This Row],[Pool_area_sqft]])</f>
        <v>260850</v>
      </c>
      <c r="AN179">
        <f>IF(LAM_API_TABLE[[#This Row],[Alternative_Data_Approval_Status]]="Approved",LAM_API_TABLE[[#This Row],[Total_II_sqft_Alternative]],LAM_API_TABLE[[#This Row],[Total_II_sqft]])</f>
        <v>11432234</v>
      </c>
      <c r="AO179">
        <f>IF(LAM_API_TABLE[[#This Row],[Alternative_Data_Approval_Status]]="Approved",LAM_API_TABLE[[#This Row],[Total_INI_sqft_Alternative]],LAM_API_TABLE[[#This Row],[Total_INI_sqft]])</f>
        <v>2321445</v>
      </c>
      <c r="AP179">
        <f>IF(LAM_API_TABLE[[#This Row],[New_Res_Constr_Approval_Status]]="Approved",LAM_API_TABLE[[#This Row],[New_Res_Constr_sqft]],0)</f>
        <v>0</v>
      </c>
      <c r="AQ179">
        <f>IF(LAM_API_TABLE[[#This Row],[New_Res_Constr_Approval_Status]]="Approved",LAM_API_TABLE[[#This Row],[New_Res_SLA_norec_sqft]],0)</f>
        <v>0</v>
      </c>
      <c r="AR179">
        <f>IF(LAM_API_TABLE[[#This Row],[New_Res_Constr_Approval_Status]]="Approved",LAM_API_TABLE[[#This Row],[New_Res_SLA_rec_sqft]],0)</f>
        <v>0</v>
      </c>
      <c r="AS179">
        <f>IF(LAM_API_TABLE[[#This Row],[Existing_Res_SLA_Data_Approval_Status]]="Approved",LAM_API_TABLE[[#This Row],[Existing_Res_SLA_norec_sqft]],0)</f>
        <v>0</v>
      </c>
      <c r="AT179">
        <f>IF(LAM_API_TABLE[[#This Row],[Existing_Res_SLA_Data_Approval_Status]]="Approved",LAM_API_TABLE[[#This Row],[Existing_Res_SLA_rec_sqft]],0)</f>
        <v>0</v>
      </c>
    </row>
    <row r="180" spans="1:46" x14ac:dyDescent="0.25">
      <c r="A180" t="s">
        <v>1539</v>
      </c>
      <c r="B180" t="s">
        <v>3064</v>
      </c>
      <c r="C180" t="s">
        <v>3065</v>
      </c>
      <c r="D180" t="s">
        <v>3066</v>
      </c>
      <c r="E180">
        <v>2018</v>
      </c>
      <c r="H180">
        <v>907819</v>
      </c>
      <c r="I180">
        <v>30059312</v>
      </c>
      <c r="J180">
        <v>11659956</v>
      </c>
      <c r="K180">
        <v>61334435</v>
      </c>
      <c r="L180">
        <v>32391303</v>
      </c>
      <c r="M180" t="s">
        <v>1859</v>
      </c>
      <c r="AK180">
        <f>IF(LAM_API_TABLE[[#This Row],[Alternative_Data_Approval_Status]]="Approved",LAM_API_TABLE[[#This Row],[HCL_area_sqft_Alternative]],LAM_API_TABLE[[#This Row],[HCL_area_sqft]])</f>
        <v>0</v>
      </c>
      <c r="AL180">
        <f>IF(LAM_API_TABLE[[#This Row],[Alternative_Data_Approval_Status]]="Approved",LAM_API_TABLE[[#This Row],[Ag_area_sqft_Alternative]],LAM_API_TABLE[[#This Row],[Ag_area_sqft]])</f>
        <v>0</v>
      </c>
      <c r="AM180">
        <f>IF(LAM_API_TABLE[[#This Row],[Alternative_Data_Approval_Status]]="Approved",LAM_API_TABLE[[#This Row],[Pool_area_sqft_Alternative]],LAM_API_TABLE[[#This Row],[Pool_area_sqft]])</f>
        <v>907819</v>
      </c>
      <c r="AN180">
        <f>IF(LAM_API_TABLE[[#This Row],[Alternative_Data_Approval_Status]]="Approved",LAM_API_TABLE[[#This Row],[Total_II_sqft_Alternative]],LAM_API_TABLE[[#This Row],[Total_II_sqft]])</f>
        <v>30059312</v>
      </c>
      <c r="AO180">
        <f>IF(LAM_API_TABLE[[#This Row],[Alternative_Data_Approval_Status]]="Approved",LAM_API_TABLE[[#This Row],[Total_INI_sqft_Alternative]],LAM_API_TABLE[[#This Row],[Total_INI_sqft]])</f>
        <v>11659956</v>
      </c>
      <c r="AP180">
        <f>IF(LAM_API_TABLE[[#This Row],[New_Res_Constr_Approval_Status]]="Approved",LAM_API_TABLE[[#This Row],[New_Res_Constr_sqft]],0)</f>
        <v>0</v>
      </c>
      <c r="AQ180">
        <f>IF(LAM_API_TABLE[[#This Row],[New_Res_Constr_Approval_Status]]="Approved",LAM_API_TABLE[[#This Row],[New_Res_SLA_norec_sqft]],0)</f>
        <v>0</v>
      </c>
      <c r="AR180">
        <f>IF(LAM_API_TABLE[[#This Row],[New_Res_Constr_Approval_Status]]="Approved",LAM_API_TABLE[[#This Row],[New_Res_SLA_rec_sqft]],0)</f>
        <v>0</v>
      </c>
      <c r="AS180">
        <f>IF(LAM_API_TABLE[[#This Row],[Existing_Res_SLA_Data_Approval_Status]]="Approved",LAM_API_TABLE[[#This Row],[Existing_Res_SLA_norec_sqft]],0)</f>
        <v>0</v>
      </c>
      <c r="AT180">
        <f>IF(LAM_API_TABLE[[#This Row],[Existing_Res_SLA_Data_Approval_Status]]="Approved",LAM_API_TABLE[[#This Row],[Existing_Res_SLA_rec_sqft]],0)</f>
        <v>0</v>
      </c>
    </row>
    <row r="181" spans="1:46" x14ac:dyDescent="0.25">
      <c r="A181" t="s">
        <v>1543</v>
      </c>
      <c r="B181" t="s">
        <v>3067</v>
      </c>
      <c r="C181" t="s">
        <v>3068</v>
      </c>
      <c r="D181" t="s">
        <v>3069</v>
      </c>
      <c r="E181">
        <v>2018</v>
      </c>
      <c r="H181">
        <v>361545</v>
      </c>
      <c r="I181">
        <v>5576313</v>
      </c>
      <c r="J181">
        <v>1091297</v>
      </c>
      <c r="K181">
        <v>15999005</v>
      </c>
      <c r="L181">
        <v>5794572</v>
      </c>
      <c r="M181" t="s">
        <v>1859</v>
      </c>
      <c r="AK181">
        <f>IF(LAM_API_TABLE[[#This Row],[Alternative_Data_Approval_Status]]="Approved",LAM_API_TABLE[[#This Row],[HCL_area_sqft_Alternative]],LAM_API_TABLE[[#This Row],[HCL_area_sqft]])</f>
        <v>0</v>
      </c>
      <c r="AL181">
        <f>IF(LAM_API_TABLE[[#This Row],[Alternative_Data_Approval_Status]]="Approved",LAM_API_TABLE[[#This Row],[Ag_area_sqft_Alternative]],LAM_API_TABLE[[#This Row],[Ag_area_sqft]])</f>
        <v>0</v>
      </c>
      <c r="AM181">
        <f>IF(LAM_API_TABLE[[#This Row],[Alternative_Data_Approval_Status]]="Approved",LAM_API_TABLE[[#This Row],[Pool_area_sqft_Alternative]],LAM_API_TABLE[[#This Row],[Pool_area_sqft]])</f>
        <v>361545</v>
      </c>
      <c r="AN181">
        <f>IF(LAM_API_TABLE[[#This Row],[Alternative_Data_Approval_Status]]="Approved",LAM_API_TABLE[[#This Row],[Total_II_sqft_Alternative]],LAM_API_TABLE[[#This Row],[Total_II_sqft]])</f>
        <v>5576313</v>
      </c>
      <c r="AO181">
        <f>IF(LAM_API_TABLE[[#This Row],[Alternative_Data_Approval_Status]]="Approved",LAM_API_TABLE[[#This Row],[Total_INI_sqft_Alternative]],LAM_API_TABLE[[#This Row],[Total_INI_sqft]])</f>
        <v>1091297</v>
      </c>
      <c r="AP181">
        <f>IF(LAM_API_TABLE[[#This Row],[New_Res_Constr_Approval_Status]]="Approved",LAM_API_TABLE[[#This Row],[New_Res_Constr_sqft]],0)</f>
        <v>0</v>
      </c>
      <c r="AQ181">
        <f>IF(LAM_API_TABLE[[#This Row],[New_Res_Constr_Approval_Status]]="Approved",LAM_API_TABLE[[#This Row],[New_Res_SLA_norec_sqft]],0)</f>
        <v>0</v>
      </c>
      <c r="AR181">
        <f>IF(LAM_API_TABLE[[#This Row],[New_Res_Constr_Approval_Status]]="Approved",LAM_API_TABLE[[#This Row],[New_Res_SLA_rec_sqft]],0)</f>
        <v>0</v>
      </c>
      <c r="AS181">
        <f>IF(LAM_API_TABLE[[#This Row],[Existing_Res_SLA_Data_Approval_Status]]="Approved",LAM_API_TABLE[[#This Row],[Existing_Res_SLA_norec_sqft]],0)</f>
        <v>0</v>
      </c>
      <c r="AT181">
        <f>IF(LAM_API_TABLE[[#This Row],[Existing_Res_SLA_Data_Approval_Status]]="Approved",LAM_API_TABLE[[#This Row],[Existing_Res_SLA_rec_sqft]],0)</f>
        <v>0</v>
      </c>
    </row>
    <row r="182" spans="1:46" x14ac:dyDescent="0.25">
      <c r="A182" t="s">
        <v>1547</v>
      </c>
      <c r="B182" t="s">
        <v>1548</v>
      </c>
      <c r="C182" t="s">
        <v>3070</v>
      </c>
      <c r="D182" t="s">
        <v>3071</v>
      </c>
      <c r="E182">
        <v>2018</v>
      </c>
      <c r="G182">
        <v>190297</v>
      </c>
      <c r="H182">
        <v>1001092</v>
      </c>
      <c r="I182">
        <v>29537420</v>
      </c>
      <c r="J182">
        <v>4106933</v>
      </c>
      <c r="K182">
        <v>61135028</v>
      </c>
      <c r="L182">
        <v>30358807</v>
      </c>
      <c r="M182" t="s">
        <v>1859</v>
      </c>
      <c r="AK182">
        <f>IF(LAM_API_TABLE[[#This Row],[Alternative_Data_Approval_Status]]="Approved",LAM_API_TABLE[[#This Row],[HCL_area_sqft_Alternative]],LAM_API_TABLE[[#This Row],[HCL_area_sqft]])</f>
        <v>0</v>
      </c>
      <c r="AL182">
        <f>IF(LAM_API_TABLE[[#This Row],[Alternative_Data_Approval_Status]]="Approved",LAM_API_TABLE[[#This Row],[Ag_area_sqft_Alternative]],LAM_API_TABLE[[#This Row],[Ag_area_sqft]])</f>
        <v>190297</v>
      </c>
      <c r="AM182">
        <f>IF(LAM_API_TABLE[[#This Row],[Alternative_Data_Approval_Status]]="Approved",LAM_API_TABLE[[#This Row],[Pool_area_sqft_Alternative]],LAM_API_TABLE[[#This Row],[Pool_area_sqft]])</f>
        <v>1001092</v>
      </c>
      <c r="AN182">
        <f>IF(LAM_API_TABLE[[#This Row],[Alternative_Data_Approval_Status]]="Approved",LAM_API_TABLE[[#This Row],[Total_II_sqft_Alternative]],LAM_API_TABLE[[#This Row],[Total_II_sqft]])</f>
        <v>29537420</v>
      </c>
      <c r="AO182">
        <f>IF(LAM_API_TABLE[[#This Row],[Alternative_Data_Approval_Status]]="Approved",LAM_API_TABLE[[#This Row],[Total_INI_sqft_Alternative]],LAM_API_TABLE[[#This Row],[Total_INI_sqft]])</f>
        <v>4106933</v>
      </c>
      <c r="AP182">
        <f>IF(LAM_API_TABLE[[#This Row],[New_Res_Constr_Approval_Status]]="Approved",LAM_API_TABLE[[#This Row],[New_Res_Constr_sqft]],0)</f>
        <v>0</v>
      </c>
      <c r="AQ182">
        <f>IF(LAM_API_TABLE[[#This Row],[New_Res_Constr_Approval_Status]]="Approved",LAM_API_TABLE[[#This Row],[New_Res_SLA_norec_sqft]],0)</f>
        <v>0</v>
      </c>
      <c r="AR182">
        <f>IF(LAM_API_TABLE[[#This Row],[New_Res_Constr_Approval_Status]]="Approved",LAM_API_TABLE[[#This Row],[New_Res_SLA_rec_sqft]],0)</f>
        <v>0</v>
      </c>
      <c r="AS182">
        <f>IF(LAM_API_TABLE[[#This Row],[Existing_Res_SLA_Data_Approval_Status]]="Approved",LAM_API_TABLE[[#This Row],[Existing_Res_SLA_norec_sqft]],0)</f>
        <v>0</v>
      </c>
      <c r="AT182">
        <f>IF(LAM_API_TABLE[[#This Row],[Existing_Res_SLA_Data_Approval_Status]]="Approved",LAM_API_TABLE[[#This Row],[Existing_Res_SLA_rec_sqft]],0)</f>
        <v>0</v>
      </c>
    </row>
    <row r="183" spans="1:46" x14ac:dyDescent="0.25">
      <c r="A183" t="s">
        <v>1551</v>
      </c>
      <c r="B183" t="s">
        <v>1552</v>
      </c>
      <c r="C183" t="s">
        <v>3072</v>
      </c>
      <c r="D183" t="s">
        <v>3073</v>
      </c>
      <c r="E183">
        <v>2018</v>
      </c>
      <c r="H183">
        <v>161623</v>
      </c>
      <c r="I183">
        <v>16591112</v>
      </c>
      <c r="J183">
        <v>3451116</v>
      </c>
      <c r="K183">
        <v>35419274</v>
      </c>
      <c r="L183">
        <v>17281335</v>
      </c>
      <c r="M183" t="s">
        <v>1859</v>
      </c>
      <c r="AK183">
        <f>IF(LAM_API_TABLE[[#This Row],[Alternative_Data_Approval_Status]]="Approved",LAM_API_TABLE[[#This Row],[HCL_area_sqft_Alternative]],LAM_API_TABLE[[#This Row],[HCL_area_sqft]])</f>
        <v>0</v>
      </c>
      <c r="AL183">
        <f>IF(LAM_API_TABLE[[#This Row],[Alternative_Data_Approval_Status]]="Approved",LAM_API_TABLE[[#This Row],[Ag_area_sqft_Alternative]],LAM_API_TABLE[[#This Row],[Ag_area_sqft]])</f>
        <v>0</v>
      </c>
      <c r="AM183">
        <f>IF(LAM_API_TABLE[[#This Row],[Alternative_Data_Approval_Status]]="Approved",LAM_API_TABLE[[#This Row],[Pool_area_sqft_Alternative]],LAM_API_TABLE[[#This Row],[Pool_area_sqft]])</f>
        <v>161623</v>
      </c>
      <c r="AN183">
        <f>IF(LAM_API_TABLE[[#This Row],[Alternative_Data_Approval_Status]]="Approved",LAM_API_TABLE[[#This Row],[Total_II_sqft_Alternative]],LAM_API_TABLE[[#This Row],[Total_II_sqft]])</f>
        <v>16591112</v>
      </c>
      <c r="AO183">
        <f>IF(LAM_API_TABLE[[#This Row],[Alternative_Data_Approval_Status]]="Approved",LAM_API_TABLE[[#This Row],[Total_INI_sqft_Alternative]],LAM_API_TABLE[[#This Row],[Total_INI_sqft]])</f>
        <v>3451116</v>
      </c>
      <c r="AP183">
        <f>IF(LAM_API_TABLE[[#This Row],[New_Res_Constr_Approval_Status]]="Approved",LAM_API_TABLE[[#This Row],[New_Res_Constr_sqft]],0)</f>
        <v>0</v>
      </c>
      <c r="AQ183">
        <f>IF(LAM_API_TABLE[[#This Row],[New_Res_Constr_Approval_Status]]="Approved",LAM_API_TABLE[[#This Row],[New_Res_SLA_norec_sqft]],0)</f>
        <v>0</v>
      </c>
      <c r="AR183">
        <f>IF(LAM_API_TABLE[[#This Row],[New_Res_Constr_Approval_Status]]="Approved",LAM_API_TABLE[[#This Row],[New_Res_SLA_rec_sqft]],0)</f>
        <v>0</v>
      </c>
      <c r="AS183">
        <f>IF(LAM_API_TABLE[[#This Row],[Existing_Res_SLA_Data_Approval_Status]]="Approved",LAM_API_TABLE[[#This Row],[Existing_Res_SLA_norec_sqft]],0)</f>
        <v>0</v>
      </c>
      <c r="AT183">
        <f>IF(LAM_API_TABLE[[#This Row],[Existing_Res_SLA_Data_Approval_Status]]="Approved",LAM_API_TABLE[[#This Row],[Existing_Res_SLA_rec_sqft]],0)</f>
        <v>0</v>
      </c>
    </row>
    <row r="184" spans="1:46" x14ac:dyDescent="0.25">
      <c r="A184" t="s">
        <v>1555</v>
      </c>
      <c r="B184" t="s">
        <v>1556</v>
      </c>
      <c r="C184" t="s">
        <v>3074</v>
      </c>
      <c r="D184" t="s">
        <v>3075</v>
      </c>
      <c r="E184">
        <v>2018</v>
      </c>
      <c r="F184">
        <v>21184</v>
      </c>
      <c r="H184">
        <v>4219</v>
      </c>
      <c r="I184">
        <v>8150816</v>
      </c>
      <c r="J184">
        <v>5478323</v>
      </c>
      <c r="K184">
        <v>87383104</v>
      </c>
      <c r="L184">
        <v>9246481</v>
      </c>
      <c r="M184" t="s">
        <v>1859</v>
      </c>
      <c r="AK184">
        <f>IF(LAM_API_TABLE[[#This Row],[Alternative_Data_Approval_Status]]="Approved",LAM_API_TABLE[[#This Row],[HCL_area_sqft_Alternative]],LAM_API_TABLE[[#This Row],[HCL_area_sqft]])</f>
        <v>21184</v>
      </c>
      <c r="AL184">
        <f>IF(LAM_API_TABLE[[#This Row],[Alternative_Data_Approval_Status]]="Approved",LAM_API_TABLE[[#This Row],[Ag_area_sqft_Alternative]],LAM_API_TABLE[[#This Row],[Ag_area_sqft]])</f>
        <v>0</v>
      </c>
      <c r="AM184">
        <f>IF(LAM_API_TABLE[[#This Row],[Alternative_Data_Approval_Status]]="Approved",LAM_API_TABLE[[#This Row],[Pool_area_sqft_Alternative]],LAM_API_TABLE[[#This Row],[Pool_area_sqft]])</f>
        <v>4219</v>
      </c>
      <c r="AN184">
        <f>IF(LAM_API_TABLE[[#This Row],[Alternative_Data_Approval_Status]]="Approved",LAM_API_TABLE[[#This Row],[Total_II_sqft_Alternative]],LAM_API_TABLE[[#This Row],[Total_II_sqft]])</f>
        <v>8150816</v>
      </c>
      <c r="AO184">
        <f>IF(LAM_API_TABLE[[#This Row],[Alternative_Data_Approval_Status]]="Approved",LAM_API_TABLE[[#This Row],[Total_INI_sqft_Alternative]],LAM_API_TABLE[[#This Row],[Total_INI_sqft]])</f>
        <v>5478323</v>
      </c>
      <c r="AP184">
        <f>IF(LAM_API_TABLE[[#This Row],[New_Res_Constr_Approval_Status]]="Approved",LAM_API_TABLE[[#This Row],[New_Res_Constr_sqft]],0)</f>
        <v>0</v>
      </c>
      <c r="AQ184">
        <f>IF(LAM_API_TABLE[[#This Row],[New_Res_Constr_Approval_Status]]="Approved",LAM_API_TABLE[[#This Row],[New_Res_SLA_norec_sqft]],0)</f>
        <v>0</v>
      </c>
      <c r="AR184">
        <f>IF(LAM_API_TABLE[[#This Row],[New_Res_Constr_Approval_Status]]="Approved",LAM_API_TABLE[[#This Row],[New_Res_SLA_rec_sqft]],0)</f>
        <v>0</v>
      </c>
      <c r="AS184">
        <f>IF(LAM_API_TABLE[[#This Row],[Existing_Res_SLA_Data_Approval_Status]]="Approved",LAM_API_TABLE[[#This Row],[Existing_Res_SLA_norec_sqft]],0)</f>
        <v>0</v>
      </c>
      <c r="AT184">
        <f>IF(LAM_API_TABLE[[#This Row],[Existing_Res_SLA_Data_Approval_Status]]="Approved",LAM_API_TABLE[[#This Row],[Existing_Res_SLA_rec_sqft]],0)</f>
        <v>0</v>
      </c>
    </row>
    <row r="185" spans="1:46" x14ac:dyDescent="0.25">
      <c r="A185" t="s">
        <v>1559</v>
      </c>
      <c r="B185" t="s">
        <v>1560</v>
      </c>
      <c r="C185" t="s">
        <v>3076</v>
      </c>
      <c r="D185" t="s">
        <v>3077</v>
      </c>
      <c r="E185">
        <v>2018</v>
      </c>
      <c r="F185">
        <v>128738</v>
      </c>
      <c r="G185">
        <v>5438123</v>
      </c>
      <c r="H185">
        <v>1139052</v>
      </c>
      <c r="I185">
        <v>25873576</v>
      </c>
      <c r="J185">
        <v>41783272</v>
      </c>
      <c r="K185">
        <v>134293788</v>
      </c>
      <c r="L185">
        <v>34230230</v>
      </c>
      <c r="M185" t="s">
        <v>1859</v>
      </c>
      <c r="AK185">
        <f>IF(LAM_API_TABLE[[#This Row],[Alternative_Data_Approval_Status]]="Approved",LAM_API_TABLE[[#This Row],[HCL_area_sqft_Alternative]],LAM_API_TABLE[[#This Row],[HCL_area_sqft]])</f>
        <v>128738</v>
      </c>
      <c r="AL185">
        <f>IF(LAM_API_TABLE[[#This Row],[Alternative_Data_Approval_Status]]="Approved",LAM_API_TABLE[[#This Row],[Ag_area_sqft_Alternative]],LAM_API_TABLE[[#This Row],[Ag_area_sqft]])</f>
        <v>5438123</v>
      </c>
      <c r="AM185">
        <f>IF(LAM_API_TABLE[[#This Row],[Alternative_Data_Approval_Status]]="Approved",LAM_API_TABLE[[#This Row],[Pool_area_sqft_Alternative]],LAM_API_TABLE[[#This Row],[Pool_area_sqft]])</f>
        <v>1139052</v>
      </c>
      <c r="AN185">
        <f>IF(LAM_API_TABLE[[#This Row],[Alternative_Data_Approval_Status]]="Approved",LAM_API_TABLE[[#This Row],[Total_II_sqft_Alternative]],LAM_API_TABLE[[#This Row],[Total_II_sqft]])</f>
        <v>25873576</v>
      </c>
      <c r="AO185">
        <f>IF(LAM_API_TABLE[[#This Row],[Alternative_Data_Approval_Status]]="Approved",LAM_API_TABLE[[#This Row],[Total_INI_sqft_Alternative]],LAM_API_TABLE[[#This Row],[Total_INI_sqft]])</f>
        <v>41783272</v>
      </c>
      <c r="AP185">
        <f>IF(LAM_API_TABLE[[#This Row],[New_Res_Constr_Approval_Status]]="Approved",LAM_API_TABLE[[#This Row],[New_Res_Constr_sqft]],0)</f>
        <v>0</v>
      </c>
      <c r="AQ185">
        <f>IF(LAM_API_TABLE[[#This Row],[New_Res_Constr_Approval_Status]]="Approved",LAM_API_TABLE[[#This Row],[New_Res_SLA_norec_sqft]],0)</f>
        <v>0</v>
      </c>
      <c r="AR185">
        <f>IF(LAM_API_TABLE[[#This Row],[New_Res_Constr_Approval_Status]]="Approved",LAM_API_TABLE[[#This Row],[New_Res_SLA_rec_sqft]],0)</f>
        <v>0</v>
      </c>
      <c r="AS185">
        <f>IF(LAM_API_TABLE[[#This Row],[Existing_Res_SLA_Data_Approval_Status]]="Approved",LAM_API_TABLE[[#This Row],[Existing_Res_SLA_norec_sqft]],0)</f>
        <v>0</v>
      </c>
      <c r="AT185">
        <f>IF(LAM_API_TABLE[[#This Row],[Existing_Res_SLA_Data_Approval_Status]]="Approved",LAM_API_TABLE[[#This Row],[Existing_Res_SLA_rec_sqft]],0)</f>
        <v>0</v>
      </c>
    </row>
    <row r="186" spans="1:46" x14ac:dyDescent="0.25">
      <c r="A186" t="s">
        <v>1563</v>
      </c>
      <c r="B186" t="s">
        <v>1564</v>
      </c>
      <c r="C186" t="s">
        <v>3078</v>
      </c>
      <c r="D186" t="s">
        <v>3079</v>
      </c>
      <c r="E186">
        <v>2018</v>
      </c>
      <c r="F186">
        <v>411516</v>
      </c>
      <c r="G186">
        <v>243602</v>
      </c>
      <c r="H186">
        <v>552508</v>
      </c>
      <c r="I186">
        <v>33135851</v>
      </c>
      <c r="J186">
        <v>25776678</v>
      </c>
      <c r="K186">
        <v>178178372</v>
      </c>
      <c r="L186">
        <v>38291187</v>
      </c>
      <c r="M186" t="s">
        <v>1859</v>
      </c>
      <c r="AK186">
        <f>IF(LAM_API_TABLE[[#This Row],[Alternative_Data_Approval_Status]]="Approved",LAM_API_TABLE[[#This Row],[HCL_area_sqft_Alternative]],LAM_API_TABLE[[#This Row],[HCL_area_sqft]])</f>
        <v>411516</v>
      </c>
      <c r="AL186">
        <f>IF(LAM_API_TABLE[[#This Row],[Alternative_Data_Approval_Status]]="Approved",LAM_API_TABLE[[#This Row],[Ag_area_sqft_Alternative]],LAM_API_TABLE[[#This Row],[Ag_area_sqft]])</f>
        <v>243602</v>
      </c>
      <c r="AM186">
        <f>IF(LAM_API_TABLE[[#This Row],[Alternative_Data_Approval_Status]]="Approved",LAM_API_TABLE[[#This Row],[Pool_area_sqft_Alternative]],LAM_API_TABLE[[#This Row],[Pool_area_sqft]])</f>
        <v>552508</v>
      </c>
      <c r="AN186">
        <f>IF(LAM_API_TABLE[[#This Row],[Alternative_Data_Approval_Status]]="Approved",LAM_API_TABLE[[#This Row],[Total_II_sqft_Alternative]],LAM_API_TABLE[[#This Row],[Total_II_sqft]])</f>
        <v>33135851</v>
      </c>
      <c r="AO186">
        <f>IF(LAM_API_TABLE[[#This Row],[Alternative_Data_Approval_Status]]="Approved",LAM_API_TABLE[[#This Row],[Total_INI_sqft_Alternative]],LAM_API_TABLE[[#This Row],[Total_INI_sqft]])</f>
        <v>25776678</v>
      </c>
      <c r="AP186">
        <f>IF(LAM_API_TABLE[[#This Row],[New_Res_Constr_Approval_Status]]="Approved",LAM_API_TABLE[[#This Row],[New_Res_Constr_sqft]],0)</f>
        <v>0</v>
      </c>
      <c r="AQ186">
        <f>IF(LAM_API_TABLE[[#This Row],[New_Res_Constr_Approval_Status]]="Approved",LAM_API_TABLE[[#This Row],[New_Res_SLA_norec_sqft]],0)</f>
        <v>0</v>
      </c>
      <c r="AR186">
        <f>IF(LAM_API_TABLE[[#This Row],[New_Res_Constr_Approval_Status]]="Approved",LAM_API_TABLE[[#This Row],[New_Res_SLA_rec_sqft]],0)</f>
        <v>0</v>
      </c>
      <c r="AS186">
        <f>IF(LAM_API_TABLE[[#This Row],[Existing_Res_SLA_Data_Approval_Status]]="Approved",LAM_API_TABLE[[#This Row],[Existing_Res_SLA_norec_sqft]],0)</f>
        <v>0</v>
      </c>
      <c r="AT186">
        <f>IF(LAM_API_TABLE[[#This Row],[Existing_Res_SLA_Data_Approval_Status]]="Approved",LAM_API_TABLE[[#This Row],[Existing_Res_SLA_rec_sqft]],0)</f>
        <v>0</v>
      </c>
    </row>
    <row r="187" spans="1:46" x14ac:dyDescent="0.25">
      <c r="A187" t="s">
        <v>1567</v>
      </c>
      <c r="B187" t="s">
        <v>3080</v>
      </c>
      <c r="C187" t="s">
        <v>3081</v>
      </c>
      <c r="D187" t="s">
        <v>3082</v>
      </c>
      <c r="E187">
        <v>2018</v>
      </c>
      <c r="H187">
        <v>677078</v>
      </c>
      <c r="I187">
        <v>27963264</v>
      </c>
      <c r="J187">
        <v>9441371</v>
      </c>
      <c r="K187">
        <v>73044438</v>
      </c>
      <c r="L187">
        <v>29851538</v>
      </c>
      <c r="M187" t="s">
        <v>1859</v>
      </c>
      <c r="AK187">
        <f>IF(LAM_API_TABLE[[#This Row],[Alternative_Data_Approval_Status]]="Approved",LAM_API_TABLE[[#This Row],[HCL_area_sqft_Alternative]],LAM_API_TABLE[[#This Row],[HCL_area_sqft]])</f>
        <v>0</v>
      </c>
      <c r="AL187">
        <f>IF(LAM_API_TABLE[[#This Row],[Alternative_Data_Approval_Status]]="Approved",LAM_API_TABLE[[#This Row],[Ag_area_sqft_Alternative]],LAM_API_TABLE[[#This Row],[Ag_area_sqft]])</f>
        <v>0</v>
      </c>
      <c r="AM187">
        <f>IF(LAM_API_TABLE[[#This Row],[Alternative_Data_Approval_Status]]="Approved",LAM_API_TABLE[[#This Row],[Pool_area_sqft_Alternative]],LAM_API_TABLE[[#This Row],[Pool_area_sqft]])</f>
        <v>677078</v>
      </c>
      <c r="AN187">
        <f>IF(LAM_API_TABLE[[#This Row],[Alternative_Data_Approval_Status]]="Approved",LAM_API_TABLE[[#This Row],[Total_II_sqft_Alternative]],LAM_API_TABLE[[#This Row],[Total_II_sqft]])</f>
        <v>27963264</v>
      </c>
      <c r="AO187">
        <f>IF(LAM_API_TABLE[[#This Row],[Alternative_Data_Approval_Status]]="Approved",LAM_API_TABLE[[#This Row],[Total_INI_sqft_Alternative]],LAM_API_TABLE[[#This Row],[Total_INI_sqft]])</f>
        <v>9441371</v>
      </c>
      <c r="AP187">
        <f>IF(LAM_API_TABLE[[#This Row],[New_Res_Constr_Approval_Status]]="Approved",LAM_API_TABLE[[#This Row],[New_Res_Constr_sqft]],0)</f>
        <v>0</v>
      </c>
      <c r="AQ187">
        <f>IF(LAM_API_TABLE[[#This Row],[New_Res_Constr_Approval_Status]]="Approved",LAM_API_TABLE[[#This Row],[New_Res_SLA_norec_sqft]],0)</f>
        <v>0</v>
      </c>
      <c r="AR187">
        <f>IF(LAM_API_TABLE[[#This Row],[New_Res_Constr_Approval_Status]]="Approved",LAM_API_TABLE[[#This Row],[New_Res_SLA_rec_sqft]],0)</f>
        <v>0</v>
      </c>
      <c r="AS187">
        <f>IF(LAM_API_TABLE[[#This Row],[Existing_Res_SLA_Data_Approval_Status]]="Approved",LAM_API_TABLE[[#This Row],[Existing_Res_SLA_norec_sqft]],0)</f>
        <v>0</v>
      </c>
      <c r="AT187">
        <f>IF(LAM_API_TABLE[[#This Row],[Existing_Res_SLA_Data_Approval_Status]]="Approved",LAM_API_TABLE[[#This Row],[Existing_Res_SLA_rec_sqft]],0)</f>
        <v>0</v>
      </c>
    </row>
    <row r="188" spans="1:46" x14ac:dyDescent="0.25">
      <c r="A188" t="s">
        <v>1571</v>
      </c>
      <c r="B188" t="s">
        <v>1572</v>
      </c>
      <c r="C188" t="s">
        <v>3083</v>
      </c>
      <c r="D188" t="s">
        <v>3084</v>
      </c>
      <c r="E188">
        <v>2018</v>
      </c>
      <c r="F188">
        <v>63775</v>
      </c>
      <c r="G188">
        <v>25615</v>
      </c>
      <c r="H188">
        <v>52868</v>
      </c>
      <c r="I188">
        <v>8611047</v>
      </c>
      <c r="J188">
        <v>5692686</v>
      </c>
      <c r="K188">
        <v>16438620</v>
      </c>
      <c r="L188">
        <v>9749584</v>
      </c>
      <c r="M188" t="s">
        <v>1859</v>
      </c>
      <c r="AK188">
        <f>IF(LAM_API_TABLE[[#This Row],[Alternative_Data_Approval_Status]]="Approved",LAM_API_TABLE[[#This Row],[HCL_area_sqft_Alternative]],LAM_API_TABLE[[#This Row],[HCL_area_sqft]])</f>
        <v>63775</v>
      </c>
      <c r="AL188">
        <f>IF(LAM_API_TABLE[[#This Row],[Alternative_Data_Approval_Status]]="Approved",LAM_API_TABLE[[#This Row],[Ag_area_sqft_Alternative]],LAM_API_TABLE[[#This Row],[Ag_area_sqft]])</f>
        <v>25615</v>
      </c>
      <c r="AM188">
        <f>IF(LAM_API_TABLE[[#This Row],[Alternative_Data_Approval_Status]]="Approved",LAM_API_TABLE[[#This Row],[Pool_area_sqft_Alternative]],LAM_API_TABLE[[#This Row],[Pool_area_sqft]])</f>
        <v>52868</v>
      </c>
      <c r="AN188">
        <f>IF(LAM_API_TABLE[[#This Row],[Alternative_Data_Approval_Status]]="Approved",LAM_API_TABLE[[#This Row],[Total_II_sqft_Alternative]],LAM_API_TABLE[[#This Row],[Total_II_sqft]])</f>
        <v>8611047</v>
      </c>
      <c r="AO188">
        <f>IF(LAM_API_TABLE[[#This Row],[Alternative_Data_Approval_Status]]="Approved",LAM_API_TABLE[[#This Row],[Total_INI_sqft_Alternative]],LAM_API_TABLE[[#This Row],[Total_INI_sqft]])</f>
        <v>5692686</v>
      </c>
      <c r="AP188">
        <f>IF(LAM_API_TABLE[[#This Row],[New_Res_Constr_Approval_Status]]="Approved",LAM_API_TABLE[[#This Row],[New_Res_Constr_sqft]],0)</f>
        <v>0</v>
      </c>
      <c r="AQ188">
        <f>IF(LAM_API_TABLE[[#This Row],[New_Res_Constr_Approval_Status]]="Approved",LAM_API_TABLE[[#This Row],[New_Res_SLA_norec_sqft]],0)</f>
        <v>0</v>
      </c>
      <c r="AR188">
        <f>IF(LAM_API_TABLE[[#This Row],[New_Res_Constr_Approval_Status]]="Approved",LAM_API_TABLE[[#This Row],[New_Res_SLA_rec_sqft]],0)</f>
        <v>0</v>
      </c>
      <c r="AS188">
        <f>IF(LAM_API_TABLE[[#This Row],[Existing_Res_SLA_Data_Approval_Status]]="Approved",LAM_API_TABLE[[#This Row],[Existing_Res_SLA_norec_sqft]],0)</f>
        <v>0</v>
      </c>
      <c r="AT188">
        <f>IF(LAM_API_TABLE[[#This Row],[Existing_Res_SLA_Data_Approval_Status]]="Approved",LAM_API_TABLE[[#This Row],[Existing_Res_SLA_rec_sqft]],0)</f>
        <v>0</v>
      </c>
    </row>
    <row r="189" spans="1:46" x14ac:dyDescent="0.25">
      <c r="A189" t="s">
        <v>1575</v>
      </c>
      <c r="B189" t="s">
        <v>1576</v>
      </c>
      <c r="C189" t="s">
        <v>3085</v>
      </c>
      <c r="D189" t="s">
        <v>3086</v>
      </c>
      <c r="E189">
        <v>2020</v>
      </c>
      <c r="F189">
        <v>1079123</v>
      </c>
      <c r="G189">
        <v>4190320</v>
      </c>
      <c r="H189">
        <v>3662545</v>
      </c>
      <c r="I189">
        <v>139588034</v>
      </c>
      <c r="J189">
        <v>29702758</v>
      </c>
      <c r="K189">
        <v>536826366</v>
      </c>
      <c r="L189">
        <v>145528585</v>
      </c>
      <c r="M189" t="s">
        <v>1859</v>
      </c>
      <c r="AK189">
        <f>IF(LAM_API_TABLE[[#This Row],[Alternative_Data_Approval_Status]]="Approved",LAM_API_TABLE[[#This Row],[HCL_area_sqft_Alternative]],LAM_API_TABLE[[#This Row],[HCL_area_sqft]])</f>
        <v>1079123</v>
      </c>
      <c r="AL189">
        <f>IF(LAM_API_TABLE[[#This Row],[Alternative_Data_Approval_Status]]="Approved",LAM_API_TABLE[[#This Row],[Ag_area_sqft_Alternative]],LAM_API_TABLE[[#This Row],[Ag_area_sqft]])</f>
        <v>4190320</v>
      </c>
      <c r="AM189">
        <f>IF(LAM_API_TABLE[[#This Row],[Alternative_Data_Approval_Status]]="Approved",LAM_API_TABLE[[#This Row],[Pool_area_sqft_Alternative]],LAM_API_TABLE[[#This Row],[Pool_area_sqft]])</f>
        <v>3662545</v>
      </c>
      <c r="AN189">
        <f>IF(LAM_API_TABLE[[#This Row],[Alternative_Data_Approval_Status]]="Approved",LAM_API_TABLE[[#This Row],[Total_II_sqft_Alternative]],LAM_API_TABLE[[#This Row],[Total_II_sqft]])</f>
        <v>139588034</v>
      </c>
      <c r="AO189">
        <f>IF(LAM_API_TABLE[[#This Row],[Alternative_Data_Approval_Status]]="Approved",LAM_API_TABLE[[#This Row],[Total_INI_sqft_Alternative]],LAM_API_TABLE[[#This Row],[Total_INI_sqft]])</f>
        <v>29702758</v>
      </c>
      <c r="AP189">
        <f>IF(LAM_API_TABLE[[#This Row],[New_Res_Constr_Approval_Status]]="Approved",LAM_API_TABLE[[#This Row],[New_Res_Constr_sqft]],0)</f>
        <v>0</v>
      </c>
      <c r="AQ189">
        <f>IF(LAM_API_TABLE[[#This Row],[New_Res_Constr_Approval_Status]]="Approved",LAM_API_TABLE[[#This Row],[New_Res_SLA_norec_sqft]],0)</f>
        <v>0</v>
      </c>
      <c r="AR189">
        <f>IF(LAM_API_TABLE[[#This Row],[New_Res_Constr_Approval_Status]]="Approved",LAM_API_TABLE[[#This Row],[New_Res_SLA_rec_sqft]],0)</f>
        <v>0</v>
      </c>
      <c r="AS189">
        <f>IF(LAM_API_TABLE[[#This Row],[Existing_Res_SLA_Data_Approval_Status]]="Approved",LAM_API_TABLE[[#This Row],[Existing_Res_SLA_norec_sqft]],0)</f>
        <v>0</v>
      </c>
      <c r="AT189">
        <f>IF(LAM_API_TABLE[[#This Row],[Existing_Res_SLA_Data_Approval_Status]]="Approved",LAM_API_TABLE[[#This Row],[Existing_Res_SLA_rec_sqft]],0)</f>
        <v>0</v>
      </c>
    </row>
    <row r="190" spans="1:46" x14ac:dyDescent="0.25">
      <c r="A190" t="s">
        <v>1579</v>
      </c>
      <c r="B190" t="s">
        <v>1580</v>
      </c>
      <c r="C190" t="s">
        <v>3087</v>
      </c>
      <c r="D190" t="s">
        <v>3088</v>
      </c>
      <c r="E190">
        <v>2018</v>
      </c>
      <c r="G190">
        <v>12980355</v>
      </c>
      <c r="H190">
        <v>149051</v>
      </c>
      <c r="I190">
        <v>11068408</v>
      </c>
      <c r="J190">
        <v>7739743</v>
      </c>
      <c r="K190">
        <v>46928467</v>
      </c>
      <c r="L190">
        <v>12616357</v>
      </c>
      <c r="M190" t="s">
        <v>1859</v>
      </c>
      <c r="AK190">
        <f>IF(LAM_API_TABLE[[#This Row],[Alternative_Data_Approval_Status]]="Approved",LAM_API_TABLE[[#This Row],[HCL_area_sqft_Alternative]],LAM_API_TABLE[[#This Row],[HCL_area_sqft]])</f>
        <v>0</v>
      </c>
      <c r="AL190">
        <f>IF(LAM_API_TABLE[[#This Row],[Alternative_Data_Approval_Status]]="Approved",LAM_API_TABLE[[#This Row],[Ag_area_sqft_Alternative]],LAM_API_TABLE[[#This Row],[Ag_area_sqft]])</f>
        <v>12980355</v>
      </c>
      <c r="AM190">
        <f>IF(LAM_API_TABLE[[#This Row],[Alternative_Data_Approval_Status]]="Approved",LAM_API_TABLE[[#This Row],[Pool_area_sqft_Alternative]],LAM_API_TABLE[[#This Row],[Pool_area_sqft]])</f>
        <v>149051</v>
      </c>
      <c r="AN190">
        <f>IF(LAM_API_TABLE[[#This Row],[Alternative_Data_Approval_Status]]="Approved",LAM_API_TABLE[[#This Row],[Total_II_sqft_Alternative]],LAM_API_TABLE[[#This Row],[Total_II_sqft]])</f>
        <v>11068408</v>
      </c>
      <c r="AO190">
        <f>IF(LAM_API_TABLE[[#This Row],[Alternative_Data_Approval_Status]]="Approved",LAM_API_TABLE[[#This Row],[Total_INI_sqft_Alternative]],LAM_API_TABLE[[#This Row],[Total_INI_sqft]])</f>
        <v>7739743</v>
      </c>
      <c r="AP190">
        <f>IF(LAM_API_TABLE[[#This Row],[New_Res_Constr_Approval_Status]]="Approved",LAM_API_TABLE[[#This Row],[New_Res_Constr_sqft]],0)</f>
        <v>0</v>
      </c>
      <c r="AQ190">
        <f>IF(LAM_API_TABLE[[#This Row],[New_Res_Constr_Approval_Status]]="Approved",LAM_API_TABLE[[#This Row],[New_Res_SLA_norec_sqft]],0)</f>
        <v>0</v>
      </c>
      <c r="AR190">
        <f>IF(LAM_API_TABLE[[#This Row],[New_Res_Constr_Approval_Status]]="Approved",LAM_API_TABLE[[#This Row],[New_Res_SLA_rec_sqft]],0)</f>
        <v>0</v>
      </c>
      <c r="AS190">
        <f>IF(LAM_API_TABLE[[#This Row],[Existing_Res_SLA_Data_Approval_Status]]="Approved",LAM_API_TABLE[[#This Row],[Existing_Res_SLA_norec_sqft]],0)</f>
        <v>0</v>
      </c>
      <c r="AT190">
        <f>IF(LAM_API_TABLE[[#This Row],[Existing_Res_SLA_Data_Approval_Status]]="Approved",LAM_API_TABLE[[#This Row],[Existing_Res_SLA_rec_sqft]],0)</f>
        <v>0</v>
      </c>
    </row>
    <row r="191" spans="1:46" x14ac:dyDescent="0.25">
      <c r="A191" t="s">
        <v>1583</v>
      </c>
      <c r="B191" t="s">
        <v>1584</v>
      </c>
      <c r="C191" t="s">
        <v>3089</v>
      </c>
      <c r="D191" t="s">
        <v>3090</v>
      </c>
      <c r="E191">
        <v>2018</v>
      </c>
      <c r="F191">
        <v>24147</v>
      </c>
      <c r="G191">
        <v>89939</v>
      </c>
      <c r="H191">
        <v>227671</v>
      </c>
      <c r="I191">
        <v>12090607</v>
      </c>
      <c r="J191">
        <v>3292356</v>
      </c>
      <c r="K191">
        <v>39191779</v>
      </c>
      <c r="L191">
        <v>12749078</v>
      </c>
      <c r="M191" t="s">
        <v>1859</v>
      </c>
      <c r="AK191">
        <f>IF(LAM_API_TABLE[[#This Row],[Alternative_Data_Approval_Status]]="Approved",LAM_API_TABLE[[#This Row],[HCL_area_sqft_Alternative]],LAM_API_TABLE[[#This Row],[HCL_area_sqft]])</f>
        <v>24147</v>
      </c>
      <c r="AL191">
        <f>IF(LAM_API_TABLE[[#This Row],[Alternative_Data_Approval_Status]]="Approved",LAM_API_TABLE[[#This Row],[Ag_area_sqft_Alternative]],LAM_API_TABLE[[#This Row],[Ag_area_sqft]])</f>
        <v>89939</v>
      </c>
      <c r="AM191">
        <f>IF(LAM_API_TABLE[[#This Row],[Alternative_Data_Approval_Status]]="Approved",LAM_API_TABLE[[#This Row],[Pool_area_sqft_Alternative]],LAM_API_TABLE[[#This Row],[Pool_area_sqft]])</f>
        <v>227671</v>
      </c>
      <c r="AN191">
        <f>IF(LAM_API_TABLE[[#This Row],[Alternative_Data_Approval_Status]]="Approved",LAM_API_TABLE[[#This Row],[Total_II_sqft_Alternative]],LAM_API_TABLE[[#This Row],[Total_II_sqft]])</f>
        <v>12090607</v>
      </c>
      <c r="AO191">
        <f>IF(LAM_API_TABLE[[#This Row],[Alternative_Data_Approval_Status]]="Approved",LAM_API_TABLE[[#This Row],[Total_INI_sqft_Alternative]],LAM_API_TABLE[[#This Row],[Total_INI_sqft]])</f>
        <v>3292356</v>
      </c>
      <c r="AP191">
        <f>IF(LAM_API_TABLE[[#This Row],[New_Res_Constr_Approval_Status]]="Approved",LAM_API_TABLE[[#This Row],[New_Res_Constr_sqft]],0)</f>
        <v>0</v>
      </c>
      <c r="AQ191">
        <f>IF(LAM_API_TABLE[[#This Row],[New_Res_Constr_Approval_Status]]="Approved",LAM_API_TABLE[[#This Row],[New_Res_SLA_norec_sqft]],0)</f>
        <v>0</v>
      </c>
      <c r="AR191">
        <f>IF(LAM_API_TABLE[[#This Row],[New_Res_Constr_Approval_Status]]="Approved",LAM_API_TABLE[[#This Row],[New_Res_SLA_rec_sqft]],0)</f>
        <v>0</v>
      </c>
      <c r="AS191">
        <f>IF(LAM_API_TABLE[[#This Row],[Existing_Res_SLA_Data_Approval_Status]]="Approved",LAM_API_TABLE[[#This Row],[Existing_Res_SLA_norec_sqft]],0)</f>
        <v>0</v>
      </c>
      <c r="AT191">
        <f>IF(LAM_API_TABLE[[#This Row],[Existing_Res_SLA_Data_Approval_Status]]="Approved",LAM_API_TABLE[[#This Row],[Existing_Res_SLA_rec_sqft]],0)</f>
        <v>0</v>
      </c>
    </row>
    <row r="192" spans="1:46" x14ac:dyDescent="0.25">
      <c r="A192" t="s">
        <v>1587</v>
      </c>
      <c r="B192" t="s">
        <v>1588</v>
      </c>
      <c r="C192" t="s">
        <v>3091</v>
      </c>
      <c r="D192" t="s">
        <v>3092</v>
      </c>
      <c r="E192">
        <v>2018</v>
      </c>
      <c r="F192">
        <v>399</v>
      </c>
      <c r="G192">
        <v>9983466</v>
      </c>
      <c r="H192">
        <v>573759</v>
      </c>
      <c r="I192">
        <v>21740531</v>
      </c>
      <c r="J192">
        <v>7756985</v>
      </c>
      <c r="K192">
        <v>54158595</v>
      </c>
      <c r="L192">
        <v>23291928</v>
      </c>
      <c r="M192" t="s">
        <v>1859</v>
      </c>
      <c r="AK192">
        <f>IF(LAM_API_TABLE[[#This Row],[Alternative_Data_Approval_Status]]="Approved",LAM_API_TABLE[[#This Row],[HCL_area_sqft_Alternative]],LAM_API_TABLE[[#This Row],[HCL_area_sqft]])</f>
        <v>399</v>
      </c>
      <c r="AL192">
        <f>IF(LAM_API_TABLE[[#This Row],[Alternative_Data_Approval_Status]]="Approved",LAM_API_TABLE[[#This Row],[Ag_area_sqft_Alternative]],LAM_API_TABLE[[#This Row],[Ag_area_sqft]])</f>
        <v>9983466</v>
      </c>
      <c r="AM192">
        <f>IF(LAM_API_TABLE[[#This Row],[Alternative_Data_Approval_Status]]="Approved",LAM_API_TABLE[[#This Row],[Pool_area_sqft_Alternative]],LAM_API_TABLE[[#This Row],[Pool_area_sqft]])</f>
        <v>573759</v>
      </c>
      <c r="AN192">
        <f>IF(LAM_API_TABLE[[#This Row],[Alternative_Data_Approval_Status]]="Approved",LAM_API_TABLE[[#This Row],[Total_II_sqft_Alternative]],LAM_API_TABLE[[#This Row],[Total_II_sqft]])</f>
        <v>21740531</v>
      </c>
      <c r="AO192">
        <f>IF(LAM_API_TABLE[[#This Row],[Alternative_Data_Approval_Status]]="Approved",LAM_API_TABLE[[#This Row],[Total_INI_sqft_Alternative]],LAM_API_TABLE[[#This Row],[Total_INI_sqft]])</f>
        <v>7756985</v>
      </c>
      <c r="AP192">
        <f>IF(LAM_API_TABLE[[#This Row],[New_Res_Constr_Approval_Status]]="Approved",LAM_API_TABLE[[#This Row],[New_Res_Constr_sqft]],0)</f>
        <v>0</v>
      </c>
      <c r="AQ192">
        <f>IF(LAM_API_TABLE[[#This Row],[New_Res_Constr_Approval_Status]]="Approved",LAM_API_TABLE[[#This Row],[New_Res_SLA_norec_sqft]],0)</f>
        <v>0</v>
      </c>
      <c r="AR192">
        <f>IF(LAM_API_TABLE[[#This Row],[New_Res_Constr_Approval_Status]]="Approved",LAM_API_TABLE[[#This Row],[New_Res_SLA_rec_sqft]],0)</f>
        <v>0</v>
      </c>
      <c r="AS192">
        <f>IF(LAM_API_TABLE[[#This Row],[Existing_Res_SLA_Data_Approval_Status]]="Approved",LAM_API_TABLE[[#This Row],[Existing_Res_SLA_norec_sqft]],0)</f>
        <v>0</v>
      </c>
      <c r="AT192">
        <f>IF(LAM_API_TABLE[[#This Row],[Existing_Res_SLA_Data_Approval_Status]]="Approved",LAM_API_TABLE[[#This Row],[Existing_Res_SLA_rec_sqft]],0)</f>
        <v>0</v>
      </c>
    </row>
    <row r="193" spans="1:46" x14ac:dyDescent="0.25">
      <c r="A193" t="s">
        <v>1591</v>
      </c>
      <c r="B193" t="s">
        <v>1592</v>
      </c>
      <c r="C193" t="s">
        <v>3093</v>
      </c>
      <c r="D193" t="s">
        <v>3094</v>
      </c>
      <c r="E193">
        <v>2018</v>
      </c>
      <c r="H193">
        <v>602984</v>
      </c>
      <c r="I193">
        <v>55540710</v>
      </c>
      <c r="J193">
        <v>18053397</v>
      </c>
      <c r="K193">
        <v>112676700</v>
      </c>
      <c r="L193">
        <v>59151389</v>
      </c>
      <c r="M193" t="s">
        <v>1859</v>
      </c>
      <c r="AK193">
        <f>IF(LAM_API_TABLE[[#This Row],[Alternative_Data_Approval_Status]]="Approved",LAM_API_TABLE[[#This Row],[HCL_area_sqft_Alternative]],LAM_API_TABLE[[#This Row],[HCL_area_sqft]])</f>
        <v>0</v>
      </c>
      <c r="AL193">
        <f>IF(LAM_API_TABLE[[#This Row],[Alternative_Data_Approval_Status]]="Approved",LAM_API_TABLE[[#This Row],[Ag_area_sqft_Alternative]],LAM_API_TABLE[[#This Row],[Ag_area_sqft]])</f>
        <v>0</v>
      </c>
      <c r="AM193">
        <f>IF(LAM_API_TABLE[[#This Row],[Alternative_Data_Approval_Status]]="Approved",LAM_API_TABLE[[#This Row],[Pool_area_sqft_Alternative]],LAM_API_TABLE[[#This Row],[Pool_area_sqft]])</f>
        <v>602984</v>
      </c>
      <c r="AN193">
        <f>IF(LAM_API_TABLE[[#This Row],[Alternative_Data_Approval_Status]]="Approved",LAM_API_TABLE[[#This Row],[Total_II_sqft_Alternative]],LAM_API_TABLE[[#This Row],[Total_II_sqft]])</f>
        <v>55540710</v>
      </c>
      <c r="AO193">
        <f>IF(LAM_API_TABLE[[#This Row],[Alternative_Data_Approval_Status]]="Approved",LAM_API_TABLE[[#This Row],[Total_INI_sqft_Alternative]],LAM_API_TABLE[[#This Row],[Total_INI_sqft]])</f>
        <v>18053397</v>
      </c>
      <c r="AP193">
        <f>IF(LAM_API_TABLE[[#This Row],[New_Res_Constr_Approval_Status]]="Approved",LAM_API_TABLE[[#This Row],[New_Res_Constr_sqft]],0)</f>
        <v>0</v>
      </c>
      <c r="AQ193">
        <f>IF(LAM_API_TABLE[[#This Row],[New_Res_Constr_Approval_Status]]="Approved",LAM_API_TABLE[[#This Row],[New_Res_SLA_norec_sqft]],0)</f>
        <v>0</v>
      </c>
      <c r="AR193">
        <f>IF(LAM_API_TABLE[[#This Row],[New_Res_Constr_Approval_Status]]="Approved",LAM_API_TABLE[[#This Row],[New_Res_SLA_rec_sqft]],0)</f>
        <v>0</v>
      </c>
      <c r="AS193">
        <f>IF(LAM_API_TABLE[[#This Row],[Existing_Res_SLA_Data_Approval_Status]]="Approved",LAM_API_TABLE[[#This Row],[Existing_Res_SLA_norec_sqft]],0)</f>
        <v>0</v>
      </c>
      <c r="AT193">
        <f>IF(LAM_API_TABLE[[#This Row],[Existing_Res_SLA_Data_Approval_Status]]="Approved",LAM_API_TABLE[[#This Row],[Existing_Res_SLA_rec_sqft]],0)</f>
        <v>0</v>
      </c>
    </row>
    <row r="194" spans="1:46" x14ac:dyDescent="0.25">
      <c r="A194" t="s">
        <v>1595</v>
      </c>
      <c r="B194" t="s">
        <v>1596</v>
      </c>
      <c r="C194" t="s">
        <v>815</v>
      </c>
      <c r="D194" t="s">
        <v>3095</v>
      </c>
      <c r="E194">
        <v>2018</v>
      </c>
      <c r="F194">
        <v>14118</v>
      </c>
      <c r="H194">
        <v>183897</v>
      </c>
      <c r="I194">
        <v>10404252</v>
      </c>
      <c r="J194">
        <v>12728097</v>
      </c>
      <c r="K194">
        <v>20426144</v>
      </c>
      <c r="L194">
        <v>12949871</v>
      </c>
      <c r="M194" t="s">
        <v>1859</v>
      </c>
      <c r="AK194">
        <f>IF(LAM_API_TABLE[[#This Row],[Alternative_Data_Approval_Status]]="Approved",LAM_API_TABLE[[#This Row],[HCL_area_sqft_Alternative]],LAM_API_TABLE[[#This Row],[HCL_area_sqft]])</f>
        <v>14118</v>
      </c>
      <c r="AL194">
        <f>IF(LAM_API_TABLE[[#This Row],[Alternative_Data_Approval_Status]]="Approved",LAM_API_TABLE[[#This Row],[Ag_area_sqft_Alternative]],LAM_API_TABLE[[#This Row],[Ag_area_sqft]])</f>
        <v>0</v>
      </c>
      <c r="AM194">
        <f>IF(LAM_API_TABLE[[#This Row],[Alternative_Data_Approval_Status]]="Approved",LAM_API_TABLE[[#This Row],[Pool_area_sqft_Alternative]],LAM_API_TABLE[[#This Row],[Pool_area_sqft]])</f>
        <v>183897</v>
      </c>
      <c r="AN194">
        <f>IF(LAM_API_TABLE[[#This Row],[Alternative_Data_Approval_Status]]="Approved",LAM_API_TABLE[[#This Row],[Total_II_sqft_Alternative]],LAM_API_TABLE[[#This Row],[Total_II_sqft]])</f>
        <v>10404252</v>
      </c>
      <c r="AO194">
        <f>IF(LAM_API_TABLE[[#This Row],[Alternative_Data_Approval_Status]]="Approved",LAM_API_TABLE[[#This Row],[Total_INI_sqft_Alternative]],LAM_API_TABLE[[#This Row],[Total_INI_sqft]])</f>
        <v>12728097</v>
      </c>
      <c r="AP194">
        <f>IF(LAM_API_TABLE[[#This Row],[New_Res_Constr_Approval_Status]]="Approved",LAM_API_TABLE[[#This Row],[New_Res_Constr_sqft]],0)</f>
        <v>0</v>
      </c>
      <c r="AQ194">
        <f>IF(LAM_API_TABLE[[#This Row],[New_Res_Constr_Approval_Status]]="Approved",LAM_API_TABLE[[#This Row],[New_Res_SLA_norec_sqft]],0)</f>
        <v>0</v>
      </c>
      <c r="AR194">
        <f>IF(LAM_API_TABLE[[#This Row],[New_Res_Constr_Approval_Status]]="Approved",LAM_API_TABLE[[#This Row],[New_Res_SLA_rec_sqft]],0)</f>
        <v>0</v>
      </c>
      <c r="AS194">
        <f>IF(LAM_API_TABLE[[#This Row],[Existing_Res_SLA_Data_Approval_Status]]="Approved",LAM_API_TABLE[[#This Row],[Existing_Res_SLA_norec_sqft]],0)</f>
        <v>0</v>
      </c>
      <c r="AT194">
        <f>IF(LAM_API_TABLE[[#This Row],[Existing_Res_SLA_Data_Approval_Status]]="Approved",LAM_API_TABLE[[#This Row],[Existing_Res_SLA_rec_sqft]],0)</f>
        <v>0</v>
      </c>
    </row>
    <row r="195" spans="1:46" x14ac:dyDescent="0.25">
      <c r="A195" t="s">
        <v>1599</v>
      </c>
      <c r="B195" t="s">
        <v>1600</v>
      </c>
      <c r="C195" t="s">
        <v>3096</v>
      </c>
      <c r="D195" t="s">
        <v>3097</v>
      </c>
      <c r="E195">
        <v>2018</v>
      </c>
      <c r="F195">
        <v>17190</v>
      </c>
      <c r="G195">
        <v>311870</v>
      </c>
      <c r="H195">
        <v>70088</v>
      </c>
      <c r="I195">
        <v>10749973</v>
      </c>
      <c r="J195">
        <v>11946710</v>
      </c>
      <c r="K195">
        <v>18605705</v>
      </c>
      <c r="L195">
        <v>13139315</v>
      </c>
      <c r="M195" t="s">
        <v>1859</v>
      </c>
      <c r="AK195">
        <f>IF(LAM_API_TABLE[[#This Row],[Alternative_Data_Approval_Status]]="Approved",LAM_API_TABLE[[#This Row],[HCL_area_sqft_Alternative]],LAM_API_TABLE[[#This Row],[HCL_area_sqft]])</f>
        <v>17190</v>
      </c>
      <c r="AL195">
        <f>IF(LAM_API_TABLE[[#This Row],[Alternative_Data_Approval_Status]]="Approved",LAM_API_TABLE[[#This Row],[Ag_area_sqft_Alternative]],LAM_API_TABLE[[#This Row],[Ag_area_sqft]])</f>
        <v>311870</v>
      </c>
      <c r="AM195">
        <f>IF(LAM_API_TABLE[[#This Row],[Alternative_Data_Approval_Status]]="Approved",LAM_API_TABLE[[#This Row],[Pool_area_sqft_Alternative]],LAM_API_TABLE[[#This Row],[Pool_area_sqft]])</f>
        <v>70088</v>
      </c>
      <c r="AN195">
        <f>IF(LAM_API_TABLE[[#This Row],[Alternative_Data_Approval_Status]]="Approved",LAM_API_TABLE[[#This Row],[Total_II_sqft_Alternative]],LAM_API_TABLE[[#This Row],[Total_II_sqft]])</f>
        <v>10749973</v>
      </c>
      <c r="AO195">
        <f>IF(LAM_API_TABLE[[#This Row],[Alternative_Data_Approval_Status]]="Approved",LAM_API_TABLE[[#This Row],[Total_INI_sqft_Alternative]],LAM_API_TABLE[[#This Row],[Total_INI_sqft]])</f>
        <v>11946710</v>
      </c>
      <c r="AP195">
        <f>IF(LAM_API_TABLE[[#This Row],[New_Res_Constr_Approval_Status]]="Approved",LAM_API_TABLE[[#This Row],[New_Res_Constr_sqft]],0)</f>
        <v>0</v>
      </c>
      <c r="AQ195">
        <f>IF(LAM_API_TABLE[[#This Row],[New_Res_Constr_Approval_Status]]="Approved",LAM_API_TABLE[[#This Row],[New_Res_SLA_norec_sqft]],0)</f>
        <v>0</v>
      </c>
      <c r="AR195">
        <f>IF(LAM_API_TABLE[[#This Row],[New_Res_Constr_Approval_Status]]="Approved",LAM_API_TABLE[[#This Row],[New_Res_SLA_rec_sqft]],0)</f>
        <v>0</v>
      </c>
      <c r="AS195">
        <f>IF(LAM_API_TABLE[[#This Row],[Existing_Res_SLA_Data_Approval_Status]]="Approved",LAM_API_TABLE[[#This Row],[Existing_Res_SLA_norec_sqft]],0)</f>
        <v>0</v>
      </c>
      <c r="AT195">
        <f>IF(LAM_API_TABLE[[#This Row],[Existing_Res_SLA_Data_Approval_Status]]="Approved",LAM_API_TABLE[[#This Row],[Existing_Res_SLA_rec_sqft]],0)</f>
        <v>0</v>
      </c>
    </row>
    <row r="196" spans="1:46" x14ac:dyDescent="0.25">
      <c r="A196" t="s">
        <v>1603</v>
      </c>
      <c r="B196" t="s">
        <v>1604</v>
      </c>
      <c r="AK196">
        <f>IF(LAM_API_TABLE[[#This Row],[Alternative_Data_Approval_Status]]="Approved",LAM_API_TABLE[[#This Row],[HCL_area_sqft_Alternative]],LAM_API_TABLE[[#This Row],[HCL_area_sqft]])</f>
        <v>0</v>
      </c>
      <c r="AL196">
        <f>IF(LAM_API_TABLE[[#This Row],[Alternative_Data_Approval_Status]]="Approved",LAM_API_TABLE[[#This Row],[Ag_area_sqft_Alternative]],LAM_API_TABLE[[#This Row],[Ag_area_sqft]])</f>
        <v>0</v>
      </c>
      <c r="AM196">
        <f>IF(LAM_API_TABLE[[#This Row],[Alternative_Data_Approval_Status]]="Approved",LAM_API_TABLE[[#This Row],[Pool_area_sqft_Alternative]],LAM_API_TABLE[[#This Row],[Pool_area_sqft]])</f>
        <v>0</v>
      </c>
      <c r="AN196">
        <f>IF(LAM_API_TABLE[[#This Row],[Alternative_Data_Approval_Status]]="Approved",LAM_API_TABLE[[#This Row],[Total_II_sqft_Alternative]],LAM_API_TABLE[[#This Row],[Total_II_sqft]])</f>
        <v>0</v>
      </c>
      <c r="AO196">
        <f>IF(LAM_API_TABLE[[#This Row],[Alternative_Data_Approval_Status]]="Approved",LAM_API_TABLE[[#This Row],[Total_INI_sqft_Alternative]],LAM_API_TABLE[[#This Row],[Total_INI_sqft]])</f>
        <v>0</v>
      </c>
      <c r="AP196">
        <f>IF(LAM_API_TABLE[[#This Row],[New_Res_Constr_Approval_Status]]="Approved",LAM_API_TABLE[[#This Row],[New_Res_Constr_sqft]],0)</f>
        <v>0</v>
      </c>
      <c r="AQ196">
        <f>IF(LAM_API_TABLE[[#This Row],[New_Res_Constr_Approval_Status]]="Approved",LAM_API_TABLE[[#This Row],[New_Res_SLA_norec_sqft]],0)</f>
        <v>0</v>
      </c>
      <c r="AR196">
        <f>IF(LAM_API_TABLE[[#This Row],[New_Res_Constr_Approval_Status]]="Approved",LAM_API_TABLE[[#This Row],[New_Res_SLA_rec_sqft]],0)</f>
        <v>0</v>
      </c>
      <c r="AS196">
        <f>IF(LAM_API_TABLE[[#This Row],[Existing_Res_SLA_Data_Approval_Status]]="Approved",LAM_API_TABLE[[#This Row],[Existing_Res_SLA_norec_sqft]],0)</f>
        <v>0</v>
      </c>
      <c r="AT196">
        <f>IF(LAM_API_TABLE[[#This Row],[Existing_Res_SLA_Data_Approval_Status]]="Approved",LAM_API_TABLE[[#This Row],[Existing_Res_SLA_rec_sqft]],0)</f>
        <v>0</v>
      </c>
    </row>
    <row r="197" spans="1:46" x14ac:dyDescent="0.25">
      <c r="A197" t="s">
        <v>1607</v>
      </c>
      <c r="B197" t="s">
        <v>1608</v>
      </c>
      <c r="C197" t="s">
        <v>3098</v>
      </c>
      <c r="D197" t="s">
        <v>3099</v>
      </c>
      <c r="E197">
        <v>2018</v>
      </c>
      <c r="G197">
        <v>374234</v>
      </c>
      <c r="H197">
        <v>327820</v>
      </c>
      <c r="I197">
        <v>27169306</v>
      </c>
      <c r="J197">
        <v>5222165</v>
      </c>
      <c r="K197">
        <v>48055989</v>
      </c>
      <c r="L197">
        <v>28213739</v>
      </c>
      <c r="M197" t="s">
        <v>1859</v>
      </c>
      <c r="AK197">
        <f>IF(LAM_API_TABLE[[#This Row],[Alternative_Data_Approval_Status]]="Approved",LAM_API_TABLE[[#This Row],[HCL_area_sqft_Alternative]],LAM_API_TABLE[[#This Row],[HCL_area_sqft]])</f>
        <v>0</v>
      </c>
      <c r="AL197">
        <f>IF(LAM_API_TABLE[[#This Row],[Alternative_Data_Approval_Status]]="Approved",LAM_API_TABLE[[#This Row],[Ag_area_sqft_Alternative]],LAM_API_TABLE[[#This Row],[Ag_area_sqft]])</f>
        <v>374234</v>
      </c>
      <c r="AM197">
        <f>IF(LAM_API_TABLE[[#This Row],[Alternative_Data_Approval_Status]]="Approved",LAM_API_TABLE[[#This Row],[Pool_area_sqft_Alternative]],LAM_API_TABLE[[#This Row],[Pool_area_sqft]])</f>
        <v>327820</v>
      </c>
      <c r="AN197">
        <f>IF(LAM_API_TABLE[[#This Row],[Alternative_Data_Approval_Status]]="Approved",LAM_API_TABLE[[#This Row],[Total_II_sqft_Alternative]],LAM_API_TABLE[[#This Row],[Total_II_sqft]])</f>
        <v>27169306</v>
      </c>
      <c r="AO197">
        <f>IF(LAM_API_TABLE[[#This Row],[Alternative_Data_Approval_Status]]="Approved",LAM_API_TABLE[[#This Row],[Total_INI_sqft_Alternative]],LAM_API_TABLE[[#This Row],[Total_INI_sqft]])</f>
        <v>5222165</v>
      </c>
      <c r="AP197">
        <f>IF(LAM_API_TABLE[[#This Row],[New_Res_Constr_Approval_Status]]="Approved",LAM_API_TABLE[[#This Row],[New_Res_Constr_sqft]],0)</f>
        <v>0</v>
      </c>
      <c r="AQ197">
        <f>IF(LAM_API_TABLE[[#This Row],[New_Res_Constr_Approval_Status]]="Approved",LAM_API_TABLE[[#This Row],[New_Res_SLA_norec_sqft]],0)</f>
        <v>0</v>
      </c>
      <c r="AR197">
        <f>IF(LAM_API_TABLE[[#This Row],[New_Res_Constr_Approval_Status]]="Approved",LAM_API_TABLE[[#This Row],[New_Res_SLA_rec_sqft]],0)</f>
        <v>0</v>
      </c>
      <c r="AS197">
        <f>IF(LAM_API_TABLE[[#This Row],[Existing_Res_SLA_Data_Approval_Status]]="Approved",LAM_API_TABLE[[#This Row],[Existing_Res_SLA_norec_sqft]],0)</f>
        <v>0</v>
      </c>
      <c r="AT197">
        <f>IF(LAM_API_TABLE[[#This Row],[Existing_Res_SLA_Data_Approval_Status]]="Approved",LAM_API_TABLE[[#This Row],[Existing_Res_SLA_rec_sqft]],0)</f>
        <v>0</v>
      </c>
    </row>
    <row r="198" spans="1:46" x14ac:dyDescent="0.25">
      <c r="A198" t="s">
        <v>1611</v>
      </c>
      <c r="B198" t="s">
        <v>3100</v>
      </c>
      <c r="C198" t="s">
        <v>819</v>
      </c>
      <c r="D198" t="s">
        <v>3101</v>
      </c>
      <c r="E198">
        <v>2018</v>
      </c>
      <c r="G198">
        <v>1907554</v>
      </c>
      <c r="H198">
        <v>43840</v>
      </c>
      <c r="I198">
        <v>7377709</v>
      </c>
      <c r="J198">
        <v>2692895</v>
      </c>
      <c r="K198">
        <v>17006613</v>
      </c>
      <c r="L198">
        <v>7916288</v>
      </c>
      <c r="M198" t="s">
        <v>1859</v>
      </c>
      <c r="AK198">
        <f>IF(LAM_API_TABLE[[#This Row],[Alternative_Data_Approval_Status]]="Approved",LAM_API_TABLE[[#This Row],[HCL_area_sqft_Alternative]],LAM_API_TABLE[[#This Row],[HCL_area_sqft]])</f>
        <v>0</v>
      </c>
      <c r="AL198">
        <f>IF(LAM_API_TABLE[[#This Row],[Alternative_Data_Approval_Status]]="Approved",LAM_API_TABLE[[#This Row],[Ag_area_sqft_Alternative]],LAM_API_TABLE[[#This Row],[Ag_area_sqft]])</f>
        <v>1907554</v>
      </c>
      <c r="AM198">
        <f>IF(LAM_API_TABLE[[#This Row],[Alternative_Data_Approval_Status]]="Approved",LAM_API_TABLE[[#This Row],[Pool_area_sqft_Alternative]],LAM_API_TABLE[[#This Row],[Pool_area_sqft]])</f>
        <v>43840</v>
      </c>
      <c r="AN198">
        <f>IF(LAM_API_TABLE[[#This Row],[Alternative_Data_Approval_Status]]="Approved",LAM_API_TABLE[[#This Row],[Total_II_sqft_Alternative]],LAM_API_TABLE[[#This Row],[Total_II_sqft]])</f>
        <v>7377709</v>
      </c>
      <c r="AO198">
        <f>IF(LAM_API_TABLE[[#This Row],[Alternative_Data_Approval_Status]]="Approved",LAM_API_TABLE[[#This Row],[Total_INI_sqft_Alternative]],LAM_API_TABLE[[#This Row],[Total_INI_sqft]])</f>
        <v>2692895</v>
      </c>
      <c r="AP198">
        <f>IF(LAM_API_TABLE[[#This Row],[New_Res_Constr_Approval_Status]]="Approved",LAM_API_TABLE[[#This Row],[New_Res_Constr_sqft]],0)</f>
        <v>0</v>
      </c>
      <c r="AQ198">
        <f>IF(LAM_API_TABLE[[#This Row],[New_Res_Constr_Approval_Status]]="Approved",LAM_API_TABLE[[#This Row],[New_Res_SLA_norec_sqft]],0)</f>
        <v>0</v>
      </c>
      <c r="AR198">
        <f>IF(LAM_API_TABLE[[#This Row],[New_Res_Constr_Approval_Status]]="Approved",LAM_API_TABLE[[#This Row],[New_Res_SLA_rec_sqft]],0)</f>
        <v>0</v>
      </c>
      <c r="AS198">
        <f>IF(LAM_API_TABLE[[#This Row],[Existing_Res_SLA_Data_Approval_Status]]="Approved",LAM_API_TABLE[[#This Row],[Existing_Res_SLA_norec_sqft]],0)</f>
        <v>0</v>
      </c>
      <c r="AT198">
        <f>IF(LAM_API_TABLE[[#This Row],[Existing_Res_SLA_Data_Approval_Status]]="Approved",LAM_API_TABLE[[#This Row],[Existing_Res_SLA_rec_sqft]],0)</f>
        <v>0</v>
      </c>
    </row>
    <row r="199" spans="1:46" x14ac:dyDescent="0.25">
      <c r="A199" t="s">
        <v>1615</v>
      </c>
      <c r="B199" t="s">
        <v>1616</v>
      </c>
      <c r="C199" t="s">
        <v>823</v>
      </c>
      <c r="D199" t="s">
        <v>3102</v>
      </c>
      <c r="E199">
        <v>2018</v>
      </c>
      <c r="G199">
        <v>1757201</v>
      </c>
      <c r="H199">
        <v>651955</v>
      </c>
      <c r="I199">
        <v>49171347</v>
      </c>
      <c r="J199">
        <v>5316811</v>
      </c>
      <c r="K199">
        <v>80308231</v>
      </c>
      <c r="L199">
        <v>50234709</v>
      </c>
      <c r="M199" t="s">
        <v>1859</v>
      </c>
      <c r="AK199">
        <f>IF(LAM_API_TABLE[[#This Row],[Alternative_Data_Approval_Status]]="Approved",LAM_API_TABLE[[#This Row],[HCL_area_sqft_Alternative]],LAM_API_TABLE[[#This Row],[HCL_area_sqft]])</f>
        <v>0</v>
      </c>
      <c r="AL199">
        <f>IF(LAM_API_TABLE[[#This Row],[Alternative_Data_Approval_Status]]="Approved",LAM_API_TABLE[[#This Row],[Ag_area_sqft_Alternative]],LAM_API_TABLE[[#This Row],[Ag_area_sqft]])</f>
        <v>1757201</v>
      </c>
      <c r="AM199">
        <f>IF(LAM_API_TABLE[[#This Row],[Alternative_Data_Approval_Status]]="Approved",LAM_API_TABLE[[#This Row],[Pool_area_sqft_Alternative]],LAM_API_TABLE[[#This Row],[Pool_area_sqft]])</f>
        <v>651955</v>
      </c>
      <c r="AN199">
        <f>IF(LAM_API_TABLE[[#This Row],[Alternative_Data_Approval_Status]]="Approved",LAM_API_TABLE[[#This Row],[Total_II_sqft_Alternative]],LAM_API_TABLE[[#This Row],[Total_II_sqft]])</f>
        <v>49171347</v>
      </c>
      <c r="AO199">
        <f>IF(LAM_API_TABLE[[#This Row],[Alternative_Data_Approval_Status]]="Approved",LAM_API_TABLE[[#This Row],[Total_INI_sqft_Alternative]],LAM_API_TABLE[[#This Row],[Total_INI_sqft]])</f>
        <v>5316811</v>
      </c>
      <c r="AP199">
        <f>IF(LAM_API_TABLE[[#This Row],[New_Res_Constr_Approval_Status]]="Approved",LAM_API_TABLE[[#This Row],[New_Res_Constr_sqft]],0)</f>
        <v>0</v>
      </c>
      <c r="AQ199">
        <f>IF(LAM_API_TABLE[[#This Row],[New_Res_Constr_Approval_Status]]="Approved",LAM_API_TABLE[[#This Row],[New_Res_SLA_norec_sqft]],0)</f>
        <v>0</v>
      </c>
      <c r="AR199">
        <f>IF(LAM_API_TABLE[[#This Row],[New_Res_Constr_Approval_Status]]="Approved",LAM_API_TABLE[[#This Row],[New_Res_SLA_rec_sqft]],0)</f>
        <v>0</v>
      </c>
      <c r="AS199">
        <f>IF(LAM_API_TABLE[[#This Row],[Existing_Res_SLA_Data_Approval_Status]]="Approved",LAM_API_TABLE[[#This Row],[Existing_Res_SLA_norec_sqft]],0)</f>
        <v>0</v>
      </c>
      <c r="AT199">
        <f>IF(LAM_API_TABLE[[#This Row],[Existing_Res_SLA_Data_Approval_Status]]="Approved",LAM_API_TABLE[[#This Row],[Existing_Res_SLA_rec_sqft]],0)</f>
        <v>0</v>
      </c>
    </row>
    <row r="200" spans="1:46" x14ac:dyDescent="0.25">
      <c r="A200" t="s">
        <v>1619</v>
      </c>
      <c r="B200" t="s">
        <v>3103</v>
      </c>
      <c r="C200" t="s">
        <v>3104</v>
      </c>
      <c r="D200" t="s">
        <v>3105</v>
      </c>
      <c r="E200">
        <v>2018</v>
      </c>
      <c r="F200">
        <v>1998</v>
      </c>
      <c r="G200">
        <v>3187411</v>
      </c>
      <c r="H200">
        <v>220746</v>
      </c>
      <c r="I200">
        <v>18643996</v>
      </c>
      <c r="J200">
        <v>6442766</v>
      </c>
      <c r="K200">
        <v>36309817</v>
      </c>
      <c r="L200">
        <v>19932549</v>
      </c>
      <c r="M200" t="s">
        <v>1859</v>
      </c>
      <c r="AK200">
        <f>IF(LAM_API_TABLE[[#This Row],[Alternative_Data_Approval_Status]]="Approved",LAM_API_TABLE[[#This Row],[HCL_area_sqft_Alternative]],LAM_API_TABLE[[#This Row],[HCL_area_sqft]])</f>
        <v>1998</v>
      </c>
      <c r="AL200">
        <f>IF(LAM_API_TABLE[[#This Row],[Alternative_Data_Approval_Status]]="Approved",LAM_API_TABLE[[#This Row],[Ag_area_sqft_Alternative]],LAM_API_TABLE[[#This Row],[Ag_area_sqft]])</f>
        <v>3187411</v>
      </c>
      <c r="AM200">
        <f>IF(LAM_API_TABLE[[#This Row],[Alternative_Data_Approval_Status]]="Approved",LAM_API_TABLE[[#This Row],[Pool_area_sqft_Alternative]],LAM_API_TABLE[[#This Row],[Pool_area_sqft]])</f>
        <v>220746</v>
      </c>
      <c r="AN200">
        <f>IF(LAM_API_TABLE[[#This Row],[Alternative_Data_Approval_Status]]="Approved",LAM_API_TABLE[[#This Row],[Total_II_sqft_Alternative]],LAM_API_TABLE[[#This Row],[Total_II_sqft]])</f>
        <v>18643996</v>
      </c>
      <c r="AO200">
        <f>IF(LAM_API_TABLE[[#This Row],[Alternative_Data_Approval_Status]]="Approved",LAM_API_TABLE[[#This Row],[Total_INI_sqft_Alternative]],LAM_API_TABLE[[#This Row],[Total_INI_sqft]])</f>
        <v>6442766</v>
      </c>
      <c r="AP200">
        <f>IF(LAM_API_TABLE[[#This Row],[New_Res_Constr_Approval_Status]]="Approved",LAM_API_TABLE[[#This Row],[New_Res_Constr_sqft]],0)</f>
        <v>0</v>
      </c>
      <c r="AQ200">
        <f>IF(LAM_API_TABLE[[#This Row],[New_Res_Constr_Approval_Status]]="Approved",LAM_API_TABLE[[#This Row],[New_Res_SLA_norec_sqft]],0)</f>
        <v>0</v>
      </c>
      <c r="AR200">
        <f>IF(LAM_API_TABLE[[#This Row],[New_Res_Constr_Approval_Status]]="Approved",LAM_API_TABLE[[#This Row],[New_Res_SLA_rec_sqft]],0)</f>
        <v>0</v>
      </c>
      <c r="AS200">
        <f>IF(LAM_API_TABLE[[#This Row],[Existing_Res_SLA_Data_Approval_Status]]="Approved",LAM_API_TABLE[[#This Row],[Existing_Res_SLA_norec_sqft]],0)</f>
        <v>0</v>
      </c>
      <c r="AT200">
        <f>IF(LAM_API_TABLE[[#This Row],[Existing_Res_SLA_Data_Approval_Status]]="Approved",LAM_API_TABLE[[#This Row],[Existing_Res_SLA_rec_sqft]],0)</f>
        <v>0</v>
      </c>
    </row>
    <row r="201" spans="1:46" x14ac:dyDescent="0.25">
      <c r="A201" t="s">
        <v>1623</v>
      </c>
      <c r="B201" t="s">
        <v>3106</v>
      </c>
      <c r="C201" t="s">
        <v>3107</v>
      </c>
      <c r="D201" t="s">
        <v>3108</v>
      </c>
      <c r="E201">
        <v>2018</v>
      </c>
      <c r="H201">
        <v>81695</v>
      </c>
      <c r="I201">
        <v>7776883</v>
      </c>
      <c r="J201">
        <v>4290458</v>
      </c>
      <c r="K201">
        <v>19707030</v>
      </c>
      <c r="L201">
        <v>8634975</v>
      </c>
      <c r="M201" t="s">
        <v>1859</v>
      </c>
      <c r="AK201">
        <f>IF(LAM_API_TABLE[[#This Row],[Alternative_Data_Approval_Status]]="Approved",LAM_API_TABLE[[#This Row],[HCL_area_sqft_Alternative]],LAM_API_TABLE[[#This Row],[HCL_area_sqft]])</f>
        <v>0</v>
      </c>
      <c r="AL201">
        <f>IF(LAM_API_TABLE[[#This Row],[Alternative_Data_Approval_Status]]="Approved",LAM_API_TABLE[[#This Row],[Ag_area_sqft_Alternative]],LAM_API_TABLE[[#This Row],[Ag_area_sqft]])</f>
        <v>0</v>
      </c>
      <c r="AM201">
        <f>IF(LAM_API_TABLE[[#This Row],[Alternative_Data_Approval_Status]]="Approved",LAM_API_TABLE[[#This Row],[Pool_area_sqft_Alternative]],LAM_API_TABLE[[#This Row],[Pool_area_sqft]])</f>
        <v>81695</v>
      </c>
      <c r="AN201">
        <f>IF(LAM_API_TABLE[[#This Row],[Alternative_Data_Approval_Status]]="Approved",LAM_API_TABLE[[#This Row],[Total_II_sqft_Alternative]],LAM_API_TABLE[[#This Row],[Total_II_sqft]])</f>
        <v>7776883</v>
      </c>
      <c r="AO201">
        <f>IF(LAM_API_TABLE[[#This Row],[Alternative_Data_Approval_Status]]="Approved",LAM_API_TABLE[[#This Row],[Total_INI_sqft_Alternative]],LAM_API_TABLE[[#This Row],[Total_INI_sqft]])</f>
        <v>4290458</v>
      </c>
      <c r="AP201">
        <f>IF(LAM_API_TABLE[[#This Row],[New_Res_Constr_Approval_Status]]="Approved",LAM_API_TABLE[[#This Row],[New_Res_Constr_sqft]],0)</f>
        <v>0</v>
      </c>
      <c r="AQ201">
        <f>IF(LAM_API_TABLE[[#This Row],[New_Res_Constr_Approval_Status]]="Approved",LAM_API_TABLE[[#This Row],[New_Res_SLA_norec_sqft]],0)</f>
        <v>0</v>
      </c>
      <c r="AR201">
        <f>IF(LAM_API_TABLE[[#This Row],[New_Res_Constr_Approval_Status]]="Approved",LAM_API_TABLE[[#This Row],[New_Res_SLA_rec_sqft]],0)</f>
        <v>0</v>
      </c>
      <c r="AS201">
        <f>IF(LAM_API_TABLE[[#This Row],[Existing_Res_SLA_Data_Approval_Status]]="Approved",LAM_API_TABLE[[#This Row],[Existing_Res_SLA_norec_sqft]],0)</f>
        <v>0</v>
      </c>
      <c r="AT201">
        <f>IF(LAM_API_TABLE[[#This Row],[Existing_Res_SLA_Data_Approval_Status]]="Approved",LAM_API_TABLE[[#This Row],[Existing_Res_SLA_rec_sqft]],0)</f>
        <v>0</v>
      </c>
    </row>
    <row r="202" spans="1:46" x14ac:dyDescent="0.25">
      <c r="A202" t="s">
        <v>1627</v>
      </c>
      <c r="B202" t="s">
        <v>3109</v>
      </c>
      <c r="C202" t="s">
        <v>3110</v>
      </c>
      <c r="D202" t="s">
        <v>3111</v>
      </c>
      <c r="E202">
        <v>2018</v>
      </c>
      <c r="G202">
        <v>474939</v>
      </c>
      <c r="H202">
        <v>20869</v>
      </c>
      <c r="I202">
        <v>18679731</v>
      </c>
      <c r="J202">
        <v>9852468</v>
      </c>
      <c r="K202">
        <v>50685762</v>
      </c>
      <c r="L202">
        <v>20650225</v>
      </c>
      <c r="M202" t="s">
        <v>1859</v>
      </c>
      <c r="AK202">
        <f>IF(LAM_API_TABLE[[#This Row],[Alternative_Data_Approval_Status]]="Approved",LAM_API_TABLE[[#This Row],[HCL_area_sqft_Alternative]],LAM_API_TABLE[[#This Row],[HCL_area_sqft]])</f>
        <v>0</v>
      </c>
      <c r="AL202">
        <f>IF(LAM_API_TABLE[[#This Row],[Alternative_Data_Approval_Status]]="Approved",LAM_API_TABLE[[#This Row],[Ag_area_sqft_Alternative]],LAM_API_TABLE[[#This Row],[Ag_area_sqft]])</f>
        <v>474939</v>
      </c>
      <c r="AM202">
        <f>IF(LAM_API_TABLE[[#This Row],[Alternative_Data_Approval_Status]]="Approved",LAM_API_TABLE[[#This Row],[Pool_area_sqft_Alternative]],LAM_API_TABLE[[#This Row],[Pool_area_sqft]])</f>
        <v>20869</v>
      </c>
      <c r="AN202">
        <f>IF(LAM_API_TABLE[[#This Row],[Alternative_Data_Approval_Status]]="Approved",LAM_API_TABLE[[#This Row],[Total_II_sqft_Alternative]],LAM_API_TABLE[[#This Row],[Total_II_sqft]])</f>
        <v>18679731</v>
      </c>
      <c r="AO202">
        <f>IF(LAM_API_TABLE[[#This Row],[Alternative_Data_Approval_Status]]="Approved",LAM_API_TABLE[[#This Row],[Total_INI_sqft_Alternative]],LAM_API_TABLE[[#This Row],[Total_INI_sqft]])</f>
        <v>9852468</v>
      </c>
      <c r="AP202">
        <f>IF(LAM_API_TABLE[[#This Row],[New_Res_Constr_Approval_Status]]="Approved",LAM_API_TABLE[[#This Row],[New_Res_Constr_sqft]],0)</f>
        <v>0</v>
      </c>
      <c r="AQ202">
        <f>IF(LAM_API_TABLE[[#This Row],[New_Res_Constr_Approval_Status]]="Approved",LAM_API_TABLE[[#This Row],[New_Res_SLA_norec_sqft]],0)</f>
        <v>0</v>
      </c>
      <c r="AR202">
        <f>IF(LAM_API_TABLE[[#This Row],[New_Res_Constr_Approval_Status]]="Approved",LAM_API_TABLE[[#This Row],[New_Res_SLA_rec_sqft]],0)</f>
        <v>0</v>
      </c>
      <c r="AS202">
        <f>IF(LAM_API_TABLE[[#This Row],[Existing_Res_SLA_Data_Approval_Status]]="Approved",LAM_API_TABLE[[#This Row],[Existing_Res_SLA_norec_sqft]],0)</f>
        <v>0</v>
      </c>
      <c r="AT202">
        <f>IF(LAM_API_TABLE[[#This Row],[Existing_Res_SLA_Data_Approval_Status]]="Approved",LAM_API_TABLE[[#This Row],[Existing_Res_SLA_rec_sqft]],0)</f>
        <v>0</v>
      </c>
    </row>
    <row r="203" spans="1:46" x14ac:dyDescent="0.25">
      <c r="A203" t="s">
        <v>1631</v>
      </c>
      <c r="B203" t="s">
        <v>3112</v>
      </c>
      <c r="C203" t="s">
        <v>3113</v>
      </c>
      <c r="D203" t="s">
        <v>3114</v>
      </c>
      <c r="E203">
        <v>2018</v>
      </c>
      <c r="F203">
        <v>3489</v>
      </c>
      <c r="H203">
        <v>2076729</v>
      </c>
      <c r="I203">
        <v>114942420</v>
      </c>
      <c r="J203">
        <v>42288237</v>
      </c>
      <c r="K203">
        <v>340544403</v>
      </c>
      <c r="L203">
        <v>123400067</v>
      </c>
      <c r="M203" t="s">
        <v>1859</v>
      </c>
      <c r="AK203">
        <f>IF(LAM_API_TABLE[[#This Row],[Alternative_Data_Approval_Status]]="Approved",LAM_API_TABLE[[#This Row],[HCL_area_sqft_Alternative]],LAM_API_TABLE[[#This Row],[HCL_area_sqft]])</f>
        <v>3489</v>
      </c>
      <c r="AL203">
        <f>IF(LAM_API_TABLE[[#This Row],[Alternative_Data_Approval_Status]]="Approved",LAM_API_TABLE[[#This Row],[Ag_area_sqft_Alternative]],LAM_API_TABLE[[#This Row],[Ag_area_sqft]])</f>
        <v>0</v>
      </c>
      <c r="AM203">
        <f>IF(LAM_API_TABLE[[#This Row],[Alternative_Data_Approval_Status]]="Approved",LAM_API_TABLE[[#This Row],[Pool_area_sqft_Alternative]],LAM_API_TABLE[[#This Row],[Pool_area_sqft]])</f>
        <v>2076729</v>
      </c>
      <c r="AN203">
        <f>IF(LAM_API_TABLE[[#This Row],[Alternative_Data_Approval_Status]]="Approved",LAM_API_TABLE[[#This Row],[Total_II_sqft_Alternative]],LAM_API_TABLE[[#This Row],[Total_II_sqft]])</f>
        <v>114942420</v>
      </c>
      <c r="AO203">
        <f>IF(LAM_API_TABLE[[#This Row],[Alternative_Data_Approval_Status]]="Approved",LAM_API_TABLE[[#This Row],[Total_INI_sqft_Alternative]],LAM_API_TABLE[[#This Row],[Total_INI_sqft]])</f>
        <v>42288237</v>
      </c>
      <c r="AP203">
        <f>IF(LAM_API_TABLE[[#This Row],[New_Res_Constr_Approval_Status]]="Approved",LAM_API_TABLE[[#This Row],[New_Res_Constr_sqft]],0)</f>
        <v>0</v>
      </c>
      <c r="AQ203">
        <f>IF(LAM_API_TABLE[[#This Row],[New_Res_Constr_Approval_Status]]="Approved",LAM_API_TABLE[[#This Row],[New_Res_SLA_norec_sqft]],0)</f>
        <v>0</v>
      </c>
      <c r="AR203">
        <f>IF(LAM_API_TABLE[[#This Row],[New_Res_Constr_Approval_Status]]="Approved",LAM_API_TABLE[[#This Row],[New_Res_SLA_rec_sqft]],0)</f>
        <v>0</v>
      </c>
      <c r="AS203">
        <f>IF(LAM_API_TABLE[[#This Row],[Existing_Res_SLA_Data_Approval_Status]]="Approved",LAM_API_TABLE[[#This Row],[Existing_Res_SLA_norec_sqft]],0)</f>
        <v>0</v>
      </c>
      <c r="AT203">
        <f>IF(LAM_API_TABLE[[#This Row],[Existing_Res_SLA_Data_Approval_Status]]="Approved",LAM_API_TABLE[[#This Row],[Existing_Res_SLA_rec_sqft]],0)</f>
        <v>0</v>
      </c>
    </row>
    <row r="204" spans="1:46" x14ac:dyDescent="0.25">
      <c r="A204" t="s">
        <v>1635</v>
      </c>
      <c r="B204" t="s">
        <v>3115</v>
      </c>
      <c r="C204" t="s">
        <v>3116</v>
      </c>
      <c r="D204" t="s">
        <v>3117</v>
      </c>
      <c r="E204">
        <v>2018</v>
      </c>
      <c r="F204">
        <v>1253949</v>
      </c>
      <c r="G204">
        <v>1199181</v>
      </c>
      <c r="H204">
        <v>36782745</v>
      </c>
      <c r="I204">
        <v>1486124854</v>
      </c>
      <c r="J204">
        <v>775040545</v>
      </c>
      <c r="K204">
        <v>4207554272</v>
      </c>
      <c r="L204">
        <v>1641132963</v>
      </c>
      <c r="M204" t="s">
        <v>1859</v>
      </c>
      <c r="AK204">
        <f>IF(LAM_API_TABLE[[#This Row],[Alternative_Data_Approval_Status]]="Approved",LAM_API_TABLE[[#This Row],[HCL_area_sqft_Alternative]],LAM_API_TABLE[[#This Row],[HCL_area_sqft]])</f>
        <v>1253949</v>
      </c>
      <c r="AL204">
        <f>IF(LAM_API_TABLE[[#This Row],[Alternative_Data_Approval_Status]]="Approved",LAM_API_TABLE[[#This Row],[Ag_area_sqft_Alternative]],LAM_API_TABLE[[#This Row],[Ag_area_sqft]])</f>
        <v>1199181</v>
      </c>
      <c r="AM204">
        <f>IF(LAM_API_TABLE[[#This Row],[Alternative_Data_Approval_Status]]="Approved",LAM_API_TABLE[[#This Row],[Pool_area_sqft_Alternative]],LAM_API_TABLE[[#This Row],[Pool_area_sqft]])</f>
        <v>36782745</v>
      </c>
      <c r="AN204">
        <f>IF(LAM_API_TABLE[[#This Row],[Alternative_Data_Approval_Status]]="Approved",LAM_API_TABLE[[#This Row],[Total_II_sqft_Alternative]],LAM_API_TABLE[[#This Row],[Total_II_sqft]])</f>
        <v>1486124854</v>
      </c>
      <c r="AO204">
        <f>IF(LAM_API_TABLE[[#This Row],[Alternative_Data_Approval_Status]]="Approved",LAM_API_TABLE[[#This Row],[Total_INI_sqft_Alternative]],LAM_API_TABLE[[#This Row],[Total_INI_sqft]])</f>
        <v>775040545</v>
      </c>
      <c r="AP204">
        <f>IF(LAM_API_TABLE[[#This Row],[New_Res_Constr_Approval_Status]]="Approved",LAM_API_TABLE[[#This Row],[New_Res_Constr_sqft]],0)</f>
        <v>0</v>
      </c>
      <c r="AQ204">
        <f>IF(LAM_API_TABLE[[#This Row],[New_Res_Constr_Approval_Status]]="Approved",LAM_API_TABLE[[#This Row],[New_Res_SLA_norec_sqft]],0)</f>
        <v>0</v>
      </c>
      <c r="AR204">
        <f>IF(LAM_API_TABLE[[#This Row],[New_Res_Constr_Approval_Status]]="Approved",LAM_API_TABLE[[#This Row],[New_Res_SLA_rec_sqft]],0)</f>
        <v>0</v>
      </c>
      <c r="AS204">
        <f>IF(LAM_API_TABLE[[#This Row],[Existing_Res_SLA_Data_Approval_Status]]="Approved",LAM_API_TABLE[[#This Row],[Existing_Res_SLA_norec_sqft]],0)</f>
        <v>0</v>
      </c>
      <c r="AT204">
        <f>IF(LAM_API_TABLE[[#This Row],[Existing_Res_SLA_Data_Approval_Status]]="Approved",LAM_API_TABLE[[#This Row],[Existing_Res_SLA_rec_sqft]],0)</f>
        <v>0</v>
      </c>
    </row>
    <row r="205" spans="1:46" x14ac:dyDescent="0.25">
      <c r="A205" t="s">
        <v>1639</v>
      </c>
      <c r="B205" t="s">
        <v>1640</v>
      </c>
      <c r="C205" t="s">
        <v>3118</v>
      </c>
      <c r="D205" t="s">
        <v>3119</v>
      </c>
      <c r="E205">
        <v>2018</v>
      </c>
      <c r="F205">
        <v>782284</v>
      </c>
      <c r="G205">
        <v>890171</v>
      </c>
      <c r="H205">
        <v>692188</v>
      </c>
      <c r="I205">
        <v>69811425</v>
      </c>
      <c r="J205">
        <v>29512735</v>
      </c>
      <c r="K205">
        <v>315584632</v>
      </c>
      <c r="L205">
        <v>75713972</v>
      </c>
      <c r="M205" t="s">
        <v>1859</v>
      </c>
      <c r="AK205">
        <f>IF(LAM_API_TABLE[[#This Row],[Alternative_Data_Approval_Status]]="Approved",LAM_API_TABLE[[#This Row],[HCL_area_sqft_Alternative]],LAM_API_TABLE[[#This Row],[HCL_area_sqft]])</f>
        <v>782284</v>
      </c>
      <c r="AL205">
        <f>IF(LAM_API_TABLE[[#This Row],[Alternative_Data_Approval_Status]]="Approved",LAM_API_TABLE[[#This Row],[Ag_area_sqft_Alternative]],LAM_API_TABLE[[#This Row],[Ag_area_sqft]])</f>
        <v>890171</v>
      </c>
      <c r="AM205">
        <f>IF(LAM_API_TABLE[[#This Row],[Alternative_Data_Approval_Status]]="Approved",LAM_API_TABLE[[#This Row],[Pool_area_sqft_Alternative]],LAM_API_TABLE[[#This Row],[Pool_area_sqft]])</f>
        <v>692188</v>
      </c>
      <c r="AN205">
        <f>IF(LAM_API_TABLE[[#This Row],[Alternative_Data_Approval_Status]]="Approved",LAM_API_TABLE[[#This Row],[Total_II_sqft_Alternative]],LAM_API_TABLE[[#This Row],[Total_II_sqft]])</f>
        <v>69811425</v>
      </c>
      <c r="AO205">
        <f>IF(LAM_API_TABLE[[#This Row],[Alternative_Data_Approval_Status]]="Approved",LAM_API_TABLE[[#This Row],[Total_INI_sqft_Alternative]],LAM_API_TABLE[[#This Row],[Total_INI_sqft]])</f>
        <v>29512735</v>
      </c>
      <c r="AP205">
        <f>IF(LAM_API_TABLE[[#This Row],[New_Res_Constr_Approval_Status]]="Approved",LAM_API_TABLE[[#This Row],[New_Res_Constr_sqft]],0)</f>
        <v>0</v>
      </c>
      <c r="AQ205">
        <f>IF(LAM_API_TABLE[[#This Row],[New_Res_Constr_Approval_Status]]="Approved",LAM_API_TABLE[[#This Row],[New_Res_SLA_norec_sqft]],0)</f>
        <v>0</v>
      </c>
      <c r="AR205">
        <f>IF(LAM_API_TABLE[[#This Row],[New_Res_Constr_Approval_Status]]="Approved",LAM_API_TABLE[[#This Row],[New_Res_SLA_rec_sqft]],0)</f>
        <v>0</v>
      </c>
      <c r="AS205">
        <f>IF(LAM_API_TABLE[[#This Row],[Existing_Res_SLA_Data_Approval_Status]]="Approved",LAM_API_TABLE[[#This Row],[Existing_Res_SLA_norec_sqft]],0)</f>
        <v>0</v>
      </c>
      <c r="AT205">
        <f>IF(LAM_API_TABLE[[#This Row],[Existing_Res_SLA_Data_Approval_Status]]="Approved",LAM_API_TABLE[[#This Row],[Existing_Res_SLA_rec_sqft]],0)</f>
        <v>0</v>
      </c>
    </row>
    <row r="206" spans="1:46" x14ac:dyDescent="0.25">
      <c r="A206" t="s">
        <v>1643</v>
      </c>
      <c r="B206" t="s">
        <v>1644</v>
      </c>
      <c r="C206" t="s">
        <v>3120</v>
      </c>
      <c r="D206" t="s">
        <v>3121</v>
      </c>
      <c r="E206">
        <v>2018</v>
      </c>
      <c r="F206">
        <v>179517</v>
      </c>
      <c r="G206">
        <v>4775712</v>
      </c>
      <c r="H206">
        <v>2189359</v>
      </c>
      <c r="I206">
        <v>113102322</v>
      </c>
      <c r="J206">
        <v>66336868</v>
      </c>
      <c r="K206">
        <v>404554323</v>
      </c>
      <c r="L206">
        <v>126369696</v>
      </c>
      <c r="M206" t="s">
        <v>1859</v>
      </c>
      <c r="AK206">
        <f>IF(LAM_API_TABLE[[#This Row],[Alternative_Data_Approval_Status]]="Approved",LAM_API_TABLE[[#This Row],[HCL_area_sqft_Alternative]],LAM_API_TABLE[[#This Row],[HCL_area_sqft]])</f>
        <v>179517</v>
      </c>
      <c r="AL206">
        <f>IF(LAM_API_TABLE[[#This Row],[Alternative_Data_Approval_Status]]="Approved",LAM_API_TABLE[[#This Row],[Ag_area_sqft_Alternative]],LAM_API_TABLE[[#This Row],[Ag_area_sqft]])</f>
        <v>4775712</v>
      </c>
      <c r="AM206">
        <f>IF(LAM_API_TABLE[[#This Row],[Alternative_Data_Approval_Status]]="Approved",LAM_API_TABLE[[#This Row],[Pool_area_sqft_Alternative]],LAM_API_TABLE[[#This Row],[Pool_area_sqft]])</f>
        <v>2189359</v>
      </c>
      <c r="AN206">
        <f>IF(LAM_API_TABLE[[#This Row],[Alternative_Data_Approval_Status]]="Approved",LAM_API_TABLE[[#This Row],[Total_II_sqft_Alternative]],LAM_API_TABLE[[#This Row],[Total_II_sqft]])</f>
        <v>113102322</v>
      </c>
      <c r="AO206">
        <f>IF(LAM_API_TABLE[[#This Row],[Alternative_Data_Approval_Status]]="Approved",LAM_API_TABLE[[#This Row],[Total_INI_sqft_Alternative]],LAM_API_TABLE[[#This Row],[Total_INI_sqft]])</f>
        <v>66336868</v>
      </c>
      <c r="AP206">
        <f>IF(LAM_API_TABLE[[#This Row],[New_Res_Constr_Approval_Status]]="Approved",LAM_API_TABLE[[#This Row],[New_Res_Constr_sqft]],0)</f>
        <v>0</v>
      </c>
      <c r="AQ206">
        <f>IF(LAM_API_TABLE[[#This Row],[New_Res_Constr_Approval_Status]]="Approved",LAM_API_TABLE[[#This Row],[New_Res_SLA_norec_sqft]],0)</f>
        <v>0</v>
      </c>
      <c r="AR206">
        <f>IF(LAM_API_TABLE[[#This Row],[New_Res_Constr_Approval_Status]]="Approved",LAM_API_TABLE[[#This Row],[New_Res_SLA_rec_sqft]],0)</f>
        <v>0</v>
      </c>
      <c r="AS206">
        <f>IF(LAM_API_TABLE[[#This Row],[Existing_Res_SLA_Data_Approval_Status]]="Approved",LAM_API_TABLE[[#This Row],[Existing_Res_SLA_norec_sqft]],0)</f>
        <v>0</v>
      </c>
      <c r="AT206">
        <f>IF(LAM_API_TABLE[[#This Row],[Existing_Res_SLA_Data_Approval_Status]]="Approved",LAM_API_TABLE[[#This Row],[Existing_Res_SLA_rec_sqft]],0)</f>
        <v>0</v>
      </c>
    </row>
    <row r="207" spans="1:46" x14ac:dyDescent="0.25">
      <c r="A207" t="s">
        <v>1655</v>
      </c>
      <c r="B207" t="s">
        <v>3122</v>
      </c>
      <c r="C207" t="s">
        <v>3123</v>
      </c>
      <c r="D207" t="s">
        <v>3124</v>
      </c>
      <c r="E207">
        <v>2018</v>
      </c>
      <c r="G207">
        <v>463830</v>
      </c>
      <c r="H207">
        <v>485230</v>
      </c>
      <c r="I207">
        <v>21387049</v>
      </c>
      <c r="J207">
        <v>11987279</v>
      </c>
      <c r="K207">
        <v>54547594</v>
      </c>
      <c r="L207">
        <v>23784505</v>
      </c>
      <c r="M207" t="s">
        <v>1859</v>
      </c>
      <c r="AK207">
        <f>IF(LAM_API_TABLE[[#This Row],[Alternative_Data_Approval_Status]]="Approved",LAM_API_TABLE[[#This Row],[HCL_area_sqft_Alternative]],LAM_API_TABLE[[#This Row],[HCL_area_sqft]])</f>
        <v>0</v>
      </c>
      <c r="AL207">
        <f>IF(LAM_API_TABLE[[#This Row],[Alternative_Data_Approval_Status]]="Approved",LAM_API_TABLE[[#This Row],[Ag_area_sqft_Alternative]],LAM_API_TABLE[[#This Row],[Ag_area_sqft]])</f>
        <v>463830</v>
      </c>
      <c r="AM207">
        <f>IF(LAM_API_TABLE[[#This Row],[Alternative_Data_Approval_Status]]="Approved",LAM_API_TABLE[[#This Row],[Pool_area_sqft_Alternative]],LAM_API_TABLE[[#This Row],[Pool_area_sqft]])</f>
        <v>485230</v>
      </c>
      <c r="AN207">
        <f>IF(LAM_API_TABLE[[#This Row],[Alternative_Data_Approval_Status]]="Approved",LAM_API_TABLE[[#This Row],[Total_II_sqft_Alternative]],LAM_API_TABLE[[#This Row],[Total_II_sqft]])</f>
        <v>21387049</v>
      </c>
      <c r="AO207">
        <f>IF(LAM_API_TABLE[[#This Row],[Alternative_Data_Approval_Status]]="Approved",LAM_API_TABLE[[#This Row],[Total_INI_sqft_Alternative]],LAM_API_TABLE[[#This Row],[Total_INI_sqft]])</f>
        <v>11987279</v>
      </c>
      <c r="AP207">
        <f>IF(LAM_API_TABLE[[#This Row],[New_Res_Constr_Approval_Status]]="Approved",LAM_API_TABLE[[#This Row],[New_Res_Constr_sqft]],0)</f>
        <v>0</v>
      </c>
      <c r="AQ207">
        <f>IF(LAM_API_TABLE[[#This Row],[New_Res_Constr_Approval_Status]]="Approved",LAM_API_TABLE[[#This Row],[New_Res_SLA_norec_sqft]],0)</f>
        <v>0</v>
      </c>
      <c r="AR207">
        <f>IF(LAM_API_TABLE[[#This Row],[New_Res_Constr_Approval_Status]]="Approved",LAM_API_TABLE[[#This Row],[New_Res_SLA_rec_sqft]],0)</f>
        <v>0</v>
      </c>
      <c r="AS207">
        <f>IF(LAM_API_TABLE[[#This Row],[Existing_Res_SLA_Data_Approval_Status]]="Approved",LAM_API_TABLE[[#This Row],[Existing_Res_SLA_norec_sqft]],0)</f>
        <v>0</v>
      </c>
      <c r="AT207">
        <f>IF(LAM_API_TABLE[[#This Row],[Existing_Res_SLA_Data_Approval_Status]]="Approved",LAM_API_TABLE[[#This Row],[Existing_Res_SLA_rec_sqft]],0)</f>
        <v>0</v>
      </c>
    </row>
    <row r="208" spans="1:46" x14ac:dyDescent="0.25">
      <c r="A208" t="s">
        <v>1659</v>
      </c>
      <c r="B208" t="s">
        <v>3125</v>
      </c>
      <c r="C208" t="s">
        <v>3126</v>
      </c>
      <c r="D208" t="s">
        <v>3127</v>
      </c>
      <c r="E208">
        <v>2018</v>
      </c>
      <c r="H208">
        <v>109840</v>
      </c>
      <c r="I208">
        <v>12333587</v>
      </c>
      <c r="J208">
        <v>7541570</v>
      </c>
      <c r="K208">
        <v>34948356</v>
      </c>
      <c r="L208">
        <v>13841901</v>
      </c>
      <c r="M208" t="s">
        <v>1859</v>
      </c>
      <c r="AK208">
        <f>IF(LAM_API_TABLE[[#This Row],[Alternative_Data_Approval_Status]]="Approved",LAM_API_TABLE[[#This Row],[HCL_area_sqft_Alternative]],LAM_API_TABLE[[#This Row],[HCL_area_sqft]])</f>
        <v>0</v>
      </c>
      <c r="AL208">
        <f>IF(LAM_API_TABLE[[#This Row],[Alternative_Data_Approval_Status]]="Approved",LAM_API_TABLE[[#This Row],[Ag_area_sqft_Alternative]],LAM_API_TABLE[[#This Row],[Ag_area_sqft]])</f>
        <v>0</v>
      </c>
      <c r="AM208">
        <f>IF(LAM_API_TABLE[[#This Row],[Alternative_Data_Approval_Status]]="Approved",LAM_API_TABLE[[#This Row],[Pool_area_sqft_Alternative]],LAM_API_TABLE[[#This Row],[Pool_area_sqft]])</f>
        <v>109840</v>
      </c>
      <c r="AN208">
        <f>IF(LAM_API_TABLE[[#This Row],[Alternative_Data_Approval_Status]]="Approved",LAM_API_TABLE[[#This Row],[Total_II_sqft_Alternative]],LAM_API_TABLE[[#This Row],[Total_II_sqft]])</f>
        <v>12333587</v>
      </c>
      <c r="AO208">
        <f>IF(LAM_API_TABLE[[#This Row],[Alternative_Data_Approval_Status]]="Approved",LAM_API_TABLE[[#This Row],[Total_INI_sqft_Alternative]],LAM_API_TABLE[[#This Row],[Total_INI_sqft]])</f>
        <v>7541570</v>
      </c>
      <c r="AP208">
        <f>IF(LAM_API_TABLE[[#This Row],[New_Res_Constr_Approval_Status]]="Approved",LAM_API_TABLE[[#This Row],[New_Res_Constr_sqft]],0)</f>
        <v>0</v>
      </c>
      <c r="AQ208">
        <f>IF(LAM_API_TABLE[[#This Row],[New_Res_Constr_Approval_Status]]="Approved",LAM_API_TABLE[[#This Row],[New_Res_SLA_norec_sqft]],0)</f>
        <v>0</v>
      </c>
      <c r="AR208">
        <f>IF(LAM_API_TABLE[[#This Row],[New_Res_Constr_Approval_Status]]="Approved",LAM_API_TABLE[[#This Row],[New_Res_SLA_rec_sqft]],0)</f>
        <v>0</v>
      </c>
      <c r="AS208">
        <f>IF(LAM_API_TABLE[[#This Row],[Existing_Res_SLA_Data_Approval_Status]]="Approved",LAM_API_TABLE[[#This Row],[Existing_Res_SLA_norec_sqft]],0)</f>
        <v>0</v>
      </c>
      <c r="AT208">
        <f>IF(LAM_API_TABLE[[#This Row],[Existing_Res_SLA_Data_Approval_Status]]="Approved",LAM_API_TABLE[[#This Row],[Existing_Res_SLA_rec_sqft]],0)</f>
        <v>0</v>
      </c>
    </row>
    <row r="209" spans="1:46" x14ac:dyDescent="0.25">
      <c r="A209" t="s">
        <v>1663</v>
      </c>
      <c r="B209" t="s">
        <v>1664</v>
      </c>
      <c r="C209" t="s">
        <v>3128</v>
      </c>
      <c r="D209" t="s">
        <v>3129</v>
      </c>
      <c r="E209">
        <v>2018</v>
      </c>
      <c r="G209">
        <v>7748309</v>
      </c>
      <c r="H209">
        <v>517609</v>
      </c>
      <c r="I209">
        <v>28019102</v>
      </c>
      <c r="J209">
        <v>18253232</v>
      </c>
      <c r="K209">
        <v>78939885</v>
      </c>
      <c r="L209">
        <v>31669748</v>
      </c>
      <c r="M209" t="s">
        <v>1859</v>
      </c>
      <c r="AK209">
        <f>IF(LAM_API_TABLE[[#This Row],[Alternative_Data_Approval_Status]]="Approved",LAM_API_TABLE[[#This Row],[HCL_area_sqft_Alternative]],LAM_API_TABLE[[#This Row],[HCL_area_sqft]])</f>
        <v>0</v>
      </c>
      <c r="AL209">
        <f>IF(LAM_API_TABLE[[#This Row],[Alternative_Data_Approval_Status]]="Approved",LAM_API_TABLE[[#This Row],[Ag_area_sqft_Alternative]],LAM_API_TABLE[[#This Row],[Ag_area_sqft]])</f>
        <v>7748309</v>
      </c>
      <c r="AM209">
        <f>IF(LAM_API_TABLE[[#This Row],[Alternative_Data_Approval_Status]]="Approved",LAM_API_TABLE[[#This Row],[Pool_area_sqft_Alternative]],LAM_API_TABLE[[#This Row],[Pool_area_sqft]])</f>
        <v>517609</v>
      </c>
      <c r="AN209">
        <f>IF(LAM_API_TABLE[[#This Row],[Alternative_Data_Approval_Status]]="Approved",LAM_API_TABLE[[#This Row],[Total_II_sqft_Alternative]],LAM_API_TABLE[[#This Row],[Total_II_sqft]])</f>
        <v>28019102</v>
      </c>
      <c r="AO209">
        <f>IF(LAM_API_TABLE[[#This Row],[Alternative_Data_Approval_Status]]="Approved",LAM_API_TABLE[[#This Row],[Total_INI_sqft_Alternative]],LAM_API_TABLE[[#This Row],[Total_INI_sqft]])</f>
        <v>18253232</v>
      </c>
      <c r="AP209">
        <f>IF(LAM_API_TABLE[[#This Row],[New_Res_Constr_Approval_Status]]="Approved",LAM_API_TABLE[[#This Row],[New_Res_Constr_sqft]],0)</f>
        <v>0</v>
      </c>
      <c r="AQ209">
        <f>IF(LAM_API_TABLE[[#This Row],[New_Res_Constr_Approval_Status]]="Approved",LAM_API_TABLE[[#This Row],[New_Res_SLA_norec_sqft]],0)</f>
        <v>0</v>
      </c>
      <c r="AR209">
        <f>IF(LAM_API_TABLE[[#This Row],[New_Res_Constr_Approval_Status]]="Approved",LAM_API_TABLE[[#This Row],[New_Res_SLA_rec_sqft]],0)</f>
        <v>0</v>
      </c>
      <c r="AS209">
        <f>IF(LAM_API_TABLE[[#This Row],[Existing_Res_SLA_Data_Approval_Status]]="Approved",LAM_API_TABLE[[#This Row],[Existing_Res_SLA_norec_sqft]],0)</f>
        <v>0</v>
      </c>
      <c r="AT209">
        <f>IF(LAM_API_TABLE[[#This Row],[Existing_Res_SLA_Data_Approval_Status]]="Approved",LAM_API_TABLE[[#This Row],[Existing_Res_SLA_rec_sqft]],0)</f>
        <v>0</v>
      </c>
    </row>
    <row r="210" spans="1:46" x14ac:dyDescent="0.25">
      <c r="A210" t="s">
        <v>1668</v>
      </c>
      <c r="B210" t="s">
        <v>1669</v>
      </c>
      <c r="C210" t="s">
        <v>3130</v>
      </c>
      <c r="D210" t="s">
        <v>3131</v>
      </c>
      <c r="E210">
        <v>2018</v>
      </c>
      <c r="H210">
        <v>28082</v>
      </c>
      <c r="I210">
        <v>6052819</v>
      </c>
      <c r="J210">
        <v>4592549</v>
      </c>
      <c r="K210">
        <v>48697900</v>
      </c>
      <c r="L210">
        <v>6971329</v>
      </c>
      <c r="M210" t="s">
        <v>1859</v>
      </c>
      <c r="AK210">
        <f>IF(LAM_API_TABLE[[#This Row],[Alternative_Data_Approval_Status]]="Approved",LAM_API_TABLE[[#This Row],[HCL_area_sqft_Alternative]],LAM_API_TABLE[[#This Row],[HCL_area_sqft]])</f>
        <v>0</v>
      </c>
      <c r="AL210">
        <f>IF(LAM_API_TABLE[[#This Row],[Alternative_Data_Approval_Status]]="Approved",LAM_API_TABLE[[#This Row],[Ag_area_sqft_Alternative]],LAM_API_TABLE[[#This Row],[Ag_area_sqft]])</f>
        <v>0</v>
      </c>
      <c r="AM210">
        <f>IF(LAM_API_TABLE[[#This Row],[Alternative_Data_Approval_Status]]="Approved",LAM_API_TABLE[[#This Row],[Pool_area_sqft_Alternative]],LAM_API_TABLE[[#This Row],[Pool_area_sqft]])</f>
        <v>28082</v>
      </c>
      <c r="AN210">
        <f>IF(LAM_API_TABLE[[#This Row],[Alternative_Data_Approval_Status]]="Approved",LAM_API_TABLE[[#This Row],[Total_II_sqft_Alternative]],LAM_API_TABLE[[#This Row],[Total_II_sqft]])</f>
        <v>6052819</v>
      </c>
      <c r="AO210">
        <f>IF(LAM_API_TABLE[[#This Row],[Alternative_Data_Approval_Status]]="Approved",LAM_API_TABLE[[#This Row],[Total_INI_sqft_Alternative]],LAM_API_TABLE[[#This Row],[Total_INI_sqft]])</f>
        <v>4592549</v>
      </c>
      <c r="AP210">
        <f>IF(LAM_API_TABLE[[#This Row],[New_Res_Constr_Approval_Status]]="Approved",LAM_API_TABLE[[#This Row],[New_Res_Constr_sqft]],0)</f>
        <v>0</v>
      </c>
      <c r="AQ210">
        <f>IF(LAM_API_TABLE[[#This Row],[New_Res_Constr_Approval_Status]]="Approved",LAM_API_TABLE[[#This Row],[New_Res_SLA_norec_sqft]],0)</f>
        <v>0</v>
      </c>
      <c r="AR210">
        <f>IF(LAM_API_TABLE[[#This Row],[New_Res_Constr_Approval_Status]]="Approved",LAM_API_TABLE[[#This Row],[New_Res_SLA_rec_sqft]],0)</f>
        <v>0</v>
      </c>
      <c r="AS210">
        <f>IF(LAM_API_TABLE[[#This Row],[Existing_Res_SLA_Data_Approval_Status]]="Approved",LAM_API_TABLE[[#This Row],[Existing_Res_SLA_norec_sqft]],0)</f>
        <v>0</v>
      </c>
      <c r="AT210">
        <f>IF(LAM_API_TABLE[[#This Row],[Existing_Res_SLA_Data_Approval_Status]]="Approved",LAM_API_TABLE[[#This Row],[Existing_Res_SLA_rec_sqft]],0)</f>
        <v>0</v>
      </c>
    </row>
    <row r="211" spans="1:46" x14ac:dyDescent="0.25">
      <c r="A211" t="s">
        <v>1673</v>
      </c>
      <c r="B211" t="s">
        <v>3132</v>
      </c>
      <c r="C211" t="s">
        <v>3133</v>
      </c>
      <c r="D211" t="s">
        <v>3134</v>
      </c>
      <c r="E211">
        <v>2018</v>
      </c>
      <c r="H211">
        <v>131365</v>
      </c>
      <c r="I211">
        <v>15174400</v>
      </c>
      <c r="J211">
        <v>689427</v>
      </c>
      <c r="K211">
        <v>41819213</v>
      </c>
      <c r="L211">
        <v>15312285</v>
      </c>
      <c r="M211" t="s">
        <v>1859</v>
      </c>
      <c r="AK211">
        <f>IF(LAM_API_TABLE[[#This Row],[Alternative_Data_Approval_Status]]="Approved",LAM_API_TABLE[[#This Row],[HCL_area_sqft_Alternative]],LAM_API_TABLE[[#This Row],[HCL_area_sqft]])</f>
        <v>0</v>
      </c>
      <c r="AL211">
        <f>IF(LAM_API_TABLE[[#This Row],[Alternative_Data_Approval_Status]]="Approved",LAM_API_TABLE[[#This Row],[Ag_area_sqft_Alternative]],LAM_API_TABLE[[#This Row],[Ag_area_sqft]])</f>
        <v>0</v>
      </c>
      <c r="AM211">
        <f>IF(LAM_API_TABLE[[#This Row],[Alternative_Data_Approval_Status]]="Approved",LAM_API_TABLE[[#This Row],[Pool_area_sqft_Alternative]],LAM_API_TABLE[[#This Row],[Pool_area_sqft]])</f>
        <v>131365</v>
      </c>
      <c r="AN211">
        <f>IF(LAM_API_TABLE[[#This Row],[Alternative_Data_Approval_Status]]="Approved",LAM_API_TABLE[[#This Row],[Total_II_sqft_Alternative]],LAM_API_TABLE[[#This Row],[Total_II_sqft]])</f>
        <v>15174400</v>
      </c>
      <c r="AO211">
        <f>IF(LAM_API_TABLE[[#This Row],[Alternative_Data_Approval_Status]]="Approved",LAM_API_TABLE[[#This Row],[Total_INI_sqft_Alternative]],LAM_API_TABLE[[#This Row],[Total_INI_sqft]])</f>
        <v>689427</v>
      </c>
      <c r="AP211">
        <f>IF(LAM_API_TABLE[[#This Row],[New_Res_Constr_Approval_Status]]="Approved",LAM_API_TABLE[[#This Row],[New_Res_Constr_sqft]],0)</f>
        <v>0</v>
      </c>
      <c r="AQ211">
        <f>IF(LAM_API_TABLE[[#This Row],[New_Res_Constr_Approval_Status]]="Approved",LAM_API_TABLE[[#This Row],[New_Res_SLA_norec_sqft]],0)</f>
        <v>0</v>
      </c>
      <c r="AR211">
        <f>IF(LAM_API_TABLE[[#This Row],[New_Res_Constr_Approval_Status]]="Approved",LAM_API_TABLE[[#This Row],[New_Res_SLA_rec_sqft]],0)</f>
        <v>0</v>
      </c>
      <c r="AS211">
        <f>IF(LAM_API_TABLE[[#This Row],[Existing_Res_SLA_Data_Approval_Status]]="Approved",LAM_API_TABLE[[#This Row],[Existing_Res_SLA_norec_sqft]],0)</f>
        <v>0</v>
      </c>
      <c r="AT211">
        <f>IF(LAM_API_TABLE[[#This Row],[Existing_Res_SLA_Data_Approval_Status]]="Approved",LAM_API_TABLE[[#This Row],[Existing_Res_SLA_rec_sqft]],0)</f>
        <v>0</v>
      </c>
    </row>
    <row r="212" spans="1:46" x14ac:dyDescent="0.25">
      <c r="A212" t="s">
        <v>1677</v>
      </c>
      <c r="B212" t="s">
        <v>1678</v>
      </c>
      <c r="C212" t="s">
        <v>3135</v>
      </c>
      <c r="D212" t="s">
        <v>3136</v>
      </c>
      <c r="E212">
        <v>2018</v>
      </c>
      <c r="G212">
        <v>48240834</v>
      </c>
      <c r="H212">
        <v>1334109</v>
      </c>
      <c r="I212">
        <v>45768290</v>
      </c>
      <c r="J212">
        <v>15772371</v>
      </c>
      <c r="K212">
        <v>174142048</v>
      </c>
      <c r="L212">
        <v>48922764</v>
      </c>
      <c r="M212" t="s">
        <v>1859</v>
      </c>
      <c r="AK212">
        <f>IF(LAM_API_TABLE[[#This Row],[Alternative_Data_Approval_Status]]="Approved",LAM_API_TABLE[[#This Row],[HCL_area_sqft_Alternative]],LAM_API_TABLE[[#This Row],[HCL_area_sqft]])</f>
        <v>0</v>
      </c>
      <c r="AL212">
        <f>IF(LAM_API_TABLE[[#This Row],[Alternative_Data_Approval_Status]]="Approved",LAM_API_TABLE[[#This Row],[Ag_area_sqft_Alternative]],LAM_API_TABLE[[#This Row],[Ag_area_sqft]])</f>
        <v>48240834</v>
      </c>
      <c r="AM212">
        <f>IF(LAM_API_TABLE[[#This Row],[Alternative_Data_Approval_Status]]="Approved",LAM_API_TABLE[[#This Row],[Pool_area_sqft_Alternative]],LAM_API_TABLE[[#This Row],[Pool_area_sqft]])</f>
        <v>1334109</v>
      </c>
      <c r="AN212">
        <f>IF(LAM_API_TABLE[[#This Row],[Alternative_Data_Approval_Status]]="Approved",LAM_API_TABLE[[#This Row],[Total_II_sqft_Alternative]],LAM_API_TABLE[[#This Row],[Total_II_sqft]])</f>
        <v>45768290</v>
      </c>
      <c r="AO212">
        <f>IF(LAM_API_TABLE[[#This Row],[Alternative_Data_Approval_Status]]="Approved",LAM_API_TABLE[[#This Row],[Total_INI_sqft_Alternative]],LAM_API_TABLE[[#This Row],[Total_INI_sqft]])</f>
        <v>15772371</v>
      </c>
      <c r="AP212">
        <f>IF(LAM_API_TABLE[[#This Row],[New_Res_Constr_Approval_Status]]="Approved",LAM_API_TABLE[[#This Row],[New_Res_Constr_sqft]],0)</f>
        <v>0</v>
      </c>
      <c r="AQ212">
        <f>IF(LAM_API_TABLE[[#This Row],[New_Res_Constr_Approval_Status]]="Approved",LAM_API_TABLE[[#This Row],[New_Res_SLA_norec_sqft]],0)</f>
        <v>0</v>
      </c>
      <c r="AR212">
        <f>IF(LAM_API_TABLE[[#This Row],[New_Res_Constr_Approval_Status]]="Approved",LAM_API_TABLE[[#This Row],[New_Res_SLA_rec_sqft]],0)</f>
        <v>0</v>
      </c>
      <c r="AS212">
        <f>IF(LAM_API_TABLE[[#This Row],[Existing_Res_SLA_Data_Approval_Status]]="Approved",LAM_API_TABLE[[#This Row],[Existing_Res_SLA_norec_sqft]],0)</f>
        <v>0</v>
      </c>
      <c r="AT212">
        <f>IF(LAM_API_TABLE[[#This Row],[Existing_Res_SLA_Data_Approval_Status]]="Approved",LAM_API_TABLE[[#This Row],[Existing_Res_SLA_rec_sqft]],0)</f>
        <v>0</v>
      </c>
    </row>
    <row r="213" spans="1:46" x14ac:dyDescent="0.25">
      <c r="A213" t="s">
        <v>1681</v>
      </c>
      <c r="B213" t="s">
        <v>1682</v>
      </c>
      <c r="C213" t="s">
        <v>3137</v>
      </c>
      <c r="D213" t="s">
        <v>3138</v>
      </c>
      <c r="E213">
        <v>2018</v>
      </c>
      <c r="F213">
        <v>60933</v>
      </c>
      <c r="G213">
        <v>193629</v>
      </c>
      <c r="H213">
        <v>1142924</v>
      </c>
      <c r="I213">
        <v>226009388</v>
      </c>
      <c r="J213">
        <v>81135539</v>
      </c>
      <c r="K213">
        <v>448508986</v>
      </c>
      <c r="L213">
        <v>242236496</v>
      </c>
      <c r="M213" t="s">
        <v>1859</v>
      </c>
      <c r="AK213">
        <f>IF(LAM_API_TABLE[[#This Row],[Alternative_Data_Approval_Status]]="Approved",LAM_API_TABLE[[#This Row],[HCL_area_sqft_Alternative]],LAM_API_TABLE[[#This Row],[HCL_area_sqft]])</f>
        <v>60933</v>
      </c>
      <c r="AL213">
        <f>IF(LAM_API_TABLE[[#This Row],[Alternative_Data_Approval_Status]]="Approved",LAM_API_TABLE[[#This Row],[Ag_area_sqft_Alternative]],LAM_API_TABLE[[#This Row],[Ag_area_sqft]])</f>
        <v>193629</v>
      </c>
      <c r="AM213">
        <f>IF(LAM_API_TABLE[[#This Row],[Alternative_Data_Approval_Status]]="Approved",LAM_API_TABLE[[#This Row],[Pool_area_sqft_Alternative]],LAM_API_TABLE[[#This Row],[Pool_area_sqft]])</f>
        <v>1142924</v>
      </c>
      <c r="AN213">
        <f>IF(LAM_API_TABLE[[#This Row],[Alternative_Data_Approval_Status]]="Approved",LAM_API_TABLE[[#This Row],[Total_II_sqft_Alternative]],LAM_API_TABLE[[#This Row],[Total_II_sqft]])</f>
        <v>226009388</v>
      </c>
      <c r="AO213">
        <f>IF(LAM_API_TABLE[[#This Row],[Alternative_Data_Approval_Status]]="Approved",LAM_API_TABLE[[#This Row],[Total_INI_sqft_Alternative]],LAM_API_TABLE[[#This Row],[Total_INI_sqft]])</f>
        <v>81135539</v>
      </c>
      <c r="AP213">
        <f>IF(LAM_API_TABLE[[#This Row],[New_Res_Constr_Approval_Status]]="Approved",LAM_API_TABLE[[#This Row],[New_Res_Constr_sqft]],0)</f>
        <v>0</v>
      </c>
      <c r="AQ213">
        <f>IF(LAM_API_TABLE[[#This Row],[New_Res_Constr_Approval_Status]]="Approved",LAM_API_TABLE[[#This Row],[New_Res_SLA_norec_sqft]],0)</f>
        <v>0</v>
      </c>
      <c r="AR213">
        <f>IF(LAM_API_TABLE[[#This Row],[New_Res_Constr_Approval_Status]]="Approved",LAM_API_TABLE[[#This Row],[New_Res_SLA_rec_sqft]],0)</f>
        <v>0</v>
      </c>
      <c r="AS213">
        <f>IF(LAM_API_TABLE[[#This Row],[Existing_Res_SLA_Data_Approval_Status]]="Approved",LAM_API_TABLE[[#This Row],[Existing_Res_SLA_norec_sqft]],0)</f>
        <v>0</v>
      </c>
      <c r="AT213">
        <f>IF(LAM_API_TABLE[[#This Row],[Existing_Res_SLA_Data_Approval_Status]]="Approved",LAM_API_TABLE[[#This Row],[Existing_Res_SLA_rec_sqft]],0)</f>
        <v>0</v>
      </c>
    </row>
    <row r="214" spans="1:46" x14ac:dyDescent="0.25">
      <c r="A214" t="s">
        <v>1686</v>
      </c>
      <c r="B214" t="s">
        <v>1687</v>
      </c>
      <c r="C214" t="s">
        <v>3139</v>
      </c>
      <c r="D214" t="s">
        <v>3140</v>
      </c>
      <c r="E214">
        <v>2018</v>
      </c>
      <c r="H214">
        <v>4902</v>
      </c>
      <c r="I214">
        <v>7343507</v>
      </c>
      <c r="J214">
        <v>9621580</v>
      </c>
      <c r="K214">
        <v>32024512</v>
      </c>
      <c r="L214">
        <v>9267823</v>
      </c>
      <c r="M214" t="s">
        <v>1859</v>
      </c>
      <c r="AK214">
        <f>IF(LAM_API_TABLE[[#This Row],[Alternative_Data_Approval_Status]]="Approved",LAM_API_TABLE[[#This Row],[HCL_area_sqft_Alternative]],LAM_API_TABLE[[#This Row],[HCL_area_sqft]])</f>
        <v>0</v>
      </c>
      <c r="AL214">
        <f>IF(LAM_API_TABLE[[#This Row],[Alternative_Data_Approval_Status]]="Approved",LAM_API_TABLE[[#This Row],[Ag_area_sqft_Alternative]],LAM_API_TABLE[[#This Row],[Ag_area_sqft]])</f>
        <v>0</v>
      </c>
      <c r="AM214">
        <f>IF(LAM_API_TABLE[[#This Row],[Alternative_Data_Approval_Status]]="Approved",LAM_API_TABLE[[#This Row],[Pool_area_sqft_Alternative]],LAM_API_TABLE[[#This Row],[Pool_area_sqft]])</f>
        <v>4902</v>
      </c>
      <c r="AN214">
        <f>IF(LAM_API_TABLE[[#This Row],[Alternative_Data_Approval_Status]]="Approved",LAM_API_TABLE[[#This Row],[Total_II_sqft_Alternative]],LAM_API_TABLE[[#This Row],[Total_II_sqft]])</f>
        <v>7343507</v>
      </c>
      <c r="AO214">
        <f>IF(LAM_API_TABLE[[#This Row],[Alternative_Data_Approval_Status]]="Approved",LAM_API_TABLE[[#This Row],[Total_INI_sqft_Alternative]],LAM_API_TABLE[[#This Row],[Total_INI_sqft]])</f>
        <v>9621580</v>
      </c>
      <c r="AP214">
        <f>IF(LAM_API_TABLE[[#This Row],[New_Res_Constr_Approval_Status]]="Approved",LAM_API_TABLE[[#This Row],[New_Res_Constr_sqft]],0)</f>
        <v>0</v>
      </c>
      <c r="AQ214">
        <f>IF(LAM_API_TABLE[[#This Row],[New_Res_Constr_Approval_Status]]="Approved",LAM_API_TABLE[[#This Row],[New_Res_SLA_norec_sqft]],0)</f>
        <v>0</v>
      </c>
      <c r="AR214">
        <f>IF(LAM_API_TABLE[[#This Row],[New_Res_Constr_Approval_Status]]="Approved",LAM_API_TABLE[[#This Row],[New_Res_SLA_rec_sqft]],0)</f>
        <v>0</v>
      </c>
      <c r="AS214">
        <f>IF(LAM_API_TABLE[[#This Row],[Existing_Res_SLA_Data_Approval_Status]]="Approved",LAM_API_TABLE[[#This Row],[Existing_Res_SLA_norec_sqft]],0)</f>
        <v>0</v>
      </c>
      <c r="AT214">
        <f>IF(LAM_API_TABLE[[#This Row],[Existing_Res_SLA_Data_Approval_Status]]="Approved",LAM_API_TABLE[[#This Row],[Existing_Res_SLA_rec_sqft]],0)</f>
        <v>0</v>
      </c>
    </row>
    <row r="215" spans="1:46" x14ac:dyDescent="0.25">
      <c r="A215" t="s">
        <v>1690</v>
      </c>
      <c r="B215" t="s">
        <v>1691</v>
      </c>
      <c r="C215" t="s">
        <v>3141</v>
      </c>
      <c r="D215" t="s">
        <v>3142</v>
      </c>
      <c r="E215">
        <v>2018</v>
      </c>
      <c r="F215">
        <v>35431</v>
      </c>
      <c r="G215">
        <v>317711</v>
      </c>
      <c r="H215">
        <v>239906</v>
      </c>
      <c r="I215">
        <v>31406699</v>
      </c>
      <c r="J215">
        <v>14614498</v>
      </c>
      <c r="K215">
        <v>82186313</v>
      </c>
      <c r="L215">
        <v>34329599</v>
      </c>
      <c r="M215" t="s">
        <v>1859</v>
      </c>
      <c r="AK215">
        <f>IF(LAM_API_TABLE[[#This Row],[Alternative_Data_Approval_Status]]="Approved",LAM_API_TABLE[[#This Row],[HCL_area_sqft_Alternative]],LAM_API_TABLE[[#This Row],[HCL_area_sqft]])</f>
        <v>35431</v>
      </c>
      <c r="AL215">
        <f>IF(LAM_API_TABLE[[#This Row],[Alternative_Data_Approval_Status]]="Approved",LAM_API_TABLE[[#This Row],[Ag_area_sqft_Alternative]],LAM_API_TABLE[[#This Row],[Ag_area_sqft]])</f>
        <v>317711</v>
      </c>
      <c r="AM215">
        <f>IF(LAM_API_TABLE[[#This Row],[Alternative_Data_Approval_Status]]="Approved",LAM_API_TABLE[[#This Row],[Pool_area_sqft_Alternative]],LAM_API_TABLE[[#This Row],[Pool_area_sqft]])</f>
        <v>239906</v>
      </c>
      <c r="AN215">
        <f>IF(LAM_API_TABLE[[#This Row],[Alternative_Data_Approval_Status]]="Approved",LAM_API_TABLE[[#This Row],[Total_II_sqft_Alternative]],LAM_API_TABLE[[#This Row],[Total_II_sqft]])</f>
        <v>31406699</v>
      </c>
      <c r="AO215">
        <f>IF(LAM_API_TABLE[[#This Row],[Alternative_Data_Approval_Status]]="Approved",LAM_API_TABLE[[#This Row],[Total_INI_sqft_Alternative]],LAM_API_TABLE[[#This Row],[Total_INI_sqft]])</f>
        <v>14614498</v>
      </c>
      <c r="AP215">
        <f>IF(LAM_API_TABLE[[#This Row],[New_Res_Constr_Approval_Status]]="Approved",LAM_API_TABLE[[#This Row],[New_Res_Constr_sqft]],0)</f>
        <v>0</v>
      </c>
      <c r="AQ215">
        <f>IF(LAM_API_TABLE[[#This Row],[New_Res_Constr_Approval_Status]]="Approved",LAM_API_TABLE[[#This Row],[New_Res_SLA_norec_sqft]],0)</f>
        <v>0</v>
      </c>
      <c r="AR215">
        <f>IF(LAM_API_TABLE[[#This Row],[New_Res_Constr_Approval_Status]]="Approved",LAM_API_TABLE[[#This Row],[New_Res_SLA_rec_sqft]],0)</f>
        <v>0</v>
      </c>
      <c r="AS215">
        <f>IF(LAM_API_TABLE[[#This Row],[Existing_Res_SLA_Data_Approval_Status]]="Approved",LAM_API_TABLE[[#This Row],[Existing_Res_SLA_norec_sqft]],0)</f>
        <v>0</v>
      </c>
      <c r="AT215">
        <f>IF(LAM_API_TABLE[[#This Row],[Existing_Res_SLA_Data_Approval_Status]]="Approved",LAM_API_TABLE[[#This Row],[Existing_Res_SLA_rec_sqft]],0)</f>
        <v>0</v>
      </c>
    </row>
    <row r="216" spans="1:46" x14ac:dyDescent="0.25">
      <c r="A216" t="s">
        <v>1694</v>
      </c>
      <c r="B216" t="s">
        <v>1695</v>
      </c>
      <c r="C216" t="s">
        <v>3143</v>
      </c>
      <c r="D216" t="s">
        <v>3144</v>
      </c>
      <c r="E216">
        <v>2020</v>
      </c>
      <c r="F216">
        <v>128840</v>
      </c>
      <c r="G216">
        <v>20441779</v>
      </c>
      <c r="H216">
        <v>7449</v>
      </c>
      <c r="I216">
        <v>33864802</v>
      </c>
      <c r="J216">
        <v>14326079</v>
      </c>
      <c r="K216">
        <v>128395227</v>
      </c>
      <c r="L216">
        <v>36730017</v>
      </c>
      <c r="M216" t="s">
        <v>1859</v>
      </c>
      <c r="AK216">
        <f>IF(LAM_API_TABLE[[#This Row],[Alternative_Data_Approval_Status]]="Approved",LAM_API_TABLE[[#This Row],[HCL_area_sqft_Alternative]],LAM_API_TABLE[[#This Row],[HCL_area_sqft]])</f>
        <v>128840</v>
      </c>
      <c r="AL216">
        <f>IF(LAM_API_TABLE[[#This Row],[Alternative_Data_Approval_Status]]="Approved",LAM_API_TABLE[[#This Row],[Ag_area_sqft_Alternative]],LAM_API_TABLE[[#This Row],[Ag_area_sqft]])</f>
        <v>20441779</v>
      </c>
      <c r="AM216">
        <f>IF(LAM_API_TABLE[[#This Row],[Alternative_Data_Approval_Status]]="Approved",LAM_API_TABLE[[#This Row],[Pool_area_sqft_Alternative]],LAM_API_TABLE[[#This Row],[Pool_area_sqft]])</f>
        <v>7449</v>
      </c>
      <c r="AN216">
        <f>IF(LAM_API_TABLE[[#This Row],[Alternative_Data_Approval_Status]]="Approved",LAM_API_TABLE[[#This Row],[Total_II_sqft_Alternative]],LAM_API_TABLE[[#This Row],[Total_II_sqft]])</f>
        <v>33864802</v>
      </c>
      <c r="AO216">
        <f>IF(LAM_API_TABLE[[#This Row],[Alternative_Data_Approval_Status]]="Approved",LAM_API_TABLE[[#This Row],[Total_INI_sqft_Alternative]],LAM_API_TABLE[[#This Row],[Total_INI_sqft]])</f>
        <v>14326079</v>
      </c>
      <c r="AP216">
        <f>IF(LAM_API_TABLE[[#This Row],[New_Res_Constr_Approval_Status]]="Approved",LAM_API_TABLE[[#This Row],[New_Res_Constr_sqft]],0)</f>
        <v>0</v>
      </c>
      <c r="AQ216">
        <f>IF(LAM_API_TABLE[[#This Row],[New_Res_Constr_Approval_Status]]="Approved",LAM_API_TABLE[[#This Row],[New_Res_SLA_norec_sqft]],0)</f>
        <v>0</v>
      </c>
      <c r="AR216">
        <f>IF(LAM_API_TABLE[[#This Row],[New_Res_Constr_Approval_Status]]="Approved",LAM_API_TABLE[[#This Row],[New_Res_SLA_rec_sqft]],0)</f>
        <v>0</v>
      </c>
      <c r="AS216">
        <f>IF(LAM_API_TABLE[[#This Row],[Existing_Res_SLA_Data_Approval_Status]]="Approved",LAM_API_TABLE[[#This Row],[Existing_Res_SLA_norec_sqft]],0)</f>
        <v>0</v>
      </c>
      <c r="AT216">
        <f>IF(LAM_API_TABLE[[#This Row],[Existing_Res_SLA_Data_Approval_Status]]="Approved",LAM_API_TABLE[[#This Row],[Existing_Res_SLA_rec_sqft]],0)</f>
        <v>0</v>
      </c>
    </row>
    <row r="217" spans="1:46" x14ac:dyDescent="0.25">
      <c r="A217" t="s">
        <v>1698</v>
      </c>
      <c r="B217" t="s">
        <v>3145</v>
      </c>
      <c r="C217" t="s">
        <v>3146</v>
      </c>
      <c r="D217" t="s">
        <v>3147</v>
      </c>
      <c r="E217">
        <v>2018</v>
      </c>
      <c r="H217">
        <v>61042</v>
      </c>
      <c r="I217">
        <v>13796592</v>
      </c>
      <c r="J217">
        <v>1413366</v>
      </c>
      <c r="K217">
        <v>14879895</v>
      </c>
      <c r="L217">
        <v>14079265</v>
      </c>
      <c r="M217" t="s">
        <v>1859</v>
      </c>
      <c r="AK217">
        <f>IF(LAM_API_TABLE[[#This Row],[Alternative_Data_Approval_Status]]="Approved",LAM_API_TABLE[[#This Row],[HCL_area_sqft_Alternative]],LAM_API_TABLE[[#This Row],[HCL_area_sqft]])</f>
        <v>0</v>
      </c>
      <c r="AL217">
        <f>IF(LAM_API_TABLE[[#This Row],[Alternative_Data_Approval_Status]]="Approved",LAM_API_TABLE[[#This Row],[Ag_area_sqft_Alternative]],LAM_API_TABLE[[#This Row],[Ag_area_sqft]])</f>
        <v>0</v>
      </c>
      <c r="AM217">
        <f>IF(LAM_API_TABLE[[#This Row],[Alternative_Data_Approval_Status]]="Approved",LAM_API_TABLE[[#This Row],[Pool_area_sqft_Alternative]],LAM_API_TABLE[[#This Row],[Pool_area_sqft]])</f>
        <v>61042</v>
      </c>
      <c r="AN217">
        <f>IF(LAM_API_TABLE[[#This Row],[Alternative_Data_Approval_Status]]="Approved",LAM_API_TABLE[[#This Row],[Total_II_sqft_Alternative]],LAM_API_TABLE[[#This Row],[Total_II_sqft]])</f>
        <v>13796592</v>
      </c>
      <c r="AO217">
        <f>IF(LAM_API_TABLE[[#This Row],[Alternative_Data_Approval_Status]]="Approved",LAM_API_TABLE[[#This Row],[Total_INI_sqft_Alternative]],LAM_API_TABLE[[#This Row],[Total_INI_sqft]])</f>
        <v>1413366</v>
      </c>
      <c r="AP217">
        <f>IF(LAM_API_TABLE[[#This Row],[New_Res_Constr_Approval_Status]]="Approved",LAM_API_TABLE[[#This Row],[New_Res_Constr_sqft]],0)</f>
        <v>0</v>
      </c>
      <c r="AQ217">
        <f>IF(LAM_API_TABLE[[#This Row],[New_Res_Constr_Approval_Status]]="Approved",LAM_API_TABLE[[#This Row],[New_Res_SLA_norec_sqft]],0)</f>
        <v>0</v>
      </c>
      <c r="AR217">
        <f>IF(LAM_API_TABLE[[#This Row],[New_Res_Constr_Approval_Status]]="Approved",LAM_API_TABLE[[#This Row],[New_Res_SLA_rec_sqft]],0)</f>
        <v>0</v>
      </c>
      <c r="AS217">
        <f>IF(LAM_API_TABLE[[#This Row],[Existing_Res_SLA_Data_Approval_Status]]="Approved",LAM_API_TABLE[[#This Row],[Existing_Res_SLA_norec_sqft]],0)</f>
        <v>0</v>
      </c>
      <c r="AT217">
        <f>IF(LAM_API_TABLE[[#This Row],[Existing_Res_SLA_Data_Approval_Status]]="Approved",LAM_API_TABLE[[#This Row],[Existing_Res_SLA_rec_sqft]],0)</f>
        <v>0</v>
      </c>
    </row>
    <row r="218" spans="1:46" x14ac:dyDescent="0.25">
      <c r="A218" t="s">
        <v>1702</v>
      </c>
      <c r="B218" t="s">
        <v>1703</v>
      </c>
      <c r="C218" t="s">
        <v>3148</v>
      </c>
      <c r="D218" t="s">
        <v>3149</v>
      </c>
      <c r="E218">
        <v>2018</v>
      </c>
      <c r="G218">
        <v>719960</v>
      </c>
      <c r="H218">
        <v>901853</v>
      </c>
      <c r="I218">
        <v>60730038</v>
      </c>
      <c r="J218">
        <v>25554547</v>
      </c>
      <c r="K218">
        <v>105175111</v>
      </c>
      <c r="L218">
        <v>65840947</v>
      </c>
      <c r="M218" t="s">
        <v>1859</v>
      </c>
      <c r="AK218">
        <f>IF(LAM_API_TABLE[[#This Row],[Alternative_Data_Approval_Status]]="Approved",LAM_API_TABLE[[#This Row],[HCL_area_sqft_Alternative]],LAM_API_TABLE[[#This Row],[HCL_area_sqft]])</f>
        <v>0</v>
      </c>
      <c r="AL218">
        <f>IF(LAM_API_TABLE[[#This Row],[Alternative_Data_Approval_Status]]="Approved",LAM_API_TABLE[[#This Row],[Ag_area_sqft_Alternative]],LAM_API_TABLE[[#This Row],[Ag_area_sqft]])</f>
        <v>719960</v>
      </c>
      <c r="AM218">
        <f>IF(LAM_API_TABLE[[#This Row],[Alternative_Data_Approval_Status]]="Approved",LAM_API_TABLE[[#This Row],[Pool_area_sqft_Alternative]],LAM_API_TABLE[[#This Row],[Pool_area_sqft]])</f>
        <v>901853</v>
      </c>
      <c r="AN218">
        <f>IF(LAM_API_TABLE[[#This Row],[Alternative_Data_Approval_Status]]="Approved",LAM_API_TABLE[[#This Row],[Total_II_sqft_Alternative]],LAM_API_TABLE[[#This Row],[Total_II_sqft]])</f>
        <v>60730038</v>
      </c>
      <c r="AO218">
        <f>IF(LAM_API_TABLE[[#This Row],[Alternative_Data_Approval_Status]]="Approved",LAM_API_TABLE[[#This Row],[Total_INI_sqft_Alternative]],LAM_API_TABLE[[#This Row],[Total_INI_sqft]])</f>
        <v>25554547</v>
      </c>
      <c r="AP218">
        <f>IF(LAM_API_TABLE[[#This Row],[New_Res_Constr_Approval_Status]]="Approved",LAM_API_TABLE[[#This Row],[New_Res_Constr_sqft]],0)</f>
        <v>0</v>
      </c>
      <c r="AQ218">
        <f>IF(LAM_API_TABLE[[#This Row],[New_Res_Constr_Approval_Status]]="Approved",LAM_API_TABLE[[#This Row],[New_Res_SLA_norec_sqft]],0)</f>
        <v>0</v>
      </c>
      <c r="AR218">
        <f>IF(LAM_API_TABLE[[#This Row],[New_Res_Constr_Approval_Status]]="Approved",LAM_API_TABLE[[#This Row],[New_Res_SLA_rec_sqft]],0)</f>
        <v>0</v>
      </c>
      <c r="AS218">
        <f>IF(LAM_API_TABLE[[#This Row],[Existing_Res_SLA_Data_Approval_Status]]="Approved",LAM_API_TABLE[[#This Row],[Existing_Res_SLA_norec_sqft]],0)</f>
        <v>0</v>
      </c>
      <c r="AT218">
        <f>IF(LAM_API_TABLE[[#This Row],[Existing_Res_SLA_Data_Approval_Status]]="Approved",LAM_API_TABLE[[#This Row],[Existing_Res_SLA_rec_sqft]],0)</f>
        <v>0</v>
      </c>
    </row>
    <row r="219" spans="1:46" x14ac:dyDescent="0.25">
      <c r="A219" t="s">
        <v>1706</v>
      </c>
      <c r="B219" t="s">
        <v>1707</v>
      </c>
      <c r="C219" t="s">
        <v>3150</v>
      </c>
      <c r="D219" t="s">
        <v>3151</v>
      </c>
      <c r="E219">
        <v>2018</v>
      </c>
      <c r="G219">
        <v>1180064</v>
      </c>
      <c r="H219">
        <v>1075374</v>
      </c>
      <c r="I219">
        <v>38729488</v>
      </c>
      <c r="J219">
        <v>13378849</v>
      </c>
      <c r="K219">
        <v>99000142</v>
      </c>
      <c r="L219">
        <v>41405258</v>
      </c>
      <c r="M219" t="s">
        <v>1859</v>
      </c>
      <c r="AK219">
        <f>IF(LAM_API_TABLE[[#This Row],[Alternative_Data_Approval_Status]]="Approved",LAM_API_TABLE[[#This Row],[HCL_area_sqft_Alternative]],LAM_API_TABLE[[#This Row],[HCL_area_sqft]])</f>
        <v>0</v>
      </c>
      <c r="AL219">
        <f>IF(LAM_API_TABLE[[#This Row],[Alternative_Data_Approval_Status]]="Approved",LAM_API_TABLE[[#This Row],[Ag_area_sqft_Alternative]],LAM_API_TABLE[[#This Row],[Ag_area_sqft]])</f>
        <v>1180064</v>
      </c>
      <c r="AM219">
        <f>IF(LAM_API_TABLE[[#This Row],[Alternative_Data_Approval_Status]]="Approved",LAM_API_TABLE[[#This Row],[Pool_area_sqft_Alternative]],LAM_API_TABLE[[#This Row],[Pool_area_sqft]])</f>
        <v>1075374</v>
      </c>
      <c r="AN219">
        <f>IF(LAM_API_TABLE[[#This Row],[Alternative_Data_Approval_Status]]="Approved",LAM_API_TABLE[[#This Row],[Total_II_sqft_Alternative]],LAM_API_TABLE[[#This Row],[Total_II_sqft]])</f>
        <v>38729488</v>
      </c>
      <c r="AO219">
        <f>IF(LAM_API_TABLE[[#This Row],[Alternative_Data_Approval_Status]]="Approved",LAM_API_TABLE[[#This Row],[Total_INI_sqft_Alternative]],LAM_API_TABLE[[#This Row],[Total_INI_sqft]])</f>
        <v>13378849</v>
      </c>
      <c r="AP219">
        <f>IF(LAM_API_TABLE[[#This Row],[New_Res_Constr_Approval_Status]]="Approved",LAM_API_TABLE[[#This Row],[New_Res_Constr_sqft]],0)</f>
        <v>0</v>
      </c>
      <c r="AQ219">
        <f>IF(LAM_API_TABLE[[#This Row],[New_Res_Constr_Approval_Status]]="Approved",LAM_API_TABLE[[#This Row],[New_Res_SLA_norec_sqft]],0)</f>
        <v>0</v>
      </c>
      <c r="AR219">
        <f>IF(LAM_API_TABLE[[#This Row],[New_Res_Constr_Approval_Status]]="Approved",LAM_API_TABLE[[#This Row],[New_Res_SLA_rec_sqft]],0)</f>
        <v>0</v>
      </c>
      <c r="AS219">
        <f>IF(LAM_API_TABLE[[#This Row],[Existing_Res_SLA_Data_Approval_Status]]="Approved",LAM_API_TABLE[[#This Row],[Existing_Res_SLA_norec_sqft]],0)</f>
        <v>0</v>
      </c>
      <c r="AT219">
        <f>IF(LAM_API_TABLE[[#This Row],[Existing_Res_SLA_Data_Approval_Status]]="Approved",LAM_API_TABLE[[#This Row],[Existing_Res_SLA_rec_sqft]],0)</f>
        <v>0</v>
      </c>
    </row>
    <row r="220" spans="1:46" x14ac:dyDescent="0.25">
      <c r="A220" t="s">
        <v>1710</v>
      </c>
      <c r="B220" t="s">
        <v>1711</v>
      </c>
      <c r="C220" t="s">
        <v>3152</v>
      </c>
      <c r="D220" t="s">
        <v>3153</v>
      </c>
      <c r="E220">
        <v>2018</v>
      </c>
      <c r="H220">
        <v>90812</v>
      </c>
      <c r="I220">
        <v>17594390</v>
      </c>
      <c r="J220">
        <v>9849404</v>
      </c>
      <c r="K220">
        <v>37367581</v>
      </c>
      <c r="L220">
        <v>19564271</v>
      </c>
      <c r="M220" t="s">
        <v>1859</v>
      </c>
      <c r="AK220">
        <f>IF(LAM_API_TABLE[[#This Row],[Alternative_Data_Approval_Status]]="Approved",LAM_API_TABLE[[#This Row],[HCL_area_sqft_Alternative]],LAM_API_TABLE[[#This Row],[HCL_area_sqft]])</f>
        <v>0</v>
      </c>
      <c r="AL220">
        <f>IF(LAM_API_TABLE[[#This Row],[Alternative_Data_Approval_Status]]="Approved",LAM_API_TABLE[[#This Row],[Ag_area_sqft_Alternative]],LAM_API_TABLE[[#This Row],[Ag_area_sqft]])</f>
        <v>0</v>
      </c>
      <c r="AM220">
        <f>IF(LAM_API_TABLE[[#This Row],[Alternative_Data_Approval_Status]]="Approved",LAM_API_TABLE[[#This Row],[Pool_area_sqft_Alternative]],LAM_API_TABLE[[#This Row],[Pool_area_sqft]])</f>
        <v>90812</v>
      </c>
      <c r="AN220">
        <f>IF(LAM_API_TABLE[[#This Row],[Alternative_Data_Approval_Status]]="Approved",LAM_API_TABLE[[#This Row],[Total_II_sqft_Alternative]],LAM_API_TABLE[[#This Row],[Total_II_sqft]])</f>
        <v>17594390</v>
      </c>
      <c r="AO220">
        <f>IF(LAM_API_TABLE[[#This Row],[Alternative_Data_Approval_Status]]="Approved",LAM_API_TABLE[[#This Row],[Total_INI_sqft_Alternative]],LAM_API_TABLE[[#This Row],[Total_INI_sqft]])</f>
        <v>9849404</v>
      </c>
      <c r="AP220">
        <f>IF(LAM_API_TABLE[[#This Row],[New_Res_Constr_Approval_Status]]="Approved",LAM_API_TABLE[[#This Row],[New_Res_Constr_sqft]],0)</f>
        <v>0</v>
      </c>
      <c r="AQ220">
        <f>IF(LAM_API_TABLE[[#This Row],[New_Res_Constr_Approval_Status]]="Approved",LAM_API_TABLE[[#This Row],[New_Res_SLA_norec_sqft]],0)</f>
        <v>0</v>
      </c>
      <c r="AR220">
        <f>IF(LAM_API_TABLE[[#This Row],[New_Res_Constr_Approval_Status]]="Approved",LAM_API_TABLE[[#This Row],[New_Res_SLA_rec_sqft]],0)</f>
        <v>0</v>
      </c>
      <c r="AS220">
        <f>IF(LAM_API_TABLE[[#This Row],[Existing_Res_SLA_Data_Approval_Status]]="Approved",LAM_API_TABLE[[#This Row],[Existing_Res_SLA_norec_sqft]],0)</f>
        <v>0</v>
      </c>
      <c r="AT220">
        <f>IF(LAM_API_TABLE[[#This Row],[Existing_Res_SLA_Data_Approval_Status]]="Approved",LAM_API_TABLE[[#This Row],[Existing_Res_SLA_rec_sqft]],0)</f>
        <v>0</v>
      </c>
    </row>
    <row r="221" spans="1:46" x14ac:dyDescent="0.25">
      <c r="A221" t="s">
        <v>1714</v>
      </c>
      <c r="B221" t="s">
        <v>1715</v>
      </c>
      <c r="C221" t="s">
        <v>3154</v>
      </c>
      <c r="D221" t="s">
        <v>3155</v>
      </c>
      <c r="E221">
        <v>2018</v>
      </c>
      <c r="H221">
        <v>76246</v>
      </c>
      <c r="I221">
        <v>15026444</v>
      </c>
      <c r="J221">
        <v>3489014</v>
      </c>
      <c r="K221">
        <v>26905722</v>
      </c>
      <c r="L221">
        <v>15724247</v>
      </c>
      <c r="M221" t="s">
        <v>1859</v>
      </c>
      <c r="AK221">
        <f>IF(LAM_API_TABLE[[#This Row],[Alternative_Data_Approval_Status]]="Approved",LAM_API_TABLE[[#This Row],[HCL_area_sqft_Alternative]],LAM_API_TABLE[[#This Row],[HCL_area_sqft]])</f>
        <v>0</v>
      </c>
      <c r="AL221">
        <f>IF(LAM_API_TABLE[[#This Row],[Alternative_Data_Approval_Status]]="Approved",LAM_API_TABLE[[#This Row],[Ag_area_sqft_Alternative]],LAM_API_TABLE[[#This Row],[Ag_area_sqft]])</f>
        <v>0</v>
      </c>
      <c r="AM221">
        <f>IF(LAM_API_TABLE[[#This Row],[Alternative_Data_Approval_Status]]="Approved",LAM_API_TABLE[[#This Row],[Pool_area_sqft_Alternative]],LAM_API_TABLE[[#This Row],[Pool_area_sqft]])</f>
        <v>76246</v>
      </c>
      <c r="AN221">
        <f>IF(LAM_API_TABLE[[#This Row],[Alternative_Data_Approval_Status]]="Approved",LAM_API_TABLE[[#This Row],[Total_II_sqft_Alternative]],LAM_API_TABLE[[#This Row],[Total_II_sqft]])</f>
        <v>15026444</v>
      </c>
      <c r="AO221">
        <f>IF(LAM_API_TABLE[[#This Row],[Alternative_Data_Approval_Status]]="Approved",LAM_API_TABLE[[#This Row],[Total_INI_sqft_Alternative]],LAM_API_TABLE[[#This Row],[Total_INI_sqft]])</f>
        <v>3489014</v>
      </c>
      <c r="AP221">
        <f>IF(LAM_API_TABLE[[#This Row],[New_Res_Constr_Approval_Status]]="Approved",LAM_API_TABLE[[#This Row],[New_Res_Constr_sqft]],0)</f>
        <v>0</v>
      </c>
      <c r="AQ221">
        <f>IF(LAM_API_TABLE[[#This Row],[New_Res_Constr_Approval_Status]]="Approved",LAM_API_TABLE[[#This Row],[New_Res_SLA_norec_sqft]],0)</f>
        <v>0</v>
      </c>
      <c r="AR221">
        <f>IF(LAM_API_TABLE[[#This Row],[New_Res_Constr_Approval_Status]]="Approved",LAM_API_TABLE[[#This Row],[New_Res_SLA_rec_sqft]],0)</f>
        <v>0</v>
      </c>
      <c r="AS221">
        <f>IF(LAM_API_TABLE[[#This Row],[Existing_Res_SLA_Data_Approval_Status]]="Approved",LAM_API_TABLE[[#This Row],[Existing_Res_SLA_norec_sqft]],0)</f>
        <v>0</v>
      </c>
      <c r="AT221">
        <f>IF(LAM_API_TABLE[[#This Row],[Existing_Res_SLA_Data_Approval_Status]]="Approved",LAM_API_TABLE[[#This Row],[Existing_Res_SLA_rec_sqft]],0)</f>
        <v>0</v>
      </c>
    </row>
    <row r="222" spans="1:46" x14ac:dyDescent="0.25">
      <c r="A222" t="s">
        <v>1718</v>
      </c>
      <c r="B222" t="s">
        <v>1719</v>
      </c>
      <c r="C222" t="s">
        <v>3156</v>
      </c>
      <c r="D222" t="s">
        <v>3157</v>
      </c>
      <c r="E222">
        <v>2018</v>
      </c>
      <c r="F222">
        <v>2292</v>
      </c>
      <c r="G222">
        <v>619745</v>
      </c>
      <c r="H222">
        <v>161739</v>
      </c>
      <c r="I222">
        <v>20465159</v>
      </c>
      <c r="J222">
        <v>15327238</v>
      </c>
      <c r="K222">
        <v>86839523</v>
      </c>
      <c r="L222">
        <v>23530606</v>
      </c>
      <c r="M222" t="s">
        <v>1859</v>
      </c>
      <c r="AK222">
        <f>IF(LAM_API_TABLE[[#This Row],[Alternative_Data_Approval_Status]]="Approved",LAM_API_TABLE[[#This Row],[HCL_area_sqft_Alternative]],LAM_API_TABLE[[#This Row],[HCL_area_sqft]])</f>
        <v>2292</v>
      </c>
      <c r="AL222">
        <f>IF(LAM_API_TABLE[[#This Row],[Alternative_Data_Approval_Status]]="Approved",LAM_API_TABLE[[#This Row],[Ag_area_sqft_Alternative]],LAM_API_TABLE[[#This Row],[Ag_area_sqft]])</f>
        <v>619745</v>
      </c>
      <c r="AM222">
        <f>IF(LAM_API_TABLE[[#This Row],[Alternative_Data_Approval_Status]]="Approved",LAM_API_TABLE[[#This Row],[Pool_area_sqft_Alternative]],LAM_API_TABLE[[#This Row],[Pool_area_sqft]])</f>
        <v>161739</v>
      </c>
      <c r="AN222">
        <f>IF(LAM_API_TABLE[[#This Row],[Alternative_Data_Approval_Status]]="Approved",LAM_API_TABLE[[#This Row],[Total_II_sqft_Alternative]],LAM_API_TABLE[[#This Row],[Total_II_sqft]])</f>
        <v>20465159</v>
      </c>
      <c r="AO222">
        <f>IF(LAM_API_TABLE[[#This Row],[Alternative_Data_Approval_Status]]="Approved",LAM_API_TABLE[[#This Row],[Total_INI_sqft_Alternative]],LAM_API_TABLE[[#This Row],[Total_INI_sqft]])</f>
        <v>15327238</v>
      </c>
      <c r="AP222">
        <f>IF(LAM_API_TABLE[[#This Row],[New_Res_Constr_Approval_Status]]="Approved",LAM_API_TABLE[[#This Row],[New_Res_Constr_sqft]],0)</f>
        <v>0</v>
      </c>
      <c r="AQ222">
        <f>IF(LAM_API_TABLE[[#This Row],[New_Res_Constr_Approval_Status]]="Approved",LAM_API_TABLE[[#This Row],[New_Res_SLA_norec_sqft]],0)</f>
        <v>0</v>
      </c>
      <c r="AR222">
        <f>IF(LAM_API_TABLE[[#This Row],[New_Res_Constr_Approval_Status]]="Approved",LAM_API_TABLE[[#This Row],[New_Res_SLA_rec_sqft]],0)</f>
        <v>0</v>
      </c>
      <c r="AS222">
        <f>IF(LAM_API_TABLE[[#This Row],[Existing_Res_SLA_Data_Approval_Status]]="Approved",LAM_API_TABLE[[#This Row],[Existing_Res_SLA_norec_sqft]],0)</f>
        <v>0</v>
      </c>
      <c r="AT222">
        <f>IF(LAM_API_TABLE[[#This Row],[Existing_Res_SLA_Data_Approval_Status]]="Approved",LAM_API_TABLE[[#This Row],[Existing_Res_SLA_rec_sqft]],0)</f>
        <v>0</v>
      </c>
    </row>
    <row r="223" spans="1:46" x14ac:dyDescent="0.25">
      <c r="A223" t="s">
        <v>1722</v>
      </c>
      <c r="B223" t="s">
        <v>1723</v>
      </c>
      <c r="C223" t="s">
        <v>3158</v>
      </c>
      <c r="D223" t="s">
        <v>3159</v>
      </c>
      <c r="E223">
        <v>2018</v>
      </c>
      <c r="G223">
        <v>373740</v>
      </c>
      <c r="H223">
        <v>304749</v>
      </c>
      <c r="I223">
        <v>15521864</v>
      </c>
      <c r="J223">
        <v>43563396</v>
      </c>
      <c r="K223">
        <v>105096593</v>
      </c>
      <c r="L223">
        <v>24234543</v>
      </c>
      <c r="M223" t="s">
        <v>1859</v>
      </c>
      <c r="AK223">
        <f>IF(LAM_API_TABLE[[#This Row],[Alternative_Data_Approval_Status]]="Approved",LAM_API_TABLE[[#This Row],[HCL_area_sqft_Alternative]],LAM_API_TABLE[[#This Row],[HCL_area_sqft]])</f>
        <v>0</v>
      </c>
      <c r="AL223">
        <f>IF(LAM_API_TABLE[[#This Row],[Alternative_Data_Approval_Status]]="Approved",LAM_API_TABLE[[#This Row],[Ag_area_sqft_Alternative]],LAM_API_TABLE[[#This Row],[Ag_area_sqft]])</f>
        <v>373740</v>
      </c>
      <c r="AM223">
        <f>IF(LAM_API_TABLE[[#This Row],[Alternative_Data_Approval_Status]]="Approved",LAM_API_TABLE[[#This Row],[Pool_area_sqft_Alternative]],LAM_API_TABLE[[#This Row],[Pool_area_sqft]])</f>
        <v>304749</v>
      </c>
      <c r="AN223">
        <f>IF(LAM_API_TABLE[[#This Row],[Alternative_Data_Approval_Status]]="Approved",LAM_API_TABLE[[#This Row],[Total_II_sqft_Alternative]],LAM_API_TABLE[[#This Row],[Total_II_sqft]])</f>
        <v>15521864</v>
      </c>
      <c r="AO223">
        <f>IF(LAM_API_TABLE[[#This Row],[Alternative_Data_Approval_Status]]="Approved",LAM_API_TABLE[[#This Row],[Total_INI_sqft_Alternative]],LAM_API_TABLE[[#This Row],[Total_INI_sqft]])</f>
        <v>43563396</v>
      </c>
      <c r="AP223">
        <f>IF(LAM_API_TABLE[[#This Row],[New_Res_Constr_Approval_Status]]="Approved",LAM_API_TABLE[[#This Row],[New_Res_Constr_sqft]],0)</f>
        <v>0</v>
      </c>
      <c r="AQ223">
        <f>IF(LAM_API_TABLE[[#This Row],[New_Res_Constr_Approval_Status]]="Approved",LAM_API_TABLE[[#This Row],[New_Res_SLA_norec_sqft]],0)</f>
        <v>0</v>
      </c>
      <c r="AR223">
        <f>IF(LAM_API_TABLE[[#This Row],[New_Res_Constr_Approval_Status]]="Approved",LAM_API_TABLE[[#This Row],[New_Res_SLA_rec_sqft]],0)</f>
        <v>0</v>
      </c>
      <c r="AS223">
        <f>IF(LAM_API_TABLE[[#This Row],[Existing_Res_SLA_Data_Approval_Status]]="Approved",LAM_API_TABLE[[#This Row],[Existing_Res_SLA_norec_sqft]],0)</f>
        <v>0</v>
      </c>
      <c r="AT223">
        <f>IF(LAM_API_TABLE[[#This Row],[Existing_Res_SLA_Data_Approval_Status]]="Approved",LAM_API_TABLE[[#This Row],[Existing_Res_SLA_rec_sqft]],0)</f>
        <v>0</v>
      </c>
    </row>
    <row r="224" spans="1:46" x14ac:dyDescent="0.25">
      <c r="A224" t="s">
        <v>1730</v>
      </c>
      <c r="B224" t="s">
        <v>1731</v>
      </c>
      <c r="C224" t="s">
        <v>3160</v>
      </c>
      <c r="D224" t="s">
        <v>3161</v>
      </c>
      <c r="E224">
        <v>2018</v>
      </c>
      <c r="F224">
        <v>16839</v>
      </c>
      <c r="G224">
        <v>107770124</v>
      </c>
      <c r="H224">
        <v>3563047</v>
      </c>
      <c r="I224">
        <v>176375329</v>
      </c>
      <c r="J224">
        <v>74829469</v>
      </c>
      <c r="K224">
        <v>423980423</v>
      </c>
      <c r="L224">
        <v>191341223</v>
      </c>
      <c r="M224" t="s">
        <v>1859</v>
      </c>
      <c r="AK224">
        <f>IF(LAM_API_TABLE[[#This Row],[Alternative_Data_Approval_Status]]="Approved",LAM_API_TABLE[[#This Row],[HCL_area_sqft_Alternative]],LAM_API_TABLE[[#This Row],[HCL_area_sqft]])</f>
        <v>16839</v>
      </c>
      <c r="AL224">
        <f>IF(LAM_API_TABLE[[#This Row],[Alternative_Data_Approval_Status]]="Approved",LAM_API_TABLE[[#This Row],[Ag_area_sqft_Alternative]],LAM_API_TABLE[[#This Row],[Ag_area_sqft]])</f>
        <v>107770124</v>
      </c>
      <c r="AM224">
        <f>IF(LAM_API_TABLE[[#This Row],[Alternative_Data_Approval_Status]]="Approved",LAM_API_TABLE[[#This Row],[Pool_area_sqft_Alternative]],LAM_API_TABLE[[#This Row],[Pool_area_sqft]])</f>
        <v>3563047</v>
      </c>
      <c r="AN224">
        <f>IF(LAM_API_TABLE[[#This Row],[Alternative_Data_Approval_Status]]="Approved",LAM_API_TABLE[[#This Row],[Total_II_sqft_Alternative]],LAM_API_TABLE[[#This Row],[Total_II_sqft]])</f>
        <v>176375329</v>
      </c>
      <c r="AO224">
        <f>IF(LAM_API_TABLE[[#This Row],[Alternative_Data_Approval_Status]]="Approved",LAM_API_TABLE[[#This Row],[Total_INI_sqft_Alternative]],LAM_API_TABLE[[#This Row],[Total_INI_sqft]])</f>
        <v>74829469</v>
      </c>
      <c r="AP224">
        <f>IF(LAM_API_TABLE[[#This Row],[New_Res_Constr_Approval_Status]]="Approved",LAM_API_TABLE[[#This Row],[New_Res_Constr_sqft]],0)</f>
        <v>0</v>
      </c>
      <c r="AQ224">
        <f>IF(LAM_API_TABLE[[#This Row],[New_Res_Constr_Approval_Status]]="Approved",LAM_API_TABLE[[#This Row],[New_Res_SLA_norec_sqft]],0)</f>
        <v>0</v>
      </c>
      <c r="AR224">
        <f>IF(LAM_API_TABLE[[#This Row],[New_Res_Constr_Approval_Status]]="Approved",LAM_API_TABLE[[#This Row],[New_Res_SLA_rec_sqft]],0)</f>
        <v>0</v>
      </c>
      <c r="AS224">
        <f>IF(LAM_API_TABLE[[#This Row],[Existing_Res_SLA_Data_Approval_Status]]="Approved",LAM_API_TABLE[[#This Row],[Existing_Res_SLA_norec_sqft]],0)</f>
        <v>0</v>
      </c>
      <c r="AT224">
        <f>IF(LAM_API_TABLE[[#This Row],[Existing_Res_SLA_Data_Approval_Status]]="Approved",LAM_API_TABLE[[#This Row],[Existing_Res_SLA_rec_sqft]],0)</f>
        <v>0</v>
      </c>
    </row>
    <row r="225" spans="1:46" x14ac:dyDescent="0.25">
      <c r="A225" t="s">
        <v>1748</v>
      </c>
      <c r="B225" t="s">
        <v>3162</v>
      </c>
      <c r="C225" t="s">
        <v>3163</v>
      </c>
      <c r="D225" t="s">
        <v>3164</v>
      </c>
      <c r="E225">
        <v>2018</v>
      </c>
      <c r="H225">
        <v>377059</v>
      </c>
      <c r="I225">
        <v>27468960</v>
      </c>
      <c r="J225">
        <v>5693449</v>
      </c>
      <c r="K225">
        <v>54118878</v>
      </c>
      <c r="L225">
        <v>28607650</v>
      </c>
      <c r="M225" t="s">
        <v>1859</v>
      </c>
      <c r="AK225">
        <f>IF(LAM_API_TABLE[[#This Row],[Alternative_Data_Approval_Status]]="Approved",LAM_API_TABLE[[#This Row],[HCL_area_sqft_Alternative]],LAM_API_TABLE[[#This Row],[HCL_area_sqft]])</f>
        <v>0</v>
      </c>
      <c r="AL225">
        <f>IF(LAM_API_TABLE[[#This Row],[Alternative_Data_Approval_Status]]="Approved",LAM_API_TABLE[[#This Row],[Ag_area_sqft_Alternative]],LAM_API_TABLE[[#This Row],[Ag_area_sqft]])</f>
        <v>0</v>
      </c>
      <c r="AM225">
        <f>IF(LAM_API_TABLE[[#This Row],[Alternative_Data_Approval_Status]]="Approved",LAM_API_TABLE[[#This Row],[Pool_area_sqft_Alternative]],LAM_API_TABLE[[#This Row],[Pool_area_sqft]])</f>
        <v>377059</v>
      </c>
      <c r="AN225">
        <f>IF(LAM_API_TABLE[[#This Row],[Alternative_Data_Approval_Status]]="Approved",LAM_API_TABLE[[#This Row],[Total_II_sqft_Alternative]],LAM_API_TABLE[[#This Row],[Total_II_sqft]])</f>
        <v>27468960</v>
      </c>
      <c r="AO225">
        <f>IF(LAM_API_TABLE[[#This Row],[Alternative_Data_Approval_Status]]="Approved",LAM_API_TABLE[[#This Row],[Total_INI_sqft_Alternative]],LAM_API_TABLE[[#This Row],[Total_INI_sqft]])</f>
        <v>5693449</v>
      </c>
      <c r="AP225">
        <f>IF(LAM_API_TABLE[[#This Row],[New_Res_Constr_Approval_Status]]="Approved",LAM_API_TABLE[[#This Row],[New_Res_Constr_sqft]],0)</f>
        <v>0</v>
      </c>
      <c r="AQ225">
        <f>IF(LAM_API_TABLE[[#This Row],[New_Res_Constr_Approval_Status]]="Approved",LAM_API_TABLE[[#This Row],[New_Res_SLA_norec_sqft]],0)</f>
        <v>0</v>
      </c>
      <c r="AR225">
        <f>IF(LAM_API_TABLE[[#This Row],[New_Res_Constr_Approval_Status]]="Approved",LAM_API_TABLE[[#This Row],[New_Res_SLA_rec_sqft]],0)</f>
        <v>0</v>
      </c>
      <c r="AS225">
        <f>IF(LAM_API_TABLE[[#This Row],[Existing_Res_SLA_Data_Approval_Status]]="Approved",LAM_API_TABLE[[#This Row],[Existing_Res_SLA_norec_sqft]],0)</f>
        <v>0</v>
      </c>
      <c r="AT225">
        <f>IF(LAM_API_TABLE[[#This Row],[Existing_Res_SLA_Data_Approval_Status]]="Approved",LAM_API_TABLE[[#This Row],[Existing_Res_SLA_rec_sqft]],0)</f>
        <v>0</v>
      </c>
    </row>
    <row r="226" spans="1:46" x14ac:dyDescent="0.25">
      <c r="A226" t="s">
        <v>1752</v>
      </c>
      <c r="B226" t="s">
        <v>3165</v>
      </c>
      <c r="C226" t="s">
        <v>3166</v>
      </c>
      <c r="D226" t="s">
        <v>3167</v>
      </c>
      <c r="E226">
        <v>2018</v>
      </c>
      <c r="F226">
        <v>178637</v>
      </c>
      <c r="G226">
        <v>4651534</v>
      </c>
      <c r="H226">
        <v>624535</v>
      </c>
      <c r="I226">
        <v>30174977</v>
      </c>
      <c r="J226">
        <v>24711885</v>
      </c>
      <c r="K226">
        <v>84197761</v>
      </c>
      <c r="L226">
        <v>35117354</v>
      </c>
      <c r="M226" t="s">
        <v>1859</v>
      </c>
      <c r="AK226">
        <f>IF(LAM_API_TABLE[[#This Row],[Alternative_Data_Approval_Status]]="Approved",LAM_API_TABLE[[#This Row],[HCL_area_sqft_Alternative]],LAM_API_TABLE[[#This Row],[HCL_area_sqft]])</f>
        <v>178637</v>
      </c>
      <c r="AL226">
        <f>IF(LAM_API_TABLE[[#This Row],[Alternative_Data_Approval_Status]]="Approved",LAM_API_TABLE[[#This Row],[Ag_area_sqft_Alternative]],LAM_API_TABLE[[#This Row],[Ag_area_sqft]])</f>
        <v>4651534</v>
      </c>
      <c r="AM226">
        <f>IF(LAM_API_TABLE[[#This Row],[Alternative_Data_Approval_Status]]="Approved",LAM_API_TABLE[[#This Row],[Pool_area_sqft_Alternative]],LAM_API_TABLE[[#This Row],[Pool_area_sqft]])</f>
        <v>624535</v>
      </c>
      <c r="AN226">
        <f>IF(LAM_API_TABLE[[#This Row],[Alternative_Data_Approval_Status]]="Approved",LAM_API_TABLE[[#This Row],[Total_II_sqft_Alternative]],LAM_API_TABLE[[#This Row],[Total_II_sqft]])</f>
        <v>30174977</v>
      </c>
      <c r="AO226">
        <f>IF(LAM_API_TABLE[[#This Row],[Alternative_Data_Approval_Status]]="Approved",LAM_API_TABLE[[#This Row],[Total_INI_sqft_Alternative]],LAM_API_TABLE[[#This Row],[Total_INI_sqft]])</f>
        <v>24711885</v>
      </c>
      <c r="AP226">
        <f>IF(LAM_API_TABLE[[#This Row],[New_Res_Constr_Approval_Status]]="Approved",LAM_API_TABLE[[#This Row],[New_Res_Constr_sqft]],0)</f>
        <v>0</v>
      </c>
      <c r="AQ226">
        <f>IF(LAM_API_TABLE[[#This Row],[New_Res_Constr_Approval_Status]]="Approved",LAM_API_TABLE[[#This Row],[New_Res_SLA_norec_sqft]],0)</f>
        <v>0</v>
      </c>
      <c r="AR226">
        <f>IF(LAM_API_TABLE[[#This Row],[New_Res_Constr_Approval_Status]]="Approved",LAM_API_TABLE[[#This Row],[New_Res_SLA_rec_sqft]],0)</f>
        <v>0</v>
      </c>
      <c r="AS226">
        <f>IF(LAM_API_TABLE[[#This Row],[Existing_Res_SLA_Data_Approval_Status]]="Approved",LAM_API_TABLE[[#This Row],[Existing_Res_SLA_norec_sqft]],0)</f>
        <v>0</v>
      </c>
      <c r="AT226">
        <f>IF(LAM_API_TABLE[[#This Row],[Existing_Res_SLA_Data_Approval_Status]]="Approved",LAM_API_TABLE[[#This Row],[Existing_Res_SLA_rec_sqft]],0)</f>
        <v>0</v>
      </c>
    </row>
    <row r="227" spans="1:46" x14ac:dyDescent="0.25">
      <c r="A227" t="s">
        <v>1756</v>
      </c>
      <c r="B227" t="s">
        <v>1757</v>
      </c>
      <c r="C227" t="s">
        <v>3168</v>
      </c>
      <c r="D227" t="s">
        <v>3169</v>
      </c>
      <c r="E227">
        <v>2018</v>
      </c>
      <c r="F227">
        <v>3458</v>
      </c>
      <c r="H227">
        <v>107326</v>
      </c>
      <c r="I227">
        <v>3703035</v>
      </c>
      <c r="J227">
        <v>3770414</v>
      </c>
      <c r="K227">
        <v>17972306</v>
      </c>
      <c r="L227">
        <v>4457118</v>
      </c>
      <c r="M227" t="s">
        <v>1859</v>
      </c>
      <c r="AK227">
        <f>IF(LAM_API_TABLE[[#This Row],[Alternative_Data_Approval_Status]]="Approved",LAM_API_TABLE[[#This Row],[HCL_area_sqft_Alternative]],LAM_API_TABLE[[#This Row],[HCL_area_sqft]])</f>
        <v>3458</v>
      </c>
      <c r="AL227">
        <f>IF(LAM_API_TABLE[[#This Row],[Alternative_Data_Approval_Status]]="Approved",LAM_API_TABLE[[#This Row],[Ag_area_sqft_Alternative]],LAM_API_TABLE[[#This Row],[Ag_area_sqft]])</f>
        <v>0</v>
      </c>
      <c r="AM227">
        <f>IF(LAM_API_TABLE[[#This Row],[Alternative_Data_Approval_Status]]="Approved",LAM_API_TABLE[[#This Row],[Pool_area_sqft_Alternative]],LAM_API_TABLE[[#This Row],[Pool_area_sqft]])</f>
        <v>107326</v>
      </c>
      <c r="AN227">
        <f>IF(LAM_API_TABLE[[#This Row],[Alternative_Data_Approval_Status]]="Approved",LAM_API_TABLE[[#This Row],[Total_II_sqft_Alternative]],LAM_API_TABLE[[#This Row],[Total_II_sqft]])</f>
        <v>3703035</v>
      </c>
      <c r="AO227">
        <f>IF(LAM_API_TABLE[[#This Row],[Alternative_Data_Approval_Status]]="Approved",LAM_API_TABLE[[#This Row],[Total_INI_sqft_Alternative]],LAM_API_TABLE[[#This Row],[Total_INI_sqft]])</f>
        <v>3770414</v>
      </c>
      <c r="AP227">
        <f>IF(LAM_API_TABLE[[#This Row],[New_Res_Constr_Approval_Status]]="Approved",LAM_API_TABLE[[#This Row],[New_Res_Constr_sqft]],0)</f>
        <v>0</v>
      </c>
      <c r="AQ227">
        <f>IF(LAM_API_TABLE[[#This Row],[New_Res_Constr_Approval_Status]]="Approved",LAM_API_TABLE[[#This Row],[New_Res_SLA_norec_sqft]],0)</f>
        <v>0</v>
      </c>
      <c r="AR227">
        <f>IF(LAM_API_TABLE[[#This Row],[New_Res_Constr_Approval_Status]]="Approved",LAM_API_TABLE[[#This Row],[New_Res_SLA_rec_sqft]],0)</f>
        <v>0</v>
      </c>
      <c r="AS227">
        <f>IF(LAM_API_TABLE[[#This Row],[Existing_Res_SLA_Data_Approval_Status]]="Approved",LAM_API_TABLE[[#This Row],[Existing_Res_SLA_norec_sqft]],0)</f>
        <v>0</v>
      </c>
      <c r="AT227">
        <f>IF(LAM_API_TABLE[[#This Row],[Existing_Res_SLA_Data_Approval_Status]]="Approved",LAM_API_TABLE[[#This Row],[Existing_Res_SLA_rec_sqft]],0)</f>
        <v>0</v>
      </c>
    </row>
    <row r="228" spans="1:46" x14ac:dyDescent="0.25">
      <c r="A228" t="s">
        <v>1760</v>
      </c>
      <c r="B228" t="s">
        <v>1761</v>
      </c>
      <c r="C228" t="s">
        <v>3170</v>
      </c>
      <c r="D228" t="s">
        <v>3171</v>
      </c>
      <c r="E228">
        <v>2018</v>
      </c>
      <c r="F228">
        <v>250096</v>
      </c>
      <c r="G228">
        <v>17515938</v>
      </c>
      <c r="H228">
        <v>416071</v>
      </c>
      <c r="I228">
        <v>64839858</v>
      </c>
      <c r="J228">
        <v>42535565</v>
      </c>
      <c r="K228">
        <v>163795815</v>
      </c>
      <c r="L228">
        <v>73346971</v>
      </c>
      <c r="M228" t="s">
        <v>1859</v>
      </c>
      <c r="AK228">
        <f>IF(LAM_API_TABLE[[#This Row],[Alternative_Data_Approval_Status]]="Approved",LAM_API_TABLE[[#This Row],[HCL_area_sqft_Alternative]],LAM_API_TABLE[[#This Row],[HCL_area_sqft]])</f>
        <v>250096</v>
      </c>
      <c r="AL228">
        <f>IF(LAM_API_TABLE[[#This Row],[Alternative_Data_Approval_Status]]="Approved",LAM_API_TABLE[[#This Row],[Ag_area_sqft_Alternative]],LAM_API_TABLE[[#This Row],[Ag_area_sqft]])</f>
        <v>17515938</v>
      </c>
      <c r="AM228">
        <f>IF(LAM_API_TABLE[[#This Row],[Alternative_Data_Approval_Status]]="Approved",LAM_API_TABLE[[#This Row],[Pool_area_sqft_Alternative]],LAM_API_TABLE[[#This Row],[Pool_area_sqft]])</f>
        <v>416071</v>
      </c>
      <c r="AN228">
        <f>IF(LAM_API_TABLE[[#This Row],[Alternative_Data_Approval_Status]]="Approved",LAM_API_TABLE[[#This Row],[Total_II_sqft_Alternative]],LAM_API_TABLE[[#This Row],[Total_II_sqft]])</f>
        <v>64839858</v>
      </c>
      <c r="AO228">
        <f>IF(LAM_API_TABLE[[#This Row],[Alternative_Data_Approval_Status]]="Approved",LAM_API_TABLE[[#This Row],[Total_INI_sqft_Alternative]],LAM_API_TABLE[[#This Row],[Total_INI_sqft]])</f>
        <v>42535565</v>
      </c>
      <c r="AP228">
        <f>IF(LAM_API_TABLE[[#This Row],[New_Res_Constr_Approval_Status]]="Approved",LAM_API_TABLE[[#This Row],[New_Res_Constr_sqft]],0)</f>
        <v>0</v>
      </c>
      <c r="AQ228">
        <f>IF(LAM_API_TABLE[[#This Row],[New_Res_Constr_Approval_Status]]="Approved",LAM_API_TABLE[[#This Row],[New_Res_SLA_norec_sqft]],0)</f>
        <v>0</v>
      </c>
      <c r="AR228">
        <f>IF(LAM_API_TABLE[[#This Row],[New_Res_Constr_Approval_Status]]="Approved",LAM_API_TABLE[[#This Row],[New_Res_SLA_rec_sqft]],0)</f>
        <v>0</v>
      </c>
      <c r="AS228">
        <f>IF(LAM_API_TABLE[[#This Row],[Existing_Res_SLA_Data_Approval_Status]]="Approved",LAM_API_TABLE[[#This Row],[Existing_Res_SLA_norec_sqft]],0)</f>
        <v>0</v>
      </c>
      <c r="AT228">
        <f>IF(LAM_API_TABLE[[#This Row],[Existing_Res_SLA_Data_Approval_Status]]="Approved",LAM_API_TABLE[[#This Row],[Existing_Res_SLA_rec_sqft]],0)</f>
        <v>0</v>
      </c>
    </row>
    <row r="229" spans="1:46" x14ac:dyDescent="0.25">
      <c r="A229" t="s">
        <v>1764</v>
      </c>
      <c r="B229" t="s">
        <v>1765</v>
      </c>
      <c r="C229" t="s">
        <v>3172</v>
      </c>
      <c r="D229" t="s">
        <v>3173</v>
      </c>
      <c r="E229">
        <v>2018</v>
      </c>
      <c r="H229">
        <v>376231</v>
      </c>
      <c r="I229">
        <v>18863627</v>
      </c>
      <c r="J229">
        <v>16060452</v>
      </c>
      <c r="K229">
        <v>63607091</v>
      </c>
      <c r="L229">
        <v>22075717</v>
      </c>
      <c r="M229" t="s">
        <v>1859</v>
      </c>
      <c r="AK229">
        <f>IF(LAM_API_TABLE[[#This Row],[Alternative_Data_Approval_Status]]="Approved",LAM_API_TABLE[[#This Row],[HCL_area_sqft_Alternative]],LAM_API_TABLE[[#This Row],[HCL_area_sqft]])</f>
        <v>0</v>
      </c>
      <c r="AL229">
        <f>IF(LAM_API_TABLE[[#This Row],[Alternative_Data_Approval_Status]]="Approved",LAM_API_TABLE[[#This Row],[Ag_area_sqft_Alternative]],LAM_API_TABLE[[#This Row],[Ag_area_sqft]])</f>
        <v>0</v>
      </c>
      <c r="AM229">
        <f>IF(LAM_API_TABLE[[#This Row],[Alternative_Data_Approval_Status]]="Approved",LAM_API_TABLE[[#This Row],[Pool_area_sqft_Alternative]],LAM_API_TABLE[[#This Row],[Pool_area_sqft]])</f>
        <v>376231</v>
      </c>
      <c r="AN229">
        <f>IF(LAM_API_TABLE[[#This Row],[Alternative_Data_Approval_Status]]="Approved",LAM_API_TABLE[[#This Row],[Total_II_sqft_Alternative]],LAM_API_TABLE[[#This Row],[Total_II_sqft]])</f>
        <v>18863627</v>
      </c>
      <c r="AO229">
        <f>IF(LAM_API_TABLE[[#This Row],[Alternative_Data_Approval_Status]]="Approved",LAM_API_TABLE[[#This Row],[Total_INI_sqft_Alternative]],LAM_API_TABLE[[#This Row],[Total_INI_sqft]])</f>
        <v>16060452</v>
      </c>
      <c r="AP229">
        <f>IF(LAM_API_TABLE[[#This Row],[New_Res_Constr_Approval_Status]]="Approved",LAM_API_TABLE[[#This Row],[New_Res_Constr_sqft]],0)</f>
        <v>0</v>
      </c>
      <c r="AQ229">
        <f>IF(LAM_API_TABLE[[#This Row],[New_Res_Constr_Approval_Status]]="Approved",LAM_API_TABLE[[#This Row],[New_Res_SLA_norec_sqft]],0)</f>
        <v>0</v>
      </c>
      <c r="AR229">
        <f>IF(LAM_API_TABLE[[#This Row],[New_Res_Constr_Approval_Status]]="Approved",LAM_API_TABLE[[#This Row],[New_Res_SLA_rec_sqft]],0)</f>
        <v>0</v>
      </c>
      <c r="AS229">
        <f>IF(LAM_API_TABLE[[#This Row],[Existing_Res_SLA_Data_Approval_Status]]="Approved",LAM_API_TABLE[[#This Row],[Existing_Res_SLA_norec_sqft]],0)</f>
        <v>0</v>
      </c>
      <c r="AT229">
        <f>IF(LAM_API_TABLE[[#This Row],[Existing_Res_SLA_Data_Approval_Status]]="Approved",LAM_API_TABLE[[#This Row],[Existing_Res_SLA_rec_sqft]],0)</f>
        <v>0</v>
      </c>
    </row>
    <row r="230" spans="1:46" x14ac:dyDescent="0.25">
      <c r="A230" t="s">
        <v>1768</v>
      </c>
      <c r="B230" t="s">
        <v>1769</v>
      </c>
      <c r="C230" t="s">
        <v>3174</v>
      </c>
      <c r="D230" t="s">
        <v>3175</v>
      </c>
      <c r="E230">
        <v>2018</v>
      </c>
      <c r="F230">
        <v>36190</v>
      </c>
      <c r="G230">
        <v>129408</v>
      </c>
      <c r="H230">
        <v>577570</v>
      </c>
      <c r="I230">
        <v>40872727</v>
      </c>
      <c r="J230">
        <v>15306254</v>
      </c>
      <c r="K230">
        <v>86579617</v>
      </c>
      <c r="L230">
        <v>43933978</v>
      </c>
      <c r="M230" t="s">
        <v>1859</v>
      </c>
      <c r="AK230">
        <f>IF(LAM_API_TABLE[[#This Row],[Alternative_Data_Approval_Status]]="Approved",LAM_API_TABLE[[#This Row],[HCL_area_sqft_Alternative]],LAM_API_TABLE[[#This Row],[HCL_area_sqft]])</f>
        <v>36190</v>
      </c>
      <c r="AL230">
        <f>IF(LAM_API_TABLE[[#This Row],[Alternative_Data_Approval_Status]]="Approved",LAM_API_TABLE[[#This Row],[Ag_area_sqft_Alternative]],LAM_API_TABLE[[#This Row],[Ag_area_sqft]])</f>
        <v>129408</v>
      </c>
      <c r="AM230">
        <f>IF(LAM_API_TABLE[[#This Row],[Alternative_Data_Approval_Status]]="Approved",LAM_API_TABLE[[#This Row],[Pool_area_sqft_Alternative]],LAM_API_TABLE[[#This Row],[Pool_area_sqft]])</f>
        <v>577570</v>
      </c>
      <c r="AN230">
        <f>IF(LAM_API_TABLE[[#This Row],[Alternative_Data_Approval_Status]]="Approved",LAM_API_TABLE[[#This Row],[Total_II_sqft_Alternative]],LAM_API_TABLE[[#This Row],[Total_II_sqft]])</f>
        <v>40872727</v>
      </c>
      <c r="AO230">
        <f>IF(LAM_API_TABLE[[#This Row],[Alternative_Data_Approval_Status]]="Approved",LAM_API_TABLE[[#This Row],[Total_INI_sqft_Alternative]],LAM_API_TABLE[[#This Row],[Total_INI_sqft]])</f>
        <v>15306254</v>
      </c>
      <c r="AP230">
        <f>IF(LAM_API_TABLE[[#This Row],[New_Res_Constr_Approval_Status]]="Approved",LAM_API_TABLE[[#This Row],[New_Res_Constr_sqft]],0)</f>
        <v>0</v>
      </c>
      <c r="AQ230">
        <f>IF(LAM_API_TABLE[[#This Row],[New_Res_Constr_Approval_Status]]="Approved",LAM_API_TABLE[[#This Row],[New_Res_SLA_norec_sqft]],0)</f>
        <v>0</v>
      </c>
      <c r="AR230">
        <f>IF(LAM_API_TABLE[[#This Row],[New_Res_Constr_Approval_Status]]="Approved",LAM_API_TABLE[[#This Row],[New_Res_SLA_rec_sqft]],0)</f>
        <v>0</v>
      </c>
      <c r="AS230">
        <f>IF(LAM_API_TABLE[[#This Row],[Existing_Res_SLA_Data_Approval_Status]]="Approved",LAM_API_TABLE[[#This Row],[Existing_Res_SLA_norec_sqft]],0)</f>
        <v>0</v>
      </c>
      <c r="AT230">
        <f>IF(LAM_API_TABLE[[#This Row],[Existing_Res_SLA_Data_Approval_Status]]="Approved",LAM_API_TABLE[[#This Row],[Existing_Res_SLA_rec_sqft]],0)</f>
        <v>0</v>
      </c>
    </row>
    <row r="231" spans="1:46" x14ac:dyDescent="0.25">
      <c r="A231" t="s">
        <v>1772</v>
      </c>
      <c r="B231" t="s">
        <v>1773</v>
      </c>
      <c r="C231" t="s">
        <v>3176</v>
      </c>
      <c r="D231" t="s">
        <v>3177</v>
      </c>
      <c r="E231">
        <v>2018</v>
      </c>
      <c r="H231">
        <v>2801</v>
      </c>
      <c r="I231">
        <v>3753073</v>
      </c>
      <c r="J231">
        <v>3649242</v>
      </c>
      <c r="K231">
        <v>21514600</v>
      </c>
      <c r="L231">
        <v>4482921</v>
      </c>
      <c r="M231" t="s">
        <v>1859</v>
      </c>
      <c r="AK231">
        <f>IF(LAM_API_TABLE[[#This Row],[Alternative_Data_Approval_Status]]="Approved",LAM_API_TABLE[[#This Row],[HCL_area_sqft_Alternative]],LAM_API_TABLE[[#This Row],[HCL_area_sqft]])</f>
        <v>0</v>
      </c>
      <c r="AL231">
        <f>IF(LAM_API_TABLE[[#This Row],[Alternative_Data_Approval_Status]]="Approved",LAM_API_TABLE[[#This Row],[Ag_area_sqft_Alternative]],LAM_API_TABLE[[#This Row],[Ag_area_sqft]])</f>
        <v>0</v>
      </c>
      <c r="AM231">
        <f>IF(LAM_API_TABLE[[#This Row],[Alternative_Data_Approval_Status]]="Approved",LAM_API_TABLE[[#This Row],[Pool_area_sqft_Alternative]],LAM_API_TABLE[[#This Row],[Pool_area_sqft]])</f>
        <v>2801</v>
      </c>
      <c r="AN231">
        <f>IF(LAM_API_TABLE[[#This Row],[Alternative_Data_Approval_Status]]="Approved",LAM_API_TABLE[[#This Row],[Total_II_sqft_Alternative]],LAM_API_TABLE[[#This Row],[Total_II_sqft]])</f>
        <v>3753073</v>
      </c>
      <c r="AO231">
        <f>IF(LAM_API_TABLE[[#This Row],[Alternative_Data_Approval_Status]]="Approved",LAM_API_TABLE[[#This Row],[Total_INI_sqft_Alternative]],LAM_API_TABLE[[#This Row],[Total_INI_sqft]])</f>
        <v>3649242</v>
      </c>
      <c r="AP231">
        <f>IF(LAM_API_TABLE[[#This Row],[New_Res_Constr_Approval_Status]]="Approved",LAM_API_TABLE[[#This Row],[New_Res_Constr_sqft]],0)</f>
        <v>0</v>
      </c>
      <c r="AQ231">
        <f>IF(LAM_API_TABLE[[#This Row],[New_Res_Constr_Approval_Status]]="Approved",LAM_API_TABLE[[#This Row],[New_Res_SLA_norec_sqft]],0)</f>
        <v>0</v>
      </c>
      <c r="AR231">
        <f>IF(LAM_API_TABLE[[#This Row],[New_Res_Constr_Approval_Status]]="Approved",LAM_API_TABLE[[#This Row],[New_Res_SLA_rec_sqft]],0)</f>
        <v>0</v>
      </c>
      <c r="AS231">
        <f>IF(LAM_API_TABLE[[#This Row],[Existing_Res_SLA_Data_Approval_Status]]="Approved",LAM_API_TABLE[[#This Row],[Existing_Res_SLA_norec_sqft]],0)</f>
        <v>0</v>
      </c>
      <c r="AT231">
        <f>IF(LAM_API_TABLE[[#This Row],[Existing_Res_SLA_Data_Approval_Status]]="Approved",LAM_API_TABLE[[#This Row],[Existing_Res_SLA_rec_sqft]],0)</f>
        <v>0</v>
      </c>
    </row>
    <row r="232" spans="1:46" x14ac:dyDescent="0.25">
      <c r="A232" t="s">
        <v>1776</v>
      </c>
      <c r="B232" t="s">
        <v>1777</v>
      </c>
      <c r="C232" t="s">
        <v>3178</v>
      </c>
      <c r="D232" t="s">
        <v>3179</v>
      </c>
      <c r="E232">
        <v>2018</v>
      </c>
      <c r="F232">
        <v>56290</v>
      </c>
      <c r="G232">
        <v>80774</v>
      </c>
      <c r="H232">
        <v>3116710</v>
      </c>
      <c r="I232">
        <v>149500274</v>
      </c>
      <c r="J232">
        <v>14543937</v>
      </c>
      <c r="K232">
        <v>201193689</v>
      </c>
      <c r="L232">
        <v>152409061</v>
      </c>
      <c r="M232" t="s">
        <v>1859</v>
      </c>
      <c r="AK232">
        <f>IF(LAM_API_TABLE[[#This Row],[Alternative_Data_Approval_Status]]="Approved",LAM_API_TABLE[[#This Row],[HCL_area_sqft_Alternative]],LAM_API_TABLE[[#This Row],[HCL_area_sqft]])</f>
        <v>56290</v>
      </c>
      <c r="AL232">
        <f>IF(LAM_API_TABLE[[#This Row],[Alternative_Data_Approval_Status]]="Approved",LAM_API_TABLE[[#This Row],[Ag_area_sqft_Alternative]],LAM_API_TABLE[[#This Row],[Ag_area_sqft]])</f>
        <v>80774</v>
      </c>
      <c r="AM232">
        <f>IF(LAM_API_TABLE[[#This Row],[Alternative_Data_Approval_Status]]="Approved",LAM_API_TABLE[[#This Row],[Pool_area_sqft_Alternative]],LAM_API_TABLE[[#This Row],[Pool_area_sqft]])</f>
        <v>3116710</v>
      </c>
      <c r="AN232">
        <f>IF(LAM_API_TABLE[[#This Row],[Alternative_Data_Approval_Status]]="Approved",LAM_API_TABLE[[#This Row],[Total_II_sqft_Alternative]],LAM_API_TABLE[[#This Row],[Total_II_sqft]])</f>
        <v>149500274</v>
      </c>
      <c r="AO232">
        <f>IF(LAM_API_TABLE[[#This Row],[Alternative_Data_Approval_Status]]="Approved",LAM_API_TABLE[[#This Row],[Total_INI_sqft_Alternative]],LAM_API_TABLE[[#This Row],[Total_INI_sqft]])</f>
        <v>14543937</v>
      </c>
      <c r="AP232">
        <f>IF(LAM_API_TABLE[[#This Row],[New_Res_Constr_Approval_Status]]="Approved",LAM_API_TABLE[[#This Row],[New_Res_Constr_sqft]],0)</f>
        <v>0</v>
      </c>
      <c r="AQ232">
        <f>IF(LAM_API_TABLE[[#This Row],[New_Res_Constr_Approval_Status]]="Approved",LAM_API_TABLE[[#This Row],[New_Res_SLA_norec_sqft]],0)</f>
        <v>0</v>
      </c>
      <c r="AR232">
        <f>IF(LAM_API_TABLE[[#This Row],[New_Res_Constr_Approval_Status]]="Approved",LAM_API_TABLE[[#This Row],[New_Res_SLA_rec_sqft]],0)</f>
        <v>0</v>
      </c>
      <c r="AS232">
        <f>IF(LAM_API_TABLE[[#This Row],[Existing_Res_SLA_Data_Approval_Status]]="Approved",LAM_API_TABLE[[#This Row],[Existing_Res_SLA_norec_sqft]],0)</f>
        <v>0</v>
      </c>
      <c r="AT232">
        <f>IF(LAM_API_TABLE[[#This Row],[Existing_Res_SLA_Data_Approval_Status]]="Approved",LAM_API_TABLE[[#This Row],[Existing_Res_SLA_rec_sqft]],0)</f>
        <v>0</v>
      </c>
    </row>
    <row r="233" spans="1:46" x14ac:dyDescent="0.25">
      <c r="A233" t="s">
        <v>1780</v>
      </c>
      <c r="B233" t="s">
        <v>1781</v>
      </c>
      <c r="C233" t="s">
        <v>3180</v>
      </c>
      <c r="D233" t="s">
        <v>3181</v>
      </c>
      <c r="E233">
        <v>2018</v>
      </c>
      <c r="G233">
        <v>759078</v>
      </c>
      <c r="H233">
        <v>308056</v>
      </c>
      <c r="I233">
        <v>46703329</v>
      </c>
      <c r="J233">
        <v>7195207</v>
      </c>
      <c r="K233">
        <v>100336162</v>
      </c>
      <c r="L233">
        <v>48142370</v>
      </c>
      <c r="M233" t="s">
        <v>1859</v>
      </c>
      <c r="AK233">
        <f>IF(LAM_API_TABLE[[#This Row],[Alternative_Data_Approval_Status]]="Approved",LAM_API_TABLE[[#This Row],[HCL_area_sqft_Alternative]],LAM_API_TABLE[[#This Row],[HCL_area_sqft]])</f>
        <v>0</v>
      </c>
      <c r="AL233">
        <f>IF(LAM_API_TABLE[[#This Row],[Alternative_Data_Approval_Status]]="Approved",LAM_API_TABLE[[#This Row],[Ag_area_sqft_Alternative]],LAM_API_TABLE[[#This Row],[Ag_area_sqft]])</f>
        <v>759078</v>
      </c>
      <c r="AM233">
        <f>IF(LAM_API_TABLE[[#This Row],[Alternative_Data_Approval_Status]]="Approved",LAM_API_TABLE[[#This Row],[Pool_area_sqft_Alternative]],LAM_API_TABLE[[#This Row],[Pool_area_sqft]])</f>
        <v>308056</v>
      </c>
      <c r="AN233">
        <f>IF(LAM_API_TABLE[[#This Row],[Alternative_Data_Approval_Status]]="Approved",LAM_API_TABLE[[#This Row],[Total_II_sqft_Alternative]],LAM_API_TABLE[[#This Row],[Total_II_sqft]])</f>
        <v>46703329</v>
      </c>
      <c r="AO233">
        <f>IF(LAM_API_TABLE[[#This Row],[Alternative_Data_Approval_Status]]="Approved",LAM_API_TABLE[[#This Row],[Total_INI_sqft_Alternative]],LAM_API_TABLE[[#This Row],[Total_INI_sqft]])</f>
        <v>7195207</v>
      </c>
      <c r="AP233">
        <f>IF(LAM_API_TABLE[[#This Row],[New_Res_Constr_Approval_Status]]="Approved",LAM_API_TABLE[[#This Row],[New_Res_Constr_sqft]],0)</f>
        <v>0</v>
      </c>
      <c r="AQ233">
        <f>IF(LAM_API_TABLE[[#This Row],[New_Res_Constr_Approval_Status]]="Approved",LAM_API_TABLE[[#This Row],[New_Res_SLA_norec_sqft]],0)</f>
        <v>0</v>
      </c>
      <c r="AR233">
        <f>IF(LAM_API_TABLE[[#This Row],[New_Res_Constr_Approval_Status]]="Approved",LAM_API_TABLE[[#This Row],[New_Res_SLA_rec_sqft]],0)</f>
        <v>0</v>
      </c>
      <c r="AS233">
        <f>IF(LAM_API_TABLE[[#This Row],[Existing_Res_SLA_Data_Approval_Status]]="Approved",LAM_API_TABLE[[#This Row],[Existing_Res_SLA_norec_sqft]],0)</f>
        <v>0</v>
      </c>
      <c r="AT233">
        <f>IF(LAM_API_TABLE[[#This Row],[Existing_Res_SLA_Data_Approval_Status]]="Approved",LAM_API_TABLE[[#This Row],[Existing_Res_SLA_rec_sqft]],0)</f>
        <v>0</v>
      </c>
    </row>
    <row r="234" spans="1:46" x14ac:dyDescent="0.25">
      <c r="A234" t="s">
        <v>1784</v>
      </c>
      <c r="B234" t="s">
        <v>1785</v>
      </c>
      <c r="C234" t="s">
        <v>3182</v>
      </c>
      <c r="D234" t="s">
        <v>3183</v>
      </c>
      <c r="E234">
        <v>2018</v>
      </c>
      <c r="F234">
        <v>38368</v>
      </c>
      <c r="G234">
        <v>52472</v>
      </c>
      <c r="H234">
        <v>529938</v>
      </c>
      <c r="I234">
        <v>16652105</v>
      </c>
      <c r="J234">
        <v>1179976</v>
      </c>
      <c r="K234">
        <v>23374272</v>
      </c>
      <c r="L234">
        <v>16888100</v>
      </c>
      <c r="M234" t="s">
        <v>1859</v>
      </c>
      <c r="AK234">
        <f>IF(LAM_API_TABLE[[#This Row],[Alternative_Data_Approval_Status]]="Approved",LAM_API_TABLE[[#This Row],[HCL_area_sqft_Alternative]],LAM_API_TABLE[[#This Row],[HCL_area_sqft]])</f>
        <v>38368</v>
      </c>
      <c r="AL234">
        <f>IF(LAM_API_TABLE[[#This Row],[Alternative_Data_Approval_Status]]="Approved",LAM_API_TABLE[[#This Row],[Ag_area_sqft_Alternative]],LAM_API_TABLE[[#This Row],[Ag_area_sqft]])</f>
        <v>52472</v>
      </c>
      <c r="AM234">
        <f>IF(LAM_API_TABLE[[#This Row],[Alternative_Data_Approval_Status]]="Approved",LAM_API_TABLE[[#This Row],[Pool_area_sqft_Alternative]],LAM_API_TABLE[[#This Row],[Pool_area_sqft]])</f>
        <v>529938</v>
      </c>
      <c r="AN234">
        <f>IF(LAM_API_TABLE[[#This Row],[Alternative_Data_Approval_Status]]="Approved",LAM_API_TABLE[[#This Row],[Total_II_sqft_Alternative]],LAM_API_TABLE[[#This Row],[Total_II_sqft]])</f>
        <v>16652105</v>
      </c>
      <c r="AO234">
        <f>IF(LAM_API_TABLE[[#This Row],[Alternative_Data_Approval_Status]]="Approved",LAM_API_TABLE[[#This Row],[Total_INI_sqft_Alternative]],LAM_API_TABLE[[#This Row],[Total_INI_sqft]])</f>
        <v>1179976</v>
      </c>
      <c r="AP234">
        <f>IF(LAM_API_TABLE[[#This Row],[New_Res_Constr_Approval_Status]]="Approved",LAM_API_TABLE[[#This Row],[New_Res_Constr_sqft]],0)</f>
        <v>0</v>
      </c>
      <c r="AQ234">
        <f>IF(LAM_API_TABLE[[#This Row],[New_Res_Constr_Approval_Status]]="Approved",LAM_API_TABLE[[#This Row],[New_Res_SLA_norec_sqft]],0)</f>
        <v>0</v>
      </c>
      <c r="AR234">
        <f>IF(LAM_API_TABLE[[#This Row],[New_Res_Constr_Approval_Status]]="Approved",LAM_API_TABLE[[#This Row],[New_Res_SLA_rec_sqft]],0)</f>
        <v>0</v>
      </c>
      <c r="AS234">
        <f>IF(LAM_API_TABLE[[#This Row],[Existing_Res_SLA_Data_Approval_Status]]="Approved",LAM_API_TABLE[[#This Row],[Existing_Res_SLA_norec_sqft]],0)</f>
        <v>0</v>
      </c>
      <c r="AT234">
        <f>IF(LAM_API_TABLE[[#This Row],[Existing_Res_SLA_Data_Approval_Status]]="Approved",LAM_API_TABLE[[#This Row],[Existing_Res_SLA_rec_sqft]],0)</f>
        <v>0</v>
      </c>
    </row>
    <row r="235" spans="1:46" x14ac:dyDescent="0.25">
      <c r="A235" t="s">
        <v>1788</v>
      </c>
      <c r="B235" t="s">
        <v>3184</v>
      </c>
      <c r="C235" t="s">
        <v>3185</v>
      </c>
      <c r="D235" t="s">
        <v>3186</v>
      </c>
      <c r="E235">
        <v>2018</v>
      </c>
      <c r="F235">
        <v>50986</v>
      </c>
      <c r="G235">
        <v>53266077</v>
      </c>
      <c r="H235">
        <v>835889</v>
      </c>
      <c r="I235">
        <v>96501956</v>
      </c>
      <c r="J235">
        <v>44702884</v>
      </c>
      <c r="K235">
        <v>238269635</v>
      </c>
      <c r="L235">
        <v>105442533</v>
      </c>
      <c r="M235" t="s">
        <v>1859</v>
      </c>
      <c r="AK235">
        <f>IF(LAM_API_TABLE[[#This Row],[Alternative_Data_Approval_Status]]="Approved",LAM_API_TABLE[[#This Row],[HCL_area_sqft_Alternative]],LAM_API_TABLE[[#This Row],[HCL_area_sqft]])</f>
        <v>50986</v>
      </c>
      <c r="AL235">
        <f>IF(LAM_API_TABLE[[#This Row],[Alternative_Data_Approval_Status]]="Approved",LAM_API_TABLE[[#This Row],[Ag_area_sqft_Alternative]],LAM_API_TABLE[[#This Row],[Ag_area_sqft]])</f>
        <v>53266077</v>
      </c>
      <c r="AM235">
        <f>IF(LAM_API_TABLE[[#This Row],[Alternative_Data_Approval_Status]]="Approved",LAM_API_TABLE[[#This Row],[Pool_area_sqft_Alternative]],LAM_API_TABLE[[#This Row],[Pool_area_sqft]])</f>
        <v>835889</v>
      </c>
      <c r="AN235">
        <f>IF(LAM_API_TABLE[[#This Row],[Alternative_Data_Approval_Status]]="Approved",LAM_API_TABLE[[#This Row],[Total_II_sqft_Alternative]],LAM_API_TABLE[[#This Row],[Total_II_sqft]])</f>
        <v>96501956</v>
      </c>
      <c r="AO235">
        <f>IF(LAM_API_TABLE[[#This Row],[Alternative_Data_Approval_Status]]="Approved",LAM_API_TABLE[[#This Row],[Total_INI_sqft_Alternative]],LAM_API_TABLE[[#This Row],[Total_INI_sqft]])</f>
        <v>44702884</v>
      </c>
      <c r="AP235">
        <f>IF(LAM_API_TABLE[[#This Row],[New_Res_Constr_Approval_Status]]="Approved",LAM_API_TABLE[[#This Row],[New_Res_Constr_sqft]],0)</f>
        <v>0</v>
      </c>
      <c r="AQ235">
        <f>IF(LAM_API_TABLE[[#This Row],[New_Res_Constr_Approval_Status]]="Approved",LAM_API_TABLE[[#This Row],[New_Res_SLA_norec_sqft]],0)</f>
        <v>0</v>
      </c>
      <c r="AR235">
        <f>IF(LAM_API_TABLE[[#This Row],[New_Res_Constr_Approval_Status]]="Approved",LAM_API_TABLE[[#This Row],[New_Res_SLA_rec_sqft]],0)</f>
        <v>0</v>
      </c>
      <c r="AS235">
        <f>IF(LAM_API_TABLE[[#This Row],[Existing_Res_SLA_Data_Approval_Status]]="Approved",LAM_API_TABLE[[#This Row],[Existing_Res_SLA_norec_sqft]],0)</f>
        <v>0</v>
      </c>
      <c r="AT235">
        <f>IF(LAM_API_TABLE[[#This Row],[Existing_Res_SLA_Data_Approval_Status]]="Approved",LAM_API_TABLE[[#This Row],[Existing_Res_SLA_rec_sqft]],0)</f>
        <v>0</v>
      </c>
    </row>
    <row r="236" spans="1:46" x14ac:dyDescent="0.25">
      <c r="A236" t="s">
        <v>1792</v>
      </c>
      <c r="B236" t="s">
        <v>1793</v>
      </c>
      <c r="C236" t="s">
        <v>3187</v>
      </c>
      <c r="D236" t="s">
        <v>3188</v>
      </c>
      <c r="E236">
        <v>2018</v>
      </c>
      <c r="F236">
        <v>308092</v>
      </c>
      <c r="G236">
        <v>10188186</v>
      </c>
      <c r="H236">
        <v>200436</v>
      </c>
      <c r="I236">
        <v>113473862</v>
      </c>
      <c r="J236">
        <v>90845933</v>
      </c>
      <c r="K236">
        <v>556785785</v>
      </c>
      <c r="L236">
        <v>131643048</v>
      </c>
      <c r="M236" t="s">
        <v>1859</v>
      </c>
      <c r="AK236">
        <f>IF(LAM_API_TABLE[[#This Row],[Alternative_Data_Approval_Status]]="Approved",LAM_API_TABLE[[#This Row],[HCL_area_sqft_Alternative]],LAM_API_TABLE[[#This Row],[HCL_area_sqft]])</f>
        <v>308092</v>
      </c>
      <c r="AL236">
        <f>IF(LAM_API_TABLE[[#This Row],[Alternative_Data_Approval_Status]]="Approved",LAM_API_TABLE[[#This Row],[Ag_area_sqft_Alternative]],LAM_API_TABLE[[#This Row],[Ag_area_sqft]])</f>
        <v>10188186</v>
      </c>
      <c r="AM236">
        <f>IF(LAM_API_TABLE[[#This Row],[Alternative_Data_Approval_Status]]="Approved",LAM_API_TABLE[[#This Row],[Pool_area_sqft_Alternative]],LAM_API_TABLE[[#This Row],[Pool_area_sqft]])</f>
        <v>200436</v>
      </c>
      <c r="AN236">
        <f>IF(LAM_API_TABLE[[#This Row],[Alternative_Data_Approval_Status]]="Approved",LAM_API_TABLE[[#This Row],[Total_II_sqft_Alternative]],LAM_API_TABLE[[#This Row],[Total_II_sqft]])</f>
        <v>113473862</v>
      </c>
      <c r="AO236">
        <f>IF(LAM_API_TABLE[[#This Row],[Alternative_Data_Approval_Status]]="Approved",LAM_API_TABLE[[#This Row],[Total_INI_sqft_Alternative]],LAM_API_TABLE[[#This Row],[Total_INI_sqft]])</f>
        <v>90845933</v>
      </c>
      <c r="AP236">
        <f>IF(LAM_API_TABLE[[#This Row],[New_Res_Constr_Approval_Status]]="Approved",LAM_API_TABLE[[#This Row],[New_Res_Constr_sqft]],0)</f>
        <v>0</v>
      </c>
      <c r="AQ236">
        <f>IF(LAM_API_TABLE[[#This Row],[New_Res_Constr_Approval_Status]]="Approved",LAM_API_TABLE[[#This Row],[New_Res_SLA_norec_sqft]],0)</f>
        <v>0</v>
      </c>
      <c r="AR236">
        <f>IF(LAM_API_TABLE[[#This Row],[New_Res_Constr_Approval_Status]]="Approved",LAM_API_TABLE[[#This Row],[New_Res_SLA_rec_sqft]],0)</f>
        <v>0</v>
      </c>
      <c r="AS236">
        <f>IF(LAM_API_TABLE[[#This Row],[Existing_Res_SLA_Data_Approval_Status]]="Approved",LAM_API_TABLE[[#This Row],[Existing_Res_SLA_norec_sqft]],0)</f>
        <v>0</v>
      </c>
      <c r="AT236">
        <f>IF(LAM_API_TABLE[[#This Row],[Existing_Res_SLA_Data_Approval_Status]]="Approved",LAM_API_TABLE[[#This Row],[Existing_Res_SLA_rec_sqft]],0)</f>
        <v>0</v>
      </c>
    </row>
    <row r="237" spans="1:46" x14ac:dyDescent="0.25">
      <c r="A237" t="s">
        <v>1807</v>
      </c>
      <c r="B237" t="s">
        <v>3189</v>
      </c>
      <c r="C237" t="s">
        <v>3190</v>
      </c>
      <c r="D237" t="s">
        <v>3191</v>
      </c>
      <c r="E237">
        <v>2018</v>
      </c>
      <c r="G237">
        <v>1717558</v>
      </c>
      <c r="H237">
        <v>139810</v>
      </c>
      <c r="I237">
        <v>7242578</v>
      </c>
      <c r="J237">
        <v>3517008</v>
      </c>
      <c r="K237">
        <v>16629955</v>
      </c>
      <c r="L237">
        <v>7945980</v>
      </c>
      <c r="M237" t="s">
        <v>1859</v>
      </c>
      <c r="AK237">
        <f>IF(LAM_API_TABLE[[#This Row],[Alternative_Data_Approval_Status]]="Approved",LAM_API_TABLE[[#This Row],[HCL_area_sqft_Alternative]],LAM_API_TABLE[[#This Row],[HCL_area_sqft]])</f>
        <v>0</v>
      </c>
      <c r="AL237">
        <f>IF(LAM_API_TABLE[[#This Row],[Alternative_Data_Approval_Status]]="Approved",LAM_API_TABLE[[#This Row],[Ag_area_sqft_Alternative]],LAM_API_TABLE[[#This Row],[Ag_area_sqft]])</f>
        <v>1717558</v>
      </c>
      <c r="AM237">
        <f>IF(LAM_API_TABLE[[#This Row],[Alternative_Data_Approval_Status]]="Approved",LAM_API_TABLE[[#This Row],[Pool_area_sqft_Alternative]],LAM_API_TABLE[[#This Row],[Pool_area_sqft]])</f>
        <v>139810</v>
      </c>
      <c r="AN237">
        <f>IF(LAM_API_TABLE[[#This Row],[Alternative_Data_Approval_Status]]="Approved",LAM_API_TABLE[[#This Row],[Total_II_sqft_Alternative]],LAM_API_TABLE[[#This Row],[Total_II_sqft]])</f>
        <v>7242578</v>
      </c>
      <c r="AO237">
        <f>IF(LAM_API_TABLE[[#This Row],[Alternative_Data_Approval_Status]]="Approved",LAM_API_TABLE[[#This Row],[Total_INI_sqft_Alternative]],LAM_API_TABLE[[#This Row],[Total_INI_sqft]])</f>
        <v>3517008</v>
      </c>
      <c r="AP237">
        <f>IF(LAM_API_TABLE[[#This Row],[New_Res_Constr_Approval_Status]]="Approved",LAM_API_TABLE[[#This Row],[New_Res_Constr_sqft]],0)</f>
        <v>0</v>
      </c>
      <c r="AQ237">
        <f>IF(LAM_API_TABLE[[#This Row],[New_Res_Constr_Approval_Status]]="Approved",LAM_API_TABLE[[#This Row],[New_Res_SLA_norec_sqft]],0)</f>
        <v>0</v>
      </c>
      <c r="AR237">
        <f>IF(LAM_API_TABLE[[#This Row],[New_Res_Constr_Approval_Status]]="Approved",LAM_API_TABLE[[#This Row],[New_Res_SLA_rec_sqft]],0)</f>
        <v>0</v>
      </c>
      <c r="AS237">
        <f>IF(LAM_API_TABLE[[#This Row],[Existing_Res_SLA_Data_Approval_Status]]="Approved",LAM_API_TABLE[[#This Row],[Existing_Res_SLA_norec_sqft]],0)</f>
        <v>0</v>
      </c>
      <c r="AT237">
        <f>IF(LAM_API_TABLE[[#This Row],[Existing_Res_SLA_Data_Approval_Status]]="Approved",LAM_API_TABLE[[#This Row],[Existing_Res_SLA_rec_sqft]],0)</f>
        <v>0</v>
      </c>
    </row>
    <row r="238" spans="1:46" x14ac:dyDescent="0.25">
      <c r="A238" t="s">
        <v>1811</v>
      </c>
      <c r="B238" t="s">
        <v>3192</v>
      </c>
      <c r="C238" t="s">
        <v>3193</v>
      </c>
      <c r="D238" t="s">
        <v>3194</v>
      </c>
      <c r="E238">
        <v>2018</v>
      </c>
      <c r="H238">
        <v>1119250</v>
      </c>
      <c r="I238">
        <v>39839730</v>
      </c>
      <c r="J238">
        <v>1756684</v>
      </c>
      <c r="K238">
        <v>99264354</v>
      </c>
      <c r="L238">
        <v>40191067</v>
      </c>
      <c r="M238" t="s">
        <v>1859</v>
      </c>
      <c r="AK238">
        <f>IF(LAM_API_TABLE[[#This Row],[Alternative_Data_Approval_Status]]="Approved",LAM_API_TABLE[[#This Row],[HCL_area_sqft_Alternative]],LAM_API_TABLE[[#This Row],[HCL_area_sqft]])</f>
        <v>0</v>
      </c>
      <c r="AL238">
        <f>IF(LAM_API_TABLE[[#This Row],[Alternative_Data_Approval_Status]]="Approved",LAM_API_TABLE[[#This Row],[Ag_area_sqft_Alternative]],LAM_API_TABLE[[#This Row],[Ag_area_sqft]])</f>
        <v>0</v>
      </c>
      <c r="AM238">
        <f>IF(LAM_API_TABLE[[#This Row],[Alternative_Data_Approval_Status]]="Approved",LAM_API_TABLE[[#This Row],[Pool_area_sqft_Alternative]],LAM_API_TABLE[[#This Row],[Pool_area_sqft]])</f>
        <v>1119250</v>
      </c>
      <c r="AN238">
        <f>IF(LAM_API_TABLE[[#This Row],[Alternative_Data_Approval_Status]]="Approved",LAM_API_TABLE[[#This Row],[Total_II_sqft_Alternative]],LAM_API_TABLE[[#This Row],[Total_II_sqft]])</f>
        <v>39839730</v>
      </c>
      <c r="AO238">
        <f>IF(LAM_API_TABLE[[#This Row],[Alternative_Data_Approval_Status]]="Approved",LAM_API_TABLE[[#This Row],[Total_INI_sqft_Alternative]],LAM_API_TABLE[[#This Row],[Total_INI_sqft]])</f>
        <v>1756684</v>
      </c>
      <c r="AP238">
        <f>IF(LAM_API_TABLE[[#This Row],[New_Res_Constr_Approval_Status]]="Approved",LAM_API_TABLE[[#This Row],[New_Res_Constr_sqft]],0)</f>
        <v>0</v>
      </c>
      <c r="AQ238">
        <f>IF(LAM_API_TABLE[[#This Row],[New_Res_Constr_Approval_Status]]="Approved",LAM_API_TABLE[[#This Row],[New_Res_SLA_norec_sqft]],0)</f>
        <v>0</v>
      </c>
      <c r="AR238">
        <f>IF(LAM_API_TABLE[[#This Row],[New_Res_Constr_Approval_Status]]="Approved",LAM_API_TABLE[[#This Row],[New_Res_SLA_rec_sqft]],0)</f>
        <v>0</v>
      </c>
      <c r="AS238">
        <f>IF(LAM_API_TABLE[[#This Row],[Existing_Res_SLA_Data_Approval_Status]]="Approved",LAM_API_TABLE[[#This Row],[Existing_Res_SLA_norec_sqft]],0)</f>
        <v>0</v>
      </c>
      <c r="AT238">
        <f>IF(LAM_API_TABLE[[#This Row],[Existing_Res_SLA_Data_Approval_Status]]="Approved",LAM_API_TABLE[[#This Row],[Existing_Res_SLA_rec_sqft]],0)</f>
        <v>0</v>
      </c>
    </row>
    <row r="239" spans="1:46" x14ac:dyDescent="0.25">
      <c r="A239" t="s">
        <v>1815</v>
      </c>
      <c r="B239" t="s">
        <v>1816</v>
      </c>
      <c r="C239" t="s">
        <v>833</v>
      </c>
      <c r="D239" t="s">
        <v>3195</v>
      </c>
      <c r="E239">
        <v>2018</v>
      </c>
      <c r="F239">
        <v>571076</v>
      </c>
      <c r="G239">
        <v>1221726</v>
      </c>
      <c r="H239">
        <v>18406</v>
      </c>
      <c r="I239">
        <v>12094259</v>
      </c>
      <c r="J239">
        <v>27283057</v>
      </c>
      <c r="K239">
        <v>77809132</v>
      </c>
      <c r="L239">
        <v>17550870</v>
      </c>
      <c r="M239" t="s">
        <v>1859</v>
      </c>
      <c r="AK239">
        <f>IF(LAM_API_TABLE[[#This Row],[Alternative_Data_Approval_Status]]="Approved",LAM_API_TABLE[[#This Row],[HCL_area_sqft_Alternative]],LAM_API_TABLE[[#This Row],[HCL_area_sqft]])</f>
        <v>571076</v>
      </c>
      <c r="AL239">
        <f>IF(LAM_API_TABLE[[#This Row],[Alternative_Data_Approval_Status]]="Approved",LAM_API_TABLE[[#This Row],[Ag_area_sqft_Alternative]],LAM_API_TABLE[[#This Row],[Ag_area_sqft]])</f>
        <v>1221726</v>
      </c>
      <c r="AM239">
        <f>IF(LAM_API_TABLE[[#This Row],[Alternative_Data_Approval_Status]]="Approved",LAM_API_TABLE[[#This Row],[Pool_area_sqft_Alternative]],LAM_API_TABLE[[#This Row],[Pool_area_sqft]])</f>
        <v>18406</v>
      </c>
      <c r="AN239">
        <f>IF(LAM_API_TABLE[[#This Row],[Alternative_Data_Approval_Status]]="Approved",LAM_API_TABLE[[#This Row],[Total_II_sqft_Alternative]],LAM_API_TABLE[[#This Row],[Total_II_sqft]])</f>
        <v>12094259</v>
      </c>
      <c r="AO239">
        <f>IF(LAM_API_TABLE[[#This Row],[Alternative_Data_Approval_Status]]="Approved",LAM_API_TABLE[[#This Row],[Total_INI_sqft_Alternative]],LAM_API_TABLE[[#This Row],[Total_INI_sqft]])</f>
        <v>27283057</v>
      </c>
      <c r="AP239">
        <f>IF(LAM_API_TABLE[[#This Row],[New_Res_Constr_Approval_Status]]="Approved",LAM_API_TABLE[[#This Row],[New_Res_Constr_sqft]],0)</f>
        <v>0</v>
      </c>
      <c r="AQ239">
        <f>IF(LAM_API_TABLE[[#This Row],[New_Res_Constr_Approval_Status]]="Approved",LAM_API_TABLE[[#This Row],[New_Res_SLA_norec_sqft]],0)</f>
        <v>0</v>
      </c>
      <c r="AR239">
        <f>IF(LAM_API_TABLE[[#This Row],[New_Res_Constr_Approval_Status]]="Approved",LAM_API_TABLE[[#This Row],[New_Res_SLA_rec_sqft]],0)</f>
        <v>0</v>
      </c>
      <c r="AS239">
        <f>IF(LAM_API_TABLE[[#This Row],[Existing_Res_SLA_Data_Approval_Status]]="Approved",LAM_API_TABLE[[#This Row],[Existing_Res_SLA_norec_sqft]],0)</f>
        <v>0</v>
      </c>
      <c r="AT239">
        <f>IF(LAM_API_TABLE[[#This Row],[Existing_Res_SLA_Data_Approval_Status]]="Approved",LAM_API_TABLE[[#This Row],[Existing_Res_SLA_rec_sqft]],0)</f>
        <v>0</v>
      </c>
    </row>
    <row r="240" spans="1:46" x14ac:dyDescent="0.25">
      <c r="A240" t="s">
        <v>1819</v>
      </c>
      <c r="B240" t="s">
        <v>3196</v>
      </c>
      <c r="C240" t="s">
        <v>3197</v>
      </c>
      <c r="D240" t="s">
        <v>3198</v>
      </c>
      <c r="E240">
        <v>2018</v>
      </c>
      <c r="F240">
        <v>3392081</v>
      </c>
      <c r="G240">
        <v>496580</v>
      </c>
      <c r="H240">
        <v>912300</v>
      </c>
      <c r="I240">
        <v>28379376</v>
      </c>
      <c r="J240">
        <v>28581690</v>
      </c>
      <c r="K240">
        <v>126279202</v>
      </c>
      <c r="L240">
        <v>34095714</v>
      </c>
      <c r="M240" t="s">
        <v>1859</v>
      </c>
      <c r="AK240">
        <f>IF(LAM_API_TABLE[[#This Row],[Alternative_Data_Approval_Status]]="Approved",LAM_API_TABLE[[#This Row],[HCL_area_sqft_Alternative]],LAM_API_TABLE[[#This Row],[HCL_area_sqft]])</f>
        <v>3392081</v>
      </c>
      <c r="AL240">
        <f>IF(LAM_API_TABLE[[#This Row],[Alternative_Data_Approval_Status]]="Approved",LAM_API_TABLE[[#This Row],[Ag_area_sqft_Alternative]],LAM_API_TABLE[[#This Row],[Ag_area_sqft]])</f>
        <v>496580</v>
      </c>
      <c r="AM240">
        <f>IF(LAM_API_TABLE[[#This Row],[Alternative_Data_Approval_Status]]="Approved",LAM_API_TABLE[[#This Row],[Pool_area_sqft_Alternative]],LAM_API_TABLE[[#This Row],[Pool_area_sqft]])</f>
        <v>912300</v>
      </c>
      <c r="AN240">
        <f>IF(LAM_API_TABLE[[#This Row],[Alternative_Data_Approval_Status]]="Approved",LAM_API_TABLE[[#This Row],[Total_II_sqft_Alternative]],LAM_API_TABLE[[#This Row],[Total_II_sqft]])</f>
        <v>28379376</v>
      </c>
      <c r="AO240">
        <f>IF(LAM_API_TABLE[[#This Row],[Alternative_Data_Approval_Status]]="Approved",LAM_API_TABLE[[#This Row],[Total_INI_sqft_Alternative]],LAM_API_TABLE[[#This Row],[Total_INI_sqft]])</f>
        <v>28581690</v>
      </c>
      <c r="AP240">
        <f>IF(LAM_API_TABLE[[#This Row],[New_Res_Constr_Approval_Status]]="Approved",LAM_API_TABLE[[#This Row],[New_Res_Constr_sqft]],0)</f>
        <v>0</v>
      </c>
      <c r="AQ240">
        <f>IF(LAM_API_TABLE[[#This Row],[New_Res_Constr_Approval_Status]]="Approved",LAM_API_TABLE[[#This Row],[New_Res_SLA_norec_sqft]],0)</f>
        <v>0</v>
      </c>
      <c r="AR240">
        <f>IF(LAM_API_TABLE[[#This Row],[New_Res_Constr_Approval_Status]]="Approved",LAM_API_TABLE[[#This Row],[New_Res_SLA_rec_sqft]],0)</f>
        <v>0</v>
      </c>
      <c r="AS240">
        <f>IF(LAM_API_TABLE[[#This Row],[Existing_Res_SLA_Data_Approval_Status]]="Approved",LAM_API_TABLE[[#This Row],[Existing_Res_SLA_norec_sqft]],0)</f>
        <v>0</v>
      </c>
      <c r="AT240">
        <f>IF(LAM_API_TABLE[[#This Row],[Existing_Res_SLA_Data_Approval_Status]]="Approved",LAM_API_TABLE[[#This Row],[Existing_Res_SLA_rec_sqft]],0)</f>
        <v>0</v>
      </c>
    </row>
    <row r="241" spans="1:46" x14ac:dyDescent="0.25">
      <c r="A241" t="s">
        <v>1823</v>
      </c>
      <c r="B241" t="s">
        <v>1824</v>
      </c>
      <c r="C241" t="s">
        <v>3199</v>
      </c>
      <c r="D241" t="s">
        <v>3200</v>
      </c>
      <c r="E241">
        <v>2018</v>
      </c>
      <c r="G241">
        <v>52519</v>
      </c>
      <c r="H241">
        <v>28943</v>
      </c>
      <c r="I241">
        <v>17682866</v>
      </c>
      <c r="J241">
        <v>12324113</v>
      </c>
      <c r="K241">
        <v>53473758</v>
      </c>
      <c r="L241">
        <v>20147689</v>
      </c>
      <c r="M241" t="s">
        <v>1859</v>
      </c>
      <c r="AK241">
        <f>IF(LAM_API_TABLE[[#This Row],[Alternative_Data_Approval_Status]]="Approved",LAM_API_TABLE[[#This Row],[HCL_area_sqft_Alternative]],LAM_API_TABLE[[#This Row],[HCL_area_sqft]])</f>
        <v>0</v>
      </c>
      <c r="AL241">
        <f>IF(LAM_API_TABLE[[#This Row],[Alternative_Data_Approval_Status]]="Approved",LAM_API_TABLE[[#This Row],[Ag_area_sqft_Alternative]],LAM_API_TABLE[[#This Row],[Ag_area_sqft]])</f>
        <v>52519</v>
      </c>
      <c r="AM241">
        <f>IF(LAM_API_TABLE[[#This Row],[Alternative_Data_Approval_Status]]="Approved",LAM_API_TABLE[[#This Row],[Pool_area_sqft_Alternative]],LAM_API_TABLE[[#This Row],[Pool_area_sqft]])</f>
        <v>28943</v>
      </c>
      <c r="AN241">
        <f>IF(LAM_API_TABLE[[#This Row],[Alternative_Data_Approval_Status]]="Approved",LAM_API_TABLE[[#This Row],[Total_II_sqft_Alternative]],LAM_API_TABLE[[#This Row],[Total_II_sqft]])</f>
        <v>17682866</v>
      </c>
      <c r="AO241">
        <f>IF(LAM_API_TABLE[[#This Row],[Alternative_Data_Approval_Status]]="Approved",LAM_API_TABLE[[#This Row],[Total_INI_sqft_Alternative]],LAM_API_TABLE[[#This Row],[Total_INI_sqft]])</f>
        <v>12324113</v>
      </c>
      <c r="AP241">
        <f>IF(LAM_API_TABLE[[#This Row],[New_Res_Constr_Approval_Status]]="Approved",LAM_API_TABLE[[#This Row],[New_Res_Constr_sqft]],0)</f>
        <v>0</v>
      </c>
      <c r="AQ241">
        <f>IF(LAM_API_TABLE[[#This Row],[New_Res_Constr_Approval_Status]]="Approved",LAM_API_TABLE[[#This Row],[New_Res_SLA_norec_sqft]],0)</f>
        <v>0</v>
      </c>
      <c r="AR241">
        <f>IF(LAM_API_TABLE[[#This Row],[New_Res_Constr_Approval_Status]]="Approved",LAM_API_TABLE[[#This Row],[New_Res_SLA_rec_sqft]],0)</f>
        <v>0</v>
      </c>
      <c r="AS241">
        <f>IF(LAM_API_TABLE[[#This Row],[Existing_Res_SLA_Data_Approval_Status]]="Approved",LAM_API_TABLE[[#This Row],[Existing_Res_SLA_norec_sqft]],0)</f>
        <v>0</v>
      </c>
      <c r="AT241">
        <f>IF(LAM_API_TABLE[[#This Row],[Existing_Res_SLA_Data_Approval_Status]]="Approved",LAM_API_TABLE[[#This Row],[Existing_Res_SLA_rec_sqft]],0)</f>
        <v>0</v>
      </c>
    </row>
    <row r="242" spans="1:46" x14ac:dyDescent="0.25">
      <c r="A242" t="s">
        <v>1827</v>
      </c>
      <c r="B242" t="s">
        <v>1828</v>
      </c>
      <c r="C242" t="s">
        <v>3201</v>
      </c>
      <c r="D242" t="s">
        <v>3202</v>
      </c>
      <c r="E242">
        <v>2020</v>
      </c>
      <c r="F242">
        <v>246366</v>
      </c>
      <c r="G242">
        <v>3235047</v>
      </c>
      <c r="H242">
        <v>1389712</v>
      </c>
      <c r="I242">
        <v>79137857</v>
      </c>
      <c r="J242">
        <v>36559581</v>
      </c>
      <c r="K242">
        <v>257095727</v>
      </c>
      <c r="L242">
        <v>86449773</v>
      </c>
      <c r="M242" t="s">
        <v>1859</v>
      </c>
      <c r="AK242">
        <f>IF(LAM_API_TABLE[[#This Row],[Alternative_Data_Approval_Status]]="Approved",LAM_API_TABLE[[#This Row],[HCL_area_sqft_Alternative]],LAM_API_TABLE[[#This Row],[HCL_area_sqft]])</f>
        <v>246366</v>
      </c>
      <c r="AL242">
        <f>IF(LAM_API_TABLE[[#This Row],[Alternative_Data_Approval_Status]]="Approved",LAM_API_TABLE[[#This Row],[Ag_area_sqft_Alternative]],LAM_API_TABLE[[#This Row],[Ag_area_sqft]])</f>
        <v>3235047</v>
      </c>
      <c r="AM242">
        <f>IF(LAM_API_TABLE[[#This Row],[Alternative_Data_Approval_Status]]="Approved",LAM_API_TABLE[[#This Row],[Pool_area_sqft_Alternative]],LAM_API_TABLE[[#This Row],[Pool_area_sqft]])</f>
        <v>1389712</v>
      </c>
      <c r="AN242">
        <f>IF(LAM_API_TABLE[[#This Row],[Alternative_Data_Approval_Status]]="Approved",LAM_API_TABLE[[#This Row],[Total_II_sqft_Alternative]],LAM_API_TABLE[[#This Row],[Total_II_sqft]])</f>
        <v>79137857</v>
      </c>
      <c r="AO242">
        <f>IF(LAM_API_TABLE[[#This Row],[Alternative_Data_Approval_Status]]="Approved",LAM_API_TABLE[[#This Row],[Total_INI_sqft_Alternative]],LAM_API_TABLE[[#This Row],[Total_INI_sqft]])</f>
        <v>36559581</v>
      </c>
      <c r="AP242">
        <f>IF(LAM_API_TABLE[[#This Row],[New_Res_Constr_Approval_Status]]="Approved",LAM_API_TABLE[[#This Row],[New_Res_Constr_sqft]],0)</f>
        <v>0</v>
      </c>
      <c r="AQ242">
        <f>IF(LAM_API_TABLE[[#This Row],[New_Res_Constr_Approval_Status]]="Approved",LAM_API_TABLE[[#This Row],[New_Res_SLA_norec_sqft]],0)</f>
        <v>0</v>
      </c>
      <c r="AR242">
        <f>IF(LAM_API_TABLE[[#This Row],[New_Res_Constr_Approval_Status]]="Approved",LAM_API_TABLE[[#This Row],[New_Res_SLA_rec_sqft]],0)</f>
        <v>0</v>
      </c>
      <c r="AS242">
        <f>IF(LAM_API_TABLE[[#This Row],[Existing_Res_SLA_Data_Approval_Status]]="Approved",LAM_API_TABLE[[#This Row],[Existing_Res_SLA_norec_sqft]],0)</f>
        <v>0</v>
      </c>
      <c r="AT242">
        <f>IF(LAM_API_TABLE[[#This Row],[Existing_Res_SLA_Data_Approval_Status]]="Approved",LAM_API_TABLE[[#This Row],[Existing_Res_SLA_rec_sqft]],0)</f>
        <v>0</v>
      </c>
    </row>
    <row r="243" spans="1:46" x14ac:dyDescent="0.25">
      <c r="A243" t="s">
        <v>1831</v>
      </c>
      <c r="B243" t="s">
        <v>1832</v>
      </c>
      <c r="C243" t="s">
        <v>3203</v>
      </c>
      <c r="D243" t="s">
        <v>3204</v>
      </c>
      <c r="E243">
        <v>2020</v>
      </c>
      <c r="H243">
        <v>2398</v>
      </c>
      <c r="I243">
        <v>7608340</v>
      </c>
      <c r="J243">
        <v>1545741</v>
      </c>
      <c r="K243">
        <v>21257417</v>
      </c>
      <c r="L243">
        <v>7917488</v>
      </c>
      <c r="M243" t="s">
        <v>1859</v>
      </c>
      <c r="AK243">
        <f>IF(LAM_API_TABLE[[#This Row],[Alternative_Data_Approval_Status]]="Approved",LAM_API_TABLE[[#This Row],[HCL_area_sqft_Alternative]],LAM_API_TABLE[[#This Row],[HCL_area_sqft]])</f>
        <v>0</v>
      </c>
      <c r="AL243">
        <f>IF(LAM_API_TABLE[[#This Row],[Alternative_Data_Approval_Status]]="Approved",LAM_API_TABLE[[#This Row],[Ag_area_sqft_Alternative]],LAM_API_TABLE[[#This Row],[Ag_area_sqft]])</f>
        <v>0</v>
      </c>
      <c r="AM243">
        <f>IF(LAM_API_TABLE[[#This Row],[Alternative_Data_Approval_Status]]="Approved",LAM_API_TABLE[[#This Row],[Pool_area_sqft_Alternative]],LAM_API_TABLE[[#This Row],[Pool_area_sqft]])</f>
        <v>2398</v>
      </c>
      <c r="AN243">
        <f>IF(LAM_API_TABLE[[#This Row],[Alternative_Data_Approval_Status]]="Approved",LAM_API_TABLE[[#This Row],[Total_II_sqft_Alternative]],LAM_API_TABLE[[#This Row],[Total_II_sqft]])</f>
        <v>7608340</v>
      </c>
      <c r="AO243">
        <f>IF(LAM_API_TABLE[[#This Row],[Alternative_Data_Approval_Status]]="Approved",LAM_API_TABLE[[#This Row],[Total_INI_sqft_Alternative]],LAM_API_TABLE[[#This Row],[Total_INI_sqft]])</f>
        <v>1545741</v>
      </c>
      <c r="AP243">
        <f>IF(LAM_API_TABLE[[#This Row],[New_Res_Constr_Approval_Status]]="Approved",LAM_API_TABLE[[#This Row],[New_Res_Constr_sqft]],0)</f>
        <v>0</v>
      </c>
      <c r="AQ243">
        <f>IF(LAM_API_TABLE[[#This Row],[New_Res_Constr_Approval_Status]]="Approved",LAM_API_TABLE[[#This Row],[New_Res_SLA_norec_sqft]],0)</f>
        <v>0</v>
      </c>
      <c r="AR243">
        <f>IF(LAM_API_TABLE[[#This Row],[New_Res_Constr_Approval_Status]]="Approved",LAM_API_TABLE[[#This Row],[New_Res_SLA_rec_sqft]],0)</f>
        <v>0</v>
      </c>
      <c r="AS243">
        <f>IF(LAM_API_TABLE[[#This Row],[Existing_Res_SLA_Data_Approval_Status]]="Approved",LAM_API_TABLE[[#This Row],[Existing_Res_SLA_norec_sqft]],0)</f>
        <v>0</v>
      </c>
      <c r="AT243">
        <f>IF(LAM_API_TABLE[[#This Row],[Existing_Res_SLA_Data_Approval_Status]]="Approved",LAM_API_TABLE[[#This Row],[Existing_Res_SLA_rec_sqft]],0)</f>
        <v>0</v>
      </c>
    </row>
    <row r="244" spans="1:46" x14ac:dyDescent="0.25">
      <c r="A244" t="s">
        <v>1839</v>
      </c>
      <c r="B244" t="s">
        <v>1840</v>
      </c>
      <c r="C244" t="s">
        <v>3205</v>
      </c>
      <c r="D244" t="s">
        <v>3206</v>
      </c>
      <c r="E244">
        <v>2018</v>
      </c>
      <c r="H244">
        <v>87771</v>
      </c>
      <c r="I244">
        <v>6032440</v>
      </c>
      <c r="J244">
        <v>2133373</v>
      </c>
      <c r="K244">
        <v>19430737</v>
      </c>
      <c r="L244">
        <v>6459115</v>
      </c>
      <c r="M244" t="s">
        <v>1859</v>
      </c>
      <c r="AK244">
        <f>IF(LAM_API_TABLE[[#This Row],[Alternative_Data_Approval_Status]]="Approved",LAM_API_TABLE[[#This Row],[HCL_area_sqft_Alternative]],LAM_API_TABLE[[#This Row],[HCL_area_sqft]])</f>
        <v>0</v>
      </c>
      <c r="AL244">
        <f>IF(LAM_API_TABLE[[#This Row],[Alternative_Data_Approval_Status]]="Approved",LAM_API_TABLE[[#This Row],[Ag_area_sqft_Alternative]],LAM_API_TABLE[[#This Row],[Ag_area_sqft]])</f>
        <v>0</v>
      </c>
      <c r="AM244">
        <f>IF(LAM_API_TABLE[[#This Row],[Alternative_Data_Approval_Status]]="Approved",LAM_API_TABLE[[#This Row],[Pool_area_sqft_Alternative]],LAM_API_TABLE[[#This Row],[Pool_area_sqft]])</f>
        <v>87771</v>
      </c>
      <c r="AN244">
        <f>IF(LAM_API_TABLE[[#This Row],[Alternative_Data_Approval_Status]]="Approved",LAM_API_TABLE[[#This Row],[Total_II_sqft_Alternative]],LAM_API_TABLE[[#This Row],[Total_II_sqft]])</f>
        <v>6032440</v>
      </c>
      <c r="AO244">
        <f>IF(LAM_API_TABLE[[#This Row],[Alternative_Data_Approval_Status]]="Approved",LAM_API_TABLE[[#This Row],[Total_INI_sqft_Alternative]],LAM_API_TABLE[[#This Row],[Total_INI_sqft]])</f>
        <v>2133373</v>
      </c>
      <c r="AP244">
        <f>IF(LAM_API_TABLE[[#This Row],[New_Res_Constr_Approval_Status]]="Approved",LAM_API_TABLE[[#This Row],[New_Res_Constr_sqft]],0)</f>
        <v>0</v>
      </c>
      <c r="AQ244">
        <f>IF(LAM_API_TABLE[[#This Row],[New_Res_Constr_Approval_Status]]="Approved",LAM_API_TABLE[[#This Row],[New_Res_SLA_norec_sqft]],0)</f>
        <v>0</v>
      </c>
      <c r="AR244">
        <f>IF(LAM_API_TABLE[[#This Row],[New_Res_Constr_Approval_Status]]="Approved",LAM_API_TABLE[[#This Row],[New_Res_SLA_rec_sqft]],0)</f>
        <v>0</v>
      </c>
      <c r="AS244">
        <f>IF(LAM_API_TABLE[[#This Row],[Existing_Res_SLA_Data_Approval_Status]]="Approved",LAM_API_TABLE[[#This Row],[Existing_Res_SLA_norec_sqft]],0)</f>
        <v>0</v>
      </c>
      <c r="AT244">
        <f>IF(LAM_API_TABLE[[#This Row],[Existing_Res_SLA_Data_Approval_Status]]="Approved",LAM_API_TABLE[[#This Row],[Existing_Res_SLA_rec_sqft]],0)</f>
        <v>0</v>
      </c>
    </row>
    <row r="245" spans="1:46" x14ac:dyDescent="0.25">
      <c r="A245" t="s">
        <v>1843</v>
      </c>
      <c r="B245" t="s">
        <v>1844</v>
      </c>
      <c r="C245" t="s">
        <v>3207</v>
      </c>
      <c r="D245" t="s">
        <v>3208</v>
      </c>
      <c r="E245">
        <v>2018</v>
      </c>
      <c r="G245">
        <v>59540</v>
      </c>
      <c r="H245">
        <v>351140</v>
      </c>
      <c r="I245">
        <v>14430137</v>
      </c>
      <c r="J245">
        <v>6850018</v>
      </c>
      <c r="K245">
        <v>29780701</v>
      </c>
      <c r="L245">
        <v>15800141</v>
      </c>
      <c r="M245" t="s">
        <v>1859</v>
      </c>
      <c r="AK245">
        <f>IF(LAM_API_TABLE[[#This Row],[Alternative_Data_Approval_Status]]="Approved",LAM_API_TABLE[[#This Row],[HCL_area_sqft_Alternative]],LAM_API_TABLE[[#This Row],[HCL_area_sqft]])</f>
        <v>0</v>
      </c>
      <c r="AL245">
        <f>IF(LAM_API_TABLE[[#This Row],[Alternative_Data_Approval_Status]]="Approved",LAM_API_TABLE[[#This Row],[Ag_area_sqft_Alternative]],LAM_API_TABLE[[#This Row],[Ag_area_sqft]])</f>
        <v>59540</v>
      </c>
      <c r="AM245">
        <f>IF(LAM_API_TABLE[[#This Row],[Alternative_Data_Approval_Status]]="Approved",LAM_API_TABLE[[#This Row],[Pool_area_sqft_Alternative]],LAM_API_TABLE[[#This Row],[Pool_area_sqft]])</f>
        <v>351140</v>
      </c>
      <c r="AN245">
        <f>IF(LAM_API_TABLE[[#This Row],[Alternative_Data_Approval_Status]]="Approved",LAM_API_TABLE[[#This Row],[Total_II_sqft_Alternative]],LAM_API_TABLE[[#This Row],[Total_II_sqft]])</f>
        <v>14430137</v>
      </c>
      <c r="AO245">
        <f>IF(LAM_API_TABLE[[#This Row],[Alternative_Data_Approval_Status]]="Approved",LAM_API_TABLE[[#This Row],[Total_INI_sqft_Alternative]],LAM_API_TABLE[[#This Row],[Total_INI_sqft]])</f>
        <v>6850018</v>
      </c>
      <c r="AP245">
        <f>IF(LAM_API_TABLE[[#This Row],[New_Res_Constr_Approval_Status]]="Approved",LAM_API_TABLE[[#This Row],[New_Res_Constr_sqft]],0)</f>
        <v>0</v>
      </c>
      <c r="AQ245">
        <f>IF(LAM_API_TABLE[[#This Row],[New_Res_Constr_Approval_Status]]="Approved",LAM_API_TABLE[[#This Row],[New_Res_SLA_norec_sqft]],0)</f>
        <v>0</v>
      </c>
      <c r="AR245">
        <f>IF(LAM_API_TABLE[[#This Row],[New_Res_Constr_Approval_Status]]="Approved",LAM_API_TABLE[[#This Row],[New_Res_SLA_rec_sqft]],0)</f>
        <v>0</v>
      </c>
      <c r="AS245">
        <f>IF(LAM_API_TABLE[[#This Row],[Existing_Res_SLA_Data_Approval_Status]]="Approved",LAM_API_TABLE[[#This Row],[Existing_Res_SLA_norec_sqft]],0)</f>
        <v>0</v>
      </c>
      <c r="AT245">
        <f>IF(LAM_API_TABLE[[#This Row],[Existing_Res_SLA_Data_Approval_Status]]="Approved",LAM_API_TABLE[[#This Row],[Existing_Res_SLA_rec_sqft]],0)</f>
        <v>0</v>
      </c>
    </row>
    <row r="246" spans="1:46" x14ac:dyDescent="0.25">
      <c r="A246" t="s">
        <v>1847</v>
      </c>
      <c r="B246" t="s">
        <v>1848</v>
      </c>
      <c r="C246" t="s">
        <v>3209</v>
      </c>
      <c r="D246" t="s">
        <v>3210</v>
      </c>
      <c r="E246">
        <v>2018</v>
      </c>
      <c r="F246">
        <v>143473</v>
      </c>
      <c r="G246">
        <v>16986937</v>
      </c>
      <c r="H246">
        <v>1181707</v>
      </c>
      <c r="I246">
        <v>123886897</v>
      </c>
      <c r="J246">
        <v>69294880</v>
      </c>
      <c r="K246">
        <v>282967988</v>
      </c>
      <c r="L246">
        <v>137745873</v>
      </c>
      <c r="M246" t="s">
        <v>1859</v>
      </c>
      <c r="AK246">
        <f>IF(LAM_API_TABLE[[#This Row],[Alternative_Data_Approval_Status]]="Approved",LAM_API_TABLE[[#This Row],[HCL_area_sqft_Alternative]],LAM_API_TABLE[[#This Row],[HCL_area_sqft]])</f>
        <v>143473</v>
      </c>
      <c r="AL246">
        <f>IF(LAM_API_TABLE[[#This Row],[Alternative_Data_Approval_Status]]="Approved",LAM_API_TABLE[[#This Row],[Ag_area_sqft_Alternative]],LAM_API_TABLE[[#This Row],[Ag_area_sqft]])</f>
        <v>16986937</v>
      </c>
      <c r="AM246">
        <f>IF(LAM_API_TABLE[[#This Row],[Alternative_Data_Approval_Status]]="Approved",LAM_API_TABLE[[#This Row],[Pool_area_sqft_Alternative]],LAM_API_TABLE[[#This Row],[Pool_area_sqft]])</f>
        <v>1181707</v>
      </c>
      <c r="AN246">
        <f>IF(LAM_API_TABLE[[#This Row],[Alternative_Data_Approval_Status]]="Approved",LAM_API_TABLE[[#This Row],[Total_II_sqft_Alternative]],LAM_API_TABLE[[#This Row],[Total_II_sqft]])</f>
        <v>123886897</v>
      </c>
      <c r="AO246">
        <f>IF(LAM_API_TABLE[[#This Row],[Alternative_Data_Approval_Status]]="Approved",LAM_API_TABLE[[#This Row],[Total_INI_sqft_Alternative]],LAM_API_TABLE[[#This Row],[Total_INI_sqft]])</f>
        <v>69294880</v>
      </c>
      <c r="AP246">
        <f>IF(LAM_API_TABLE[[#This Row],[New_Res_Constr_Approval_Status]]="Approved",LAM_API_TABLE[[#This Row],[New_Res_Constr_sqft]],0)</f>
        <v>0</v>
      </c>
      <c r="AQ246">
        <f>IF(LAM_API_TABLE[[#This Row],[New_Res_Constr_Approval_Status]]="Approved",LAM_API_TABLE[[#This Row],[New_Res_SLA_norec_sqft]],0)</f>
        <v>0</v>
      </c>
      <c r="AR246">
        <f>IF(LAM_API_TABLE[[#This Row],[New_Res_Constr_Approval_Status]]="Approved",LAM_API_TABLE[[#This Row],[New_Res_SLA_rec_sqft]],0)</f>
        <v>0</v>
      </c>
      <c r="AS246">
        <f>IF(LAM_API_TABLE[[#This Row],[Existing_Res_SLA_Data_Approval_Status]]="Approved",LAM_API_TABLE[[#This Row],[Existing_Res_SLA_norec_sqft]],0)</f>
        <v>0</v>
      </c>
      <c r="AT246">
        <f>IF(LAM_API_TABLE[[#This Row],[Existing_Res_SLA_Data_Approval_Status]]="Approved",LAM_API_TABLE[[#This Row],[Existing_Res_SLA_rec_sqft]],0)</f>
        <v>0</v>
      </c>
    </row>
    <row r="247" spans="1:46" x14ac:dyDescent="0.25">
      <c r="A247" t="s">
        <v>1851</v>
      </c>
      <c r="B247" t="s">
        <v>1852</v>
      </c>
      <c r="C247" t="s">
        <v>3211</v>
      </c>
      <c r="D247" t="s">
        <v>3212</v>
      </c>
      <c r="E247">
        <v>2018</v>
      </c>
      <c r="F247">
        <v>34736</v>
      </c>
      <c r="H247">
        <v>296931</v>
      </c>
      <c r="I247">
        <v>22771185</v>
      </c>
      <c r="J247">
        <v>12844674</v>
      </c>
      <c r="K247">
        <v>56684330</v>
      </c>
      <c r="L247">
        <v>25340120</v>
      </c>
      <c r="M247" t="s">
        <v>1859</v>
      </c>
      <c r="AK247">
        <f>IF(LAM_API_TABLE[[#This Row],[Alternative_Data_Approval_Status]]="Approved",LAM_API_TABLE[[#This Row],[HCL_area_sqft_Alternative]],LAM_API_TABLE[[#This Row],[HCL_area_sqft]])</f>
        <v>34736</v>
      </c>
      <c r="AL247">
        <f>IF(LAM_API_TABLE[[#This Row],[Alternative_Data_Approval_Status]]="Approved",LAM_API_TABLE[[#This Row],[Ag_area_sqft_Alternative]],LAM_API_TABLE[[#This Row],[Ag_area_sqft]])</f>
        <v>0</v>
      </c>
      <c r="AM247">
        <f>IF(LAM_API_TABLE[[#This Row],[Alternative_Data_Approval_Status]]="Approved",LAM_API_TABLE[[#This Row],[Pool_area_sqft_Alternative]],LAM_API_TABLE[[#This Row],[Pool_area_sqft]])</f>
        <v>296931</v>
      </c>
      <c r="AN247">
        <f>IF(LAM_API_TABLE[[#This Row],[Alternative_Data_Approval_Status]]="Approved",LAM_API_TABLE[[#This Row],[Total_II_sqft_Alternative]],LAM_API_TABLE[[#This Row],[Total_II_sqft]])</f>
        <v>22771185</v>
      </c>
      <c r="AO247">
        <f>IF(LAM_API_TABLE[[#This Row],[Alternative_Data_Approval_Status]]="Approved",LAM_API_TABLE[[#This Row],[Total_INI_sqft_Alternative]],LAM_API_TABLE[[#This Row],[Total_INI_sqft]])</f>
        <v>12844674</v>
      </c>
      <c r="AP247">
        <f>IF(LAM_API_TABLE[[#This Row],[New_Res_Constr_Approval_Status]]="Approved",LAM_API_TABLE[[#This Row],[New_Res_Constr_sqft]],0)</f>
        <v>0</v>
      </c>
      <c r="AQ247">
        <f>IF(LAM_API_TABLE[[#This Row],[New_Res_Constr_Approval_Status]]="Approved",LAM_API_TABLE[[#This Row],[New_Res_SLA_norec_sqft]],0)</f>
        <v>0</v>
      </c>
      <c r="AR247">
        <f>IF(LAM_API_TABLE[[#This Row],[New_Res_Constr_Approval_Status]]="Approved",LAM_API_TABLE[[#This Row],[New_Res_SLA_rec_sqft]],0)</f>
        <v>0</v>
      </c>
      <c r="AS247">
        <f>IF(LAM_API_TABLE[[#This Row],[Existing_Res_SLA_Data_Approval_Status]]="Approved",LAM_API_TABLE[[#This Row],[Existing_Res_SLA_norec_sqft]],0)</f>
        <v>0</v>
      </c>
      <c r="AT247">
        <f>IF(LAM_API_TABLE[[#This Row],[Existing_Res_SLA_Data_Approval_Status]]="Approved",LAM_API_TABLE[[#This Row],[Existing_Res_SLA_rec_sqft]],0)</f>
        <v>0</v>
      </c>
    </row>
    <row r="248" spans="1:46" x14ac:dyDescent="0.25">
      <c r="A248" t="s">
        <v>1855</v>
      </c>
      <c r="B248" t="s">
        <v>1856</v>
      </c>
      <c r="C248" t="s">
        <v>3213</v>
      </c>
      <c r="D248" t="s">
        <v>3214</v>
      </c>
      <c r="E248">
        <v>2018</v>
      </c>
      <c r="G248">
        <v>87290</v>
      </c>
      <c r="H248">
        <v>66604</v>
      </c>
      <c r="I248">
        <v>9726621</v>
      </c>
      <c r="J248">
        <v>11331713</v>
      </c>
      <c r="K248">
        <v>24321330</v>
      </c>
      <c r="L248">
        <v>11992964</v>
      </c>
      <c r="M248" t="s">
        <v>1859</v>
      </c>
      <c r="AK248">
        <f>IF(LAM_API_TABLE[[#This Row],[Alternative_Data_Approval_Status]]="Approved",LAM_API_TABLE[[#This Row],[HCL_area_sqft_Alternative]],LAM_API_TABLE[[#This Row],[HCL_area_sqft]])</f>
        <v>0</v>
      </c>
      <c r="AL248">
        <f>IF(LAM_API_TABLE[[#This Row],[Alternative_Data_Approval_Status]]="Approved",LAM_API_TABLE[[#This Row],[Ag_area_sqft_Alternative]],LAM_API_TABLE[[#This Row],[Ag_area_sqft]])</f>
        <v>87290</v>
      </c>
      <c r="AM248">
        <f>IF(LAM_API_TABLE[[#This Row],[Alternative_Data_Approval_Status]]="Approved",LAM_API_TABLE[[#This Row],[Pool_area_sqft_Alternative]],LAM_API_TABLE[[#This Row],[Pool_area_sqft]])</f>
        <v>66604</v>
      </c>
      <c r="AN248">
        <f>IF(LAM_API_TABLE[[#This Row],[Alternative_Data_Approval_Status]]="Approved",LAM_API_TABLE[[#This Row],[Total_II_sqft_Alternative]],LAM_API_TABLE[[#This Row],[Total_II_sqft]])</f>
        <v>9726621</v>
      </c>
      <c r="AO248">
        <f>IF(LAM_API_TABLE[[#This Row],[Alternative_Data_Approval_Status]]="Approved",LAM_API_TABLE[[#This Row],[Total_INI_sqft_Alternative]],LAM_API_TABLE[[#This Row],[Total_INI_sqft]])</f>
        <v>11331713</v>
      </c>
      <c r="AP248">
        <f>IF(LAM_API_TABLE[[#This Row],[New_Res_Constr_Approval_Status]]="Approved",LAM_API_TABLE[[#This Row],[New_Res_Constr_sqft]],0)</f>
        <v>0</v>
      </c>
      <c r="AQ248">
        <f>IF(LAM_API_TABLE[[#This Row],[New_Res_Constr_Approval_Status]]="Approved",LAM_API_TABLE[[#This Row],[New_Res_SLA_norec_sqft]],0)</f>
        <v>0</v>
      </c>
      <c r="AR248">
        <f>IF(LAM_API_TABLE[[#This Row],[New_Res_Constr_Approval_Status]]="Approved",LAM_API_TABLE[[#This Row],[New_Res_SLA_rec_sqft]],0)</f>
        <v>0</v>
      </c>
      <c r="AS248">
        <f>IF(LAM_API_TABLE[[#This Row],[Existing_Res_SLA_Data_Approval_Status]]="Approved",LAM_API_TABLE[[#This Row],[Existing_Res_SLA_norec_sqft]],0)</f>
        <v>0</v>
      </c>
      <c r="AT248">
        <f>IF(LAM_API_TABLE[[#This Row],[Existing_Res_SLA_Data_Approval_Status]]="Approved",LAM_API_TABLE[[#This Row],[Existing_Res_SLA_rec_sqft]],0)</f>
        <v>0</v>
      </c>
    </row>
    <row r="249" spans="1:46" x14ac:dyDescent="0.25">
      <c r="A249" t="s">
        <v>1862</v>
      </c>
      <c r="B249" t="s">
        <v>1863</v>
      </c>
      <c r="C249" t="s">
        <v>3215</v>
      </c>
      <c r="D249" t="s">
        <v>3216</v>
      </c>
      <c r="E249">
        <v>2020</v>
      </c>
      <c r="F249">
        <v>1358554</v>
      </c>
      <c r="G249">
        <v>7983024</v>
      </c>
      <c r="H249">
        <v>3242464</v>
      </c>
      <c r="I249">
        <v>141273012</v>
      </c>
      <c r="J249">
        <v>31108519</v>
      </c>
      <c r="K249">
        <v>312647848</v>
      </c>
      <c r="L249">
        <v>147494716</v>
      </c>
      <c r="M249" t="s">
        <v>1859</v>
      </c>
      <c r="AK249">
        <f>IF(LAM_API_TABLE[[#This Row],[Alternative_Data_Approval_Status]]="Approved",LAM_API_TABLE[[#This Row],[HCL_area_sqft_Alternative]],LAM_API_TABLE[[#This Row],[HCL_area_sqft]])</f>
        <v>1358554</v>
      </c>
      <c r="AL249">
        <f>IF(LAM_API_TABLE[[#This Row],[Alternative_Data_Approval_Status]]="Approved",LAM_API_TABLE[[#This Row],[Ag_area_sqft_Alternative]],LAM_API_TABLE[[#This Row],[Ag_area_sqft]])</f>
        <v>7983024</v>
      </c>
      <c r="AM249">
        <f>IF(LAM_API_TABLE[[#This Row],[Alternative_Data_Approval_Status]]="Approved",LAM_API_TABLE[[#This Row],[Pool_area_sqft_Alternative]],LAM_API_TABLE[[#This Row],[Pool_area_sqft]])</f>
        <v>3242464</v>
      </c>
      <c r="AN249">
        <f>IF(LAM_API_TABLE[[#This Row],[Alternative_Data_Approval_Status]]="Approved",LAM_API_TABLE[[#This Row],[Total_II_sqft_Alternative]],LAM_API_TABLE[[#This Row],[Total_II_sqft]])</f>
        <v>141273012</v>
      </c>
      <c r="AO249">
        <f>IF(LAM_API_TABLE[[#This Row],[Alternative_Data_Approval_Status]]="Approved",LAM_API_TABLE[[#This Row],[Total_INI_sqft_Alternative]],LAM_API_TABLE[[#This Row],[Total_INI_sqft]])</f>
        <v>31108519</v>
      </c>
      <c r="AP249">
        <f>IF(LAM_API_TABLE[[#This Row],[New_Res_Constr_Approval_Status]]="Approved",LAM_API_TABLE[[#This Row],[New_Res_Constr_sqft]],0)</f>
        <v>0</v>
      </c>
      <c r="AQ249">
        <f>IF(LAM_API_TABLE[[#This Row],[New_Res_Constr_Approval_Status]]="Approved",LAM_API_TABLE[[#This Row],[New_Res_SLA_norec_sqft]],0)</f>
        <v>0</v>
      </c>
      <c r="AR249">
        <f>IF(LAM_API_TABLE[[#This Row],[New_Res_Constr_Approval_Status]]="Approved",LAM_API_TABLE[[#This Row],[New_Res_SLA_rec_sqft]],0)</f>
        <v>0</v>
      </c>
      <c r="AS249">
        <f>IF(LAM_API_TABLE[[#This Row],[Existing_Res_SLA_Data_Approval_Status]]="Approved",LAM_API_TABLE[[#This Row],[Existing_Res_SLA_norec_sqft]],0)</f>
        <v>0</v>
      </c>
      <c r="AT249">
        <f>IF(LAM_API_TABLE[[#This Row],[Existing_Res_SLA_Data_Approval_Status]]="Approved",LAM_API_TABLE[[#This Row],[Existing_Res_SLA_rec_sqft]],0)</f>
        <v>0</v>
      </c>
    </row>
    <row r="250" spans="1:46" x14ac:dyDescent="0.25">
      <c r="A250" t="s">
        <v>1866</v>
      </c>
      <c r="B250" t="s">
        <v>3217</v>
      </c>
      <c r="C250" t="s">
        <v>3218</v>
      </c>
      <c r="D250" t="s">
        <v>3219</v>
      </c>
      <c r="E250">
        <v>2018</v>
      </c>
      <c r="F250">
        <v>98049</v>
      </c>
      <c r="G250">
        <v>8741831</v>
      </c>
      <c r="H250">
        <v>1503746</v>
      </c>
      <c r="I250">
        <v>83106513</v>
      </c>
      <c r="J250">
        <v>27272594</v>
      </c>
      <c r="K250">
        <v>195808310</v>
      </c>
      <c r="L250">
        <v>88561032</v>
      </c>
      <c r="M250" t="s">
        <v>1859</v>
      </c>
      <c r="AK250">
        <f>IF(LAM_API_TABLE[[#This Row],[Alternative_Data_Approval_Status]]="Approved",LAM_API_TABLE[[#This Row],[HCL_area_sqft_Alternative]],LAM_API_TABLE[[#This Row],[HCL_area_sqft]])</f>
        <v>98049</v>
      </c>
      <c r="AL250">
        <f>IF(LAM_API_TABLE[[#This Row],[Alternative_Data_Approval_Status]]="Approved",LAM_API_TABLE[[#This Row],[Ag_area_sqft_Alternative]],LAM_API_TABLE[[#This Row],[Ag_area_sqft]])</f>
        <v>8741831</v>
      </c>
      <c r="AM250">
        <f>IF(LAM_API_TABLE[[#This Row],[Alternative_Data_Approval_Status]]="Approved",LAM_API_TABLE[[#This Row],[Pool_area_sqft_Alternative]],LAM_API_TABLE[[#This Row],[Pool_area_sqft]])</f>
        <v>1503746</v>
      </c>
      <c r="AN250">
        <f>IF(LAM_API_TABLE[[#This Row],[Alternative_Data_Approval_Status]]="Approved",LAM_API_TABLE[[#This Row],[Total_II_sqft_Alternative]],LAM_API_TABLE[[#This Row],[Total_II_sqft]])</f>
        <v>83106513</v>
      </c>
      <c r="AO250">
        <f>IF(LAM_API_TABLE[[#This Row],[Alternative_Data_Approval_Status]]="Approved",LAM_API_TABLE[[#This Row],[Total_INI_sqft_Alternative]],LAM_API_TABLE[[#This Row],[Total_INI_sqft]])</f>
        <v>27272594</v>
      </c>
      <c r="AP250">
        <f>IF(LAM_API_TABLE[[#This Row],[New_Res_Constr_Approval_Status]]="Approved",LAM_API_TABLE[[#This Row],[New_Res_Constr_sqft]],0)</f>
        <v>0</v>
      </c>
      <c r="AQ250">
        <f>IF(LAM_API_TABLE[[#This Row],[New_Res_Constr_Approval_Status]]="Approved",LAM_API_TABLE[[#This Row],[New_Res_SLA_norec_sqft]],0)</f>
        <v>0</v>
      </c>
      <c r="AR250">
        <f>IF(LAM_API_TABLE[[#This Row],[New_Res_Constr_Approval_Status]]="Approved",LAM_API_TABLE[[#This Row],[New_Res_SLA_rec_sqft]],0)</f>
        <v>0</v>
      </c>
      <c r="AS250">
        <f>IF(LAM_API_TABLE[[#This Row],[Existing_Res_SLA_Data_Approval_Status]]="Approved",LAM_API_TABLE[[#This Row],[Existing_Res_SLA_norec_sqft]],0)</f>
        <v>0</v>
      </c>
      <c r="AT250">
        <f>IF(LAM_API_TABLE[[#This Row],[Existing_Res_SLA_Data_Approval_Status]]="Approved",LAM_API_TABLE[[#This Row],[Existing_Res_SLA_rec_sqft]],0)</f>
        <v>0</v>
      </c>
    </row>
    <row r="251" spans="1:46" x14ac:dyDescent="0.25">
      <c r="A251" t="s">
        <v>1870</v>
      </c>
      <c r="B251" t="s">
        <v>3220</v>
      </c>
      <c r="C251" t="s">
        <v>3221</v>
      </c>
      <c r="D251" t="s">
        <v>3222</v>
      </c>
      <c r="E251">
        <v>2018</v>
      </c>
      <c r="F251">
        <v>26825</v>
      </c>
      <c r="G251">
        <v>113949</v>
      </c>
      <c r="H251">
        <v>2602711</v>
      </c>
      <c r="I251">
        <v>84284515</v>
      </c>
      <c r="J251">
        <v>14493524</v>
      </c>
      <c r="K251">
        <v>156408360</v>
      </c>
      <c r="L251">
        <v>87183220</v>
      </c>
      <c r="M251" t="s">
        <v>1859</v>
      </c>
      <c r="AK251">
        <f>IF(LAM_API_TABLE[[#This Row],[Alternative_Data_Approval_Status]]="Approved",LAM_API_TABLE[[#This Row],[HCL_area_sqft_Alternative]],LAM_API_TABLE[[#This Row],[HCL_area_sqft]])</f>
        <v>26825</v>
      </c>
      <c r="AL251">
        <f>IF(LAM_API_TABLE[[#This Row],[Alternative_Data_Approval_Status]]="Approved",LAM_API_TABLE[[#This Row],[Ag_area_sqft_Alternative]],LAM_API_TABLE[[#This Row],[Ag_area_sqft]])</f>
        <v>113949</v>
      </c>
      <c r="AM251">
        <f>IF(LAM_API_TABLE[[#This Row],[Alternative_Data_Approval_Status]]="Approved",LAM_API_TABLE[[#This Row],[Pool_area_sqft_Alternative]],LAM_API_TABLE[[#This Row],[Pool_area_sqft]])</f>
        <v>2602711</v>
      </c>
      <c r="AN251">
        <f>IF(LAM_API_TABLE[[#This Row],[Alternative_Data_Approval_Status]]="Approved",LAM_API_TABLE[[#This Row],[Total_II_sqft_Alternative]],LAM_API_TABLE[[#This Row],[Total_II_sqft]])</f>
        <v>84284515</v>
      </c>
      <c r="AO251">
        <f>IF(LAM_API_TABLE[[#This Row],[Alternative_Data_Approval_Status]]="Approved",LAM_API_TABLE[[#This Row],[Total_INI_sqft_Alternative]],LAM_API_TABLE[[#This Row],[Total_INI_sqft]])</f>
        <v>14493524</v>
      </c>
      <c r="AP251">
        <f>IF(LAM_API_TABLE[[#This Row],[New_Res_Constr_Approval_Status]]="Approved",LAM_API_TABLE[[#This Row],[New_Res_Constr_sqft]],0)</f>
        <v>0</v>
      </c>
      <c r="AQ251">
        <f>IF(LAM_API_TABLE[[#This Row],[New_Res_Constr_Approval_Status]]="Approved",LAM_API_TABLE[[#This Row],[New_Res_SLA_norec_sqft]],0)</f>
        <v>0</v>
      </c>
      <c r="AR251">
        <f>IF(LAM_API_TABLE[[#This Row],[New_Res_Constr_Approval_Status]]="Approved",LAM_API_TABLE[[#This Row],[New_Res_SLA_rec_sqft]],0)</f>
        <v>0</v>
      </c>
      <c r="AS251">
        <f>IF(LAM_API_TABLE[[#This Row],[Existing_Res_SLA_Data_Approval_Status]]="Approved",LAM_API_TABLE[[#This Row],[Existing_Res_SLA_norec_sqft]],0)</f>
        <v>0</v>
      </c>
      <c r="AT251">
        <f>IF(LAM_API_TABLE[[#This Row],[Existing_Res_SLA_Data_Approval_Status]]="Approved",LAM_API_TABLE[[#This Row],[Existing_Res_SLA_rec_sqft]],0)</f>
        <v>0</v>
      </c>
    </row>
    <row r="252" spans="1:46" x14ac:dyDescent="0.25">
      <c r="A252" t="s">
        <v>1874</v>
      </c>
      <c r="B252" t="s">
        <v>1875</v>
      </c>
      <c r="C252" t="s">
        <v>3223</v>
      </c>
      <c r="D252" t="s">
        <v>3224</v>
      </c>
      <c r="E252">
        <v>2018</v>
      </c>
      <c r="F252">
        <v>41205</v>
      </c>
      <c r="G252">
        <v>1661653</v>
      </c>
      <c r="H252">
        <v>325769</v>
      </c>
      <c r="I252">
        <v>36371243</v>
      </c>
      <c r="J252">
        <v>16779566</v>
      </c>
      <c r="K252">
        <v>42890399</v>
      </c>
      <c r="L252">
        <v>39727156</v>
      </c>
      <c r="M252" t="s">
        <v>1859</v>
      </c>
      <c r="AK252">
        <f>IF(LAM_API_TABLE[[#This Row],[Alternative_Data_Approval_Status]]="Approved",LAM_API_TABLE[[#This Row],[HCL_area_sqft_Alternative]],LAM_API_TABLE[[#This Row],[HCL_area_sqft]])</f>
        <v>41205</v>
      </c>
      <c r="AL252">
        <f>IF(LAM_API_TABLE[[#This Row],[Alternative_Data_Approval_Status]]="Approved",LAM_API_TABLE[[#This Row],[Ag_area_sqft_Alternative]],LAM_API_TABLE[[#This Row],[Ag_area_sqft]])</f>
        <v>1661653</v>
      </c>
      <c r="AM252">
        <f>IF(LAM_API_TABLE[[#This Row],[Alternative_Data_Approval_Status]]="Approved",LAM_API_TABLE[[#This Row],[Pool_area_sqft_Alternative]],LAM_API_TABLE[[#This Row],[Pool_area_sqft]])</f>
        <v>325769</v>
      </c>
      <c r="AN252">
        <f>IF(LAM_API_TABLE[[#This Row],[Alternative_Data_Approval_Status]]="Approved",LAM_API_TABLE[[#This Row],[Total_II_sqft_Alternative]],LAM_API_TABLE[[#This Row],[Total_II_sqft]])</f>
        <v>36371243</v>
      </c>
      <c r="AO252">
        <f>IF(LAM_API_TABLE[[#This Row],[Alternative_Data_Approval_Status]]="Approved",LAM_API_TABLE[[#This Row],[Total_INI_sqft_Alternative]],LAM_API_TABLE[[#This Row],[Total_INI_sqft]])</f>
        <v>16779566</v>
      </c>
      <c r="AP252">
        <f>IF(LAM_API_TABLE[[#This Row],[New_Res_Constr_Approval_Status]]="Approved",LAM_API_TABLE[[#This Row],[New_Res_Constr_sqft]],0)</f>
        <v>0</v>
      </c>
      <c r="AQ252">
        <f>IF(LAM_API_TABLE[[#This Row],[New_Res_Constr_Approval_Status]]="Approved",LAM_API_TABLE[[#This Row],[New_Res_SLA_norec_sqft]],0)</f>
        <v>0</v>
      </c>
      <c r="AR252">
        <f>IF(LAM_API_TABLE[[#This Row],[New_Res_Constr_Approval_Status]]="Approved",LAM_API_TABLE[[#This Row],[New_Res_SLA_rec_sqft]],0)</f>
        <v>0</v>
      </c>
      <c r="AS252">
        <f>IF(LAM_API_TABLE[[#This Row],[Existing_Res_SLA_Data_Approval_Status]]="Approved",LAM_API_TABLE[[#This Row],[Existing_Res_SLA_norec_sqft]],0)</f>
        <v>0</v>
      </c>
      <c r="AT252">
        <f>IF(LAM_API_TABLE[[#This Row],[Existing_Res_SLA_Data_Approval_Status]]="Approved",LAM_API_TABLE[[#This Row],[Existing_Res_SLA_rec_sqft]],0)</f>
        <v>0</v>
      </c>
    </row>
    <row r="253" spans="1:46" x14ac:dyDescent="0.25">
      <c r="A253" t="s">
        <v>1878</v>
      </c>
      <c r="B253" t="s">
        <v>1879</v>
      </c>
      <c r="C253" t="s">
        <v>3225</v>
      </c>
      <c r="D253" t="s">
        <v>3226</v>
      </c>
      <c r="E253">
        <v>2018</v>
      </c>
      <c r="H253">
        <v>192371</v>
      </c>
      <c r="I253">
        <v>7278903</v>
      </c>
      <c r="J253">
        <v>4790164</v>
      </c>
      <c r="K253">
        <v>19759606</v>
      </c>
      <c r="L253">
        <v>8236936</v>
      </c>
      <c r="M253" t="s">
        <v>1859</v>
      </c>
      <c r="AK253">
        <f>IF(LAM_API_TABLE[[#This Row],[Alternative_Data_Approval_Status]]="Approved",LAM_API_TABLE[[#This Row],[HCL_area_sqft_Alternative]],LAM_API_TABLE[[#This Row],[HCL_area_sqft]])</f>
        <v>0</v>
      </c>
      <c r="AL253">
        <f>IF(LAM_API_TABLE[[#This Row],[Alternative_Data_Approval_Status]]="Approved",LAM_API_TABLE[[#This Row],[Ag_area_sqft_Alternative]],LAM_API_TABLE[[#This Row],[Ag_area_sqft]])</f>
        <v>0</v>
      </c>
      <c r="AM253">
        <f>IF(LAM_API_TABLE[[#This Row],[Alternative_Data_Approval_Status]]="Approved",LAM_API_TABLE[[#This Row],[Pool_area_sqft_Alternative]],LAM_API_TABLE[[#This Row],[Pool_area_sqft]])</f>
        <v>192371</v>
      </c>
      <c r="AN253">
        <f>IF(LAM_API_TABLE[[#This Row],[Alternative_Data_Approval_Status]]="Approved",LAM_API_TABLE[[#This Row],[Total_II_sqft_Alternative]],LAM_API_TABLE[[#This Row],[Total_II_sqft]])</f>
        <v>7278903</v>
      </c>
      <c r="AO253">
        <f>IF(LAM_API_TABLE[[#This Row],[Alternative_Data_Approval_Status]]="Approved",LAM_API_TABLE[[#This Row],[Total_INI_sqft_Alternative]],LAM_API_TABLE[[#This Row],[Total_INI_sqft]])</f>
        <v>4790164</v>
      </c>
      <c r="AP253">
        <f>IF(LAM_API_TABLE[[#This Row],[New_Res_Constr_Approval_Status]]="Approved",LAM_API_TABLE[[#This Row],[New_Res_Constr_sqft]],0)</f>
        <v>0</v>
      </c>
      <c r="AQ253">
        <f>IF(LAM_API_TABLE[[#This Row],[New_Res_Constr_Approval_Status]]="Approved",LAM_API_TABLE[[#This Row],[New_Res_SLA_norec_sqft]],0)</f>
        <v>0</v>
      </c>
      <c r="AR253">
        <f>IF(LAM_API_TABLE[[#This Row],[New_Res_Constr_Approval_Status]]="Approved",LAM_API_TABLE[[#This Row],[New_Res_SLA_rec_sqft]],0)</f>
        <v>0</v>
      </c>
      <c r="AS253">
        <f>IF(LAM_API_TABLE[[#This Row],[Existing_Res_SLA_Data_Approval_Status]]="Approved",LAM_API_TABLE[[#This Row],[Existing_Res_SLA_norec_sqft]],0)</f>
        <v>0</v>
      </c>
      <c r="AT253">
        <f>IF(LAM_API_TABLE[[#This Row],[Existing_Res_SLA_Data_Approval_Status]]="Approved",LAM_API_TABLE[[#This Row],[Existing_Res_SLA_rec_sqft]],0)</f>
        <v>0</v>
      </c>
    </row>
    <row r="254" spans="1:46" x14ac:dyDescent="0.25">
      <c r="A254" t="s">
        <v>1882</v>
      </c>
      <c r="B254" t="s">
        <v>1883</v>
      </c>
      <c r="C254" t="s">
        <v>3227</v>
      </c>
      <c r="D254" t="s">
        <v>3228</v>
      </c>
      <c r="E254">
        <v>2018</v>
      </c>
      <c r="F254">
        <v>296976</v>
      </c>
      <c r="G254">
        <v>3311249</v>
      </c>
      <c r="H254">
        <v>2992995</v>
      </c>
      <c r="I254">
        <v>178353415</v>
      </c>
      <c r="J254">
        <v>32468451</v>
      </c>
      <c r="K254">
        <v>458694027</v>
      </c>
      <c r="L254">
        <v>184847105</v>
      </c>
      <c r="M254" t="s">
        <v>1859</v>
      </c>
      <c r="AK254">
        <f>IF(LAM_API_TABLE[[#This Row],[Alternative_Data_Approval_Status]]="Approved",LAM_API_TABLE[[#This Row],[HCL_area_sqft_Alternative]],LAM_API_TABLE[[#This Row],[HCL_area_sqft]])</f>
        <v>296976</v>
      </c>
      <c r="AL254">
        <f>IF(LAM_API_TABLE[[#This Row],[Alternative_Data_Approval_Status]]="Approved",LAM_API_TABLE[[#This Row],[Ag_area_sqft_Alternative]],LAM_API_TABLE[[#This Row],[Ag_area_sqft]])</f>
        <v>3311249</v>
      </c>
      <c r="AM254">
        <f>IF(LAM_API_TABLE[[#This Row],[Alternative_Data_Approval_Status]]="Approved",LAM_API_TABLE[[#This Row],[Pool_area_sqft_Alternative]],LAM_API_TABLE[[#This Row],[Pool_area_sqft]])</f>
        <v>2992995</v>
      </c>
      <c r="AN254">
        <f>IF(LAM_API_TABLE[[#This Row],[Alternative_Data_Approval_Status]]="Approved",LAM_API_TABLE[[#This Row],[Total_II_sqft_Alternative]],LAM_API_TABLE[[#This Row],[Total_II_sqft]])</f>
        <v>178353415</v>
      </c>
      <c r="AO254">
        <f>IF(LAM_API_TABLE[[#This Row],[Alternative_Data_Approval_Status]]="Approved",LAM_API_TABLE[[#This Row],[Total_INI_sqft_Alternative]],LAM_API_TABLE[[#This Row],[Total_INI_sqft]])</f>
        <v>32468451</v>
      </c>
      <c r="AP254">
        <f>IF(LAM_API_TABLE[[#This Row],[New_Res_Constr_Approval_Status]]="Approved",LAM_API_TABLE[[#This Row],[New_Res_Constr_sqft]],0)</f>
        <v>0</v>
      </c>
      <c r="AQ254">
        <f>IF(LAM_API_TABLE[[#This Row],[New_Res_Constr_Approval_Status]]="Approved",LAM_API_TABLE[[#This Row],[New_Res_SLA_norec_sqft]],0)</f>
        <v>0</v>
      </c>
      <c r="AR254">
        <f>IF(LAM_API_TABLE[[#This Row],[New_Res_Constr_Approval_Status]]="Approved",LAM_API_TABLE[[#This Row],[New_Res_SLA_rec_sqft]],0)</f>
        <v>0</v>
      </c>
      <c r="AS254">
        <f>IF(LAM_API_TABLE[[#This Row],[Existing_Res_SLA_Data_Approval_Status]]="Approved",LAM_API_TABLE[[#This Row],[Existing_Res_SLA_norec_sqft]],0)</f>
        <v>0</v>
      </c>
      <c r="AT254">
        <f>IF(LAM_API_TABLE[[#This Row],[Existing_Res_SLA_Data_Approval_Status]]="Approved",LAM_API_TABLE[[#This Row],[Existing_Res_SLA_rec_sqft]],0)</f>
        <v>0</v>
      </c>
    </row>
    <row r="255" spans="1:46" x14ac:dyDescent="0.25">
      <c r="A255" t="s">
        <v>1886</v>
      </c>
      <c r="B255" t="s">
        <v>3229</v>
      </c>
      <c r="C255" t="s">
        <v>3230</v>
      </c>
      <c r="D255" t="s">
        <v>3231</v>
      </c>
      <c r="E255">
        <v>2018</v>
      </c>
      <c r="G255">
        <v>365348</v>
      </c>
      <c r="H255">
        <v>284308</v>
      </c>
      <c r="I255">
        <v>63958852</v>
      </c>
      <c r="J255">
        <v>12480996</v>
      </c>
      <c r="K255">
        <v>163241706</v>
      </c>
      <c r="L255">
        <v>66455051</v>
      </c>
      <c r="M255" t="s">
        <v>1859</v>
      </c>
      <c r="AK255">
        <f>IF(LAM_API_TABLE[[#This Row],[Alternative_Data_Approval_Status]]="Approved",LAM_API_TABLE[[#This Row],[HCL_area_sqft_Alternative]],LAM_API_TABLE[[#This Row],[HCL_area_sqft]])</f>
        <v>0</v>
      </c>
      <c r="AL255">
        <f>IF(LAM_API_TABLE[[#This Row],[Alternative_Data_Approval_Status]]="Approved",LAM_API_TABLE[[#This Row],[Ag_area_sqft_Alternative]],LAM_API_TABLE[[#This Row],[Ag_area_sqft]])</f>
        <v>365348</v>
      </c>
      <c r="AM255">
        <f>IF(LAM_API_TABLE[[#This Row],[Alternative_Data_Approval_Status]]="Approved",LAM_API_TABLE[[#This Row],[Pool_area_sqft_Alternative]],LAM_API_TABLE[[#This Row],[Pool_area_sqft]])</f>
        <v>284308</v>
      </c>
      <c r="AN255">
        <f>IF(LAM_API_TABLE[[#This Row],[Alternative_Data_Approval_Status]]="Approved",LAM_API_TABLE[[#This Row],[Total_II_sqft_Alternative]],LAM_API_TABLE[[#This Row],[Total_II_sqft]])</f>
        <v>63958852</v>
      </c>
      <c r="AO255">
        <f>IF(LAM_API_TABLE[[#This Row],[Alternative_Data_Approval_Status]]="Approved",LAM_API_TABLE[[#This Row],[Total_INI_sqft_Alternative]],LAM_API_TABLE[[#This Row],[Total_INI_sqft]])</f>
        <v>12480996</v>
      </c>
      <c r="AP255">
        <f>IF(LAM_API_TABLE[[#This Row],[New_Res_Constr_Approval_Status]]="Approved",LAM_API_TABLE[[#This Row],[New_Res_Constr_sqft]],0)</f>
        <v>0</v>
      </c>
      <c r="AQ255">
        <f>IF(LAM_API_TABLE[[#This Row],[New_Res_Constr_Approval_Status]]="Approved",LAM_API_TABLE[[#This Row],[New_Res_SLA_norec_sqft]],0)</f>
        <v>0</v>
      </c>
      <c r="AR255">
        <f>IF(LAM_API_TABLE[[#This Row],[New_Res_Constr_Approval_Status]]="Approved",LAM_API_TABLE[[#This Row],[New_Res_SLA_rec_sqft]],0)</f>
        <v>0</v>
      </c>
      <c r="AS255">
        <f>IF(LAM_API_TABLE[[#This Row],[Existing_Res_SLA_Data_Approval_Status]]="Approved",LAM_API_TABLE[[#This Row],[Existing_Res_SLA_norec_sqft]],0)</f>
        <v>0</v>
      </c>
      <c r="AT255">
        <f>IF(LAM_API_TABLE[[#This Row],[Existing_Res_SLA_Data_Approval_Status]]="Approved",LAM_API_TABLE[[#This Row],[Existing_Res_SLA_rec_sqft]],0)</f>
        <v>0</v>
      </c>
    </row>
    <row r="256" spans="1:46" x14ac:dyDescent="0.25">
      <c r="A256" t="s">
        <v>1890</v>
      </c>
      <c r="B256" t="s">
        <v>1891</v>
      </c>
      <c r="C256" t="s">
        <v>3232</v>
      </c>
      <c r="D256" t="s">
        <v>3233</v>
      </c>
      <c r="E256">
        <v>2018</v>
      </c>
      <c r="F256">
        <v>996470</v>
      </c>
      <c r="G256">
        <v>2994145</v>
      </c>
      <c r="H256">
        <v>2186775</v>
      </c>
      <c r="I256">
        <v>123853907</v>
      </c>
      <c r="J256">
        <v>51592797</v>
      </c>
      <c r="K256">
        <v>690810498</v>
      </c>
      <c r="L256">
        <v>134172466</v>
      </c>
      <c r="M256" t="s">
        <v>1859</v>
      </c>
      <c r="AK256">
        <f>IF(LAM_API_TABLE[[#This Row],[Alternative_Data_Approval_Status]]="Approved",LAM_API_TABLE[[#This Row],[HCL_area_sqft_Alternative]],LAM_API_TABLE[[#This Row],[HCL_area_sqft]])</f>
        <v>996470</v>
      </c>
      <c r="AL256">
        <f>IF(LAM_API_TABLE[[#This Row],[Alternative_Data_Approval_Status]]="Approved",LAM_API_TABLE[[#This Row],[Ag_area_sqft_Alternative]],LAM_API_TABLE[[#This Row],[Ag_area_sqft]])</f>
        <v>2994145</v>
      </c>
      <c r="AM256">
        <f>IF(LAM_API_TABLE[[#This Row],[Alternative_Data_Approval_Status]]="Approved",LAM_API_TABLE[[#This Row],[Pool_area_sqft_Alternative]],LAM_API_TABLE[[#This Row],[Pool_area_sqft]])</f>
        <v>2186775</v>
      </c>
      <c r="AN256">
        <f>IF(LAM_API_TABLE[[#This Row],[Alternative_Data_Approval_Status]]="Approved",LAM_API_TABLE[[#This Row],[Total_II_sqft_Alternative]],LAM_API_TABLE[[#This Row],[Total_II_sqft]])</f>
        <v>123853907</v>
      </c>
      <c r="AO256">
        <f>IF(LAM_API_TABLE[[#This Row],[Alternative_Data_Approval_Status]]="Approved",LAM_API_TABLE[[#This Row],[Total_INI_sqft_Alternative]],LAM_API_TABLE[[#This Row],[Total_INI_sqft]])</f>
        <v>51592797</v>
      </c>
      <c r="AP256">
        <f>IF(LAM_API_TABLE[[#This Row],[New_Res_Constr_Approval_Status]]="Approved",LAM_API_TABLE[[#This Row],[New_Res_Constr_sqft]],0)</f>
        <v>0</v>
      </c>
      <c r="AQ256">
        <f>IF(LAM_API_TABLE[[#This Row],[New_Res_Constr_Approval_Status]]="Approved",LAM_API_TABLE[[#This Row],[New_Res_SLA_norec_sqft]],0)</f>
        <v>0</v>
      </c>
      <c r="AR256">
        <f>IF(LAM_API_TABLE[[#This Row],[New_Res_Constr_Approval_Status]]="Approved",LAM_API_TABLE[[#This Row],[New_Res_SLA_rec_sqft]],0)</f>
        <v>0</v>
      </c>
      <c r="AS256">
        <f>IF(LAM_API_TABLE[[#This Row],[Existing_Res_SLA_Data_Approval_Status]]="Approved",LAM_API_TABLE[[#This Row],[Existing_Res_SLA_norec_sqft]],0)</f>
        <v>0</v>
      </c>
      <c r="AT256">
        <f>IF(LAM_API_TABLE[[#This Row],[Existing_Res_SLA_Data_Approval_Status]]="Approved",LAM_API_TABLE[[#This Row],[Existing_Res_SLA_rec_sqft]],0)</f>
        <v>0</v>
      </c>
    </row>
    <row r="257" spans="1:46" x14ac:dyDescent="0.25">
      <c r="A257" t="s">
        <v>1894</v>
      </c>
      <c r="B257" t="s">
        <v>1895</v>
      </c>
      <c r="C257" t="s">
        <v>3234</v>
      </c>
      <c r="D257" t="s">
        <v>3235</v>
      </c>
      <c r="E257">
        <v>2018</v>
      </c>
      <c r="F257">
        <v>269062</v>
      </c>
      <c r="G257">
        <v>450949</v>
      </c>
      <c r="H257">
        <v>988463</v>
      </c>
      <c r="I257">
        <v>41113613</v>
      </c>
      <c r="J257">
        <v>59726064</v>
      </c>
      <c r="K257">
        <v>225546480</v>
      </c>
      <c r="L257">
        <v>53058826</v>
      </c>
      <c r="M257" t="s">
        <v>1859</v>
      </c>
      <c r="AK257">
        <f>IF(LAM_API_TABLE[[#This Row],[Alternative_Data_Approval_Status]]="Approved",LAM_API_TABLE[[#This Row],[HCL_area_sqft_Alternative]],LAM_API_TABLE[[#This Row],[HCL_area_sqft]])</f>
        <v>269062</v>
      </c>
      <c r="AL257">
        <f>IF(LAM_API_TABLE[[#This Row],[Alternative_Data_Approval_Status]]="Approved",LAM_API_TABLE[[#This Row],[Ag_area_sqft_Alternative]],LAM_API_TABLE[[#This Row],[Ag_area_sqft]])</f>
        <v>450949</v>
      </c>
      <c r="AM257">
        <f>IF(LAM_API_TABLE[[#This Row],[Alternative_Data_Approval_Status]]="Approved",LAM_API_TABLE[[#This Row],[Pool_area_sqft_Alternative]],LAM_API_TABLE[[#This Row],[Pool_area_sqft]])</f>
        <v>988463</v>
      </c>
      <c r="AN257">
        <f>IF(LAM_API_TABLE[[#This Row],[Alternative_Data_Approval_Status]]="Approved",LAM_API_TABLE[[#This Row],[Total_II_sqft_Alternative]],LAM_API_TABLE[[#This Row],[Total_II_sqft]])</f>
        <v>41113613</v>
      </c>
      <c r="AO257">
        <f>IF(LAM_API_TABLE[[#This Row],[Alternative_Data_Approval_Status]]="Approved",LAM_API_TABLE[[#This Row],[Total_INI_sqft_Alternative]],LAM_API_TABLE[[#This Row],[Total_INI_sqft]])</f>
        <v>59726064</v>
      </c>
      <c r="AP257">
        <f>IF(LAM_API_TABLE[[#This Row],[New_Res_Constr_Approval_Status]]="Approved",LAM_API_TABLE[[#This Row],[New_Res_Constr_sqft]],0)</f>
        <v>0</v>
      </c>
      <c r="AQ257">
        <f>IF(LAM_API_TABLE[[#This Row],[New_Res_Constr_Approval_Status]]="Approved",LAM_API_TABLE[[#This Row],[New_Res_SLA_norec_sqft]],0)</f>
        <v>0</v>
      </c>
      <c r="AR257">
        <f>IF(LAM_API_TABLE[[#This Row],[New_Res_Constr_Approval_Status]]="Approved",LAM_API_TABLE[[#This Row],[New_Res_SLA_rec_sqft]],0)</f>
        <v>0</v>
      </c>
      <c r="AS257">
        <f>IF(LAM_API_TABLE[[#This Row],[Existing_Res_SLA_Data_Approval_Status]]="Approved",LAM_API_TABLE[[#This Row],[Existing_Res_SLA_norec_sqft]],0)</f>
        <v>0</v>
      </c>
      <c r="AT257">
        <f>IF(LAM_API_TABLE[[#This Row],[Existing_Res_SLA_Data_Approval_Status]]="Approved",LAM_API_TABLE[[#This Row],[Existing_Res_SLA_rec_sqft]],0)</f>
        <v>0</v>
      </c>
    </row>
    <row r="258" spans="1:46" x14ac:dyDescent="0.25">
      <c r="A258" t="s">
        <v>1898</v>
      </c>
      <c r="B258" t="s">
        <v>1899</v>
      </c>
      <c r="C258" t="s">
        <v>3236</v>
      </c>
      <c r="D258" t="s">
        <v>3237</v>
      </c>
      <c r="E258">
        <v>2018</v>
      </c>
      <c r="G258">
        <v>281331</v>
      </c>
      <c r="H258">
        <v>329171</v>
      </c>
      <c r="I258">
        <v>81472116</v>
      </c>
      <c r="J258">
        <v>9899818</v>
      </c>
      <c r="K258">
        <v>93740307</v>
      </c>
      <c r="L258">
        <v>83452080</v>
      </c>
      <c r="M258" t="s">
        <v>1859</v>
      </c>
      <c r="AK258">
        <f>IF(LAM_API_TABLE[[#This Row],[Alternative_Data_Approval_Status]]="Approved",LAM_API_TABLE[[#This Row],[HCL_area_sqft_Alternative]],LAM_API_TABLE[[#This Row],[HCL_area_sqft]])</f>
        <v>0</v>
      </c>
      <c r="AL258">
        <f>IF(LAM_API_TABLE[[#This Row],[Alternative_Data_Approval_Status]]="Approved",LAM_API_TABLE[[#This Row],[Ag_area_sqft_Alternative]],LAM_API_TABLE[[#This Row],[Ag_area_sqft]])</f>
        <v>281331</v>
      </c>
      <c r="AM258">
        <f>IF(LAM_API_TABLE[[#This Row],[Alternative_Data_Approval_Status]]="Approved",LAM_API_TABLE[[#This Row],[Pool_area_sqft_Alternative]],LAM_API_TABLE[[#This Row],[Pool_area_sqft]])</f>
        <v>329171</v>
      </c>
      <c r="AN258">
        <f>IF(LAM_API_TABLE[[#This Row],[Alternative_Data_Approval_Status]]="Approved",LAM_API_TABLE[[#This Row],[Total_II_sqft_Alternative]],LAM_API_TABLE[[#This Row],[Total_II_sqft]])</f>
        <v>81472116</v>
      </c>
      <c r="AO258">
        <f>IF(LAM_API_TABLE[[#This Row],[Alternative_Data_Approval_Status]]="Approved",LAM_API_TABLE[[#This Row],[Total_INI_sqft_Alternative]],LAM_API_TABLE[[#This Row],[Total_INI_sqft]])</f>
        <v>9899818</v>
      </c>
      <c r="AP258">
        <f>IF(LAM_API_TABLE[[#This Row],[New_Res_Constr_Approval_Status]]="Approved",LAM_API_TABLE[[#This Row],[New_Res_Constr_sqft]],0)</f>
        <v>0</v>
      </c>
      <c r="AQ258">
        <f>IF(LAM_API_TABLE[[#This Row],[New_Res_Constr_Approval_Status]]="Approved",LAM_API_TABLE[[#This Row],[New_Res_SLA_norec_sqft]],0)</f>
        <v>0</v>
      </c>
      <c r="AR258">
        <f>IF(LAM_API_TABLE[[#This Row],[New_Res_Constr_Approval_Status]]="Approved",LAM_API_TABLE[[#This Row],[New_Res_SLA_rec_sqft]],0)</f>
        <v>0</v>
      </c>
      <c r="AS258">
        <f>IF(LAM_API_TABLE[[#This Row],[Existing_Res_SLA_Data_Approval_Status]]="Approved",LAM_API_TABLE[[#This Row],[Existing_Res_SLA_norec_sqft]],0)</f>
        <v>0</v>
      </c>
      <c r="AT258">
        <f>IF(LAM_API_TABLE[[#This Row],[Existing_Res_SLA_Data_Approval_Status]]="Approved",LAM_API_TABLE[[#This Row],[Existing_Res_SLA_rec_sqft]],0)</f>
        <v>0</v>
      </c>
    </row>
    <row r="259" spans="1:46" x14ac:dyDescent="0.25">
      <c r="A259" t="s">
        <v>1902</v>
      </c>
      <c r="B259" t="s">
        <v>1903</v>
      </c>
      <c r="AK259">
        <f>IF(LAM_API_TABLE[[#This Row],[Alternative_Data_Approval_Status]]="Approved",LAM_API_TABLE[[#This Row],[HCL_area_sqft_Alternative]],LAM_API_TABLE[[#This Row],[HCL_area_sqft]])</f>
        <v>0</v>
      </c>
      <c r="AL259">
        <f>IF(LAM_API_TABLE[[#This Row],[Alternative_Data_Approval_Status]]="Approved",LAM_API_TABLE[[#This Row],[Ag_area_sqft_Alternative]],LAM_API_TABLE[[#This Row],[Ag_area_sqft]])</f>
        <v>0</v>
      </c>
      <c r="AM259">
        <f>IF(LAM_API_TABLE[[#This Row],[Alternative_Data_Approval_Status]]="Approved",LAM_API_TABLE[[#This Row],[Pool_area_sqft_Alternative]],LAM_API_TABLE[[#This Row],[Pool_area_sqft]])</f>
        <v>0</v>
      </c>
      <c r="AN259">
        <f>IF(LAM_API_TABLE[[#This Row],[Alternative_Data_Approval_Status]]="Approved",LAM_API_TABLE[[#This Row],[Total_II_sqft_Alternative]],LAM_API_TABLE[[#This Row],[Total_II_sqft]])</f>
        <v>0</v>
      </c>
      <c r="AO259">
        <f>IF(LAM_API_TABLE[[#This Row],[Alternative_Data_Approval_Status]]="Approved",LAM_API_TABLE[[#This Row],[Total_INI_sqft_Alternative]],LAM_API_TABLE[[#This Row],[Total_INI_sqft]])</f>
        <v>0</v>
      </c>
      <c r="AP259">
        <f>IF(LAM_API_TABLE[[#This Row],[New_Res_Constr_Approval_Status]]="Approved",LAM_API_TABLE[[#This Row],[New_Res_Constr_sqft]],0)</f>
        <v>0</v>
      </c>
      <c r="AQ259">
        <f>IF(LAM_API_TABLE[[#This Row],[New_Res_Constr_Approval_Status]]="Approved",LAM_API_TABLE[[#This Row],[New_Res_SLA_norec_sqft]],0)</f>
        <v>0</v>
      </c>
      <c r="AR259">
        <f>IF(LAM_API_TABLE[[#This Row],[New_Res_Constr_Approval_Status]]="Approved",LAM_API_TABLE[[#This Row],[New_Res_SLA_rec_sqft]],0)</f>
        <v>0</v>
      </c>
      <c r="AS259">
        <f>IF(LAM_API_TABLE[[#This Row],[Existing_Res_SLA_Data_Approval_Status]]="Approved",LAM_API_TABLE[[#This Row],[Existing_Res_SLA_norec_sqft]],0)</f>
        <v>0</v>
      </c>
      <c r="AT259">
        <f>IF(LAM_API_TABLE[[#This Row],[Existing_Res_SLA_Data_Approval_Status]]="Approved",LAM_API_TABLE[[#This Row],[Existing_Res_SLA_rec_sqft]],0)</f>
        <v>0</v>
      </c>
    </row>
    <row r="260" spans="1:46" x14ac:dyDescent="0.25">
      <c r="A260" t="s">
        <v>1906</v>
      </c>
      <c r="B260" t="s">
        <v>3238</v>
      </c>
      <c r="C260" t="s">
        <v>837</v>
      </c>
      <c r="D260" t="s">
        <v>3239</v>
      </c>
      <c r="E260">
        <v>2018</v>
      </c>
      <c r="G260">
        <v>421</v>
      </c>
      <c r="H260">
        <v>102733</v>
      </c>
      <c r="I260">
        <v>8586510</v>
      </c>
      <c r="J260">
        <v>5229550</v>
      </c>
      <c r="K260">
        <v>32186790</v>
      </c>
      <c r="L260">
        <v>9632420</v>
      </c>
      <c r="M260" t="s">
        <v>1859</v>
      </c>
      <c r="AK260">
        <f>IF(LAM_API_TABLE[[#This Row],[Alternative_Data_Approval_Status]]="Approved",LAM_API_TABLE[[#This Row],[HCL_area_sqft_Alternative]],LAM_API_TABLE[[#This Row],[HCL_area_sqft]])</f>
        <v>0</v>
      </c>
      <c r="AL260">
        <f>IF(LAM_API_TABLE[[#This Row],[Alternative_Data_Approval_Status]]="Approved",LAM_API_TABLE[[#This Row],[Ag_area_sqft_Alternative]],LAM_API_TABLE[[#This Row],[Ag_area_sqft]])</f>
        <v>421</v>
      </c>
      <c r="AM260">
        <f>IF(LAM_API_TABLE[[#This Row],[Alternative_Data_Approval_Status]]="Approved",LAM_API_TABLE[[#This Row],[Pool_area_sqft_Alternative]],LAM_API_TABLE[[#This Row],[Pool_area_sqft]])</f>
        <v>102733</v>
      </c>
      <c r="AN260">
        <f>IF(LAM_API_TABLE[[#This Row],[Alternative_Data_Approval_Status]]="Approved",LAM_API_TABLE[[#This Row],[Total_II_sqft_Alternative]],LAM_API_TABLE[[#This Row],[Total_II_sqft]])</f>
        <v>8586510</v>
      </c>
      <c r="AO260">
        <f>IF(LAM_API_TABLE[[#This Row],[Alternative_Data_Approval_Status]]="Approved",LAM_API_TABLE[[#This Row],[Total_INI_sqft_Alternative]],LAM_API_TABLE[[#This Row],[Total_INI_sqft]])</f>
        <v>5229550</v>
      </c>
      <c r="AP260">
        <f>IF(LAM_API_TABLE[[#This Row],[New_Res_Constr_Approval_Status]]="Approved",LAM_API_TABLE[[#This Row],[New_Res_Constr_sqft]],0)</f>
        <v>0</v>
      </c>
      <c r="AQ260">
        <f>IF(LAM_API_TABLE[[#This Row],[New_Res_Constr_Approval_Status]]="Approved",LAM_API_TABLE[[#This Row],[New_Res_SLA_norec_sqft]],0)</f>
        <v>0</v>
      </c>
      <c r="AR260">
        <f>IF(LAM_API_TABLE[[#This Row],[New_Res_Constr_Approval_Status]]="Approved",LAM_API_TABLE[[#This Row],[New_Res_SLA_rec_sqft]],0)</f>
        <v>0</v>
      </c>
      <c r="AS260">
        <f>IF(LAM_API_TABLE[[#This Row],[Existing_Res_SLA_Data_Approval_Status]]="Approved",LAM_API_TABLE[[#This Row],[Existing_Res_SLA_norec_sqft]],0)</f>
        <v>0</v>
      </c>
      <c r="AT260">
        <f>IF(LAM_API_TABLE[[#This Row],[Existing_Res_SLA_Data_Approval_Status]]="Approved",LAM_API_TABLE[[#This Row],[Existing_Res_SLA_rec_sqft]],0)</f>
        <v>0</v>
      </c>
    </row>
    <row r="261" spans="1:46" x14ac:dyDescent="0.25">
      <c r="A261" t="s">
        <v>1910</v>
      </c>
      <c r="B261" t="s">
        <v>3240</v>
      </c>
      <c r="C261" t="s">
        <v>3241</v>
      </c>
      <c r="D261" t="s">
        <v>3242</v>
      </c>
      <c r="E261">
        <v>2018</v>
      </c>
      <c r="H261">
        <v>447226</v>
      </c>
      <c r="I261">
        <v>32737388</v>
      </c>
      <c r="J261">
        <v>21911637</v>
      </c>
      <c r="K261">
        <v>108155044</v>
      </c>
      <c r="L261">
        <v>37119715</v>
      </c>
      <c r="M261" t="s">
        <v>1859</v>
      </c>
      <c r="AK261">
        <f>IF(LAM_API_TABLE[[#This Row],[Alternative_Data_Approval_Status]]="Approved",LAM_API_TABLE[[#This Row],[HCL_area_sqft_Alternative]],LAM_API_TABLE[[#This Row],[HCL_area_sqft]])</f>
        <v>0</v>
      </c>
      <c r="AL261">
        <f>IF(LAM_API_TABLE[[#This Row],[Alternative_Data_Approval_Status]]="Approved",LAM_API_TABLE[[#This Row],[Ag_area_sqft_Alternative]],LAM_API_TABLE[[#This Row],[Ag_area_sqft]])</f>
        <v>0</v>
      </c>
      <c r="AM261">
        <f>IF(LAM_API_TABLE[[#This Row],[Alternative_Data_Approval_Status]]="Approved",LAM_API_TABLE[[#This Row],[Pool_area_sqft_Alternative]],LAM_API_TABLE[[#This Row],[Pool_area_sqft]])</f>
        <v>447226</v>
      </c>
      <c r="AN261">
        <f>IF(LAM_API_TABLE[[#This Row],[Alternative_Data_Approval_Status]]="Approved",LAM_API_TABLE[[#This Row],[Total_II_sqft_Alternative]],LAM_API_TABLE[[#This Row],[Total_II_sqft]])</f>
        <v>32737388</v>
      </c>
      <c r="AO261">
        <f>IF(LAM_API_TABLE[[#This Row],[Alternative_Data_Approval_Status]]="Approved",LAM_API_TABLE[[#This Row],[Total_INI_sqft_Alternative]],LAM_API_TABLE[[#This Row],[Total_INI_sqft]])</f>
        <v>21911637</v>
      </c>
      <c r="AP261">
        <f>IF(LAM_API_TABLE[[#This Row],[New_Res_Constr_Approval_Status]]="Approved",LAM_API_TABLE[[#This Row],[New_Res_Constr_sqft]],0)</f>
        <v>0</v>
      </c>
      <c r="AQ261">
        <f>IF(LAM_API_TABLE[[#This Row],[New_Res_Constr_Approval_Status]]="Approved",LAM_API_TABLE[[#This Row],[New_Res_SLA_norec_sqft]],0)</f>
        <v>0</v>
      </c>
      <c r="AR261">
        <f>IF(LAM_API_TABLE[[#This Row],[New_Res_Constr_Approval_Status]]="Approved",LAM_API_TABLE[[#This Row],[New_Res_SLA_rec_sqft]],0)</f>
        <v>0</v>
      </c>
      <c r="AS261">
        <f>IF(LAM_API_TABLE[[#This Row],[Existing_Res_SLA_Data_Approval_Status]]="Approved",LAM_API_TABLE[[#This Row],[Existing_Res_SLA_norec_sqft]],0)</f>
        <v>0</v>
      </c>
      <c r="AT261">
        <f>IF(LAM_API_TABLE[[#This Row],[Existing_Res_SLA_Data_Approval_Status]]="Approved",LAM_API_TABLE[[#This Row],[Existing_Res_SLA_rec_sqft]],0)</f>
        <v>0</v>
      </c>
    </row>
    <row r="262" spans="1:46" x14ac:dyDescent="0.25">
      <c r="A262" t="s">
        <v>1918</v>
      </c>
      <c r="B262" t="s">
        <v>1919</v>
      </c>
      <c r="C262" t="s">
        <v>842</v>
      </c>
      <c r="D262" t="s">
        <v>3243</v>
      </c>
      <c r="E262">
        <v>2018</v>
      </c>
      <c r="H262">
        <v>2140476</v>
      </c>
      <c r="I262">
        <v>112124705</v>
      </c>
      <c r="J262">
        <v>70155538</v>
      </c>
      <c r="K262">
        <v>179251302</v>
      </c>
      <c r="L262">
        <v>126155813</v>
      </c>
      <c r="M262" t="s">
        <v>1859</v>
      </c>
      <c r="AK262">
        <f>IF(LAM_API_TABLE[[#This Row],[Alternative_Data_Approval_Status]]="Approved",LAM_API_TABLE[[#This Row],[HCL_area_sqft_Alternative]],LAM_API_TABLE[[#This Row],[HCL_area_sqft]])</f>
        <v>0</v>
      </c>
      <c r="AL262">
        <f>IF(LAM_API_TABLE[[#This Row],[Alternative_Data_Approval_Status]]="Approved",LAM_API_TABLE[[#This Row],[Ag_area_sqft_Alternative]],LAM_API_TABLE[[#This Row],[Ag_area_sqft]])</f>
        <v>0</v>
      </c>
      <c r="AM262">
        <f>IF(LAM_API_TABLE[[#This Row],[Alternative_Data_Approval_Status]]="Approved",LAM_API_TABLE[[#This Row],[Pool_area_sqft_Alternative]],LAM_API_TABLE[[#This Row],[Pool_area_sqft]])</f>
        <v>2140476</v>
      </c>
      <c r="AN262">
        <f>IF(LAM_API_TABLE[[#This Row],[Alternative_Data_Approval_Status]]="Approved",LAM_API_TABLE[[#This Row],[Total_II_sqft_Alternative]],LAM_API_TABLE[[#This Row],[Total_II_sqft]])</f>
        <v>112124705</v>
      </c>
      <c r="AO262">
        <f>IF(LAM_API_TABLE[[#This Row],[Alternative_Data_Approval_Status]]="Approved",LAM_API_TABLE[[#This Row],[Total_INI_sqft_Alternative]],LAM_API_TABLE[[#This Row],[Total_INI_sqft]])</f>
        <v>70155538</v>
      </c>
      <c r="AP262">
        <f>IF(LAM_API_TABLE[[#This Row],[New_Res_Constr_Approval_Status]]="Approved",LAM_API_TABLE[[#This Row],[New_Res_Constr_sqft]],0)</f>
        <v>0</v>
      </c>
      <c r="AQ262">
        <f>IF(LAM_API_TABLE[[#This Row],[New_Res_Constr_Approval_Status]]="Approved",LAM_API_TABLE[[#This Row],[New_Res_SLA_norec_sqft]],0)</f>
        <v>0</v>
      </c>
      <c r="AR262">
        <f>IF(LAM_API_TABLE[[#This Row],[New_Res_Constr_Approval_Status]]="Approved",LAM_API_TABLE[[#This Row],[New_Res_SLA_rec_sqft]],0)</f>
        <v>0</v>
      </c>
      <c r="AS262">
        <f>IF(LAM_API_TABLE[[#This Row],[Existing_Res_SLA_Data_Approval_Status]]="Approved",LAM_API_TABLE[[#This Row],[Existing_Res_SLA_norec_sqft]],0)</f>
        <v>0</v>
      </c>
      <c r="AT262">
        <f>IF(LAM_API_TABLE[[#This Row],[Existing_Res_SLA_Data_Approval_Status]]="Approved",LAM_API_TABLE[[#This Row],[Existing_Res_SLA_rec_sqft]],0)</f>
        <v>0</v>
      </c>
    </row>
    <row r="263" spans="1:46" x14ac:dyDescent="0.25">
      <c r="A263" t="s">
        <v>1922</v>
      </c>
      <c r="B263" t="s">
        <v>1923</v>
      </c>
      <c r="C263" t="s">
        <v>846</v>
      </c>
      <c r="D263" t="s">
        <v>3244</v>
      </c>
      <c r="E263">
        <v>2018</v>
      </c>
      <c r="F263">
        <v>15410</v>
      </c>
      <c r="G263">
        <v>11305346</v>
      </c>
      <c r="H263">
        <v>247301</v>
      </c>
      <c r="I263">
        <v>32959350</v>
      </c>
      <c r="J263">
        <v>21893204</v>
      </c>
      <c r="K263">
        <v>101976661</v>
      </c>
      <c r="L263">
        <v>37337991</v>
      </c>
      <c r="M263" t="s">
        <v>1859</v>
      </c>
      <c r="AK263">
        <f>IF(LAM_API_TABLE[[#This Row],[Alternative_Data_Approval_Status]]="Approved",LAM_API_TABLE[[#This Row],[HCL_area_sqft_Alternative]],LAM_API_TABLE[[#This Row],[HCL_area_sqft]])</f>
        <v>15410</v>
      </c>
      <c r="AL263">
        <f>IF(LAM_API_TABLE[[#This Row],[Alternative_Data_Approval_Status]]="Approved",LAM_API_TABLE[[#This Row],[Ag_area_sqft_Alternative]],LAM_API_TABLE[[#This Row],[Ag_area_sqft]])</f>
        <v>11305346</v>
      </c>
      <c r="AM263">
        <f>IF(LAM_API_TABLE[[#This Row],[Alternative_Data_Approval_Status]]="Approved",LAM_API_TABLE[[#This Row],[Pool_area_sqft_Alternative]],LAM_API_TABLE[[#This Row],[Pool_area_sqft]])</f>
        <v>247301</v>
      </c>
      <c r="AN263">
        <f>IF(LAM_API_TABLE[[#This Row],[Alternative_Data_Approval_Status]]="Approved",LAM_API_TABLE[[#This Row],[Total_II_sqft_Alternative]],LAM_API_TABLE[[#This Row],[Total_II_sqft]])</f>
        <v>32959350</v>
      </c>
      <c r="AO263">
        <f>IF(LAM_API_TABLE[[#This Row],[Alternative_Data_Approval_Status]]="Approved",LAM_API_TABLE[[#This Row],[Total_INI_sqft_Alternative]],LAM_API_TABLE[[#This Row],[Total_INI_sqft]])</f>
        <v>21893204</v>
      </c>
      <c r="AP263">
        <f>IF(LAM_API_TABLE[[#This Row],[New_Res_Constr_Approval_Status]]="Approved",LAM_API_TABLE[[#This Row],[New_Res_Constr_sqft]],0)</f>
        <v>0</v>
      </c>
      <c r="AQ263">
        <f>IF(LAM_API_TABLE[[#This Row],[New_Res_Constr_Approval_Status]]="Approved",LAM_API_TABLE[[#This Row],[New_Res_SLA_norec_sqft]],0)</f>
        <v>0</v>
      </c>
      <c r="AR263">
        <f>IF(LAM_API_TABLE[[#This Row],[New_Res_Constr_Approval_Status]]="Approved",LAM_API_TABLE[[#This Row],[New_Res_SLA_rec_sqft]],0)</f>
        <v>0</v>
      </c>
      <c r="AS263">
        <f>IF(LAM_API_TABLE[[#This Row],[Existing_Res_SLA_Data_Approval_Status]]="Approved",LAM_API_TABLE[[#This Row],[Existing_Res_SLA_norec_sqft]],0)</f>
        <v>0</v>
      </c>
      <c r="AT263">
        <f>IF(LAM_API_TABLE[[#This Row],[Existing_Res_SLA_Data_Approval_Status]]="Approved",LAM_API_TABLE[[#This Row],[Existing_Res_SLA_rec_sqft]],0)</f>
        <v>0</v>
      </c>
    </row>
    <row r="264" spans="1:46" x14ac:dyDescent="0.25">
      <c r="A264" t="s">
        <v>1926</v>
      </c>
      <c r="B264" t="s">
        <v>3245</v>
      </c>
      <c r="C264" t="s">
        <v>3246</v>
      </c>
      <c r="D264" t="s">
        <v>3247</v>
      </c>
      <c r="E264">
        <v>2018</v>
      </c>
      <c r="F264">
        <v>30525</v>
      </c>
      <c r="G264">
        <v>22205834</v>
      </c>
      <c r="H264">
        <v>230479</v>
      </c>
      <c r="I264">
        <v>12574676</v>
      </c>
      <c r="J264">
        <v>7314768</v>
      </c>
      <c r="K264">
        <v>54507942</v>
      </c>
      <c r="L264">
        <v>14037630</v>
      </c>
      <c r="M264" t="s">
        <v>1859</v>
      </c>
      <c r="AK264">
        <f>IF(LAM_API_TABLE[[#This Row],[Alternative_Data_Approval_Status]]="Approved",LAM_API_TABLE[[#This Row],[HCL_area_sqft_Alternative]],LAM_API_TABLE[[#This Row],[HCL_area_sqft]])</f>
        <v>30525</v>
      </c>
      <c r="AL264">
        <f>IF(LAM_API_TABLE[[#This Row],[Alternative_Data_Approval_Status]]="Approved",LAM_API_TABLE[[#This Row],[Ag_area_sqft_Alternative]],LAM_API_TABLE[[#This Row],[Ag_area_sqft]])</f>
        <v>22205834</v>
      </c>
      <c r="AM264">
        <f>IF(LAM_API_TABLE[[#This Row],[Alternative_Data_Approval_Status]]="Approved",LAM_API_TABLE[[#This Row],[Pool_area_sqft_Alternative]],LAM_API_TABLE[[#This Row],[Pool_area_sqft]])</f>
        <v>230479</v>
      </c>
      <c r="AN264">
        <f>IF(LAM_API_TABLE[[#This Row],[Alternative_Data_Approval_Status]]="Approved",LAM_API_TABLE[[#This Row],[Total_II_sqft_Alternative]],LAM_API_TABLE[[#This Row],[Total_II_sqft]])</f>
        <v>12574676</v>
      </c>
      <c r="AO264">
        <f>IF(LAM_API_TABLE[[#This Row],[Alternative_Data_Approval_Status]]="Approved",LAM_API_TABLE[[#This Row],[Total_INI_sqft_Alternative]],LAM_API_TABLE[[#This Row],[Total_INI_sqft]])</f>
        <v>7314768</v>
      </c>
      <c r="AP264">
        <f>IF(LAM_API_TABLE[[#This Row],[New_Res_Constr_Approval_Status]]="Approved",LAM_API_TABLE[[#This Row],[New_Res_Constr_sqft]],0)</f>
        <v>0</v>
      </c>
      <c r="AQ264">
        <f>IF(LAM_API_TABLE[[#This Row],[New_Res_Constr_Approval_Status]]="Approved",LAM_API_TABLE[[#This Row],[New_Res_SLA_norec_sqft]],0)</f>
        <v>0</v>
      </c>
      <c r="AR264">
        <f>IF(LAM_API_TABLE[[#This Row],[New_Res_Constr_Approval_Status]]="Approved",LAM_API_TABLE[[#This Row],[New_Res_SLA_rec_sqft]],0)</f>
        <v>0</v>
      </c>
      <c r="AS264">
        <f>IF(LAM_API_TABLE[[#This Row],[Existing_Res_SLA_Data_Approval_Status]]="Approved",LAM_API_TABLE[[#This Row],[Existing_Res_SLA_norec_sqft]],0)</f>
        <v>0</v>
      </c>
      <c r="AT264">
        <f>IF(LAM_API_TABLE[[#This Row],[Existing_Res_SLA_Data_Approval_Status]]="Approved",LAM_API_TABLE[[#This Row],[Existing_Res_SLA_rec_sqft]],0)</f>
        <v>0</v>
      </c>
    </row>
    <row r="265" spans="1:46" x14ac:dyDescent="0.25">
      <c r="A265" t="s">
        <v>1930</v>
      </c>
      <c r="B265" t="s">
        <v>1931</v>
      </c>
      <c r="C265" t="s">
        <v>3248</v>
      </c>
      <c r="D265" t="s">
        <v>3249</v>
      </c>
      <c r="E265">
        <v>2018</v>
      </c>
      <c r="F265">
        <v>41788</v>
      </c>
      <c r="H265">
        <v>301411</v>
      </c>
      <c r="I265">
        <v>61063100</v>
      </c>
      <c r="J265">
        <v>10470132</v>
      </c>
      <c r="K265">
        <v>115399763</v>
      </c>
      <c r="L265">
        <v>63157126</v>
      </c>
      <c r="M265" t="s">
        <v>1859</v>
      </c>
      <c r="AK265">
        <f>IF(LAM_API_TABLE[[#This Row],[Alternative_Data_Approval_Status]]="Approved",LAM_API_TABLE[[#This Row],[HCL_area_sqft_Alternative]],LAM_API_TABLE[[#This Row],[HCL_area_sqft]])</f>
        <v>41788</v>
      </c>
      <c r="AL265">
        <f>IF(LAM_API_TABLE[[#This Row],[Alternative_Data_Approval_Status]]="Approved",LAM_API_TABLE[[#This Row],[Ag_area_sqft_Alternative]],LAM_API_TABLE[[#This Row],[Ag_area_sqft]])</f>
        <v>0</v>
      </c>
      <c r="AM265">
        <f>IF(LAM_API_TABLE[[#This Row],[Alternative_Data_Approval_Status]]="Approved",LAM_API_TABLE[[#This Row],[Pool_area_sqft_Alternative]],LAM_API_TABLE[[#This Row],[Pool_area_sqft]])</f>
        <v>301411</v>
      </c>
      <c r="AN265">
        <f>IF(LAM_API_TABLE[[#This Row],[Alternative_Data_Approval_Status]]="Approved",LAM_API_TABLE[[#This Row],[Total_II_sqft_Alternative]],LAM_API_TABLE[[#This Row],[Total_II_sqft]])</f>
        <v>61063100</v>
      </c>
      <c r="AO265">
        <f>IF(LAM_API_TABLE[[#This Row],[Alternative_Data_Approval_Status]]="Approved",LAM_API_TABLE[[#This Row],[Total_INI_sqft_Alternative]],LAM_API_TABLE[[#This Row],[Total_INI_sqft]])</f>
        <v>10470132</v>
      </c>
      <c r="AP265">
        <f>IF(LAM_API_TABLE[[#This Row],[New_Res_Constr_Approval_Status]]="Approved",LAM_API_TABLE[[#This Row],[New_Res_Constr_sqft]],0)</f>
        <v>0</v>
      </c>
      <c r="AQ265">
        <f>IF(LAM_API_TABLE[[#This Row],[New_Res_Constr_Approval_Status]]="Approved",LAM_API_TABLE[[#This Row],[New_Res_SLA_norec_sqft]],0)</f>
        <v>0</v>
      </c>
      <c r="AR265">
        <f>IF(LAM_API_TABLE[[#This Row],[New_Res_Constr_Approval_Status]]="Approved",LAM_API_TABLE[[#This Row],[New_Res_SLA_rec_sqft]],0)</f>
        <v>0</v>
      </c>
      <c r="AS265">
        <f>IF(LAM_API_TABLE[[#This Row],[Existing_Res_SLA_Data_Approval_Status]]="Approved",LAM_API_TABLE[[#This Row],[Existing_Res_SLA_norec_sqft]],0)</f>
        <v>0</v>
      </c>
      <c r="AT265">
        <f>IF(LAM_API_TABLE[[#This Row],[Existing_Res_SLA_Data_Approval_Status]]="Approved",LAM_API_TABLE[[#This Row],[Existing_Res_SLA_rec_sqft]],0)</f>
        <v>0</v>
      </c>
    </row>
    <row r="266" spans="1:46" x14ac:dyDescent="0.25">
      <c r="A266" t="s">
        <v>1934</v>
      </c>
      <c r="B266" t="s">
        <v>1935</v>
      </c>
      <c r="C266" t="s">
        <v>3250</v>
      </c>
      <c r="D266" t="s">
        <v>3251</v>
      </c>
      <c r="E266">
        <v>2018</v>
      </c>
      <c r="F266">
        <v>1146992</v>
      </c>
      <c r="G266">
        <v>12401109</v>
      </c>
      <c r="H266">
        <v>117122</v>
      </c>
      <c r="I266">
        <v>18173266</v>
      </c>
      <c r="J266">
        <v>84647611</v>
      </c>
      <c r="K266">
        <v>722178982</v>
      </c>
      <c r="L266">
        <v>35102788</v>
      </c>
      <c r="M266" t="s">
        <v>1859</v>
      </c>
      <c r="AK266">
        <f>IF(LAM_API_TABLE[[#This Row],[Alternative_Data_Approval_Status]]="Approved",LAM_API_TABLE[[#This Row],[HCL_area_sqft_Alternative]],LAM_API_TABLE[[#This Row],[HCL_area_sqft]])</f>
        <v>1146992</v>
      </c>
      <c r="AL266">
        <f>IF(LAM_API_TABLE[[#This Row],[Alternative_Data_Approval_Status]]="Approved",LAM_API_TABLE[[#This Row],[Ag_area_sqft_Alternative]],LAM_API_TABLE[[#This Row],[Ag_area_sqft]])</f>
        <v>12401109</v>
      </c>
      <c r="AM266">
        <f>IF(LAM_API_TABLE[[#This Row],[Alternative_Data_Approval_Status]]="Approved",LAM_API_TABLE[[#This Row],[Pool_area_sqft_Alternative]],LAM_API_TABLE[[#This Row],[Pool_area_sqft]])</f>
        <v>117122</v>
      </c>
      <c r="AN266">
        <f>IF(LAM_API_TABLE[[#This Row],[Alternative_Data_Approval_Status]]="Approved",LAM_API_TABLE[[#This Row],[Total_II_sqft_Alternative]],LAM_API_TABLE[[#This Row],[Total_II_sqft]])</f>
        <v>18173266</v>
      </c>
      <c r="AO266">
        <f>IF(LAM_API_TABLE[[#This Row],[Alternative_Data_Approval_Status]]="Approved",LAM_API_TABLE[[#This Row],[Total_INI_sqft_Alternative]],LAM_API_TABLE[[#This Row],[Total_INI_sqft]])</f>
        <v>84647611</v>
      </c>
      <c r="AP266">
        <f>IF(LAM_API_TABLE[[#This Row],[New_Res_Constr_Approval_Status]]="Approved",LAM_API_TABLE[[#This Row],[New_Res_Constr_sqft]],0)</f>
        <v>0</v>
      </c>
      <c r="AQ266">
        <f>IF(LAM_API_TABLE[[#This Row],[New_Res_Constr_Approval_Status]]="Approved",LAM_API_TABLE[[#This Row],[New_Res_SLA_norec_sqft]],0)</f>
        <v>0</v>
      </c>
      <c r="AR266">
        <f>IF(LAM_API_TABLE[[#This Row],[New_Res_Constr_Approval_Status]]="Approved",LAM_API_TABLE[[#This Row],[New_Res_SLA_rec_sqft]],0)</f>
        <v>0</v>
      </c>
      <c r="AS266">
        <f>IF(LAM_API_TABLE[[#This Row],[Existing_Res_SLA_Data_Approval_Status]]="Approved",LAM_API_TABLE[[#This Row],[Existing_Res_SLA_norec_sqft]],0)</f>
        <v>0</v>
      </c>
      <c r="AT266">
        <f>IF(LAM_API_TABLE[[#This Row],[Existing_Res_SLA_Data_Approval_Status]]="Approved",LAM_API_TABLE[[#This Row],[Existing_Res_SLA_rec_sqft]],0)</f>
        <v>0</v>
      </c>
    </row>
    <row r="267" spans="1:46" x14ac:dyDescent="0.25">
      <c r="A267" t="s">
        <v>1938</v>
      </c>
      <c r="B267" t="s">
        <v>3252</v>
      </c>
      <c r="C267" t="s">
        <v>3253</v>
      </c>
      <c r="D267" t="s">
        <v>3254</v>
      </c>
      <c r="E267">
        <v>2018</v>
      </c>
      <c r="F267">
        <v>8711</v>
      </c>
      <c r="H267">
        <v>323227</v>
      </c>
      <c r="I267">
        <v>13241188</v>
      </c>
      <c r="J267">
        <v>7152586</v>
      </c>
      <c r="K267">
        <v>34184979</v>
      </c>
      <c r="L267">
        <v>14671705</v>
      </c>
      <c r="M267" t="s">
        <v>1859</v>
      </c>
      <c r="AK267">
        <f>IF(LAM_API_TABLE[[#This Row],[Alternative_Data_Approval_Status]]="Approved",LAM_API_TABLE[[#This Row],[HCL_area_sqft_Alternative]],LAM_API_TABLE[[#This Row],[HCL_area_sqft]])</f>
        <v>8711</v>
      </c>
      <c r="AL267">
        <f>IF(LAM_API_TABLE[[#This Row],[Alternative_Data_Approval_Status]]="Approved",LAM_API_TABLE[[#This Row],[Ag_area_sqft_Alternative]],LAM_API_TABLE[[#This Row],[Ag_area_sqft]])</f>
        <v>0</v>
      </c>
      <c r="AM267">
        <f>IF(LAM_API_TABLE[[#This Row],[Alternative_Data_Approval_Status]]="Approved",LAM_API_TABLE[[#This Row],[Pool_area_sqft_Alternative]],LAM_API_TABLE[[#This Row],[Pool_area_sqft]])</f>
        <v>323227</v>
      </c>
      <c r="AN267">
        <f>IF(LAM_API_TABLE[[#This Row],[Alternative_Data_Approval_Status]]="Approved",LAM_API_TABLE[[#This Row],[Total_II_sqft_Alternative]],LAM_API_TABLE[[#This Row],[Total_II_sqft]])</f>
        <v>13241188</v>
      </c>
      <c r="AO267">
        <f>IF(LAM_API_TABLE[[#This Row],[Alternative_Data_Approval_Status]]="Approved",LAM_API_TABLE[[#This Row],[Total_INI_sqft_Alternative]],LAM_API_TABLE[[#This Row],[Total_INI_sqft]])</f>
        <v>7152586</v>
      </c>
      <c r="AP267">
        <f>IF(LAM_API_TABLE[[#This Row],[New_Res_Constr_Approval_Status]]="Approved",LAM_API_TABLE[[#This Row],[New_Res_Constr_sqft]],0)</f>
        <v>0</v>
      </c>
      <c r="AQ267">
        <f>IF(LAM_API_TABLE[[#This Row],[New_Res_Constr_Approval_Status]]="Approved",LAM_API_TABLE[[#This Row],[New_Res_SLA_norec_sqft]],0)</f>
        <v>0</v>
      </c>
      <c r="AR267">
        <f>IF(LAM_API_TABLE[[#This Row],[New_Res_Constr_Approval_Status]]="Approved",LAM_API_TABLE[[#This Row],[New_Res_SLA_rec_sqft]],0)</f>
        <v>0</v>
      </c>
      <c r="AS267">
        <f>IF(LAM_API_TABLE[[#This Row],[Existing_Res_SLA_Data_Approval_Status]]="Approved",LAM_API_TABLE[[#This Row],[Existing_Res_SLA_norec_sqft]],0)</f>
        <v>0</v>
      </c>
      <c r="AT267">
        <f>IF(LAM_API_TABLE[[#This Row],[Existing_Res_SLA_Data_Approval_Status]]="Approved",LAM_API_TABLE[[#This Row],[Existing_Res_SLA_rec_sqft]],0)</f>
        <v>0</v>
      </c>
    </row>
    <row r="268" spans="1:46" x14ac:dyDescent="0.25">
      <c r="A268" t="s">
        <v>1942</v>
      </c>
      <c r="B268" t="s">
        <v>1943</v>
      </c>
      <c r="C268" t="s">
        <v>3255</v>
      </c>
      <c r="D268" t="s">
        <v>3256</v>
      </c>
      <c r="E268">
        <v>2018</v>
      </c>
      <c r="H268">
        <v>149543</v>
      </c>
      <c r="I268">
        <v>8138901</v>
      </c>
      <c r="J268">
        <v>3546888</v>
      </c>
      <c r="K268">
        <v>19506337</v>
      </c>
      <c r="L268">
        <v>8848279</v>
      </c>
      <c r="M268" t="s">
        <v>1859</v>
      </c>
      <c r="AK268">
        <f>IF(LAM_API_TABLE[[#This Row],[Alternative_Data_Approval_Status]]="Approved",LAM_API_TABLE[[#This Row],[HCL_area_sqft_Alternative]],LAM_API_TABLE[[#This Row],[HCL_area_sqft]])</f>
        <v>0</v>
      </c>
      <c r="AL268">
        <f>IF(LAM_API_TABLE[[#This Row],[Alternative_Data_Approval_Status]]="Approved",LAM_API_TABLE[[#This Row],[Ag_area_sqft_Alternative]],LAM_API_TABLE[[#This Row],[Ag_area_sqft]])</f>
        <v>0</v>
      </c>
      <c r="AM268">
        <f>IF(LAM_API_TABLE[[#This Row],[Alternative_Data_Approval_Status]]="Approved",LAM_API_TABLE[[#This Row],[Pool_area_sqft_Alternative]],LAM_API_TABLE[[#This Row],[Pool_area_sqft]])</f>
        <v>149543</v>
      </c>
      <c r="AN268">
        <f>IF(LAM_API_TABLE[[#This Row],[Alternative_Data_Approval_Status]]="Approved",LAM_API_TABLE[[#This Row],[Total_II_sqft_Alternative]],LAM_API_TABLE[[#This Row],[Total_II_sqft]])</f>
        <v>8138901</v>
      </c>
      <c r="AO268">
        <f>IF(LAM_API_TABLE[[#This Row],[Alternative_Data_Approval_Status]]="Approved",LAM_API_TABLE[[#This Row],[Total_INI_sqft_Alternative]],LAM_API_TABLE[[#This Row],[Total_INI_sqft]])</f>
        <v>3546888</v>
      </c>
      <c r="AP268">
        <f>IF(LAM_API_TABLE[[#This Row],[New_Res_Constr_Approval_Status]]="Approved",LAM_API_TABLE[[#This Row],[New_Res_Constr_sqft]],0)</f>
        <v>0</v>
      </c>
      <c r="AQ268">
        <f>IF(LAM_API_TABLE[[#This Row],[New_Res_Constr_Approval_Status]]="Approved",LAM_API_TABLE[[#This Row],[New_Res_SLA_norec_sqft]],0)</f>
        <v>0</v>
      </c>
      <c r="AR268">
        <f>IF(LAM_API_TABLE[[#This Row],[New_Res_Constr_Approval_Status]]="Approved",LAM_API_TABLE[[#This Row],[New_Res_SLA_rec_sqft]],0)</f>
        <v>0</v>
      </c>
      <c r="AS268">
        <f>IF(LAM_API_TABLE[[#This Row],[Existing_Res_SLA_Data_Approval_Status]]="Approved",LAM_API_TABLE[[#This Row],[Existing_Res_SLA_norec_sqft]],0)</f>
        <v>0</v>
      </c>
      <c r="AT268">
        <f>IF(LAM_API_TABLE[[#This Row],[Existing_Res_SLA_Data_Approval_Status]]="Approved",LAM_API_TABLE[[#This Row],[Existing_Res_SLA_rec_sqft]],0)</f>
        <v>0</v>
      </c>
    </row>
    <row r="269" spans="1:46" x14ac:dyDescent="0.25">
      <c r="A269" t="s">
        <v>1946</v>
      </c>
      <c r="B269" t="s">
        <v>3257</v>
      </c>
      <c r="C269" t="s">
        <v>3258</v>
      </c>
      <c r="D269" t="s">
        <v>3259</v>
      </c>
      <c r="E269">
        <v>2018</v>
      </c>
      <c r="H269">
        <v>13387</v>
      </c>
      <c r="I269">
        <v>8111222</v>
      </c>
      <c r="J269">
        <v>2591673</v>
      </c>
      <c r="K269">
        <v>27553271</v>
      </c>
      <c r="L269">
        <v>8629557</v>
      </c>
      <c r="M269" t="s">
        <v>1859</v>
      </c>
      <c r="AK269">
        <f>IF(LAM_API_TABLE[[#This Row],[Alternative_Data_Approval_Status]]="Approved",LAM_API_TABLE[[#This Row],[HCL_area_sqft_Alternative]],LAM_API_TABLE[[#This Row],[HCL_area_sqft]])</f>
        <v>0</v>
      </c>
      <c r="AL269">
        <f>IF(LAM_API_TABLE[[#This Row],[Alternative_Data_Approval_Status]]="Approved",LAM_API_TABLE[[#This Row],[Ag_area_sqft_Alternative]],LAM_API_TABLE[[#This Row],[Ag_area_sqft]])</f>
        <v>0</v>
      </c>
      <c r="AM269">
        <f>IF(LAM_API_TABLE[[#This Row],[Alternative_Data_Approval_Status]]="Approved",LAM_API_TABLE[[#This Row],[Pool_area_sqft_Alternative]],LAM_API_TABLE[[#This Row],[Pool_area_sqft]])</f>
        <v>13387</v>
      </c>
      <c r="AN269">
        <f>IF(LAM_API_TABLE[[#This Row],[Alternative_Data_Approval_Status]]="Approved",LAM_API_TABLE[[#This Row],[Total_II_sqft_Alternative]],LAM_API_TABLE[[#This Row],[Total_II_sqft]])</f>
        <v>8111222</v>
      </c>
      <c r="AO269">
        <f>IF(LAM_API_TABLE[[#This Row],[Alternative_Data_Approval_Status]]="Approved",LAM_API_TABLE[[#This Row],[Total_INI_sqft_Alternative]],LAM_API_TABLE[[#This Row],[Total_INI_sqft]])</f>
        <v>2591673</v>
      </c>
      <c r="AP269">
        <f>IF(LAM_API_TABLE[[#This Row],[New_Res_Constr_Approval_Status]]="Approved",LAM_API_TABLE[[#This Row],[New_Res_Constr_sqft]],0)</f>
        <v>0</v>
      </c>
      <c r="AQ269">
        <f>IF(LAM_API_TABLE[[#This Row],[New_Res_Constr_Approval_Status]]="Approved",LAM_API_TABLE[[#This Row],[New_Res_SLA_norec_sqft]],0)</f>
        <v>0</v>
      </c>
      <c r="AR269">
        <f>IF(LAM_API_TABLE[[#This Row],[New_Res_Constr_Approval_Status]]="Approved",LAM_API_TABLE[[#This Row],[New_Res_SLA_rec_sqft]],0)</f>
        <v>0</v>
      </c>
      <c r="AS269">
        <f>IF(LAM_API_TABLE[[#This Row],[Existing_Res_SLA_Data_Approval_Status]]="Approved",LAM_API_TABLE[[#This Row],[Existing_Res_SLA_norec_sqft]],0)</f>
        <v>0</v>
      </c>
      <c r="AT269">
        <f>IF(LAM_API_TABLE[[#This Row],[Existing_Res_SLA_Data_Approval_Status]]="Approved",LAM_API_TABLE[[#This Row],[Existing_Res_SLA_rec_sqft]],0)</f>
        <v>0</v>
      </c>
    </row>
    <row r="270" spans="1:46" x14ac:dyDescent="0.25">
      <c r="A270" t="s">
        <v>1950</v>
      </c>
      <c r="B270" t="s">
        <v>1951</v>
      </c>
      <c r="C270" t="s">
        <v>3260</v>
      </c>
      <c r="D270" t="s">
        <v>3261</v>
      </c>
      <c r="E270">
        <v>2018</v>
      </c>
      <c r="H270">
        <v>259498</v>
      </c>
      <c r="I270">
        <v>28829640</v>
      </c>
      <c r="J270">
        <v>21641396</v>
      </c>
      <c r="K270">
        <v>94959000</v>
      </c>
      <c r="L270">
        <v>33157919</v>
      </c>
      <c r="M270" t="s">
        <v>1859</v>
      </c>
      <c r="AK270">
        <f>IF(LAM_API_TABLE[[#This Row],[Alternative_Data_Approval_Status]]="Approved",LAM_API_TABLE[[#This Row],[HCL_area_sqft_Alternative]],LAM_API_TABLE[[#This Row],[HCL_area_sqft]])</f>
        <v>0</v>
      </c>
      <c r="AL270">
        <f>IF(LAM_API_TABLE[[#This Row],[Alternative_Data_Approval_Status]]="Approved",LAM_API_TABLE[[#This Row],[Ag_area_sqft_Alternative]],LAM_API_TABLE[[#This Row],[Ag_area_sqft]])</f>
        <v>0</v>
      </c>
      <c r="AM270">
        <f>IF(LAM_API_TABLE[[#This Row],[Alternative_Data_Approval_Status]]="Approved",LAM_API_TABLE[[#This Row],[Pool_area_sqft_Alternative]],LAM_API_TABLE[[#This Row],[Pool_area_sqft]])</f>
        <v>259498</v>
      </c>
      <c r="AN270">
        <f>IF(LAM_API_TABLE[[#This Row],[Alternative_Data_Approval_Status]]="Approved",LAM_API_TABLE[[#This Row],[Total_II_sqft_Alternative]],LAM_API_TABLE[[#This Row],[Total_II_sqft]])</f>
        <v>28829640</v>
      </c>
      <c r="AO270">
        <f>IF(LAM_API_TABLE[[#This Row],[Alternative_Data_Approval_Status]]="Approved",LAM_API_TABLE[[#This Row],[Total_INI_sqft_Alternative]],LAM_API_TABLE[[#This Row],[Total_INI_sqft]])</f>
        <v>21641396</v>
      </c>
      <c r="AP270">
        <f>IF(LAM_API_TABLE[[#This Row],[New_Res_Constr_Approval_Status]]="Approved",LAM_API_TABLE[[#This Row],[New_Res_Constr_sqft]],0)</f>
        <v>0</v>
      </c>
      <c r="AQ270">
        <f>IF(LAM_API_TABLE[[#This Row],[New_Res_Constr_Approval_Status]]="Approved",LAM_API_TABLE[[#This Row],[New_Res_SLA_norec_sqft]],0)</f>
        <v>0</v>
      </c>
      <c r="AR270">
        <f>IF(LAM_API_TABLE[[#This Row],[New_Res_Constr_Approval_Status]]="Approved",LAM_API_TABLE[[#This Row],[New_Res_SLA_rec_sqft]],0)</f>
        <v>0</v>
      </c>
      <c r="AS270">
        <f>IF(LAM_API_TABLE[[#This Row],[Existing_Res_SLA_Data_Approval_Status]]="Approved",LAM_API_TABLE[[#This Row],[Existing_Res_SLA_norec_sqft]],0)</f>
        <v>0</v>
      </c>
      <c r="AT270">
        <f>IF(LAM_API_TABLE[[#This Row],[Existing_Res_SLA_Data_Approval_Status]]="Approved",LAM_API_TABLE[[#This Row],[Existing_Res_SLA_rec_sqft]],0)</f>
        <v>0</v>
      </c>
    </row>
    <row r="271" spans="1:46" x14ac:dyDescent="0.25">
      <c r="A271" t="s">
        <v>1954</v>
      </c>
      <c r="B271" t="s">
        <v>3262</v>
      </c>
      <c r="C271" t="s">
        <v>3263</v>
      </c>
      <c r="D271" t="s">
        <v>3264</v>
      </c>
      <c r="E271">
        <v>2018</v>
      </c>
      <c r="F271">
        <v>310928</v>
      </c>
      <c r="G271">
        <v>16520799</v>
      </c>
      <c r="H271">
        <v>2073289</v>
      </c>
      <c r="I271">
        <v>176324311</v>
      </c>
      <c r="J271">
        <v>70984698</v>
      </c>
      <c r="K271">
        <v>451575723</v>
      </c>
      <c r="L271">
        <v>190521251</v>
      </c>
      <c r="M271" t="s">
        <v>1859</v>
      </c>
      <c r="AK271">
        <f>IF(LAM_API_TABLE[[#This Row],[Alternative_Data_Approval_Status]]="Approved",LAM_API_TABLE[[#This Row],[HCL_area_sqft_Alternative]],LAM_API_TABLE[[#This Row],[HCL_area_sqft]])</f>
        <v>310928</v>
      </c>
      <c r="AL271">
        <f>IF(LAM_API_TABLE[[#This Row],[Alternative_Data_Approval_Status]]="Approved",LAM_API_TABLE[[#This Row],[Ag_area_sqft_Alternative]],LAM_API_TABLE[[#This Row],[Ag_area_sqft]])</f>
        <v>16520799</v>
      </c>
      <c r="AM271">
        <f>IF(LAM_API_TABLE[[#This Row],[Alternative_Data_Approval_Status]]="Approved",LAM_API_TABLE[[#This Row],[Pool_area_sqft_Alternative]],LAM_API_TABLE[[#This Row],[Pool_area_sqft]])</f>
        <v>2073289</v>
      </c>
      <c r="AN271">
        <f>IF(LAM_API_TABLE[[#This Row],[Alternative_Data_Approval_Status]]="Approved",LAM_API_TABLE[[#This Row],[Total_II_sqft_Alternative]],LAM_API_TABLE[[#This Row],[Total_II_sqft]])</f>
        <v>176324311</v>
      </c>
      <c r="AO271">
        <f>IF(LAM_API_TABLE[[#This Row],[Alternative_Data_Approval_Status]]="Approved",LAM_API_TABLE[[#This Row],[Total_INI_sqft_Alternative]],LAM_API_TABLE[[#This Row],[Total_INI_sqft]])</f>
        <v>70984698</v>
      </c>
      <c r="AP271">
        <f>IF(LAM_API_TABLE[[#This Row],[New_Res_Constr_Approval_Status]]="Approved",LAM_API_TABLE[[#This Row],[New_Res_Constr_sqft]],0)</f>
        <v>0</v>
      </c>
      <c r="AQ271">
        <f>IF(LAM_API_TABLE[[#This Row],[New_Res_Constr_Approval_Status]]="Approved",LAM_API_TABLE[[#This Row],[New_Res_SLA_norec_sqft]],0)</f>
        <v>0</v>
      </c>
      <c r="AR271">
        <f>IF(LAM_API_TABLE[[#This Row],[New_Res_Constr_Approval_Status]]="Approved",LAM_API_TABLE[[#This Row],[New_Res_SLA_rec_sqft]],0)</f>
        <v>0</v>
      </c>
      <c r="AS271">
        <f>IF(LAM_API_TABLE[[#This Row],[Existing_Res_SLA_Data_Approval_Status]]="Approved",LAM_API_TABLE[[#This Row],[Existing_Res_SLA_norec_sqft]],0)</f>
        <v>0</v>
      </c>
      <c r="AT271">
        <f>IF(LAM_API_TABLE[[#This Row],[Existing_Res_SLA_Data_Approval_Status]]="Approved",LAM_API_TABLE[[#This Row],[Existing_Res_SLA_rec_sqft]],0)</f>
        <v>0</v>
      </c>
    </row>
    <row r="272" spans="1:46" x14ac:dyDescent="0.25">
      <c r="A272" t="s">
        <v>1970</v>
      </c>
      <c r="B272" t="s">
        <v>1971</v>
      </c>
      <c r="C272" t="s">
        <v>3265</v>
      </c>
      <c r="D272" t="s">
        <v>3266</v>
      </c>
      <c r="E272">
        <v>2020</v>
      </c>
      <c r="F272">
        <v>185693</v>
      </c>
      <c r="G272">
        <v>1693100</v>
      </c>
      <c r="H272">
        <v>2155308</v>
      </c>
      <c r="I272">
        <v>89955082</v>
      </c>
      <c r="J272">
        <v>21896320</v>
      </c>
      <c r="K272">
        <v>195779905</v>
      </c>
      <c r="L272">
        <v>94334346</v>
      </c>
      <c r="M272" t="s">
        <v>1859</v>
      </c>
      <c r="AK272">
        <f>IF(LAM_API_TABLE[[#This Row],[Alternative_Data_Approval_Status]]="Approved",LAM_API_TABLE[[#This Row],[HCL_area_sqft_Alternative]],LAM_API_TABLE[[#This Row],[HCL_area_sqft]])</f>
        <v>185693</v>
      </c>
      <c r="AL272">
        <f>IF(LAM_API_TABLE[[#This Row],[Alternative_Data_Approval_Status]]="Approved",LAM_API_TABLE[[#This Row],[Ag_area_sqft_Alternative]],LAM_API_TABLE[[#This Row],[Ag_area_sqft]])</f>
        <v>1693100</v>
      </c>
      <c r="AM272">
        <f>IF(LAM_API_TABLE[[#This Row],[Alternative_Data_Approval_Status]]="Approved",LAM_API_TABLE[[#This Row],[Pool_area_sqft_Alternative]],LAM_API_TABLE[[#This Row],[Pool_area_sqft]])</f>
        <v>2155308</v>
      </c>
      <c r="AN272">
        <f>IF(LAM_API_TABLE[[#This Row],[Alternative_Data_Approval_Status]]="Approved",LAM_API_TABLE[[#This Row],[Total_II_sqft_Alternative]],LAM_API_TABLE[[#This Row],[Total_II_sqft]])</f>
        <v>89955082</v>
      </c>
      <c r="AO272">
        <f>IF(LAM_API_TABLE[[#This Row],[Alternative_Data_Approval_Status]]="Approved",LAM_API_TABLE[[#This Row],[Total_INI_sqft_Alternative]],LAM_API_TABLE[[#This Row],[Total_INI_sqft]])</f>
        <v>21896320</v>
      </c>
      <c r="AP272">
        <f>IF(LAM_API_TABLE[[#This Row],[New_Res_Constr_Approval_Status]]="Approved",LAM_API_TABLE[[#This Row],[New_Res_Constr_sqft]],0)</f>
        <v>0</v>
      </c>
      <c r="AQ272">
        <f>IF(LAM_API_TABLE[[#This Row],[New_Res_Constr_Approval_Status]]="Approved",LAM_API_TABLE[[#This Row],[New_Res_SLA_norec_sqft]],0)</f>
        <v>0</v>
      </c>
      <c r="AR272">
        <f>IF(LAM_API_TABLE[[#This Row],[New_Res_Constr_Approval_Status]]="Approved",LAM_API_TABLE[[#This Row],[New_Res_SLA_rec_sqft]],0)</f>
        <v>0</v>
      </c>
      <c r="AS272">
        <f>IF(LAM_API_TABLE[[#This Row],[Existing_Res_SLA_Data_Approval_Status]]="Approved",LAM_API_TABLE[[#This Row],[Existing_Res_SLA_norec_sqft]],0)</f>
        <v>0</v>
      </c>
      <c r="AT272">
        <f>IF(LAM_API_TABLE[[#This Row],[Existing_Res_SLA_Data_Approval_Status]]="Approved",LAM_API_TABLE[[#This Row],[Existing_Res_SLA_rec_sqft]],0)</f>
        <v>0</v>
      </c>
    </row>
    <row r="273" spans="1:46" x14ac:dyDescent="0.25">
      <c r="A273" t="s">
        <v>1974</v>
      </c>
      <c r="B273" t="s">
        <v>1975</v>
      </c>
      <c r="C273" t="s">
        <v>3267</v>
      </c>
      <c r="D273" t="s">
        <v>3268</v>
      </c>
      <c r="E273">
        <v>2018</v>
      </c>
      <c r="H273">
        <v>1032969</v>
      </c>
      <c r="I273">
        <v>51257305</v>
      </c>
      <c r="J273">
        <v>45271101</v>
      </c>
      <c r="K273">
        <v>150733710</v>
      </c>
      <c r="L273">
        <v>60311525</v>
      </c>
      <c r="M273" t="s">
        <v>1859</v>
      </c>
      <c r="AK273">
        <f>IF(LAM_API_TABLE[[#This Row],[Alternative_Data_Approval_Status]]="Approved",LAM_API_TABLE[[#This Row],[HCL_area_sqft_Alternative]],LAM_API_TABLE[[#This Row],[HCL_area_sqft]])</f>
        <v>0</v>
      </c>
      <c r="AL273">
        <f>IF(LAM_API_TABLE[[#This Row],[Alternative_Data_Approval_Status]]="Approved",LAM_API_TABLE[[#This Row],[Ag_area_sqft_Alternative]],LAM_API_TABLE[[#This Row],[Ag_area_sqft]])</f>
        <v>0</v>
      </c>
      <c r="AM273">
        <f>IF(LAM_API_TABLE[[#This Row],[Alternative_Data_Approval_Status]]="Approved",LAM_API_TABLE[[#This Row],[Pool_area_sqft_Alternative]],LAM_API_TABLE[[#This Row],[Pool_area_sqft]])</f>
        <v>1032969</v>
      </c>
      <c r="AN273">
        <f>IF(LAM_API_TABLE[[#This Row],[Alternative_Data_Approval_Status]]="Approved",LAM_API_TABLE[[#This Row],[Total_II_sqft_Alternative]],LAM_API_TABLE[[#This Row],[Total_II_sqft]])</f>
        <v>51257305</v>
      </c>
      <c r="AO273">
        <f>IF(LAM_API_TABLE[[#This Row],[Alternative_Data_Approval_Status]]="Approved",LAM_API_TABLE[[#This Row],[Total_INI_sqft_Alternative]],LAM_API_TABLE[[#This Row],[Total_INI_sqft]])</f>
        <v>45271101</v>
      </c>
      <c r="AP273">
        <f>IF(LAM_API_TABLE[[#This Row],[New_Res_Constr_Approval_Status]]="Approved",LAM_API_TABLE[[#This Row],[New_Res_Constr_sqft]],0)</f>
        <v>0</v>
      </c>
      <c r="AQ273">
        <f>IF(LAM_API_TABLE[[#This Row],[New_Res_Constr_Approval_Status]]="Approved",LAM_API_TABLE[[#This Row],[New_Res_SLA_norec_sqft]],0)</f>
        <v>0</v>
      </c>
      <c r="AR273">
        <f>IF(LAM_API_TABLE[[#This Row],[New_Res_Constr_Approval_Status]]="Approved",LAM_API_TABLE[[#This Row],[New_Res_SLA_rec_sqft]],0)</f>
        <v>0</v>
      </c>
      <c r="AS273">
        <f>IF(LAM_API_TABLE[[#This Row],[Existing_Res_SLA_Data_Approval_Status]]="Approved",LAM_API_TABLE[[#This Row],[Existing_Res_SLA_norec_sqft]],0)</f>
        <v>0</v>
      </c>
      <c r="AT273">
        <f>IF(LAM_API_TABLE[[#This Row],[Existing_Res_SLA_Data_Approval_Status]]="Approved",LAM_API_TABLE[[#This Row],[Existing_Res_SLA_rec_sqft]],0)</f>
        <v>0</v>
      </c>
    </row>
    <row r="274" spans="1:46" x14ac:dyDescent="0.25">
      <c r="A274" t="s">
        <v>1978</v>
      </c>
      <c r="B274" t="s">
        <v>1979</v>
      </c>
      <c r="C274" t="s">
        <v>3269</v>
      </c>
      <c r="D274" t="s">
        <v>3270</v>
      </c>
      <c r="E274">
        <v>2018</v>
      </c>
      <c r="H274">
        <v>45</v>
      </c>
      <c r="I274">
        <v>4574867</v>
      </c>
      <c r="J274">
        <v>1767150</v>
      </c>
      <c r="K274">
        <v>15365832</v>
      </c>
      <c r="L274">
        <v>4928297</v>
      </c>
      <c r="M274" t="s">
        <v>1859</v>
      </c>
      <c r="AK274">
        <f>IF(LAM_API_TABLE[[#This Row],[Alternative_Data_Approval_Status]]="Approved",LAM_API_TABLE[[#This Row],[HCL_area_sqft_Alternative]],LAM_API_TABLE[[#This Row],[HCL_area_sqft]])</f>
        <v>0</v>
      </c>
      <c r="AL274">
        <f>IF(LAM_API_TABLE[[#This Row],[Alternative_Data_Approval_Status]]="Approved",LAM_API_TABLE[[#This Row],[Ag_area_sqft_Alternative]],LAM_API_TABLE[[#This Row],[Ag_area_sqft]])</f>
        <v>0</v>
      </c>
      <c r="AM274">
        <f>IF(LAM_API_TABLE[[#This Row],[Alternative_Data_Approval_Status]]="Approved",LAM_API_TABLE[[#This Row],[Pool_area_sqft_Alternative]],LAM_API_TABLE[[#This Row],[Pool_area_sqft]])</f>
        <v>45</v>
      </c>
      <c r="AN274">
        <f>IF(LAM_API_TABLE[[#This Row],[Alternative_Data_Approval_Status]]="Approved",LAM_API_TABLE[[#This Row],[Total_II_sqft_Alternative]],LAM_API_TABLE[[#This Row],[Total_II_sqft]])</f>
        <v>4574867</v>
      </c>
      <c r="AO274">
        <f>IF(LAM_API_TABLE[[#This Row],[Alternative_Data_Approval_Status]]="Approved",LAM_API_TABLE[[#This Row],[Total_INI_sqft_Alternative]],LAM_API_TABLE[[#This Row],[Total_INI_sqft]])</f>
        <v>1767150</v>
      </c>
      <c r="AP274">
        <f>IF(LAM_API_TABLE[[#This Row],[New_Res_Constr_Approval_Status]]="Approved",LAM_API_TABLE[[#This Row],[New_Res_Constr_sqft]],0)</f>
        <v>0</v>
      </c>
      <c r="AQ274">
        <f>IF(LAM_API_TABLE[[#This Row],[New_Res_Constr_Approval_Status]]="Approved",LAM_API_TABLE[[#This Row],[New_Res_SLA_norec_sqft]],0)</f>
        <v>0</v>
      </c>
      <c r="AR274">
        <f>IF(LAM_API_TABLE[[#This Row],[New_Res_Constr_Approval_Status]]="Approved",LAM_API_TABLE[[#This Row],[New_Res_SLA_rec_sqft]],0)</f>
        <v>0</v>
      </c>
      <c r="AS274">
        <f>IF(LAM_API_TABLE[[#This Row],[Existing_Res_SLA_Data_Approval_Status]]="Approved",LAM_API_TABLE[[#This Row],[Existing_Res_SLA_norec_sqft]],0)</f>
        <v>0</v>
      </c>
      <c r="AT274">
        <f>IF(LAM_API_TABLE[[#This Row],[Existing_Res_SLA_Data_Approval_Status]]="Approved",LAM_API_TABLE[[#This Row],[Existing_Res_SLA_rec_sqft]],0)</f>
        <v>0</v>
      </c>
    </row>
    <row r="275" spans="1:46" x14ac:dyDescent="0.25">
      <c r="A275" t="s">
        <v>1982</v>
      </c>
      <c r="B275" t="s">
        <v>1983</v>
      </c>
      <c r="C275" t="s">
        <v>3271</v>
      </c>
      <c r="D275" t="s">
        <v>3272</v>
      </c>
      <c r="E275">
        <v>2018</v>
      </c>
      <c r="F275">
        <v>147626</v>
      </c>
      <c r="G275">
        <v>42564648</v>
      </c>
      <c r="H275">
        <v>1006786</v>
      </c>
      <c r="I275">
        <v>54811465</v>
      </c>
      <c r="J275">
        <v>42442778</v>
      </c>
      <c r="K275">
        <v>216301106</v>
      </c>
      <c r="L275">
        <v>63300021</v>
      </c>
      <c r="M275" t="s">
        <v>1859</v>
      </c>
      <c r="AK275">
        <f>IF(LAM_API_TABLE[[#This Row],[Alternative_Data_Approval_Status]]="Approved",LAM_API_TABLE[[#This Row],[HCL_area_sqft_Alternative]],LAM_API_TABLE[[#This Row],[HCL_area_sqft]])</f>
        <v>147626</v>
      </c>
      <c r="AL275">
        <f>IF(LAM_API_TABLE[[#This Row],[Alternative_Data_Approval_Status]]="Approved",LAM_API_TABLE[[#This Row],[Ag_area_sqft_Alternative]],LAM_API_TABLE[[#This Row],[Ag_area_sqft]])</f>
        <v>42564648</v>
      </c>
      <c r="AM275">
        <f>IF(LAM_API_TABLE[[#This Row],[Alternative_Data_Approval_Status]]="Approved",LAM_API_TABLE[[#This Row],[Pool_area_sqft_Alternative]],LAM_API_TABLE[[#This Row],[Pool_area_sqft]])</f>
        <v>1006786</v>
      </c>
      <c r="AN275">
        <f>IF(LAM_API_TABLE[[#This Row],[Alternative_Data_Approval_Status]]="Approved",LAM_API_TABLE[[#This Row],[Total_II_sqft_Alternative]],LAM_API_TABLE[[#This Row],[Total_II_sqft]])</f>
        <v>54811465</v>
      </c>
      <c r="AO275">
        <f>IF(LAM_API_TABLE[[#This Row],[Alternative_Data_Approval_Status]]="Approved",LAM_API_TABLE[[#This Row],[Total_INI_sqft_Alternative]],LAM_API_TABLE[[#This Row],[Total_INI_sqft]])</f>
        <v>42442778</v>
      </c>
      <c r="AP275">
        <f>IF(LAM_API_TABLE[[#This Row],[New_Res_Constr_Approval_Status]]="Approved",LAM_API_TABLE[[#This Row],[New_Res_Constr_sqft]],0)</f>
        <v>0</v>
      </c>
      <c r="AQ275">
        <f>IF(LAM_API_TABLE[[#This Row],[New_Res_Constr_Approval_Status]]="Approved",LAM_API_TABLE[[#This Row],[New_Res_SLA_norec_sqft]],0)</f>
        <v>0</v>
      </c>
      <c r="AR275">
        <f>IF(LAM_API_TABLE[[#This Row],[New_Res_Constr_Approval_Status]]="Approved",LAM_API_TABLE[[#This Row],[New_Res_SLA_rec_sqft]],0)</f>
        <v>0</v>
      </c>
      <c r="AS275">
        <f>IF(LAM_API_TABLE[[#This Row],[Existing_Res_SLA_Data_Approval_Status]]="Approved",LAM_API_TABLE[[#This Row],[Existing_Res_SLA_norec_sqft]],0)</f>
        <v>0</v>
      </c>
      <c r="AT275">
        <f>IF(LAM_API_TABLE[[#This Row],[Existing_Res_SLA_Data_Approval_Status]]="Approved",LAM_API_TABLE[[#This Row],[Existing_Res_SLA_rec_sqft]],0)</f>
        <v>0</v>
      </c>
    </row>
    <row r="276" spans="1:46" x14ac:dyDescent="0.25">
      <c r="A276" t="s">
        <v>1986</v>
      </c>
      <c r="B276" t="s">
        <v>3273</v>
      </c>
      <c r="C276" t="s">
        <v>3274</v>
      </c>
      <c r="D276" t="s">
        <v>3275</v>
      </c>
      <c r="E276">
        <v>2018</v>
      </c>
      <c r="F276">
        <v>766067</v>
      </c>
      <c r="G276">
        <v>5753273</v>
      </c>
      <c r="H276">
        <v>2563259</v>
      </c>
      <c r="I276">
        <v>76147471</v>
      </c>
      <c r="J276">
        <v>91593739</v>
      </c>
      <c r="K276">
        <v>263236868</v>
      </c>
      <c r="L276">
        <v>94466219</v>
      </c>
      <c r="M276" t="s">
        <v>1859</v>
      </c>
      <c r="AK276">
        <f>IF(LAM_API_TABLE[[#This Row],[Alternative_Data_Approval_Status]]="Approved",LAM_API_TABLE[[#This Row],[HCL_area_sqft_Alternative]],LAM_API_TABLE[[#This Row],[HCL_area_sqft]])</f>
        <v>766067</v>
      </c>
      <c r="AL276">
        <f>IF(LAM_API_TABLE[[#This Row],[Alternative_Data_Approval_Status]]="Approved",LAM_API_TABLE[[#This Row],[Ag_area_sqft_Alternative]],LAM_API_TABLE[[#This Row],[Ag_area_sqft]])</f>
        <v>5753273</v>
      </c>
      <c r="AM276">
        <f>IF(LAM_API_TABLE[[#This Row],[Alternative_Data_Approval_Status]]="Approved",LAM_API_TABLE[[#This Row],[Pool_area_sqft_Alternative]],LAM_API_TABLE[[#This Row],[Pool_area_sqft]])</f>
        <v>2563259</v>
      </c>
      <c r="AN276">
        <f>IF(LAM_API_TABLE[[#This Row],[Alternative_Data_Approval_Status]]="Approved",LAM_API_TABLE[[#This Row],[Total_II_sqft_Alternative]],LAM_API_TABLE[[#This Row],[Total_II_sqft]])</f>
        <v>76147471</v>
      </c>
      <c r="AO276">
        <f>IF(LAM_API_TABLE[[#This Row],[Alternative_Data_Approval_Status]]="Approved",LAM_API_TABLE[[#This Row],[Total_INI_sqft_Alternative]],LAM_API_TABLE[[#This Row],[Total_INI_sqft]])</f>
        <v>91593739</v>
      </c>
      <c r="AP276">
        <f>IF(LAM_API_TABLE[[#This Row],[New_Res_Constr_Approval_Status]]="Approved",LAM_API_TABLE[[#This Row],[New_Res_Constr_sqft]],0)</f>
        <v>0</v>
      </c>
      <c r="AQ276">
        <f>IF(LAM_API_TABLE[[#This Row],[New_Res_Constr_Approval_Status]]="Approved",LAM_API_TABLE[[#This Row],[New_Res_SLA_norec_sqft]],0)</f>
        <v>0</v>
      </c>
      <c r="AR276">
        <f>IF(LAM_API_TABLE[[#This Row],[New_Res_Constr_Approval_Status]]="Approved",LAM_API_TABLE[[#This Row],[New_Res_SLA_rec_sqft]],0)</f>
        <v>0</v>
      </c>
      <c r="AS276">
        <f>IF(LAM_API_TABLE[[#This Row],[Existing_Res_SLA_Data_Approval_Status]]="Approved",LAM_API_TABLE[[#This Row],[Existing_Res_SLA_norec_sqft]],0)</f>
        <v>0</v>
      </c>
      <c r="AT276">
        <f>IF(LAM_API_TABLE[[#This Row],[Existing_Res_SLA_Data_Approval_Status]]="Approved",LAM_API_TABLE[[#This Row],[Existing_Res_SLA_rec_sqft]],0)</f>
        <v>0</v>
      </c>
    </row>
    <row r="277" spans="1:46" x14ac:dyDescent="0.25">
      <c r="A277" t="s">
        <v>1990</v>
      </c>
      <c r="B277" t="s">
        <v>1991</v>
      </c>
      <c r="C277" t="s">
        <v>3276</v>
      </c>
      <c r="D277" t="s">
        <v>3277</v>
      </c>
      <c r="E277">
        <v>2018</v>
      </c>
      <c r="F277">
        <v>19981</v>
      </c>
      <c r="H277">
        <v>495060</v>
      </c>
      <c r="I277">
        <v>19797145</v>
      </c>
      <c r="J277">
        <v>13526431</v>
      </c>
      <c r="K277">
        <v>52919917</v>
      </c>
      <c r="L277">
        <v>22502431</v>
      </c>
      <c r="M277" t="s">
        <v>1859</v>
      </c>
      <c r="AK277">
        <f>IF(LAM_API_TABLE[[#This Row],[Alternative_Data_Approval_Status]]="Approved",LAM_API_TABLE[[#This Row],[HCL_area_sqft_Alternative]],LAM_API_TABLE[[#This Row],[HCL_area_sqft]])</f>
        <v>19981</v>
      </c>
      <c r="AL277">
        <f>IF(LAM_API_TABLE[[#This Row],[Alternative_Data_Approval_Status]]="Approved",LAM_API_TABLE[[#This Row],[Ag_area_sqft_Alternative]],LAM_API_TABLE[[#This Row],[Ag_area_sqft]])</f>
        <v>0</v>
      </c>
      <c r="AM277">
        <f>IF(LAM_API_TABLE[[#This Row],[Alternative_Data_Approval_Status]]="Approved",LAM_API_TABLE[[#This Row],[Pool_area_sqft_Alternative]],LAM_API_TABLE[[#This Row],[Pool_area_sqft]])</f>
        <v>495060</v>
      </c>
      <c r="AN277">
        <f>IF(LAM_API_TABLE[[#This Row],[Alternative_Data_Approval_Status]]="Approved",LAM_API_TABLE[[#This Row],[Total_II_sqft_Alternative]],LAM_API_TABLE[[#This Row],[Total_II_sqft]])</f>
        <v>19797145</v>
      </c>
      <c r="AO277">
        <f>IF(LAM_API_TABLE[[#This Row],[Alternative_Data_Approval_Status]]="Approved",LAM_API_TABLE[[#This Row],[Total_INI_sqft_Alternative]],LAM_API_TABLE[[#This Row],[Total_INI_sqft]])</f>
        <v>13526431</v>
      </c>
      <c r="AP277">
        <f>IF(LAM_API_TABLE[[#This Row],[New_Res_Constr_Approval_Status]]="Approved",LAM_API_TABLE[[#This Row],[New_Res_Constr_sqft]],0)</f>
        <v>0</v>
      </c>
      <c r="AQ277">
        <f>IF(LAM_API_TABLE[[#This Row],[New_Res_Constr_Approval_Status]]="Approved",LAM_API_TABLE[[#This Row],[New_Res_SLA_norec_sqft]],0)</f>
        <v>0</v>
      </c>
      <c r="AR277">
        <f>IF(LAM_API_TABLE[[#This Row],[New_Res_Constr_Approval_Status]]="Approved",LAM_API_TABLE[[#This Row],[New_Res_SLA_rec_sqft]],0)</f>
        <v>0</v>
      </c>
      <c r="AS277">
        <f>IF(LAM_API_TABLE[[#This Row],[Existing_Res_SLA_Data_Approval_Status]]="Approved",LAM_API_TABLE[[#This Row],[Existing_Res_SLA_norec_sqft]],0)</f>
        <v>0</v>
      </c>
      <c r="AT277">
        <f>IF(LAM_API_TABLE[[#This Row],[Existing_Res_SLA_Data_Approval_Status]]="Approved",LAM_API_TABLE[[#This Row],[Existing_Res_SLA_rec_sqft]],0)</f>
        <v>0</v>
      </c>
    </row>
    <row r="278" spans="1:46" x14ac:dyDescent="0.25">
      <c r="A278" t="s">
        <v>1994</v>
      </c>
      <c r="B278" t="s">
        <v>1995</v>
      </c>
      <c r="C278" t="s">
        <v>3278</v>
      </c>
      <c r="D278" t="s">
        <v>3279</v>
      </c>
      <c r="E278">
        <v>2018</v>
      </c>
      <c r="F278">
        <v>2320761</v>
      </c>
      <c r="G278">
        <v>159438886</v>
      </c>
      <c r="H278">
        <v>855100</v>
      </c>
      <c r="I278">
        <v>126162052</v>
      </c>
      <c r="J278">
        <v>55900145</v>
      </c>
      <c r="K278">
        <v>694792453</v>
      </c>
      <c r="L278">
        <v>137342081</v>
      </c>
      <c r="M278" t="s">
        <v>1859</v>
      </c>
      <c r="AK278">
        <f>IF(LAM_API_TABLE[[#This Row],[Alternative_Data_Approval_Status]]="Approved",LAM_API_TABLE[[#This Row],[HCL_area_sqft_Alternative]],LAM_API_TABLE[[#This Row],[HCL_area_sqft]])</f>
        <v>2320761</v>
      </c>
      <c r="AL278">
        <f>IF(LAM_API_TABLE[[#This Row],[Alternative_Data_Approval_Status]]="Approved",LAM_API_TABLE[[#This Row],[Ag_area_sqft_Alternative]],LAM_API_TABLE[[#This Row],[Ag_area_sqft]])</f>
        <v>159438886</v>
      </c>
      <c r="AM278">
        <f>IF(LAM_API_TABLE[[#This Row],[Alternative_Data_Approval_Status]]="Approved",LAM_API_TABLE[[#This Row],[Pool_area_sqft_Alternative]],LAM_API_TABLE[[#This Row],[Pool_area_sqft]])</f>
        <v>855100</v>
      </c>
      <c r="AN278">
        <f>IF(LAM_API_TABLE[[#This Row],[Alternative_Data_Approval_Status]]="Approved",LAM_API_TABLE[[#This Row],[Total_II_sqft_Alternative]],LAM_API_TABLE[[#This Row],[Total_II_sqft]])</f>
        <v>126162052</v>
      </c>
      <c r="AO278">
        <f>IF(LAM_API_TABLE[[#This Row],[Alternative_Data_Approval_Status]]="Approved",LAM_API_TABLE[[#This Row],[Total_INI_sqft_Alternative]],LAM_API_TABLE[[#This Row],[Total_INI_sqft]])</f>
        <v>55900145</v>
      </c>
      <c r="AP278">
        <f>IF(LAM_API_TABLE[[#This Row],[New_Res_Constr_Approval_Status]]="Approved",LAM_API_TABLE[[#This Row],[New_Res_Constr_sqft]],0)</f>
        <v>0</v>
      </c>
      <c r="AQ278">
        <f>IF(LAM_API_TABLE[[#This Row],[New_Res_Constr_Approval_Status]]="Approved",LAM_API_TABLE[[#This Row],[New_Res_SLA_norec_sqft]],0)</f>
        <v>0</v>
      </c>
      <c r="AR278">
        <f>IF(LAM_API_TABLE[[#This Row],[New_Res_Constr_Approval_Status]]="Approved",LAM_API_TABLE[[#This Row],[New_Res_SLA_rec_sqft]],0)</f>
        <v>0</v>
      </c>
      <c r="AS278">
        <f>IF(LAM_API_TABLE[[#This Row],[Existing_Res_SLA_Data_Approval_Status]]="Approved",LAM_API_TABLE[[#This Row],[Existing_Res_SLA_norec_sqft]],0)</f>
        <v>0</v>
      </c>
      <c r="AT278">
        <f>IF(LAM_API_TABLE[[#This Row],[Existing_Res_SLA_Data_Approval_Status]]="Approved",LAM_API_TABLE[[#This Row],[Existing_Res_SLA_rec_sqft]],0)</f>
        <v>0</v>
      </c>
    </row>
    <row r="279" spans="1:46" x14ac:dyDescent="0.25">
      <c r="A279" t="s">
        <v>1998</v>
      </c>
      <c r="B279" t="s">
        <v>1999</v>
      </c>
      <c r="C279" t="s">
        <v>3280</v>
      </c>
      <c r="D279" t="s">
        <v>3281</v>
      </c>
      <c r="E279">
        <v>2018</v>
      </c>
      <c r="F279">
        <v>4484702</v>
      </c>
      <c r="G279">
        <v>29012259</v>
      </c>
      <c r="H279">
        <v>1016068</v>
      </c>
      <c r="I279">
        <v>77585603</v>
      </c>
      <c r="J279">
        <v>102936757</v>
      </c>
      <c r="K279">
        <v>654270305</v>
      </c>
      <c r="L279">
        <v>98172954</v>
      </c>
      <c r="M279" t="s">
        <v>1859</v>
      </c>
      <c r="AK279">
        <f>IF(LAM_API_TABLE[[#This Row],[Alternative_Data_Approval_Status]]="Approved",LAM_API_TABLE[[#This Row],[HCL_area_sqft_Alternative]],LAM_API_TABLE[[#This Row],[HCL_area_sqft]])</f>
        <v>4484702</v>
      </c>
      <c r="AL279">
        <f>IF(LAM_API_TABLE[[#This Row],[Alternative_Data_Approval_Status]]="Approved",LAM_API_TABLE[[#This Row],[Ag_area_sqft_Alternative]],LAM_API_TABLE[[#This Row],[Ag_area_sqft]])</f>
        <v>29012259</v>
      </c>
      <c r="AM279">
        <f>IF(LAM_API_TABLE[[#This Row],[Alternative_Data_Approval_Status]]="Approved",LAM_API_TABLE[[#This Row],[Pool_area_sqft_Alternative]],LAM_API_TABLE[[#This Row],[Pool_area_sqft]])</f>
        <v>1016068</v>
      </c>
      <c r="AN279">
        <f>IF(LAM_API_TABLE[[#This Row],[Alternative_Data_Approval_Status]]="Approved",LAM_API_TABLE[[#This Row],[Total_II_sqft_Alternative]],LAM_API_TABLE[[#This Row],[Total_II_sqft]])</f>
        <v>77585603</v>
      </c>
      <c r="AO279">
        <f>IF(LAM_API_TABLE[[#This Row],[Alternative_Data_Approval_Status]]="Approved",LAM_API_TABLE[[#This Row],[Total_INI_sqft_Alternative]],LAM_API_TABLE[[#This Row],[Total_INI_sqft]])</f>
        <v>102936757</v>
      </c>
      <c r="AP279">
        <f>IF(LAM_API_TABLE[[#This Row],[New_Res_Constr_Approval_Status]]="Approved",LAM_API_TABLE[[#This Row],[New_Res_Constr_sqft]],0)</f>
        <v>0</v>
      </c>
      <c r="AQ279">
        <f>IF(LAM_API_TABLE[[#This Row],[New_Res_Constr_Approval_Status]]="Approved",LAM_API_TABLE[[#This Row],[New_Res_SLA_norec_sqft]],0)</f>
        <v>0</v>
      </c>
      <c r="AR279">
        <f>IF(LAM_API_TABLE[[#This Row],[New_Res_Constr_Approval_Status]]="Approved",LAM_API_TABLE[[#This Row],[New_Res_SLA_rec_sqft]],0)</f>
        <v>0</v>
      </c>
      <c r="AS279">
        <f>IF(LAM_API_TABLE[[#This Row],[Existing_Res_SLA_Data_Approval_Status]]="Approved",LAM_API_TABLE[[#This Row],[Existing_Res_SLA_norec_sqft]],0)</f>
        <v>0</v>
      </c>
      <c r="AT279">
        <f>IF(LAM_API_TABLE[[#This Row],[Existing_Res_SLA_Data_Approval_Status]]="Approved",LAM_API_TABLE[[#This Row],[Existing_Res_SLA_rec_sqft]],0)</f>
        <v>0</v>
      </c>
    </row>
    <row r="280" spans="1:46" x14ac:dyDescent="0.25">
      <c r="A280" t="s">
        <v>2002</v>
      </c>
      <c r="B280" t="s">
        <v>2003</v>
      </c>
      <c r="C280" t="s">
        <v>3282</v>
      </c>
      <c r="D280" t="s">
        <v>3283</v>
      </c>
      <c r="E280">
        <v>2020</v>
      </c>
      <c r="F280">
        <v>5895117</v>
      </c>
      <c r="G280">
        <v>115101387</v>
      </c>
      <c r="H280">
        <v>3971327</v>
      </c>
      <c r="I280">
        <v>260555112</v>
      </c>
      <c r="J280">
        <v>74999441</v>
      </c>
      <c r="K280">
        <v>952364075</v>
      </c>
      <c r="L280">
        <v>275555000</v>
      </c>
      <c r="M280" t="s">
        <v>1859</v>
      </c>
      <c r="AK280">
        <f>IF(LAM_API_TABLE[[#This Row],[Alternative_Data_Approval_Status]]="Approved",LAM_API_TABLE[[#This Row],[HCL_area_sqft_Alternative]],LAM_API_TABLE[[#This Row],[HCL_area_sqft]])</f>
        <v>5895117</v>
      </c>
      <c r="AL280">
        <f>IF(LAM_API_TABLE[[#This Row],[Alternative_Data_Approval_Status]]="Approved",LAM_API_TABLE[[#This Row],[Ag_area_sqft_Alternative]],LAM_API_TABLE[[#This Row],[Ag_area_sqft]])</f>
        <v>115101387</v>
      </c>
      <c r="AM280">
        <f>IF(LAM_API_TABLE[[#This Row],[Alternative_Data_Approval_Status]]="Approved",LAM_API_TABLE[[#This Row],[Pool_area_sqft_Alternative]],LAM_API_TABLE[[#This Row],[Pool_area_sqft]])</f>
        <v>3971327</v>
      </c>
      <c r="AN280">
        <f>IF(LAM_API_TABLE[[#This Row],[Alternative_Data_Approval_Status]]="Approved",LAM_API_TABLE[[#This Row],[Total_II_sqft_Alternative]],LAM_API_TABLE[[#This Row],[Total_II_sqft]])</f>
        <v>260555112</v>
      </c>
      <c r="AO280">
        <f>IF(LAM_API_TABLE[[#This Row],[Alternative_Data_Approval_Status]]="Approved",LAM_API_TABLE[[#This Row],[Total_INI_sqft_Alternative]],LAM_API_TABLE[[#This Row],[Total_INI_sqft]])</f>
        <v>74999441</v>
      </c>
      <c r="AP280">
        <f>IF(LAM_API_TABLE[[#This Row],[New_Res_Constr_Approval_Status]]="Approved",LAM_API_TABLE[[#This Row],[New_Res_Constr_sqft]],0)</f>
        <v>0</v>
      </c>
      <c r="AQ280">
        <f>IF(LAM_API_TABLE[[#This Row],[New_Res_Constr_Approval_Status]]="Approved",LAM_API_TABLE[[#This Row],[New_Res_SLA_norec_sqft]],0)</f>
        <v>0</v>
      </c>
      <c r="AR280">
        <f>IF(LAM_API_TABLE[[#This Row],[New_Res_Constr_Approval_Status]]="Approved",LAM_API_TABLE[[#This Row],[New_Res_SLA_rec_sqft]],0)</f>
        <v>0</v>
      </c>
      <c r="AS280">
        <f>IF(LAM_API_TABLE[[#This Row],[Existing_Res_SLA_Data_Approval_Status]]="Approved",LAM_API_TABLE[[#This Row],[Existing_Res_SLA_norec_sqft]],0)</f>
        <v>0</v>
      </c>
      <c r="AT280">
        <f>IF(LAM_API_TABLE[[#This Row],[Existing_Res_SLA_Data_Approval_Status]]="Approved",LAM_API_TABLE[[#This Row],[Existing_Res_SLA_rec_sqft]],0)</f>
        <v>0</v>
      </c>
    </row>
    <row r="281" spans="1:46" x14ac:dyDescent="0.25">
      <c r="A281" t="s">
        <v>2006</v>
      </c>
      <c r="B281" t="s">
        <v>3284</v>
      </c>
      <c r="C281" t="s">
        <v>850</v>
      </c>
      <c r="D281" t="s">
        <v>3285</v>
      </c>
      <c r="E281">
        <v>2018</v>
      </c>
      <c r="G281">
        <v>180779</v>
      </c>
      <c r="H281">
        <v>92235</v>
      </c>
      <c r="I281">
        <v>14680139</v>
      </c>
      <c r="J281">
        <v>7330819</v>
      </c>
      <c r="K281">
        <v>21177530</v>
      </c>
      <c r="L281">
        <v>16146303</v>
      </c>
      <c r="M281" t="s">
        <v>1859</v>
      </c>
      <c r="AK281">
        <f>IF(LAM_API_TABLE[[#This Row],[Alternative_Data_Approval_Status]]="Approved",LAM_API_TABLE[[#This Row],[HCL_area_sqft_Alternative]],LAM_API_TABLE[[#This Row],[HCL_area_sqft]])</f>
        <v>0</v>
      </c>
      <c r="AL281">
        <f>IF(LAM_API_TABLE[[#This Row],[Alternative_Data_Approval_Status]]="Approved",LAM_API_TABLE[[#This Row],[Ag_area_sqft_Alternative]],LAM_API_TABLE[[#This Row],[Ag_area_sqft]])</f>
        <v>180779</v>
      </c>
      <c r="AM281">
        <f>IF(LAM_API_TABLE[[#This Row],[Alternative_Data_Approval_Status]]="Approved",LAM_API_TABLE[[#This Row],[Pool_area_sqft_Alternative]],LAM_API_TABLE[[#This Row],[Pool_area_sqft]])</f>
        <v>92235</v>
      </c>
      <c r="AN281">
        <f>IF(LAM_API_TABLE[[#This Row],[Alternative_Data_Approval_Status]]="Approved",LAM_API_TABLE[[#This Row],[Total_II_sqft_Alternative]],LAM_API_TABLE[[#This Row],[Total_II_sqft]])</f>
        <v>14680139</v>
      </c>
      <c r="AO281">
        <f>IF(LAM_API_TABLE[[#This Row],[Alternative_Data_Approval_Status]]="Approved",LAM_API_TABLE[[#This Row],[Total_INI_sqft_Alternative]],LAM_API_TABLE[[#This Row],[Total_INI_sqft]])</f>
        <v>7330819</v>
      </c>
      <c r="AP281">
        <f>IF(LAM_API_TABLE[[#This Row],[New_Res_Constr_Approval_Status]]="Approved",LAM_API_TABLE[[#This Row],[New_Res_Constr_sqft]],0)</f>
        <v>0</v>
      </c>
      <c r="AQ281">
        <f>IF(LAM_API_TABLE[[#This Row],[New_Res_Constr_Approval_Status]]="Approved",LAM_API_TABLE[[#This Row],[New_Res_SLA_norec_sqft]],0)</f>
        <v>0</v>
      </c>
      <c r="AR281">
        <f>IF(LAM_API_TABLE[[#This Row],[New_Res_Constr_Approval_Status]]="Approved",LAM_API_TABLE[[#This Row],[New_Res_SLA_rec_sqft]],0)</f>
        <v>0</v>
      </c>
      <c r="AS281">
        <f>IF(LAM_API_TABLE[[#This Row],[Existing_Res_SLA_Data_Approval_Status]]="Approved",LAM_API_TABLE[[#This Row],[Existing_Res_SLA_norec_sqft]],0)</f>
        <v>0</v>
      </c>
      <c r="AT281">
        <f>IF(LAM_API_TABLE[[#This Row],[Existing_Res_SLA_Data_Approval_Status]]="Approved",LAM_API_TABLE[[#This Row],[Existing_Res_SLA_rec_sqft]],0)</f>
        <v>0</v>
      </c>
    </row>
    <row r="282" spans="1:46" x14ac:dyDescent="0.25">
      <c r="A282" t="s">
        <v>2011</v>
      </c>
      <c r="B282" t="s">
        <v>3286</v>
      </c>
      <c r="C282" t="s">
        <v>3287</v>
      </c>
      <c r="D282" t="s">
        <v>3288</v>
      </c>
      <c r="E282">
        <v>2020</v>
      </c>
      <c r="F282">
        <v>90080</v>
      </c>
      <c r="G282">
        <v>2308901</v>
      </c>
      <c r="H282">
        <v>1920570</v>
      </c>
      <c r="I282">
        <v>114819899</v>
      </c>
      <c r="J282">
        <v>62150421</v>
      </c>
      <c r="K282">
        <v>307593818</v>
      </c>
      <c r="L282">
        <v>127249983</v>
      </c>
      <c r="M282" t="s">
        <v>1859</v>
      </c>
      <c r="AK282">
        <f>IF(LAM_API_TABLE[[#This Row],[Alternative_Data_Approval_Status]]="Approved",LAM_API_TABLE[[#This Row],[HCL_area_sqft_Alternative]],LAM_API_TABLE[[#This Row],[HCL_area_sqft]])</f>
        <v>90080</v>
      </c>
      <c r="AL282">
        <f>IF(LAM_API_TABLE[[#This Row],[Alternative_Data_Approval_Status]]="Approved",LAM_API_TABLE[[#This Row],[Ag_area_sqft_Alternative]],LAM_API_TABLE[[#This Row],[Ag_area_sqft]])</f>
        <v>2308901</v>
      </c>
      <c r="AM282">
        <f>IF(LAM_API_TABLE[[#This Row],[Alternative_Data_Approval_Status]]="Approved",LAM_API_TABLE[[#This Row],[Pool_area_sqft_Alternative]],LAM_API_TABLE[[#This Row],[Pool_area_sqft]])</f>
        <v>1920570</v>
      </c>
      <c r="AN282">
        <f>IF(LAM_API_TABLE[[#This Row],[Alternative_Data_Approval_Status]]="Approved",LAM_API_TABLE[[#This Row],[Total_II_sqft_Alternative]],LAM_API_TABLE[[#This Row],[Total_II_sqft]])</f>
        <v>114819899</v>
      </c>
      <c r="AO282">
        <f>IF(LAM_API_TABLE[[#This Row],[Alternative_Data_Approval_Status]]="Approved",LAM_API_TABLE[[#This Row],[Total_INI_sqft_Alternative]],LAM_API_TABLE[[#This Row],[Total_INI_sqft]])</f>
        <v>62150421</v>
      </c>
      <c r="AP282">
        <f>IF(LAM_API_TABLE[[#This Row],[New_Res_Constr_Approval_Status]]="Approved",LAM_API_TABLE[[#This Row],[New_Res_Constr_sqft]],0)</f>
        <v>0</v>
      </c>
      <c r="AQ282">
        <f>IF(LAM_API_TABLE[[#This Row],[New_Res_Constr_Approval_Status]]="Approved",LAM_API_TABLE[[#This Row],[New_Res_SLA_norec_sqft]],0)</f>
        <v>0</v>
      </c>
      <c r="AR282">
        <f>IF(LAM_API_TABLE[[#This Row],[New_Res_Constr_Approval_Status]]="Approved",LAM_API_TABLE[[#This Row],[New_Res_SLA_rec_sqft]],0)</f>
        <v>0</v>
      </c>
      <c r="AS282">
        <f>IF(LAM_API_TABLE[[#This Row],[Existing_Res_SLA_Data_Approval_Status]]="Approved",LAM_API_TABLE[[#This Row],[Existing_Res_SLA_norec_sqft]],0)</f>
        <v>0</v>
      </c>
      <c r="AT282">
        <f>IF(LAM_API_TABLE[[#This Row],[Existing_Res_SLA_Data_Approval_Status]]="Approved",LAM_API_TABLE[[#This Row],[Existing_Res_SLA_rec_sqft]],0)</f>
        <v>0</v>
      </c>
    </row>
    <row r="283" spans="1:46" x14ac:dyDescent="0.25">
      <c r="A283" t="s">
        <v>2015</v>
      </c>
      <c r="B283" t="s">
        <v>3289</v>
      </c>
      <c r="C283" t="s">
        <v>854</v>
      </c>
      <c r="D283" t="s">
        <v>3290</v>
      </c>
      <c r="E283">
        <v>2018</v>
      </c>
      <c r="F283">
        <v>107435</v>
      </c>
      <c r="G283">
        <v>21833878</v>
      </c>
      <c r="H283">
        <v>2136645</v>
      </c>
      <c r="I283">
        <v>105883123</v>
      </c>
      <c r="J283">
        <v>39263202</v>
      </c>
      <c r="K283">
        <v>169671392</v>
      </c>
      <c r="L283">
        <v>113735763</v>
      </c>
      <c r="M283" t="s">
        <v>1859</v>
      </c>
      <c r="AK283">
        <f>IF(LAM_API_TABLE[[#This Row],[Alternative_Data_Approval_Status]]="Approved",LAM_API_TABLE[[#This Row],[HCL_area_sqft_Alternative]],LAM_API_TABLE[[#This Row],[HCL_area_sqft]])</f>
        <v>107435</v>
      </c>
      <c r="AL283">
        <f>IF(LAM_API_TABLE[[#This Row],[Alternative_Data_Approval_Status]]="Approved",LAM_API_TABLE[[#This Row],[Ag_area_sqft_Alternative]],LAM_API_TABLE[[#This Row],[Ag_area_sqft]])</f>
        <v>21833878</v>
      </c>
      <c r="AM283">
        <f>IF(LAM_API_TABLE[[#This Row],[Alternative_Data_Approval_Status]]="Approved",LAM_API_TABLE[[#This Row],[Pool_area_sqft_Alternative]],LAM_API_TABLE[[#This Row],[Pool_area_sqft]])</f>
        <v>2136645</v>
      </c>
      <c r="AN283">
        <f>IF(LAM_API_TABLE[[#This Row],[Alternative_Data_Approval_Status]]="Approved",LAM_API_TABLE[[#This Row],[Total_II_sqft_Alternative]],LAM_API_TABLE[[#This Row],[Total_II_sqft]])</f>
        <v>105883123</v>
      </c>
      <c r="AO283">
        <f>IF(LAM_API_TABLE[[#This Row],[Alternative_Data_Approval_Status]]="Approved",LAM_API_TABLE[[#This Row],[Total_INI_sqft_Alternative]],LAM_API_TABLE[[#This Row],[Total_INI_sqft]])</f>
        <v>39263202</v>
      </c>
      <c r="AP283">
        <f>IF(LAM_API_TABLE[[#This Row],[New_Res_Constr_Approval_Status]]="Approved",LAM_API_TABLE[[#This Row],[New_Res_Constr_sqft]],0)</f>
        <v>0</v>
      </c>
      <c r="AQ283">
        <f>IF(LAM_API_TABLE[[#This Row],[New_Res_Constr_Approval_Status]]="Approved",LAM_API_TABLE[[#This Row],[New_Res_SLA_norec_sqft]],0)</f>
        <v>0</v>
      </c>
      <c r="AR283">
        <f>IF(LAM_API_TABLE[[#This Row],[New_Res_Constr_Approval_Status]]="Approved",LAM_API_TABLE[[#This Row],[New_Res_SLA_rec_sqft]],0)</f>
        <v>0</v>
      </c>
      <c r="AS283">
        <f>IF(LAM_API_TABLE[[#This Row],[Existing_Res_SLA_Data_Approval_Status]]="Approved",LAM_API_TABLE[[#This Row],[Existing_Res_SLA_norec_sqft]],0)</f>
        <v>0</v>
      </c>
      <c r="AT283">
        <f>IF(LAM_API_TABLE[[#This Row],[Existing_Res_SLA_Data_Approval_Status]]="Approved",LAM_API_TABLE[[#This Row],[Existing_Res_SLA_rec_sqft]],0)</f>
        <v>0</v>
      </c>
    </row>
    <row r="284" spans="1:46" x14ac:dyDescent="0.25">
      <c r="A284" t="s">
        <v>2019</v>
      </c>
      <c r="B284" t="s">
        <v>2020</v>
      </c>
      <c r="C284" t="s">
        <v>858</v>
      </c>
      <c r="D284" t="s">
        <v>3291</v>
      </c>
      <c r="E284">
        <v>2020</v>
      </c>
      <c r="F284">
        <v>7149</v>
      </c>
      <c r="G284">
        <v>49391</v>
      </c>
      <c r="H284">
        <v>621928</v>
      </c>
      <c r="I284">
        <v>48433550</v>
      </c>
      <c r="J284">
        <v>15320407</v>
      </c>
      <c r="K284">
        <v>92190682</v>
      </c>
      <c r="L284">
        <v>51497631</v>
      </c>
      <c r="M284" t="s">
        <v>1859</v>
      </c>
      <c r="AK284">
        <f>IF(LAM_API_TABLE[[#This Row],[Alternative_Data_Approval_Status]]="Approved",LAM_API_TABLE[[#This Row],[HCL_area_sqft_Alternative]],LAM_API_TABLE[[#This Row],[HCL_area_sqft]])</f>
        <v>7149</v>
      </c>
      <c r="AL284">
        <f>IF(LAM_API_TABLE[[#This Row],[Alternative_Data_Approval_Status]]="Approved",LAM_API_TABLE[[#This Row],[Ag_area_sqft_Alternative]],LAM_API_TABLE[[#This Row],[Ag_area_sqft]])</f>
        <v>49391</v>
      </c>
      <c r="AM284">
        <f>IF(LAM_API_TABLE[[#This Row],[Alternative_Data_Approval_Status]]="Approved",LAM_API_TABLE[[#This Row],[Pool_area_sqft_Alternative]],LAM_API_TABLE[[#This Row],[Pool_area_sqft]])</f>
        <v>621928</v>
      </c>
      <c r="AN284">
        <f>IF(LAM_API_TABLE[[#This Row],[Alternative_Data_Approval_Status]]="Approved",LAM_API_TABLE[[#This Row],[Total_II_sqft_Alternative]],LAM_API_TABLE[[#This Row],[Total_II_sqft]])</f>
        <v>48433550</v>
      </c>
      <c r="AO284">
        <f>IF(LAM_API_TABLE[[#This Row],[Alternative_Data_Approval_Status]]="Approved",LAM_API_TABLE[[#This Row],[Total_INI_sqft_Alternative]],LAM_API_TABLE[[#This Row],[Total_INI_sqft]])</f>
        <v>15320407</v>
      </c>
      <c r="AP284">
        <f>IF(LAM_API_TABLE[[#This Row],[New_Res_Constr_Approval_Status]]="Approved",LAM_API_TABLE[[#This Row],[New_Res_Constr_sqft]],0)</f>
        <v>0</v>
      </c>
      <c r="AQ284">
        <f>IF(LAM_API_TABLE[[#This Row],[New_Res_Constr_Approval_Status]]="Approved",LAM_API_TABLE[[#This Row],[New_Res_SLA_norec_sqft]],0)</f>
        <v>0</v>
      </c>
      <c r="AR284">
        <f>IF(LAM_API_TABLE[[#This Row],[New_Res_Constr_Approval_Status]]="Approved",LAM_API_TABLE[[#This Row],[New_Res_SLA_rec_sqft]],0)</f>
        <v>0</v>
      </c>
      <c r="AS284">
        <f>IF(LAM_API_TABLE[[#This Row],[Existing_Res_SLA_Data_Approval_Status]]="Approved",LAM_API_TABLE[[#This Row],[Existing_Res_SLA_norec_sqft]],0)</f>
        <v>0</v>
      </c>
      <c r="AT284">
        <f>IF(LAM_API_TABLE[[#This Row],[Existing_Res_SLA_Data_Approval_Status]]="Approved",LAM_API_TABLE[[#This Row],[Existing_Res_SLA_rec_sqft]],0)</f>
        <v>0</v>
      </c>
    </row>
    <row r="285" spans="1:46" x14ac:dyDescent="0.25">
      <c r="A285" t="s">
        <v>2023</v>
      </c>
      <c r="B285" t="s">
        <v>2024</v>
      </c>
      <c r="C285" t="s">
        <v>3292</v>
      </c>
      <c r="D285" t="s">
        <v>3293</v>
      </c>
      <c r="E285">
        <v>2018</v>
      </c>
      <c r="G285">
        <v>817545</v>
      </c>
      <c r="H285">
        <v>206274</v>
      </c>
      <c r="I285">
        <v>15857586</v>
      </c>
      <c r="J285">
        <v>6082883</v>
      </c>
      <c r="K285">
        <v>27715991</v>
      </c>
      <c r="L285">
        <v>17074163</v>
      </c>
      <c r="M285" t="s">
        <v>1859</v>
      </c>
      <c r="AK285">
        <f>IF(LAM_API_TABLE[[#This Row],[Alternative_Data_Approval_Status]]="Approved",LAM_API_TABLE[[#This Row],[HCL_area_sqft_Alternative]],LAM_API_TABLE[[#This Row],[HCL_area_sqft]])</f>
        <v>0</v>
      </c>
      <c r="AL285">
        <f>IF(LAM_API_TABLE[[#This Row],[Alternative_Data_Approval_Status]]="Approved",LAM_API_TABLE[[#This Row],[Ag_area_sqft_Alternative]],LAM_API_TABLE[[#This Row],[Ag_area_sqft]])</f>
        <v>817545</v>
      </c>
      <c r="AM285">
        <f>IF(LAM_API_TABLE[[#This Row],[Alternative_Data_Approval_Status]]="Approved",LAM_API_TABLE[[#This Row],[Pool_area_sqft_Alternative]],LAM_API_TABLE[[#This Row],[Pool_area_sqft]])</f>
        <v>206274</v>
      </c>
      <c r="AN285">
        <f>IF(LAM_API_TABLE[[#This Row],[Alternative_Data_Approval_Status]]="Approved",LAM_API_TABLE[[#This Row],[Total_II_sqft_Alternative]],LAM_API_TABLE[[#This Row],[Total_II_sqft]])</f>
        <v>15857586</v>
      </c>
      <c r="AO285">
        <f>IF(LAM_API_TABLE[[#This Row],[Alternative_Data_Approval_Status]]="Approved",LAM_API_TABLE[[#This Row],[Total_INI_sqft_Alternative]],LAM_API_TABLE[[#This Row],[Total_INI_sqft]])</f>
        <v>6082883</v>
      </c>
      <c r="AP285">
        <f>IF(LAM_API_TABLE[[#This Row],[New_Res_Constr_Approval_Status]]="Approved",LAM_API_TABLE[[#This Row],[New_Res_Constr_sqft]],0)</f>
        <v>0</v>
      </c>
      <c r="AQ285">
        <f>IF(LAM_API_TABLE[[#This Row],[New_Res_Constr_Approval_Status]]="Approved",LAM_API_TABLE[[#This Row],[New_Res_SLA_norec_sqft]],0)</f>
        <v>0</v>
      </c>
      <c r="AR285">
        <f>IF(LAM_API_TABLE[[#This Row],[New_Res_Constr_Approval_Status]]="Approved",LAM_API_TABLE[[#This Row],[New_Res_SLA_rec_sqft]],0)</f>
        <v>0</v>
      </c>
      <c r="AS285">
        <f>IF(LAM_API_TABLE[[#This Row],[Existing_Res_SLA_Data_Approval_Status]]="Approved",LAM_API_TABLE[[#This Row],[Existing_Res_SLA_norec_sqft]],0)</f>
        <v>0</v>
      </c>
      <c r="AT285">
        <f>IF(LAM_API_TABLE[[#This Row],[Existing_Res_SLA_Data_Approval_Status]]="Approved",LAM_API_TABLE[[#This Row],[Existing_Res_SLA_rec_sqft]],0)</f>
        <v>0</v>
      </c>
    </row>
    <row r="286" spans="1:46" x14ac:dyDescent="0.25">
      <c r="A286" t="s">
        <v>2027</v>
      </c>
      <c r="B286" t="s">
        <v>3294</v>
      </c>
      <c r="C286" t="s">
        <v>3295</v>
      </c>
      <c r="D286" t="s">
        <v>3296</v>
      </c>
      <c r="E286">
        <v>2018</v>
      </c>
      <c r="H286">
        <v>534185</v>
      </c>
      <c r="I286">
        <v>29388144</v>
      </c>
      <c r="J286">
        <v>18835848</v>
      </c>
      <c r="K286">
        <v>57075212</v>
      </c>
      <c r="L286">
        <v>33155314</v>
      </c>
      <c r="M286" t="s">
        <v>1859</v>
      </c>
      <c r="AK286">
        <f>IF(LAM_API_TABLE[[#This Row],[Alternative_Data_Approval_Status]]="Approved",LAM_API_TABLE[[#This Row],[HCL_area_sqft_Alternative]],LAM_API_TABLE[[#This Row],[HCL_area_sqft]])</f>
        <v>0</v>
      </c>
      <c r="AL286">
        <f>IF(LAM_API_TABLE[[#This Row],[Alternative_Data_Approval_Status]]="Approved",LAM_API_TABLE[[#This Row],[Ag_area_sqft_Alternative]],LAM_API_TABLE[[#This Row],[Ag_area_sqft]])</f>
        <v>0</v>
      </c>
      <c r="AM286">
        <f>IF(LAM_API_TABLE[[#This Row],[Alternative_Data_Approval_Status]]="Approved",LAM_API_TABLE[[#This Row],[Pool_area_sqft_Alternative]],LAM_API_TABLE[[#This Row],[Pool_area_sqft]])</f>
        <v>534185</v>
      </c>
      <c r="AN286">
        <f>IF(LAM_API_TABLE[[#This Row],[Alternative_Data_Approval_Status]]="Approved",LAM_API_TABLE[[#This Row],[Total_II_sqft_Alternative]],LAM_API_TABLE[[#This Row],[Total_II_sqft]])</f>
        <v>29388144</v>
      </c>
      <c r="AO286">
        <f>IF(LAM_API_TABLE[[#This Row],[Alternative_Data_Approval_Status]]="Approved",LAM_API_TABLE[[#This Row],[Total_INI_sqft_Alternative]],LAM_API_TABLE[[#This Row],[Total_INI_sqft]])</f>
        <v>18835848</v>
      </c>
      <c r="AP286">
        <f>IF(LAM_API_TABLE[[#This Row],[New_Res_Constr_Approval_Status]]="Approved",LAM_API_TABLE[[#This Row],[New_Res_Constr_sqft]],0)</f>
        <v>0</v>
      </c>
      <c r="AQ286">
        <f>IF(LAM_API_TABLE[[#This Row],[New_Res_Constr_Approval_Status]]="Approved",LAM_API_TABLE[[#This Row],[New_Res_SLA_norec_sqft]],0)</f>
        <v>0</v>
      </c>
      <c r="AR286">
        <f>IF(LAM_API_TABLE[[#This Row],[New_Res_Constr_Approval_Status]]="Approved",LAM_API_TABLE[[#This Row],[New_Res_SLA_rec_sqft]],0)</f>
        <v>0</v>
      </c>
      <c r="AS286">
        <f>IF(LAM_API_TABLE[[#This Row],[Existing_Res_SLA_Data_Approval_Status]]="Approved",LAM_API_TABLE[[#This Row],[Existing_Res_SLA_norec_sqft]],0)</f>
        <v>0</v>
      </c>
      <c r="AT286">
        <f>IF(LAM_API_TABLE[[#This Row],[Existing_Res_SLA_Data_Approval_Status]]="Approved",LAM_API_TABLE[[#This Row],[Existing_Res_SLA_rec_sqft]],0)</f>
        <v>0</v>
      </c>
    </row>
    <row r="287" spans="1:46" x14ac:dyDescent="0.25">
      <c r="A287" t="s">
        <v>2031</v>
      </c>
      <c r="B287" t="s">
        <v>2032</v>
      </c>
      <c r="C287" t="s">
        <v>3297</v>
      </c>
      <c r="D287" t="s">
        <v>3298</v>
      </c>
      <c r="E287">
        <v>2018</v>
      </c>
      <c r="F287">
        <v>201217</v>
      </c>
      <c r="G287">
        <v>1141700</v>
      </c>
      <c r="H287">
        <v>751771</v>
      </c>
      <c r="I287">
        <v>41056174</v>
      </c>
      <c r="J287">
        <v>45060584</v>
      </c>
      <c r="K287">
        <v>107148707</v>
      </c>
      <c r="L287">
        <v>50068291</v>
      </c>
      <c r="M287" t="s">
        <v>1859</v>
      </c>
      <c r="AK287">
        <f>IF(LAM_API_TABLE[[#This Row],[Alternative_Data_Approval_Status]]="Approved",LAM_API_TABLE[[#This Row],[HCL_area_sqft_Alternative]],LAM_API_TABLE[[#This Row],[HCL_area_sqft]])</f>
        <v>201217</v>
      </c>
      <c r="AL287">
        <f>IF(LAM_API_TABLE[[#This Row],[Alternative_Data_Approval_Status]]="Approved",LAM_API_TABLE[[#This Row],[Ag_area_sqft_Alternative]],LAM_API_TABLE[[#This Row],[Ag_area_sqft]])</f>
        <v>1141700</v>
      </c>
      <c r="AM287">
        <f>IF(LAM_API_TABLE[[#This Row],[Alternative_Data_Approval_Status]]="Approved",LAM_API_TABLE[[#This Row],[Pool_area_sqft_Alternative]],LAM_API_TABLE[[#This Row],[Pool_area_sqft]])</f>
        <v>751771</v>
      </c>
      <c r="AN287">
        <f>IF(LAM_API_TABLE[[#This Row],[Alternative_Data_Approval_Status]]="Approved",LAM_API_TABLE[[#This Row],[Total_II_sqft_Alternative]],LAM_API_TABLE[[#This Row],[Total_II_sqft]])</f>
        <v>41056174</v>
      </c>
      <c r="AO287">
        <f>IF(LAM_API_TABLE[[#This Row],[Alternative_Data_Approval_Status]]="Approved",LAM_API_TABLE[[#This Row],[Total_INI_sqft_Alternative]],LAM_API_TABLE[[#This Row],[Total_INI_sqft]])</f>
        <v>45060584</v>
      </c>
      <c r="AP287">
        <f>IF(LAM_API_TABLE[[#This Row],[New_Res_Constr_Approval_Status]]="Approved",LAM_API_TABLE[[#This Row],[New_Res_Constr_sqft]],0)</f>
        <v>0</v>
      </c>
      <c r="AQ287">
        <f>IF(LAM_API_TABLE[[#This Row],[New_Res_Constr_Approval_Status]]="Approved",LAM_API_TABLE[[#This Row],[New_Res_SLA_norec_sqft]],0)</f>
        <v>0</v>
      </c>
      <c r="AR287">
        <f>IF(LAM_API_TABLE[[#This Row],[New_Res_Constr_Approval_Status]]="Approved",LAM_API_TABLE[[#This Row],[New_Res_SLA_rec_sqft]],0)</f>
        <v>0</v>
      </c>
      <c r="AS287">
        <f>IF(LAM_API_TABLE[[#This Row],[Existing_Res_SLA_Data_Approval_Status]]="Approved",LAM_API_TABLE[[#This Row],[Existing_Res_SLA_norec_sqft]],0)</f>
        <v>0</v>
      </c>
      <c r="AT287">
        <f>IF(LAM_API_TABLE[[#This Row],[Existing_Res_SLA_Data_Approval_Status]]="Approved",LAM_API_TABLE[[#This Row],[Existing_Res_SLA_rec_sqft]],0)</f>
        <v>0</v>
      </c>
    </row>
    <row r="288" spans="1:46" x14ac:dyDescent="0.25">
      <c r="A288" t="s">
        <v>2037</v>
      </c>
      <c r="B288" t="s">
        <v>3299</v>
      </c>
      <c r="C288" t="s">
        <v>3300</v>
      </c>
      <c r="D288" t="s">
        <v>3301</v>
      </c>
      <c r="E288">
        <v>2018</v>
      </c>
      <c r="F288">
        <v>408992</v>
      </c>
      <c r="G288">
        <v>23507753</v>
      </c>
      <c r="H288">
        <v>286076</v>
      </c>
      <c r="I288">
        <v>40261934</v>
      </c>
      <c r="J288">
        <v>37284862</v>
      </c>
      <c r="K288">
        <v>201059048</v>
      </c>
      <c r="L288">
        <v>47718906</v>
      </c>
      <c r="M288" t="s">
        <v>1859</v>
      </c>
      <c r="AK288">
        <f>IF(LAM_API_TABLE[[#This Row],[Alternative_Data_Approval_Status]]="Approved",LAM_API_TABLE[[#This Row],[HCL_area_sqft_Alternative]],LAM_API_TABLE[[#This Row],[HCL_area_sqft]])</f>
        <v>408992</v>
      </c>
      <c r="AL288">
        <f>IF(LAM_API_TABLE[[#This Row],[Alternative_Data_Approval_Status]]="Approved",LAM_API_TABLE[[#This Row],[Ag_area_sqft_Alternative]],LAM_API_TABLE[[#This Row],[Ag_area_sqft]])</f>
        <v>23507753</v>
      </c>
      <c r="AM288">
        <f>IF(LAM_API_TABLE[[#This Row],[Alternative_Data_Approval_Status]]="Approved",LAM_API_TABLE[[#This Row],[Pool_area_sqft_Alternative]],LAM_API_TABLE[[#This Row],[Pool_area_sqft]])</f>
        <v>286076</v>
      </c>
      <c r="AN288">
        <f>IF(LAM_API_TABLE[[#This Row],[Alternative_Data_Approval_Status]]="Approved",LAM_API_TABLE[[#This Row],[Total_II_sqft_Alternative]],LAM_API_TABLE[[#This Row],[Total_II_sqft]])</f>
        <v>40261934</v>
      </c>
      <c r="AO288">
        <f>IF(LAM_API_TABLE[[#This Row],[Alternative_Data_Approval_Status]]="Approved",LAM_API_TABLE[[#This Row],[Total_INI_sqft_Alternative]],LAM_API_TABLE[[#This Row],[Total_INI_sqft]])</f>
        <v>37284862</v>
      </c>
      <c r="AP288">
        <f>IF(LAM_API_TABLE[[#This Row],[New_Res_Constr_Approval_Status]]="Approved",LAM_API_TABLE[[#This Row],[New_Res_Constr_sqft]],0)</f>
        <v>0</v>
      </c>
      <c r="AQ288">
        <f>IF(LAM_API_TABLE[[#This Row],[New_Res_Constr_Approval_Status]]="Approved",LAM_API_TABLE[[#This Row],[New_Res_SLA_norec_sqft]],0)</f>
        <v>0</v>
      </c>
      <c r="AR288">
        <f>IF(LAM_API_TABLE[[#This Row],[New_Res_Constr_Approval_Status]]="Approved",LAM_API_TABLE[[#This Row],[New_Res_SLA_rec_sqft]],0)</f>
        <v>0</v>
      </c>
      <c r="AS288">
        <f>IF(LAM_API_TABLE[[#This Row],[Existing_Res_SLA_Data_Approval_Status]]="Approved",LAM_API_TABLE[[#This Row],[Existing_Res_SLA_norec_sqft]],0)</f>
        <v>0</v>
      </c>
      <c r="AT288">
        <f>IF(LAM_API_TABLE[[#This Row],[Existing_Res_SLA_Data_Approval_Status]]="Approved",LAM_API_TABLE[[#This Row],[Existing_Res_SLA_rec_sqft]],0)</f>
        <v>0</v>
      </c>
    </row>
    <row r="289" spans="1:46" x14ac:dyDescent="0.25">
      <c r="A289" t="s">
        <v>2041</v>
      </c>
      <c r="B289" t="s">
        <v>2042</v>
      </c>
      <c r="C289" t="s">
        <v>3302</v>
      </c>
      <c r="D289" t="s">
        <v>3303</v>
      </c>
      <c r="E289">
        <v>2018</v>
      </c>
      <c r="G289">
        <v>39732</v>
      </c>
      <c r="H289">
        <v>33718</v>
      </c>
      <c r="I289">
        <v>8942077</v>
      </c>
      <c r="J289">
        <v>1422493</v>
      </c>
      <c r="K289">
        <v>18787364</v>
      </c>
      <c r="L289">
        <v>9226576</v>
      </c>
      <c r="M289" t="s">
        <v>1859</v>
      </c>
      <c r="AK289">
        <f>IF(LAM_API_TABLE[[#This Row],[Alternative_Data_Approval_Status]]="Approved",LAM_API_TABLE[[#This Row],[HCL_area_sqft_Alternative]],LAM_API_TABLE[[#This Row],[HCL_area_sqft]])</f>
        <v>0</v>
      </c>
      <c r="AL289">
        <f>IF(LAM_API_TABLE[[#This Row],[Alternative_Data_Approval_Status]]="Approved",LAM_API_TABLE[[#This Row],[Ag_area_sqft_Alternative]],LAM_API_TABLE[[#This Row],[Ag_area_sqft]])</f>
        <v>39732</v>
      </c>
      <c r="AM289">
        <f>IF(LAM_API_TABLE[[#This Row],[Alternative_Data_Approval_Status]]="Approved",LAM_API_TABLE[[#This Row],[Pool_area_sqft_Alternative]],LAM_API_TABLE[[#This Row],[Pool_area_sqft]])</f>
        <v>33718</v>
      </c>
      <c r="AN289">
        <f>IF(LAM_API_TABLE[[#This Row],[Alternative_Data_Approval_Status]]="Approved",LAM_API_TABLE[[#This Row],[Total_II_sqft_Alternative]],LAM_API_TABLE[[#This Row],[Total_II_sqft]])</f>
        <v>8942077</v>
      </c>
      <c r="AO289">
        <f>IF(LAM_API_TABLE[[#This Row],[Alternative_Data_Approval_Status]]="Approved",LAM_API_TABLE[[#This Row],[Total_INI_sqft_Alternative]],LAM_API_TABLE[[#This Row],[Total_INI_sqft]])</f>
        <v>1422493</v>
      </c>
      <c r="AP289">
        <f>IF(LAM_API_TABLE[[#This Row],[New_Res_Constr_Approval_Status]]="Approved",LAM_API_TABLE[[#This Row],[New_Res_Constr_sqft]],0)</f>
        <v>0</v>
      </c>
      <c r="AQ289">
        <f>IF(LAM_API_TABLE[[#This Row],[New_Res_Constr_Approval_Status]]="Approved",LAM_API_TABLE[[#This Row],[New_Res_SLA_norec_sqft]],0)</f>
        <v>0</v>
      </c>
      <c r="AR289">
        <f>IF(LAM_API_TABLE[[#This Row],[New_Res_Constr_Approval_Status]]="Approved",LAM_API_TABLE[[#This Row],[New_Res_SLA_rec_sqft]],0)</f>
        <v>0</v>
      </c>
      <c r="AS289">
        <f>IF(LAM_API_TABLE[[#This Row],[Existing_Res_SLA_Data_Approval_Status]]="Approved",LAM_API_TABLE[[#This Row],[Existing_Res_SLA_norec_sqft]],0)</f>
        <v>0</v>
      </c>
      <c r="AT289">
        <f>IF(LAM_API_TABLE[[#This Row],[Existing_Res_SLA_Data_Approval_Status]]="Approved",LAM_API_TABLE[[#This Row],[Existing_Res_SLA_rec_sqft]],0)</f>
        <v>0</v>
      </c>
    </row>
    <row r="290" spans="1:46" x14ac:dyDescent="0.25">
      <c r="A290" t="s">
        <v>2045</v>
      </c>
      <c r="B290" t="s">
        <v>2046</v>
      </c>
      <c r="C290" t="s">
        <v>3304</v>
      </c>
      <c r="D290" t="s">
        <v>3305</v>
      </c>
      <c r="E290">
        <v>2018</v>
      </c>
      <c r="F290">
        <v>47543</v>
      </c>
      <c r="G290">
        <v>8991769</v>
      </c>
      <c r="H290">
        <v>472803</v>
      </c>
      <c r="I290">
        <v>17232251</v>
      </c>
      <c r="J290">
        <v>1786490</v>
      </c>
      <c r="K290">
        <v>35280530</v>
      </c>
      <c r="L290">
        <v>17589549</v>
      </c>
      <c r="M290" t="s">
        <v>1859</v>
      </c>
      <c r="AK290">
        <f>IF(LAM_API_TABLE[[#This Row],[Alternative_Data_Approval_Status]]="Approved",LAM_API_TABLE[[#This Row],[HCL_area_sqft_Alternative]],LAM_API_TABLE[[#This Row],[HCL_area_sqft]])</f>
        <v>47543</v>
      </c>
      <c r="AL290">
        <f>IF(LAM_API_TABLE[[#This Row],[Alternative_Data_Approval_Status]]="Approved",LAM_API_TABLE[[#This Row],[Ag_area_sqft_Alternative]],LAM_API_TABLE[[#This Row],[Ag_area_sqft]])</f>
        <v>8991769</v>
      </c>
      <c r="AM290">
        <f>IF(LAM_API_TABLE[[#This Row],[Alternative_Data_Approval_Status]]="Approved",LAM_API_TABLE[[#This Row],[Pool_area_sqft_Alternative]],LAM_API_TABLE[[#This Row],[Pool_area_sqft]])</f>
        <v>472803</v>
      </c>
      <c r="AN290">
        <f>IF(LAM_API_TABLE[[#This Row],[Alternative_Data_Approval_Status]]="Approved",LAM_API_TABLE[[#This Row],[Total_II_sqft_Alternative]],LAM_API_TABLE[[#This Row],[Total_II_sqft]])</f>
        <v>17232251</v>
      </c>
      <c r="AO290">
        <f>IF(LAM_API_TABLE[[#This Row],[Alternative_Data_Approval_Status]]="Approved",LAM_API_TABLE[[#This Row],[Total_INI_sqft_Alternative]],LAM_API_TABLE[[#This Row],[Total_INI_sqft]])</f>
        <v>1786490</v>
      </c>
      <c r="AP290">
        <f>IF(LAM_API_TABLE[[#This Row],[New_Res_Constr_Approval_Status]]="Approved",LAM_API_TABLE[[#This Row],[New_Res_Constr_sqft]],0)</f>
        <v>0</v>
      </c>
      <c r="AQ290">
        <f>IF(LAM_API_TABLE[[#This Row],[New_Res_Constr_Approval_Status]]="Approved",LAM_API_TABLE[[#This Row],[New_Res_SLA_norec_sqft]],0)</f>
        <v>0</v>
      </c>
      <c r="AR290">
        <f>IF(LAM_API_TABLE[[#This Row],[New_Res_Constr_Approval_Status]]="Approved",LAM_API_TABLE[[#This Row],[New_Res_SLA_rec_sqft]],0)</f>
        <v>0</v>
      </c>
      <c r="AS290">
        <f>IF(LAM_API_TABLE[[#This Row],[Existing_Res_SLA_Data_Approval_Status]]="Approved",LAM_API_TABLE[[#This Row],[Existing_Res_SLA_norec_sqft]],0)</f>
        <v>0</v>
      </c>
      <c r="AT290">
        <f>IF(LAM_API_TABLE[[#This Row],[Existing_Res_SLA_Data_Approval_Status]]="Approved",LAM_API_TABLE[[#This Row],[Existing_Res_SLA_rec_sqft]],0)</f>
        <v>0</v>
      </c>
    </row>
    <row r="291" spans="1:46" x14ac:dyDescent="0.25">
      <c r="A291" t="s">
        <v>2049</v>
      </c>
      <c r="B291" t="s">
        <v>2050</v>
      </c>
      <c r="C291" t="s">
        <v>3306</v>
      </c>
      <c r="D291" t="s">
        <v>3307</v>
      </c>
      <c r="E291">
        <v>2018</v>
      </c>
      <c r="F291">
        <v>29887</v>
      </c>
      <c r="G291">
        <v>3455975</v>
      </c>
      <c r="H291">
        <v>200097</v>
      </c>
      <c r="I291">
        <v>12047426</v>
      </c>
      <c r="J291">
        <v>4320215</v>
      </c>
      <c r="K291">
        <v>27158642</v>
      </c>
      <c r="L291">
        <v>12911469</v>
      </c>
      <c r="M291" t="s">
        <v>1859</v>
      </c>
      <c r="AK291">
        <f>IF(LAM_API_TABLE[[#This Row],[Alternative_Data_Approval_Status]]="Approved",LAM_API_TABLE[[#This Row],[HCL_area_sqft_Alternative]],LAM_API_TABLE[[#This Row],[HCL_area_sqft]])</f>
        <v>29887</v>
      </c>
      <c r="AL291">
        <f>IF(LAM_API_TABLE[[#This Row],[Alternative_Data_Approval_Status]]="Approved",LAM_API_TABLE[[#This Row],[Ag_area_sqft_Alternative]],LAM_API_TABLE[[#This Row],[Ag_area_sqft]])</f>
        <v>3455975</v>
      </c>
      <c r="AM291">
        <f>IF(LAM_API_TABLE[[#This Row],[Alternative_Data_Approval_Status]]="Approved",LAM_API_TABLE[[#This Row],[Pool_area_sqft_Alternative]],LAM_API_TABLE[[#This Row],[Pool_area_sqft]])</f>
        <v>200097</v>
      </c>
      <c r="AN291">
        <f>IF(LAM_API_TABLE[[#This Row],[Alternative_Data_Approval_Status]]="Approved",LAM_API_TABLE[[#This Row],[Total_II_sqft_Alternative]],LAM_API_TABLE[[#This Row],[Total_II_sqft]])</f>
        <v>12047426</v>
      </c>
      <c r="AO291">
        <f>IF(LAM_API_TABLE[[#This Row],[Alternative_Data_Approval_Status]]="Approved",LAM_API_TABLE[[#This Row],[Total_INI_sqft_Alternative]],LAM_API_TABLE[[#This Row],[Total_INI_sqft]])</f>
        <v>4320215</v>
      </c>
      <c r="AP291">
        <f>IF(LAM_API_TABLE[[#This Row],[New_Res_Constr_Approval_Status]]="Approved",LAM_API_TABLE[[#This Row],[New_Res_Constr_sqft]],0)</f>
        <v>0</v>
      </c>
      <c r="AQ291">
        <f>IF(LAM_API_TABLE[[#This Row],[New_Res_Constr_Approval_Status]]="Approved",LAM_API_TABLE[[#This Row],[New_Res_SLA_norec_sqft]],0)</f>
        <v>0</v>
      </c>
      <c r="AR291">
        <f>IF(LAM_API_TABLE[[#This Row],[New_Res_Constr_Approval_Status]]="Approved",LAM_API_TABLE[[#This Row],[New_Res_SLA_rec_sqft]],0)</f>
        <v>0</v>
      </c>
      <c r="AS291">
        <f>IF(LAM_API_TABLE[[#This Row],[Existing_Res_SLA_Data_Approval_Status]]="Approved",LAM_API_TABLE[[#This Row],[Existing_Res_SLA_norec_sqft]],0)</f>
        <v>0</v>
      </c>
      <c r="AT291">
        <f>IF(LAM_API_TABLE[[#This Row],[Existing_Res_SLA_Data_Approval_Status]]="Approved",LAM_API_TABLE[[#This Row],[Existing_Res_SLA_rec_sqft]],0)</f>
        <v>0</v>
      </c>
    </row>
    <row r="292" spans="1:46" x14ac:dyDescent="0.25">
      <c r="A292" t="s">
        <v>2053</v>
      </c>
      <c r="B292" t="s">
        <v>3308</v>
      </c>
      <c r="C292" t="s">
        <v>3309</v>
      </c>
      <c r="D292" t="s">
        <v>3310</v>
      </c>
      <c r="E292">
        <v>2018</v>
      </c>
      <c r="F292">
        <v>639226</v>
      </c>
      <c r="G292">
        <v>27210712</v>
      </c>
      <c r="H292">
        <v>4683870</v>
      </c>
      <c r="I292">
        <v>279135500</v>
      </c>
      <c r="J292">
        <v>77671811</v>
      </c>
      <c r="K292">
        <v>490534831</v>
      </c>
      <c r="L292">
        <v>294669862</v>
      </c>
      <c r="M292" t="s">
        <v>1859</v>
      </c>
      <c r="AK292">
        <f>IF(LAM_API_TABLE[[#This Row],[Alternative_Data_Approval_Status]]="Approved",LAM_API_TABLE[[#This Row],[HCL_area_sqft_Alternative]],LAM_API_TABLE[[#This Row],[HCL_area_sqft]])</f>
        <v>639226</v>
      </c>
      <c r="AL292">
        <f>IF(LAM_API_TABLE[[#This Row],[Alternative_Data_Approval_Status]]="Approved",LAM_API_TABLE[[#This Row],[Ag_area_sqft_Alternative]],LAM_API_TABLE[[#This Row],[Ag_area_sqft]])</f>
        <v>27210712</v>
      </c>
      <c r="AM292">
        <f>IF(LAM_API_TABLE[[#This Row],[Alternative_Data_Approval_Status]]="Approved",LAM_API_TABLE[[#This Row],[Pool_area_sqft_Alternative]],LAM_API_TABLE[[#This Row],[Pool_area_sqft]])</f>
        <v>4683870</v>
      </c>
      <c r="AN292">
        <f>IF(LAM_API_TABLE[[#This Row],[Alternative_Data_Approval_Status]]="Approved",LAM_API_TABLE[[#This Row],[Total_II_sqft_Alternative]],LAM_API_TABLE[[#This Row],[Total_II_sqft]])</f>
        <v>279135500</v>
      </c>
      <c r="AO292">
        <f>IF(LAM_API_TABLE[[#This Row],[Alternative_Data_Approval_Status]]="Approved",LAM_API_TABLE[[#This Row],[Total_INI_sqft_Alternative]],LAM_API_TABLE[[#This Row],[Total_INI_sqft]])</f>
        <v>77671811</v>
      </c>
      <c r="AP292">
        <f>IF(LAM_API_TABLE[[#This Row],[New_Res_Constr_Approval_Status]]="Approved",LAM_API_TABLE[[#This Row],[New_Res_Constr_sqft]],0)</f>
        <v>0</v>
      </c>
      <c r="AQ292">
        <f>IF(LAM_API_TABLE[[#This Row],[New_Res_Constr_Approval_Status]]="Approved",LAM_API_TABLE[[#This Row],[New_Res_SLA_norec_sqft]],0)</f>
        <v>0</v>
      </c>
      <c r="AR292">
        <f>IF(LAM_API_TABLE[[#This Row],[New_Res_Constr_Approval_Status]]="Approved",LAM_API_TABLE[[#This Row],[New_Res_SLA_rec_sqft]],0)</f>
        <v>0</v>
      </c>
      <c r="AS292">
        <f>IF(LAM_API_TABLE[[#This Row],[Existing_Res_SLA_Data_Approval_Status]]="Approved",LAM_API_TABLE[[#This Row],[Existing_Res_SLA_norec_sqft]],0)</f>
        <v>0</v>
      </c>
      <c r="AT292">
        <f>IF(LAM_API_TABLE[[#This Row],[Existing_Res_SLA_Data_Approval_Status]]="Approved",LAM_API_TABLE[[#This Row],[Existing_Res_SLA_rec_sqft]],0)</f>
        <v>0</v>
      </c>
    </row>
    <row r="293" spans="1:46" x14ac:dyDescent="0.25">
      <c r="A293" t="s">
        <v>2057</v>
      </c>
      <c r="B293" t="s">
        <v>2058</v>
      </c>
      <c r="C293" t="s">
        <v>3311</v>
      </c>
      <c r="D293" t="s">
        <v>3312</v>
      </c>
      <c r="E293">
        <v>2018</v>
      </c>
      <c r="F293">
        <v>3855</v>
      </c>
      <c r="G293">
        <v>1461185</v>
      </c>
      <c r="H293">
        <v>392673</v>
      </c>
      <c r="I293">
        <v>14590656</v>
      </c>
      <c r="J293">
        <v>9544720</v>
      </c>
      <c r="K293">
        <v>41138671</v>
      </c>
      <c r="L293">
        <v>16499600</v>
      </c>
      <c r="M293" t="s">
        <v>1859</v>
      </c>
      <c r="AK293">
        <f>IF(LAM_API_TABLE[[#This Row],[Alternative_Data_Approval_Status]]="Approved",LAM_API_TABLE[[#This Row],[HCL_area_sqft_Alternative]],LAM_API_TABLE[[#This Row],[HCL_area_sqft]])</f>
        <v>3855</v>
      </c>
      <c r="AL293">
        <f>IF(LAM_API_TABLE[[#This Row],[Alternative_Data_Approval_Status]]="Approved",LAM_API_TABLE[[#This Row],[Ag_area_sqft_Alternative]],LAM_API_TABLE[[#This Row],[Ag_area_sqft]])</f>
        <v>1461185</v>
      </c>
      <c r="AM293">
        <f>IF(LAM_API_TABLE[[#This Row],[Alternative_Data_Approval_Status]]="Approved",LAM_API_TABLE[[#This Row],[Pool_area_sqft_Alternative]],LAM_API_TABLE[[#This Row],[Pool_area_sqft]])</f>
        <v>392673</v>
      </c>
      <c r="AN293">
        <f>IF(LAM_API_TABLE[[#This Row],[Alternative_Data_Approval_Status]]="Approved",LAM_API_TABLE[[#This Row],[Total_II_sqft_Alternative]],LAM_API_TABLE[[#This Row],[Total_II_sqft]])</f>
        <v>14590656</v>
      </c>
      <c r="AO293">
        <f>IF(LAM_API_TABLE[[#This Row],[Alternative_Data_Approval_Status]]="Approved",LAM_API_TABLE[[#This Row],[Total_INI_sqft_Alternative]],LAM_API_TABLE[[#This Row],[Total_INI_sqft]])</f>
        <v>9544720</v>
      </c>
      <c r="AP293">
        <f>IF(LAM_API_TABLE[[#This Row],[New_Res_Constr_Approval_Status]]="Approved",LAM_API_TABLE[[#This Row],[New_Res_Constr_sqft]],0)</f>
        <v>0</v>
      </c>
      <c r="AQ293">
        <f>IF(LAM_API_TABLE[[#This Row],[New_Res_Constr_Approval_Status]]="Approved",LAM_API_TABLE[[#This Row],[New_Res_SLA_norec_sqft]],0)</f>
        <v>0</v>
      </c>
      <c r="AR293">
        <f>IF(LAM_API_TABLE[[#This Row],[New_Res_Constr_Approval_Status]]="Approved",LAM_API_TABLE[[#This Row],[New_Res_SLA_rec_sqft]],0)</f>
        <v>0</v>
      </c>
      <c r="AS293">
        <f>IF(LAM_API_TABLE[[#This Row],[Existing_Res_SLA_Data_Approval_Status]]="Approved",LAM_API_TABLE[[#This Row],[Existing_Res_SLA_norec_sqft]],0)</f>
        <v>0</v>
      </c>
      <c r="AT293">
        <f>IF(LAM_API_TABLE[[#This Row],[Existing_Res_SLA_Data_Approval_Status]]="Approved",LAM_API_TABLE[[#This Row],[Existing_Res_SLA_rec_sqft]],0)</f>
        <v>0</v>
      </c>
    </row>
    <row r="294" spans="1:46" x14ac:dyDescent="0.25">
      <c r="A294" t="s">
        <v>2061</v>
      </c>
      <c r="B294" t="s">
        <v>2062</v>
      </c>
      <c r="C294" t="s">
        <v>3313</v>
      </c>
      <c r="D294" t="s">
        <v>3314</v>
      </c>
      <c r="E294">
        <v>2018</v>
      </c>
      <c r="F294">
        <v>2605</v>
      </c>
      <c r="G294">
        <v>53945</v>
      </c>
      <c r="H294">
        <v>180964</v>
      </c>
      <c r="I294">
        <v>21491065</v>
      </c>
      <c r="J294">
        <v>9890597</v>
      </c>
      <c r="K294">
        <v>49364093</v>
      </c>
      <c r="L294">
        <v>23469184</v>
      </c>
      <c r="M294" t="s">
        <v>1859</v>
      </c>
      <c r="AK294">
        <f>IF(LAM_API_TABLE[[#This Row],[Alternative_Data_Approval_Status]]="Approved",LAM_API_TABLE[[#This Row],[HCL_area_sqft_Alternative]],LAM_API_TABLE[[#This Row],[HCL_area_sqft]])</f>
        <v>2605</v>
      </c>
      <c r="AL294">
        <f>IF(LAM_API_TABLE[[#This Row],[Alternative_Data_Approval_Status]]="Approved",LAM_API_TABLE[[#This Row],[Ag_area_sqft_Alternative]],LAM_API_TABLE[[#This Row],[Ag_area_sqft]])</f>
        <v>53945</v>
      </c>
      <c r="AM294">
        <f>IF(LAM_API_TABLE[[#This Row],[Alternative_Data_Approval_Status]]="Approved",LAM_API_TABLE[[#This Row],[Pool_area_sqft_Alternative]],LAM_API_TABLE[[#This Row],[Pool_area_sqft]])</f>
        <v>180964</v>
      </c>
      <c r="AN294">
        <f>IF(LAM_API_TABLE[[#This Row],[Alternative_Data_Approval_Status]]="Approved",LAM_API_TABLE[[#This Row],[Total_II_sqft_Alternative]],LAM_API_TABLE[[#This Row],[Total_II_sqft]])</f>
        <v>21491065</v>
      </c>
      <c r="AO294">
        <f>IF(LAM_API_TABLE[[#This Row],[Alternative_Data_Approval_Status]]="Approved",LAM_API_TABLE[[#This Row],[Total_INI_sqft_Alternative]],LAM_API_TABLE[[#This Row],[Total_INI_sqft]])</f>
        <v>9890597</v>
      </c>
      <c r="AP294">
        <f>IF(LAM_API_TABLE[[#This Row],[New_Res_Constr_Approval_Status]]="Approved",LAM_API_TABLE[[#This Row],[New_Res_Constr_sqft]],0)</f>
        <v>0</v>
      </c>
      <c r="AQ294">
        <f>IF(LAM_API_TABLE[[#This Row],[New_Res_Constr_Approval_Status]]="Approved",LAM_API_TABLE[[#This Row],[New_Res_SLA_norec_sqft]],0)</f>
        <v>0</v>
      </c>
      <c r="AR294">
        <f>IF(LAM_API_TABLE[[#This Row],[New_Res_Constr_Approval_Status]]="Approved",LAM_API_TABLE[[#This Row],[New_Res_SLA_rec_sqft]],0)</f>
        <v>0</v>
      </c>
      <c r="AS294">
        <f>IF(LAM_API_TABLE[[#This Row],[Existing_Res_SLA_Data_Approval_Status]]="Approved",LAM_API_TABLE[[#This Row],[Existing_Res_SLA_norec_sqft]],0)</f>
        <v>0</v>
      </c>
      <c r="AT294">
        <f>IF(LAM_API_TABLE[[#This Row],[Existing_Res_SLA_Data_Approval_Status]]="Approved",LAM_API_TABLE[[#This Row],[Existing_Res_SLA_rec_sqft]],0)</f>
        <v>0</v>
      </c>
    </row>
    <row r="295" spans="1:46" x14ac:dyDescent="0.25">
      <c r="A295" t="s">
        <v>2065</v>
      </c>
      <c r="B295" t="s">
        <v>2066</v>
      </c>
      <c r="C295" t="s">
        <v>3315</v>
      </c>
      <c r="D295" t="s">
        <v>3316</v>
      </c>
      <c r="E295">
        <v>2018</v>
      </c>
      <c r="F295">
        <v>94521</v>
      </c>
      <c r="H295">
        <v>80222</v>
      </c>
      <c r="I295">
        <v>3729075</v>
      </c>
      <c r="J295">
        <v>10839137</v>
      </c>
      <c r="K295">
        <v>70962608</v>
      </c>
      <c r="L295">
        <v>5896902</v>
      </c>
      <c r="M295" t="s">
        <v>1859</v>
      </c>
      <c r="AK295">
        <f>IF(LAM_API_TABLE[[#This Row],[Alternative_Data_Approval_Status]]="Approved",LAM_API_TABLE[[#This Row],[HCL_area_sqft_Alternative]],LAM_API_TABLE[[#This Row],[HCL_area_sqft]])</f>
        <v>94521</v>
      </c>
      <c r="AL295">
        <f>IF(LAM_API_TABLE[[#This Row],[Alternative_Data_Approval_Status]]="Approved",LAM_API_TABLE[[#This Row],[Ag_area_sqft_Alternative]],LAM_API_TABLE[[#This Row],[Ag_area_sqft]])</f>
        <v>0</v>
      </c>
      <c r="AM295">
        <f>IF(LAM_API_TABLE[[#This Row],[Alternative_Data_Approval_Status]]="Approved",LAM_API_TABLE[[#This Row],[Pool_area_sqft_Alternative]],LAM_API_TABLE[[#This Row],[Pool_area_sqft]])</f>
        <v>80222</v>
      </c>
      <c r="AN295">
        <f>IF(LAM_API_TABLE[[#This Row],[Alternative_Data_Approval_Status]]="Approved",LAM_API_TABLE[[#This Row],[Total_II_sqft_Alternative]],LAM_API_TABLE[[#This Row],[Total_II_sqft]])</f>
        <v>3729075</v>
      </c>
      <c r="AO295">
        <f>IF(LAM_API_TABLE[[#This Row],[Alternative_Data_Approval_Status]]="Approved",LAM_API_TABLE[[#This Row],[Total_INI_sqft_Alternative]],LAM_API_TABLE[[#This Row],[Total_INI_sqft]])</f>
        <v>10839137</v>
      </c>
      <c r="AP295">
        <f>IF(LAM_API_TABLE[[#This Row],[New_Res_Constr_Approval_Status]]="Approved",LAM_API_TABLE[[#This Row],[New_Res_Constr_sqft]],0)</f>
        <v>0</v>
      </c>
      <c r="AQ295">
        <f>IF(LAM_API_TABLE[[#This Row],[New_Res_Constr_Approval_Status]]="Approved",LAM_API_TABLE[[#This Row],[New_Res_SLA_norec_sqft]],0)</f>
        <v>0</v>
      </c>
      <c r="AR295">
        <f>IF(LAM_API_TABLE[[#This Row],[New_Res_Constr_Approval_Status]]="Approved",LAM_API_TABLE[[#This Row],[New_Res_SLA_rec_sqft]],0)</f>
        <v>0</v>
      </c>
      <c r="AS295">
        <f>IF(LAM_API_TABLE[[#This Row],[Existing_Res_SLA_Data_Approval_Status]]="Approved",LAM_API_TABLE[[#This Row],[Existing_Res_SLA_norec_sqft]],0)</f>
        <v>0</v>
      </c>
      <c r="AT295">
        <f>IF(LAM_API_TABLE[[#This Row],[Existing_Res_SLA_Data_Approval_Status]]="Approved",LAM_API_TABLE[[#This Row],[Existing_Res_SLA_rec_sqft]],0)</f>
        <v>0</v>
      </c>
    </row>
    <row r="296" spans="1:46" x14ac:dyDescent="0.25">
      <c r="A296" t="s">
        <v>2069</v>
      </c>
      <c r="B296" t="s">
        <v>2070</v>
      </c>
      <c r="C296" t="s">
        <v>3317</v>
      </c>
      <c r="D296" t="s">
        <v>3318</v>
      </c>
      <c r="E296">
        <v>2018</v>
      </c>
      <c r="F296">
        <v>2454</v>
      </c>
      <c r="G296">
        <v>12310227</v>
      </c>
      <c r="H296">
        <v>2013183</v>
      </c>
      <c r="I296">
        <v>145632037</v>
      </c>
      <c r="J296">
        <v>10907178</v>
      </c>
      <c r="K296">
        <v>319716366</v>
      </c>
      <c r="L296">
        <v>147813472</v>
      </c>
      <c r="M296" t="s">
        <v>1859</v>
      </c>
      <c r="AK296">
        <f>IF(LAM_API_TABLE[[#This Row],[Alternative_Data_Approval_Status]]="Approved",LAM_API_TABLE[[#This Row],[HCL_area_sqft_Alternative]],LAM_API_TABLE[[#This Row],[HCL_area_sqft]])</f>
        <v>2454</v>
      </c>
      <c r="AL296">
        <f>IF(LAM_API_TABLE[[#This Row],[Alternative_Data_Approval_Status]]="Approved",LAM_API_TABLE[[#This Row],[Ag_area_sqft_Alternative]],LAM_API_TABLE[[#This Row],[Ag_area_sqft]])</f>
        <v>12310227</v>
      </c>
      <c r="AM296">
        <f>IF(LAM_API_TABLE[[#This Row],[Alternative_Data_Approval_Status]]="Approved",LAM_API_TABLE[[#This Row],[Pool_area_sqft_Alternative]],LAM_API_TABLE[[#This Row],[Pool_area_sqft]])</f>
        <v>2013183</v>
      </c>
      <c r="AN296">
        <f>IF(LAM_API_TABLE[[#This Row],[Alternative_Data_Approval_Status]]="Approved",LAM_API_TABLE[[#This Row],[Total_II_sqft_Alternative]],LAM_API_TABLE[[#This Row],[Total_II_sqft]])</f>
        <v>145632037</v>
      </c>
      <c r="AO296">
        <f>IF(LAM_API_TABLE[[#This Row],[Alternative_Data_Approval_Status]]="Approved",LAM_API_TABLE[[#This Row],[Total_INI_sqft_Alternative]],LAM_API_TABLE[[#This Row],[Total_INI_sqft]])</f>
        <v>10907178</v>
      </c>
      <c r="AP296">
        <f>IF(LAM_API_TABLE[[#This Row],[New_Res_Constr_Approval_Status]]="Approved",LAM_API_TABLE[[#This Row],[New_Res_Constr_sqft]],0)</f>
        <v>0</v>
      </c>
      <c r="AQ296">
        <f>IF(LAM_API_TABLE[[#This Row],[New_Res_Constr_Approval_Status]]="Approved",LAM_API_TABLE[[#This Row],[New_Res_SLA_norec_sqft]],0)</f>
        <v>0</v>
      </c>
      <c r="AR296">
        <f>IF(LAM_API_TABLE[[#This Row],[New_Res_Constr_Approval_Status]]="Approved",LAM_API_TABLE[[#This Row],[New_Res_SLA_rec_sqft]],0)</f>
        <v>0</v>
      </c>
      <c r="AS296">
        <f>IF(LAM_API_TABLE[[#This Row],[Existing_Res_SLA_Data_Approval_Status]]="Approved",LAM_API_TABLE[[#This Row],[Existing_Res_SLA_norec_sqft]],0)</f>
        <v>0</v>
      </c>
      <c r="AT296">
        <f>IF(LAM_API_TABLE[[#This Row],[Existing_Res_SLA_Data_Approval_Status]]="Approved",LAM_API_TABLE[[#This Row],[Existing_Res_SLA_rec_sqft]],0)</f>
        <v>0</v>
      </c>
    </row>
    <row r="297" spans="1:46" x14ac:dyDescent="0.25">
      <c r="A297" t="s">
        <v>2073</v>
      </c>
      <c r="B297" t="s">
        <v>2074</v>
      </c>
      <c r="C297" t="s">
        <v>3319</v>
      </c>
      <c r="D297" t="s">
        <v>3320</v>
      </c>
      <c r="E297">
        <v>2018</v>
      </c>
      <c r="F297">
        <v>29252</v>
      </c>
      <c r="G297">
        <v>78830</v>
      </c>
      <c r="H297">
        <v>745754</v>
      </c>
      <c r="I297">
        <v>19149832</v>
      </c>
      <c r="J297">
        <v>22937862</v>
      </c>
      <c r="K297">
        <v>71664188</v>
      </c>
      <c r="L297">
        <v>23737404</v>
      </c>
      <c r="M297" t="s">
        <v>1859</v>
      </c>
      <c r="AK297">
        <f>IF(LAM_API_TABLE[[#This Row],[Alternative_Data_Approval_Status]]="Approved",LAM_API_TABLE[[#This Row],[HCL_area_sqft_Alternative]],LAM_API_TABLE[[#This Row],[HCL_area_sqft]])</f>
        <v>29252</v>
      </c>
      <c r="AL297">
        <f>IF(LAM_API_TABLE[[#This Row],[Alternative_Data_Approval_Status]]="Approved",LAM_API_TABLE[[#This Row],[Ag_area_sqft_Alternative]],LAM_API_TABLE[[#This Row],[Ag_area_sqft]])</f>
        <v>78830</v>
      </c>
      <c r="AM297">
        <f>IF(LAM_API_TABLE[[#This Row],[Alternative_Data_Approval_Status]]="Approved",LAM_API_TABLE[[#This Row],[Pool_area_sqft_Alternative]],LAM_API_TABLE[[#This Row],[Pool_area_sqft]])</f>
        <v>745754</v>
      </c>
      <c r="AN297">
        <f>IF(LAM_API_TABLE[[#This Row],[Alternative_Data_Approval_Status]]="Approved",LAM_API_TABLE[[#This Row],[Total_II_sqft_Alternative]],LAM_API_TABLE[[#This Row],[Total_II_sqft]])</f>
        <v>19149832</v>
      </c>
      <c r="AO297">
        <f>IF(LAM_API_TABLE[[#This Row],[Alternative_Data_Approval_Status]]="Approved",LAM_API_TABLE[[#This Row],[Total_INI_sqft_Alternative]],LAM_API_TABLE[[#This Row],[Total_INI_sqft]])</f>
        <v>22937862</v>
      </c>
      <c r="AP297">
        <f>IF(LAM_API_TABLE[[#This Row],[New_Res_Constr_Approval_Status]]="Approved",LAM_API_TABLE[[#This Row],[New_Res_Constr_sqft]],0)</f>
        <v>0</v>
      </c>
      <c r="AQ297">
        <f>IF(LAM_API_TABLE[[#This Row],[New_Res_Constr_Approval_Status]]="Approved",LAM_API_TABLE[[#This Row],[New_Res_SLA_norec_sqft]],0)</f>
        <v>0</v>
      </c>
      <c r="AR297">
        <f>IF(LAM_API_TABLE[[#This Row],[New_Res_Constr_Approval_Status]]="Approved",LAM_API_TABLE[[#This Row],[New_Res_SLA_rec_sqft]],0)</f>
        <v>0</v>
      </c>
      <c r="AS297">
        <f>IF(LAM_API_TABLE[[#This Row],[Existing_Res_SLA_Data_Approval_Status]]="Approved",LAM_API_TABLE[[#This Row],[Existing_Res_SLA_norec_sqft]],0)</f>
        <v>0</v>
      </c>
      <c r="AT297">
        <f>IF(LAM_API_TABLE[[#This Row],[Existing_Res_SLA_Data_Approval_Status]]="Approved",LAM_API_TABLE[[#This Row],[Existing_Res_SLA_rec_sqft]],0)</f>
        <v>0</v>
      </c>
    </row>
    <row r="298" spans="1:46" x14ac:dyDescent="0.25">
      <c r="A298" t="s">
        <v>2077</v>
      </c>
      <c r="B298" t="s">
        <v>2078</v>
      </c>
      <c r="C298" t="s">
        <v>3321</v>
      </c>
      <c r="D298" t="s">
        <v>3322</v>
      </c>
      <c r="E298">
        <v>2018</v>
      </c>
      <c r="F298">
        <v>89360</v>
      </c>
      <c r="G298">
        <v>1082</v>
      </c>
      <c r="H298">
        <v>197142</v>
      </c>
      <c r="I298">
        <v>15616626</v>
      </c>
      <c r="J298">
        <v>16124834</v>
      </c>
      <c r="K298">
        <v>40288868</v>
      </c>
      <c r="L298">
        <v>18841593</v>
      </c>
      <c r="M298" t="s">
        <v>1859</v>
      </c>
      <c r="AK298">
        <f>IF(LAM_API_TABLE[[#This Row],[Alternative_Data_Approval_Status]]="Approved",LAM_API_TABLE[[#This Row],[HCL_area_sqft_Alternative]],LAM_API_TABLE[[#This Row],[HCL_area_sqft]])</f>
        <v>89360</v>
      </c>
      <c r="AL298">
        <f>IF(LAM_API_TABLE[[#This Row],[Alternative_Data_Approval_Status]]="Approved",LAM_API_TABLE[[#This Row],[Ag_area_sqft_Alternative]],LAM_API_TABLE[[#This Row],[Ag_area_sqft]])</f>
        <v>1082</v>
      </c>
      <c r="AM298">
        <f>IF(LAM_API_TABLE[[#This Row],[Alternative_Data_Approval_Status]]="Approved",LAM_API_TABLE[[#This Row],[Pool_area_sqft_Alternative]],LAM_API_TABLE[[#This Row],[Pool_area_sqft]])</f>
        <v>197142</v>
      </c>
      <c r="AN298">
        <f>IF(LAM_API_TABLE[[#This Row],[Alternative_Data_Approval_Status]]="Approved",LAM_API_TABLE[[#This Row],[Total_II_sqft_Alternative]],LAM_API_TABLE[[#This Row],[Total_II_sqft]])</f>
        <v>15616626</v>
      </c>
      <c r="AO298">
        <f>IF(LAM_API_TABLE[[#This Row],[Alternative_Data_Approval_Status]]="Approved",LAM_API_TABLE[[#This Row],[Total_INI_sqft_Alternative]],LAM_API_TABLE[[#This Row],[Total_INI_sqft]])</f>
        <v>16124834</v>
      </c>
      <c r="AP298">
        <f>IF(LAM_API_TABLE[[#This Row],[New_Res_Constr_Approval_Status]]="Approved",LAM_API_TABLE[[#This Row],[New_Res_Constr_sqft]],0)</f>
        <v>0</v>
      </c>
      <c r="AQ298">
        <f>IF(LAM_API_TABLE[[#This Row],[New_Res_Constr_Approval_Status]]="Approved",LAM_API_TABLE[[#This Row],[New_Res_SLA_norec_sqft]],0)</f>
        <v>0</v>
      </c>
      <c r="AR298">
        <f>IF(LAM_API_TABLE[[#This Row],[New_Res_Constr_Approval_Status]]="Approved",LAM_API_TABLE[[#This Row],[New_Res_SLA_rec_sqft]],0)</f>
        <v>0</v>
      </c>
      <c r="AS298">
        <f>IF(LAM_API_TABLE[[#This Row],[Existing_Res_SLA_Data_Approval_Status]]="Approved",LAM_API_TABLE[[#This Row],[Existing_Res_SLA_norec_sqft]],0)</f>
        <v>0</v>
      </c>
      <c r="AT298">
        <f>IF(LAM_API_TABLE[[#This Row],[Existing_Res_SLA_Data_Approval_Status]]="Approved",LAM_API_TABLE[[#This Row],[Existing_Res_SLA_rec_sqft]],0)</f>
        <v>0</v>
      </c>
    </row>
    <row r="299" spans="1:46" x14ac:dyDescent="0.25">
      <c r="A299" t="s">
        <v>2081</v>
      </c>
      <c r="B299" t="s">
        <v>3323</v>
      </c>
      <c r="C299" t="s">
        <v>3324</v>
      </c>
      <c r="D299" t="s">
        <v>3325</v>
      </c>
      <c r="E299">
        <v>2018</v>
      </c>
      <c r="H299">
        <v>235305</v>
      </c>
      <c r="I299">
        <v>15292038</v>
      </c>
      <c r="J299">
        <v>6330711</v>
      </c>
      <c r="K299">
        <v>14611535</v>
      </c>
      <c r="L299">
        <v>16558180</v>
      </c>
      <c r="M299" t="s">
        <v>1859</v>
      </c>
      <c r="AK299">
        <f>IF(LAM_API_TABLE[[#This Row],[Alternative_Data_Approval_Status]]="Approved",LAM_API_TABLE[[#This Row],[HCL_area_sqft_Alternative]],LAM_API_TABLE[[#This Row],[HCL_area_sqft]])</f>
        <v>0</v>
      </c>
      <c r="AL299">
        <f>IF(LAM_API_TABLE[[#This Row],[Alternative_Data_Approval_Status]]="Approved",LAM_API_TABLE[[#This Row],[Ag_area_sqft_Alternative]],LAM_API_TABLE[[#This Row],[Ag_area_sqft]])</f>
        <v>0</v>
      </c>
      <c r="AM299">
        <f>IF(LAM_API_TABLE[[#This Row],[Alternative_Data_Approval_Status]]="Approved",LAM_API_TABLE[[#This Row],[Pool_area_sqft_Alternative]],LAM_API_TABLE[[#This Row],[Pool_area_sqft]])</f>
        <v>235305</v>
      </c>
      <c r="AN299">
        <f>IF(LAM_API_TABLE[[#This Row],[Alternative_Data_Approval_Status]]="Approved",LAM_API_TABLE[[#This Row],[Total_II_sqft_Alternative]],LAM_API_TABLE[[#This Row],[Total_II_sqft]])</f>
        <v>15292038</v>
      </c>
      <c r="AO299">
        <f>IF(LAM_API_TABLE[[#This Row],[Alternative_Data_Approval_Status]]="Approved",LAM_API_TABLE[[#This Row],[Total_INI_sqft_Alternative]],LAM_API_TABLE[[#This Row],[Total_INI_sqft]])</f>
        <v>6330711</v>
      </c>
      <c r="AP299">
        <f>IF(LAM_API_TABLE[[#This Row],[New_Res_Constr_Approval_Status]]="Approved",LAM_API_TABLE[[#This Row],[New_Res_Constr_sqft]],0)</f>
        <v>0</v>
      </c>
      <c r="AQ299">
        <f>IF(LAM_API_TABLE[[#This Row],[New_Res_Constr_Approval_Status]]="Approved",LAM_API_TABLE[[#This Row],[New_Res_SLA_norec_sqft]],0)</f>
        <v>0</v>
      </c>
      <c r="AR299">
        <f>IF(LAM_API_TABLE[[#This Row],[New_Res_Constr_Approval_Status]]="Approved",LAM_API_TABLE[[#This Row],[New_Res_SLA_rec_sqft]],0)</f>
        <v>0</v>
      </c>
      <c r="AS299">
        <f>IF(LAM_API_TABLE[[#This Row],[Existing_Res_SLA_Data_Approval_Status]]="Approved",LAM_API_TABLE[[#This Row],[Existing_Res_SLA_norec_sqft]],0)</f>
        <v>0</v>
      </c>
      <c r="AT299">
        <f>IF(LAM_API_TABLE[[#This Row],[Existing_Res_SLA_Data_Approval_Status]]="Approved",LAM_API_TABLE[[#This Row],[Existing_Res_SLA_rec_sqft]],0)</f>
        <v>0</v>
      </c>
    </row>
    <row r="300" spans="1:46" x14ac:dyDescent="0.25">
      <c r="A300" t="s">
        <v>2085</v>
      </c>
      <c r="B300" t="s">
        <v>2086</v>
      </c>
      <c r="AK300">
        <f>IF(LAM_API_TABLE[[#This Row],[Alternative_Data_Approval_Status]]="Approved",LAM_API_TABLE[[#This Row],[HCL_area_sqft_Alternative]],LAM_API_TABLE[[#This Row],[HCL_area_sqft]])</f>
        <v>0</v>
      </c>
      <c r="AL300">
        <f>IF(LAM_API_TABLE[[#This Row],[Alternative_Data_Approval_Status]]="Approved",LAM_API_TABLE[[#This Row],[Ag_area_sqft_Alternative]],LAM_API_TABLE[[#This Row],[Ag_area_sqft]])</f>
        <v>0</v>
      </c>
      <c r="AM300">
        <f>IF(LAM_API_TABLE[[#This Row],[Alternative_Data_Approval_Status]]="Approved",LAM_API_TABLE[[#This Row],[Pool_area_sqft_Alternative]],LAM_API_TABLE[[#This Row],[Pool_area_sqft]])</f>
        <v>0</v>
      </c>
      <c r="AN300">
        <f>IF(LAM_API_TABLE[[#This Row],[Alternative_Data_Approval_Status]]="Approved",LAM_API_TABLE[[#This Row],[Total_II_sqft_Alternative]],LAM_API_TABLE[[#This Row],[Total_II_sqft]])</f>
        <v>0</v>
      </c>
      <c r="AO300">
        <f>IF(LAM_API_TABLE[[#This Row],[Alternative_Data_Approval_Status]]="Approved",LAM_API_TABLE[[#This Row],[Total_INI_sqft_Alternative]],LAM_API_TABLE[[#This Row],[Total_INI_sqft]])</f>
        <v>0</v>
      </c>
      <c r="AP300">
        <f>IF(LAM_API_TABLE[[#This Row],[New_Res_Constr_Approval_Status]]="Approved",LAM_API_TABLE[[#This Row],[New_Res_Constr_sqft]],0)</f>
        <v>0</v>
      </c>
      <c r="AQ300">
        <f>IF(LAM_API_TABLE[[#This Row],[New_Res_Constr_Approval_Status]]="Approved",LAM_API_TABLE[[#This Row],[New_Res_SLA_norec_sqft]],0)</f>
        <v>0</v>
      </c>
      <c r="AR300">
        <f>IF(LAM_API_TABLE[[#This Row],[New_Res_Constr_Approval_Status]]="Approved",LAM_API_TABLE[[#This Row],[New_Res_SLA_rec_sqft]],0)</f>
        <v>0</v>
      </c>
      <c r="AS300">
        <f>IF(LAM_API_TABLE[[#This Row],[Existing_Res_SLA_Data_Approval_Status]]="Approved",LAM_API_TABLE[[#This Row],[Existing_Res_SLA_norec_sqft]],0)</f>
        <v>0</v>
      </c>
      <c r="AT300">
        <f>IF(LAM_API_TABLE[[#This Row],[Existing_Res_SLA_Data_Approval_Status]]="Approved",LAM_API_TABLE[[#This Row],[Existing_Res_SLA_rec_sqft]],0)</f>
        <v>0</v>
      </c>
    </row>
    <row r="301" spans="1:46" x14ac:dyDescent="0.25">
      <c r="A301" t="s">
        <v>2089</v>
      </c>
      <c r="B301" t="s">
        <v>3326</v>
      </c>
      <c r="C301" t="s">
        <v>3327</v>
      </c>
      <c r="D301" t="s">
        <v>3328</v>
      </c>
      <c r="E301">
        <v>2018</v>
      </c>
      <c r="F301">
        <v>124530</v>
      </c>
      <c r="G301">
        <v>1957490</v>
      </c>
      <c r="H301">
        <v>2981281</v>
      </c>
      <c r="I301">
        <v>324259846</v>
      </c>
      <c r="J301">
        <v>165163467</v>
      </c>
      <c r="K301">
        <v>544112079</v>
      </c>
      <c r="L301">
        <v>357292539</v>
      </c>
      <c r="M301" t="s">
        <v>1859</v>
      </c>
      <c r="AK301">
        <f>IF(LAM_API_TABLE[[#This Row],[Alternative_Data_Approval_Status]]="Approved",LAM_API_TABLE[[#This Row],[HCL_area_sqft_Alternative]],LAM_API_TABLE[[#This Row],[HCL_area_sqft]])</f>
        <v>124530</v>
      </c>
      <c r="AL301">
        <f>IF(LAM_API_TABLE[[#This Row],[Alternative_Data_Approval_Status]]="Approved",LAM_API_TABLE[[#This Row],[Ag_area_sqft_Alternative]],LAM_API_TABLE[[#This Row],[Ag_area_sqft]])</f>
        <v>1957490</v>
      </c>
      <c r="AM301">
        <f>IF(LAM_API_TABLE[[#This Row],[Alternative_Data_Approval_Status]]="Approved",LAM_API_TABLE[[#This Row],[Pool_area_sqft_Alternative]],LAM_API_TABLE[[#This Row],[Pool_area_sqft]])</f>
        <v>2981281</v>
      </c>
      <c r="AN301">
        <f>IF(LAM_API_TABLE[[#This Row],[Alternative_Data_Approval_Status]]="Approved",LAM_API_TABLE[[#This Row],[Total_II_sqft_Alternative]],LAM_API_TABLE[[#This Row],[Total_II_sqft]])</f>
        <v>324259846</v>
      </c>
      <c r="AO301">
        <f>IF(LAM_API_TABLE[[#This Row],[Alternative_Data_Approval_Status]]="Approved",LAM_API_TABLE[[#This Row],[Total_INI_sqft_Alternative]],LAM_API_TABLE[[#This Row],[Total_INI_sqft]])</f>
        <v>165163467</v>
      </c>
      <c r="AP301">
        <f>IF(LAM_API_TABLE[[#This Row],[New_Res_Constr_Approval_Status]]="Approved",LAM_API_TABLE[[#This Row],[New_Res_Constr_sqft]],0)</f>
        <v>0</v>
      </c>
      <c r="AQ301">
        <f>IF(LAM_API_TABLE[[#This Row],[New_Res_Constr_Approval_Status]]="Approved",LAM_API_TABLE[[#This Row],[New_Res_SLA_norec_sqft]],0)</f>
        <v>0</v>
      </c>
      <c r="AR301">
        <f>IF(LAM_API_TABLE[[#This Row],[New_Res_Constr_Approval_Status]]="Approved",LAM_API_TABLE[[#This Row],[New_Res_SLA_rec_sqft]],0)</f>
        <v>0</v>
      </c>
      <c r="AS301">
        <f>IF(LAM_API_TABLE[[#This Row],[Existing_Res_SLA_Data_Approval_Status]]="Approved",LAM_API_TABLE[[#This Row],[Existing_Res_SLA_norec_sqft]],0)</f>
        <v>0</v>
      </c>
      <c r="AT301">
        <f>IF(LAM_API_TABLE[[#This Row],[Existing_Res_SLA_Data_Approval_Status]]="Approved",LAM_API_TABLE[[#This Row],[Existing_Res_SLA_rec_sqft]],0)</f>
        <v>0</v>
      </c>
    </row>
    <row r="302" spans="1:46" x14ac:dyDescent="0.25">
      <c r="A302" t="s">
        <v>2093</v>
      </c>
      <c r="B302" t="s">
        <v>2094</v>
      </c>
      <c r="C302" t="s">
        <v>3329</v>
      </c>
      <c r="D302" t="s">
        <v>3330</v>
      </c>
      <c r="E302">
        <v>2018</v>
      </c>
      <c r="F302">
        <v>771104</v>
      </c>
      <c r="G302">
        <v>88184288</v>
      </c>
      <c r="H302">
        <v>2791639</v>
      </c>
      <c r="I302">
        <v>201270594</v>
      </c>
      <c r="J302">
        <v>51456936</v>
      </c>
      <c r="K302">
        <v>677615891</v>
      </c>
      <c r="L302">
        <v>211561981</v>
      </c>
      <c r="M302" t="s">
        <v>1859</v>
      </c>
      <c r="AK302">
        <f>IF(LAM_API_TABLE[[#This Row],[Alternative_Data_Approval_Status]]="Approved",LAM_API_TABLE[[#This Row],[HCL_area_sqft_Alternative]],LAM_API_TABLE[[#This Row],[HCL_area_sqft]])</f>
        <v>771104</v>
      </c>
      <c r="AL302">
        <f>IF(LAM_API_TABLE[[#This Row],[Alternative_Data_Approval_Status]]="Approved",LAM_API_TABLE[[#This Row],[Ag_area_sqft_Alternative]],LAM_API_TABLE[[#This Row],[Ag_area_sqft]])</f>
        <v>88184288</v>
      </c>
      <c r="AM302">
        <f>IF(LAM_API_TABLE[[#This Row],[Alternative_Data_Approval_Status]]="Approved",LAM_API_TABLE[[#This Row],[Pool_area_sqft_Alternative]],LAM_API_TABLE[[#This Row],[Pool_area_sqft]])</f>
        <v>2791639</v>
      </c>
      <c r="AN302">
        <f>IF(LAM_API_TABLE[[#This Row],[Alternative_Data_Approval_Status]]="Approved",LAM_API_TABLE[[#This Row],[Total_II_sqft_Alternative]],LAM_API_TABLE[[#This Row],[Total_II_sqft]])</f>
        <v>201270594</v>
      </c>
      <c r="AO302">
        <f>IF(LAM_API_TABLE[[#This Row],[Alternative_Data_Approval_Status]]="Approved",LAM_API_TABLE[[#This Row],[Total_INI_sqft_Alternative]],LAM_API_TABLE[[#This Row],[Total_INI_sqft]])</f>
        <v>51456936</v>
      </c>
      <c r="AP302">
        <f>IF(LAM_API_TABLE[[#This Row],[New_Res_Constr_Approval_Status]]="Approved",LAM_API_TABLE[[#This Row],[New_Res_Constr_sqft]],0)</f>
        <v>0</v>
      </c>
      <c r="AQ302">
        <f>IF(LAM_API_TABLE[[#This Row],[New_Res_Constr_Approval_Status]]="Approved",LAM_API_TABLE[[#This Row],[New_Res_SLA_norec_sqft]],0)</f>
        <v>0</v>
      </c>
      <c r="AR302">
        <f>IF(LAM_API_TABLE[[#This Row],[New_Res_Constr_Approval_Status]]="Approved",LAM_API_TABLE[[#This Row],[New_Res_SLA_rec_sqft]],0)</f>
        <v>0</v>
      </c>
      <c r="AS302">
        <f>IF(LAM_API_TABLE[[#This Row],[Existing_Res_SLA_Data_Approval_Status]]="Approved",LAM_API_TABLE[[#This Row],[Existing_Res_SLA_norec_sqft]],0)</f>
        <v>0</v>
      </c>
      <c r="AT302">
        <f>IF(LAM_API_TABLE[[#This Row],[Existing_Res_SLA_Data_Approval_Status]]="Approved",LAM_API_TABLE[[#This Row],[Existing_Res_SLA_rec_sqft]],0)</f>
        <v>0</v>
      </c>
    </row>
    <row r="303" spans="1:46" x14ac:dyDescent="0.25">
      <c r="A303" t="s">
        <v>2109</v>
      </c>
      <c r="B303" t="s">
        <v>2110</v>
      </c>
      <c r="C303" t="s">
        <v>3331</v>
      </c>
      <c r="D303" t="s">
        <v>3332</v>
      </c>
      <c r="E303">
        <v>2018</v>
      </c>
      <c r="F303">
        <v>48184</v>
      </c>
      <c r="G303">
        <v>341061</v>
      </c>
      <c r="H303">
        <v>2704742</v>
      </c>
      <c r="I303">
        <v>171931466</v>
      </c>
      <c r="J303">
        <v>70523142</v>
      </c>
      <c r="K303">
        <v>224658587</v>
      </c>
      <c r="L303">
        <v>186036094</v>
      </c>
      <c r="M303" t="s">
        <v>1859</v>
      </c>
      <c r="AK303">
        <f>IF(LAM_API_TABLE[[#This Row],[Alternative_Data_Approval_Status]]="Approved",LAM_API_TABLE[[#This Row],[HCL_area_sqft_Alternative]],LAM_API_TABLE[[#This Row],[HCL_area_sqft]])</f>
        <v>48184</v>
      </c>
      <c r="AL303">
        <f>IF(LAM_API_TABLE[[#This Row],[Alternative_Data_Approval_Status]]="Approved",LAM_API_TABLE[[#This Row],[Ag_area_sqft_Alternative]],LAM_API_TABLE[[#This Row],[Ag_area_sqft]])</f>
        <v>341061</v>
      </c>
      <c r="AM303">
        <f>IF(LAM_API_TABLE[[#This Row],[Alternative_Data_Approval_Status]]="Approved",LAM_API_TABLE[[#This Row],[Pool_area_sqft_Alternative]],LAM_API_TABLE[[#This Row],[Pool_area_sqft]])</f>
        <v>2704742</v>
      </c>
      <c r="AN303">
        <f>IF(LAM_API_TABLE[[#This Row],[Alternative_Data_Approval_Status]]="Approved",LAM_API_TABLE[[#This Row],[Total_II_sqft_Alternative]],LAM_API_TABLE[[#This Row],[Total_II_sqft]])</f>
        <v>171931466</v>
      </c>
      <c r="AO303">
        <f>IF(LAM_API_TABLE[[#This Row],[Alternative_Data_Approval_Status]]="Approved",LAM_API_TABLE[[#This Row],[Total_INI_sqft_Alternative]],LAM_API_TABLE[[#This Row],[Total_INI_sqft]])</f>
        <v>70523142</v>
      </c>
      <c r="AP303">
        <f>IF(LAM_API_TABLE[[#This Row],[New_Res_Constr_Approval_Status]]="Approved",LAM_API_TABLE[[#This Row],[New_Res_Constr_sqft]],0)</f>
        <v>0</v>
      </c>
      <c r="AQ303">
        <f>IF(LAM_API_TABLE[[#This Row],[New_Res_Constr_Approval_Status]]="Approved",LAM_API_TABLE[[#This Row],[New_Res_SLA_norec_sqft]],0)</f>
        <v>0</v>
      </c>
      <c r="AR303">
        <f>IF(LAM_API_TABLE[[#This Row],[New_Res_Constr_Approval_Status]]="Approved",LAM_API_TABLE[[#This Row],[New_Res_SLA_rec_sqft]],0)</f>
        <v>0</v>
      </c>
      <c r="AS303">
        <f>IF(LAM_API_TABLE[[#This Row],[Existing_Res_SLA_Data_Approval_Status]]="Approved",LAM_API_TABLE[[#This Row],[Existing_Res_SLA_norec_sqft]],0)</f>
        <v>0</v>
      </c>
      <c r="AT303">
        <f>IF(LAM_API_TABLE[[#This Row],[Existing_Res_SLA_Data_Approval_Status]]="Approved",LAM_API_TABLE[[#This Row],[Existing_Res_SLA_rec_sqft]],0)</f>
        <v>0</v>
      </c>
    </row>
    <row r="304" spans="1:46" x14ac:dyDescent="0.25">
      <c r="A304" t="s">
        <v>2113</v>
      </c>
      <c r="B304" t="s">
        <v>2114</v>
      </c>
      <c r="C304" t="s">
        <v>3333</v>
      </c>
      <c r="D304" t="s">
        <v>3334</v>
      </c>
      <c r="E304">
        <v>2018</v>
      </c>
      <c r="F304">
        <v>26914</v>
      </c>
      <c r="G304">
        <v>1125962</v>
      </c>
      <c r="H304">
        <v>1484332</v>
      </c>
      <c r="I304">
        <v>73665960</v>
      </c>
      <c r="J304">
        <v>99720974</v>
      </c>
      <c r="K304">
        <v>228478797</v>
      </c>
      <c r="L304">
        <v>93610155</v>
      </c>
      <c r="M304" t="s">
        <v>1859</v>
      </c>
      <c r="AK304">
        <f>IF(LAM_API_TABLE[[#This Row],[Alternative_Data_Approval_Status]]="Approved",LAM_API_TABLE[[#This Row],[HCL_area_sqft_Alternative]],LAM_API_TABLE[[#This Row],[HCL_area_sqft]])</f>
        <v>26914</v>
      </c>
      <c r="AL304">
        <f>IF(LAM_API_TABLE[[#This Row],[Alternative_Data_Approval_Status]]="Approved",LAM_API_TABLE[[#This Row],[Ag_area_sqft_Alternative]],LAM_API_TABLE[[#This Row],[Ag_area_sqft]])</f>
        <v>1125962</v>
      </c>
      <c r="AM304">
        <f>IF(LAM_API_TABLE[[#This Row],[Alternative_Data_Approval_Status]]="Approved",LAM_API_TABLE[[#This Row],[Pool_area_sqft_Alternative]],LAM_API_TABLE[[#This Row],[Pool_area_sqft]])</f>
        <v>1484332</v>
      </c>
      <c r="AN304">
        <f>IF(LAM_API_TABLE[[#This Row],[Alternative_Data_Approval_Status]]="Approved",LAM_API_TABLE[[#This Row],[Total_II_sqft_Alternative]],LAM_API_TABLE[[#This Row],[Total_II_sqft]])</f>
        <v>73665960</v>
      </c>
      <c r="AO304">
        <f>IF(LAM_API_TABLE[[#This Row],[Alternative_Data_Approval_Status]]="Approved",LAM_API_TABLE[[#This Row],[Total_INI_sqft_Alternative]],LAM_API_TABLE[[#This Row],[Total_INI_sqft]])</f>
        <v>99720974</v>
      </c>
      <c r="AP304">
        <f>IF(LAM_API_TABLE[[#This Row],[New_Res_Constr_Approval_Status]]="Approved",LAM_API_TABLE[[#This Row],[New_Res_Constr_sqft]],0)</f>
        <v>0</v>
      </c>
      <c r="AQ304">
        <f>IF(LAM_API_TABLE[[#This Row],[New_Res_Constr_Approval_Status]]="Approved",LAM_API_TABLE[[#This Row],[New_Res_SLA_norec_sqft]],0)</f>
        <v>0</v>
      </c>
      <c r="AR304">
        <f>IF(LAM_API_TABLE[[#This Row],[New_Res_Constr_Approval_Status]]="Approved",LAM_API_TABLE[[#This Row],[New_Res_SLA_rec_sqft]],0)</f>
        <v>0</v>
      </c>
      <c r="AS304">
        <f>IF(LAM_API_TABLE[[#This Row],[Existing_Res_SLA_Data_Approval_Status]]="Approved",LAM_API_TABLE[[#This Row],[Existing_Res_SLA_norec_sqft]],0)</f>
        <v>0</v>
      </c>
      <c r="AT304">
        <f>IF(LAM_API_TABLE[[#This Row],[Existing_Res_SLA_Data_Approval_Status]]="Approved",LAM_API_TABLE[[#This Row],[Existing_Res_SLA_rec_sqft]],0)</f>
        <v>0</v>
      </c>
    </row>
    <row r="305" spans="1:46" x14ac:dyDescent="0.25">
      <c r="A305" t="s">
        <v>2117</v>
      </c>
      <c r="B305" t="s">
        <v>3335</v>
      </c>
      <c r="C305" t="s">
        <v>3336</v>
      </c>
      <c r="D305" t="s">
        <v>3337</v>
      </c>
      <c r="E305">
        <v>2018</v>
      </c>
      <c r="F305">
        <v>37351</v>
      </c>
      <c r="H305">
        <v>154750</v>
      </c>
      <c r="I305">
        <v>8366125</v>
      </c>
      <c r="J305">
        <v>5517148</v>
      </c>
      <c r="K305">
        <v>24379339</v>
      </c>
      <c r="L305">
        <v>9469555</v>
      </c>
      <c r="M305" t="s">
        <v>1859</v>
      </c>
      <c r="AK305">
        <f>IF(LAM_API_TABLE[[#This Row],[Alternative_Data_Approval_Status]]="Approved",LAM_API_TABLE[[#This Row],[HCL_area_sqft_Alternative]],LAM_API_TABLE[[#This Row],[HCL_area_sqft]])</f>
        <v>37351</v>
      </c>
      <c r="AL305">
        <f>IF(LAM_API_TABLE[[#This Row],[Alternative_Data_Approval_Status]]="Approved",LAM_API_TABLE[[#This Row],[Ag_area_sqft_Alternative]],LAM_API_TABLE[[#This Row],[Ag_area_sqft]])</f>
        <v>0</v>
      </c>
      <c r="AM305">
        <f>IF(LAM_API_TABLE[[#This Row],[Alternative_Data_Approval_Status]]="Approved",LAM_API_TABLE[[#This Row],[Pool_area_sqft_Alternative]],LAM_API_TABLE[[#This Row],[Pool_area_sqft]])</f>
        <v>154750</v>
      </c>
      <c r="AN305">
        <f>IF(LAM_API_TABLE[[#This Row],[Alternative_Data_Approval_Status]]="Approved",LAM_API_TABLE[[#This Row],[Total_II_sqft_Alternative]],LAM_API_TABLE[[#This Row],[Total_II_sqft]])</f>
        <v>8366125</v>
      </c>
      <c r="AO305">
        <f>IF(LAM_API_TABLE[[#This Row],[Alternative_Data_Approval_Status]]="Approved",LAM_API_TABLE[[#This Row],[Total_INI_sqft_Alternative]],LAM_API_TABLE[[#This Row],[Total_INI_sqft]])</f>
        <v>5517148</v>
      </c>
      <c r="AP305">
        <f>IF(LAM_API_TABLE[[#This Row],[New_Res_Constr_Approval_Status]]="Approved",LAM_API_TABLE[[#This Row],[New_Res_Constr_sqft]],0)</f>
        <v>0</v>
      </c>
      <c r="AQ305">
        <f>IF(LAM_API_TABLE[[#This Row],[New_Res_Constr_Approval_Status]]="Approved",LAM_API_TABLE[[#This Row],[New_Res_SLA_norec_sqft]],0)</f>
        <v>0</v>
      </c>
      <c r="AR305">
        <f>IF(LAM_API_TABLE[[#This Row],[New_Res_Constr_Approval_Status]]="Approved",LAM_API_TABLE[[#This Row],[New_Res_SLA_rec_sqft]],0)</f>
        <v>0</v>
      </c>
      <c r="AS305">
        <f>IF(LAM_API_TABLE[[#This Row],[Existing_Res_SLA_Data_Approval_Status]]="Approved",LAM_API_TABLE[[#This Row],[Existing_Res_SLA_norec_sqft]],0)</f>
        <v>0</v>
      </c>
      <c r="AT305">
        <f>IF(LAM_API_TABLE[[#This Row],[Existing_Res_SLA_Data_Approval_Status]]="Approved",LAM_API_TABLE[[#This Row],[Existing_Res_SLA_rec_sqft]],0)</f>
        <v>0</v>
      </c>
    </row>
    <row r="306" spans="1:46" x14ac:dyDescent="0.25">
      <c r="A306" t="s">
        <v>2121</v>
      </c>
      <c r="B306" t="s">
        <v>2122</v>
      </c>
      <c r="C306" t="s">
        <v>3338</v>
      </c>
      <c r="D306" t="s">
        <v>3339</v>
      </c>
      <c r="E306">
        <v>2018</v>
      </c>
      <c r="H306">
        <v>23535</v>
      </c>
      <c r="I306">
        <v>16114942</v>
      </c>
      <c r="J306">
        <v>6016720</v>
      </c>
      <c r="K306">
        <v>40539912</v>
      </c>
      <c r="L306">
        <v>17318286</v>
      </c>
      <c r="M306" t="s">
        <v>1859</v>
      </c>
      <c r="AK306">
        <f>IF(LAM_API_TABLE[[#This Row],[Alternative_Data_Approval_Status]]="Approved",LAM_API_TABLE[[#This Row],[HCL_area_sqft_Alternative]],LAM_API_TABLE[[#This Row],[HCL_area_sqft]])</f>
        <v>0</v>
      </c>
      <c r="AL306">
        <f>IF(LAM_API_TABLE[[#This Row],[Alternative_Data_Approval_Status]]="Approved",LAM_API_TABLE[[#This Row],[Ag_area_sqft_Alternative]],LAM_API_TABLE[[#This Row],[Ag_area_sqft]])</f>
        <v>0</v>
      </c>
      <c r="AM306">
        <f>IF(LAM_API_TABLE[[#This Row],[Alternative_Data_Approval_Status]]="Approved",LAM_API_TABLE[[#This Row],[Pool_area_sqft_Alternative]],LAM_API_TABLE[[#This Row],[Pool_area_sqft]])</f>
        <v>23535</v>
      </c>
      <c r="AN306">
        <f>IF(LAM_API_TABLE[[#This Row],[Alternative_Data_Approval_Status]]="Approved",LAM_API_TABLE[[#This Row],[Total_II_sqft_Alternative]],LAM_API_TABLE[[#This Row],[Total_II_sqft]])</f>
        <v>16114942</v>
      </c>
      <c r="AO306">
        <f>IF(LAM_API_TABLE[[#This Row],[Alternative_Data_Approval_Status]]="Approved",LAM_API_TABLE[[#This Row],[Total_INI_sqft_Alternative]],LAM_API_TABLE[[#This Row],[Total_INI_sqft]])</f>
        <v>6016720</v>
      </c>
      <c r="AP306">
        <f>IF(LAM_API_TABLE[[#This Row],[New_Res_Constr_Approval_Status]]="Approved",LAM_API_TABLE[[#This Row],[New_Res_Constr_sqft]],0)</f>
        <v>0</v>
      </c>
      <c r="AQ306">
        <f>IF(LAM_API_TABLE[[#This Row],[New_Res_Constr_Approval_Status]]="Approved",LAM_API_TABLE[[#This Row],[New_Res_SLA_norec_sqft]],0)</f>
        <v>0</v>
      </c>
      <c r="AR306">
        <f>IF(LAM_API_TABLE[[#This Row],[New_Res_Constr_Approval_Status]]="Approved",LAM_API_TABLE[[#This Row],[New_Res_SLA_rec_sqft]],0)</f>
        <v>0</v>
      </c>
      <c r="AS306">
        <f>IF(LAM_API_TABLE[[#This Row],[Existing_Res_SLA_Data_Approval_Status]]="Approved",LAM_API_TABLE[[#This Row],[Existing_Res_SLA_norec_sqft]],0)</f>
        <v>0</v>
      </c>
      <c r="AT306">
        <f>IF(LAM_API_TABLE[[#This Row],[Existing_Res_SLA_Data_Approval_Status]]="Approved",LAM_API_TABLE[[#This Row],[Existing_Res_SLA_rec_sqft]],0)</f>
        <v>0</v>
      </c>
    </row>
    <row r="307" spans="1:46" x14ac:dyDescent="0.25">
      <c r="A307" t="s">
        <v>2125</v>
      </c>
      <c r="B307" t="s">
        <v>3340</v>
      </c>
      <c r="C307" t="s">
        <v>3341</v>
      </c>
      <c r="D307" t="s">
        <v>3342</v>
      </c>
      <c r="E307">
        <v>2018</v>
      </c>
      <c r="G307">
        <v>1100664</v>
      </c>
      <c r="H307">
        <v>317323</v>
      </c>
      <c r="I307">
        <v>51481619</v>
      </c>
      <c r="J307">
        <v>23097293</v>
      </c>
      <c r="K307">
        <v>141948508</v>
      </c>
      <c r="L307">
        <v>56101078</v>
      </c>
      <c r="M307" t="s">
        <v>1859</v>
      </c>
      <c r="AK307">
        <f>IF(LAM_API_TABLE[[#This Row],[Alternative_Data_Approval_Status]]="Approved",LAM_API_TABLE[[#This Row],[HCL_area_sqft_Alternative]],LAM_API_TABLE[[#This Row],[HCL_area_sqft]])</f>
        <v>0</v>
      </c>
      <c r="AL307">
        <f>IF(LAM_API_TABLE[[#This Row],[Alternative_Data_Approval_Status]]="Approved",LAM_API_TABLE[[#This Row],[Ag_area_sqft_Alternative]],LAM_API_TABLE[[#This Row],[Ag_area_sqft]])</f>
        <v>1100664</v>
      </c>
      <c r="AM307">
        <f>IF(LAM_API_TABLE[[#This Row],[Alternative_Data_Approval_Status]]="Approved",LAM_API_TABLE[[#This Row],[Pool_area_sqft_Alternative]],LAM_API_TABLE[[#This Row],[Pool_area_sqft]])</f>
        <v>317323</v>
      </c>
      <c r="AN307">
        <f>IF(LAM_API_TABLE[[#This Row],[Alternative_Data_Approval_Status]]="Approved",LAM_API_TABLE[[#This Row],[Total_II_sqft_Alternative]],LAM_API_TABLE[[#This Row],[Total_II_sqft]])</f>
        <v>51481619</v>
      </c>
      <c r="AO307">
        <f>IF(LAM_API_TABLE[[#This Row],[Alternative_Data_Approval_Status]]="Approved",LAM_API_TABLE[[#This Row],[Total_INI_sqft_Alternative]],LAM_API_TABLE[[#This Row],[Total_INI_sqft]])</f>
        <v>23097293</v>
      </c>
      <c r="AP307">
        <f>IF(LAM_API_TABLE[[#This Row],[New_Res_Constr_Approval_Status]]="Approved",LAM_API_TABLE[[#This Row],[New_Res_Constr_sqft]],0)</f>
        <v>0</v>
      </c>
      <c r="AQ307">
        <f>IF(LAM_API_TABLE[[#This Row],[New_Res_Constr_Approval_Status]]="Approved",LAM_API_TABLE[[#This Row],[New_Res_SLA_norec_sqft]],0)</f>
        <v>0</v>
      </c>
      <c r="AR307">
        <f>IF(LAM_API_TABLE[[#This Row],[New_Res_Constr_Approval_Status]]="Approved",LAM_API_TABLE[[#This Row],[New_Res_SLA_rec_sqft]],0)</f>
        <v>0</v>
      </c>
      <c r="AS307">
        <f>IF(LAM_API_TABLE[[#This Row],[Existing_Res_SLA_Data_Approval_Status]]="Approved",LAM_API_TABLE[[#This Row],[Existing_Res_SLA_norec_sqft]],0)</f>
        <v>0</v>
      </c>
      <c r="AT307">
        <f>IF(LAM_API_TABLE[[#This Row],[Existing_Res_SLA_Data_Approval_Status]]="Approved",LAM_API_TABLE[[#This Row],[Existing_Res_SLA_rec_sqft]],0)</f>
        <v>0</v>
      </c>
    </row>
    <row r="308" spans="1:46" x14ac:dyDescent="0.25">
      <c r="A308" t="s">
        <v>2129</v>
      </c>
      <c r="B308" t="s">
        <v>3343</v>
      </c>
      <c r="C308" t="s">
        <v>3344</v>
      </c>
      <c r="D308" t="s">
        <v>3345</v>
      </c>
      <c r="E308">
        <v>2018</v>
      </c>
      <c r="H308">
        <v>719726</v>
      </c>
      <c r="I308">
        <v>44022738</v>
      </c>
      <c r="J308">
        <v>10432889</v>
      </c>
      <c r="K308">
        <v>90036629</v>
      </c>
      <c r="L308">
        <v>46109316</v>
      </c>
      <c r="M308" t="s">
        <v>1859</v>
      </c>
      <c r="AK308">
        <f>IF(LAM_API_TABLE[[#This Row],[Alternative_Data_Approval_Status]]="Approved",LAM_API_TABLE[[#This Row],[HCL_area_sqft_Alternative]],LAM_API_TABLE[[#This Row],[HCL_area_sqft]])</f>
        <v>0</v>
      </c>
      <c r="AL308">
        <f>IF(LAM_API_TABLE[[#This Row],[Alternative_Data_Approval_Status]]="Approved",LAM_API_TABLE[[#This Row],[Ag_area_sqft_Alternative]],LAM_API_TABLE[[#This Row],[Ag_area_sqft]])</f>
        <v>0</v>
      </c>
      <c r="AM308">
        <f>IF(LAM_API_TABLE[[#This Row],[Alternative_Data_Approval_Status]]="Approved",LAM_API_TABLE[[#This Row],[Pool_area_sqft_Alternative]],LAM_API_TABLE[[#This Row],[Pool_area_sqft]])</f>
        <v>719726</v>
      </c>
      <c r="AN308">
        <f>IF(LAM_API_TABLE[[#This Row],[Alternative_Data_Approval_Status]]="Approved",LAM_API_TABLE[[#This Row],[Total_II_sqft_Alternative]],LAM_API_TABLE[[#This Row],[Total_II_sqft]])</f>
        <v>44022738</v>
      </c>
      <c r="AO308">
        <f>IF(LAM_API_TABLE[[#This Row],[Alternative_Data_Approval_Status]]="Approved",LAM_API_TABLE[[#This Row],[Total_INI_sqft_Alternative]],LAM_API_TABLE[[#This Row],[Total_INI_sqft]])</f>
        <v>10432889</v>
      </c>
      <c r="AP308">
        <f>IF(LAM_API_TABLE[[#This Row],[New_Res_Constr_Approval_Status]]="Approved",LAM_API_TABLE[[#This Row],[New_Res_Constr_sqft]],0)</f>
        <v>0</v>
      </c>
      <c r="AQ308">
        <f>IF(LAM_API_TABLE[[#This Row],[New_Res_Constr_Approval_Status]]="Approved",LAM_API_TABLE[[#This Row],[New_Res_SLA_norec_sqft]],0)</f>
        <v>0</v>
      </c>
      <c r="AR308">
        <f>IF(LAM_API_TABLE[[#This Row],[New_Res_Constr_Approval_Status]]="Approved",LAM_API_TABLE[[#This Row],[New_Res_SLA_rec_sqft]],0)</f>
        <v>0</v>
      </c>
      <c r="AS308">
        <f>IF(LAM_API_TABLE[[#This Row],[Existing_Res_SLA_Data_Approval_Status]]="Approved",LAM_API_TABLE[[#This Row],[Existing_Res_SLA_norec_sqft]],0)</f>
        <v>0</v>
      </c>
      <c r="AT308">
        <f>IF(LAM_API_TABLE[[#This Row],[Existing_Res_SLA_Data_Approval_Status]]="Approved",LAM_API_TABLE[[#This Row],[Existing_Res_SLA_rec_sqft]],0)</f>
        <v>0</v>
      </c>
    </row>
    <row r="309" spans="1:46" x14ac:dyDescent="0.25">
      <c r="A309" t="s">
        <v>2133</v>
      </c>
      <c r="B309" t="s">
        <v>3346</v>
      </c>
      <c r="C309" t="s">
        <v>3347</v>
      </c>
      <c r="D309" t="s">
        <v>3348</v>
      </c>
      <c r="E309">
        <v>2018</v>
      </c>
      <c r="F309">
        <v>293343</v>
      </c>
      <c r="G309">
        <v>32902454</v>
      </c>
      <c r="H309">
        <v>8363966</v>
      </c>
      <c r="I309">
        <v>668342621</v>
      </c>
      <c r="J309">
        <v>139922764</v>
      </c>
      <c r="K309">
        <v>1617346337</v>
      </c>
      <c r="L309">
        <v>696327174</v>
      </c>
      <c r="M309" t="s">
        <v>1859</v>
      </c>
      <c r="AK309">
        <f>IF(LAM_API_TABLE[[#This Row],[Alternative_Data_Approval_Status]]="Approved",LAM_API_TABLE[[#This Row],[HCL_area_sqft_Alternative]],LAM_API_TABLE[[#This Row],[HCL_area_sqft]])</f>
        <v>293343</v>
      </c>
      <c r="AL309">
        <f>IF(LAM_API_TABLE[[#This Row],[Alternative_Data_Approval_Status]]="Approved",LAM_API_TABLE[[#This Row],[Ag_area_sqft_Alternative]],LAM_API_TABLE[[#This Row],[Ag_area_sqft]])</f>
        <v>32902454</v>
      </c>
      <c r="AM309">
        <f>IF(LAM_API_TABLE[[#This Row],[Alternative_Data_Approval_Status]]="Approved",LAM_API_TABLE[[#This Row],[Pool_area_sqft_Alternative]],LAM_API_TABLE[[#This Row],[Pool_area_sqft]])</f>
        <v>8363966</v>
      </c>
      <c r="AN309">
        <f>IF(LAM_API_TABLE[[#This Row],[Alternative_Data_Approval_Status]]="Approved",LAM_API_TABLE[[#This Row],[Total_II_sqft_Alternative]],LAM_API_TABLE[[#This Row],[Total_II_sqft]])</f>
        <v>668342621</v>
      </c>
      <c r="AO309">
        <f>IF(LAM_API_TABLE[[#This Row],[Alternative_Data_Approval_Status]]="Approved",LAM_API_TABLE[[#This Row],[Total_INI_sqft_Alternative]],LAM_API_TABLE[[#This Row],[Total_INI_sqft]])</f>
        <v>139922764</v>
      </c>
      <c r="AP309">
        <f>IF(LAM_API_TABLE[[#This Row],[New_Res_Constr_Approval_Status]]="Approved",LAM_API_TABLE[[#This Row],[New_Res_Constr_sqft]],0)</f>
        <v>0</v>
      </c>
      <c r="AQ309">
        <f>IF(LAM_API_TABLE[[#This Row],[New_Res_Constr_Approval_Status]]="Approved",LAM_API_TABLE[[#This Row],[New_Res_SLA_norec_sqft]],0)</f>
        <v>0</v>
      </c>
      <c r="AR309">
        <f>IF(LAM_API_TABLE[[#This Row],[New_Res_Constr_Approval_Status]]="Approved",LAM_API_TABLE[[#This Row],[New_Res_SLA_rec_sqft]],0)</f>
        <v>0</v>
      </c>
      <c r="AS309">
        <f>IF(LAM_API_TABLE[[#This Row],[Existing_Res_SLA_Data_Approval_Status]]="Approved",LAM_API_TABLE[[#This Row],[Existing_Res_SLA_norec_sqft]],0)</f>
        <v>0</v>
      </c>
      <c r="AT309">
        <f>IF(LAM_API_TABLE[[#This Row],[Existing_Res_SLA_Data_Approval_Status]]="Approved",LAM_API_TABLE[[#This Row],[Existing_Res_SLA_rec_sqft]],0)</f>
        <v>0</v>
      </c>
    </row>
    <row r="310" spans="1:46" x14ac:dyDescent="0.25">
      <c r="A310" t="s">
        <v>2137</v>
      </c>
      <c r="B310" t="s">
        <v>2138</v>
      </c>
      <c r="C310" t="s">
        <v>3349</v>
      </c>
      <c r="D310" t="s">
        <v>3350</v>
      </c>
      <c r="E310">
        <v>2018</v>
      </c>
      <c r="F310">
        <v>12189</v>
      </c>
      <c r="G310">
        <v>343725</v>
      </c>
      <c r="H310">
        <v>406106</v>
      </c>
      <c r="I310">
        <v>39882778</v>
      </c>
      <c r="J310">
        <v>13792790</v>
      </c>
      <c r="K310">
        <v>63986200</v>
      </c>
      <c r="L310">
        <v>42641336</v>
      </c>
      <c r="M310" t="s">
        <v>1859</v>
      </c>
      <c r="AK310">
        <f>IF(LAM_API_TABLE[[#This Row],[Alternative_Data_Approval_Status]]="Approved",LAM_API_TABLE[[#This Row],[HCL_area_sqft_Alternative]],LAM_API_TABLE[[#This Row],[HCL_area_sqft]])</f>
        <v>12189</v>
      </c>
      <c r="AL310">
        <f>IF(LAM_API_TABLE[[#This Row],[Alternative_Data_Approval_Status]]="Approved",LAM_API_TABLE[[#This Row],[Ag_area_sqft_Alternative]],LAM_API_TABLE[[#This Row],[Ag_area_sqft]])</f>
        <v>343725</v>
      </c>
      <c r="AM310">
        <f>IF(LAM_API_TABLE[[#This Row],[Alternative_Data_Approval_Status]]="Approved",LAM_API_TABLE[[#This Row],[Pool_area_sqft_Alternative]],LAM_API_TABLE[[#This Row],[Pool_area_sqft]])</f>
        <v>406106</v>
      </c>
      <c r="AN310">
        <f>IF(LAM_API_TABLE[[#This Row],[Alternative_Data_Approval_Status]]="Approved",LAM_API_TABLE[[#This Row],[Total_II_sqft_Alternative]],LAM_API_TABLE[[#This Row],[Total_II_sqft]])</f>
        <v>39882778</v>
      </c>
      <c r="AO310">
        <f>IF(LAM_API_TABLE[[#This Row],[Alternative_Data_Approval_Status]]="Approved",LAM_API_TABLE[[#This Row],[Total_INI_sqft_Alternative]],LAM_API_TABLE[[#This Row],[Total_INI_sqft]])</f>
        <v>13792790</v>
      </c>
      <c r="AP310">
        <f>IF(LAM_API_TABLE[[#This Row],[New_Res_Constr_Approval_Status]]="Approved",LAM_API_TABLE[[#This Row],[New_Res_Constr_sqft]],0)</f>
        <v>0</v>
      </c>
      <c r="AQ310">
        <f>IF(LAM_API_TABLE[[#This Row],[New_Res_Constr_Approval_Status]]="Approved",LAM_API_TABLE[[#This Row],[New_Res_SLA_norec_sqft]],0)</f>
        <v>0</v>
      </c>
      <c r="AR310">
        <f>IF(LAM_API_TABLE[[#This Row],[New_Res_Constr_Approval_Status]]="Approved",LAM_API_TABLE[[#This Row],[New_Res_SLA_rec_sqft]],0)</f>
        <v>0</v>
      </c>
      <c r="AS310">
        <f>IF(LAM_API_TABLE[[#This Row],[Existing_Res_SLA_Data_Approval_Status]]="Approved",LAM_API_TABLE[[#This Row],[Existing_Res_SLA_norec_sqft]],0)</f>
        <v>0</v>
      </c>
      <c r="AT310">
        <f>IF(LAM_API_TABLE[[#This Row],[Existing_Res_SLA_Data_Approval_Status]]="Approved",LAM_API_TABLE[[#This Row],[Existing_Res_SLA_rec_sqft]],0)</f>
        <v>0</v>
      </c>
    </row>
    <row r="311" spans="1:46" x14ac:dyDescent="0.25">
      <c r="A311" t="s">
        <v>2141</v>
      </c>
      <c r="B311" t="s">
        <v>3351</v>
      </c>
      <c r="C311" t="s">
        <v>3352</v>
      </c>
      <c r="D311" t="s">
        <v>3353</v>
      </c>
      <c r="E311">
        <v>2018</v>
      </c>
      <c r="H311">
        <v>115086</v>
      </c>
      <c r="I311">
        <v>8525522</v>
      </c>
      <c r="J311">
        <v>2546715</v>
      </c>
      <c r="K311">
        <v>17855202</v>
      </c>
      <c r="L311">
        <v>9034865</v>
      </c>
      <c r="M311" t="s">
        <v>1859</v>
      </c>
      <c r="AK311">
        <f>IF(LAM_API_TABLE[[#This Row],[Alternative_Data_Approval_Status]]="Approved",LAM_API_TABLE[[#This Row],[HCL_area_sqft_Alternative]],LAM_API_TABLE[[#This Row],[HCL_area_sqft]])</f>
        <v>0</v>
      </c>
      <c r="AL311">
        <f>IF(LAM_API_TABLE[[#This Row],[Alternative_Data_Approval_Status]]="Approved",LAM_API_TABLE[[#This Row],[Ag_area_sqft_Alternative]],LAM_API_TABLE[[#This Row],[Ag_area_sqft]])</f>
        <v>0</v>
      </c>
      <c r="AM311">
        <f>IF(LAM_API_TABLE[[#This Row],[Alternative_Data_Approval_Status]]="Approved",LAM_API_TABLE[[#This Row],[Pool_area_sqft_Alternative]],LAM_API_TABLE[[#This Row],[Pool_area_sqft]])</f>
        <v>115086</v>
      </c>
      <c r="AN311">
        <f>IF(LAM_API_TABLE[[#This Row],[Alternative_Data_Approval_Status]]="Approved",LAM_API_TABLE[[#This Row],[Total_II_sqft_Alternative]],LAM_API_TABLE[[#This Row],[Total_II_sqft]])</f>
        <v>8525522</v>
      </c>
      <c r="AO311">
        <f>IF(LAM_API_TABLE[[#This Row],[Alternative_Data_Approval_Status]]="Approved",LAM_API_TABLE[[#This Row],[Total_INI_sqft_Alternative]],LAM_API_TABLE[[#This Row],[Total_INI_sqft]])</f>
        <v>2546715</v>
      </c>
      <c r="AP311">
        <f>IF(LAM_API_TABLE[[#This Row],[New_Res_Constr_Approval_Status]]="Approved",LAM_API_TABLE[[#This Row],[New_Res_Constr_sqft]],0)</f>
        <v>0</v>
      </c>
      <c r="AQ311">
        <f>IF(LAM_API_TABLE[[#This Row],[New_Res_Constr_Approval_Status]]="Approved",LAM_API_TABLE[[#This Row],[New_Res_SLA_norec_sqft]],0)</f>
        <v>0</v>
      </c>
      <c r="AR311">
        <f>IF(LAM_API_TABLE[[#This Row],[New_Res_Constr_Approval_Status]]="Approved",LAM_API_TABLE[[#This Row],[New_Res_SLA_rec_sqft]],0)</f>
        <v>0</v>
      </c>
      <c r="AS311">
        <f>IF(LAM_API_TABLE[[#This Row],[Existing_Res_SLA_Data_Approval_Status]]="Approved",LAM_API_TABLE[[#This Row],[Existing_Res_SLA_norec_sqft]],0)</f>
        <v>0</v>
      </c>
      <c r="AT311">
        <f>IF(LAM_API_TABLE[[#This Row],[Existing_Res_SLA_Data_Approval_Status]]="Approved",LAM_API_TABLE[[#This Row],[Existing_Res_SLA_rec_sqft]],0)</f>
        <v>0</v>
      </c>
    </row>
    <row r="312" spans="1:46" x14ac:dyDescent="0.25">
      <c r="A312" t="s">
        <v>2145</v>
      </c>
      <c r="B312" t="s">
        <v>3354</v>
      </c>
      <c r="C312" t="s">
        <v>3355</v>
      </c>
      <c r="D312" t="s">
        <v>3356</v>
      </c>
      <c r="E312">
        <v>2018</v>
      </c>
      <c r="G312">
        <v>362436</v>
      </c>
      <c r="H312">
        <v>50111</v>
      </c>
      <c r="I312">
        <v>86981462</v>
      </c>
      <c r="J312">
        <v>41705900</v>
      </c>
      <c r="K312">
        <v>328528527</v>
      </c>
      <c r="L312">
        <v>95322642</v>
      </c>
      <c r="M312" t="s">
        <v>1859</v>
      </c>
      <c r="AK312">
        <f>IF(LAM_API_TABLE[[#This Row],[Alternative_Data_Approval_Status]]="Approved",LAM_API_TABLE[[#This Row],[HCL_area_sqft_Alternative]],LAM_API_TABLE[[#This Row],[HCL_area_sqft]])</f>
        <v>0</v>
      </c>
      <c r="AL312">
        <f>IF(LAM_API_TABLE[[#This Row],[Alternative_Data_Approval_Status]]="Approved",LAM_API_TABLE[[#This Row],[Ag_area_sqft_Alternative]],LAM_API_TABLE[[#This Row],[Ag_area_sqft]])</f>
        <v>362436</v>
      </c>
      <c r="AM312">
        <f>IF(LAM_API_TABLE[[#This Row],[Alternative_Data_Approval_Status]]="Approved",LAM_API_TABLE[[#This Row],[Pool_area_sqft_Alternative]],LAM_API_TABLE[[#This Row],[Pool_area_sqft]])</f>
        <v>50111</v>
      </c>
      <c r="AN312">
        <f>IF(LAM_API_TABLE[[#This Row],[Alternative_Data_Approval_Status]]="Approved",LAM_API_TABLE[[#This Row],[Total_II_sqft_Alternative]],LAM_API_TABLE[[#This Row],[Total_II_sqft]])</f>
        <v>86981462</v>
      </c>
      <c r="AO312">
        <f>IF(LAM_API_TABLE[[#This Row],[Alternative_Data_Approval_Status]]="Approved",LAM_API_TABLE[[#This Row],[Total_INI_sqft_Alternative]],LAM_API_TABLE[[#This Row],[Total_INI_sqft]])</f>
        <v>41705900</v>
      </c>
      <c r="AP312">
        <f>IF(LAM_API_TABLE[[#This Row],[New_Res_Constr_Approval_Status]]="Approved",LAM_API_TABLE[[#This Row],[New_Res_Constr_sqft]],0)</f>
        <v>0</v>
      </c>
      <c r="AQ312">
        <f>IF(LAM_API_TABLE[[#This Row],[New_Res_Constr_Approval_Status]]="Approved",LAM_API_TABLE[[#This Row],[New_Res_SLA_norec_sqft]],0)</f>
        <v>0</v>
      </c>
      <c r="AR312">
        <f>IF(LAM_API_TABLE[[#This Row],[New_Res_Constr_Approval_Status]]="Approved",LAM_API_TABLE[[#This Row],[New_Res_SLA_rec_sqft]],0)</f>
        <v>0</v>
      </c>
      <c r="AS312">
        <f>IF(LAM_API_TABLE[[#This Row],[Existing_Res_SLA_Data_Approval_Status]]="Approved",LAM_API_TABLE[[#This Row],[Existing_Res_SLA_norec_sqft]],0)</f>
        <v>0</v>
      </c>
      <c r="AT312">
        <f>IF(LAM_API_TABLE[[#This Row],[Existing_Res_SLA_Data_Approval_Status]]="Approved",LAM_API_TABLE[[#This Row],[Existing_Res_SLA_rec_sqft]],0)</f>
        <v>0</v>
      </c>
    </row>
    <row r="313" spans="1:46" x14ac:dyDescent="0.25">
      <c r="A313" t="s">
        <v>2154</v>
      </c>
      <c r="B313" t="s">
        <v>3357</v>
      </c>
      <c r="C313" t="s">
        <v>3358</v>
      </c>
      <c r="D313" t="s">
        <v>3359</v>
      </c>
      <c r="E313">
        <v>2018</v>
      </c>
      <c r="H313">
        <v>212694</v>
      </c>
      <c r="I313">
        <v>12591905</v>
      </c>
      <c r="J313">
        <v>9319369</v>
      </c>
      <c r="K313">
        <v>37900399</v>
      </c>
      <c r="L313">
        <v>14455779</v>
      </c>
      <c r="M313" t="s">
        <v>1859</v>
      </c>
      <c r="AK313">
        <f>IF(LAM_API_TABLE[[#This Row],[Alternative_Data_Approval_Status]]="Approved",LAM_API_TABLE[[#This Row],[HCL_area_sqft_Alternative]],LAM_API_TABLE[[#This Row],[HCL_area_sqft]])</f>
        <v>0</v>
      </c>
      <c r="AL313">
        <f>IF(LAM_API_TABLE[[#This Row],[Alternative_Data_Approval_Status]]="Approved",LAM_API_TABLE[[#This Row],[Ag_area_sqft_Alternative]],LAM_API_TABLE[[#This Row],[Ag_area_sqft]])</f>
        <v>0</v>
      </c>
      <c r="AM313">
        <f>IF(LAM_API_TABLE[[#This Row],[Alternative_Data_Approval_Status]]="Approved",LAM_API_TABLE[[#This Row],[Pool_area_sqft_Alternative]],LAM_API_TABLE[[#This Row],[Pool_area_sqft]])</f>
        <v>212694</v>
      </c>
      <c r="AN313">
        <f>IF(LAM_API_TABLE[[#This Row],[Alternative_Data_Approval_Status]]="Approved",LAM_API_TABLE[[#This Row],[Total_II_sqft_Alternative]],LAM_API_TABLE[[#This Row],[Total_II_sqft]])</f>
        <v>12591905</v>
      </c>
      <c r="AO313">
        <f>IF(LAM_API_TABLE[[#This Row],[Alternative_Data_Approval_Status]]="Approved",LAM_API_TABLE[[#This Row],[Total_INI_sqft_Alternative]],LAM_API_TABLE[[#This Row],[Total_INI_sqft]])</f>
        <v>9319369</v>
      </c>
      <c r="AP313">
        <f>IF(LAM_API_TABLE[[#This Row],[New_Res_Constr_Approval_Status]]="Approved",LAM_API_TABLE[[#This Row],[New_Res_Constr_sqft]],0)</f>
        <v>0</v>
      </c>
      <c r="AQ313">
        <f>IF(LAM_API_TABLE[[#This Row],[New_Res_Constr_Approval_Status]]="Approved",LAM_API_TABLE[[#This Row],[New_Res_SLA_norec_sqft]],0)</f>
        <v>0</v>
      </c>
      <c r="AR313">
        <f>IF(LAM_API_TABLE[[#This Row],[New_Res_Constr_Approval_Status]]="Approved",LAM_API_TABLE[[#This Row],[New_Res_SLA_rec_sqft]],0)</f>
        <v>0</v>
      </c>
      <c r="AS313">
        <f>IF(LAM_API_TABLE[[#This Row],[Existing_Res_SLA_Data_Approval_Status]]="Approved",LAM_API_TABLE[[#This Row],[Existing_Res_SLA_norec_sqft]],0)</f>
        <v>0</v>
      </c>
      <c r="AT313">
        <f>IF(LAM_API_TABLE[[#This Row],[Existing_Res_SLA_Data_Approval_Status]]="Approved",LAM_API_TABLE[[#This Row],[Existing_Res_SLA_rec_sqft]],0)</f>
        <v>0</v>
      </c>
    </row>
    <row r="314" spans="1:46" x14ac:dyDescent="0.25">
      <c r="A314" t="s">
        <v>2158</v>
      </c>
      <c r="B314" t="s">
        <v>3360</v>
      </c>
      <c r="C314" t="s">
        <v>3361</v>
      </c>
      <c r="D314" t="s">
        <v>3362</v>
      </c>
      <c r="E314">
        <v>2018</v>
      </c>
      <c r="F314">
        <v>43769</v>
      </c>
      <c r="G314">
        <v>1225006</v>
      </c>
      <c r="H314">
        <v>1792084</v>
      </c>
      <c r="I314">
        <v>112518649</v>
      </c>
      <c r="J314">
        <v>58159544</v>
      </c>
      <c r="K314">
        <v>259234722</v>
      </c>
      <c r="L314">
        <v>124150558</v>
      </c>
      <c r="M314" t="s">
        <v>1859</v>
      </c>
      <c r="AK314">
        <f>IF(LAM_API_TABLE[[#This Row],[Alternative_Data_Approval_Status]]="Approved",LAM_API_TABLE[[#This Row],[HCL_area_sqft_Alternative]],LAM_API_TABLE[[#This Row],[HCL_area_sqft]])</f>
        <v>43769</v>
      </c>
      <c r="AL314">
        <f>IF(LAM_API_TABLE[[#This Row],[Alternative_Data_Approval_Status]]="Approved",LAM_API_TABLE[[#This Row],[Ag_area_sqft_Alternative]],LAM_API_TABLE[[#This Row],[Ag_area_sqft]])</f>
        <v>1225006</v>
      </c>
      <c r="AM314">
        <f>IF(LAM_API_TABLE[[#This Row],[Alternative_Data_Approval_Status]]="Approved",LAM_API_TABLE[[#This Row],[Pool_area_sqft_Alternative]],LAM_API_TABLE[[#This Row],[Pool_area_sqft]])</f>
        <v>1792084</v>
      </c>
      <c r="AN314">
        <f>IF(LAM_API_TABLE[[#This Row],[Alternative_Data_Approval_Status]]="Approved",LAM_API_TABLE[[#This Row],[Total_II_sqft_Alternative]],LAM_API_TABLE[[#This Row],[Total_II_sqft]])</f>
        <v>112518649</v>
      </c>
      <c r="AO314">
        <f>IF(LAM_API_TABLE[[#This Row],[Alternative_Data_Approval_Status]]="Approved",LAM_API_TABLE[[#This Row],[Total_INI_sqft_Alternative]],LAM_API_TABLE[[#This Row],[Total_INI_sqft]])</f>
        <v>58159544</v>
      </c>
      <c r="AP314">
        <f>IF(LAM_API_TABLE[[#This Row],[New_Res_Constr_Approval_Status]]="Approved",LAM_API_TABLE[[#This Row],[New_Res_Constr_sqft]],0)</f>
        <v>0</v>
      </c>
      <c r="AQ314">
        <f>IF(LAM_API_TABLE[[#This Row],[New_Res_Constr_Approval_Status]]="Approved",LAM_API_TABLE[[#This Row],[New_Res_SLA_norec_sqft]],0)</f>
        <v>0</v>
      </c>
      <c r="AR314">
        <f>IF(LAM_API_TABLE[[#This Row],[New_Res_Constr_Approval_Status]]="Approved",LAM_API_TABLE[[#This Row],[New_Res_SLA_rec_sqft]],0)</f>
        <v>0</v>
      </c>
      <c r="AS314">
        <f>IF(LAM_API_TABLE[[#This Row],[Existing_Res_SLA_Data_Approval_Status]]="Approved",LAM_API_TABLE[[#This Row],[Existing_Res_SLA_norec_sqft]],0)</f>
        <v>0</v>
      </c>
      <c r="AT314">
        <f>IF(LAM_API_TABLE[[#This Row],[Existing_Res_SLA_Data_Approval_Status]]="Approved",LAM_API_TABLE[[#This Row],[Existing_Res_SLA_rec_sqft]],0)</f>
        <v>0</v>
      </c>
    </row>
    <row r="315" spans="1:46" x14ac:dyDescent="0.25">
      <c r="A315" t="s">
        <v>2162</v>
      </c>
      <c r="B315" t="s">
        <v>2163</v>
      </c>
      <c r="C315" t="s">
        <v>3363</v>
      </c>
      <c r="D315" t="s">
        <v>3364</v>
      </c>
      <c r="E315">
        <v>2018</v>
      </c>
      <c r="F315">
        <v>77131</v>
      </c>
      <c r="G315">
        <v>281</v>
      </c>
      <c r="H315">
        <v>2148261</v>
      </c>
      <c r="I315">
        <v>86561501</v>
      </c>
      <c r="J315">
        <v>56648026</v>
      </c>
      <c r="K315">
        <v>258959350</v>
      </c>
      <c r="L315">
        <v>97891106</v>
      </c>
      <c r="M315" t="s">
        <v>1859</v>
      </c>
      <c r="AK315">
        <f>IF(LAM_API_TABLE[[#This Row],[Alternative_Data_Approval_Status]]="Approved",LAM_API_TABLE[[#This Row],[HCL_area_sqft_Alternative]],LAM_API_TABLE[[#This Row],[HCL_area_sqft]])</f>
        <v>77131</v>
      </c>
      <c r="AL315">
        <f>IF(LAM_API_TABLE[[#This Row],[Alternative_Data_Approval_Status]]="Approved",LAM_API_TABLE[[#This Row],[Ag_area_sqft_Alternative]],LAM_API_TABLE[[#This Row],[Ag_area_sqft]])</f>
        <v>281</v>
      </c>
      <c r="AM315">
        <f>IF(LAM_API_TABLE[[#This Row],[Alternative_Data_Approval_Status]]="Approved",LAM_API_TABLE[[#This Row],[Pool_area_sqft_Alternative]],LAM_API_TABLE[[#This Row],[Pool_area_sqft]])</f>
        <v>2148261</v>
      </c>
      <c r="AN315">
        <f>IF(LAM_API_TABLE[[#This Row],[Alternative_Data_Approval_Status]]="Approved",LAM_API_TABLE[[#This Row],[Total_II_sqft_Alternative]],LAM_API_TABLE[[#This Row],[Total_II_sqft]])</f>
        <v>86561501</v>
      </c>
      <c r="AO315">
        <f>IF(LAM_API_TABLE[[#This Row],[Alternative_Data_Approval_Status]]="Approved",LAM_API_TABLE[[#This Row],[Total_INI_sqft_Alternative]],LAM_API_TABLE[[#This Row],[Total_INI_sqft]])</f>
        <v>56648026</v>
      </c>
      <c r="AP315">
        <f>IF(LAM_API_TABLE[[#This Row],[New_Res_Constr_Approval_Status]]="Approved",LAM_API_TABLE[[#This Row],[New_Res_Constr_sqft]],0)</f>
        <v>0</v>
      </c>
      <c r="AQ315">
        <f>IF(LAM_API_TABLE[[#This Row],[New_Res_Constr_Approval_Status]]="Approved",LAM_API_TABLE[[#This Row],[New_Res_SLA_norec_sqft]],0)</f>
        <v>0</v>
      </c>
      <c r="AR315">
        <f>IF(LAM_API_TABLE[[#This Row],[New_Res_Constr_Approval_Status]]="Approved",LAM_API_TABLE[[#This Row],[New_Res_SLA_rec_sqft]],0)</f>
        <v>0</v>
      </c>
      <c r="AS315">
        <f>IF(LAM_API_TABLE[[#This Row],[Existing_Res_SLA_Data_Approval_Status]]="Approved",LAM_API_TABLE[[#This Row],[Existing_Res_SLA_norec_sqft]],0)</f>
        <v>0</v>
      </c>
      <c r="AT315">
        <f>IF(LAM_API_TABLE[[#This Row],[Existing_Res_SLA_Data_Approval_Status]]="Approved",LAM_API_TABLE[[#This Row],[Existing_Res_SLA_rec_sqft]],0)</f>
        <v>0</v>
      </c>
    </row>
    <row r="316" spans="1:46" x14ac:dyDescent="0.25">
      <c r="A316" t="s">
        <v>2168</v>
      </c>
      <c r="B316" t="s">
        <v>3365</v>
      </c>
      <c r="C316" t="s">
        <v>3366</v>
      </c>
      <c r="D316" t="s">
        <v>3367</v>
      </c>
      <c r="E316">
        <v>2018</v>
      </c>
      <c r="G316">
        <v>354933</v>
      </c>
      <c r="H316">
        <v>80038</v>
      </c>
      <c r="I316">
        <v>5640131</v>
      </c>
      <c r="J316">
        <v>10710112</v>
      </c>
      <c r="K316">
        <v>24719136</v>
      </c>
      <c r="L316">
        <v>7782153</v>
      </c>
      <c r="M316" t="s">
        <v>1859</v>
      </c>
      <c r="AK316">
        <f>IF(LAM_API_TABLE[[#This Row],[Alternative_Data_Approval_Status]]="Approved",LAM_API_TABLE[[#This Row],[HCL_area_sqft_Alternative]],LAM_API_TABLE[[#This Row],[HCL_area_sqft]])</f>
        <v>0</v>
      </c>
      <c r="AL316">
        <f>IF(LAM_API_TABLE[[#This Row],[Alternative_Data_Approval_Status]]="Approved",LAM_API_TABLE[[#This Row],[Ag_area_sqft_Alternative]],LAM_API_TABLE[[#This Row],[Ag_area_sqft]])</f>
        <v>354933</v>
      </c>
      <c r="AM316">
        <f>IF(LAM_API_TABLE[[#This Row],[Alternative_Data_Approval_Status]]="Approved",LAM_API_TABLE[[#This Row],[Pool_area_sqft_Alternative]],LAM_API_TABLE[[#This Row],[Pool_area_sqft]])</f>
        <v>80038</v>
      </c>
      <c r="AN316">
        <f>IF(LAM_API_TABLE[[#This Row],[Alternative_Data_Approval_Status]]="Approved",LAM_API_TABLE[[#This Row],[Total_II_sqft_Alternative]],LAM_API_TABLE[[#This Row],[Total_II_sqft]])</f>
        <v>5640131</v>
      </c>
      <c r="AO316">
        <f>IF(LAM_API_TABLE[[#This Row],[Alternative_Data_Approval_Status]]="Approved",LAM_API_TABLE[[#This Row],[Total_INI_sqft_Alternative]],LAM_API_TABLE[[#This Row],[Total_INI_sqft]])</f>
        <v>10710112</v>
      </c>
      <c r="AP316">
        <f>IF(LAM_API_TABLE[[#This Row],[New_Res_Constr_Approval_Status]]="Approved",LAM_API_TABLE[[#This Row],[New_Res_Constr_sqft]],0)</f>
        <v>0</v>
      </c>
      <c r="AQ316">
        <f>IF(LAM_API_TABLE[[#This Row],[New_Res_Constr_Approval_Status]]="Approved",LAM_API_TABLE[[#This Row],[New_Res_SLA_norec_sqft]],0)</f>
        <v>0</v>
      </c>
      <c r="AR316">
        <f>IF(LAM_API_TABLE[[#This Row],[New_Res_Constr_Approval_Status]]="Approved",LAM_API_TABLE[[#This Row],[New_Res_SLA_rec_sqft]],0)</f>
        <v>0</v>
      </c>
      <c r="AS316">
        <f>IF(LAM_API_TABLE[[#This Row],[Existing_Res_SLA_Data_Approval_Status]]="Approved",LAM_API_TABLE[[#This Row],[Existing_Res_SLA_norec_sqft]],0)</f>
        <v>0</v>
      </c>
      <c r="AT316">
        <f>IF(LAM_API_TABLE[[#This Row],[Existing_Res_SLA_Data_Approval_Status]]="Approved",LAM_API_TABLE[[#This Row],[Existing_Res_SLA_rec_sqft]],0)</f>
        <v>0</v>
      </c>
    </row>
    <row r="317" spans="1:46" x14ac:dyDescent="0.25">
      <c r="A317" t="s">
        <v>2172</v>
      </c>
      <c r="B317" t="s">
        <v>3368</v>
      </c>
      <c r="C317" t="s">
        <v>3369</v>
      </c>
      <c r="D317" t="s">
        <v>3370</v>
      </c>
      <c r="E317">
        <v>2018</v>
      </c>
      <c r="G317">
        <v>3372644</v>
      </c>
      <c r="H317">
        <v>900214</v>
      </c>
      <c r="I317">
        <v>52606249</v>
      </c>
      <c r="J317">
        <v>28949062</v>
      </c>
      <c r="K317">
        <v>211227140</v>
      </c>
      <c r="L317">
        <v>58396061</v>
      </c>
      <c r="M317" t="s">
        <v>1859</v>
      </c>
      <c r="AK317">
        <f>IF(LAM_API_TABLE[[#This Row],[Alternative_Data_Approval_Status]]="Approved",LAM_API_TABLE[[#This Row],[HCL_area_sqft_Alternative]],LAM_API_TABLE[[#This Row],[HCL_area_sqft]])</f>
        <v>0</v>
      </c>
      <c r="AL317">
        <f>IF(LAM_API_TABLE[[#This Row],[Alternative_Data_Approval_Status]]="Approved",LAM_API_TABLE[[#This Row],[Ag_area_sqft_Alternative]],LAM_API_TABLE[[#This Row],[Ag_area_sqft]])</f>
        <v>3372644</v>
      </c>
      <c r="AM317">
        <f>IF(LAM_API_TABLE[[#This Row],[Alternative_Data_Approval_Status]]="Approved",LAM_API_TABLE[[#This Row],[Pool_area_sqft_Alternative]],LAM_API_TABLE[[#This Row],[Pool_area_sqft]])</f>
        <v>900214</v>
      </c>
      <c r="AN317">
        <f>IF(LAM_API_TABLE[[#This Row],[Alternative_Data_Approval_Status]]="Approved",LAM_API_TABLE[[#This Row],[Total_II_sqft_Alternative]],LAM_API_TABLE[[#This Row],[Total_II_sqft]])</f>
        <v>52606249</v>
      </c>
      <c r="AO317">
        <f>IF(LAM_API_TABLE[[#This Row],[Alternative_Data_Approval_Status]]="Approved",LAM_API_TABLE[[#This Row],[Total_INI_sqft_Alternative]],LAM_API_TABLE[[#This Row],[Total_INI_sqft]])</f>
        <v>28949062</v>
      </c>
      <c r="AP317">
        <f>IF(LAM_API_TABLE[[#This Row],[New_Res_Constr_Approval_Status]]="Approved",LAM_API_TABLE[[#This Row],[New_Res_Constr_sqft]],0)</f>
        <v>0</v>
      </c>
      <c r="AQ317">
        <f>IF(LAM_API_TABLE[[#This Row],[New_Res_Constr_Approval_Status]]="Approved",LAM_API_TABLE[[#This Row],[New_Res_SLA_norec_sqft]],0)</f>
        <v>0</v>
      </c>
      <c r="AR317">
        <f>IF(LAM_API_TABLE[[#This Row],[New_Res_Constr_Approval_Status]]="Approved",LAM_API_TABLE[[#This Row],[New_Res_SLA_rec_sqft]],0)</f>
        <v>0</v>
      </c>
      <c r="AS317">
        <f>IF(LAM_API_TABLE[[#This Row],[Existing_Res_SLA_Data_Approval_Status]]="Approved",LAM_API_TABLE[[#This Row],[Existing_Res_SLA_norec_sqft]],0)</f>
        <v>0</v>
      </c>
      <c r="AT317">
        <f>IF(LAM_API_TABLE[[#This Row],[Existing_Res_SLA_Data_Approval_Status]]="Approved",LAM_API_TABLE[[#This Row],[Existing_Res_SLA_rec_sqft]],0)</f>
        <v>0</v>
      </c>
    </row>
    <row r="318" spans="1:46" x14ac:dyDescent="0.25">
      <c r="A318" t="s">
        <v>2178</v>
      </c>
      <c r="B318" t="s">
        <v>2179</v>
      </c>
      <c r="C318" t="s">
        <v>3371</v>
      </c>
      <c r="D318" t="s">
        <v>3372</v>
      </c>
      <c r="E318">
        <v>2018</v>
      </c>
      <c r="G318">
        <v>89710</v>
      </c>
      <c r="H318">
        <v>184685</v>
      </c>
      <c r="I318">
        <v>14995793</v>
      </c>
      <c r="J318">
        <v>3427189</v>
      </c>
      <c r="K318">
        <v>22803763</v>
      </c>
      <c r="L318">
        <v>15681231</v>
      </c>
      <c r="M318" t="s">
        <v>1859</v>
      </c>
      <c r="AK318">
        <f>IF(LAM_API_TABLE[[#This Row],[Alternative_Data_Approval_Status]]="Approved",LAM_API_TABLE[[#This Row],[HCL_area_sqft_Alternative]],LAM_API_TABLE[[#This Row],[HCL_area_sqft]])</f>
        <v>0</v>
      </c>
      <c r="AL318">
        <f>IF(LAM_API_TABLE[[#This Row],[Alternative_Data_Approval_Status]]="Approved",LAM_API_TABLE[[#This Row],[Ag_area_sqft_Alternative]],LAM_API_TABLE[[#This Row],[Ag_area_sqft]])</f>
        <v>89710</v>
      </c>
      <c r="AM318">
        <f>IF(LAM_API_TABLE[[#This Row],[Alternative_Data_Approval_Status]]="Approved",LAM_API_TABLE[[#This Row],[Pool_area_sqft_Alternative]],LAM_API_TABLE[[#This Row],[Pool_area_sqft]])</f>
        <v>184685</v>
      </c>
      <c r="AN318">
        <f>IF(LAM_API_TABLE[[#This Row],[Alternative_Data_Approval_Status]]="Approved",LAM_API_TABLE[[#This Row],[Total_II_sqft_Alternative]],LAM_API_TABLE[[#This Row],[Total_II_sqft]])</f>
        <v>14995793</v>
      </c>
      <c r="AO318">
        <f>IF(LAM_API_TABLE[[#This Row],[Alternative_Data_Approval_Status]]="Approved",LAM_API_TABLE[[#This Row],[Total_INI_sqft_Alternative]],LAM_API_TABLE[[#This Row],[Total_INI_sqft]])</f>
        <v>3427189</v>
      </c>
      <c r="AP318">
        <f>IF(LAM_API_TABLE[[#This Row],[New_Res_Constr_Approval_Status]]="Approved",LAM_API_TABLE[[#This Row],[New_Res_Constr_sqft]],0)</f>
        <v>0</v>
      </c>
      <c r="AQ318">
        <f>IF(LAM_API_TABLE[[#This Row],[New_Res_Constr_Approval_Status]]="Approved",LAM_API_TABLE[[#This Row],[New_Res_SLA_norec_sqft]],0)</f>
        <v>0</v>
      </c>
      <c r="AR318">
        <f>IF(LAM_API_TABLE[[#This Row],[New_Res_Constr_Approval_Status]]="Approved",LAM_API_TABLE[[#This Row],[New_Res_SLA_rec_sqft]],0)</f>
        <v>0</v>
      </c>
      <c r="AS318">
        <f>IF(LAM_API_TABLE[[#This Row],[Existing_Res_SLA_Data_Approval_Status]]="Approved",LAM_API_TABLE[[#This Row],[Existing_Res_SLA_norec_sqft]],0)</f>
        <v>0</v>
      </c>
      <c r="AT318">
        <f>IF(LAM_API_TABLE[[#This Row],[Existing_Res_SLA_Data_Approval_Status]]="Approved",LAM_API_TABLE[[#This Row],[Existing_Res_SLA_rec_sqft]],0)</f>
        <v>0</v>
      </c>
    </row>
    <row r="319" spans="1:46" x14ac:dyDescent="0.25">
      <c r="A319" t="s">
        <v>2178</v>
      </c>
      <c r="B319" t="s">
        <v>2179</v>
      </c>
      <c r="C319" t="s">
        <v>3373</v>
      </c>
      <c r="D319" t="s">
        <v>3374</v>
      </c>
      <c r="E319">
        <v>2018</v>
      </c>
      <c r="F319">
        <v>108980</v>
      </c>
      <c r="G319">
        <v>4491485</v>
      </c>
      <c r="H319">
        <v>8267889</v>
      </c>
      <c r="I319">
        <v>551289069</v>
      </c>
      <c r="J319">
        <v>330853809</v>
      </c>
      <c r="K319">
        <v>1255686919</v>
      </c>
      <c r="L319">
        <v>617459831</v>
      </c>
      <c r="M319" t="s">
        <v>1859</v>
      </c>
      <c r="AK319">
        <f>IF(LAM_API_TABLE[[#This Row],[Alternative_Data_Approval_Status]]="Approved",LAM_API_TABLE[[#This Row],[HCL_area_sqft_Alternative]],LAM_API_TABLE[[#This Row],[HCL_area_sqft]])</f>
        <v>108980</v>
      </c>
      <c r="AL319">
        <f>IF(LAM_API_TABLE[[#This Row],[Alternative_Data_Approval_Status]]="Approved",LAM_API_TABLE[[#This Row],[Ag_area_sqft_Alternative]],LAM_API_TABLE[[#This Row],[Ag_area_sqft]])</f>
        <v>4491485</v>
      </c>
      <c r="AM319">
        <f>IF(LAM_API_TABLE[[#This Row],[Alternative_Data_Approval_Status]]="Approved",LAM_API_TABLE[[#This Row],[Pool_area_sqft_Alternative]],LAM_API_TABLE[[#This Row],[Pool_area_sqft]])</f>
        <v>8267889</v>
      </c>
      <c r="AN319">
        <f>IF(LAM_API_TABLE[[#This Row],[Alternative_Data_Approval_Status]]="Approved",LAM_API_TABLE[[#This Row],[Total_II_sqft_Alternative]],LAM_API_TABLE[[#This Row],[Total_II_sqft]])</f>
        <v>551289069</v>
      </c>
      <c r="AO319">
        <f>IF(LAM_API_TABLE[[#This Row],[Alternative_Data_Approval_Status]]="Approved",LAM_API_TABLE[[#This Row],[Total_INI_sqft_Alternative]],LAM_API_TABLE[[#This Row],[Total_INI_sqft]])</f>
        <v>330853809</v>
      </c>
      <c r="AP319">
        <f>IF(LAM_API_TABLE[[#This Row],[New_Res_Constr_Approval_Status]]="Approved",LAM_API_TABLE[[#This Row],[New_Res_Constr_sqft]],0)</f>
        <v>0</v>
      </c>
      <c r="AQ319">
        <f>IF(LAM_API_TABLE[[#This Row],[New_Res_Constr_Approval_Status]]="Approved",LAM_API_TABLE[[#This Row],[New_Res_SLA_norec_sqft]],0)</f>
        <v>0</v>
      </c>
      <c r="AR319">
        <f>IF(LAM_API_TABLE[[#This Row],[New_Res_Constr_Approval_Status]]="Approved",LAM_API_TABLE[[#This Row],[New_Res_SLA_rec_sqft]],0)</f>
        <v>0</v>
      </c>
      <c r="AS319">
        <f>IF(LAM_API_TABLE[[#This Row],[Existing_Res_SLA_Data_Approval_Status]]="Approved",LAM_API_TABLE[[#This Row],[Existing_Res_SLA_norec_sqft]],0)</f>
        <v>0</v>
      </c>
      <c r="AT319">
        <f>IF(LAM_API_TABLE[[#This Row],[Existing_Res_SLA_Data_Approval_Status]]="Approved",LAM_API_TABLE[[#This Row],[Existing_Res_SLA_rec_sqft]],0)</f>
        <v>0</v>
      </c>
    </row>
    <row r="320" spans="1:46" x14ac:dyDescent="0.25">
      <c r="A320" t="s">
        <v>2184</v>
      </c>
      <c r="B320" t="s">
        <v>2185</v>
      </c>
      <c r="C320" t="s">
        <v>3375</v>
      </c>
      <c r="D320" t="s">
        <v>3376</v>
      </c>
      <c r="E320">
        <v>2018</v>
      </c>
      <c r="F320">
        <v>342398</v>
      </c>
      <c r="G320">
        <v>3618614</v>
      </c>
      <c r="H320">
        <v>2056265</v>
      </c>
      <c r="I320">
        <v>99874499</v>
      </c>
      <c r="J320">
        <v>44936021</v>
      </c>
      <c r="K320">
        <v>182648267</v>
      </c>
      <c r="L320">
        <v>108861703</v>
      </c>
      <c r="M320" t="s">
        <v>1859</v>
      </c>
      <c r="AK320">
        <f>IF(LAM_API_TABLE[[#This Row],[Alternative_Data_Approval_Status]]="Approved",LAM_API_TABLE[[#This Row],[HCL_area_sqft_Alternative]],LAM_API_TABLE[[#This Row],[HCL_area_sqft]])</f>
        <v>342398</v>
      </c>
      <c r="AL320">
        <f>IF(LAM_API_TABLE[[#This Row],[Alternative_Data_Approval_Status]]="Approved",LAM_API_TABLE[[#This Row],[Ag_area_sqft_Alternative]],LAM_API_TABLE[[#This Row],[Ag_area_sqft]])</f>
        <v>3618614</v>
      </c>
      <c r="AM320">
        <f>IF(LAM_API_TABLE[[#This Row],[Alternative_Data_Approval_Status]]="Approved",LAM_API_TABLE[[#This Row],[Pool_area_sqft_Alternative]],LAM_API_TABLE[[#This Row],[Pool_area_sqft]])</f>
        <v>2056265</v>
      </c>
      <c r="AN320">
        <f>IF(LAM_API_TABLE[[#This Row],[Alternative_Data_Approval_Status]]="Approved",LAM_API_TABLE[[#This Row],[Total_II_sqft_Alternative]],LAM_API_TABLE[[#This Row],[Total_II_sqft]])</f>
        <v>99874499</v>
      </c>
      <c r="AO320">
        <f>IF(LAM_API_TABLE[[#This Row],[Alternative_Data_Approval_Status]]="Approved",LAM_API_TABLE[[#This Row],[Total_INI_sqft_Alternative]],LAM_API_TABLE[[#This Row],[Total_INI_sqft]])</f>
        <v>44936021</v>
      </c>
      <c r="AP320">
        <f>IF(LAM_API_TABLE[[#This Row],[New_Res_Constr_Approval_Status]]="Approved",LAM_API_TABLE[[#This Row],[New_Res_Constr_sqft]],0)</f>
        <v>0</v>
      </c>
      <c r="AQ320">
        <f>IF(LAM_API_TABLE[[#This Row],[New_Res_Constr_Approval_Status]]="Approved",LAM_API_TABLE[[#This Row],[New_Res_SLA_norec_sqft]],0)</f>
        <v>0</v>
      </c>
      <c r="AR320">
        <f>IF(LAM_API_TABLE[[#This Row],[New_Res_Constr_Approval_Status]]="Approved",LAM_API_TABLE[[#This Row],[New_Res_SLA_rec_sqft]],0)</f>
        <v>0</v>
      </c>
      <c r="AS320">
        <f>IF(LAM_API_TABLE[[#This Row],[Existing_Res_SLA_Data_Approval_Status]]="Approved",LAM_API_TABLE[[#This Row],[Existing_Res_SLA_norec_sqft]],0)</f>
        <v>0</v>
      </c>
      <c r="AT320">
        <f>IF(LAM_API_TABLE[[#This Row],[Existing_Res_SLA_Data_Approval_Status]]="Approved",LAM_API_TABLE[[#This Row],[Existing_Res_SLA_rec_sqft]],0)</f>
        <v>0</v>
      </c>
    </row>
    <row r="321" spans="1:46" x14ac:dyDescent="0.25">
      <c r="A321" t="s">
        <v>2188</v>
      </c>
      <c r="B321" t="s">
        <v>2189</v>
      </c>
      <c r="C321" t="s">
        <v>3377</v>
      </c>
      <c r="D321" t="s">
        <v>3378</v>
      </c>
      <c r="E321">
        <v>2018</v>
      </c>
      <c r="F321">
        <v>114914</v>
      </c>
      <c r="G321">
        <v>553262</v>
      </c>
      <c r="H321">
        <v>108817</v>
      </c>
      <c r="I321">
        <v>14190713</v>
      </c>
      <c r="J321">
        <v>26556955</v>
      </c>
      <c r="K321">
        <v>370090592</v>
      </c>
      <c r="L321">
        <v>19502104</v>
      </c>
      <c r="M321" t="s">
        <v>1859</v>
      </c>
      <c r="AK321">
        <f>IF(LAM_API_TABLE[[#This Row],[Alternative_Data_Approval_Status]]="Approved",LAM_API_TABLE[[#This Row],[HCL_area_sqft_Alternative]],LAM_API_TABLE[[#This Row],[HCL_area_sqft]])</f>
        <v>114914</v>
      </c>
      <c r="AL321">
        <f>IF(LAM_API_TABLE[[#This Row],[Alternative_Data_Approval_Status]]="Approved",LAM_API_TABLE[[#This Row],[Ag_area_sqft_Alternative]],LAM_API_TABLE[[#This Row],[Ag_area_sqft]])</f>
        <v>553262</v>
      </c>
      <c r="AM321">
        <f>IF(LAM_API_TABLE[[#This Row],[Alternative_Data_Approval_Status]]="Approved",LAM_API_TABLE[[#This Row],[Pool_area_sqft_Alternative]],LAM_API_TABLE[[#This Row],[Pool_area_sqft]])</f>
        <v>108817</v>
      </c>
      <c r="AN321">
        <f>IF(LAM_API_TABLE[[#This Row],[Alternative_Data_Approval_Status]]="Approved",LAM_API_TABLE[[#This Row],[Total_II_sqft_Alternative]],LAM_API_TABLE[[#This Row],[Total_II_sqft]])</f>
        <v>14190713</v>
      </c>
      <c r="AO321">
        <f>IF(LAM_API_TABLE[[#This Row],[Alternative_Data_Approval_Status]]="Approved",LAM_API_TABLE[[#This Row],[Total_INI_sqft_Alternative]],LAM_API_TABLE[[#This Row],[Total_INI_sqft]])</f>
        <v>26556955</v>
      </c>
      <c r="AP321">
        <f>IF(LAM_API_TABLE[[#This Row],[New_Res_Constr_Approval_Status]]="Approved",LAM_API_TABLE[[#This Row],[New_Res_Constr_sqft]],0)</f>
        <v>0</v>
      </c>
      <c r="AQ321">
        <f>IF(LAM_API_TABLE[[#This Row],[New_Res_Constr_Approval_Status]]="Approved",LAM_API_TABLE[[#This Row],[New_Res_SLA_norec_sqft]],0)</f>
        <v>0</v>
      </c>
      <c r="AR321">
        <f>IF(LAM_API_TABLE[[#This Row],[New_Res_Constr_Approval_Status]]="Approved",LAM_API_TABLE[[#This Row],[New_Res_SLA_rec_sqft]],0)</f>
        <v>0</v>
      </c>
      <c r="AS321">
        <f>IF(LAM_API_TABLE[[#This Row],[Existing_Res_SLA_Data_Approval_Status]]="Approved",LAM_API_TABLE[[#This Row],[Existing_Res_SLA_norec_sqft]],0)</f>
        <v>0</v>
      </c>
      <c r="AT321">
        <f>IF(LAM_API_TABLE[[#This Row],[Existing_Res_SLA_Data_Approval_Status]]="Approved",LAM_API_TABLE[[#This Row],[Existing_Res_SLA_rec_sqft]],0)</f>
        <v>0</v>
      </c>
    </row>
    <row r="322" spans="1:46" x14ac:dyDescent="0.25">
      <c r="A322" t="s">
        <v>2195</v>
      </c>
      <c r="B322" t="s">
        <v>3379</v>
      </c>
      <c r="C322" t="s">
        <v>3380</v>
      </c>
      <c r="D322" t="s">
        <v>3381</v>
      </c>
      <c r="E322">
        <v>2018</v>
      </c>
      <c r="F322">
        <v>40511</v>
      </c>
      <c r="G322">
        <v>590206</v>
      </c>
      <c r="H322">
        <v>44023</v>
      </c>
      <c r="I322">
        <v>33213390</v>
      </c>
      <c r="J322">
        <v>20637980</v>
      </c>
      <c r="K322">
        <v>94598751</v>
      </c>
      <c r="L322">
        <v>37340986</v>
      </c>
      <c r="M322" t="s">
        <v>1859</v>
      </c>
      <c r="AK322">
        <f>IF(LAM_API_TABLE[[#This Row],[Alternative_Data_Approval_Status]]="Approved",LAM_API_TABLE[[#This Row],[HCL_area_sqft_Alternative]],LAM_API_TABLE[[#This Row],[HCL_area_sqft]])</f>
        <v>40511</v>
      </c>
      <c r="AL322">
        <f>IF(LAM_API_TABLE[[#This Row],[Alternative_Data_Approval_Status]]="Approved",LAM_API_TABLE[[#This Row],[Ag_area_sqft_Alternative]],LAM_API_TABLE[[#This Row],[Ag_area_sqft]])</f>
        <v>590206</v>
      </c>
      <c r="AM322">
        <f>IF(LAM_API_TABLE[[#This Row],[Alternative_Data_Approval_Status]]="Approved",LAM_API_TABLE[[#This Row],[Pool_area_sqft_Alternative]],LAM_API_TABLE[[#This Row],[Pool_area_sqft]])</f>
        <v>44023</v>
      </c>
      <c r="AN322">
        <f>IF(LAM_API_TABLE[[#This Row],[Alternative_Data_Approval_Status]]="Approved",LAM_API_TABLE[[#This Row],[Total_II_sqft_Alternative]],LAM_API_TABLE[[#This Row],[Total_II_sqft]])</f>
        <v>33213390</v>
      </c>
      <c r="AO322">
        <f>IF(LAM_API_TABLE[[#This Row],[Alternative_Data_Approval_Status]]="Approved",LAM_API_TABLE[[#This Row],[Total_INI_sqft_Alternative]],LAM_API_TABLE[[#This Row],[Total_INI_sqft]])</f>
        <v>20637980</v>
      </c>
      <c r="AP322">
        <f>IF(LAM_API_TABLE[[#This Row],[New_Res_Constr_Approval_Status]]="Approved",LAM_API_TABLE[[#This Row],[New_Res_Constr_sqft]],0)</f>
        <v>0</v>
      </c>
      <c r="AQ322">
        <f>IF(LAM_API_TABLE[[#This Row],[New_Res_Constr_Approval_Status]]="Approved",LAM_API_TABLE[[#This Row],[New_Res_SLA_norec_sqft]],0)</f>
        <v>0</v>
      </c>
      <c r="AR322">
        <f>IF(LAM_API_TABLE[[#This Row],[New_Res_Constr_Approval_Status]]="Approved",LAM_API_TABLE[[#This Row],[New_Res_SLA_rec_sqft]],0)</f>
        <v>0</v>
      </c>
      <c r="AS322">
        <f>IF(LAM_API_TABLE[[#This Row],[Existing_Res_SLA_Data_Approval_Status]]="Approved",LAM_API_TABLE[[#This Row],[Existing_Res_SLA_norec_sqft]],0)</f>
        <v>0</v>
      </c>
      <c r="AT322">
        <f>IF(LAM_API_TABLE[[#This Row],[Existing_Res_SLA_Data_Approval_Status]]="Approved",LAM_API_TABLE[[#This Row],[Existing_Res_SLA_rec_sqft]],0)</f>
        <v>0</v>
      </c>
    </row>
    <row r="323" spans="1:46" x14ac:dyDescent="0.25">
      <c r="A323" t="s">
        <v>2199</v>
      </c>
      <c r="B323" t="s">
        <v>2200</v>
      </c>
      <c r="C323" t="s">
        <v>3382</v>
      </c>
      <c r="D323" t="s">
        <v>3383</v>
      </c>
      <c r="E323">
        <v>2018</v>
      </c>
      <c r="G323">
        <v>1553752</v>
      </c>
      <c r="H323">
        <v>206622</v>
      </c>
      <c r="I323">
        <v>17329446</v>
      </c>
      <c r="J323">
        <v>5607375</v>
      </c>
      <c r="K323">
        <v>31460664</v>
      </c>
      <c r="L323">
        <v>18450921</v>
      </c>
      <c r="M323" t="s">
        <v>1859</v>
      </c>
      <c r="AK323">
        <f>IF(LAM_API_TABLE[[#This Row],[Alternative_Data_Approval_Status]]="Approved",LAM_API_TABLE[[#This Row],[HCL_area_sqft_Alternative]],LAM_API_TABLE[[#This Row],[HCL_area_sqft]])</f>
        <v>0</v>
      </c>
      <c r="AL323">
        <f>IF(LAM_API_TABLE[[#This Row],[Alternative_Data_Approval_Status]]="Approved",LAM_API_TABLE[[#This Row],[Ag_area_sqft_Alternative]],LAM_API_TABLE[[#This Row],[Ag_area_sqft]])</f>
        <v>1553752</v>
      </c>
      <c r="AM323">
        <f>IF(LAM_API_TABLE[[#This Row],[Alternative_Data_Approval_Status]]="Approved",LAM_API_TABLE[[#This Row],[Pool_area_sqft_Alternative]],LAM_API_TABLE[[#This Row],[Pool_area_sqft]])</f>
        <v>206622</v>
      </c>
      <c r="AN323">
        <f>IF(LAM_API_TABLE[[#This Row],[Alternative_Data_Approval_Status]]="Approved",LAM_API_TABLE[[#This Row],[Total_II_sqft_Alternative]],LAM_API_TABLE[[#This Row],[Total_II_sqft]])</f>
        <v>17329446</v>
      </c>
      <c r="AO323">
        <f>IF(LAM_API_TABLE[[#This Row],[Alternative_Data_Approval_Status]]="Approved",LAM_API_TABLE[[#This Row],[Total_INI_sqft_Alternative]],LAM_API_TABLE[[#This Row],[Total_INI_sqft]])</f>
        <v>5607375</v>
      </c>
      <c r="AP323">
        <f>IF(LAM_API_TABLE[[#This Row],[New_Res_Constr_Approval_Status]]="Approved",LAM_API_TABLE[[#This Row],[New_Res_Constr_sqft]],0)</f>
        <v>0</v>
      </c>
      <c r="AQ323">
        <f>IF(LAM_API_TABLE[[#This Row],[New_Res_Constr_Approval_Status]]="Approved",LAM_API_TABLE[[#This Row],[New_Res_SLA_norec_sqft]],0)</f>
        <v>0</v>
      </c>
      <c r="AR323">
        <f>IF(LAM_API_TABLE[[#This Row],[New_Res_Constr_Approval_Status]]="Approved",LAM_API_TABLE[[#This Row],[New_Res_SLA_rec_sqft]],0)</f>
        <v>0</v>
      </c>
      <c r="AS323">
        <f>IF(LAM_API_TABLE[[#This Row],[Existing_Res_SLA_Data_Approval_Status]]="Approved",LAM_API_TABLE[[#This Row],[Existing_Res_SLA_norec_sqft]],0)</f>
        <v>0</v>
      </c>
      <c r="AT323">
        <f>IF(LAM_API_TABLE[[#This Row],[Existing_Res_SLA_Data_Approval_Status]]="Approved",LAM_API_TABLE[[#This Row],[Existing_Res_SLA_rec_sqft]],0)</f>
        <v>0</v>
      </c>
    </row>
    <row r="324" spans="1:46" x14ac:dyDescent="0.25">
      <c r="A324" t="s">
        <v>2203</v>
      </c>
      <c r="B324" t="s">
        <v>3384</v>
      </c>
      <c r="C324" t="s">
        <v>3385</v>
      </c>
      <c r="D324" t="s">
        <v>3386</v>
      </c>
      <c r="E324">
        <v>2018</v>
      </c>
      <c r="H324">
        <v>1169456</v>
      </c>
      <c r="I324">
        <v>70563653</v>
      </c>
      <c r="J324">
        <v>41967250</v>
      </c>
      <c r="K324">
        <v>198385216</v>
      </c>
      <c r="L324">
        <v>78957103</v>
      </c>
      <c r="M324" t="s">
        <v>1859</v>
      </c>
      <c r="AK324">
        <f>IF(LAM_API_TABLE[[#This Row],[Alternative_Data_Approval_Status]]="Approved",LAM_API_TABLE[[#This Row],[HCL_area_sqft_Alternative]],LAM_API_TABLE[[#This Row],[HCL_area_sqft]])</f>
        <v>0</v>
      </c>
      <c r="AL324">
        <f>IF(LAM_API_TABLE[[#This Row],[Alternative_Data_Approval_Status]]="Approved",LAM_API_TABLE[[#This Row],[Ag_area_sqft_Alternative]],LAM_API_TABLE[[#This Row],[Ag_area_sqft]])</f>
        <v>0</v>
      </c>
      <c r="AM324">
        <f>IF(LAM_API_TABLE[[#This Row],[Alternative_Data_Approval_Status]]="Approved",LAM_API_TABLE[[#This Row],[Pool_area_sqft_Alternative]],LAM_API_TABLE[[#This Row],[Pool_area_sqft]])</f>
        <v>1169456</v>
      </c>
      <c r="AN324">
        <f>IF(LAM_API_TABLE[[#This Row],[Alternative_Data_Approval_Status]]="Approved",LAM_API_TABLE[[#This Row],[Total_II_sqft_Alternative]],LAM_API_TABLE[[#This Row],[Total_II_sqft]])</f>
        <v>70563653</v>
      </c>
      <c r="AO324">
        <f>IF(LAM_API_TABLE[[#This Row],[Alternative_Data_Approval_Status]]="Approved",LAM_API_TABLE[[#This Row],[Total_INI_sqft_Alternative]],LAM_API_TABLE[[#This Row],[Total_INI_sqft]])</f>
        <v>41967250</v>
      </c>
      <c r="AP324">
        <f>IF(LAM_API_TABLE[[#This Row],[New_Res_Constr_Approval_Status]]="Approved",LAM_API_TABLE[[#This Row],[New_Res_Constr_sqft]],0)</f>
        <v>0</v>
      </c>
      <c r="AQ324">
        <f>IF(LAM_API_TABLE[[#This Row],[New_Res_Constr_Approval_Status]]="Approved",LAM_API_TABLE[[#This Row],[New_Res_SLA_norec_sqft]],0)</f>
        <v>0</v>
      </c>
      <c r="AR324">
        <f>IF(LAM_API_TABLE[[#This Row],[New_Res_Constr_Approval_Status]]="Approved",LAM_API_TABLE[[#This Row],[New_Res_SLA_rec_sqft]],0)</f>
        <v>0</v>
      </c>
      <c r="AS324">
        <f>IF(LAM_API_TABLE[[#This Row],[Existing_Res_SLA_Data_Approval_Status]]="Approved",LAM_API_TABLE[[#This Row],[Existing_Res_SLA_norec_sqft]],0)</f>
        <v>0</v>
      </c>
      <c r="AT324">
        <f>IF(LAM_API_TABLE[[#This Row],[Existing_Res_SLA_Data_Approval_Status]]="Approved",LAM_API_TABLE[[#This Row],[Existing_Res_SLA_rec_sqft]],0)</f>
        <v>0</v>
      </c>
    </row>
    <row r="325" spans="1:46" x14ac:dyDescent="0.25">
      <c r="A325" t="s">
        <v>2207</v>
      </c>
      <c r="B325" t="s">
        <v>3387</v>
      </c>
      <c r="C325" t="s">
        <v>3388</v>
      </c>
      <c r="D325" t="s">
        <v>3389</v>
      </c>
      <c r="E325">
        <v>2018</v>
      </c>
      <c r="F325">
        <v>77605</v>
      </c>
      <c r="G325">
        <v>7003194</v>
      </c>
      <c r="H325">
        <v>324164</v>
      </c>
      <c r="I325">
        <v>69734417</v>
      </c>
      <c r="J325">
        <v>68301959</v>
      </c>
      <c r="K325">
        <v>181835022</v>
      </c>
      <c r="L325">
        <v>83394809</v>
      </c>
      <c r="M325" t="s">
        <v>1859</v>
      </c>
      <c r="AK325">
        <f>IF(LAM_API_TABLE[[#This Row],[Alternative_Data_Approval_Status]]="Approved",LAM_API_TABLE[[#This Row],[HCL_area_sqft_Alternative]],LAM_API_TABLE[[#This Row],[HCL_area_sqft]])</f>
        <v>77605</v>
      </c>
      <c r="AL325">
        <f>IF(LAM_API_TABLE[[#This Row],[Alternative_Data_Approval_Status]]="Approved",LAM_API_TABLE[[#This Row],[Ag_area_sqft_Alternative]],LAM_API_TABLE[[#This Row],[Ag_area_sqft]])</f>
        <v>7003194</v>
      </c>
      <c r="AM325">
        <f>IF(LAM_API_TABLE[[#This Row],[Alternative_Data_Approval_Status]]="Approved",LAM_API_TABLE[[#This Row],[Pool_area_sqft_Alternative]],LAM_API_TABLE[[#This Row],[Pool_area_sqft]])</f>
        <v>324164</v>
      </c>
      <c r="AN325">
        <f>IF(LAM_API_TABLE[[#This Row],[Alternative_Data_Approval_Status]]="Approved",LAM_API_TABLE[[#This Row],[Total_II_sqft_Alternative]],LAM_API_TABLE[[#This Row],[Total_II_sqft]])</f>
        <v>69734417</v>
      </c>
      <c r="AO325">
        <f>IF(LAM_API_TABLE[[#This Row],[Alternative_Data_Approval_Status]]="Approved",LAM_API_TABLE[[#This Row],[Total_INI_sqft_Alternative]],LAM_API_TABLE[[#This Row],[Total_INI_sqft]])</f>
        <v>68301959</v>
      </c>
      <c r="AP325">
        <f>IF(LAM_API_TABLE[[#This Row],[New_Res_Constr_Approval_Status]]="Approved",LAM_API_TABLE[[#This Row],[New_Res_Constr_sqft]],0)</f>
        <v>0</v>
      </c>
      <c r="AQ325">
        <f>IF(LAM_API_TABLE[[#This Row],[New_Res_Constr_Approval_Status]]="Approved",LAM_API_TABLE[[#This Row],[New_Res_SLA_norec_sqft]],0)</f>
        <v>0</v>
      </c>
      <c r="AR325">
        <f>IF(LAM_API_TABLE[[#This Row],[New_Res_Constr_Approval_Status]]="Approved",LAM_API_TABLE[[#This Row],[New_Res_SLA_rec_sqft]],0)</f>
        <v>0</v>
      </c>
      <c r="AS325">
        <f>IF(LAM_API_TABLE[[#This Row],[Existing_Res_SLA_Data_Approval_Status]]="Approved",LAM_API_TABLE[[#This Row],[Existing_Res_SLA_norec_sqft]],0)</f>
        <v>0</v>
      </c>
      <c r="AT325">
        <f>IF(LAM_API_TABLE[[#This Row],[Existing_Res_SLA_Data_Approval_Status]]="Approved",LAM_API_TABLE[[#This Row],[Existing_Res_SLA_rec_sqft]],0)</f>
        <v>0</v>
      </c>
    </row>
    <row r="326" spans="1:46" x14ac:dyDescent="0.25">
      <c r="A326" t="s">
        <v>2211</v>
      </c>
      <c r="B326" t="s">
        <v>2212</v>
      </c>
      <c r="C326" t="s">
        <v>3390</v>
      </c>
      <c r="D326" t="s">
        <v>3391</v>
      </c>
      <c r="E326">
        <v>2018</v>
      </c>
      <c r="H326">
        <v>557448</v>
      </c>
      <c r="I326">
        <v>57893123</v>
      </c>
      <c r="J326">
        <v>16212092</v>
      </c>
      <c r="K326">
        <v>131939953</v>
      </c>
      <c r="L326">
        <v>61135541</v>
      </c>
      <c r="M326" t="s">
        <v>1859</v>
      </c>
      <c r="AK326">
        <f>IF(LAM_API_TABLE[[#This Row],[Alternative_Data_Approval_Status]]="Approved",LAM_API_TABLE[[#This Row],[HCL_area_sqft_Alternative]],LAM_API_TABLE[[#This Row],[HCL_area_sqft]])</f>
        <v>0</v>
      </c>
      <c r="AL326">
        <f>IF(LAM_API_TABLE[[#This Row],[Alternative_Data_Approval_Status]]="Approved",LAM_API_TABLE[[#This Row],[Ag_area_sqft_Alternative]],LAM_API_TABLE[[#This Row],[Ag_area_sqft]])</f>
        <v>0</v>
      </c>
      <c r="AM326">
        <f>IF(LAM_API_TABLE[[#This Row],[Alternative_Data_Approval_Status]]="Approved",LAM_API_TABLE[[#This Row],[Pool_area_sqft_Alternative]],LAM_API_TABLE[[#This Row],[Pool_area_sqft]])</f>
        <v>557448</v>
      </c>
      <c r="AN326">
        <f>IF(LAM_API_TABLE[[#This Row],[Alternative_Data_Approval_Status]]="Approved",LAM_API_TABLE[[#This Row],[Total_II_sqft_Alternative]],LAM_API_TABLE[[#This Row],[Total_II_sqft]])</f>
        <v>57893123</v>
      </c>
      <c r="AO326">
        <f>IF(LAM_API_TABLE[[#This Row],[Alternative_Data_Approval_Status]]="Approved",LAM_API_TABLE[[#This Row],[Total_INI_sqft_Alternative]],LAM_API_TABLE[[#This Row],[Total_INI_sqft]])</f>
        <v>16212092</v>
      </c>
      <c r="AP326">
        <f>IF(LAM_API_TABLE[[#This Row],[New_Res_Constr_Approval_Status]]="Approved",LAM_API_TABLE[[#This Row],[New_Res_Constr_sqft]],0)</f>
        <v>0</v>
      </c>
      <c r="AQ326">
        <f>IF(LAM_API_TABLE[[#This Row],[New_Res_Constr_Approval_Status]]="Approved",LAM_API_TABLE[[#This Row],[New_Res_SLA_norec_sqft]],0)</f>
        <v>0</v>
      </c>
      <c r="AR326">
        <f>IF(LAM_API_TABLE[[#This Row],[New_Res_Constr_Approval_Status]]="Approved",LAM_API_TABLE[[#This Row],[New_Res_SLA_rec_sqft]],0)</f>
        <v>0</v>
      </c>
      <c r="AS326">
        <f>IF(LAM_API_TABLE[[#This Row],[Existing_Res_SLA_Data_Approval_Status]]="Approved",LAM_API_TABLE[[#This Row],[Existing_Res_SLA_norec_sqft]],0)</f>
        <v>0</v>
      </c>
      <c r="AT326">
        <f>IF(LAM_API_TABLE[[#This Row],[Existing_Res_SLA_Data_Approval_Status]]="Approved",LAM_API_TABLE[[#This Row],[Existing_Res_SLA_rec_sqft]],0)</f>
        <v>0</v>
      </c>
    </row>
    <row r="327" spans="1:46" x14ac:dyDescent="0.25">
      <c r="A327" t="s">
        <v>2215</v>
      </c>
      <c r="B327" t="s">
        <v>2216</v>
      </c>
      <c r="C327" t="s">
        <v>3392</v>
      </c>
      <c r="D327" t="s">
        <v>3393</v>
      </c>
      <c r="E327">
        <v>2020</v>
      </c>
      <c r="F327">
        <v>35315</v>
      </c>
      <c r="G327">
        <v>928652</v>
      </c>
      <c r="H327">
        <v>262460</v>
      </c>
      <c r="I327">
        <v>46494338</v>
      </c>
      <c r="J327">
        <v>21402087</v>
      </c>
      <c r="K327">
        <v>168069274</v>
      </c>
      <c r="L327">
        <v>50774755</v>
      </c>
      <c r="M327" t="s">
        <v>1859</v>
      </c>
      <c r="AK327">
        <f>IF(LAM_API_TABLE[[#This Row],[Alternative_Data_Approval_Status]]="Approved",LAM_API_TABLE[[#This Row],[HCL_area_sqft_Alternative]],LAM_API_TABLE[[#This Row],[HCL_area_sqft]])</f>
        <v>35315</v>
      </c>
      <c r="AL327">
        <f>IF(LAM_API_TABLE[[#This Row],[Alternative_Data_Approval_Status]]="Approved",LAM_API_TABLE[[#This Row],[Ag_area_sqft_Alternative]],LAM_API_TABLE[[#This Row],[Ag_area_sqft]])</f>
        <v>928652</v>
      </c>
      <c r="AM327">
        <f>IF(LAM_API_TABLE[[#This Row],[Alternative_Data_Approval_Status]]="Approved",LAM_API_TABLE[[#This Row],[Pool_area_sqft_Alternative]],LAM_API_TABLE[[#This Row],[Pool_area_sqft]])</f>
        <v>262460</v>
      </c>
      <c r="AN327">
        <f>IF(LAM_API_TABLE[[#This Row],[Alternative_Data_Approval_Status]]="Approved",LAM_API_TABLE[[#This Row],[Total_II_sqft_Alternative]],LAM_API_TABLE[[#This Row],[Total_II_sqft]])</f>
        <v>46494338</v>
      </c>
      <c r="AO327">
        <f>IF(LAM_API_TABLE[[#This Row],[Alternative_Data_Approval_Status]]="Approved",LAM_API_TABLE[[#This Row],[Total_INI_sqft_Alternative]],LAM_API_TABLE[[#This Row],[Total_INI_sqft]])</f>
        <v>21402087</v>
      </c>
      <c r="AP327">
        <f>IF(LAM_API_TABLE[[#This Row],[New_Res_Constr_Approval_Status]]="Approved",LAM_API_TABLE[[#This Row],[New_Res_Constr_sqft]],0)</f>
        <v>0</v>
      </c>
      <c r="AQ327">
        <f>IF(LAM_API_TABLE[[#This Row],[New_Res_Constr_Approval_Status]]="Approved",LAM_API_TABLE[[#This Row],[New_Res_SLA_norec_sqft]],0)</f>
        <v>0</v>
      </c>
      <c r="AR327">
        <f>IF(LAM_API_TABLE[[#This Row],[New_Res_Constr_Approval_Status]]="Approved",LAM_API_TABLE[[#This Row],[New_Res_SLA_rec_sqft]],0)</f>
        <v>0</v>
      </c>
      <c r="AS327">
        <f>IF(LAM_API_TABLE[[#This Row],[Existing_Res_SLA_Data_Approval_Status]]="Approved",LAM_API_TABLE[[#This Row],[Existing_Res_SLA_norec_sqft]],0)</f>
        <v>0</v>
      </c>
      <c r="AT327">
        <f>IF(LAM_API_TABLE[[#This Row],[Existing_Res_SLA_Data_Approval_Status]]="Approved",LAM_API_TABLE[[#This Row],[Existing_Res_SLA_rec_sqft]],0)</f>
        <v>0</v>
      </c>
    </row>
    <row r="328" spans="1:46" x14ac:dyDescent="0.25">
      <c r="A328" t="s">
        <v>2219</v>
      </c>
      <c r="B328" t="s">
        <v>2220</v>
      </c>
      <c r="C328" t="s">
        <v>3394</v>
      </c>
      <c r="D328" t="s">
        <v>3395</v>
      </c>
      <c r="E328">
        <v>2018</v>
      </c>
      <c r="F328">
        <v>1014833</v>
      </c>
      <c r="G328">
        <v>10551823</v>
      </c>
      <c r="H328">
        <v>1406983</v>
      </c>
      <c r="I328">
        <v>105322921</v>
      </c>
      <c r="J328">
        <v>46752958</v>
      </c>
      <c r="K328">
        <v>175359058</v>
      </c>
      <c r="L328">
        <v>114673513</v>
      </c>
      <c r="M328" t="s">
        <v>1859</v>
      </c>
      <c r="AK328">
        <f>IF(LAM_API_TABLE[[#This Row],[Alternative_Data_Approval_Status]]="Approved",LAM_API_TABLE[[#This Row],[HCL_area_sqft_Alternative]],LAM_API_TABLE[[#This Row],[HCL_area_sqft]])</f>
        <v>1014833</v>
      </c>
      <c r="AL328">
        <f>IF(LAM_API_TABLE[[#This Row],[Alternative_Data_Approval_Status]]="Approved",LAM_API_TABLE[[#This Row],[Ag_area_sqft_Alternative]],LAM_API_TABLE[[#This Row],[Ag_area_sqft]])</f>
        <v>10551823</v>
      </c>
      <c r="AM328">
        <f>IF(LAM_API_TABLE[[#This Row],[Alternative_Data_Approval_Status]]="Approved",LAM_API_TABLE[[#This Row],[Pool_area_sqft_Alternative]],LAM_API_TABLE[[#This Row],[Pool_area_sqft]])</f>
        <v>1406983</v>
      </c>
      <c r="AN328">
        <f>IF(LAM_API_TABLE[[#This Row],[Alternative_Data_Approval_Status]]="Approved",LAM_API_TABLE[[#This Row],[Total_II_sqft_Alternative]],LAM_API_TABLE[[#This Row],[Total_II_sqft]])</f>
        <v>105322921</v>
      </c>
      <c r="AO328">
        <f>IF(LAM_API_TABLE[[#This Row],[Alternative_Data_Approval_Status]]="Approved",LAM_API_TABLE[[#This Row],[Total_INI_sqft_Alternative]],LAM_API_TABLE[[#This Row],[Total_INI_sqft]])</f>
        <v>46752958</v>
      </c>
      <c r="AP328">
        <f>IF(LAM_API_TABLE[[#This Row],[New_Res_Constr_Approval_Status]]="Approved",LAM_API_TABLE[[#This Row],[New_Res_Constr_sqft]],0)</f>
        <v>0</v>
      </c>
      <c r="AQ328">
        <f>IF(LAM_API_TABLE[[#This Row],[New_Res_Constr_Approval_Status]]="Approved",LAM_API_TABLE[[#This Row],[New_Res_SLA_norec_sqft]],0)</f>
        <v>0</v>
      </c>
      <c r="AR328">
        <f>IF(LAM_API_TABLE[[#This Row],[New_Res_Constr_Approval_Status]]="Approved",LAM_API_TABLE[[#This Row],[New_Res_SLA_rec_sqft]],0)</f>
        <v>0</v>
      </c>
      <c r="AS328">
        <f>IF(LAM_API_TABLE[[#This Row],[Existing_Res_SLA_Data_Approval_Status]]="Approved",LAM_API_TABLE[[#This Row],[Existing_Res_SLA_norec_sqft]],0)</f>
        <v>0</v>
      </c>
      <c r="AT328">
        <f>IF(LAM_API_TABLE[[#This Row],[Existing_Res_SLA_Data_Approval_Status]]="Approved",LAM_API_TABLE[[#This Row],[Existing_Res_SLA_rec_sqft]],0)</f>
        <v>0</v>
      </c>
    </row>
    <row r="329" spans="1:46" x14ac:dyDescent="0.25">
      <c r="A329" t="s">
        <v>2223</v>
      </c>
      <c r="B329" t="s">
        <v>3396</v>
      </c>
      <c r="C329" t="s">
        <v>3397</v>
      </c>
      <c r="D329" t="s">
        <v>3398</v>
      </c>
      <c r="E329">
        <v>2018</v>
      </c>
      <c r="G329">
        <v>34964</v>
      </c>
      <c r="H329">
        <v>85494</v>
      </c>
      <c r="I329">
        <v>5160503</v>
      </c>
      <c r="J329">
        <v>1251679</v>
      </c>
      <c r="K329">
        <v>16817432</v>
      </c>
      <c r="L329">
        <v>5410839</v>
      </c>
      <c r="M329" t="s">
        <v>1859</v>
      </c>
      <c r="AK329">
        <f>IF(LAM_API_TABLE[[#This Row],[Alternative_Data_Approval_Status]]="Approved",LAM_API_TABLE[[#This Row],[HCL_area_sqft_Alternative]],LAM_API_TABLE[[#This Row],[HCL_area_sqft]])</f>
        <v>0</v>
      </c>
      <c r="AL329">
        <f>IF(LAM_API_TABLE[[#This Row],[Alternative_Data_Approval_Status]]="Approved",LAM_API_TABLE[[#This Row],[Ag_area_sqft_Alternative]],LAM_API_TABLE[[#This Row],[Ag_area_sqft]])</f>
        <v>34964</v>
      </c>
      <c r="AM329">
        <f>IF(LAM_API_TABLE[[#This Row],[Alternative_Data_Approval_Status]]="Approved",LAM_API_TABLE[[#This Row],[Pool_area_sqft_Alternative]],LAM_API_TABLE[[#This Row],[Pool_area_sqft]])</f>
        <v>85494</v>
      </c>
      <c r="AN329">
        <f>IF(LAM_API_TABLE[[#This Row],[Alternative_Data_Approval_Status]]="Approved",LAM_API_TABLE[[#This Row],[Total_II_sqft_Alternative]],LAM_API_TABLE[[#This Row],[Total_II_sqft]])</f>
        <v>5160503</v>
      </c>
      <c r="AO329">
        <f>IF(LAM_API_TABLE[[#This Row],[Alternative_Data_Approval_Status]]="Approved",LAM_API_TABLE[[#This Row],[Total_INI_sqft_Alternative]],LAM_API_TABLE[[#This Row],[Total_INI_sqft]])</f>
        <v>1251679</v>
      </c>
      <c r="AP329">
        <f>IF(LAM_API_TABLE[[#This Row],[New_Res_Constr_Approval_Status]]="Approved",LAM_API_TABLE[[#This Row],[New_Res_Constr_sqft]],0)</f>
        <v>0</v>
      </c>
      <c r="AQ329">
        <f>IF(LAM_API_TABLE[[#This Row],[New_Res_Constr_Approval_Status]]="Approved",LAM_API_TABLE[[#This Row],[New_Res_SLA_norec_sqft]],0)</f>
        <v>0</v>
      </c>
      <c r="AR329">
        <f>IF(LAM_API_TABLE[[#This Row],[New_Res_Constr_Approval_Status]]="Approved",LAM_API_TABLE[[#This Row],[New_Res_SLA_rec_sqft]],0)</f>
        <v>0</v>
      </c>
      <c r="AS329">
        <f>IF(LAM_API_TABLE[[#This Row],[Existing_Res_SLA_Data_Approval_Status]]="Approved",LAM_API_TABLE[[#This Row],[Existing_Res_SLA_norec_sqft]],0)</f>
        <v>0</v>
      </c>
      <c r="AT329">
        <f>IF(LAM_API_TABLE[[#This Row],[Existing_Res_SLA_Data_Approval_Status]]="Approved",LAM_API_TABLE[[#This Row],[Existing_Res_SLA_rec_sqft]],0)</f>
        <v>0</v>
      </c>
    </row>
    <row r="330" spans="1:46" x14ac:dyDescent="0.25">
      <c r="A330" t="s">
        <v>2227</v>
      </c>
      <c r="B330" t="s">
        <v>2228</v>
      </c>
      <c r="C330" t="s">
        <v>3399</v>
      </c>
      <c r="D330" t="s">
        <v>3400</v>
      </c>
      <c r="E330">
        <v>2018</v>
      </c>
      <c r="F330">
        <v>241807</v>
      </c>
      <c r="G330">
        <v>6416538</v>
      </c>
      <c r="H330">
        <v>2319892</v>
      </c>
      <c r="I330">
        <v>111908319</v>
      </c>
      <c r="J330">
        <v>4290825</v>
      </c>
      <c r="K330">
        <v>257308212</v>
      </c>
      <c r="L330">
        <v>112766484</v>
      </c>
      <c r="M330" t="s">
        <v>1859</v>
      </c>
      <c r="AK330">
        <f>IF(LAM_API_TABLE[[#This Row],[Alternative_Data_Approval_Status]]="Approved",LAM_API_TABLE[[#This Row],[HCL_area_sqft_Alternative]],LAM_API_TABLE[[#This Row],[HCL_area_sqft]])</f>
        <v>241807</v>
      </c>
      <c r="AL330">
        <f>IF(LAM_API_TABLE[[#This Row],[Alternative_Data_Approval_Status]]="Approved",LAM_API_TABLE[[#This Row],[Ag_area_sqft_Alternative]],LAM_API_TABLE[[#This Row],[Ag_area_sqft]])</f>
        <v>6416538</v>
      </c>
      <c r="AM330">
        <f>IF(LAM_API_TABLE[[#This Row],[Alternative_Data_Approval_Status]]="Approved",LAM_API_TABLE[[#This Row],[Pool_area_sqft_Alternative]],LAM_API_TABLE[[#This Row],[Pool_area_sqft]])</f>
        <v>2319892</v>
      </c>
      <c r="AN330">
        <f>IF(LAM_API_TABLE[[#This Row],[Alternative_Data_Approval_Status]]="Approved",LAM_API_TABLE[[#This Row],[Total_II_sqft_Alternative]],LAM_API_TABLE[[#This Row],[Total_II_sqft]])</f>
        <v>111908319</v>
      </c>
      <c r="AO330">
        <f>IF(LAM_API_TABLE[[#This Row],[Alternative_Data_Approval_Status]]="Approved",LAM_API_TABLE[[#This Row],[Total_INI_sqft_Alternative]],LAM_API_TABLE[[#This Row],[Total_INI_sqft]])</f>
        <v>4290825</v>
      </c>
      <c r="AP330">
        <f>IF(LAM_API_TABLE[[#This Row],[New_Res_Constr_Approval_Status]]="Approved",LAM_API_TABLE[[#This Row],[New_Res_Constr_sqft]],0)</f>
        <v>0</v>
      </c>
      <c r="AQ330">
        <f>IF(LAM_API_TABLE[[#This Row],[New_Res_Constr_Approval_Status]]="Approved",LAM_API_TABLE[[#This Row],[New_Res_SLA_norec_sqft]],0)</f>
        <v>0</v>
      </c>
      <c r="AR330">
        <f>IF(LAM_API_TABLE[[#This Row],[New_Res_Constr_Approval_Status]]="Approved",LAM_API_TABLE[[#This Row],[New_Res_SLA_rec_sqft]],0)</f>
        <v>0</v>
      </c>
      <c r="AS330">
        <f>IF(LAM_API_TABLE[[#This Row],[Existing_Res_SLA_Data_Approval_Status]]="Approved",LAM_API_TABLE[[#This Row],[Existing_Res_SLA_norec_sqft]],0)</f>
        <v>0</v>
      </c>
      <c r="AT330">
        <f>IF(LAM_API_TABLE[[#This Row],[Existing_Res_SLA_Data_Approval_Status]]="Approved",LAM_API_TABLE[[#This Row],[Existing_Res_SLA_rec_sqft]],0)</f>
        <v>0</v>
      </c>
    </row>
    <row r="331" spans="1:46" x14ac:dyDescent="0.25">
      <c r="A331" t="s">
        <v>2227</v>
      </c>
      <c r="B331" t="s">
        <v>2228</v>
      </c>
      <c r="C331" t="s">
        <v>3401</v>
      </c>
      <c r="D331" t="s">
        <v>3402</v>
      </c>
      <c r="E331">
        <v>2018</v>
      </c>
      <c r="F331">
        <v>254589</v>
      </c>
      <c r="G331">
        <v>332172</v>
      </c>
      <c r="H331">
        <v>774250</v>
      </c>
      <c r="I331">
        <v>50136525</v>
      </c>
      <c r="J331">
        <v>9558209</v>
      </c>
      <c r="K331">
        <v>75774773</v>
      </c>
      <c r="L331">
        <v>52048167</v>
      </c>
      <c r="M331" t="s">
        <v>1859</v>
      </c>
      <c r="AK331">
        <f>IF(LAM_API_TABLE[[#This Row],[Alternative_Data_Approval_Status]]="Approved",LAM_API_TABLE[[#This Row],[HCL_area_sqft_Alternative]],LAM_API_TABLE[[#This Row],[HCL_area_sqft]])</f>
        <v>254589</v>
      </c>
      <c r="AL331">
        <f>IF(LAM_API_TABLE[[#This Row],[Alternative_Data_Approval_Status]]="Approved",LAM_API_TABLE[[#This Row],[Ag_area_sqft_Alternative]],LAM_API_TABLE[[#This Row],[Ag_area_sqft]])</f>
        <v>332172</v>
      </c>
      <c r="AM331">
        <f>IF(LAM_API_TABLE[[#This Row],[Alternative_Data_Approval_Status]]="Approved",LAM_API_TABLE[[#This Row],[Pool_area_sqft_Alternative]],LAM_API_TABLE[[#This Row],[Pool_area_sqft]])</f>
        <v>774250</v>
      </c>
      <c r="AN331">
        <f>IF(LAM_API_TABLE[[#This Row],[Alternative_Data_Approval_Status]]="Approved",LAM_API_TABLE[[#This Row],[Total_II_sqft_Alternative]],LAM_API_TABLE[[#This Row],[Total_II_sqft]])</f>
        <v>50136525</v>
      </c>
      <c r="AO331">
        <f>IF(LAM_API_TABLE[[#This Row],[Alternative_Data_Approval_Status]]="Approved",LAM_API_TABLE[[#This Row],[Total_INI_sqft_Alternative]],LAM_API_TABLE[[#This Row],[Total_INI_sqft]])</f>
        <v>9558209</v>
      </c>
      <c r="AP331">
        <f>IF(LAM_API_TABLE[[#This Row],[New_Res_Constr_Approval_Status]]="Approved",LAM_API_TABLE[[#This Row],[New_Res_Constr_sqft]],0)</f>
        <v>0</v>
      </c>
      <c r="AQ331">
        <f>IF(LAM_API_TABLE[[#This Row],[New_Res_Constr_Approval_Status]]="Approved",LAM_API_TABLE[[#This Row],[New_Res_SLA_norec_sqft]],0)</f>
        <v>0</v>
      </c>
      <c r="AR331">
        <f>IF(LAM_API_TABLE[[#This Row],[New_Res_Constr_Approval_Status]]="Approved",LAM_API_TABLE[[#This Row],[New_Res_SLA_rec_sqft]],0)</f>
        <v>0</v>
      </c>
      <c r="AS331">
        <f>IF(LAM_API_TABLE[[#This Row],[Existing_Res_SLA_Data_Approval_Status]]="Approved",LAM_API_TABLE[[#This Row],[Existing_Res_SLA_norec_sqft]],0)</f>
        <v>0</v>
      </c>
      <c r="AT331">
        <f>IF(LAM_API_TABLE[[#This Row],[Existing_Res_SLA_Data_Approval_Status]]="Approved",LAM_API_TABLE[[#This Row],[Existing_Res_SLA_rec_sqft]],0)</f>
        <v>0</v>
      </c>
    </row>
    <row r="332" spans="1:46" x14ac:dyDescent="0.25">
      <c r="A332" t="s">
        <v>2233</v>
      </c>
      <c r="B332" t="s">
        <v>3403</v>
      </c>
      <c r="C332" t="s">
        <v>3404</v>
      </c>
      <c r="D332" t="s">
        <v>3405</v>
      </c>
      <c r="E332">
        <v>2018</v>
      </c>
      <c r="G332">
        <v>238473</v>
      </c>
      <c r="H332">
        <v>59102</v>
      </c>
      <c r="I332">
        <v>25225201</v>
      </c>
      <c r="J332">
        <v>24999438</v>
      </c>
      <c r="K332">
        <v>92692571</v>
      </c>
      <c r="L332">
        <v>30225089</v>
      </c>
      <c r="M332" t="s">
        <v>1859</v>
      </c>
      <c r="AK332">
        <f>IF(LAM_API_TABLE[[#This Row],[Alternative_Data_Approval_Status]]="Approved",LAM_API_TABLE[[#This Row],[HCL_area_sqft_Alternative]],LAM_API_TABLE[[#This Row],[HCL_area_sqft]])</f>
        <v>0</v>
      </c>
      <c r="AL332">
        <f>IF(LAM_API_TABLE[[#This Row],[Alternative_Data_Approval_Status]]="Approved",LAM_API_TABLE[[#This Row],[Ag_area_sqft_Alternative]],LAM_API_TABLE[[#This Row],[Ag_area_sqft]])</f>
        <v>238473</v>
      </c>
      <c r="AM332">
        <f>IF(LAM_API_TABLE[[#This Row],[Alternative_Data_Approval_Status]]="Approved",LAM_API_TABLE[[#This Row],[Pool_area_sqft_Alternative]],LAM_API_TABLE[[#This Row],[Pool_area_sqft]])</f>
        <v>59102</v>
      </c>
      <c r="AN332">
        <f>IF(LAM_API_TABLE[[#This Row],[Alternative_Data_Approval_Status]]="Approved",LAM_API_TABLE[[#This Row],[Total_II_sqft_Alternative]],LAM_API_TABLE[[#This Row],[Total_II_sqft]])</f>
        <v>25225201</v>
      </c>
      <c r="AO332">
        <f>IF(LAM_API_TABLE[[#This Row],[Alternative_Data_Approval_Status]]="Approved",LAM_API_TABLE[[#This Row],[Total_INI_sqft_Alternative]],LAM_API_TABLE[[#This Row],[Total_INI_sqft]])</f>
        <v>24999438</v>
      </c>
      <c r="AP332">
        <f>IF(LAM_API_TABLE[[#This Row],[New_Res_Constr_Approval_Status]]="Approved",LAM_API_TABLE[[#This Row],[New_Res_Constr_sqft]],0)</f>
        <v>0</v>
      </c>
      <c r="AQ332">
        <f>IF(LAM_API_TABLE[[#This Row],[New_Res_Constr_Approval_Status]]="Approved",LAM_API_TABLE[[#This Row],[New_Res_SLA_norec_sqft]],0)</f>
        <v>0</v>
      </c>
      <c r="AR332">
        <f>IF(LAM_API_TABLE[[#This Row],[New_Res_Constr_Approval_Status]]="Approved",LAM_API_TABLE[[#This Row],[New_Res_SLA_rec_sqft]],0)</f>
        <v>0</v>
      </c>
      <c r="AS332">
        <f>IF(LAM_API_TABLE[[#This Row],[Existing_Res_SLA_Data_Approval_Status]]="Approved",LAM_API_TABLE[[#This Row],[Existing_Res_SLA_norec_sqft]],0)</f>
        <v>0</v>
      </c>
      <c r="AT332">
        <f>IF(LAM_API_TABLE[[#This Row],[Existing_Res_SLA_Data_Approval_Status]]="Approved",LAM_API_TABLE[[#This Row],[Existing_Res_SLA_rec_sqft]],0)</f>
        <v>0</v>
      </c>
    </row>
    <row r="333" spans="1:46" x14ac:dyDescent="0.25">
      <c r="A333" t="s">
        <v>2237</v>
      </c>
      <c r="B333" t="s">
        <v>3406</v>
      </c>
      <c r="C333" t="s">
        <v>3407</v>
      </c>
      <c r="D333" t="s">
        <v>3408</v>
      </c>
      <c r="E333">
        <v>2018</v>
      </c>
      <c r="H333">
        <v>260175</v>
      </c>
      <c r="I333">
        <v>36385790</v>
      </c>
      <c r="J333">
        <v>3542150</v>
      </c>
      <c r="K333">
        <v>66193403</v>
      </c>
      <c r="L333">
        <v>37094220</v>
      </c>
      <c r="M333" t="s">
        <v>1859</v>
      </c>
      <c r="AK333">
        <f>IF(LAM_API_TABLE[[#This Row],[Alternative_Data_Approval_Status]]="Approved",LAM_API_TABLE[[#This Row],[HCL_area_sqft_Alternative]],LAM_API_TABLE[[#This Row],[HCL_area_sqft]])</f>
        <v>0</v>
      </c>
      <c r="AL333">
        <f>IF(LAM_API_TABLE[[#This Row],[Alternative_Data_Approval_Status]]="Approved",LAM_API_TABLE[[#This Row],[Ag_area_sqft_Alternative]],LAM_API_TABLE[[#This Row],[Ag_area_sqft]])</f>
        <v>0</v>
      </c>
      <c r="AM333">
        <f>IF(LAM_API_TABLE[[#This Row],[Alternative_Data_Approval_Status]]="Approved",LAM_API_TABLE[[#This Row],[Pool_area_sqft_Alternative]],LAM_API_TABLE[[#This Row],[Pool_area_sqft]])</f>
        <v>260175</v>
      </c>
      <c r="AN333">
        <f>IF(LAM_API_TABLE[[#This Row],[Alternative_Data_Approval_Status]]="Approved",LAM_API_TABLE[[#This Row],[Total_II_sqft_Alternative]],LAM_API_TABLE[[#This Row],[Total_II_sqft]])</f>
        <v>36385790</v>
      </c>
      <c r="AO333">
        <f>IF(LAM_API_TABLE[[#This Row],[Alternative_Data_Approval_Status]]="Approved",LAM_API_TABLE[[#This Row],[Total_INI_sqft_Alternative]],LAM_API_TABLE[[#This Row],[Total_INI_sqft]])</f>
        <v>3542150</v>
      </c>
      <c r="AP333">
        <f>IF(LAM_API_TABLE[[#This Row],[New_Res_Constr_Approval_Status]]="Approved",LAM_API_TABLE[[#This Row],[New_Res_Constr_sqft]],0)</f>
        <v>0</v>
      </c>
      <c r="AQ333">
        <f>IF(LAM_API_TABLE[[#This Row],[New_Res_Constr_Approval_Status]]="Approved",LAM_API_TABLE[[#This Row],[New_Res_SLA_norec_sqft]],0)</f>
        <v>0</v>
      </c>
      <c r="AR333">
        <f>IF(LAM_API_TABLE[[#This Row],[New_Res_Constr_Approval_Status]]="Approved",LAM_API_TABLE[[#This Row],[New_Res_SLA_rec_sqft]],0)</f>
        <v>0</v>
      </c>
      <c r="AS333">
        <f>IF(LAM_API_TABLE[[#This Row],[Existing_Res_SLA_Data_Approval_Status]]="Approved",LAM_API_TABLE[[#This Row],[Existing_Res_SLA_norec_sqft]],0)</f>
        <v>0</v>
      </c>
      <c r="AT333">
        <f>IF(LAM_API_TABLE[[#This Row],[Existing_Res_SLA_Data_Approval_Status]]="Approved",LAM_API_TABLE[[#This Row],[Existing_Res_SLA_rec_sqft]],0)</f>
        <v>0</v>
      </c>
    </row>
    <row r="334" spans="1:46" x14ac:dyDescent="0.25">
      <c r="A334" t="s">
        <v>2241</v>
      </c>
      <c r="B334" t="s">
        <v>3409</v>
      </c>
      <c r="C334" t="s">
        <v>3410</v>
      </c>
      <c r="D334" t="s">
        <v>3411</v>
      </c>
      <c r="E334">
        <v>2018</v>
      </c>
      <c r="F334">
        <v>35877</v>
      </c>
      <c r="G334">
        <v>12434042</v>
      </c>
      <c r="H334">
        <v>110305</v>
      </c>
      <c r="I334">
        <v>14301467</v>
      </c>
      <c r="J334">
        <v>7848771</v>
      </c>
      <c r="K334">
        <v>48425356</v>
      </c>
      <c r="L334">
        <v>15871221</v>
      </c>
      <c r="M334" t="s">
        <v>1859</v>
      </c>
      <c r="AK334">
        <f>IF(LAM_API_TABLE[[#This Row],[Alternative_Data_Approval_Status]]="Approved",LAM_API_TABLE[[#This Row],[HCL_area_sqft_Alternative]],LAM_API_TABLE[[#This Row],[HCL_area_sqft]])</f>
        <v>35877</v>
      </c>
      <c r="AL334">
        <f>IF(LAM_API_TABLE[[#This Row],[Alternative_Data_Approval_Status]]="Approved",LAM_API_TABLE[[#This Row],[Ag_area_sqft_Alternative]],LAM_API_TABLE[[#This Row],[Ag_area_sqft]])</f>
        <v>12434042</v>
      </c>
      <c r="AM334">
        <f>IF(LAM_API_TABLE[[#This Row],[Alternative_Data_Approval_Status]]="Approved",LAM_API_TABLE[[#This Row],[Pool_area_sqft_Alternative]],LAM_API_TABLE[[#This Row],[Pool_area_sqft]])</f>
        <v>110305</v>
      </c>
      <c r="AN334">
        <f>IF(LAM_API_TABLE[[#This Row],[Alternative_Data_Approval_Status]]="Approved",LAM_API_TABLE[[#This Row],[Total_II_sqft_Alternative]],LAM_API_TABLE[[#This Row],[Total_II_sqft]])</f>
        <v>14301467</v>
      </c>
      <c r="AO334">
        <f>IF(LAM_API_TABLE[[#This Row],[Alternative_Data_Approval_Status]]="Approved",LAM_API_TABLE[[#This Row],[Total_INI_sqft_Alternative]],LAM_API_TABLE[[#This Row],[Total_INI_sqft]])</f>
        <v>7848771</v>
      </c>
      <c r="AP334">
        <f>IF(LAM_API_TABLE[[#This Row],[New_Res_Constr_Approval_Status]]="Approved",LAM_API_TABLE[[#This Row],[New_Res_Constr_sqft]],0)</f>
        <v>0</v>
      </c>
      <c r="AQ334">
        <f>IF(LAM_API_TABLE[[#This Row],[New_Res_Constr_Approval_Status]]="Approved",LAM_API_TABLE[[#This Row],[New_Res_SLA_norec_sqft]],0)</f>
        <v>0</v>
      </c>
      <c r="AR334">
        <f>IF(LAM_API_TABLE[[#This Row],[New_Res_Constr_Approval_Status]]="Approved",LAM_API_TABLE[[#This Row],[New_Res_SLA_rec_sqft]],0)</f>
        <v>0</v>
      </c>
      <c r="AS334">
        <f>IF(LAM_API_TABLE[[#This Row],[Existing_Res_SLA_Data_Approval_Status]]="Approved",LAM_API_TABLE[[#This Row],[Existing_Res_SLA_norec_sqft]],0)</f>
        <v>0</v>
      </c>
      <c r="AT334">
        <f>IF(LAM_API_TABLE[[#This Row],[Existing_Res_SLA_Data_Approval_Status]]="Approved",LAM_API_TABLE[[#This Row],[Existing_Res_SLA_rec_sqft]],0)</f>
        <v>0</v>
      </c>
    </row>
    <row r="335" spans="1:46" x14ac:dyDescent="0.25">
      <c r="A335" t="s">
        <v>2245</v>
      </c>
      <c r="B335" t="s">
        <v>2246</v>
      </c>
      <c r="C335" t="s">
        <v>3412</v>
      </c>
      <c r="D335" t="s">
        <v>3413</v>
      </c>
      <c r="E335">
        <v>2018</v>
      </c>
      <c r="F335">
        <v>64838</v>
      </c>
      <c r="G335">
        <v>1019740</v>
      </c>
      <c r="H335">
        <v>701383</v>
      </c>
      <c r="I335">
        <v>170893146</v>
      </c>
      <c r="J335">
        <v>72577833</v>
      </c>
      <c r="K335">
        <v>381414882</v>
      </c>
      <c r="L335">
        <v>185408713</v>
      </c>
      <c r="M335" t="s">
        <v>1859</v>
      </c>
      <c r="AK335">
        <f>IF(LAM_API_TABLE[[#This Row],[Alternative_Data_Approval_Status]]="Approved",LAM_API_TABLE[[#This Row],[HCL_area_sqft_Alternative]],LAM_API_TABLE[[#This Row],[HCL_area_sqft]])</f>
        <v>64838</v>
      </c>
      <c r="AL335">
        <f>IF(LAM_API_TABLE[[#This Row],[Alternative_Data_Approval_Status]]="Approved",LAM_API_TABLE[[#This Row],[Ag_area_sqft_Alternative]],LAM_API_TABLE[[#This Row],[Ag_area_sqft]])</f>
        <v>1019740</v>
      </c>
      <c r="AM335">
        <f>IF(LAM_API_TABLE[[#This Row],[Alternative_Data_Approval_Status]]="Approved",LAM_API_TABLE[[#This Row],[Pool_area_sqft_Alternative]],LAM_API_TABLE[[#This Row],[Pool_area_sqft]])</f>
        <v>701383</v>
      </c>
      <c r="AN335">
        <f>IF(LAM_API_TABLE[[#This Row],[Alternative_Data_Approval_Status]]="Approved",LAM_API_TABLE[[#This Row],[Total_II_sqft_Alternative]],LAM_API_TABLE[[#This Row],[Total_II_sqft]])</f>
        <v>170893146</v>
      </c>
      <c r="AO335">
        <f>IF(LAM_API_TABLE[[#This Row],[Alternative_Data_Approval_Status]]="Approved",LAM_API_TABLE[[#This Row],[Total_INI_sqft_Alternative]],LAM_API_TABLE[[#This Row],[Total_INI_sqft]])</f>
        <v>72577833</v>
      </c>
      <c r="AP335">
        <f>IF(LAM_API_TABLE[[#This Row],[New_Res_Constr_Approval_Status]]="Approved",LAM_API_TABLE[[#This Row],[New_Res_Constr_sqft]],0)</f>
        <v>0</v>
      </c>
      <c r="AQ335">
        <f>IF(LAM_API_TABLE[[#This Row],[New_Res_Constr_Approval_Status]]="Approved",LAM_API_TABLE[[#This Row],[New_Res_SLA_norec_sqft]],0)</f>
        <v>0</v>
      </c>
      <c r="AR335">
        <f>IF(LAM_API_TABLE[[#This Row],[New_Res_Constr_Approval_Status]]="Approved",LAM_API_TABLE[[#This Row],[New_Res_SLA_rec_sqft]],0)</f>
        <v>0</v>
      </c>
      <c r="AS335">
        <f>IF(LAM_API_TABLE[[#This Row],[Existing_Res_SLA_Data_Approval_Status]]="Approved",LAM_API_TABLE[[#This Row],[Existing_Res_SLA_norec_sqft]],0)</f>
        <v>0</v>
      </c>
      <c r="AT335">
        <f>IF(LAM_API_TABLE[[#This Row],[Existing_Res_SLA_Data_Approval_Status]]="Approved",LAM_API_TABLE[[#This Row],[Existing_Res_SLA_rec_sqft]],0)</f>
        <v>0</v>
      </c>
    </row>
    <row r="336" spans="1:46" x14ac:dyDescent="0.25">
      <c r="A336" t="s">
        <v>2249</v>
      </c>
      <c r="B336" t="s">
        <v>2250</v>
      </c>
      <c r="C336" t="s">
        <v>3414</v>
      </c>
      <c r="D336" t="s">
        <v>3415</v>
      </c>
      <c r="E336">
        <v>2018</v>
      </c>
      <c r="F336">
        <v>30508</v>
      </c>
      <c r="G336">
        <v>82197</v>
      </c>
      <c r="H336">
        <v>65109</v>
      </c>
      <c r="I336">
        <v>9510193</v>
      </c>
      <c r="J336">
        <v>6664613</v>
      </c>
      <c r="K336">
        <v>44081398</v>
      </c>
      <c r="L336">
        <v>10843116</v>
      </c>
      <c r="M336" t="s">
        <v>1859</v>
      </c>
      <c r="AK336">
        <f>IF(LAM_API_TABLE[[#This Row],[Alternative_Data_Approval_Status]]="Approved",LAM_API_TABLE[[#This Row],[HCL_area_sqft_Alternative]],LAM_API_TABLE[[#This Row],[HCL_area_sqft]])</f>
        <v>30508</v>
      </c>
      <c r="AL336">
        <f>IF(LAM_API_TABLE[[#This Row],[Alternative_Data_Approval_Status]]="Approved",LAM_API_TABLE[[#This Row],[Ag_area_sqft_Alternative]],LAM_API_TABLE[[#This Row],[Ag_area_sqft]])</f>
        <v>82197</v>
      </c>
      <c r="AM336">
        <f>IF(LAM_API_TABLE[[#This Row],[Alternative_Data_Approval_Status]]="Approved",LAM_API_TABLE[[#This Row],[Pool_area_sqft_Alternative]],LAM_API_TABLE[[#This Row],[Pool_area_sqft]])</f>
        <v>65109</v>
      </c>
      <c r="AN336">
        <f>IF(LAM_API_TABLE[[#This Row],[Alternative_Data_Approval_Status]]="Approved",LAM_API_TABLE[[#This Row],[Total_II_sqft_Alternative]],LAM_API_TABLE[[#This Row],[Total_II_sqft]])</f>
        <v>9510193</v>
      </c>
      <c r="AO336">
        <f>IF(LAM_API_TABLE[[#This Row],[Alternative_Data_Approval_Status]]="Approved",LAM_API_TABLE[[#This Row],[Total_INI_sqft_Alternative]],LAM_API_TABLE[[#This Row],[Total_INI_sqft]])</f>
        <v>6664613</v>
      </c>
      <c r="AP336">
        <f>IF(LAM_API_TABLE[[#This Row],[New_Res_Constr_Approval_Status]]="Approved",LAM_API_TABLE[[#This Row],[New_Res_Constr_sqft]],0)</f>
        <v>0</v>
      </c>
      <c r="AQ336">
        <f>IF(LAM_API_TABLE[[#This Row],[New_Res_Constr_Approval_Status]]="Approved",LAM_API_TABLE[[#This Row],[New_Res_SLA_norec_sqft]],0)</f>
        <v>0</v>
      </c>
      <c r="AR336">
        <f>IF(LAM_API_TABLE[[#This Row],[New_Res_Constr_Approval_Status]]="Approved",LAM_API_TABLE[[#This Row],[New_Res_SLA_rec_sqft]],0)</f>
        <v>0</v>
      </c>
      <c r="AS336">
        <f>IF(LAM_API_TABLE[[#This Row],[Existing_Res_SLA_Data_Approval_Status]]="Approved",LAM_API_TABLE[[#This Row],[Existing_Res_SLA_norec_sqft]],0)</f>
        <v>0</v>
      </c>
      <c r="AT336">
        <f>IF(LAM_API_TABLE[[#This Row],[Existing_Res_SLA_Data_Approval_Status]]="Approved",LAM_API_TABLE[[#This Row],[Existing_Res_SLA_rec_sqft]],0)</f>
        <v>0</v>
      </c>
    </row>
    <row r="337" spans="1:46" x14ac:dyDescent="0.25">
      <c r="A337" t="s">
        <v>2253</v>
      </c>
      <c r="B337" t="s">
        <v>2254</v>
      </c>
      <c r="C337" t="s">
        <v>3416</v>
      </c>
      <c r="D337" t="s">
        <v>3417</v>
      </c>
      <c r="E337">
        <v>2018</v>
      </c>
      <c r="H337">
        <v>243570</v>
      </c>
      <c r="I337">
        <v>11153597</v>
      </c>
      <c r="J337">
        <v>558395</v>
      </c>
      <c r="K337">
        <v>31767761</v>
      </c>
      <c r="L337">
        <v>11265276</v>
      </c>
      <c r="M337" t="s">
        <v>1859</v>
      </c>
      <c r="AK337">
        <f>IF(LAM_API_TABLE[[#This Row],[Alternative_Data_Approval_Status]]="Approved",LAM_API_TABLE[[#This Row],[HCL_area_sqft_Alternative]],LAM_API_TABLE[[#This Row],[HCL_area_sqft]])</f>
        <v>0</v>
      </c>
      <c r="AL337">
        <f>IF(LAM_API_TABLE[[#This Row],[Alternative_Data_Approval_Status]]="Approved",LAM_API_TABLE[[#This Row],[Ag_area_sqft_Alternative]],LAM_API_TABLE[[#This Row],[Ag_area_sqft]])</f>
        <v>0</v>
      </c>
      <c r="AM337">
        <f>IF(LAM_API_TABLE[[#This Row],[Alternative_Data_Approval_Status]]="Approved",LAM_API_TABLE[[#This Row],[Pool_area_sqft_Alternative]],LAM_API_TABLE[[#This Row],[Pool_area_sqft]])</f>
        <v>243570</v>
      </c>
      <c r="AN337">
        <f>IF(LAM_API_TABLE[[#This Row],[Alternative_Data_Approval_Status]]="Approved",LAM_API_TABLE[[#This Row],[Total_II_sqft_Alternative]],LAM_API_TABLE[[#This Row],[Total_II_sqft]])</f>
        <v>11153597</v>
      </c>
      <c r="AO337">
        <f>IF(LAM_API_TABLE[[#This Row],[Alternative_Data_Approval_Status]]="Approved",LAM_API_TABLE[[#This Row],[Total_INI_sqft_Alternative]],LAM_API_TABLE[[#This Row],[Total_INI_sqft]])</f>
        <v>558395</v>
      </c>
      <c r="AP337">
        <f>IF(LAM_API_TABLE[[#This Row],[New_Res_Constr_Approval_Status]]="Approved",LAM_API_TABLE[[#This Row],[New_Res_Constr_sqft]],0)</f>
        <v>0</v>
      </c>
      <c r="AQ337">
        <f>IF(LAM_API_TABLE[[#This Row],[New_Res_Constr_Approval_Status]]="Approved",LAM_API_TABLE[[#This Row],[New_Res_SLA_norec_sqft]],0)</f>
        <v>0</v>
      </c>
      <c r="AR337">
        <f>IF(LAM_API_TABLE[[#This Row],[New_Res_Constr_Approval_Status]]="Approved",LAM_API_TABLE[[#This Row],[New_Res_SLA_rec_sqft]],0)</f>
        <v>0</v>
      </c>
      <c r="AS337">
        <f>IF(LAM_API_TABLE[[#This Row],[Existing_Res_SLA_Data_Approval_Status]]="Approved",LAM_API_TABLE[[#This Row],[Existing_Res_SLA_norec_sqft]],0)</f>
        <v>0</v>
      </c>
      <c r="AT337">
        <f>IF(LAM_API_TABLE[[#This Row],[Existing_Res_SLA_Data_Approval_Status]]="Approved",LAM_API_TABLE[[#This Row],[Existing_Res_SLA_rec_sqft]],0)</f>
        <v>0</v>
      </c>
    </row>
    <row r="338" spans="1:46" x14ac:dyDescent="0.25">
      <c r="A338" t="s">
        <v>2257</v>
      </c>
      <c r="B338" t="s">
        <v>2258</v>
      </c>
      <c r="C338" t="s">
        <v>3418</v>
      </c>
      <c r="D338" t="s">
        <v>3419</v>
      </c>
      <c r="E338">
        <v>2018</v>
      </c>
      <c r="F338">
        <v>232169</v>
      </c>
      <c r="G338">
        <v>43244404</v>
      </c>
      <c r="H338">
        <v>182284</v>
      </c>
      <c r="I338">
        <v>13959164</v>
      </c>
      <c r="J338">
        <v>5611749</v>
      </c>
      <c r="K338">
        <v>88234338</v>
      </c>
      <c r="L338">
        <v>15081514</v>
      </c>
      <c r="M338" t="s">
        <v>1859</v>
      </c>
      <c r="AK338">
        <f>IF(LAM_API_TABLE[[#This Row],[Alternative_Data_Approval_Status]]="Approved",LAM_API_TABLE[[#This Row],[HCL_area_sqft_Alternative]],LAM_API_TABLE[[#This Row],[HCL_area_sqft]])</f>
        <v>232169</v>
      </c>
      <c r="AL338">
        <f>IF(LAM_API_TABLE[[#This Row],[Alternative_Data_Approval_Status]]="Approved",LAM_API_TABLE[[#This Row],[Ag_area_sqft_Alternative]],LAM_API_TABLE[[#This Row],[Ag_area_sqft]])</f>
        <v>43244404</v>
      </c>
      <c r="AM338">
        <f>IF(LAM_API_TABLE[[#This Row],[Alternative_Data_Approval_Status]]="Approved",LAM_API_TABLE[[#This Row],[Pool_area_sqft_Alternative]],LAM_API_TABLE[[#This Row],[Pool_area_sqft]])</f>
        <v>182284</v>
      </c>
      <c r="AN338">
        <f>IF(LAM_API_TABLE[[#This Row],[Alternative_Data_Approval_Status]]="Approved",LAM_API_TABLE[[#This Row],[Total_II_sqft_Alternative]],LAM_API_TABLE[[#This Row],[Total_II_sqft]])</f>
        <v>13959164</v>
      </c>
      <c r="AO338">
        <f>IF(LAM_API_TABLE[[#This Row],[Alternative_Data_Approval_Status]]="Approved",LAM_API_TABLE[[#This Row],[Total_INI_sqft_Alternative]],LAM_API_TABLE[[#This Row],[Total_INI_sqft]])</f>
        <v>5611749</v>
      </c>
      <c r="AP338">
        <f>IF(LAM_API_TABLE[[#This Row],[New_Res_Constr_Approval_Status]]="Approved",LAM_API_TABLE[[#This Row],[New_Res_Constr_sqft]],0)</f>
        <v>0</v>
      </c>
      <c r="AQ338">
        <f>IF(LAM_API_TABLE[[#This Row],[New_Res_Constr_Approval_Status]]="Approved",LAM_API_TABLE[[#This Row],[New_Res_SLA_norec_sqft]],0)</f>
        <v>0</v>
      </c>
      <c r="AR338">
        <f>IF(LAM_API_TABLE[[#This Row],[New_Res_Constr_Approval_Status]]="Approved",LAM_API_TABLE[[#This Row],[New_Res_SLA_rec_sqft]],0)</f>
        <v>0</v>
      </c>
      <c r="AS338">
        <f>IF(LAM_API_TABLE[[#This Row],[Existing_Res_SLA_Data_Approval_Status]]="Approved",LAM_API_TABLE[[#This Row],[Existing_Res_SLA_norec_sqft]],0)</f>
        <v>0</v>
      </c>
      <c r="AT338">
        <f>IF(LAM_API_TABLE[[#This Row],[Existing_Res_SLA_Data_Approval_Status]]="Approved",LAM_API_TABLE[[#This Row],[Existing_Res_SLA_rec_sqft]],0)</f>
        <v>0</v>
      </c>
    </row>
    <row r="339" spans="1:46" x14ac:dyDescent="0.25">
      <c r="A339" t="s">
        <v>2261</v>
      </c>
      <c r="B339" t="s">
        <v>3420</v>
      </c>
      <c r="C339" t="s">
        <v>3421</v>
      </c>
      <c r="D339" t="s">
        <v>3422</v>
      </c>
      <c r="E339">
        <v>2018</v>
      </c>
      <c r="F339">
        <v>15175</v>
      </c>
      <c r="H339">
        <v>95189</v>
      </c>
      <c r="I339">
        <v>7602529</v>
      </c>
      <c r="J339">
        <v>15167918</v>
      </c>
      <c r="K339">
        <v>53873378</v>
      </c>
      <c r="L339">
        <v>10636113</v>
      </c>
      <c r="M339" t="s">
        <v>1859</v>
      </c>
      <c r="AK339">
        <f>IF(LAM_API_TABLE[[#This Row],[Alternative_Data_Approval_Status]]="Approved",LAM_API_TABLE[[#This Row],[HCL_area_sqft_Alternative]],LAM_API_TABLE[[#This Row],[HCL_area_sqft]])</f>
        <v>15175</v>
      </c>
      <c r="AL339">
        <f>IF(LAM_API_TABLE[[#This Row],[Alternative_Data_Approval_Status]]="Approved",LAM_API_TABLE[[#This Row],[Ag_area_sqft_Alternative]],LAM_API_TABLE[[#This Row],[Ag_area_sqft]])</f>
        <v>0</v>
      </c>
      <c r="AM339">
        <f>IF(LAM_API_TABLE[[#This Row],[Alternative_Data_Approval_Status]]="Approved",LAM_API_TABLE[[#This Row],[Pool_area_sqft_Alternative]],LAM_API_TABLE[[#This Row],[Pool_area_sqft]])</f>
        <v>95189</v>
      </c>
      <c r="AN339">
        <f>IF(LAM_API_TABLE[[#This Row],[Alternative_Data_Approval_Status]]="Approved",LAM_API_TABLE[[#This Row],[Total_II_sqft_Alternative]],LAM_API_TABLE[[#This Row],[Total_II_sqft]])</f>
        <v>7602529</v>
      </c>
      <c r="AO339">
        <f>IF(LAM_API_TABLE[[#This Row],[Alternative_Data_Approval_Status]]="Approved",LAM_API_TABLE[[#This Row],[Total_INI_sqft_Alternative]],LAM_API_TABLE[[#This Row],[Total_INI_sqft]])</f>
        <v>15167918</v>
      </c>
      <c r="AP339">
        <f>IF(LAM_API_TABLE[[#This Row],[New_Res_Constr_Approval_Status]]="Approved",LAM_API_TABLE[[#This Row],[New_Res_Constr_sqft]],0)</f>
        <v>0</v>
      </c>
      <c r="AQ339">
        <f>IF(LAM_API_TABLE[[#This Row],[New_Res_Constr_Approval_Status]]="Approved",LAM_API_TABLE[[#This Row],[New_Res_SLA_norec_sqft]],0)</f>
        <v>0</v>
      </c>
      <c r="AR339">
        <f>IF(LAM_API_TABLE[[#This Row],[New_Res_Constr_Approval_Status]]="Approved",LAM_API_TABLE[[#This Row],[New_Res_SLA_rec_sqft]],0)</f>
        <v>0</v>
      </c>
      <c r="AS339">
        <f>IF(LAM_API_TABLE[[#This Row],[Existing_Res_SLA_Data_Approval_Status]]="Approved",LAM_API_TABLE[[#This Row],[Existing_Res_SLA_norec_sqft]],0)</f>
        <v>0</v>
      </c>
      <c r="AT339">
        <f>IF(LAM_API_TABLE[[#This Row],[Existing_Res_SLA_Data_Approval_Status]]="Approved",LAM_API_TABLE[[#This Row],[Existing_Res_SLA_rec_sqft]],0)</f>
        <v>0</v>
      </c>
    </row>
    <row r="340" spans="1:46" x14ac:dyDescent="0.25">
      <c r="A340" t="s">
        <v>2265</v>
      </c>
      <c r="B340" t="s">
        <v>3423</v>
      </c>
      <c r="C340" t="s">
        <v>3424</v>
      </c>
      <c r="D340" t="s">
        <v>3425</v>
      </c>
      <c r="E340">
        <v>2018</v>
      </c>
      <c r="H340">
        <v>330216</v>
      </c>
      <c r="I340">
        <v>14754831</v>
      </c>
      <c r="J340">
        <v>6930530</v>
      </c>
      <c r="K340">
        <v>19058372</v>
      </c>
      <c r="L340">
        <v>16140937</v>
      </c>
      <c r="M340" t="s">
        <v>1859</v>
      </c>
      <c r="AK340">
        <f>IF(LAM_API_TABLE[[#This Row],[Alternative_Data_Approval_Status]]="Approved",LAM_API_TABLE[[#This Row],[HCL_area_sqft_Alternative]],LAM_API_TABLE[[#This Row],[HCL_area_sqft]])</f>
        <v>0</v>
      </c>
      <c r="AL340">
        <f>IF(LAM_API_TABLE[[#This Row],[Alternative_Data_Approval_Status]]="Approved",LAM_API_TABLE[[#This Row],[Ag_area_sqft_Alternative]],LAM_API_TABLE[[#This Row],[Ag_area_sqft]])</f>
        <v>0</v>
      </c>
      <c r="AM340">
        <f>IF(LAM_API_TABLE[[#This Row],[Alternative_Data_Approval_Status]]="Approved",LAM_API_TABLE[[#This Row],[Pool_area_sqft_Alternative]],LAM_API_TABLE[[#This Row],[Pool_area_sqft]])</f>
        <v>330216</v>
      </c>
      <c r="AN340">
        <f>IF(LAM_API_TABLE[[#This Row],[Alternative_Data_Approval_Status]]="Approved",LAM_API_TABLE[[#This Row],[Total_II_sqft_Alternative]],LAM_API_TABLE[[#This Row],[Total_II_sqft]])</f>
        <v>14754831</v>
      </c>
      <c r="AO340">
        <f>IF(LAM_API_TABLE[[#This Row],[Alternative_Data_Approval_Status]]="Approved",LAM_API_TABLE[[#This Row],[Total_INI_sqft_Alternative]],LAM_API_TABLE[[#This Row],[Total_INI_sqft]])</f>
        <v>6930530</v>
      </c>
      <c r="AP340">
        <f>IF(LAM_API_TABLE[[#This Row],[New_Res_Constr_Approval_Status]]="Approved",LAM_API_TABLE[[#This Row],[New_Res_Constr_sqft]],0)</f>
        <v>0</v>
      </c>
      <c r="AQ340">
        <f>IF(LAM_API_TABLE[[#This Row],[New_Res_Constr_Approval_Status]]="Approved",LAM_API_TABLE[[#This Row],[New_Res_SLA_norec_sqft]],0)</f>
        <v>0</v>
      </c>
      <c r="AR340">
        <f>IF(LAM_API_TABLE[[#This Row],[New_Res_Constr_Approval_Status]]="Approved",LAM_API_TABLE[[#This Row],[New_Res_SLA_rec_sqft]],0)</f>
        <v>0</v>
      </c>
      <c r="AS340">
        <f>IF(LAM_API_TABLE[[#This Row],[Existing_Res_SLA_Data_Approval_Status]]="Approved",LAM_API_TABLE[[#This Row],[Existing_Res_SLA_norec_sqft]],0)</f>
        <v>0</v>
      </c>
      <c r="AT340">
        <f>IF(LAM_API_TABLE[[#This Row],[Existing_Res_SLA_Data_Approval_Status]]="Approved",LAM_API_TABLE[[#This Row],[Existing_Res_SLA_rec_sqft]],0)</f>
        <v>0</v>
      </c>
    </row>
    <row r="341" spans="1:46" x14ac:dyDescent="0.25">
      <c r="A341" t="s">
        <v>2269</v>
      </c>
      <c r="B341" t="s">
        <v>2270</v>
      </c>
      <c r="AK341">
        <f>IF(LAM_API_TABLE[[#This Row],[Alternative_Data_Approval_Status]]="Approved",LAM_API_TABLE[[#This Row],[HCL_area_sqft_Alternative]],LAM_API_TABLE[[#This Row],[HCL_area_sqft]])</f>
        <v>0</v>
      </c>
      <c r="AL341">
        <f>IF(LAM_API_TABLE[[#This Row],[Alternative_Data_Approval_Status]]="Approved",LAM_API_TABLE[[#This Row],[Ag_area_sqft_Alternative]],LAM_API_TABLE[[#This Row],[Ag_area_sqft]])</f>
        <v>0</v>
      </c>
      <c r="AM341">
        <f>IF(LAM_API_TABLE[[#This Row],[Alternative_Data_Approval_Status]]="Approved",LAM_API_TABLE[[#This Row],[Pool_area_sqft_Alternative]],LAM_API_TABLE[[#This Row],[Pool_area_sqft]])</f>
        <v>0</v>
      </c>
      <c r="AN341">
        <f>IF(LAM_API_TABLE[[#This Row],[Alternative_Data_Approval_Status]]="Approved",LAM_API_TABLE[[#This Row],[Total_II_sqft_Alternative]],LAM_API_TABLE[[#This Row],[Total_II_sqft]])</f>
        <v>0</v>
      </c>
      <c r="AO341">
        <f>IF(LAM_API_TABLE[[#This Row],[Alternative_Data_Approval_Status]]="Approved",LAM_API_TABLE[[#This Row],[Total_INI_sqft_Alternative]],LAM_API_TABLE[[#This Row],[Total_INI_sqft]])</f>
        <v>0</v>
      </c>
      <c r="AP341">
        <f>IF(LAM_API_TABLE[[#This Row],[New_Res_Constr_Approval_Status]]="Approved",LAM_API_TABLE[[#This Row],[New_Res_Constr_sqft]],0)</f>
        <v>0</v>
      </c>
      <c r="AQ341">
        <f>IF(LAM_API_TABLE[[#This Row],[New_Res_Constr_Approval_Status]]="Approved",LAM_API_TABLE[[#This Row],[New_Res_SLA_norec_sqft]],0)</f>
        <v>0</v>
      </c>
      <c r="AR341">
        <f>IF(LAM_API_TABLE[[#This Row],[New_Res_Constr_Approval_Status]]="Approved",LAM_API_TABLE[[#This Row],[New_Res_SLA_rec_sqft]],0)</f>
        <v>0</v>
      </c>
      <c r="AS341">
        <f>IF(LAM_API_TABLE[[#This Row],[Existing_Res_SLA_Data_Approval_Status]]="Approved",LAM_API_TABLE[[#This Row],[Existing_Res_SLA_norec_sqft]],0)</f>
        <v>0</v>
      </c>
      <c r="AT341">
        <f>IF(LAM_API_TABLE[[#This Row],[Existing_Res_SLA_Data_Approval_Status]]="Approved",LAM_API_TABLE[[#This Row],[Existing_Res_SLA_rec_sqft]],0)</f>
        <v>0</v>
      </c>
    </row>
    <row r="342" spans="1:46" x14ac:dyDescent="0.25">
      <c r="A342" t="s">
        <v>2273</v>
      </c>
      <c r="B342" t="s">
        <v>2274</v>
      </c>
      <c r="C342" t="s">
        <v>3426</v>
      </c>
      <c r="D342" t="s">
        <v>3427</v>
      </c>
      <c r="E342">
        <v>2018</v>
      </c>
      <c r="H342">
        <v>6163</v>
      </c>
      <c r="I342">
        <v>5110753</v>
      </c>
      <c r="J342">
        <v>4273927</v>
      </c>
      <c r="K342">
        <v>17609827</v>
      </c>
      <c r="L342">
        <v>5965538</v>
      </c>
      <c r="M342" t="s">
        <v>1859</v>
      </c>
      <c r="AK342">
        <f>IF(LAM_API_TABLE[[#This Row],[Alternative_Data_Approval_Status]]="Approved",LAM_API_TABLE[[#This Row],[HCL_area_sqft_Alternative]],LAM_API_TABLE[[#This Row],[HCL_area_sqft]])</f>
        <v>0</v>
      </c>
      <c r="AL342">
        <f>IF(LAM_API_TABLE[[#This Row],[Alternative_Data_Approval_Status]]="Approved",LAM_API_TABLE[[#This Row],[Ag_area_sqft_Alternative]],LAM_API_TABLE[[#This Row],[Ag_area_sqft]])</f>
        <v>0</v>
      </c>
      <c r="AM342">
        <f>IF(LAM_API_TABLE[[#This Row],[Alternative_Data_Approval_Status]]="Approved",LAM_API_TABLE[[#This Row],[Pool_area_sqft_Alternative]],LAM_API_TABLE[[#This Row],[Pool_area_sqft]])</f>
        <v>6163</v>
      </c>
      <c r="AN342">
        <f>IF(LAM_API_TABLE[[#This Row],[Alternative_Data_Approval_Status]]="Approved",LAM_API_TABLE[[#This Row],[Total_II_sqft_Alternative]],LAM_API_TABLE[[#This Row],[Total_II_sqft]])</f>
        <v>5110753</v>
      </c>
      <c r="AO342">
        <f>IF(LAM_API_TABLE[[#This Row],[Alternative_Data_Approval_Status]]="Approved",LAM_API_TABLE[[#This Row],[Total_INI_sqft_Alternative]],LAM_API_TABLE[[#This Row],[Total_INI_sqft]])</f>
        <v>4273927</v>
      </c>
      <c r="AP342">
        <f>IF(LAM_API_TABLE[[#This Row],[New_Res_Constr_Approval_Status]]="Approved",LAM_API_TABLE[[#This Row],[New_Res_Constr_sqft]],0)</f>
        <v>0</v>
      </c>
      <c r="AQ342">
        <f>IF(LAM_API_TABLE[[#This Row],[New_Res_Constr_Approval_Status]]="Approved",LAM_API_TABLE[[#This Row],[New_Res_SLA_norec_sqft]],0)</f>
        <v>0</v>
      </c>
      <c r="AR342">
        <f>IF(LAM_API_TABLE[[#This Row],[New_Res_Constr_Approval_Status]]="Approved",LAM_API_TABLE[[#This Row],[New_Res_SLA_rec_sqft]],0)</f>
        <v>0</v>
      </c>
      <c r="AS342">
        <f>IF(LAM_API_TABLE[[#This Row],[Existing_Res_SLA_Data_Approval_Status]]="Approved",LAM_API_TABLE[[#This Row],[Existing_Res_SLA_norec_sqft]],0)</f>
        <v>0</v>
      </c>
      <c r="AT342">
        <f>IF(LAM_API_TABLE[[#This Row],[Existing_Res_SLA_Data_Approval_Status]]="Approved",LAM_API_TABLE[[#This Row],[Existing_Res_SLA_rec_sqft]],0)</f>
        <v>0</v>
      </c>
    </row>
    <row r="343" spans="1:46" x14ac:dyDescent="0.25">
      <c r="A343" t="s">
        <v>2277</v>
      </c>
      <c r="B343" t="s">
        <v>2278</v>
      </c>
      <c r="C343" t="s">
        <v>3428</v>
      </c>
      <c r="D343" t="s">
        <v>3429</v>
      </c>
      <c r="E343">
        <v>2018</v>
      </c>
      <c r="G343">
        <v>1065644</v>
      </c>
      <c r="H343">
        <v>177196</v>
      </c>
      <c r="I343">
        <v>16180990</v>
      </c>
      <c r="J343">
        <v>7986794</v>
      </c>
      <c r="K343">
        <v>30914723</v>
      </c>
      <c r="L343">
        <v>17778349</v>
      </c>
      <c r="M343" t="s">
        <v>1859</v>
      </c>
      <c r="AK343">
        <f>IF(LAM_API_TABLE[[#This Row],[Alternative_Data_Approval_Status]]="Approved",LAM_API_TABLE[[#This Row],[HCL_area_sqft_Alternative]],LAM_API_TABLE[[#This Row],[HCL_area_sqft]])</f>
        <v>0</v>
      </c>
      <c r="AL343">
        <f>IF(LAM_API_TABLE[[#This Row],[Alternative_Data_Approval_Status]]="Approved",LAM_API_TABLE[[#This Row],[Ag_area_sqft_Alternative]],LAM_API_TABLE[[#This Row],[Ag_area_sqft]])</f>
        <v>1065644</v>
      </c>
      <c r="AM343">
        <f>IF(LAM_API_TABLE[[#This Row],[Alternative_Data_Approval_Status]]="Approved",LAM_API_TABLE[[#This Row],[Pool_area_sqft_Alternative]],LAM_API_TABLE[[#This Row],[Pool_area_sqft]])</f>
        <v>177196</v>
      </c>
      <c r="AN343">
        <f>IF(LAM_API_TABLE[[#This Row],[Alternative_Data_Approval_Status]]="Approved",LAM_API_TABLE[[#This Row],[Total_II_sqft_Alternative]],LAM_API_TABLE[[#This Row],[Total_II_sqft]])</f>
        <v>16180990</v>
      </c>
      <c r="AO343">
        <f>IF(LAM_API_TABLE[[#This Row],[Alternative_Data_Approval_Status]]="Approved",LAM_API_TABLE[[#This Row],[Total_INI_sqft_Alternative]],LAM_API_TABLE[[#This Row],[Total_INI_sqft]])</f>
        <v>7986794</v>
      </c>
      <c r="AP343">
        <f>IF(LAM_API_TABLE[[#This Row],[New_Res_Constr_Approval_Status]]="Approved",LAM_API_TABLE[[#This Row],[New_Res_Constr_sqft]],0)</f>
        <v>0</v>
      </c>
      <c r="AQ343">
        <f>IF(LAM_API_TABLE[[#This Row],[New_Res_Constr_Approval_Status]]="Approved",LAM_API_TABLE[[#This Row],[New_Res_SLA_norec_sqft]],0)</f>
        <v>0</v>
      </c>
      <c r="AR343">
        <f>IF(LAM_API_TABLE[[#This Row],[New_Res_Constr_Approval_Status]]="Approved",LAM_API_TABLE[[#This Row],[New_Res_SLA_rec_sqft]],0)</f>
        <v>0</v>
      </c>
      <c r="AS343">
        <f>IF(LAM_API_TABLE[[#This Row],[Existing_Res_SLA_Data_Approval_Status]]="Approved",LAM_API_TABLE[[#This Row],[Existing_Res_SLA_norec_sqft]],0)</f>
        <v>0</v>
      </c>
      <c r="AT343">
        <f>IF(LAM_API_TABLE[[#This Row],[Existing_Res_SLA_Data_Approval_Status]]="Approved",LAM_API_TABLE[[#This Row],[Existing_Res_SLA_rec_sqft]],0)</f>
        <v>0</v>
      </c>
    </row>
    <row r="344" spans="1:46" x14ac:dyDescent="0.25">
      <c r="A344" t="s">
        <v>2281</v>
      </c>
      <c r="B344" t="s">
        <v>2282</v>
      </c>
      <c r="C344" t="s">
        <v>3430</v>
      </c>
      <c r="D344" t="s">
        <v>3431</v>
      </c>
      <c r="E344">
        <v>2018</v>
      </c>
      <c r="F344">
        <v>29781</v>
      </c>
      <c r="G344">
        <v>1100298</v>
      </c>
      <c r="H344">
        <v>94108</v>
      </c>
      <c r="I344">
        <v>47745552</v>
      </c>
      <c r="J344">
        <v>13067650</v>
      </c>
      <c r="K344">
        <v>110510589</v>
      </c>
      <c r="L344">
        <v>50359082</v>
      </c>
      <c r="M344" t="s">
        <v>1859</v>
      </c>
      <c r="AK344">
        <f>IF(LAM_API_TABLE[[#This Row],[Alternative_Data_Approval_Status]]="Approved",LAM_API_TABLE[[#This Row],[HCL_area_sqft_Alternative]],LAM_API_TABLE[[#This Row],[HCL_area_sqft]])</f>
        <v>29781</v>
      </c>
      <c r="AL344">
        <f>IF(LAM_API_TABLE[[#This Row],[Alternative_Data_Approval_Status]]="Approved",LAM_API_TABLE[[#This Row],[Ag_area_sqft_Alternative]],LAM_API_TABLE[[#This Row],[Ag_area_sqft]])</f>
        <v>1100298</v>
      </c>
      <c r="AM344">
        <f>IF(LAM_API_TABLE[[#This Row],[Alternative_Data_Approval_Status]]="Approved",LAM_API_TABLE[[#This Row],[Pool_area_sqft_Alternative]],LAM_API_TABLE[[#This Row],[Pool_area_sqft]])</f>
        <v>94108</v>
      </c>
      <c r="AN344">
        <f>IF(LAM_API_TABLE[[#This Row],[Alternative_Data_Approval_Status]]="Approved",LAM_API_TABLE[[#This Row],[Total_II_sqft_Alternative]],LAM_API_TABLE[[#This Row],[Total_II_sqft]])</f>
        <v>47745552</v>
      </c>
      <c r="AO344">
        <f>IF(LAM_API_TABLE[[#This Row],[Alternative_Data_Approval_Status]]="Approved",LAM_API_TABLE[[#This Row],[Total_INI_sqft_Alternative]],LAM_API_TABLE[[#This Row],[Total_INI_sqft]])</f>
        <v>13067650</v>
      </c>
      <c r="AP344">
        <f>IF(LAM_API_TABLE[[#This Row],[New_Res_Constr_Approval_Status]]="Approved",LAM_API_TABLE[[#This Row],[New_Res_Constr_sqft]],0)</f>
        <v>0</v>
      </c>
      <c r="AQ344">
        <f>IF(LAM_API_TABLE[[#This Row],[New_Res_Constr_Approval_Status]]="Approved",LAM_API_TABLE[[#This Row],[New_Res_SLA_norec_sqft]],0)</f>
        <v>0</v>
      </c>
      <c r="AR344">
        <f>IF(LAM_API_TABLE[[#This Row],[New_Res_Constr_Approval_Status]]="Approved",LAM_API_TABLE[[#This Row],[New_Res_SLA_rec_sqft]],0)</f>
        <v>0</v>
      </c>
      <c r="AS344">
        <f>IF(LAM_API_TABLE[[#This Row],[Existing_Res_SLA_Data_Approval_Status]]="Approved",LAM_API_TABLE[[#This Row],[Existing_Res_SLA_norec_sqft]],0)</f>
        <v>0</v>
      </c>
      <c r="AT344">
        <f>IF(LAM_API_TABLE[[#This Row],[Existing_Res_SLA_Data_Approval_Status]]="Approved",LAM_API_TABLE[[#This Row],[Existing_Res_SLA_rec_sqft]],0)</f>
        <v>0</v>
      </c>
    </row>
    <row r="345" spans="1:46" x14ac:dyDescent="0.25">
      <c r="A345" t="s">
        <v>2285</v>
      </c>
      <c r="B345" t="s">
        <v>2286</v>
      </c>
      <c r="C345" t="s">
        <v>3432</v>
      </c>
      <c r="D345" t="s">
        <v>3433</v>
      </c>
      <c r="E345">
        <v>2018</v>
      </c>
      <c r="G345">
        <v>138799</v>
      </c>
      <c r="H345">
        <v>284273</v>
      </c>
      <c r="I345">
        <v>27433148</v>
      </c>
      <c r="J345">
        <v>4230509</v>
      </c>
      <c r="K345">
        <v>58469787</v>
      </c>
      <c r="L345">
        <v>28279250</v>
      </c>
      <c r="M345" t="s">
        <v>1859</v>
      </c>
      <c r="AK345">
        <f>IF(LAM_API_TABLE[[#This Row],[Alternative_Data_Approval_Status]]="Approved",LAM_API_TABLE[[#This Row],[HCL_area_sqft_Alternative]],LAM_API_TABLE[[#This Row],[HCL_area_sqft]])</f>
        <v>0</v>
      </c>
      <c r="AL345">
        <f>IF(LAM_API_TABLE[[#This Row],[Alternative_Data_Approval_Status]]="Approved",LAM_API_TABLE[[#This Row],[Ag_area_sqft_Alternative]],LAM_API_TABLE[[#This Row],[Ag_area_sqft]])</f>
        <v>138799</v>
      </c>
      <c r="AM345">
        <f>IF(LAM_API_TABLE[[#This Row],[Alternative_Data_Approval_Status]]="Approved",LAM_API_TABLE[[#This Row],[Pool_area_sqft_Alternative]],LAM_API_TABLE[[#This Row],[Pool_area_sqft]])</f>
        <v>284273</v>
      </c>
      <c r="AN345">
        <f>IF(LAM_API_TABLE[[#This Row],[Alternative_Data_Approval_Status]]="Approved",LAM_API_TABLE[[#This Row],[Total_II_sqft_Alternative]],LAM_API_TABLE[[#This Row],[Total_II_sqft]])</f>
        <v>27433148</v>
      </c>
      <c r="AO345">
        <f>IF(LAM_API_TABLE[[#This Row],[Alternative_Data_Approval_Status]]="Approved",LAM_API_TABLE[[#This Row],[Total_INI_sqft_Alternative]],LAM_API_TABLE[[#This Row],[Total_INI_sqft]])</f>
        <v>4230509</v>
      </c>
      <c r="AP345">
        <f>IF(LAM_API_TABLE[[#This Row],[New_Res_Constr_Approval_Status]]="Approved",LAM_API_TABLE[[#This Row],[New_Res_Constr_sqft]],0)</f>
        <v>0</v>
      </c>
      <c r="AQ345">
        <f>IF(LAM_API_TABLE[[#This Row],[New_Res_Constr_Approval_Status]]="Approved",LAM_API_TABLE[[#This Row],[New_Res_SLA_norec_sqft]],0)</f>
        <v>0</v>
      </c>
      <c r="AR345">
        <f>IF(LAM_API_TABLE[[#This Row],[New_Res_Constr_Approval_Status]]="Approved",LAM_API_TABLE[[#This Row],[New_Res_SLA_rec_sqft]],0)</f>
        <v>0</v>
      </c>
      <c r="AS345">
        <f>IF(LAM_API_TABLE[[#This Row],[Existing_Res_SLA_Data_Approval_Status]]="Approved",LAM_API_TABLE[[#This Row],[Existing_Res_SLA_norec_sqft]],0)</f>
        <v>0</v>
      </c>
      <c r="AT345">
        <f>IF(LAM_API_TABLE[[#This Row],[Existing_Res_SLA_Data_Approval_Status]]="Approved",LAM_API_TABLE[[#This Row],[Existing_Res_SLA_rec_sqft]],0)</f>
        <v>0</v>
      </c>
    </row>
    <row r="346" spans="1:46" x14ac:dyDescent="0.25">
      <c r="A346" t="s">
        <v>2289</v>
      </c>
      <c r="B346" t="s">
        <v>2290</v>
      </c>
      <c r="C346" t="s">
        <v>3434</v>
      </c>
      <c r="D346" t="s">
        <v>3435</v>
      </c>
      <c r="E346">
        <v>2018</v>
      </c>
      <c r="F346">
        <v>535453</v>
      </c>
      <c r="G346">
        <v>73642051</v>
      </c>
      <c r="H346">
        <v>342504</v>
      </c>
      <c r="I346">
        <v>64681041</v>
      </c>
      <c r="J346">
        <v>48376611</v>
      </c>
      <c r="K346">
        <v>983640671</v>
      </c>
      <c r="L346">
        <v>74356363</v>
      </c>
      <c r="M346" t="s">
        <v>1859</v>
      </c>
      <c r="AK346">
        <f>IF(LAM_API_TABLE[[#This Row],[Alternative_Data_Approval_Status]]="Approved",LAM_API_TABLE[[#This Row],[HCL_area_sqft_Alternative]],LAM_API_TABLE[[#This Row],[HCL_area_sqft]])</f>
        <v>535453</v>
      </c>
      <c r="AL346">
        <f>IF(LAM_API_TABLE[[#This Row],[Alternative_Data_Approval_Status]]="Approved",LAM_API_TABLE[[#This Row],[Ag_area_sqft_Alternative]],LAM_API_TABLE[[#This Row],[Ag_area_sqft]])</f>
        <v>73642051</v>
      </c>
      <c r="AM346">
        <f>IF(LAM_API_TABLE[[#This Row],[Alternative_Data_Approval_Status]]="Approved",LAM_API_TABLE[[#This Row],[Pool_area_sqft_Alternative]],LAM_API_TABLE[[#This Row],[Pool_area_sqft]])</f>
        <v>342504</v>
      </c>
      <c r="AN346">
        <f>IF(LAM_API_TABLE[[#This Row],[Alternative_Data_Approval_Status]]="Approved",LAM_API_TABLE[[#This Row],[Total_II_sqft_Alternative]],LAM_API_TABLE[[#This Row],[Total_II_sqft]])</f>
        <v>64681041</v>
      </c>
      <c r="AO346">
        <f>IF(LAM_API_TABLE[[#This Row],[Alternative_Data_Approval_Status]]="Approved",LAM_API_TABLE[[#This Row],[Total_INI_sqft_Alternative]],LAM_API_TABLE[[#This Row],[Total_INI_sqft]])</f>
        <v>48376611</v>
      </c>
      <c r="AP346">
        <f>IF(LAM_API_TABLE[[#This Row],[New_Res_Constr_Approval_Status]]="Approved",LAM_API_TABLE[[#This Row],[New_Res_Constr_sqft]],0)</f>
        <v>0</v>
      </c>
      <c r="AQ346">
        <f>IF(LAM_API_TABLE[[#This Row],[New_Res_Constr_Approval_Status]]="Approved",LAM_API_TABLE[[#This Row],[New_Res_SLA_norec_sqft]],0)</f>
        <v>0</v>
      </c>
      <c r="AR346">
        <f>IF(LAM_API_TABLE[[#This Row],[New_Res_Constr_Approval_Status]]="Approved",LAM_API_TABLE[[#This Row],[New_Res_SLA_rec_sqft]],0)</f>
        <v>0</v>
      </c>
      <c r="AS346">
        <f>IF(LAM_API_TABLE[[#This Row],[Existing_Res_SLA_Data_Approval_Status]]="Approved",LAM_API_TABLE[[#This Row],[Existing_Res_SLA_norec_sqft]],0)</f>
        <v>0</v>
      </c>
      <c r="AT346">
        <f>IF(LAM_API_TABLE[[#This Row],[Existing_Res_SLA_Data_Approval_Status]]="Approved",LAM_API_TABLE[[#This Row],[Existing_Res_SLA_rec_sqft]],0)</f>
        <v>0</v>
      </c>
    </row>
    <row r="347" spans="1:46" x14ac:dyDescent="0.25">
      <c r="A347" t="s">
        <v>2295</v>
      </c>
      <c r="B347" t="s">
        <v>3436</v>
      </c>
      <c r="C347" t="s">
        <v>3437</v>
      </c>
      <c r="D347" t="s">
        <v>3438</v>
      </c>
      <c r="E347">
        <v>2018</v>
      </c>
      <c r="F347">
        <v>34633</v>
      </c>
      <c r="H347">
        <v>216859</v>
      </c>
      <c r="I347">
        <v>18264130</v>
      </c>
      <c r="J347">
        <v>9201217</v>
      </c>
      <c r="K347">
        <v>61349458</v>
      </c>
      <c r="L347">
        <v>20104373</v>
      </c>
      <c r="M347" t="s">
        <v>1859</v>
      </c>
      <c r="AK347">
        <f>IF(LAM_API_TABLE[[#This Row],[Alternative_Data_Approval_Status]]="Approved",LAM_API_TABLE[[#This Row],[HCL_area_sqft_Alternative]],LAM_API_TABLE[[#This Row],[HCL_area_sqft]])</f>
        <v>34633</v>
      </c>
      <c r="AL347">
        <f>IF(LAM_API_TABLE[[#This Row],[Alternative_Data_Approval_Status]]="Approved",LAM_API_TABLE[[#This Row],[Ag_area_sqft_Alternative]],LAM_API_TABLE[[#This Row],[Ag_area_sqft]])</f>
        <v>0</v>
      </c>
      <c r="AM347">
        <f>IF(LAM_API_TABLE[[#This Row],[Alternative_Data_Approval_Status]]="Approved",LAM_API_TABLE[[#This Row],[Pool_area_sqft_Alternative]],LAM_API_TABLE[[#This Row],[Pool_area_sqft]])</f>
        <v>216859</v>
      </c>
      <c r="AN347">
        <f>IF(LAM_API_TABLE[[#This Row],[Alternative_Data_Approval_Status]]="Approved",LAM_API_TABLE[[#This Row],[Total_II_sqft_Alternative]],LAM_API_TABLE[[#This Row],[Total_II_sqft]])</f>
        <v>18264130</v>
      </c>
      <c r="AO347">
        <f>IF(LAM_API_TABLE[[#This Row],[Alternative_Data_Approval_Status]]="Approved",LAM_API_TABLE[[#This Row],[Total_INI_sqft_Alternative]],LAM_API_TABLE[[#This Row],[Total_INI_sqft]])</f>
        <v>9201217</v>
      </c>
      <c r="AP347">
        <f>IF(LAM_API_TABLE[[#This Row],[New_Res_Constr_Approval_Status]]="Approved",LAM_API_TABLE[[#This Row],[New_Res_Constr_sqft]],0)</f>
        <v>0</v>
      </c>
      <c r="AQ347">
        <f>IF(LAM_API_TABLE[[#This Row],[New_Res_Constr_Approval_Status]]="Approved",LAM_API_TABLE[[#This Row],[New_Res_SLA_norec_sqft]],0)</f>
        <v>0</v>
      </c>
      <c r="AR347">
        <f>IF(LAM_API_TABLE[[#This Row],[New_Res_Constr_Approval_Status]]="Approved",LAM_API_TABLE[[#This Row],[New_Res_SLA_rec_sqft]],0)</f>
        <v>0</v>
      </c>
      <c r="AS347">
        <f>IF(LAM_API_TABLE[[#This Row],[Existing_Res_SLA_Data_Approval_Status]]="Approved",LAM_API_TABLE[[#This Row],[Existing_Res_SLA_norec_sqft]],0)</f>
        <v>0</v>
      </c>
      <c r="AT347">
        <f>IF(LAM_API_TABLE[[#This Row],[Existing_Res_SLA_Data_Approval_Status]]="Approved",LAM_API_TABLE[[#This Row],[Existing_Res_SLA_rec_sqft]],0)</f>
        <v>0</v>
      </c>
    </row>
    <row r="348" spans="1:46" x14ac:dyDescent="0.25">
      <c r="A348" t="s">
        <v>2299</v>
      </c>
      <c r="B348" t="s">
        <v>3439</v>
      </c>
      <c r="C348" t="s">
        <v>3440</v>
      </c>
      <c r="D348" t="s">
        <v>3441</v>
      </c>
      <c r="E348">
        <v>2018</v>
      </c>
      <c r="F348">
        <v>17116</v>
      </c>
      <c r="H348">
        <v>344425</v>
      </c>
      <c r="I348">
        <v>21489015</v>
      </c>
      <c r="J348">
        <v>7172792</v>
      </c>
      <c r="K348">
        <v>30565615</v>
      </c>
      <c r="L348">
        <v>22923573</v>
      </c>
      <c r="M348" t="s">
        <v>1859</v>
      </c>
      <c r="AK348">
        <f>IF(LAM_API_TABLE[[#This Row],[Alternative_Data_Approval_Status]]="Approved",LAM_API_TABLE[[#This Row],[HCL_area_sqft_Alternative]],LAM_API_TABLE[[#This Row],[HCL_area_sqft]])</f>
        <v>17116</v>
      </c>
      <c r="AL348">
        <f>IF(LAM_API_TABLE[[#This Row],[Alternative_Data_Approval_Status]]="Approved",LAM_API_TABLE[[#This Row],[Ag_area_sqft_Alternative]],LAM_API_TABLE[[#This Row],[Ag_area_sqft]])</f>
        <v>0</v>
      </c>
      <c r="AM348">
        <f>IF(LAM_API_TABLE[[#This Row],[Alternative_Data_Approval_Status]]="Approved",LAM_API_TABLE[[#This Row],[Pool_area_sqft_Alternative]],LAM_API_TABLE[[#This Row],[Pool_area_sqft]])</f>
        <v>344425</v>
      </c>
      <c r="AN348">
        <f>IF(LAM_API_TABLE[[#This Row],[Alternative_Data_Approval_Status]]="Approved",LAM_API_TABLE[[#This Row],[Total_II_sqft_Alternative]],LAM_API_TABLE[[#This Row],[Total_II_sqft]])</f>
        <v>21489015</v>
      </c>
      <c r="AO348">
        <f>IF(LAM_API_TABLE[[#This Row],[Alternative_Data_Approval_Status]]="Approved",LAM_API_TABLE[[#This Row],[Total_INI_sqft_Alternative]],LAM_API_TABLE[[#This Row],[Total_INI_sqft]])</f>
        <v>7172792</v>
      </c>
      <c r="AP348">
        <f>IF(LAM_API_TABLE[[#This Row],[New_Res_Constr_Approval_Status]]="Approved",LAM_API_TABLE[[#This Row],[New_Res_Constr_sqft]],0)</f>
        <v>0</v>
      </c>
      <c r="AQ348">
        <f>IF(LAM_API_TABLE[[#This Row],[New_Res_Constr_Approval_Status]]="Approved",LAM_API_TABLE[[#This Row],[New_Res_SLA_norec_sqft]],0)</f>
        <v>0</v>
      </c>
      <c r="AR348">
        <f>IF(LAM_API_TABLE[[#This Row],[New_Res_Constr_Approval_Status]]="Approved",LAM_API_TABLE[[#This Row],[New_Res_SLA_rec_sqft]],0)</f>
        <v>0</v>
      </c>
      <c r="AS348">
        <f>IF(LAM_API_TABLE[[#This Row],[Existing_Res_SLA_Data_Approval_Status]]="Approved",LAM_API_TABLE[[#This Row],[Existing_Res_SLA_norec_sqft]],0)</f>
        <v>0</v>
      </c>
      <c r="AT348">
        <f>IF(LAM_API_TABLE[[#This Row],[Existing_Res_SLA_Data_Approval_Status]]="Approved",LAM_API_TABLE[[#This Row],[Existing_Res_SLA_rec_sqft]],0)</f>
        <v>0</v>
      </c>
    </row>
    <row r="349" spans="1:46" x14ac:dyDescent="0.25">
      <c r="A349" t="s">
        <v>2303</v>
      </c>
      <c r="B349" t="s">
        <v>2304</v>
      </c>
      <c r="C349" t="s">
        <v>3442</v>
      </c>
      <c r="D349" t="s">
        <v>3443</v>
      </c>
      <c r="E349">
        <v>2020</v>
      </c>
      <c r="G349">
        <v>38043</v>
      </c>
      <c r="H349">
        <v>5518</v>
      </c>
      <c r="I349">
        <v>23073695</v>
      </c>
      <c r="J349">
        <v>24240380</v>
      </c>
      <c r="K349">
        <v>104930706</v>
      </c>
      <c r="L349">
        <v>27921771</v>
      </c>
      <c r="M349" t="s">
        <v>1859</v>
      </c>
      <c r="AK349">
        <f>IF(LAM_API_TABLE[[#This Row],[Alternative_Data_Approval_Status]]="Approved",LAM_API_TABLE[[#This Row],[HCL_area_sqft_Alternative]],LAM_API_TABLE[[#This Row],[HCL_area_sqft]])</f>
        <v>0</v>
      </c>
      <c r="AL349">
        <f>IF(LAM_API_TABLE[[#This Row],[Alternative_Data_Approval_Status]]="Approved",LAM_API_TABLE[[#This Row],[Ag_area_sqft_Alternative]],LAM_API_TABLE[[#This Row],[Ag_area_sqft]])</f>
        <v>38043</v>
      </c>
      <c r="AM349">
        <f>IF(LAM_API_TABLE[[#This Row],[Alternative_Data_Approval_Status]]="Approved",LAM_API_TABLE[[#This Row],[Pool_area_sqft_Alternative]],LAM_API_TABLE[[#This Row],[Pool_area_sqft]])</f>
        <v>5518</v>
      </c>
      <c r="AN349">
        <f>IF(LAM_API_TABLE[[#This Row],[Alternative_Data_Approval_Status]]="Approved",LAM_API_TABLE[[#This Row],[Total_II_sqft_Alternative]],LAM_API_TABLE[[#This Row],[Total_II_sqft]])</f>
        <v>23073695</v>
      </c>
      <c r="AO349">
        <f>IF(LAM_API_TABLE[[#This Row],[Alternative_Data_Approval_Status]]="Approved",LAM_API_TABLE[[#This Row],[Total_INI_sqft_Alternative]],LAM_API_TABLE[[#This Row],[Total_INI_sqft]])</f>
        <v>24240380</v>
      </c>
      <c r="AP349">
        <f>IF(LAM_API_TABLE[[#This Row],[New_Res_Constr_Approval_Status]]="Approved",LAM_API_TABLE[[#This Row],[New_Res_Constr_sqft]],0)</f>
        <v>0</v>
      </c>
      <c r="AQ349">
        <f>IF(LAM_API_TABLE[[#This Row],[New_Res_Constr_Approval_Status]]="Approved",LAM_API_TABLE[[#This Row],[New_Res_SLA_norec_sqft]],0)</f>
        <v>0</v>
      </c>
      <c r="AR349">
        <f>IF(LAM_API_TABLE[[#This Row],[New_Res_Constr_Approval_Status]]="Approved",LAM_API_TABLE[[#This Row],[New_Res_SLA_rec_sqft]],0)</f>
        <v>0</v>
      </c>
      <c r="AS349">
        <f>IF(LAM_API_TABLE[[#This Row],[Existing_Res_SLA_Data_Approval_Status]]="Approved",LAM_API_TABLE[[#This Row],[Existing_Res_SLA_norec_sqft]],0)</f>
        <v>0</v>
      </c>
      <c r="AT349">
        <f>IF(LAM_API_TABLE[[#This Row],[Existing_Res_SLA_Data_Approval_Status]]="Approved",LAM_API_TABLE[[#This Row],[Existing_Res_SLA_rec_sqft]],0)</f>
        <v>0</v>
      </c>
    </row>
    <row r="350" spans="1:46" x14ac:dyDescent="0.25">
      <c r="A350" t="s">
        <v>2307</v>
      </c>
      <c r="B350" t="s">
        <v>2308</v>
      </c>
      <c r="C350" t="s">
        <v>3444</v>
      </c>
      <c r="D350" t="s">
        <v>3445</v>
      </c>
      <c r="E350">
        <v>2018</v>
      </c>
      <c r="F350">
        <v>218079</v>
      </c>
      <c r="G350">
        <v>173363511</v>
      </c>
      <c r="H350">
        <v>2035005</v>
      </c>
      <c r="I350">
        <v>131705913</v>
      </c>
      <c r="J350">
        <v>45545098</v>
      </c>
      <c r="K350">
        <v>498229074</v>
      </c>
      <c r="L350">
        <v>140814933</v>
      </c>
      <c r="M350" t="s">
        <v>1859</v>
      </c>
      <c r="AK350">
        <f>IF(LAM_API_TABLE[[#This Row],[Alternative_Data_Approval_Status]]="Approved",LAM_API_TABLE[[#This Row],[HCL_area_sqft_Alternative]],LAM_API_TABLE[[#This Row],[HCL_area_sqft]])</f>
        <v>218079</v>
      </c>
      <c r="AL350">
        <f>IF(LAM_API_TABLE[[#This Row],[Alternative_Data_Approval_Status]]="Approved",LAM_API_TABLE[[#This Row],[Ag_area_sqft_Alternative]],LAM_API_TABLE[[#This Row],[Ag_area_sqft]])</f>
        <v>173363511</v>
      </c>
      <c r="AM350">
        <f>IF(LAM_API_TABLE[[#This Row],[Alternative_Data_Approval_Status]]="Approved",LAM_API_TABLE[[#This Row],[Pool_area_sqft_Alternative]],LAM_API_TABLE[[#This Row],[Pool_area_sqft]])</f>
        <v>2035005</v>
      </c>
      <c r="AN350">
        <f>IF(LAM_API_TABLE[[#This Row],[Alternative_Data_Approval_Status]]="Approved",LAM_API_TABLE[[#This Row],[Total_II_sqft_Alternative]],LAM_API_TABLE[[#This Row],[Total_II_sqft]])</f>
        <v>131705913</v>
      </c>
      <c r="AO350">
        <f>IF(LAM_API_TABLE[[#This Row],[Alternative_Data_Approval_Status]]="Approved",LAM_API_TABLE[[#This Row],[Total_INI_sqft_Alternative]],LAM_API_TABLE[[#This Row],[Total_INI_sqft]])</f>
        <v>45545098</v>
      </c>
      <c r="AP350">
        <f>IF(LAM_API_TABLE[[#This Row],[New_Res_Constr_Approval_Status]]="Approved",LAM_API_TABLE[[#This Row],[New_Res_Constr_sqft]],0)</f>
        <v>0</v>
      </c>
      <c r="AQ350">
        <f>IF(LAM_API_TABLE[[#This Row],[New_Res_Constr_Approval_Status]]="Approved",LAM_API_TABLE[[#This Row],[New_Res_SLA_norec_sqft]],0)</f>
        <v>0</v>
      </c>
      <c r="AR350">
        <f>IF(LAM_API_TABLE[[#This Row],[New_Res_Constr_Approval_Status]]="Approved",LAM_API_TABLE[[#This Row],[New_Res_SLA_rec_sqft]],0)</f>
        <v>0</v>
      </c>
      <c r="AS350">
        <f>IF(LAM_API_TABLE[[#This Row],[Existing_Res_SLA_Data_Approval_Status]]="Approved",LAM_API_TABLE[[#This Row],[Existing_Res_SLA_norec_sqft]],0)</f>
        <v>0</v>
      </c>
      <c r="AT350">
        <f>IF(LAM_API_TABLE[[#This Row],[Existing_Res_SLA_Data_Approval_Status]]="Approved",LAM_API_TABLE[[#This Row],[Existing_Res_SLA_rec_sqft]],0)</f>
        <v>0</v>
      </c>
    </row>
    <row r="351" spans="1:46" x14ac:dyDescent="0.25">
      <c r="A351" t="s">
        <v>2313</v>
      </c>
      <c r="B351" t="s">
        <v>3446</v>
      </c>
      <c r="C351" t="s">
        <v>863</v>
      </c>
      <c r="D351" t="s">
        <v>3447</v>
      </c>
      <c r="E351">
        <v>2018</v>
      </c>
      <c r="F351">
        <v>75436</v>
      </c>
      <c r="H351">
        <v>3263772</v>
      </c>
      <c r="I351">
        <v>79209659</v>
      </c>
      <c r="J351">
        <v>73110936</v>
      </c>
      <c r="K351">
        <v>218708642</v>
      </c>
      <c r="L351">
        <v>93831846</v>
      </c>
      <c r="M351" t="s">
        <v>1859</v>
      </c>
      <c r="AK351">
        <f>IF(LAM_API_TABLE[[#This Row],[Alternative_Data_Approval_Status]]="Approved",LAM_API_TABLE[[#This Row],[HCL_area_sqft_Alternative]],LAM_API_TABLE[[#This Row],[HCL_area_sqft]])</f>
        <v>75436</v>
      </c>
      <c r="AL351">
        <f>IF(LAM_API_TABLE[[#This Row],[Alternative_Data_Approval_Status]]="Approved",LAM_API_TABLE[[#This Row],[Ag_area_sqft_Alternative]],LAM_API_TABLE[[#This Row],[Ag_area_sqft]])</f>
        <v>0</v>
      </c>
      <c r="AM351">
        <f>IF(LAM_API_TABLE[[#This Row],[Alternative_Data_Approval_Status]]="Approved",LAM_API_TABLE[[#This Row],[Pool_area_sqft_Alternative]],LAM_API_TABLE[[#This Row],[Pool_area_sqft]])</f>
        <v>3263772</v>
      </c>
      <c r="AN351">
        <f>IF(LAM_API_TABLE[[#This Row],[Alternative_Data_Approval_Status]]="Approved",LAM_API_TABLE[[#This Row],[Total_II_sqft_Alternative]],LAM_API_TABLE[[#This Row],[Total_II_sqft]])</f>
        <v>79209659</v>
      </c>
      <c r="AO351">
        <f>IF(LAM_API_TABLE[[#This Row],[Alternative_Data_Approval_Status]]="Approved",LAM_API_TABLE[[#This Row],[Total_INI_sqft_Alternative]],LAM_API_TABLE[[#This Row],[Total_INI_sqft]])</f>
        <v>73110936</v>
      </c>
      <c r="AP351">
        <f>IF(LAM_API_TABLE[[#This Row],[New_Res_Constr_Approval_Status]]="Approved",LAM_API_TABLE[[#This Row],[New_Res_Constr_sqft]],0)</f>
        <v>0</v>
      </c>
      <c r="AQ351">
        <f>IF(LAM_API_TABLE[[#This Row],[New_Res_Constr_Approval_Status]]="Approved",LAM_API_TABLE[[#This Row],[New_Res_SLA_norec_sqft]],0)</f>
        <v>0</v>
      </c>
      <c r="AR351">
        <f>IF(LAM_API_TABLE[[#This Row],[New_Res_Constr_Approval_Status]]="Approved",LAM_API_TABLE[[#This Row],[New_Res_SLA_rec_sqft]],0)</f>
        <v>0</v>
      </c>
      <c r="AS351">
        <f>IF(LAM_API_TABLE[[#This Row],[Existing_Res_SLA_Data_Approval_Status]]="Approved",LAM_API_TABLE[[#This Row],[Existing_Res_SLA_norec_sqft]],0)</f>
        <v>0</v>
      </c>
      <c r="AT351">
        <f>IF(LAM_API_TABLE[[#This Row],[Existing_Res_SLA_Data_Approval_Status]]="Approved",LAM_API_TABLE[[#This Row],[Existing_Res_SLA_rec_sqft]],0)</f>
        <v>0</v>
      </c>
    </row>
    <row r="352" spans="1:46" x14ac:dyDescent="0.25">
      <c r="A352" t="s">
        <v>2321</v>
      </c>
      <c r="B352" t="s">
        <v>3448</v>
      </c>
      <c r="C352" t="s">
        <v>3449</v>
      </c>
      <c r="D352" t="s">
        <v>3450</v>
      </c>
      <c r="E352">
        <v>2018</v>
      </c>
      <c r="H352">
        <v>2346103</v>
      </c>
      <c r="I352">
        <v>64778048</v>
      </c>
      <c r="J352">
        <v>36772400</v>
      </c>
      <c r="K352">
        <v>159886996</v>
      </c>
      <c r="L352">
        <v>72132528</v>
      </c>
      <c r="M352" t="s">
        <v>1859</v>
      </c>
      <c r="AK352">
        <f>IF(LAM_API_TABLE[[#This Row],[Alternative_Data_Approval_Status]]="Approved",LAM_API_TABLE[[#This Row],[HCL_area_sqft_Alternative]],LAM_API_TABLE[[#This Row],[HCL_area_sqft]])</f>
        <v>0</v>
      </c>
      <c r="AL352">
        <f>IF(LAM_API_TABLE[[#This Row],[Alternative_Data_Approval_Status]]="Approved",LAM_API_TABLE[[#This Row],[Ag_area_sqft_Alternative]],LAM_API_TABLE[[#This Row],[Ag_area_sqft]])</f>
        <v>0</v>
      </c>
      <c r="AM352">
        <f>IF(LAM_API_TABLE[[#This Row],[Alternative_Data_Approval_Status]]="Approved",LAM_API_TABLE[[#This Row],[Pool_area_sqft_Alternative]],LAM_API_TABLE[[#This Row],[Pool_area_sqft]])</f>
        <v>2346103</v>
      </c>
      <c r="AN352">
        <f>IF(LAM_API_TABLE[[#This Row],[Alternative_Data_Approval_Status]]="Approved",LAM_API_TABLE[[#This Row],[Total_II_sqft_Alternative]],LAM_API_TABLE[[#This Row],[Total_II_sqft]])</f>
        <v>64778048</v>
      </c>
      <c r="AO352">
        <f>IF(LAM_API_TABLE[[#This Row],[Alternative_Data_Approval_Status]]="Approved",LAM_API_TABLE[[#This Row],[Total_INI_sqft_Alternative]],LAM_API_TABLE[[#This Row],[Total_INI_sqft]])</f>
        <v>36772400</v>
      </c>
      <c r="AP352">
        <f>IF(LAM_API_TABLE[[#This Row],[New_Res_Constr_Approval_Status]]="Approved",LAM_API_TABLE[[#This Row],[New_Res_Constr_sqft]],0)</f>
        <v>0</v>
      </c>
      <c r="AQ352">
        <f>IF(LAM_API_TABLE[[#This Row],[New_Res_Constr_Approval_Status]]="Approved",LAM_API_TABLE[[#This Row],[New_Res_SLA_norec_sqft]],0)</f>
        <v>0</v>
      </c>
      <c r="AR352">
        <f>IF(LAM_API_TABLE[[#This Row],[New_Res_Constr_Approval_Status]]="Approved",LAM_API_TABLE[[#This Row],[New_Res_SLA_rec_sqft]],0)</f>
        <v>0</v>
      </c>
      <c r="AS352">
        <f>IF(LAM_API_TABLE[[#This Row],[Existing_Res_SLA_Data_Approval_Status]]="Approved",LAM_API_TABLE[[#This Row],[Existing_Res_SLA_norec_sqft]],0)</f>
        <v>0</v>
      </c>
      <c r="AT352">
        <f>IF(LAM_API_TABLE[[#This Row],[Existing_Res_SLA_Data_Approval_Status]]="Approved",LAM_API_TABLE[[#This Row],[Existing_Res_SLA_rec_sqft]],0)</f>
        <v>0</v>
      </c>
    </row>
    <row r="353" spans="1:46" x14ac:dyDescent="0.25">
      <c r="A353" t="s">
        <v>2327</v>
      </c>
      <c r="B353" t="s">
        <v>3451</v>
      </c>
      <c r="C353" t="s">
        <v>878</v>
      </c>
      <c r="D353" t="s">
        <v>3452</v>
      </c>
      <c r="E353">
        <v>2018</v>
      </c>
      <c r="F353">
        <v>34816</v>
      </c>
      <c r="G353">
        <v>3119719</v>
      </c>
      <c r="H353">
        <v>58383</v>
      </c>
      <c r="I353">
        <v>12462340</v>
      </c>
      <c r="J353">
        <v>11256610</v>
      </c>
      <c r="K353">
        <v>42675712</v>
      </c>
      <c r="L353">
        <v>14713662</v>
      </c>
      <c r="M353" t="s">
        <v>1859</v>
      </c>
      <c r="AK353">
        <f>IF(LAM_API_TABLE[[#This Row],[Alternative_Data_Approval_Status]]="Approved",LAM_API_TABLE[[#This Row],[HCL_area_sqft_Alternative]],LAM_API_TABLE[[#This Row],[HCL_area_sqft]])</f>
        <v>34816</v>
      </c>
      <c r="AL353">
        <f>IF(LAM_API_TABLE[[#This Row],[Alternative_Data_Approval_Status]]="Approved",LAM_API_TABLE[[#This Row],[Ag_area_sqft_Alternative]],LAM_API_TABLE[[#This Row],[Ag_area_sqft]])</f>
        <v>3119719</v>
      </c>
      <c r="AM353">
        <f>IF(LAM_API_TABLE[[#This Row],[Alternative_Data_Approval_Status]]="Approved",LAM_API_TABLE[[#This Row],[Pool_area_sqft_Alternative]],LAM_API_TABLE[[#This Row],[Pool_area_sqft]])</f>
        <v>58383</v>
      </c>
      <c r="AN353">
        <f>IF(LAM_API_TABLE[[#This Row],[Alternative_Data_Approval_Status]]="Approved",LAM_API_TABLE[[#This Row],[Total_II_sqft_Alternative]],LAM_API_TABLE[[#This Row],[Total_II_sqft]])</f>
        <v>12462340</v>
      </c>
      <c r="AO353">
        <f>IF(LAM_API_TABLE[[#This Row],[Alternative_Data_Approval_Status]]="Approved",LAM_API_TABLE[[#This Row],[Total_INI_sqft_Alternative]],LAM_API_TABLE[[#This Row],[Total_INI_sqft]])</f>
        <v>11256610</v>
      </c>
      <c r="AP353">
        <f>IF(LAM_API_TABLE[[#This Row],[New_Res_Constr_Approval_Status]]="Approved",LAM_API_TABLE[[#This Row],[New_Res_Constr_sqft]],0)</f>
        <v>0</v>
      </c>
      <c r="AQ353">
        <f>IF(LAM_API_TABLE[[#This Row],[New_Res_Constr_Approval_Status]]="Approved",LAM_API_TABLE[[#This Row],[New_Res_SLA_norec_sqft]],0)</f>
        <v>0</v>
      </c>
      <c r="AR353">
        <f>IF(LAM_API_TABLE[[#This Row],[New_Res_Constr_Approval_Status]]="Approved",LAM_API_TABLE[[#This Row],[New_Res_SLA_rec_sqft]],0)</f>
        <v>0</v>
      </c>
      <c r="AS353">
        <f>IF(LAM_API_TABLE[[#This Row],[Existing_Res_SLA_Data_Approval_Status]]="Approved",LAM_API_TABLE[[#This Row],[Existing_Res_SLA_norec_sqft]],0)</f>
        <v>0</v>
      </c>
      <c r="AT353">
        <f>IF(LAM_API_TABLE[[#This Row],[Existing_Res_SLA_Data_Approval_Status]]="Approved",LAM_API_TABLE[[#This Row],[Existing_Res_SLA_rec_sqft]],0)</f>
        <v>0</v>
      </c>
    </row>
    <row r="354" spans="1:46" x14ac:dyDescent="0.25">
      <c r="A354" t="s">
        <v>2331</v>
      </c>
      <c r="B354" t="s">
        <v>2332</v>
      </c>
      <c r="C354" t="s">
        <v>3453</v>
      </c>
      <c r="D354" t="s">
        <v>3454</v>
      </c>
      <c r="E354">
        <v>2018</v>
      </c>
      <c r="H354">
        <v>391112</v>
      </c>
      <c r="I354">
        <v>14573678</v>
      </c>
      <c r="J354">
        <v>5326598</v>
      </c>
      <c r="K354">
        <v>28731965</v>
      </c>
      <c r="L354">
        <v>15638998</v>
      </c>
      <c r="M354" t="s">
        <v>1859</v>
      </c>
      <c r="AK354">
        <f>IF(LAM_API_TABLE[[#This Row],[Alternative_Data_Approval_Status]]="Approved",LAM_API_TABLE[[#This Row],[HCL_area_sqft_Alternative]],LAM_API_TABLE[[#This Row],[HCL_area_sqft]])</f>
        <v>0</v>
      </c>
      <c r="AL354">
        <f>IF(LAM_API_TABLE[[#This Row],[Alternative_Data_Approval_Status]]="Approved",LAM_API_TABLE[[#This Row],[Ag_area_sqft_Alternative]],LAM_API_TABLE[[#This Row],[Ag_area_sqft]])</f>
        <v>0</v>
      </c>
      <c r="AM354">
        <f>IF(LAM_API_TABLE[[#This Row],[Alternative_Data_Approval_Status]]="Approved",LAM_API_TABLE[[#This Row],[Pool_area_sqft_Alternative]],LAM_API_TABLE[[#This Row],[Pool_area_sqft]])</f>
        <v>391112</v>
      </c>
      <c r="AN354">
        <f>IF(LAM_API_TABLE[[#This Row],[Alternative_Data_Approval_Status]]="Approved",LAM_API_TABLE[[#This Row],[Total_II_sqft_Alternative]],LAM_API_TABLE[[#This Row],[Total_II_sqft]])</f>
        <v>14573678</v>
      </c>
      <c r="AO354">
        <f>IF(LAM_API_TABLE[[#This Row],[Alternative_Data_Approval_Status]]="Approved",LAM_API_TABLE[[#This Row],[Total_INI_sqft_Alternative]],LAM_API_TABLE[[#This Row],[Total_INI_sqft]])</f>
        <v>5326598</v>
      </c>
      <c r="AP354">
        <f>IF(LAM_API_TABLE[[#This Row],[New_Res_Constr_Approval_Status]]="Approved",LAM_API_TABLE[[#This Row],[New_Res_Constr_sqft]],0)</f>
        <v>0</v>
      </c>
      <c r="AQ354">
        <f>IF(LAM_API_TABLE[[#This Row],[New_Res_Constr_Approval_Status]]="Approved",LAM_API_TABLE[[#This Row],[New_Res_SLA_norec_sqft]],0)</f>
        <v>0</v>
      </c>
      <c r="AR354">
        <f>IF(LAM_API_TABLE[[#This Row],[New_Res_Constr_Approval_Status]]="Approved",LAM_API_TABLE[[#This Row],[New_Res_SLA_rec_sqft]],0)</f>
        <v>0</v>
      </c>
      <c r="AS354">
        <f>IF(LAM_API_TABLE[[#This Row],[Existing_Res_SLA_Data_Approval_Status]]="Approved",LAM_API_TABLE[[#This Row],[Existing_Res_SLA_norec_sqft]],0)</f>
        <v>0</v>
      </c>
      <c r="AT354">
        <f>IF(LAM_API_TABLE[[#This Row],[Existing_Res_SLA_Data_Approval_Status]]="Approved",LAM_API_TABLE[[#This Row],[Existing_Res_SLA_rec_sqft]],0)</f>
        <v>0</v>
      </c>
    </row>
    <row r="355" spans="1:46" x14ac:dyDescent="0.25">
      <c r="A355" t="s">
        <v>2335</v>
      </c>
      <c r="B355" t="s">
        <v>3455</v>
      </c>
      <c r="C355" t="s">
        <v>3456</v>
      </c>
      <c r="D355" t="s">
        <v>3457</v>
      </c>
      <c r="E355">
        <v>2018</v>
      </c>
      <c r="F355">
        <v>91710</v>
      </c>
      <c r="G355">
        <v>9134744</v>
      </c>
      <c r="H355">
        <v>197375</v>
      </c>
      <c r="I355">
        <v>16391775</v>
      </c>
      <c r="J355">
        <v>8511810</v>
      </c>
      <c r="K355">
        <v>63488282</v>
      </c>
      <c r="L355">
        <v>18094137</v>
      </c>
      <c r="M355" t="s">
        <v>1859</v>
      </c>
      <c r="AK355">
        <f>IF(LAM_API_TABLE[[#This Row],[Alternative_Data_Approval_Status]]="Approved",LAM_API_TABLE[[#This Row],[HCL_area_sqft_Alternative]],LAM_API_TABLE[[#This Row],[HCL_area_sqft]])</f>
        <v>91710</v>
      </c>
      <c r="AL355">
        <f>IF(LAM_API_TABLE[[#This Row],[Alternative_Data_Approval_Status]]="Approved",LAM_API_TABLE[[#This Row],[Ag_area_sqft_Alternative]],LAM_API_TABLE[[#This Row],[Ag_area_sqft]])</f>
        <v>9134744</v>
      </c>
      <c r="AM355">
        <f>IF(LAM_API_TABLE[[#This Row],[Alternative_Data_Approval_Status]]="Approved",LAM_API_TABLE[[#This Row],[Pool_area_sqft_Alternative]],LAM_API_TABLE[[#This Row],[Pool_area_sqft]])</f>
        <v>197375</v>
      </c>
      <c r="AN355">
        <f>IF(LAM_API_TABLE[[#This Row],[Alternative_Data_Approval_Status]]="Approved",LAM_API_TABLE[[#This Row],[Total_II_sqft_Alternative]],LAM_API_TABLE[[#This Row],[Total_II_sqft]])</f>
        <v>16391775</v>
      </c>
      <c r="AO355">
        <f>IF(LAM_API_TABLE[[#This Row],[Alternative_Data_Approval_Status]]="Approved",LAM_API_TABLE[[#This Row],[Total_INI_sqft_Alternative]],LAM_API_TABLE[[#This Row],[Total_INI_sqft]])</f>
        <v>8511810</v>
      </c>
      <c r="AP355">
        <f>IF(LAM_API_TABLE[[#This Row],[New_Res_Constr_Approval_Status]]="Approved",LAM_API_TABLE[[#This Row],[New_Res_Constr_sqft]],0)</f>
        <v>0</v>
      </c>
      <c r="AQ355">
        <f>IF(LAM_API_TABLE[[#This Row],[New_Res_Constr_Approval_Status]]="Approved",LAM_API_TABLE[[#This Row],[New_Res_SLA_norec_sqft]],0)</f>
        <v>0</v>
      </c>
      <c r="AR355">
        <f>IF(LAM_API_TABLE[[#This Row],[New_Res_Constr_Approval_Status]]="Approved",LAM_API_TABLE[[#This Row],[New_Res_SLA_rec_sqft]],0)</f>
        <v>0</v>
      </c>
      <c r="AS355">
        <f>IF(LAM_API_TABLE[[#This Row],[Existing_Res_SLA_Data_Approval_Status]]="Approved",LAM_API_TABLE[[#This Row],[Existing_Res_SLA_norec_sqft]],0)</f>
        <v>0</v>
      </c>
      <c r="AT355">
        <f>IF(LAM_API_TABLE[[#This Row],[Existing_Res_SLA_Data_Approval_Status]]="Approved",LAM_API_TABLE[[#This Row],[Existing_Res_SLA_rec_sqft]],0)</f>
        <v>0</v>
      </c>
    </row>
    <row r="356" spans="1:46" x14ac:dyDescent="0.25">
      <c r="A356" t="s">
        <v>2339</v>
      </c>
      <c r="B356" t="s">
        <v>2340</v>
      </c>
      <c r="C356" t="s">
        <v>3458</v>
      </c>
      <c r="D356" t="s">
        <v>3459</v>
      </c>
      <c r="E356">
        <v>2018</v>
      </c>
      <c r="H356">
        <v>642585</v>
      </c>
      <c r="I356">
        <v>77518822</v>
      </c>
      <c r="J356">
        <v>12937428</v>
      </c>
      <c r="K356">
        <v>186322491</v>
      </c>
      <c r="L356">
        <v>80106308</v>
      </c>
      <c r="M356" t="s">
        <v>1859</v>
      </c>
      <c r="AK356">
        <f>IF(LAM_API_TABLE[[#This Row],[Alternative_Data_Approval_Status]]="Approved",LAM_API_TABLE[[#This Row],[HCL_area_sqft_Alternative]],LAM_API_TABLE[[#This Row],[HCL_area_sqft]])</f>
        <v>0</v>
      </c>
      <c r="AL356">
        <f>IF(LAM_API_TABLE[[#This Row],[Alternative_Data_Approval_Status]]="Approved",LAM_API_TABLE[[#This Row],[Ag_area_sqft_Alternative]],LAM_API_TABLE[[#This Row],[Ag_area_sqft]])</f>
        <v>0</v>
      </c>
      <c r="AM356">
        <f>IF(LAM_API_TABLE[[#This Row],[Alternative_Data_Approval_Status]]="Approved",LAM_API_TABLE[[#This Row],[Pool_area_sqft_Alternative]],LAM_API_TABLE[[#This Row],[Pool_area_sqft]])</f>
        <v>642585</v>
      </c>
      <c r="AN356">
        <f>IF(LAM_API_TABLE[[#This Row],[Alternative_Data_Approval_Status]]="Approved",LAM_API_TABLE[[#This Row],[Total_II_sqft_Alternative]],LAM_API_TABLE[[#This Row],[Total_II_sqft]])</f>
        <v>77518822</v>
      </c>
      <c r="AO356">
        <f>IF(LAM_API_TABLE[[#This Row],[Alternative_Data_Approval_Status]]="Approved",LAM_API_TABLE[[#This Row],[Total_INI_sqft_Alternative]],LAM_API_TABLE[[#This Row],[Total_INI_sqft]])</f>
        <v>12937428</v>
      </c>
      <c r="AP356">
        <f>IF(LAM_API_TABLE[[#This Row],[New_Res_Constr_Approval_Status]]="Approved",LAM_API_TABLE[[#This Row],[New_Res_Constr_sqft]],0)</f>
        <v>0</v>
      </c>
      <c r="AQ356">
        <f>IF(LAM_API_TABLE[[#This Row],[New_Res_Constr_Approval_Status]]="Approved",LAM_API_TABLE[[#This Row],[New_Res_SLA_norec_sqft]],0)</f>
        <v>0</v>
      </c>
      <c r="AR356">
        <f>IF(LAM_API_TABLE[[#This Row],[New_Res_Constr_Approval_Status]]="Approved",LAM_API_TABLE[[#This Row],[New_Res_SLA_rec_sqft]],0)</f>
        <v>0</v>
      </c>
      <c r="AS356">
        <f>IF(LAM_API_TABLE[[#This Row],[Existing_Res_SLA_Data_Approval_Status]]="Approved",LAM_API_TABLE[[#This Row],[Existing_Res_SLA_norec_sqft]],0)</f>
        <v>0</v>
      </c>
      <c r="AT356">
        <f>IF(LAM_API_TABLE[[#This Row],[Existing_Res_SLA_Data_Approval_Status]]="Approved",LAM_API_TABLE[[#This Row],[Existing_Res_SLA_rec_sqft]],0)</f>
        <v>0</v>
      </c>
    </row>
    <row r="357" spans="1:46" x14ac:dyDescent="0.25">
      <c r="A357" t="s">
        <v>2343</v>
      </c>
      <c r="B357" t="s">
        <v>3460</v>
      </c>
      <c r="C357" t="s">
        <v>3461</v>
      </c>
      <c r="D357" t="s">
        <v>3462</v>
      </c>
      <c r="E357">
        <v>2018</v>
      </c>
      <c r="G357">
        <v>55495</v>
      </c>
      <c r="H357">
        <v>1910</v>
      </c>
      <c r="I357">
        <v>7716948</v>
      </c>
      <c r="J357">
        <v>9175532</v>
      </c>
      <c r="K357">
        <v>20016772</v>
      </c>
      <c r="L357">
        <v>9552054</v>
      </c>
      <c r="M357" t="s">
        <v>1859</v>
      </c>
      <c r="AK357">
        <f>IF(LAM_API_TABLE[[#This Row],[Alternative_Data_Approval_Status]]="Approved",LAM_API_TABLE[[#This Row],[HCL_area_sqft_Alternative]],LAM_API_TABLE[[#This Row],[HCL_area_sqft]])</f>
        <v>0</v>
      </c>
      <c r="AL357">
        <f>IF(LAM_API_TABLE[[#This Row],[Alternative_Data_Approval_Status]]="Approved",LAM_API_TABLE[[#This Row],[Ag_area_sqft_Alternative]],LAM_API_TABLE[[#This Row],[Ag_area_sqft]])</f>
        <v>55495</v>
      </c>
      <c r="AM357">
        <f>IF(LAM_API_TABLE[[#This Row],[Alternative_Data_Approval_Status]]="Approved",LAM_API_TABLE[[#This Row],[Pool_area_sqft_Alternative]],LAM_API_TABLE[[#This Row],[Pool_area_sqft]])</f>
        <v>1910</v>
      </c>
      <c r="AN357">
        <f>IF(LAM_API_TABLE[[#This Row],[Alternative_Data_Approval_Status]]="Approved",LAM_API_TABLE[[#This Row],[Total_II_sqft_Alternative]],LAM_API_TABLE[[#This Row],[Total_II_sqft]])</f>
        <v>7716948</v>
      </c>
      <c r="AO357">
        <f>IF(LAM_API_TABLE[[#This Row],[Alternative_Data_Approval_Status]]="Approved",LAM_API_TABLE[[#This Row],[Total_INI_sqft_Alternative]],LAM_API_TABLE[[#This Row],[Total_INI_sqft]])</f>
        <v>9175532</v>
      </c>
      <c r="AP357">
        <f>IF(LAM_API_TABLE[[#This Row],[New_Res_Constr_Approval_Status]]="Approved",LAM_API_TABLE[[#This Row],[New_Res_Constr_sqft]],0)</f>
        <v>0</v>
      </c>
      <c r="AQ357">
        <f>IF(LAM_API_TABLE[[#This Row],[New_Res_Constr_Approval_Status]]="Approved",LAM_API_TABLE[[#This Row],[New_Res_SLA_norec_sqft]],0)</f>
        <v>0</v>
      </c>
      <c r="AR357">
        <f>IF(LAM_API_TABLE[[#This Row],[New_Res_Constr_Approval_Status]]="Approved",LAM_API_TABLE[[#This Row],[New_Res_SLA_rec_sqft]],0)</f>
        <v>0</v>
      </c>
      <c r="AS357">
        <f>IF(LAM_API_TABLE[[#This Row],[Existing_Res_SLA_Data_Approval_Status]]="Approved",LAM_API_TABLE[[#This Row],[Existing_Res_SLA_norec_sqft]],0)</f>
        <v>0</v>
      </c>
      <c r="AT357">
        <f>IF(LAM_API_TABLE[[#This Row],[Existing_Res_SLA_Data_Approval_Status]]="Approved",LAM_API_TABLE[[#This Row],[Existing_Res_SLA_rec_sqft]],0)</f>
        <v>0</v>
      </c>
    </row>
    <row r="358" spans="1:46" x14ac:dyDescent="0.25">
      <c r="A358" t="s">
        <v>2348</v>
      </c>
      <c r="B358" t="s">
        <v>2349</v>
      </c>
      <c r="C358" t="s">
        <v>3463</v>
      </c>
      <c r="D358" t="s">
        <v>3464</v>
      </c>
      <c r="E358">
        <v>2018</v>
      </c>
      <c r="F358">
        <v>221095</v>
      </c>
      <c r="G358">
        <v>141348</v>
      </c>
      <c r="H358">
        <v>1532287</v>
      </c>
      <c r="I358">
        <v>115084782</v>
      </c>
      <c r="J358">
        <v>18103640</v>
      </c>
      <c r="K358">
        <v>219118694</v>
      </c>
      <c r="L358">
        <v>118705510</v>
      </c>
      <c r="M358" t="s">
        <v>1859</v>
      </c>
      <c r="AK358">
        <f>IF(LAM_API_TABLE[[#This Row],[Alternative_Data_Approval_Status]]="Approved",LAM_API_TABLE[[#This Row],[HCL_area_sqft_Alternative]],LAM_API_TABLE[[#This Row],[HCL_area_sqft]])</f>
        <v>221095</v>
      </c>
      <c r="AL358">
        <f>IF(LAM_API_TABLE[[#This Row],[Alternative_Data_Approval_Status]]="Approved",LAM_API_TABLE[[#This Row],[Ag_area_sqft_Alternative]],LAM_API_TABLE[[#This Row],[Ag_area_sqft]])</f>
        <v>141348</v>
      </c>
      <c r="AM358">
        <f>IF(LAM_API_TABLE[[#This Row],[Alternative_Data_Approval_Status]]="Approved",LAM_API_TABLE[[#This Row],[Pool_area_sqft_Alternative]],LAM_API_TABLE[[#This Row],[Pool_area_sqft]])</f>
        <v>1532287</v>
      </c>
      <c r="AN358">
        <f>IF(LAM_API_TABLE[[#This Row],[Alternative_Data_Approval_Status]]="Approved",LAM_API_TABLE[[#This Row],[Total_II_sqft_Alternative]],LAM_API_TABLE[[#This Row],[Total_II_sqft]])</f>
        <v>115084782</v>
      </c>
      <c r="AO358">
        <f>IF(LAM_API_TABLE[[#This Row],[Alternative_Data_Approval_Status]]="Approved",LAM_API_TABLE[[#This Row],[Total_INI_sqft_Alternative]],LAM_API_TABLE[[#This Row],[Total_INI_sqft]])</f>
        <v>18103640</v>
      </c>
      <c r="AP358">
        <f>IF(LAM_API_TABLE[[#This Row],[New_Res_Constr_Approval_Status]]="Approved",LAM_API_TABLE[[#This Row],[New_Res_Constr_sqft]],0)</f>
        <v>0</v>
      </c>
      <c r="AQ358">
        <f>IF(LAM_API_TABLE[[#This Row],[New_Res_Constr_Approval_Status]]="Approved",LAM_API_TABLE[[#This Row],[New_Res_SLA_norec_sqft]],0)</f>
        <v>0</v>
      </c>
      <c r="AR358">
        <f>IF(LAM_API_TABLE[[#This Row],[New_Res_Constr_Approval_Status]]="Approved",LAM_API_TABLE[[#This Row],[New_Res_SLA_rec_sqft]],0)</f>
        <v>0</v>
      </c>
      <c r="AS358">
        <f>IF(LAM_API_TABLE[[#This Row],[Existing_Res_SLA_Data_Approval_Status]]="Approved",LAM_API_TABLE[[#This Row],[Existing_Res_SLA_norec_sqft]],0)</f>
        <v>0</v>
      </c>
      <c r="AT358">
        <f>IF(LAM_API_TABLE[[#This Row],[Existing_Res_SLA_Data_Approval_Status]]="Approved",LAM_API_TABLE[[#This Row],[Existing_Res_SLA_rec_sqft]],0)</f>
        <v>0</v>
      </c>
    </row>
    <row r="359" spans="1:46" x14ac:dyDescent="0.25">
      <c r="A359" t="s">
        <v>2352</v>
      </c>
      <c r="B359" t="s">
        <v>2353</v>
      </c>
      <c r="AK359">
        <f>IF(LAM_API_TABLE[[#This Row],[Alternative_Data_Approval_Status]]="Approved",LAM_API_TABLE[[#This Row],[HCL_area_sqft_Alternative]],LAM_API_TABLE[[#This Row],[HCL_area_sqft]])</f>
        <v>0</v>
      </c>
      <c r="AL359">
        <f>IF(LAM_API_TABLE[[#This Row],[Alternative_Data_Approval_Status]]="Approved",LAM_API_TABLE[[#This Row],[Ag_area_sqft_Alternative]],LAM_API_TABLE[[#This Row],[Ag_area_sqft]])</f>
        <v>0</v>
      </c>
      <c r="AM359">
        <f>IF(LAM_API_TABLE[[#This Row],[Alternative_Data_Approval_Status]]="Approved",LAM_API_TABLE[[#This Row],[Pool_area_sqft_Alternative]],LAM_API_TABLE[[#This Row],[Pool_area_sqft]])</f>
        <v>0</v>
      </c>
      <c r="AN359">
        <f>IF(LAM_API_TABLE[[#This Row],[Alternative_Data_Approval_Status]]="Approved",LAM_API_TABLE[[#This Row],[Total_II_sqft_Alternative]],LAM_API_TABLE[[#This Row],[Total_II_sqft]])</f>
        <v>0</v>
      </c>
      <c r="AO359">
        <f>IF(LAM_API_TABLE[[#This Row],[Alternative_Data_Approval_Status]]="Approved",LAM_API_TABLE[[#This Row],[Total_INI_sqft_Alternative]],LAM_API_TABLE[[#This Row],[Total_INI_sqft]])</f>
        <v>0</v>
      </c>
      <c r="AP359">
        <f>IF(LAM_API_TABLE[[#This Row],[New_Res_Constr_Approval_Status]]="Approved",LAM_API_TABLE[[#This Row],[New_Res_Constr_sqft]],0)</f>
        <v>0</v>
      </c>
      <c r="AQ359">
        <f>IF(LAM_API_TABLE[[#This Row],[New_Res_Constr_Approval_Status]]="Approved",LAM_API_TABLE[[#This Row],[New_Res_SLA_norec_sqft]],0)</f>
        <v>0</v>
      </c>
      <c r="AR359">
        <f>IF(LAM_API_TABLE[[#This Row],[New_Res_Constr_Approval_Status]]="Approved",LAM_API_TABLE[[#This Row],[New_Res_SLA_rec_sqft]],0)</f>
        <v>0</v>
      </c>
      <c r="AS359">
        <f>IF(LAM_API_TABLE[[#This Row],[Existing_Res_SLA_Data_Approval_Status]]="Approved",LAM_API_TABLE[[#This Row],[Existing_Res_SLA_norec_sqft]],0)</f>
        <v>0</v>
      </c>
      <c r="AT359">
        <f>IF(LAM_API_TABLE[[#This Row],[Existing_Res_SLA_Data_Approval_Status]]="Approved",LAM_API_TABLE[[#This Row],[Existing_Res_SLA_rec_sqft]],0)</f>
        <v>0</v>
      </c>
    </row>
    <row r="360" spans="1:46" x14ac:dyDescent="0.25">
      <c r="A360" t="s">
        <v>2358</v>
      </c>
      <c r="B360" t="s">
        <v>2359</v>
      </c>
      <c r="AK360">
        <f>IF(LAM_API_TABLE[[#This Row],[Alternative_Data_Approval_Status]]="Approved",LAM_API_TABLE[[#This Row],[HCL_area_sqft_Alternative]],LAM_API_TABLE[[#This Row],[HCL_area_sqft]])</f>
        <v>0</v>
      </c>
      <c r="AL360">
        <f>IF(LAM_API_TABLE[[#This Row],[Alternative_Data_Approval_Status]]="Approved",LAM_API_TABLE[[#This Row],[Ag_area_sqft_Alternative]],LAM_API_TABLE[[#This Row],[Ag_area_sqft]])</f>
        <v>0</v>
      </c>
      <c r="AM360">
        <f>IF(LAM_API_TABLE[[#This Row],[Alternative_Data_Approval_Status]]="Approved",LAM_API_TABLE[[#This Row],[Pool_area_sqft_Alternative]],LAM_API_TABLE[[#This Row],[Pool_area_sqft]])</f>
        <v>0</v>
      </c>
      <c r="AN360">
        <f>IF(LAM_API_TABLE[[#This Row],[Alternative_Data_Approval_Status]]="Approved",LAM_API_TABLE[[#This Row],[Total_II_sqft_Alternative]],LAM_API_TABLE[[#This Row],[Total_II_sqft]])</f>
        <v>0</v>
      </c>
      <c r="AO360">
        <f>IF(LAM_API_TABLE[[#This Row],[Alternative_Data_Approval_Status]]="Approved",LAM_API_TABLE[[#This Row],[Total_INI_sqft_Alternative]],LAM_API_TABLE[[#This Row],[Total_INI_sqft]])</f>
        <v>0</v>
      </c>
      <c r="AP360">
        <f>IF(LAM_API_TABLE[[#This Row],[New_Res_Constr_Approval_Status]]="Approved",LAM_API_TABLE[[#This Row],[New_Res_Constr_sqft]],0)</f>
        <v>0</v>
      </c>
      <c r="AQ360">
        <f>IF(LAM_API_TABLE[[#This Row],[New_Res_Constr_Approval_Status]]="Approved",LAM_API_TABLE[[#This Row],[New_Res_SLA_norec_sqft]],0)</f>
        <v>0</v>
      </c>
      <c r="AR360">
        <f>IF(LAM_API_TABLE[[#This Row],[New_Res_Constr_Approval_Status]]="Approved",LAM_API_TABLE[[#This Row],[New_Res_SLA_rec_sqft]],0)</f>
        <v>0</v>
      </c>
      <c r="AS360">
        <f>IF(LAM_API_TABLE[[#This Row],[Existing_Res_SLA_Data_Approval_Status]]="Approved",LAM_API_TABLE[[#This Row],[Existing_Res_SLA_norec_sqft]],0)</f>
        <v>0</v>
      </c>
      <c r="AT360">
        <f>IF(LAM_API_TABLE[[#This Row],[Existing_Res_SLA_Data_Approval_Status]]="Approved",LAM_API_TABLE[[#This Row],[Existing_Res_SLA_rec_sqft]],0)</f>
        <v>0</v>
      </c>
    </row>
    <row r="361" spans="1:46" x14ac:dyDescent="0.25">
      <c r="A361" t="s">
        <v>2374</v>
      </c>
      <c r="B361" t="s">
        <v>3465</v>
      </c>
      <c r="C361" t="s">
        <v>3466</v>
      </c>
      <c r="D361" t="s">
        <v>3467</v>
      </c>
      <c r="E361">
        <v>2018</v>
      </c>
      <c r="F361">
        <v>3661</v>
      </c>
      <c r="G361">
        <v>61513</v>
      </c>
      <c r="H361">
        <v>17271</v>
      </c>
      <c r="I361">
        <v>8244602</v>
      </c>
      <c r="J361">
        <v>5291145</v>
      </c>
      <c r="K361">
        <v>16435737</v>
      </c>
      <c r="L361">
        <v>9302831</v>
      </c>
      <c r="M361" t="s">
        <v>1859</v>
      </c>
      <c r="AK361">
        <f>IF(LAM_API_TABLE[[#This Row],[Alternative_Data_Approval_Status]]="Approved",LAM_API_TABLE[[#This Row],[HCL_area_sqft_Alternative]],LAM_API_TABLE[[#This Row],[HCL_area_sqft]])</f>
        <v>3661</v>
      </c>
      <c r="AL361">
        <f>IF(LAM_API_TABLE[[#This Row],[Alternative_Data_Approval_Status]]="Approved",LAM_API_TABLE[[#This Row],[Ag_area_sqft_Alternative]],LAM_API_TABLE[[#This Row],[Ag_area_sqft]])</f>
        <v>61513</v>
      </c>
      <c r="AM361">
        <f>IF(LAM_API_TABLE[[#This Row],[Alternative_Data_Approval_Status]]="Approved",LAM_API_TABLE[[#This Row],[Pool_area_sqft_Alternative]],LAM_API_TABLE[[#This Row],[Pool_area_sqft]])</f>
        <v>17271</v>
      </c>
      <c r="AN361">
        <f>IF(LAM_API_TABLE[[#This Row],[Alternative_Data_Approval_Status]]="Approved",LAM_API_TABLE[[#This Row],[Total_II_sqft_Alternative]],LAM_API_TABLE[[#This Row],[Total_II_sqft]])</f>
        <v>8244602</v>
      </c>
      <c r="AO361">
        <f>IF(LAM_API_TABLE[[#This Row],[Alternative_Data_Approval_Status]]="Approved",LAM_API_TABLE[[#This Row],[Total_INI_sqft_Alternative]],LAM_API_TABLE[[#This Row],[Total_INI_sqft]])</f>
        <v>5291145</v>
      </c>
      <c r="AP361">
        <f>IF(LAM_API_TABLE[[#This Row],[New_Res_Constr_Approval_Status]]="Approved",LAM_API_TABLE[[#This Row],[New_Res_Constr_sqft]],0)</f>
        <v>0</v>
      </c>
      <c r="AQ361">
        <f>IF(LAM_API_TABLE[[#This Row],[New_Res_Constr_Approval_Status]]="Approved",LAM_API_TABLE[[#This Row],[New_Res_SLA_norec_sqft]],0)</f>
        <v>0</v>
      </c>
      <c r="AR361">
        <f>IF(LAM_API_TABLE[[#This Row],[New_Res_Constr_Approval_Status]]="Approved",LAM_API_TABLE[[#This Row],[New_Res_SLA_rec_sqft]],0)</f>
        <v>0</v>
      </c>
      <c r="AS361">
        <f>IF(LAM_API_TABLE[[#This Row],[Existing_Res_SLA_Data_Approval_Status]]="Approved",LAM_API_TABLE[[#This Row],[Existing_Res_SLA_norec_sqft]],0)</f>
        <v>0</v>
      </c>
      <c r="AT361">
        <f>IF(LAM_API_TABLE[[#This Row],[Existing_Res_SLA_Data_Approval_Status]]="Approved",LAM_API_TABLE[[#This Row],[Existing_Res_SLA_rec_sqft]],0)</f>
        <v>0</v>
      </c>
    </row>
    <row r="362" spans="1:46" x14ac:dyDescent="0.25">
      <c r="A362" t="s">
        <v>2378</v>
      </c>
      <c r="B362" t="s">
        <v>2379</v>
      </c>
      <c r="AK362">
        <f>IF(LAM_API_TABLE[[#This Row],[Alternative_Data_Approval_Status]]="Approved",LAM_API_TABLE[[#This Row],[HCL_area_sqft_Alternative]],LAM_API_TABLE[[#This Row],[HCL_area_sqft]])</f>
        <v>0</v>
      </c>
      <c r="AL362">
        <f>IF(LAM_API_TABLE[[#This Row],[Alternative_Data_Approval_Status]]="Approved",LAM_API_TABLE[[#This Row],[Ag_area_sqft_Alternative]],LAM_API_TABLE[[#This Row],[Ag_area_sqft]])</f>
        <v>0</v>
      </c>
      <c r="AM362">
        <f>IF(LAM_API_TABLE[[#This Row],[Alternative_Data_Approval_Status]]="Approved",LAM_API_TABLE[[#This Row],[Pool_area_sqft_Alternative]],LAM_API_TABLE[[#This Row],[Pool_area_sqft]])</f>
        <v>0</v>
      </c>
      <c r="AN362">
        <f>IF(LAM_API_TABLE[[#This Row],[Alternative_Data_Approval_Status]]="Approved",LAM_API_TABLE[[#This Row],[Total_II_sqft_Alternative]],LAM_API_TABLE[[#This Row],[Total_II_sqft]])</f>
        <v>0</v>
      </c>
      <c r="AO362">
        <f>IF(LAM_API_TABLE[[#This Row],[Alternative_Data_Approval_Status]]="Approved",LAM_API_TABLE[[#This Row],[Total_INI_sqft_Alternative]],LAM_API_TABLE[[#This Row],[Total_INI_sqft]])</f>
        <v>0</v>
      </c>
      <c r="AP362">
        <f>IF(LAM_API_TABLE[[#This Row],[New_Res_Constr_Approval_Status]]="Approved",LAM_API_TABLE[[#This Row],[New_Res_Constr_sqft]],0)</f>
        <v>0</v>
      </c>
      <c r="AQ362">
        <f>IF(LAM_API_TABLE[[#This Row],[New_Res_Constr_Approval_Status]]="Approved",LAM_API_TABLE[[#This Row],[New_Res_SLA_norec_sqft]],0)</f>
        <v>0</v>
      </c>
      <c r="AR362">
        <f>IF(LAM_API_TABLE[[#This Row],[New_Res_Constr_Approval_Status]]="Approved",LAM_API_TABLE[[#This Row],[New_Res_SLA_rec_sqft]],0)</f>
        <v>0</v>
      </c>
      <c r="AS362">
        <f>IF(LAM_API_TABLE[[#This Row],[Existing_Res_SLA_Data_Approval_Status]]="Approved",LAM_API_TABLE[[#This Row],[Existing_Res_SLA_norec_sqft]],0)</f>
        <v>0</v>
      </c>
      <c r="AT362">
        <f>IF(LAM_API_TABLE[[#This Row],[Existing_Res_SLA_Data_Approval_Status]]="Approved",LAM_API_TABLE[[#This Row],[Existing_Res_SLA_rec_sqft]],0)</f>
        <v>0</v>
      </c>
    </row>
    <row r="363" spans="1:46" x14ac:dyDescent="0.25">
      <c r="A363" t="s">
        <v>2382</v>
      </c>
      <c r="B363" t="s">
        <v>3468</v>
      </c>
      <c r="C363" t="s">
        <v>3469</v>
      </c>
      <c r="D363" t="s">
        <v>3470</v>
      </c>
      <c r="E363">
        <v>2018</v>
      </c>
      <c r="F363">
        <v>179497</v>
      </c>
      <c r="H363">
        <v>1396536</v>
      </c>
      <c r="I363">
        <v>59565910</v>
      </c>
      <c r="J363">
        <v>28271113</v>
      </c>
      <c r="K363">
        <v>98869119</v>
      </c>
      <c r="L363">
        <v>65220133</v>
      </c>
      <c r="M363" t="s">
        <v>1859</v>
      </c>
      <c r="AK363">
        <f>IF(LAM_API_TABLE[[#This Row],[Alternative_Data_Approval_Status]]="Approved",LAM_API_TABLE[[#This Row],[HCL_area_sqft_Alternative]],LAM_API_TABLE[[#This Row],[HCL_area_sqft]])</f>
        <v>179497</v>
      </c>
      <c r="AL363">
        <f>IF(LAM_API_TABLE[[#This Row],[Alternative_Data_Approval_Status]]="Approved",LAM_API_TABLE[[#This Row],[Ag_area_sqft_Alternative]],LAM_API_TABLE[[#This Row],[Ag_area_sqft]])</f>
        <v>0</v>
      </c>
      <c r="AM363">
        <f>IF(LAM_API_TABLE[[#This Row],[Alternative_Data_Approval_Status]]="Approved",LAM_API_TABLE[[#This Row],[Pool_area_sqft_Alternative]],LAM_API_TABLE[[#This Row],[Pool_area_sqft]])</f>
        <v>1396536</v>
      </c>
      <c r="AN363">
        <f>IF(LAM_API_TABLE[[#This Row],[Alternative_Data_Approval_Status]]="Approved",LAM_API_TABLE[[#This Row],[Total_II_sqft_Alternative]],LAM_API_TABLE[[#This Row],[Total_II_sqft]])</f>
        <v>59565910</v>
      </c>
      <c r="AO363">
        <f>IF(LAM_API_TABLE[[#This Row],[Alternative_Data_Approval_Status]]="Approved",LAM_API_TABLE[[#This Row],[Total_INI_sqft_Alternative]],LAM_API_TABLE[[#This Row],[Total_INI_sqft]])</f>
        <v>28271113</v>
      </c>
      <c r="AP363">
        <f>IF(LAM_API_TABLE[[#This Row],[New_Res_Constr_Approval_Status]]="Approved",LAM_API_TABLE[[#This Row],[New_Res_Constr_sqft]],0)</f>
        <v>0</v>
      </c>
      <c r="AQ363">
        <f>IF(LAM_API_TABLE[[#This Row],[New_Res_Constr_Approval_Status]]="Approved",LAM_API_TABLE[[#This Row],[New_Res_SLA_norec_sqft]],0)</f>
        <v>0</v>
      </c>
      <c r="AR363">
        <f>IF(LAM_API_TABLE[[#This Row],[New_Res_Constr_Approval_Status]]="Approved",LAM_API_TABLE[[#This Row],[New_Res_SLA_rec_sqft]],0)</f>
        <v>0</v>
      </c>
      <c r="AS363">
        <f>IF(LAM_API_TABLE[[#This Row],[Existing_Res_SLA_Data_Approval_Status]]="Approved",LAM_API_TABLE[[#This Row],[Existing_Res_SLA_norec_sqft]],0)</f>
        <v>0</v>
      </c>
      <c r="AT363">
        <f>IF(LAM_API_TABLE[[#This Row],[Existing_Res_SLA_Data_Approval_Status]]="Approved",LAM_API_TABLE[[#This Row],[Existing_Res_SLA_rec_sqft]],0)</f>
        <v>0</v>
      </c>
    </row>
    <row r="364" spans="1:46" x14ac:dyDescent="0.25">
      <c r="A364" t="s">
        <v>2386</v>
      </c>
      <c r="B364" t="s">
        <v>3471</v>
      </c>
      <c r="C364" t="s">
        <v>3472</v>
      </c>
      <c r="D364" t="s">
        <v>3473</v>
      </c>
      <c r="E364">
        <v>2018</v>
      </c>
      <c r="H364">
        <v>512768</v>
      </c>
      <c r="I364">
        <v>41089619</v>
      </c>
      <c r="J364">
        <v>15546760</v>
      </c>
      <c r="K364">
        <v>108681529</v>
      </c>
      <c r="L364">
        <v>44198971</v>
      </c>
      <c r="M364" t="s">
        <v>1859</v>
      </c>
      <c r="AK364">
        <f>IF(LAM_API_TABLE[[#This Row],[Alternative_Data_Approval_Status]]="Approved",LAM_API_TABLE[[#This Row],[HCL_area_sqft_Alternative]],LAM_API_TABLE[[#This Row],[HCL_area_sqft]])</f>
        <v>0</v>
      </c>
      <c r="AL364">
        <f>IF(LAM_API_TABLE[[#This Row],[Alternative_Data_Approval_Status]]="Approved",LAM_API_TABLE[[#This Row],[Ag_area_sqft_Alternative]],LAM_API_TABLE[[#This Row],[Ag_area_sqft]])</f>
        <v>0</v>
      </c>
      <c r="AM364">
        <f>IF(LAM_API_TABLE[[#This Row],[Alternative_Data_Approval_Status]]="Approved",LAM_API_TABLE[[#This Row],[Pool_area_sqft_Alternative]],LAM_API_TABLE[[#This Row],[Pool_area_sqft]])</f>
        <v>512768</v>
      </c>
      <c r="AN364">
        <f>IF(LAM_API_TABLE[[#This Row],[Alternative_Data_Approval_Status]]="Approved",LAM_API_TABLE[[#This Row],[Total_II_sqft_Alternative]],LAM_API_TABLE[[#This Row],[Total_II_sqft]])</f>
        <v>41089619</v>
      </c>
      <c r="AO364">
        <f>IF(LAM_API_TABLE[[#This Row],[Alternative_Data_Approval_Status]]="Approved",LAM_API_TABLE[[#This Row],[Total_INI_sqft_Alternative]],LAM_API_TABLE[[#This Row],[Total_INI_sqft]])</f>
        <v>15546760</v>
      </c>
      <c r="AP364">
        <f>IF(LAM_API_TABLE[[#This Row],[New_Res_Constr_Approval_Status]]="Approved",LAM_API_TABLE[[#This Row],[New_Res_Constr_sqft]],0)</f>
        <v>0</v>
      </c>
      <c r="AQ364">
        <f>IF(LAM_API_TABLE[[#This Row],[New_Res_Constr_Approval_Status]]="Approved",LAM_API_TABLE[[#This Row],[New_Res_SLA_norec_sqft]],0)</f>
        <v>0</v>
      </c>
      <c r="AR364">
        <f>IF(LAM_API_TABLE[[#This Row],[New_Res_Constr_Approval_Status]]="Approved",LAM_API_TABLE[[#This Row],[New_Res_SLA_rec_sqft]],0)</f>
        <v>0</v>
      </c>
      <c r="AS364">
        <f>IF(LAM_API_TABLE[[#This Row],[Existing_Res_SLA_Data_Approval_Status]]="Approved",LAM_API_TABLE[[#This Row],[Existing_Res_SLA_norec_sqft]],0)</f>
        <v>0</v>
      </c>
      <c r="AT364">
        <f>IF(LAM_API_TABLE[[#This Row],[Existing_Res_SLA_Data_Approval_Status]]="Approved",LAM_API_TABLE[[#This Row],[Existing_Res_SLA_rec_sqft]],0)</f>
        <v>0</v>
      </c>
    </row>
    <row r="365" spans="1:46" x14ac:dyDescent="0.25">
      <c r="A365" t="s">
        <v>2390</v>
      </c>
      <c r="B365" t="s">
        <v>2391</v>
      </c>
      <c r="C365" t="s">
        <v>3474</v>
      </c>
      <c r="D365" t="s">
        <v>3475</v>
      </c>
      <c r="E365">
        <v>2018</v>
      </c>
      <c r="F365">
        <v>75868</v>
      </c>
      <c r="G365">
        <v>303355</v>
      </c>
      <c r="H365">
        <v>316755</v>
      </c>
      <c r="I365">
        <v>8880792</v>
      </c>
      <c r="J365">
        <v>2374468</v>
      </c>
      <c r="K365">
        <v>28775495</v>
      </c>
      <c r="L365">
        <v>9355686</v>
      </c>
      <c r="M365" t="s">
        <v>1859</v>
      </c>
      <c r="AK365">
        <f>IF(LAM_API_TABLE[[#This Row],[Alternative_Data_Approval_Status]]="Approved",LAM_API_TABLE[[#This Row],[HCL_area_sqft_Alternative]],LAM_API_TABLE[[#This Row],[HCL_area_sqft]])</f>
        <v>75868</v>
      </c>
      <c r="AL365">
        <f>IF(LAM_API_TABLE[[#This Row],[Alternative_Data_Approval_Status]]="Approved",LAM_API_TABLE[[#This Row],[Ag_area_sqft_Alternative]],LAM_API_TABLE[[#This Row],[Ag_area_sqft]])</f>
        <v>303355</v>
      </c>
      <c r="AM365">
        <f>IF(LAM_API_TABLE[[#This Row],[Alternative_Data_Approval_Status]]="Approved",LAM_API_TABLE[[#This Row],[Pool_area_sqft_Alternative]],LAM_API_TABLE[[#This Row],[Pool_area_sqft]])</f>
        <v>316755</v>
      </c>
      <c r="AN365">
        <f>IF(LAM_API_TABLE[[#This Row],[Alternative_Data_Approval_Status]]="Approved",LAM_API_TABLE[[#This Row],[Total_II_sqft_Alternative]],LAM_API_TABLE[[#This Row],[Total_II_sqft]])</f>
        <v>8880792</v>
      </c>
      <c r="AO365">
        <f>IF(LAM_API_TABLE[[#This Row],[Alternative_Data_Approval_Status]]="Approved",LAM_API_TABLE[[#This Row],[Total_INI_sqft_Alternative]],LAM_API_TABLE[[#This Row],[Total_INI_sqft]])</f>
        <v>2374468</v>
      </c>
      <c r="AP365">
        <f>IF(LAM_API_TABLE[[#This Row],[New_Res_Constr_Approval_Status]]="Approved",LAM_API_TABLE[[#This Row],[New_Res_Constr_sqft]],0)</f>
        <v>0</v>
      </c>
      <c r="AQ365">
        <f>IF(LAM_API_TABLE[[#This Row],[New_Res_Constr_Approval_Status]]="Approved",LAM_API_TABLE[[#This Row],[New_Res_SLA_norec_sqft]],0)</f>
        <v>0</v>
      </c>
      <c r="AR365">
        <f>IF(LAM_API_TABLE[[#This Row],[New_Res_Constr_Approval_Status]]="Approved",LAM_API_TABLE[[#This Row],[New_Res_SLA_rec_sqft]],0)</f>
        <v>0</v>
      </c>
      <c r="AS365">
        <f>IF(LAM_API_TABLE[[#This Row],[Existing_Res_SLA_Data_Approval_Status]]="Approved",LAM_API_TABLE[[#This Row],[Existing_Res_SLA_norec_sqft]],0)</f>
        <v>0</v>
      </c>
      <c r="AT365">
        <f>IF(LAM_API_TABLE[[#This Row],[Existing_Res_SLA_Data_Approval_Status]]="Approved",LAM_API_TABLE[[#This Row],[Existing_Res_SLA_rec_sqft]],0)</f>
        <v>0</v>
      </c>
    </row>
    <row r="366" spans="1:46" x14ac:dyDescent="0.25">
      <c r="A366" t="s">
        <v>2394</v>
      </c>
      <c r="B366" t="s">
        <v>3476</v>
      </c>
      <c r="C366" t="s">
        <v>3477</v>
      </c>
      <c r="D366" t="s">
        <v>3478</v>
      </c>
      <c r="E366">
        <v>2018</v>
      </c>
      <c r="G366">
        <v>5214381</v>
      </c>
      <c r="H366">
        <v>1466296</v>
      </c>
      <c r="I366">
        <v>53681785</v>
      </c>
      <c r="J366">
        <v>10166734</v>
      </c>
      <c r="K366">
        <v>125009124</v>
      </c>
      <c r="L366">
        <v>55715132</v>
      </c>
      <c r="M366" t="s">
        <v>1859</v>
      </c>
      <c r="AK366">
        <f>IF(LAM_API_TABLE[[#This Row],[Alternative_Data_Approval_Status]]="Approved",LAM_API_TABLE[[#This Row],[HCL_area_sqft_Alternative]],LAM_API_TABLE[[#This Row],[HCL_area_sqft]])</f>
        <v>0</v>
      </c>
      <c r="AL366">
        <f>IF(LAM_API_TABLE[[#This Row],[Alternative_Data_Approval_Status]]="Approved",LAM_API_TABLE[[#This Row],[Ag_area_sqft_Alternative]],LAM_API_TABLE[[#This Row],[Ag_area_sqft]])</f>
        <v>5214381</v>
      </c>
      <c r="AM366">
        <f>IF(LAM_API_TABLE[[#This Row],[Alternative_Data_Approval_Status]]="Approved",LAM_API_TABLE[[#This Row],[Pool_area_sqft_Alternative]],LAM_API_TABLE[[#This Row],[Pool_area_sqft]])</f>
        <v>1466296</v>
      </c>
      <c r="AN366">
        <f>IF(LAM_API_TABLE[[#This Row],[Alternative_Data_Approval_Status]]="Approved",LAM_API_TABLE[[#This Row],[Total_II_sqft_Alternative]],LAM_API_TABLE[[#This Row],[Total_II_sqft]])</f>
        <v>53681785</v>
      </c>
      <c r="AO366">
        <f>IF(LAM_API_TABLE[[#This Row],[Alternative_Data_Approval_Status]]="Approved",LAM_API_TABLE[[#This Row],[Total_INI_sqft_Alternative]],LAM_API_TABLE[[#This Row],[Total_INI_sqft]])</f>
        <v>10166734</v>
      </c>
      <c r="AP366">
        <f>IF(LAM_API_TABLE[[#This Row],[New_Res_Constr_Approval_Status]]="Approved",LAM_API_TABLE[[#This Row],[New_Res_Constr_sqft]],0)</f>
        <v>0</v>
      </c>
      <c r="AQ366">
        <f>IF(LAM_API_TABLE[[#This Row],[New_Res_Constr_Approval_Status]]="Approved",LAM_API_TABLE[[#This Row],[New_Res_SLA_norec_sqft]],0)</f>
        <v>0</v>
      </c>
      <c r="AR366">
        <f>IF(LAM_API_TABLE[[#This Row],[New_Res_Constr_Approval_Status]]="Approved",LAM_API_TABLE[[#This Row],[New_Res_SLA_rec_sqft]],0)</f>
        <v>0</v>
      </c>
      <c r="AS366">
        <f>IF(LAM_API_TABLE[[#This Row],[Existing_Res_SLA_Data_Approval_Status]]="Approved",LAM_API_TABLE[[#This Row],[Existing_Res_SLA_norec_sqft]],0)</f>
        <v>0</v>
      </c>
      <c r="AT366">
        <f>IF(LAM_API_TABLE[[#This Row],[Existing_Res_SLA_Data_Approval_Status]]="Approved",LAM_API_TABLE[[#This Row],[Existing_Res_SLA_rec_sqft]],0)</f>
        <v>0</v>
      </c>
    </row>
    <row r="367" spans="1:46" x14ac:dyDescent="0.25">
      <c r="A367" t="s">
        <v>2398</v>
      </c>
      <c r="B367" t="s">
        <v>3479</v>
      </c>
      <c r="C367" t="s">
        <v>3480</v>
      </c>
      <c r="D367" t="s">
        <v>3481</v>
      </c>
      <c r="E367">
        <v>2018</v>
      </c>
      <c r="H367">
        <v>474840</v>
      </c>
      <c r="I367">
        <v>11213009</v>
      </c>
      <c r="J367">
        <v>1013629</v>
      </c>
      <c r="K367">
        <v>15579188</v>
      </c>
      <c r="L367">
        <v>11415735</v>
      </c>
      <c r="M367" t="s">
        <v>1859</v>
      </c>
      <c r="AK367">
        <f>IF(LAM_API_TABLE[[#This Row],[Alternative_Data_Approval_Status]]="Approved",LAM_API_TABLE[[#This Row],[HCL_area_sqft_Alternative]],LAM_API_TABLE[[#This Row],[HCL_area_sqft]])</f>
        <v>0</v>
      </c>
      <c r="AL367">
        <f>IF(LAM_API_TABLE[[#This Row],[Alternative_Data_Approval_Status]]="Approved",LAM_API_TABLE[[#This Row],[Ag_area_sqft_Alternative]],LAM_API_TABLE[[#This Row],[Ag_area_sqft]])</f>
        <v>0</v>
      </c>
      <c r="AM367">
        <f>IF(LAM_API_TABLE[[#This Row],[Alternative_Data_Approval_Status]]="Approved",LAM_API_TABLE[[#This Row],[Pool_area_sqft_Alternative]],LAM_API_TABLE[[#This Row],[Pool_area_sqft]])</f>
        <v>474840</v>
      </c>
      <c r="AN367">
        <f>IF(LAM_API_TABLE[[#This Row],[Alternative_Data_Approval_Status]]="Approved",LAM_API_TABLE[[#This Row],[Total_II_sqft_Alternative]],LAM_API_TABLE[[#This Row],[Total_II_sqft]])</f>
        <v>11213009</v>
      </c>
      <c r="AO367">
        <f>IF(LAM_API_TABLE[[#This Row],[Alternative_Data_Approval_Status]]="Approved",LAM_API_TABLE[[#This Row],[Total_INI_sqft_Alternative]],LAM_API_TABLE[[#This Row],[Total_INI_sqft]])</f>
        <v>1013629</v>
      </c>
      <c r="AP367">
        <f>IF(LAM_API_TABLE[[#This Row],[New_Res_Constr_Approval_Status]]="Approved",LAM_API_TABLE[[#This Row],[New_Res_Constr_sqft]],0)</f>
        <v>0</v>
      </c>
      <c r="AQ367">
        <f>IF(LAM_API_TABLE[[#This Row],[New_Res_Constr_Approval_Status]]="Approved",LAM_API_TABLE[[#This Row],[New_Res_SLA_norec_sqft]],0)</f>
        <v>0</v>
      </c>
      <c r="AR367">
        <f>IF(LAM_API_TABLE[[#This Row],[New_Res_Constr_Approval_Status]]="Approved",LAM_API_TABLE[[#This Row],[New_Res_SLA_rec_sqft]],0)</f>
        <v>0</v>
      </c>
      <c r="AS367">
        <f>IF(LAM_API_TABLE[[#This Row],[Existing_Res_SLA_Data_Approval_Status]]="Approved",LAM_API_TABLE[[#This Row],[Existing_Res_SLA_norec_sqft]],0)</f>
        <v>0</v>
      </c>
      <c r="AT367">
        <f>IF(LAM_API_TABLE[[#This Row],[Existing_Res_SLA_Data_Approval_Status]]="Approved",LAM_API_TABLE[[#This Row],[Existing_Res_SLA_rec_sqft]],0)</f>
        <v>0</v>
      </c>
    </row>
    <row r="368" spans="1:46" x14ac:dyDescent="0.25">
      <c r="A368" t="s">
        <v>2402</v>
      </c>
      <c r="B368" t="s">
        <v>3482</v>
      </c>
      <c r="C368" t="s">
        <v>3483</v>
      </c>
      <c r="D368" t="s">
        <v>3484</v>
      </c>
      <c r="E368">
        <v>2018</v>
      </c>
      <c r="F368">
        <v>121654</v>
      </c>
      <c r="G368">
        <v>67901</v>
      </c>
      <c r="H368">
        <v>7399</v>
      </c>
      <c r="I368">
        <v>23325404</v>
      </c>
      <c r="J368">
        <v>15119579</v>
      </c>
      <c r="K368">
        <v>232035868</v>
      </c>
      <c r="L368">
        <v>26349320</v>
      </c>
      <c r="M368" t="s">
        <v>1859</v>
      </c>
      <c r="AK368">
        <f>IF(LAM_API_TABLE[[#This Row],[Alternative_Data_Approval_Status]]="Approved",LAM_API_TABLE[[#This Row],[HCL_area_sqft_Alternative]],LAM_API_TABLE[[#This Row],[HCL_area_sqft]])</f>
        <v>121654</v>
      </c>
      <c r="AL368">
        <f>IF(LAM_API_TABLE[[#This Row],[Alternative_Data_Approval_Status]]="Approved",LAM_API_TABLE[[#This Row],[Ag_area_sqft_Alternative]],LAM_API_TABLE[[#This Row],[Ag_area_sqft]])</f>
        <v>67901</v>
      </c>
      <c r="AM368">
        <f>IF(LAM_API_TABLE[[#This Row],[Alternative_Data_Approval_Status]]="Approved",LAM_API_TABLE[[#This Row],[Pool_area_sqft_Alternative]],LAM_API_TABLE[[#This Row],[Pool_area_sqft]])</f>
        <v>7399</v>
      </c>
      <c r="AN368">
        <f>IF(LAM_API_TABLE[[#This Row],[Alternative_Data_Approval_Status]]="Approved",LAM_API_TABLE[[#This Row],[Total_II_sqft_Alternative]],LAM_API_TABLE[[#This Row],[Total_II_sqft]])</f>
        <v>23325404</v>
      </c>
      <c r="AO368">
        <f>IF(LAM_API_TABLE[[#This Row],[Alternative_Data_Approval_Status]]="Approved",LAM_API_TABLE[[#This Row],[Total_INI_sqft_Alternative]],LAM_API_TABLE[[#This Row],[Total_INI_sqft]])</f>
        <v>15119579</v>
      </c>
      <c r="AP368">
        <f>IF(LAM_API_TABLE[[#This Row],[New_Res_Constr_Approval_Status]]="Approved",LAM_API_TABLE[[#This Row],[New_Res_Constr_sqft]],0)</f>
        <v>0</v>
      </c>
      <c r="AQ368">
        <f>IF(LAM_API_TABLE[[#This Row],[New_Res_Constr_Approval_Status]]="Approved",LAM_API_TABLE[[#This Row],[New_Res_SLA_norec_sqft]],0)</f>
        <v>0</v>
      </c>
      <c r="AR368">
        <f>IF(LAM_API_TABLE[[#This Row],[New_Res_Constr_Approval_Status]]="Approved",LAM_API_TABLE[[#This Row],[New_Res_SLA_rec_sqft]],0)</f>
        <v>0</v>
      </c>
      <c r="AS368">
        <f>IF(LAM_API_TABLE[[#This Row],[Existing_Res_SLA_Data_Approval_Status]]="Approved",LAM_API_TABLE[[#This Row],[Existing_Res_SLA_norec_sqft]],0)</f>
        <v>0</v>
      </c>
      <c r="AT368">
        <f>IF(LAM_API_TABLE[[#This Row],[Existing_Res_SLA_Data_Approval_Status]]="Approved",LAM_API_TABLE[[#This Row],[Existing_Res_SLA_rec_sqft]],0)</f>
        <v>0</v>
      </c>
    </row>
    <row r="369" spans="1:46" x14ac:dyDescent="0.25">
      <c r="A369" t="s">
        <v>2406</v>
      </c>
      <c r="B369" t="s">
        <v>2407</v>
      </c>
      <c r="C369" t="s">
        <v>3485</v>
      </c>
      <c r="D369" t="s">
        <v>3486</v>
      </c>
      <c r="E369">
        <v>2018</v>
      </c>
      <c r="G369">
        <v>1693093</v>
      </c>
      <c r="H369">
        <v>936703</v>
      </c>
      <c r="I369">
        <v>54887035</v>
      </c>
      <c r="J369">
        <v>20038651</v>
      </c>
      <c r="K369">
        <v>85293660</v>
      </c>
      <c r="L369">
        <v>58894765</v>
      </c>
      <c r="M369" t="s">
        <v>1859</v>
      </c>
      <c r="AK369">
        <f>IF(LAM_API_TABLE[[#This Row],[Alternative_Data_Approval_Status]]="Approved",LAM_API_TABLE[[#This Row],[HCL_area_sqft_Alternative]],LAM_API_TABLE[[#This Row],[HCL_area_sqft]])</f>
        <v>0</v>
      </c>
      <c r="AL369">
        <f>IF(LAM_API_TABLE[[#This Row],[Alternative_Data_Approval_Status]]="Approved",LAM_API_TABLE[[#This Row],[Ag_area_sqft_Alternative]],LAM_API_TABLE[[#This Row],[Ag_area_sqft]])</f>
        <v>1693093</v>
      </c>
      <c r="AM369">
        <f>IF(LAM_API_TABLE[[#This Row],[Alternative_Data_Approval_Status]]="Approved",LAM_API_TABLE[[#This Row],[Pool_area_sqft_Alternative]],LAM_API_TABLE[[#This Row],[Pool_area_sqft]])</f>
        <v>936703</v>
      </c>
      <c r="AN369">
        <f>IF(LAM_API_TABLE[[#This Row],[Alternative_Data_Approval_Status]]="Approved",LAM_API_TABLE[[#This Row],[Total_II_sqft_Alternative]],LAM_API_TABLE[[#This Row],[Total_II_sqft]])</f>
        <v>54887035</v>
      </c>
      <c r="AO369">
        <f>IF(LAM_API_TABLE[[#This Row],[Alternative_Data_Approval_Status]]="Approved",LAM_API_TABLE[[#This Row],[Total_INI_sqft_Alternative]],LAM_API_TABLE[[#This Row],[Total_INI_sqft]])</f>
        <v>20038651</v>
      </c>
      <c r="AP369">
        <f>IF(LAM_API_TABLE[[#This Row],[New_Res_Constr_Approval_Status]]="Approved",LAM_API_TABLE[[#This Row],[New_Res_Constr_sqft]],0)</f>
        <v>0</v>
      </c>
      <c r="AQ369">
        <f>IF(LAM_API_TABLE[[#This Row],[New_Res_Constr_Approval_Status]]="Approved",LAM_API_TABLE[[#This Row],[New_Res_SLA_norec_sqft]],0)</f>
        <v>0</v>
      </c>
      <c r="AR369">
        <f>IF(LAM_API_TABLE[[#This Row],[New_Res_Constr_Approval_Status]]="Approved",LAM_API_TABLE[[#This Row],[New_Res_SLA_rec_sqft]],0)</f>
        <v>0</v>
      </c>
      <c r="AS369">
        <f>IF(LAM_API_TABLE[[#This Row],[Existing_Res_SLA_Data_Approval_Status]]="Approved",LAM_API_TABLE[[#This Row],[Existing_Res_SLA_norec_sqft]],0)</f>
        <v>0</v>
      </c>
      <c r="AT369">
        <f>IF(LAM_API_TABLE[[#This Row],[Existing_Res_SLA_Data_Approval_Status]]="Approved",LAM_API_TABLE[[#This Row],[Existing_Res_SLA_rec_sqft]],0)</f>
        <v>0</v>
      </c>
    </row>
    <row r="370" spans="1:46" x14ac:dyDescent="0.25">
      <c r="A370" t="s">
        <v>2410</v>
      </c>
      <c r="B370" t="s">
        <v>3487</v>
      </c>
      <c r="C370" t="s">
        <v>882</v>
      </c>
      <c r="D370" t="s">
        <v>3488</v>
      </c>
      <c r="E370">
        <v>2018</v>
      </c>
      <c r="F370">
        <v>35684</v>
      </c>
      <c r="G370">
        <v>3412278</v>
      </c>
      <c r="H370">
        <v>142045</v>
      </c>
      <c r="I370">
        <v>32971069</v>
      </c>
      <c r="J370">
        <v>45438277</v>
      </c>
      <c r="K370">
        <v>504569329</v>
      </c>
      <c r="L370">
        <v>42058725</v>
      </c>
      <c r="M370" t="s">
        <v>1859</v>
      </c>
      <c r="AK370">
        <f>IF(LAM_API_TABLE[[#This Row],[Alternative_Data_Approval_Status]]="Approved",LAM_API_TABLE[[#This Row],[HCL_area_sqft_Alternative]],LAM_API_TABLE[[#This Row],[HCL_area_sqft]])</f>
        <v>35684</v>
      </c>
      <c r="AL370">
        <f>IF(LAM_API_TABLE[[#This Row],[Alternative_Data_Approval_Status]]="Approved",LAM_API_TABLE[[#This Row],[Ag_area_sqft_Alternative]],LAM_API_TABLE[[#This Row],[Ag_area_sqft]])</f>
        <v>3412278</v>
      </c>
      <c r="AM370">
        <f>IF(LAM_API_TABLE[[#This Row],[Alternative_Data_Approval_Status]]="Approved",LAM_API_TABLE[[#This Row],[Pool_area_sqft_Alternative]],LAM_API_TABLE[[#This Row],[Pool_area_sqft]])</f>
        <v>142045</v>
      </c>
      <c r="AN370">
        <f>IF(LAM_API_TABLE[[#This Row],[Alternative_Data_Approval_Status]]="Approved",LAM_API_TABLE[[#This Row],[Total_II_sqft_Alternative]],LAM_API_TABLE[[#This Row],[Total_II_sqft]])</f>
        <v>32971069</v>
      </c>
      <c r="AO370">
        <f>IF(LAM_API_TABLE[[#This Row],[Alternative_Data_Approval_Status]]="Approved",LAM_API_TABLE[[#This Row],[Total_INI_sqft_Alternative]],LAM_API_TABLE[[#This Row],[Total_INI_sqft]])</f>
        <v>45438277</v>
      </c>
      <c r="AP370">
        <f>IF(LAM_API_TABLE[[#This Row],[New_Res_Constr_Approval_Status]]="Approved",LAM_API_TABLE[[#This Row],[New_Res_Constr_sqft]],0)</f>
        <v>0</v>
      </c>
      <c r="AQ370">
        <f>IF(LAM_API_TABLE[[#This Row],[New_Res_Constr_Approval_Status]]="Approved",LAM_API_TABLE[[#This Row],[New_Res_SLA_norec_sqft]],0)</f>
        <v>0</v>
      </c>
      <c r="AR370">
        <f>IF(LAM_API_TABLE[[#This Row],[New_Res_Constr_Approval_Status]]="Approved",LAM_API_TABLE[[#This Row],[New_Res_SLA_rec_sqft]],0)</f>
        <v>0</v>
      </c>
      <c r="AS370">
        <f>IF(LAM_API_TABLE[[#This Row],[Existing_Res_SLA_Data_Approval_Status]]="Approved",LAM_API_TABLE[[#This Row],[Existing_Res_SLA_norec_sqft]],0)</f>
        <v>0</v>
      </c>
      <c r="AT370">
        <f>IF(LAM_API_TABLE[[#This Row],[Existing_Res_SLA_Data_Approval_Status]]="Approved",LAM_API_TABLE[[#This Row],[Existing_Res_SLA_rec_sqft]],0)</f>
        <v>0</v>
      </c>
    </row>
    <row r="371" spans="1:46" x14ac:dyDescent="0.25">
      <c r="A371" t="s">
        <v>2434</v>
      </c>
      <c r="B371" t="s">
        <v>3489</v>
      </c>
      <c r="C371" t="s">
        <v>890</v>
      </c>
      <c r="D371" t="s">
        <v>3490</v>
      </c>
      <c r="E371">
        <v>2018</v>
      </c>
      <c r="G371">
        <v>1349091</v>
      </c>
      <c r="H371">
        <v>968391</v>
      </c>
      <c r="I371">
        <v>53799929</v>
      </c>
      <c r="J371">
        <v>12657656</v>
      </c>
      <c r="K371">
        <v>91401745</v>
      </c>
      <c r="L371">
        <v>56331460</v>
      </c>
      <c r="M371" t="s">
        <v>1859</v>
      </c>
      <c r="AK371">
        <f>IF(LAM_API_TABLE[[#This Row],[Alternative_Data_Approval_Status]]="Approved",LAM_API_TABLE[[#This Row],[HCL_area_sqft_Alternative]],LAM_API_TABLE[[#This Row],[HCL_area_sqft]])</f>
        <v>0</v>
      </c>
      <c r="AL371">
        <f>IF(LAM_API_TABLE[[#This Row],[Alternative_Data_Approval_Status]]="Approved",LAM_API_TABLE[[#This Row],[Ag_area_sqft_Alternative]],LAM_API_TABLE[[#This Row],[Ag_area_sqft]])</f>
        <v>1349091</v>
      </c>
      <c r="AM371">
        <f>IF(LAM_API_TABLE[[#This Row],[Alternative_Data_Approval_Status]]="Approved",LAM_API_TABLE[[#This Row],[Pool_area_sqft_Alternative]],LAM_API_TABLE[[#This Row],[Pool_area_sqft]])</f>
        <v>968391</v>
      </c>
      <c r="AN371">
        <f>IF(LAM_API_TABLE[[#This Row],[Alternative_Data_Approval_Status]]="Approved",LAM_API_TABLE[[#This Row],[Total_II_sqft_Alternative]],LAM_API_TABLE[[#This Row],[Total_II_sqft]])</f>
        <v>53799929</v>
      </c>
      <c r="AO371">
        <f>IF(LAM_API_TABLE[[#This Row],[Alternative_Data_Approval_Status]]="Approved",LAM_API_TABLE[[#This Row],[Total_INI_sqft_Alternative]],LAM_API_TABLE[[#This Row],[Total_INI_sqft]])</f>
        <v>12657656</v>
      </c>
      <c r="AP371">
        <f>IF(LAM_API_TABLE[[#This Row],[New_Res_Constr_Approval_Status]]="Approved",LAM_API_TABLE[[#This Row],[New_Res_Constr_sqft]],0)</f>
        <v>0</v>
      </c>
      <c r="AQ371">
        <f>IF(LAM_API_TABLE[[#This Row],[New_Res_Constr_Approval_Status]]="Approved",LAM_API_TABLE[[#This Row],[New_Res_SLA_norec_sqft]],0)</f>
        <v>0</v>
      </c>
      <c r="AR371">
        <f>IF(LAM_API_TABLE[[#This Row],[New_Res_Constr_Approval_Status]]="Approved",LAM_API_TABLE[[#This Row],[New_Res_SLA_rec_sqft]],0)</f>
        <v>0</v>
      </c>
      <c r="AS371">
        <f>IF(LAM_API_TABLE[[#This Row],[Existing_Res_SLA_Data_Approval_Status]]="Approved",LAM_API_TABLE[[#This Row],[Existing_Res_SLA_norec_sqft]],0)</f>
        <v>0</v>
      </c>
      <c r="AT371">
        <f>IF(LAM_API_TABLE[[#This Row],[Existing_Res_SLA_Data_Approval_Status]]="Approved",LAM_API_TABLE[[#This Row],[Existing_Res_SLA_rec_sqft]],0)</f>
        <v>0</v>
      </c>
    </row>
    <row r="372" spans="1:46" x14ac:dyDescent="0.25">
      <c r="A372" t="s">
        <v>2438</v>
      </c>
      <c r="B372" t="s">
        <v>2439</v>
      </c>
      <c r="C372" t="s">
        <v>3491</v>
      </c>
      <c r="D372" t="s">
        <v>3492</v>
      </c>
      <c r="E372">
        <v>2018</v>
      </c>
      <c r="G372">
        <v>219107</v>
      </c>
      <c r="H372">
        <v>1281437</v>
      </c>
      <c r="I372">
        <v>45810743</v>
      </c>
      <c r="J372">
        <v>8628939</v>
      </c>
      <c r="K372">
        <v>77578745</v>
      </c>
      <c r="L372">
        <v>47536531</v>
      </c>
      <c r="M372" t="s">
        <v>1859</v>
      </c>
      <c r="AK372">
        <f>IF(LAM_API_TABLE[[#This Row],[Alternative_Data_Approval_Status]]="Approved",LAM_API_TABLE[[#This Row],[HCL_area_sqft_Alternative]],LAM_API_TABLE[[#This Row],[HCL_area_sqft]])</f>
        <v>0</v>
      </c>
      <c r="AL372">
        <f>IF(LAM_API_TABLE[[#This Row],[Alternative_Data_Approval_Status]]="Approved",LAM_API_TABLE[[#This Row],[Ag_area_sqft_Alternative]],LAM_API_TABLE[[#This Row],[Ag_area_sqft]])</f>
        <v>219107</v>
      </c>
      <c r="AM372">
        <f>IF(LAM_API_TABLE[[#This Row],[Alternative_Data_Approval_Status]]="Approved",LAM_API_TABLE[[#This Row],[Pool_area_sqft_Alternative]],LAM_API_TABLE[[#This Row],[Pool_area_sqft]])</f>
        <v>1281437</v>
      </c>
      <c r="AN372">
        <f>IF(LAM_API_TABLE[[#This Row],[Alternative_Data_Approval_Status]]="Approved",LAM_API_TABLE[[#This Row],[Total_II_sqft_Alternative]],LAM_API_TABLE[[#This Row],[Total_II_sqft]])</f>
        <v>45810743</v>
      </c>
      <c r="AO372">
        <f>IF(LAM_API_TABLE[[#This Row],[Alternative_Data_Approval_Status]]="Approved",LAM_API_TABLE[[#This Row],[Total_INI_sqft_Alternative]],LAM_API_TABLE[[#This Row],[Total_INI_sqft]])</f>
        <v>8628939</v>
      </c>
      <c r="AP372">
        <f>IF(LAM_API_TABLE[[#This Row],[New_Res_Constr_Approval_Status]]="Approved",LAM_API_TABLE[[#This Row],[New_Res_Constr_sqft]],0)</f>
        <v>0</v>
      </c>
      <c r="AQ372">
        <f>IF(LAM_API_TABLE[[#This Row],[New_Res_Constr_Approval_Status]]="Approved",LAM_API_TABLE[[#This Row],[New_Res_SLA_norec_sqft]],0)</f>
        <v>0</v>
      </c>
      <c r="AR372">
        <f>IF(LAM_API_TABLE[[#This Row],[New_Res_Constr_Approval_Status]]="Approved",LAM_API_TABLE[[#This Row],[New_Res_SLA_rec_sqft]],0)</f>
        <v>0</v>
      </c>
      <c r="AS372">
        <f>IF(LAM_API_TABLE[[#This Row],[Existing_Res_SLA_Data_Approval_Status]]="Approved",LAM_API_TABLE[[#This Row],[Existing_Res_SLA_norec_sqft]],0)</f>
        <v>0</v>
      </c>
      <c r="AT372">
        <f>IF(LAM_API_TABLE[[#This Row],[Existing_Res_SLA_Data_Approval_Status]]="Approved",LAM_API_TABLE[[#This Row],[Existing_Res_SLA_rec_sqft]],0)</f>
        <v>0</v>
      </c>
    </row>
    <row r="373" spans="1:46" x14ac:dyDescent="0.25">
      <c r="A373" t="s">
        <v>2442</v>
      </c>
      <c r="B373" t="s">
        <v>2443</v>
      </c>
      <c r="C373" t="s">
        <v>3493</v>
      </c>
      <c r="D373" t="s">
        <v>3494</v>
      </c>
      <c r="E373">
        <v>2018</v>
      </c>
      <c r="F373">
        <v>211436</v>
      </c>
      <c r="G373">
        <v>949713</v>
      </c>
      <c r="H373">
        <v>203061</v>
      </c>
      <c r="I373">
        <v>1349576</v>
      </c>
      <c r="J373">
        <v>30377371</v>
      </c>
      <c r="K373">
        <v>482169979</v>
      </c>
      <c r="L373">
        <v>7425050</v>
      </c>
      <c r="M373" t="s">
        <v>1859</v>
      </c>
      <c r="AK373">
        <f>IF(LAM_API_TABLE[[#This Row],[Alternative_Data_Approval_Status]]="Approved",LAM_API_TABLE[[#This Row],[HCL_area_sqft_Alternative]],LAM_API_TABLE[[#This Row],[HCL_area_sqft]])</f>
        <v>211436</v>
      </c>
      <c r="AL373">
        <f>IF(LAM_API_TABLE[[#This Row],[Alternative_Data_Approval_Status]]="Approved",LAM_API_TABLE[[#This Row],[Ag_area_sqft_Alternative]],LAM_API_TABLE[[#This Row],[Ag_area_sqft]])</f>
        <v>949713</v>
      </c>
      <c r="AM373">
        <f>IF(LAM_API_TABLE[[#This Row],[Alternative_Data_Approval_Status]]="Approved",LAM_API_TABLE[[#This Row],[Pool_area_sqft_Alternative]],LAM_API_TABLE[[#This Row],[Pool_area_sqft]])</f>
        <v>203061</v>
      </c>
      <c r="AN373">
        <f>IF(LAM_API_TABLE[[#This Row],[Alternative_Data_Approval_Status]]="Approved",LAM_API_TABLE[[#This Row],[Total_II_sqft_Alternative]],LAM_API_TABLE[[#This Row],[Total_II_sqft]])</f>
        <v>1349576</v>
      </c>
      <c r="AO373">
        <f>IF(LAM_API_TABLE[[#This Row],[Alternative_Data_Approval_Status]]="Approved",LAM_API_TABLE[[#This Row],[Total_INI_sqft_Alternative]],LAM_API_TABLE[[#This Row],[Total_INI_sqft]])</f>
        <v>30377371</v>
      </c>
      <c r="AP373">
        <f>IF(LAM_API_TABLE[[#This Row],[New_Res_Constr_Approval_Status]]="Approved",LAM_API_TABLE[[#This Row],[New_Res_Constr_sqft]],0)</f>
        <v>0</v>
      </c>
      <c r="AQ373">
        <f>IF(LAM_API_TABLE[[#This Row],[New_Res_Constr_Approval_Status]]="Approved",LAM_API_TABLE[[#This Row],[New_Res_SLA_norec_sqft]],0)</f>
        <v>0</v>
      </c>
      <c r="AR373">
        <f>IF(LAM_API_TABLE[[#This Row],[New_Res_Constr_Approval_Status]]="Approved",LAM_API_TABLE[[#This Row],[New_Res_SLA_rec_sqft]],0)</f>
        <v>0</v>
      </c>
      <c r="AS373">
        <f>IF(LAM_API_TABLE[[#This Row],[Existing_Res_SLA_Data_Approval_Status]]="Approved",LAM_API_TABLE[[#This Row],[Existing_Res_SLA_norec_sqft]],0)</f>
        <v>0</v>
      </c>
      <c r="AT373">
        <f>IF(LAM_API_TABLE[[#This Row],[Existing_Res_SLA_Data_Approval_Status]]="Approved",LAM_API_TABLE[[#This Row],[Existing_Res_SLA_rec_sqft]],0)</f>
        <v>0</v>
      </c>
    </row>
    <row r="374" spans="1:46" x14ac:dyDescent="0.25">
      <c r="A374" t="s">
        <v>2446</v>
      </c>
      <c r="B374" t="s">
        <v>2447</v>
      </c>
      <c r="C374" t="s">
        <v>906</v>
      </c>
      <c r="D374" t="s">
        <v>3495</v>
      </c>
      <c r="E374">
        <v>2018</v>
      </c>
      <c r="H374">
        <v>83133</v>
      </c>
      <c r="I374">
        <v>9815843</v>
      </c>
      <c r="J374">
        <v>9007763</v>
      </c>
      <c r="K374">
        <v>24145443</v>
      </c>
      <c r="L374">
        <v>11617396</v>
      </c>
      <c r="M374" t="s">
        <v>1859</v>
      </c>
      <c r="AK374">
        <f>IF(LAM_API_TABLE[[#This Row],[Alternative_Data_Approval_Status]]="Approved",LAM_API_TABLE[[#This Row],[HCL_area_sqft_Alternative]],LAM_API_TABLE[[#This Row],[HCL_area_sqft]])</f>
        <v>0</v>
      </c>
      <c r="AL374">
        <f>IF(LAM_API_TABLE[[#This Row],[Alternative_Data_Approval_Status]]="Approved",LAM_API_TABLE[[#This Row],[Ag_area_sqft_Alternative]],LAM_API_TABLE[[#This Row],[Ag_area_sqft]])</f>
        <v>0</v>
      </c>
      <c r="AM374">
        <f>IF(LAM_API_TABLE[[#This Row],[Alternative_Data_Approval_Status]]="Approved",LAM_API_TABLE[[#This Row],[Pool_area_sqft_Alternative]],LAM_API_TABLE[[#This Row],[Pool_area_sqft]])</f>
        <v>83133</v>
      </c>
      <c r="AN374">
        <f>IF(LAM_API_TABLE[[#This Row],[Alternative_Data_Approval_Status]]="Approved",LAM_API_TABLE[[#This Row],[Total_II_sqft_Alternative]],LAM_API_TABLE[[#This Row],[Total_II_sqft]])</f>
        <v>9815843</v>
      </c>
      <c r="AO374">
        <f>IF(LAM_API_TABLE[[#This Row],[Alternative_Data_Approval_Status]]="Approved",LAM_API_TABLE[[#This Row],[Total_INI_sqft_Alternative]],LAM_API_TABLE[[#This Row],[Total_INI_sqft]])</f>
        <v>9007763</v>
      </c>
      <c r="AP374">
        <f>IF(LAM_API_TABLE[[#This Row],[New_Res_Constr_Approval_Status]]="Approved",LAM_API_TABLE[[#This Row],[New_Res_Constr_sqft]],0)</f>
        <v>0</v>
      </c>
      <c r="AQ374">
        <f>IF(LAM_API_TABLE[[#This Row],[New_Res_Constr_Approval_Status]]="Approved",LAM_API_TABLE[[#This Row],[New_Res_SLA_norec_sqft]],0)</f>
        <v>0</v>
      </c>
      <c r="AR374">
        <f>IF(LAM_API_TABLE[[#This Row],[New_Res_Constr_Approval_Status]]="Approved",LAM_API_TABLE[[#This Row],[New_Res_SLA_rec_sqft]],0)</f>
        <v>0</v>
      </c>
      <c r="AS374">
        <f>IF(LAM_API_TABLE[[#This Row],[Existing_Res_SLA_Data_Approval_Status]]="Approved",LAM_API_TABLE[[#This Row],[Existing_Res_SLA_norec_sqft]],0)</f>
        <v>0</v>
      </c>
      <c r="AT374">
        <f>IF(LAM_API_TABLE[[#This Row],[Existing_Res_SLA_Data_Approval_Status]]="Approved",LAM_API_TABLE[[#This Row],[Existing_Res_SLA_rec_sqft]],0)</f>
        <v>0</v>
      </c>
    </row>
    <row r="375" spans="1:46" x14ac:dyDescent="0.25">
      <c r="A375" t="s">
        <v>2451</v>
      </c>
      <c r="B375" t="s">
        <v>3496</v>
      </c>
      <c r="C375" t="s">
        <v>933</v>
      </c>
      <c r="D375" t="s">
        <v>3497</v>
      </c>
      <c r="E375">
        <v>2018</v>
      </c>
      <c r="F375">
        <v>31127</v>
      </c>
      <c r="G375">
        <v>357884</v>
      </c>
      <c r="H375">
        <v>2316102</v>
      </c>
      <c r="I375">
        <v>67572294</v>
      </c>
      <c r="J375">
        <v>19184036</v>
      </c>
      <c r="K375">
        <v>113907514</v>
      </c>
      <c r="L375">
        <v>71409101</v>
      </c>
      <c r="M375" t="s">
        <v>1859</v>
      </c>
      <c r="AK375">
        <f>IF(LAM_API_TABLE[[#This Row],[Alternative_Data_Approval_Status]]="Approved",LAM_API_TABLE[[#This Row],[HCL_area_sqft_Alternative]],LAM_API_TABLE[[#This Row],[HCL_area_sqft]])</f>
        <v>31127</v>
      </c>
      <c r="AL375">
        <f>IF(LAM_API_TABLE[[#This Row],[Alternative_Data_Approval_Status]]="Approved",LAM_API_TABLE[[#This Row],[Ag_area_sqft_Alternative]],LAM_API_TABLE[[#This Row],[Ag_area_sqft]])</f>
        <v>357884</v>
      </c>
      <c r="AM375">
        <f>IF(LAM_API_TABLE[[#This Row],[Alternative_Data_Approval_Status]]="Approved",LAM_API_TABLE[[#This Row],[Pool_area_sqft_Alternative]],LAM_API_TABLE[[#This Row],[Pool_area_sqft]])</f>
        <v>2316102</v>
      </c>
      <c r="AN375">
        <f>IF(LAM_API_TABLE[[#This Row],[Alternative_Data_Approval_Status]]="Approved",LAM_API_TABLE[[#This Row],[Total_II_sqft_Alternative]],LAM_API_TABLE[[#This Row],[Total_II_sqft]])</f>
        <v>67572294</v>
      </c>
      <c r="AO375">
        <f>IF(LAM_API_TABLE[[#This Row],[Alternative_Data_Approval_Status]]="Approved",LAM_API_TABLE[[#This Row],[Total_INI_sqft_Alternative]],LAM_API_TABLE[[#This Row],[Total_INI_sqft]])</f>
        <v>19184036</v>
      </c>
      <c r="AP375">
        <f>IF(LAM_API_TABLE[[#This Row],[New_Res_Constr_Approval_Status]]="Approved",LAM_API_TABLE[[#This Row],[New_Res_Constr_sqft]],0)</f>
        <v>0</v>
      </c>
      <c r="AQ375">
        <f>IF(LAM_API_TABLE[[#This Row],[New_Res_Constr_Approval_Status]]="Approved",LAM_API_TABLE[[#This Row],[New_Res_SLA_norec_sqft]],0)</f>
        <v>0</v>
      </c>
      <c r="AR375">
        <f>IF(LAM_API_TABLE[[#This Row],[New_Res_Constr_Approval_Status]]="Approved",LAM_API_TABLE[[#This Row],[New_Res_SLA_rec_sqft]],0)</f>
        <v>0</v>
      </c>
      <c r="AS375">
        <f>IF(LAM_API_TABLE[[#This Row],[Existing_Res_SLA_Data_Approval_Status]]="Approved",LAM_API_TABLE[[#This Row],[Existing_Res_SLA_norec_sqft]],0)</f>
        <v>0</v>
      </c>
      <c r="AT375">
        <f>IF(LAM_API_TABLE[[#This Row],[Existing_Res_SLA_Data_Approval_Status]]="Approved",LAM_API_TABLE[[#This Row],[Existing_Res_SLA_rec_sqft]],0)</f>
        <v>0</v>
      </c>
    </row>
    <row r="376" spans="1:46" x14ac:dyDescent="0.25">
      <c r="A376" t="s">
        <v>2455</v>
      </c>
      <c r="B376" t="s">
        <v>2456</v>
      </c>
      <c r="C376" t="s">
        <v>3498</v>
      </c>
      <c r="D376" t="s">
        <v>3499</v>
      </c>
      <c r="E376">
        <v>2018</v>
      </c>
      <c r="F376">
        <v>5524</v>
      </c>
      <c r="G376">
        <v>724982</v>
      </c>
      <c r="H376">
        <v>1685169</v>
      </c>
      <c r="I376">
        <v>68913270</v>
      </c>
      <c r="J376">
        <v>28414091</v>
      </c>
      <c r="K376">
        <v>134464797</v>
      </c>
      <c r="L376">
        <v>74596088</v>
      </c>
      <c r="M376" t="s">
        <v>1859</v>
      </c>
      <c r="AK376">
        <f>IF(LAM_API_TABLE[[#This Row],[Alternative_Data_Approval_Status]]="Approved",LAM_API_TABLE[[#This Row],[HCL_area_sqft_Alternative]],LAM_API_TABLE[[#This Row],[HCL_area_sqft]])</f>
        <v>5524</v>
      </c>
      <c r="AL376">
        <f>IF(LAM_API_TABLE[[#This Row],[Alternative_Data_Approval_Status]]="Approved",LAM_API_TABLE[[#This Row],[Ag_area_sqft_Alternative]],LAM_API_TABLE[[#This Row],[Ag_area_sqft]])</f>
        <v>724982</v>
      </c>
      <c r="AM376">
        <f>IF(LAM_API_TABLE[[#This Row],[Alternative_Data_Approval_Status]]="Approved",LAM_API_TABLE[[#This Row],[Pool_area_sqft_Alternative]],LAM_API_TABLE[[#This Row],[Pool_area_sqft]])</f>
        <v>1685169</v>
      </c>
      <c r="AN376">
        <f>IF(LAM_API_TABLE[[#This Row],[Alternative_Data_Approval_Status]]="Approved",LAM_API_TABLE[[#This Row],[Total_II_sqft_Alternative]],LAM_API_TABLE[[#This Row],[Total_II_sqft]])</f>
        <v>68913270</v>
      </c>
      <c r="AO376">
        <f>IF(LAM_API_TABLE[[#This Row],[Alternative_Data_Approval_Status]]="Approved",LAM_API_TABLE[[#This Row],[Total_INI_sqft_Alternative]],LAM_API_TABLE[[#This Row],[Total_INI_sqft]])</f>
        <v>28414091</v>
      </c>
      <c r="AP376">
        <f>IF(LAM_API_TABLE[[#This Row],[New_Res_Constr_Approval_Status]]="Approved",LAM_API_TABLE[[#This Row],[New_Res_Constr_sqft]],0)</f>
        <v>0</v>
      </c>
      <c r="AQ376">
        <f>IF(LAM_API_TABLE[[#This Row],[New_Res_Constr_Approval_Status]]="Approved",LAM_API_TABLE[[#This Row],[New_Res_SLA_norec_sqft]],0)</f>
        <v>0</v>
      </c>
      <c r="AR376">
        <f>IF(LAM_API_TABLE[[#This Row],[New_Res_Constr_Approval_Status]]="Approved",LAM_API_TABLE[[#This Row],[New_Res_SLA_rec_sqft]],0)</f>
        <v>0</v>
      </c>
      <c r="AS376">
        <f>IF(LAM_API_TABLE[[#This Row],[Existing_Res_SLA_Data_Approval_Status]]="Approved",LAM_API_TABLE[[#This Row],[Existing_Res_SLA_norec_sqft]],0)</f>
        <v>0</v>
      </c>
      <c r="AT376">
        <f>IF(LAM_API_TABLE[[#This Row],[Existing_Res_SLA_Data_Approval_Status]]="Approved",LAM_API_TABLE[[#This Row],[Existing_Res_SLA_rec_sqft]],0)</f>
        <v>0</v>
      </c>
    </row>
    <row r="377" spans="1:46" x14ac:dyDescent="0.25">
      <c r="A377" t="s">
        <v>2459</v>
      </c>
      <c r="B377" t="s">
        <v>2460</v>
      </c>
      <c r="C377" t="s">
        <v>938</v>
      </c>
      <c r="D377" t="s">
        <v>3500</v>
      </c>
      <c r="E377">
        <v>2018</v>
      </c>
      <c r="F377">
        <v>763113</v>
      </c>
      <c r="G377">
        <v>15672262</v>
      </c>
      <c r="H377">
        <v>999950</v>
      </c>
      <c r="I377">
        <v>88581974</v>
      </c>
      <c r="J377">
        <v>23406599</v>
      </c>
      <c r="K377">
        <v>247865347</v>
      </c>
      <c r="L377">
        <v>93263294</v>
      </c>
      <c r="M377" t="s">
        <v>1859</v>
      </c>
      <c r="AK377">
        <f>IF(LAM_API_TABLE[[#This Row],[Alternative_Data_Approval_Status]]="Approved",LAM_API_TABLE[[#This Row],[HCL_area_sqft_Alternative]],LAM_API_TABLE[[#This Row],[HCL_area_sqft]])</f>
        <v>763113</v>
      </c>
      <c r="AL377">
        <f>IF(LAM_API_TABLE[[#This Row],[Alternative_Data_Approval_Status]]="Approved",LAM_API_TABLE[[#This Row],[Ag_area_sqft_Alternative]],LAM_API_TABLE[[#This Row],[Ag_area_sqft]])</f>
        <v>15672262</v>
      </c>
      <c r="AM377">
        <f>IF(LAM_API_TABLE[[#This Row],[Alternative_Data_Approval_Status]]="Approved",LAM_API_TABLE[[#This Row],[Pool_area_sqft_Alternative]],LAM_API_TABLE[[#This Row],[Pool_area_sqft]])</f>
        <v>999950</v>
      </c>
      <c r="AN377">
        <f>IF(LAM_API_TABLE[[#This Row],[Alternative_Data_Approval_Status]]="Approved",LAM_API_TABLE[[#This Row],[Total_II_sqft_Alternative]],LAM_API_TABLE[[#This Row],[Total_II_sqft]])</f>
        <v>88581974</v>
      </c>
      <c r="AO377">
        <f>IF(LAM_API_TABLE[[#This Row],[Alternative_Data_Approval_Status]]="Approved",LAM_API_TABLE[[#This Row],[Total_INI_sqft_Alternative]],LAM_API_TABLE[[#This Row],[Total_INI_sqft]])</f>
        <v>23406599</v>
      </c>
      <c r="AP377">
        <f>IF(LAM_API_TABLE[[#This Row],[New_Res_Constr_Approval_Status]]="Approved",LAM_API_TABLE[[#This Row],[New_Res_Constr_sqft]],0)</f>
        <v>0</v>
      </c>
      <c r="AQ377">
        <f>IF(LAM_API_TABLE[[#This Row],[New_Res_Constr_Approval_Status]]="Approved",LAM_API_TABLE[[#This Row],[New_Res_SLA_norec_sqft]],0)</f>
        <v>0</v>
      </c>
      <c r="AR377">
        <f>IF(LAM_API_TABLE[[#This Row],[New_Res_Constr_Approval_Status]]="Approved",LAM_API_TABLE[[#This Row],[New_Res_SLA_rec_sqft]],0)</f>
        <v>0</v>
      </c>
      <c r="AS377">
        <f>IF(LAM_API_TABLE[[#This Row],[Existing_Res_SLA_Data_Approval_Status]]="Approved",LAM_API_TABLE[[#This Row],[Existing_Res_SLA_norec_sqft]],0)</f>
        <v>0</v>
      </c>
      <c r="AT377">
        <f>IF(LAM_API_TABLE[[#This Row],[Existing_Res_SLA_Data_Approval_Status]]="Approved",LAM_API_TABLE[[#This Row],[Existing_Res_SLA_rec_sqft]],0)</f>
        <v>0</v>
      </c>
    </row>
    <row r="378" spans="1:46" x14ac:dyDescent="0.25">
      <c r="A378" t="s">
        <v>2463</v>
      </c>
      <c r="B378" t="s">
        <v>2464</v>
      </c>
      <c r="C378" t="s">
        <v>3501</v>
      </c>
      <c r="D378" t="s">
        <v>3502</v>
      </c>
      <c r="E378">
        <v>2018</v>
      </c>
      <c r="F378">
        <v>15267</v>
      </c>
      <c r="G378">
        <v>35581371</v>
      </c>
      <c r="H378">
        <v>315471</v>
      </c>
      <c r="I378">
        <v>65910963</v>
      </c>
      <c r="J378">
        <v>68886024</v>
      </c>
      <c r="K378">
        <v>220839369</v>
      </c>
      <c r="L378">
        <v>79688168</v>
      </c>
      <c r="M378" t="s">
        <v>1859</v>
      </c>
      <c r="AK378">
        <f>IF(LAM_API_TABLE[[#This Row],[Alternative_Data_Approval_Status]]="Approved",LAM_API_TABLE[[#This Row],[HCL_area_sqft_Alternative]],LAM_API_TABLE[[#This Row],[HCL_area_sqft]])</f>
        <v>15267</v>
      </c>
      <c r="AL378">
        <f>IF(LAM_API_TABLE[[#This Row],[Alternative_Data_Approval_Status]]="Approved",LAM_API_TABLE[[#This Row],[Ag_area_sqft_Alternative]],LAM_API_TABLE[[#This Row],[Ag_area_sqft]])</f>
        <v>35581371</v>
      </c>
      <c r="AM378">
        <f>IF(LAM_API_TABLE[[#This Row],[Alternative_Data_Approval_Status]]="Approved",LAM_API_TABLE[[#This Row],[Pool_area_sqft_Alternative]],LAM_API_TABLE[[#This Row],[Pool_area_sqft]])</f>
        <v>315471</v>
      </c>
      <c r="AN378">
        <f>IF(LAM_API_TABLE[[#This Row],[Alternative_Data_Approval_Status]]="Approved",LAM_API_TABLE[[#This Row],[Total_II_sqft_Alternative]],LAM_API_TABLE[[#This Row],[Total_II_sqft]])</f>
        <v>65910963</v>
      </c>
      <c r="AO378">
        <f>IF(LAM_API_TABLE[[#This Row],[Alternative_Data_Approval_Status]]="Approved",LAM_API_TABLE[[#This Row],[Total_INI_sqft_Alternative]],LAM_API_TABLE[[#This Row],[Total_INI_sqft]])</f>
        <v>68886024</v>
      </c>
      <c r="AP378">
        <f>IF(LAM_API_TABLE[[#This Row],[New_Res_Constr_Approval_Status]]="Approved",LAM_API_TABLE[[#This Row],[New_Res_Constr_sqft]],0)</f>
        <v>0</v>
      </c>
      <c r="AQ378">
        <f>IF(LAM_API_TABLE[[#This Row],[New_Res_Constr_Approval_Status]]="Approved",LAM_API_TABLE[[#This Row],[New_Res_SLA_norec_sqft]],0)</f>
        <v>0</v>
      </c>
      <c r="AR378">
        <f>IF(LAM_API_TABLE[[#This Row],[New_Res_Constr_Approval_Status]]="Approved",LAM_API_TABLE[[#This Row],[New_Res_SLA_rec_sqft]],0)</f>
        <v>0</v>
      </c>
      <c r="AS378">
        <f>IF(LAM_API_TABLE[[#This Row],[Existing_Res_SLA_Data_Approval_Status]]="Approved",LAM_API_TABLE[[#This Row],[Existing_Res_SLA_norec_sqft]],0)</f>
        <v>0</v>
      </c>
      <c r="AT378">
        <f>IF(LAM_API_TABLE[[#This Row],[Existing_Res_SLA_Data_Approval_Status]]="Approved",LAM_API_TABLE[[#This Row],[Existing_Res_SLA_rec_sqft]],0)</f>
        <v>0</v>
      </c>
    </row>
    <row r="379" spans="1:46" x14ac:dyDescent="0.25">
      <c r="A379" t="s">
        <v>2469</v>
      </c>
      <c r="B379" t="s">
        <v>2470</v>
      </c>
      <c r="C379" t="s">
        <v>945</v>
      </c>
      <c r="D379" t="s">
        <v>3503</v>
      </c>
      <c r="E379">
        <v>2018</v>
      </c>
      <c r="F379">
        <v>3019743</v>
      </c>
      <c r="G379">
        <v>194040010</v>
      </c>
      <c r="H379">
        <v>1035511</v>
      </c>
      <c r="I379">
        <v>123745772</v>
      </c>
      <c r="J379">
        <v>141885491</v>
      </c>
      <c r="K379">
        <v>967240874</v>
      </c>
      <c r="L379">
        <v>152122870</v>
      </c>
      <c r="M379" t="s">
        <v>1859</v>
      </c>
      <c r="AK379">
        <f>IF(LAM_API_TABLE[[#This Row],[Alternative_Data_Approval_Status]]="Approved",LAM_API_TABLE[[#This Row],[HCL_area_sqft_Alternative]],LAM_API_TABLE[[#This Row],[HCL_area_sqft]])</f>
        <v>3019743</v>
      </c>
      <c r="AL379">
        <f>IF(LAM_API_TABLE[[#This Row],[Alternative_Data_Approval_Status]]="Approved",LAM_API_TABLE[[#This Row],[Ag_area_sqft_Alternative]],LAM_API_TABLE[[#This Row],[Ag_area_sqft]])</f>
        <v>194040010</v>
      </c>
      <c r="AM379">
        <f>IF(LAM_API_TABLE[[#This Row],[Alternative_Data_Approval_Status]]="Approved",LAM_API_TABLE[[#This Row],[Pool_area_sqft_Alternative]],LAM_API_TABLE[[#This Row],[Pool_area_sqft]])</f>
        <v>1035511</v>
      </c>
      <c r="AN379">
        <f>IF(LAM_API_TABLE[[#This Row],[Alternative_Data_Approval_Status]]="Approved",LAM_API_TABLE[[#This Row],[Total_II_sqft_Alternative]],LAM_API_TABLE[[#This Row],[Total_II_sqft]])</f>
        <v>123745772</v>
      </c>
      <c r="AO379">
        <f>IF(LAM_API_TABLE[[#This Row],[Alternative_Data_Approval_Status]]="Approved",LAM_API_TABLE[[#This Row],[Total_INI_sqft_Alternative]],LAM_API_TABLE[[#This Row],[Total_INI_sqft]])</f>
        <v>141885491</v>
      </c>
      <c r="AP379">
        <f>IF(LAM_API_TABLE[[#This Row],[New_Res_Constr_Approval_Status]]="Approved",LAM_API_TABLE[[#This Row],[New_Res_Constr_sqft]],0)</f>
        <v>0</v>
      </c>
      <c r="AQ379">
        <f>IF(LAM_API_TABLE[[#This Row],[New_Res_Constr_Approval_Status]]="Approved",LAM_API_TABLE[[#This Row],[New_Res_SLA_norec_sqft]],0)</f>
        <v>0</v>
      </c>
      <c r="AR379">
        <f>IF(LAM_API_TABLE[[#This Row],[New_Res_Constr_Approval_Status]]="Approved",LAM_API_TABLE[[#This Row],[New_Res_SLA_rec_sqft]],0)</f>
        <v>0</v>
      </c>
      <c r="AS379">
        <f>IF(LAM_API_TABLE[[#This Row],[Existing_Res_SLA_Data_Approval_Status]]="Approved",LAM_API_TABLE[[#This Row],[Existing_Res_SLA_norec_sqft]],0)</f>
        <v>0</v>
      </c>
      <c r="AT379">
        <f>IF(LAM_API_TABLE[[#This Row],[Existing_Res_SLA_Data_Approval_Status]]="Approved",LAM_API_TABLE[[#This Row],[Existing_Res_SLA_rec_sqft]],0)</f>
        <v>0</v>
      </c>
    </row>
    <row r="380" spans="1:46" x14ac:dyDescent="0.25">
      <c r="A380" t="s">
        <v>2473</v>
      </c>
      <c r="B380" t="s">
        <v>2474</v>
      </c>
      <c r="C380" t="s">
        <v>3504</v>
      </c>
      <c r="D380" t="s">
        <v>3505</v>
      </c>
      <c r="E380">
        <v>2018</v>
      </c>
      <c r="H380">
        <v>215361</v>
      </c>
      <c r="I380">
        <v>10835334</v>
      </c>
      <c r="J380">
        <v>12265574</v>
      </c>
      <c r="K380">
        <v>48838428</v>
      </c>
      <c r="L380">
        <v>13288449</v>
      </c>
      <c r="M380" t="s">
        <v>1859</v>
      </c>
      <c r="AK380">
        <f>IF(LAM_API_TABLE[[#This Row],[Alternative_Data_Approval_Status]]="Approved",LAM_API_TABLE[[#This Row],[HCL_area_sqft_Alternative]],LAM_API_TABLE[[#This Row],[HCL_area_sqft]])</f>
        <v>0</v>
      </c>
      <c r="AL380">
        <f>IF(LAM_API_TABLE[[#This Row],[Alternative_Data_Approval_Status]]="Approved",LAM_API_TABLE[[#This Row],[Ag_area_sqft_Alternative]],LAM_API_TABLE[[#This Row],[Ag_area_sqft]])</f>
        <v>0</v>
      </c>
      <c r="AM380">
        <f>IF(LAM_API_TABLE[[#This Row],[Alternative_Data_Approval_Status]]="Approved",LAM_API_TABLE[[#This Row],[Pool_area_sqft_Alternative]],LAM_API_TABLE[[#This Row],[Pool_area_sqft]])</f>
        <v>215361</v>
      </c>
      <c r="AN380">
        <f>IF(LAM_API_TABLE[[#This Row],[Alternative_Data_Approval_Status]]="Approved",LAM_API_TABLE[[#This Row],[Total_II_sqft_Alternative]],LAM_API_TABLE[[#This Row],[Total_II_sqft]])</f>
        <v>10835334</v>
      </c>
      <c r="AO380">
        <f>IF(LAM_API_TABLE[[#This Row],[Alternative_Data_Approval_Status]]="Approved",LAM_API_TABLE[[#This Row],[Total_INI_sqft_Alternative]],LAM_API_TABLE[[#This Row],[Total_INI_sqft]])</f>
        <v>12265574</v>
      </c>
      <c r="AP380">
        <f>IF(LAM_API_TABLE[[#This Row],[New_Res_Constr_Approval_Status]]="Approved",LAM_API_TABLE[[#This Row],[New_Res_Constr_sqft]],0)</f>
        <v>0</v>
      </c>
      <c r="AQ380">
        <f>IF(LAM_API_TABLE[[#This Row],[New_Res_Constr_Approval_Status]]="Approved",LAM_API_TABLE[[#This Row],[New_Res_SLA_norec_sqft]],0)</f>
        <v>0</v>
      </c>
      <c r="AR380">
        <f>IF(LAM_API_TABLE[[#This Row],[New_Res_Constr_Approval_Status]]="Approved",LAM_API_TABLE[[#This Row],[New_Res_SLA_rec_sqft]],0)</f>
        <v>0</v>
      </c>
      <c r="AS380">
        <f>IF(LAM_API_TABLE[[#This Row],[Existing_Res_SLA_Data_Approval_Status]]="Approved",LAM_API_TABLE[[#This Row],[Existing_Res_SLA_norec_sqft]],0)</f>
        <v>0</v>
      </c>
      <c r="AT380">
        <f>IF(LAM_API_TABLE[[#This Row],[Existing_Res_SLA_Data_Approval_Status]]="Approved",LAM_API_TABLE[[#This Row],[Existing_Res_SLA_rec_sqft]],0)</f>
        <v>0</v>
      </c>
    </row>
    <row r="381" spans="1:46" x14ac:dyDescent="0.25">
      <c r="A381" t="s">
        <v>2477</v>
      </c>
      <c r="B381" t="s">
        <v>2478</v>
      </c>
      <c r="C381" t="s">
        <v>3506</v>
      </c>
      <c r="D381" t="s">
        <v>3507</v>
      </c>
      <c r="E381">
        <v>2020</v>
      </c>
      <c r="F381">
        <v>68687</v>
      </c>
      <c r="G381">
        <v>8124496</v>
      </c>
      <c r="H381">
        <v>300436</v>
      </c>
      <c r="I381">
        <v>40124578</v>
      </c>
      <c r="J381">
        <v>15952639</v>
      </c>
      <c r="K381">
        <v>100047498</v>
      </c>
      <c r="L381">
        <v>43315106</v>
      </c>
      <c r="M381" t="s">
        <v>1859</v>
      </c>
      <c r="AK381">
        <f>IF(LAM_API_TABLE[[#This Row],[Alternative_Data_Approval_Status]]="Approved",LAM_API_TABLE[[#This Row],[HCL_area_sqft_Alternative]],LAM_API_TABLE[[#This Row],[HCL_area_sqft]])</f>
        <v>68687</v>
      </c>
      <c r="AL381">
        <f>IF(LAM_API_TABLE[[#This Row],[Alternative_Data_Approval_Status]]="Approved",LAM_API_TABLE[[#This Row],[Ag_area_sqft_Alternative]],LAM_API_TABLE[[#This Row],[Ag_area_sqft]])</f>
        <v>8124496</v>
      </c>
      <c r="AM381">
        <f>IF(LAM_API_TABLE[[#This Row],[Alternative_Data_Approval_Status]]="Approved",LAM_API_TABLE[[#This Row],[Pool_area_sqft_Alternative]],LAM_API_TABLE[[#This Row],[Pool_area_sqft]])</f>
        <v>300436</v>
      </c>
      <c r="AN381">
        <f>IF(LAM_API_TABLE[[#This Row],[Alternative_Data_Approval_Status]]="Approved",LAM_API_TABLE[[#This Row],[Total_II_sqft_Alternative]],LAM_API_TABLE[[#This Row],[Total_II_sqft]])</f>
        <v>40124578</v>
      </c>
      <c r="AO381">
        <f>IF(LAM_API_TABLE[[#This Row],[Alternative_Data_Approval_Status]]="Approved",LAM_API_TABLE[[#This Row],[Total_INI_sqft_Alternative]],LAM_API_TABLE[[#This Row],[Total_INI_sqft]])</f>
        <v>15952639</v>
      </c>
      <c r="AP381">
        <f>IF(LAM_API_TABLE[[#This Row],[New_Res_Constr_Approval_Status]]="Approved",LAM_API_TABLE[[#This Row],[New_Res_Constr_sqft]],0)</f>
        <v>0</v>
      </c>
      <c r="AQ381">
        <f>IF(LAM_API_TABLE[[#This Row],[New_Res_Constr_Approval_Status]]="Approved",LAM_API_TABLE[[#This Row],[New_Res_SLA_norec_sqft]],0)</f>
        <v>0</v>
      </c>
      <c r="AR381">
        <f>IF(LAM_API_TABLE[[#This Row],[New_Res_Constr_Approval_Status]]="Approved",LAM_API_TABLE[[#This Row],[New_Res_SLA_rec_sqft]],0)</f>
        <v>0</v>
      </c>
      <c r="AS381">
        <f>IF(LAM_API_TABLE[[#This Row],[Existing_Res_SLA_Data_Approval_Status]]="Approved",LAM_API_TABLE[[#This Row],[Existing_Res_SLA_norec_sqft]],0)</f>
        <v>0</v>
      </c>
      <c r="AT381">
        <f>IF(LAM_API_TABLE[[#This Row],[Existing_Res_SLA_Data_Approval_Status]]="Approved",LAM_API_TABLE[[#This Row],[Existing_Res_SLA_rec_sqft]],0)</f>
        <v>0</v>
      </c>
    </row>
    <row r="382" spans="1:46" x14ac:dyDescent="0.25">
      <c r="A382" t="s">
        <v>2481</v>
      </c>
      <c r="B382" t="s">
        <v>2482</v>
      </c>
      <c r="C382" t="s">
        <v>3508</v>
      </c>
      <c r="D382" t="s">
        <v>3509</v>
      </c>
      <c r="E382">
        <v>2018</v>
      </c>
      <c r="H382">
        <v>717914</v>
      </c>
      <c r="I382">
        <v>23889168</v>
      </c>
      <c r="J382">
        <v>5421925</v>
      </c>
      <c r="K382">
        <v>32021950</v>
      </c>
      <c r="L382">
        <v>24973553</v>
      </c>
      <c r="M382" t="s">
        <v>1859</v>
      </c>
      <c r="AK382">
        <f>IF(LAM_API_TABLE[[#This Row],[Alternative_Data_Approval_Status]]="Approved",LAM_API_TABLE[[#This Row],[HCL_area_sqft_Alternative]],LAM_API_TABLE[[#This Row],[HCL_area_sqft]])</f>
        <v>0</v>
      </c>
      <c r="AL382">
        <f>IF(LAM_API_TABLE[[#This Row],[Alternative_Data_Approval_Status]]="Approved",LAM_API_TABLE[[#This Row],[Ag_area_sqft_Alternative]],LAM_API_TABLE[[#This Row],[Ag_area_sqft]])</f>
        <v>0</v>
      </c>
      <c r="AM382">
        <f>IF(LAM_API_TABLE[[#This Row],[Alternative_Data_Approval_Status]]="Approved",LAM_API_TABLE[[#This Row],[Pool_area_sqft_Alternative]],LAM_API_TABLE[[#This Row],[Pool_area_sqft]])</f>
        <v>717914</v>
      </c>
      <c r="AN382">
        <f>IF(LAM_API_TABLE[[#This Row],[Alternative_Data_Approval_Status]]="Approved",LAM_API_TABLE[[#This Row],[Total_II_sqft_Alternative]],LAM_API_TABLE[[#This Row],[Total_II_sqft]])</f>
        <v>23889168</v>
      </c>
      <c r="AO382">
        <f>IF(LAM_API_TABLE[[#This Row],[Alternative_Data_Approval_Status]]="Approved",LAM_API_TABLE[[#This Row],[Total_INI_sqft_Alternative]],LAM_API_TABLE[[#This Row],[Total_INI_sqft]])</f>
        <v>5421925</v>
      </c>
      <c r="AP382">
        <f>IF(LAM_API_TABLE[[#This Row],[New_Res_Constr_Approval_Status]]="Approved",LAM_API_TABLE[[#This Row],[New_Res_Constr_sqft]],0)</f>
        <v>0</v>
      </c>
      <c r="AQ382">
        <f>IF(LAM_API_TABLE[[#This Row],[New_Res_Constr_Approval_Status]]="Approved",LAM_API_TABLE[[#This Row],[New_Res_SLA_norec_sqft]],0)</f>
        <v>0</v>
      </c>
      <c r="AR382">
        <f>IF(LAM_API_TABLE[[#This Row],[New_Res_Constr_Approval_Status]]="Approved",LAM_API_TABLE[[#This Row],[New_Res_SLA_rec_sqft]],0)</f>
        <v>0</v>
      </c>
      <c r="AS382">
        <f>IF(LAM_API_TABLE[[#This Row],[Existing_Res_SLA_Data_Approval_Status]]="Approved",LAM_API_TABLE[[#This Row],[Existing_Res_SLA_norec_sqft]],0)</f>
        <v>0</v>
      </c>
      <c r="AT382">
        <f>IF(LAM_API_TABLE[[#This Row],[Existing_Res_SLA_Data_Approval_Status]]="Approved",LAM_API_TABLE[[#This Row],[Existing_Res_SLA_rec_sqft]],0)</f>
        <v>0</v>
      </c>
    </row>
    <row r="383" spans="1:46" x14ac:dyDescent="0.25">
      <c r="A383" t="s">
        <v>2485</v>
      </c>
      <c r="B383" t="s">
        <v>2486</v>
      </c>
      <c r="C383" t="s">
        <v>3510</v>
      </c>
      <c r="D383" t="s">
        <v>3511</v>
      </c>
      <c r="E383">
        <v>2018</v>
      </c>
      <c r="F383">
        <v>1072438</v>
      </c>
      <c r="G383">
        <v>1333840</v>
      </c>
      <c r="H383">
        <v>2095317</v>
      </c>
      <c r="I383">
        <v>66276605</v>
      </c>
      <c r="J383">
        <v>11600209</v>
      </c>
      <c r="K383">
        <v>114911413</v>
      </c>
      <c r="L383">
        <v>68596647</v>
      </c>
      <c r="M383" t="s">
        <v>1859</v>
      </c>
      <c r="AK383">
        <f>IF(LAM_API_TABLE[[#This Row],[Alternative_Data_Approval_Status]]="Approved",LAM_API_TABLE[[#This Row],[HCL_area_sqft_Alternative]],LAM_API_TABLE[[#This Row],[HCL_area_sqft]])</f>
        <v>1072438</v>
      </c>
      <c r="AL383">
        <f>IF(LAM_API_TABLE[[#This Row],[Alternative_Data_Approval_Status]]="Approved",LAM_API_TABLE[[#This Row],[Ag_area_sqft_Alternative]],LAM_API_TABLE[[#This Row],[Ag_area_sqft]])</f>
        <v>1333840</v>
      </c>
      <c r="AM383">
        <f>IF(LAM_API_TABLE[[#This Row],[Alternative_Data_Approval_Status]]="Approved",LAM_API_TABLE[[#This Row],[Pool_area_sqft_Alternative]],LAM_API_TABLE[[#This Row],[Pool_area_sqft]])</f>
        <v>2095317</v>
      </c>
      <c r="AN383">
        <f>IF(LAM_API_TABLE[[#This Row],[Alternative_Data_Approval_Status]]="Approved",LAM_API_TABLE[[#This Row],[Total_II_sqft_Alternative]],LAM_API_TABLE[[#This Row],[Total_II_sqft]])</f>
        <v>66276605</v>
      </c>
      <c r="AO383">
        <f>IF(LAM_API_TABLE[[#This Row],[Alternative_Data_Approval_Status]]="Approved",LAM_API_TABLE[[#This Row],[Total_INI_sqft_Alternative]],LAM_API_TABLE[[#This Row],[Total_INI_sqft]])</f>
        <v>11600209</v>
      </c>
      <c r="AP383">
        <f>IF(LAM_API_TABLE[[#This Row],[New_Res_Constr_Approval_Status]]="Approved",LAM_API_TABLE[[#This Row],[New_Res_Constr_sqft]],0)</f>
        <v>0</v>
      </c>
      <c r="AQ383">
        <f>IF(LAM_API_TABLE[[#This Row],[New_Res_Constr_Approval_Status]]="Approved",LAM_API_TABLE[[#This Row],[New_Res_SLA_norec_sqft]],0)</f>
        <v>0</v>
      </c>
      <c r="AR383">
        <f>IF(LAM_API_TABLE[[#This Row],[New_Res_Constr_Approval_Status]]="Approved",LAM_API_TABLE[[#This Row],[New_Res_SLA_rec_sqft]],0)</f>
        <v>0</v>
      </c>
      <c r="AS383">
        <f>IF(LAM_API_TABLE[[#This Row],[Existing_Res_SLA_Data_Approval_Status]]="Approved",LAM_API_TABLE[[#This Row],[Existing_Res_SLA_norec_sqft]],0)</f>
        <v>0</v>
      </c>
      <c r="AT383">
        <f>IF(LAM_API_TABLE[[#This Row],[Existing_Res_SLA_Data_Approval_Status]]="Approved",LAM_API_TABLE[[#This Row],[Existing_Res_SLA_rec_sqft]],0)</f>
        <v>0</v>
      </c>
    </row>
    <row r="384" spans="1:46" x14ac:dyDescent="0.25">
      <c r="A384" t="s">
        <v>2489</v>
      </c>
      <c r="B384" t="s">
        <v>2490</v>
      </c>
      <c r="C384" t="s">
        <v>3512</v>
      </c>
      <c r="D384" t="s">
        <v>3513</v>
      </c>
      <c r="E384">
        <v>2018</v>
      </c>
      <c r="F384">
        <v>1892237</v>
      </c>
      <c r="G384">
        <v>40763311</v>
      </c>
      <c r="H384">
        <v>611983</v>
      </c>
      <c r="I384">
        <v>34032702</v>
      </c>
      <c r="J384">
        <v>16571989</v>
      </c>
      <c r="K384">
        <v>149073891</v>
      </c>
      <c r="L384">
        <v>37347100</v>
      </c>
      <c r="M384" t="s">
        <v>1859</v>
      </c>
      <c r="AK384">
        <f>IF(LAM_API_TABLE[[#This Row],[Alternative_Data_Approval_Status]]="Approved",LAM_API_TABLE[[#This Row],[HCL_area_sqft_Alternative]],LAM_API_TABLE[[#This Row],[HCL_area_sqft]])</f>
        <v>1892237</v>
      </c>
      <c r="AL384">
        <f>IF(LAM_API_TABLE[[#This Row],[Alternative_Data_Approval_Status]]="Approved",LAM_API_TABLE[[#This Row],[Ag_area_sqft_Alternative]],LAM_API_TABLE[[#This Row],[Ag_area_sqft]])</f>
        <v>40763311</v>
      </c>
      <c r="AM384">
        <f>IF(LAM_API_TABLE[[#This Row],[Alternative_Data_Approval_Status]]="Approved",LAM_API_TABLE[[#This Row],[Pool_area_sqft_Alternative]],LAM_API_TABLE[[#This Row],[Pool_area_sqft]])</f>
        <v>611983</v>
      </c>
      <c r="AN384">
        <f>IF(LAM_API_TABLE[[#This Row],[Alternative_Data_Approval_Status]]="Approved",LAM_API_TABLE[[#This Row],[Total_II_sqft_Alternative]],LAM_API_TABLE[[#This Row],[Total_II_sqft]])</f>
        <v>34032702</v>
      </c>
      <c r="AO384">
        <f>IF(LAM_API_TABLE[[#This Row],[Alternative_Data_Approval_Status]]="Approved",LAM_API_TABLE[[#This Row],[Total_INI_sqft_Alternative]],LAM_API_TABLE[[#This Row],[Total_INI_sqft]])</f>
        <v>16571989</v>
      </c>
      <c r="AP384">
        <f>IF(LAM_API_TABLE[[#This Row],[New_Res_Constr_Approval_Status]]="Approved",LAM_API_TABLE[[#This Row],[New_Res_Constr_sqft]],0)</f>
        <v>0</v>
      </c>
      <c r="AQ384">
        <f>IF(LAM_API_TABLE[[#This Row],[New_Res_Constr_Approval_Status]]="Approved",LAM_API_TABLE[[#This Row],[New_Res_SLA_norec_sqft]],0)</f>
        <v>0</v>
      </c>
      <c r="AR384">
        <f>IF(LAM_API_TABLE[[#This Row],[New_Res_Constr_Approval_Status]]="Approved",LAM_API_TABLE[[#This Row],[New_Res_SLA_rec_sqft]],0)</f>
        <v>0</v>
      </c>
      <c r="AS384">
        <f>IF(LAM_API_TABLE[[#This Row],[Existing_Res_SLA_Data_Approval_Status]]="Approved",LAM_API_TABLE[[#This Row],[Existing_Res_SLA_norec_sqft]],0)</f>
        <v>0</v>
      </c>
      <c r="AT384">
        <f>IF(LAM_API_TABLE[[#This Row],[Existing_Res_SLA_Data_Approval_Status]]="Approved",LAM_API_TABLE[[#This Row],[Existing_Res_SLA_rec_sqft]],0)</f>
        <v>0</v>
      </c>
    </row>
    <row r="385" spans="1:46" x14ac:dyDescent="0.25">
      <c r="A385" t="s">
        <v>2493</v>
      </c>
      <c r="B385" t="s">
        <v>3514</v>
      </c>
      <c r="C385" t="s">
        <v>3515</v>
      </c>
      <c r="D385" t="s">
        <v>3516</v>
      </c>
      <c r="E385">
        <v>2018</v>
      </c>
      <c r="F385">
        <v>566934</v>
      </c>
      <c r="G385">
        <v>4622714</v>
      </c>
      <c r="H385">
        <v>2178856</v>
      </c>
      <c r="I385">
        <v>78015112</v>
      </c>
      <c r="J385">
        <v>73754488</v>
      </c>
      <c r="K385">
        <v>170205262</v>
      </c>
      <c r="L385">
        <v>92766010</v>
      </c>
      <c r="M385" t="s">
        <v>1859</v>
      </c>
      <c r="AK385">
        <f>IF(LAM_API_TABLE[[#This Row],[Alternative_Data_Approval_Status]]="Approved",LAM_API_TABLE[[#This Row],[HCL_area_sqft_Alternative]],LAM_API_TABLE[[#This Row],[HCL_area_sqft]])</f>
        <v>566934</v>
      </c>
      <c r="AL385">
        <f>IF(LAM_API_TABLE[[#This Row],[Alternative_Data_Approval_Status]]="Approved",LAM_API_TABLE[[#This Row],[Ag_area_sqft_Alternative]],LAM_API_TABLE[[#This Row],[Ag_area_sqft]])</f>
        <v>4622714</v>
      </c>
      <c r="AM385">
        <f>IF(LAM_API_TABLE[[#This Row],[Alternative_Data_Approval_Status]]="Approved",LAM_API_TABLE[[#This Row],[Pool_area_sqft_Alternative]],LAM_API_TABLE[[#This Row],[Pool_area_sqft]])</f>
        <v>2178856</v>
      </c>
      <c r="AN385">
        <f>IF(LAM_API_TABLE[[#This Row],[Alternative_Data_Approval_Status]]="Approved",LAM_API_TABLE[[#This Row],[Total_II_sqft_Alternative]],LAM_API_TABLE[[#This Row],[Total_II_sqft]])</f>
        <v>78015112</v>
      </c>
      <c r="AO385">
        <f>IF(LAM_API_TABLE[[#This Row],[Alternative_Data_Approval_Status]]="Approved",LAM_API_TABLE[[#This Row],[Total_INI_sqft_Alternative]],LAM_API_TABLE[[#This Row],[Total_INI_sqft]])</f>
        <v>73754488</v>
      </c>
      <c r="AP385">
        <f>IF(LAM_API_TABLE[[#This Row],[New_Res_Constr_Approval_Status]]="Approved",LAM_API_TABLE[[#This Row],[New_Res_Constr_sqft]],0)</f>
        <v>0</v>
      </c>
      <c r="AQ385">
        <f>IF(LAM_API_TABLE[[#This Row],[New_Res_Constr_Approval_Status]]="Approved",LAM_API_TABLE[[#This Row],[New_Res_SLA_norec_sqft]],0)</f>
        <v>0</v>
      </c>
      <c r="AR385">
        <f>IF(LAM_API_TABLE[[#This Row],[New_Res_Constr_Approval_Status]]="Approved",LAM_API_TABLE[[#This Row],[New_Res_SLA_rec_sqft]],0)</f>
        <v>0</v>
      </c>
      <c r="AS385">
        <f>IF(LAM_API_TABLE[[#This Row],[Existing_Res_SLA_Data_Approval_Status]]="Approved",LAM_API_TABLE[[#This Row],[Existing_Res_SLA_norec_sqft]],0)</f>
        <v>0</v>
      </c>
      <c r="AT385">
        <f>IF(LAM_API_TABLE[[#This Row],[Existing_Res_SLA_Data_Approval_Status]]="Approved",LAM_API_TABLE[[#This Row],[Existing_Res_SLA_rec_sqft]],0)</f>
        <v>0</v>
      </c>
    </row>
    <row r="386" spans="1:46" x14ac:dyDescent="0.25">
      <c r="A386" t="s">
        <v>2497</v>
      </c>
      <c r="B386" t="s">
        <v>3517</v>
      </c>
      <c r="I386">
        <v>58280.27</v>
      </c>
      <c r="J386">
        <v>9019.44</v>
      </c>
      <c r="K386">
        <v>1464909.79</v>
      </c>
      <c r="L386">
        <v>60084.158000000003</v>
      </c>
      <c r="M386" t="s">
        <v>1859</v>
      </c>
      <c r="AK386">
        <f>IF(LAM_API_TABLE[[#This Row],[Alternative_Data_Approval_Status]]="Approved",LAM_API_TABLE[[#This Row],[HCL_area_sqft_Alternative]],LAM_API_TABLE[[#This Row],[HCL_area_sqft]])</f>
        <v>0</v>
      </c>
      <c r="AL386">
        <f>IF(LAM_API_TABLE[[#This Row],[Alternative_Data_Approval_Status]]="Approved",LAM_API_TABLE[[#This Row],[Ag_area_sqft_Alternative]],LAM_API_TABLE[[#This Row],[Ag_area_sqft]])</f>
        <v>0</v>
      </c>
      <c r="AM386">
        <f>IF(LAM_API_TABLE[[#This Row],[Alternative_Data_Approval_Status]]="Approved",LAM_API_TABLE[[#This Row],[Pool_area_sqft_Alternative]],LAM_API_TABLE[[#This Row],[Pool_area_sqft]])</f>
        <v>0</v>
      </c>
      <c r="AN386">
        <f>IF(LAM_API_TABLE[[#This Row],[Alternative_Data_Approval_Status]]="Approved",LAM_API_TABLE[[#This Row],[Total_II_sqft_Alternative]],LAM_API_TABLE[[#This Row],[Total_II_sqft]])</f>
        <v>58280.27</v>
      </c>
      <c r="AO386">
        <f>IF(LAM_API_TABLE[[#This Row],[Alternative_Data_Approval_Status]]="Approved",LAM_API_TABLE[[#This Row],[Total_INI_sqft_Alternative]],LAM_API_TABLE[[#This Row],[Total_INI_sqft]])</f>
        <v>9019.44</v>
      </c>
      <c r="AP386">
        <f>IF(LAM_API_TABLE[[#This Row],[New_Res_Constr_Approval_Status]]="Approved",LAM_API_TABLE[[#This Row],[New_Res_Constr_sqft]],0)</f>
        <v>0</v>
      </c>
      <c r="AQ386">
        <f>IF(LAM_API_TABLE[[#This Row],[New_Res_Constr_Approval_Status]]="Approved",LAM_API_TABLE[[#This Row],[New_Res_SLA_norec_sqft]],0)</f>
        <v>0</v>
      </c>
      <c r="AR386">
        <f>IF(LAM_API_TABLE[[#This Row],[New_Res_Constr_Approval_Status]]="Approved",LAM_API_TABLE[[#This Row],[New_Res_SLA_rec_sqft]],0)</f>
        <v>0</v>
      </c>
      <c r="AS386">
        <f>IF(LAM_API_TABLE[[#This Row],[Existing_Res_SLA_Data_Approval_Status]]="Approved",LAM_API_TABLE[[#This Row],[Existing_Res_SLA_norec_sqft]],0)</f>
        <v>0</v>
      </c>
      <c r="AT386">
        <f>IF(LAM_API_TABLE[[#This Row],[Existing_Res_SLA_Data_Approval_Status]]="Approved",LAM_API_TABLE[[#This Row],[Existing_Res_SLA_rec_sqft]],0)</f>
        <v>0</v>
      </c>
    </row>
    <row r="387" spans="1:46" x14ac:dyDescent="0.25">
      <c r="A387" t="s">
        <v>2501</v>
      </c>
      <c r="B387" t="s">
        <v>2502</v>
      </c>
      <c r="C387" t="s">
        <v>949</v>
      </c>
      <c r="D387" t="s">
        <v>3518</v>
      </c>
      <c r="E387">
        <v>2018</v>
      </c>
      <c r="F387">
        <v>101869</v>
      </c>
      <c r="G387">
        <v>869738</v>
      </c>
      <c r="H387">
        <v>958841</v>
      </c>
      <c r="I387">
        <v>50443264</v>
      </c>
      <c r="J387">
        <v>118274249</v>
      </c>
      <c r="K387">
        <v>353200934</v>
      </c>
      <c r="L387">
        <v>74098114</v>
      </c>
      <c r="M387" t="s">
        <v>1859</v>
      </c>
      <c r="AK387">
        <f>IF(LAM_API_TABLE[[#This Row],[Alternative_Data_Approval_Status]]="Approved",LAM_API_TABLE[[#This Row],[HCL_area_sqft_Alternative]],LAM_API_TABLE[[#This Row],[HCL_area_sqft]])</f>
        <v>101869</v>
      </c>
      <c r="AL387">
        <f>IF(LAM_API_TABLE[[#This Row],[Alternative_Data_Approval_Status]]="Approved",LAM_API_TABLE[[#This Row],[Ag_area_sqft_Alternative]],LAM_API_TABLE[[#This Row],[Ag_area_sqft]])</f>
        <v>869738</v>
      </c>
      <c r="AM387">
        <f>IF(LAM_API_TABLE[[#This Row],[Alternative_Data_Approval_Status]]="Approved",LAM_API_TABLE[[#This Row],[Pool_area_sqft_Alternative]],LAM_API_TABLE[[#This Row],[Pool_area_sqft]])</f>
        <v>958841</v>
      </c>
      <c r="AN387">
        <f>IF(LAM_API_TABLE[[#This Row],[Alternative_Data_Approval_Status]]="Approved",LAM_API_TABLE[[#This Row],[Total_II_sqft_Alternative]],LAM_API_TABLE[[#This Row],[Total_II_sqft]])</f>
        <v>50443264</v>
      </c>
      <c r="AO387">
        <f>IF(LAM_API_TABLE[[#This Row],[Alternative_Data_Approval_Status]]="Approved",LAM_API_TABLE[[#This Row],[Total_INI_sqft_Alternative]],LAM_API_TABLE[[#This Row],[Total_INI_sqft]])</f>
        <v>118274249</v>
      </c>
      <c r="AP387">
        <f>IF(LAM_API_TABLE[[#This Row],[New_Res_Constr_Approval_Status]]="Approved",LAM_API_TABLE[[#This Row],[New_Res_Constr_sqft]],0)</f>
        <v>0</v>
      </c>
      <c r="AQ387">
        <f>IF(LAM_API_TABLE[[#This Row],[New_Res_Constr_Approval_Status]]="Approved",LAM_API_TABLE[[#This Row],[New_Res_SLA_norec_sqft]],0)</f>
        <v>0</v>
      </c>
      <c r="AR387">
        <f>IF(LAM_API_TABLE[[#This Row],[New_Res_Constr_Approval_Status]]="Approved",LAM_API_TABLE[[#This Row],[New_Res_SLA_rec_sqft]],0)</f>
        <v>0</v>
      </c>
      <c r="AS387">
        <f>IF(LAM_API_TABLE[[#This Row],[Existing_Res_SLA_Data_Approval_Status]]="Approved",LAM_API_TABLE[[#This Row],[Existing_Res_SLA_norec_sqft]],0)</f>
        <v>0</v>
      </c>
      <c r="AT387">
        <f>IF(LAM_API_TABLE[[#This Row],[Existing_Res_SLA_Data_Approval_Status]]="Approved",LAM_API_TABLE[[#This Row],[Existing_Res_SLA_rec_sqft]],0)</f>
        <v>0</v>
      </c>
    </row>
    <row r="388" spans="1:46" x14ac:dyDescent="0.25">
      <c r="A388" t="s">
        <v>2505</v>
      </c>
      <c r="B388" t="s">
        <v>2506</v>
      </c>
      <c r="C388" t="s">
        <v>955</v>
      </c>
      <c r="D388" t="s">
        <v>3519</v>
      </c>
      <c r="E388">
        <v>2018</v>
      </c>
      <c r="F388">
        <v>590670</v>
      </c>
      <c r="G388">
        <v>15438581</v>
      </c>
      <c r="H388">
        <v>1332607</v>
      </c>
      <c r="I388">
        <v>121120828</v>
      </c>
      <c r="J388">
        <v>104780500</v>
      </c>
      <c r="K388">
        <v>311575342</v>
      </c>
      <c r="L388">
        <v>142076928</v>
      </c>
      <c r="M388" t="s">
        <v>1859</v>
      </c>
      <c r="AK388">
        <f>IF(LAM_API_TABLE[[#This Row],[Alternative_Data_Approval_Status]]="Approved",LAM_API_TABLE[[#This Row],[HCL_area_sqft_Alternative]],LAM_API_TABLE[[#This Row],[HCL_area_sqft]])</f>
        <v>590670</v>
      </c>
      <c r="AL388">
        <f>IF(LAM_API_TABLE[[#This Row],[Alternative_Data_Approval_Status]]="Approved",LAM_API_TABLE[[#This Row],[Ag_area_sqft_Alternative]],LAM_API_TABLE[[#This Row],[Ag_area_sqft]])</f>
        <v>15438581</v>
      </c>
      <c r="AM388">
        <f>IF(LAM_API_TABLE[[#This Row],[Alternative_Data_Approval_Status]]="Approved",LAM_API_TABLE[[#This Row],[Pool_area_sqft_Alternative]],LAM_API_TABLE[[#This Row],[Pool_area_sqft]])</f>
        <v>1332607</v>
      </c>
      <c r="AN388">
        <f>IF(LAM_API_TABLE[[#This Row],[Alternative_Data_Approval_Status]]="Approved",LAM_API_TABLE[[#This Row],[Total_II_sqft_Alternative]],LAM_API_TABLE[[#This Row],[Total_II_sqft]])</f>
        <v>121120828</v>
      </c>
      <c r="AO388">
        <f>IF(LAM_API_TABLE[[#This Row],[Alternative_Data_Approval_Status]]="Approved",LAM_API_TABLE[[#This Row],[Total_INI_sqft_Alternative]],LAM_API_TABLE[[#This Row],[Total_INI_sqft]])</f>
        <v>104780500</v>
      </c>
      <c r="AP388">
        <f>IF(LAM_API_TABLE[[#This Row],[New_Res_Constr_Approval_Status]]="Approved",LAM_API_TABLE[[#This Row],[New_Res_Constr_sqft]],0)</f>
        <v>0</v>
      </c>
      <c r="AQ388">
        <f>IF(LAM_API_TABLE[[#This Row],[New_Res_Constr_Approval_Status]]="Approved",LAM_API_TABLE[[#This Row],[New_Res_SLA_norec_sqft]],0)</f>
        <v>0</v>
      </c>
      <c r="AR388">
        <f>IF(LAM_API_TABLE[[#This Row],[New_Res_Constr_Approval_Status]]="Approved",LAM_API_TABLE[[#This Row],[New_Res_SLA_rec_sqft]],0)</f>
        <v>0</v>
      </c>
      <c r="AS388">
        <f>IF(LAM_API_TABLE[[#This Row],[Existing_Res_SLA_Data_Approval_Status]]="Approved",LAM_API_TABLE[[#This Row],[Existing_Res_SLA_norec_sqft]],0)</f>
        <v>0</v>
      </c>
      <c r="AT388">
        <f>IF(LAM_API_TABLE[[#This Row],[Existing_Res_SLA_Data_Approval_Status]]="Approved",LAM_API_TABLE[[#This Row],[Existing_Res_SLA_rec_sqft]],0)</f>
        <v>0</v>
      </c>
    </row>
    <row r="389" spans="1:46" x14ac:dyDescent="0.25">
      <c r="A389" t="s">
        <v>2509</v>
      </c>
      <c r="B389" t="s">
        <v>2510</v>
      </c>
      <c r="C389" t="s">
        <v>959</v>
      </c>
      <c r="D389" t="s">
        <v>3520</v>
      </c>
      <c r="E389">
        <v>2018</v>
      </c>
      <c r="F389">
        <v>10189</v>
      </c>
      <c r="H389">
        <v>2636139</v>
      </c>
      <c r="I389">
        <v>72676510</v>
      </c>
      <c r="J389">
        <v>50859813</v>
      </c>
      <c r="K389">
        <v>236870693</v>
      </c>
      <c r="L389">
        <v>82848473</v>
      </c>
      <c r="M389" t="s">
        <v>1859</v>
      </c>
      <c r="AK389">
        <f>IF(LAM_API_TABLE[[#This Row],[Alternative_Data_Approval_Status]]="Approved",LAM_API_TABLE[[#This Row],[HCL_area_sqft_Alternative]],LAM_API_TABLE[[#This Row],[HCL_area_sqft]])</f>
        <v>10189</v>
      </c>
      <c r="AL389">
        <f>IF(LAM_API_TABLE[[#This Row],[Alternative_Data_Approval_Status]]="Approved",LAM_API_TABLE[[#This Row],[Ag_area_sqft_Alternative]],LAM_API_TABLE[[#This Row],[Ag_area_sqft]])</f>
        <v>0</v>
      </c>
      <c r="AM389">
        <f>IF(LAM_API_TABLE[[#This Row],[Alternative_Data_Approval_Status]]="Approved",LAM_API_TABLE[[#This Row],[Pool_area_sqft_Alternative]],LAM_API_TABLE[[#This Row],[Pool_area_sqft]])</f>
        <v>2636139</v>
      </c>
      <c r="AN389">
        <f>IF(LAM_API_TABLE[[#This Row],[Alternative_Data_Approval_Status]]="Approved",LAM_API_TABLE[[#This Row],[Total_II_sqft_Alternative]],LAM_API_TABLE[[#This Row],[Total_II_sqft]])</f>
        <v>72676510</v>
      </c>
      <c r="AO389">
        <f>IF(LAM_API_TABLE[[#This Row],[Alternative_Data_Approval_Status]]="Approved",LAM_API_TABLE[[#This Row],[Total_INI_sqft_Alternative]],LAM_API_TABLE[[#This Row],[Total_INI_sqft]])</f>
        <v>50859813</v>
      </c>
      <c r="AP389">
        <f>IF(LAM_API_TABLE[[#This Row],[New_Res_Constr_Approval_Status]]="Approved",LAM_API_TABLE[[#This Row],[New_Res_Constr_sqft]],0)</f>
        <v>0</v>
      </c>
      <c r="AQ389">
        <f>IF(LAM_API_TABLE[[#This Row],[New_Res_Constr_Approval_Status]]="Approved",LAM_API_TABLE[[#This Row],[New_Res_SLA_norec_sqft]],0)</f>
        <v>0</v>
      </c>
      <c r="AR389">
        <f>IF(LAM_API_TABLE[[#This Row],[New_Res_Constr_Approval_Status]]="Approved",LAM_API_TABLE[[#This Row],[New_Res_SLA_rec_sqft]],0)</f>
        <v>0</v>
      </c>
      <c r="AS389">
        <f>IF(LAM_API_TABLE[[#This Row],[Existing_Res_SLA_Data_Approval_Status]]="Approved",LAM_API_TABLE[[#This Row],[Existing_Res_SLA_norec_sqft]],0)</f>
        <v>0</v>
      </c>
      <c r="AT389">
        <f>IF(LAM_API_TABLE[[#This Row],[Existing_Res_SLA_Data_Approval_Status]]="Approved",LAM_API_TABLE[[#This Row],[Existing_Res_SLA_rec_sqft]],0)</f>
        <v>0</v>
      </c>
    </row>
    <row r="390" spans="1:46" x14ac:dyDescent="0.25">
      <c r="A390" t="s">
        <v>2513</v>
      </c>
      <c r="B390" t="s">
        <v>2514</v>
      </c>
      <c r="C390" t="s">
        <v>3521</v>
      </c>
      <c r="D390" t="s">
        <v>3522</v>
      </c>
      <c r="E390">
        <v>2018</v>
      </c>
      <c r="F390">
        <v>3521</v>
      </c>
      <c r="G390">
        <v>1550167</v>
      </c>
      <c r="H390">
        <v>131604</v>
      </c>
      <c r="I390">
        <v>10666543</v>
      </c>
      <c r="J390">
        <v>7154541</v>
      </c>
      <c r="K390">
        <v>21631072</v>
      </c>
      <c r="L390">
        <v>12097451</v>
      </c>
      <c r="M390" t="s">
        <v>1859</v>
      </c>
      <c r="AK390">
        <f>IF(LAM_API_TABLE[[#This Row],[Alternative_Data_Approval_Status]]="Approved",LAM_API_TABLE[[#This Row],[HCL_area_sqft_Alternative]],LAM_API_TABLE[[#This Row],[HCL_area_sqft]])</f>
        <v>3521</v>
      </c>
      <c r="AL390">
        <f>IF(LAM_API_TABLE[[#This Row],[Alternative_Data_Approval_Status]]="Approved",LAM_API_TABLE[[#This Row],[Ag_area_sqft_Alternative]],LAM_API_TABLE[[#This Row],[Ag_area_sqft]])</f>
        <v>1550167</v>
      </c>
      <c r="AM390">
        <f>IF(LAM_API_TABLE[[#This Row],[Alternative_Data_Approval_Status]]="Approved",LAM_API_TABLE[[#This Row],[Pool_area_sqft_Alternative]],LAM_API_TABLE[[#This Row],[Pool_area_sqft]])</f>
        <v>131604</v>
      </c>
      <c r="AN390">
        <f>IF(LAM_API_TABLE[[#This Row],[Alternative_Data_Approval_Status]]="Approved",LAM_API_TABLE[[#This Row],[Total_II_sqft_Alternative]],LAM_API_TABLE[[#This Row],[Total_II_sqft]])</f>
        <v>10666543</v>
      </c>
      <c r="AO390">
        <f>IF(LAM_API_TABLE[[#This Row],[Alternative_Data_Approval_Status]]="Approved",LAM_API_TABLE[[#This Row],[Total_INI_sqft_Alternative]],LAM_API_TABLE[[#This Row],[Total_INI_sqft]])</f>
        <v>7154541</v>
      </c>
      <c r="AP390">
        <f>IF(LAM_API_TABLE[[#This Row],[New_Res_Constr_Approval_Status]]="Approved",LAM_API_TABLE[[#This Row],[New_Res_Constr_sqft]],0)</f>
        <v>0</v>
      </c>
      <c r="AQ390">
        <f>IF(LAM_API_TABLE[[#This Row],[New_Res_Constr_Approval_Status]]="Approved",LAM_API_TABLE[[#This Row],[New_Res_SLA_norec_sqft]],0)</f>
        <v>0</v>
      </c>
      <c r="AR390">
        <f>IF(LAM_API_TABLE[[#This Row],[New_Res_Constr_Approval_Status]]="Approved",LAM_API_TABLE[[#This Row],[New_Res_SLA_rec_sqft]],0)</f>
        <v>0</v>
      </c>
      <c r="AS390">
        <f>IF(LAM_API_TABLE[[#This Row],[Existing_Res_SLA_Data_Approval_Status]]="Approved",LAM_API_TABLE[[#This Row],[Existing_Res_SLA_norec_sqft]],0)</f>
        <v>0</v>
      </c>
      <c r="AT390">
        <f>IF(LAM_API_TABLE[[#This Row],[Existing_Res_SLA_Data_Approval_Status]]="Approved",LAM_API_TABLE[[#This Row],[Existing_Res_SLA_rec_sqft]],0)</f>
        <v>0</v>
      </c>
    </row>
    <row r="391" spans="1:46" x14ac:dyDescent="0.25">
      <c r="A391" t="s">
        <v>2517</v>
      </c>
      <c r="B391" t="s">
        <v>3523</v>
      </c>
      <c r="C391" t="s">
        <v>967</v>
      </c>
      <c r="D391" t="s">
        <v>3524</v>
      </c>
      <c r="E391">
        <v>2018</v>
      </c>
      <c r="F391">
        <v>93364</v>
      </c>
      <c r="G391">
        <v>25391980</v>
      </c>
      <c r="H391">
        <v>39698</v>
      </c>
      <c r="I391">
        <v>25634298</v>
      </c>
      <c r="J391">
        <v>22138752</v>
      </c>
      <c r="K391">
        <v>176340098</v>
      </c>
      <c r="L391">
        <v>30062048</v>
      </c>
      <c r="M391" t="s">
        <v>1859</v>
      </c>
      <c r="AK391">
        <f>IF(LAM_API_TABLE[[#This Row],[Alternative_Data_Approval_Status]]="Approved",LAM_API_TABLE[[#This Row],[HCL_area_sqft_Alternative]],LAM_API_TABLE[[#This Row],[HCL_area_sqft]])</f>
        <v>93364</v>
      </c>
      <c r="AL391">
        <f>IF(LAM_API_TABLE[[#This Row],[Alternative_Data_Approval_Status]]="Approved",LAM_API_TABLE[[#This Row],[Ag_area_sqft_Alternative]],LAM_API_TABLE[[#This Row],[Ag_area_sqft]])</f>
        <v>25391980</v>
      </c>
      <c r="AM391">
        <f>IF(LAM_API_TABLE[[#This Row],[Alternative_Data_Approval_Status]]="Approved",LAM_API_TABLE[[#This Row],[Pool_area_sqft_Alternative]],LAM_API_TABLE[[#This Row],[Pool_area_sqft]])</f>
        <v>39698</v>
      </c>
      <c r="AN391">
        <f>IF(LAM_API_TABLE[[#This Row],[Alternative_Data_Approval_Status]]="Approved",LAM_API_TABLE[[#This Row],[Total_II_sqft_Alternative]],LAM_API_TABLE[[#This Row],[Total_II_sqft]])</f>
        <v>25634298</v>
      </c>
      <c r="AO391">
        <f>IF(LAM_API_TABLE[[#This Row],[Alternative_Data_Approval_Status]]="Approved",LAM_API_TABLE[[#This Row],[Total_INI_sqft_Alternative]],LAM_API_TABLE[[#This Row],[Total_INI_sqft]])</f>
        <v>22138752</v>
      </c>
      <c r="AP391">
        <f>IF(LAM_API_TABLE[[#This Row],[New_Res_Constr_Approval_Status]]="Approved",LAM_API_TABLE[[#This Row],[New_Res_Constr_sqft]],0)</f>
        <v>0</v>
      </c>
      <c r="AQ391">
        <f>IF(LAM_API_TABLE[[#This Row],[New_Res_Constr_Approval_Status]]="Approved",LAM_API_TABLE[[#This Row],[New_Res_SLA_norec_sqft]],0)</f>
        <v>0</v>
      </c>
      <c r="AR391">
        <f>IF(LAM_API_TABLE[[#This Row],[New_Res_Constr_Approval_Status]]="Approved",LAM_API_TABLE[[#This Row],[New_Res_SLA_rec_sqft]],0)</f>
        <v>0</v>
      </c>
      <c r="AS391">
        <f>IF(LAM_API_TABLE[[#This Row],[Existing_Res_SLA_Data_Approval_Status]]="Approved",LAM_API_TABLE[[#This Row],[Existing_Res_SLA_norec_sqft]],0)</f>
        <v>0</v>
      </c>
      <c r="AT391">
        <f>IF(LAM_API_TABLE[[#This Row],[Existing_Res_SLA_Data_Approval_Status]]="Approved",LAM_API_TABLE[[#This Row],[Existing_Res_SLA_rec_sqft]],0)</f>
        <v>0</v>
      </c>
    </row>
    <row r="392" spans="1:46" x14ac:dyDescent="0.25">
      <c r="A392" t="s">
        <v>2521</v>
      </c>
      <c r="B392" t="s">
        <v>2522</v>
      </c>
      <c r="C392" t="s">
        <v>971</v>
      </c>
      <c r="D392" t="s">
        <v>3525</v>
      </c>
      <c r="E392">
        <v>2018</v>
      </c>
      <c r="F392">
        <v>129314</v>
      </c>
      <c r="G392">
        <v>507124</v>
      </c>
      <c r="H392">
        <v>218876</v>
      </c>
      <c r="I392">
        <v>7227412</v>
      </c>
      <c r="J392">
        <v>18172895</v>
      </c>
      <c r="K392">
        <v>149329613</v>
      </c>
      <c r="L392">
        <v>10861991</v>
      </c>
      <c r="M392" t="s">
        <v>1859</v>
      </c>
      <c r="AK392">
        <f>IF(LAM_API_TABLE[[#This Row],[Alternative_Data_Approval_Status]]="Approved",LAM_API_TABLE[[#This Row],[HCL_area_sqft_Alternative]],LAM_API_TABLE[[#This Row],[HCL_area_sqft]])</f>
        <v>129314</v>
      </c>
      <c r="AL392">
        <f>IF(LAM_API_TABLE[[#This Row],[Alternative_Data_Approval_Status]]="Approved",LAM_API_TABLE[[#This Row],[Ag_area_sqft_Alternative]],LAM_API_TABLE[[#This Row],[Ag_area_sqft]])</f>
        <v>507124</v>
      </c>
      <c r="AM392">
        <f>IF(LAM_API_TABLE[[#This Row],[Alternative_Data_Approval_Status]]="Approved",LAM_API_TABLE[[#This Row],[Pool_area_sqft_Alternative]],LAM_API_TABLE[[#This Row],[Pool_area_sqft]])</f>
        <v>218876</v>
      </c>
      <c r="AN392">
        <f>IF(LAM_API_TABLE[[#This Row],[Alternative_Data_Approval_Status]]="Approved",LAM_API_TABLE[[#This Row],[Total_II_sqft_Alternative]],LAM_API_TABLE[[#This Row],[Total_II_sqft]])</f>
        <v>7227412</v>
      </c>
      <c r="AO392">
        <f>IF(LAM_API_TABLE[[#This Row],[Alternative_Data_Approval_Status]]="Approved",LAM_API_TABLE[[#This Row],[Total_INI_sqft_Alternative]],LAM_API_TABLE[[#This Row],[Total_INI_sqft]])</f>
        <v>18172895</v>
      </c>
      <c r="AP392">
        <f>IF(LAM_API_TABLE[[#This Row],[New_Res_Constr_Approval_Status]]="Approved",LAM_API_TABLE[[#This Row],[New_Res_Constr_sqft]],0)</f>
        <v>0</v>
      </c>
      <c r="AQ392">
        <f>IF(LAM_API_TABLE[[#This Row],[New_Res_Constr_Approval_Status]]="Approved",LAM_API_TABLE[[#This Row],[New_Res_SLA_norec_sqft]],0)</f>
        <v>0</v>
      </c>
      <c r="AR392">
        <f>IF(LAM_API_TABLE[[#This Row],[New_Res_Constr_Approval_Status]]="Approved",LAM_API_TABLE[[#This Row],[New_Res_SLA_rec_sqft]],0)</f>
        <v>0</v>
      </c>
      <c r="AS392">
        <f>IF(LAM_API_TABLE[[#This Row],[Existing_Res_SLA_Data_Approval_Status]]="Approved",LAM_API_TABLE[[#This Row],[Existing_Res_SLA_norec_sqft]],0)</f>
        <v>0</v>
      </c>
      <c r="AT392">
        <f>IF(LAM_API_TABLE[[#This Row],[Existing_Res_SLA_Data_Approval_Status]]="Approved",LAM_API_TABLE[[#This Row],[Existing_Res_SLA_rec_sqft]],0)</f>
        <v>0</v>
      </c>
    </row>
    <row r="393" spans="1:46" x14ac:dyDescent="0.25">
      <c r="A393" t="s">
        <v>2525</v>
      </c>
      <c r="B393" t="s">
        <v>2526</v>
      </c>
      <c r="C393" t="s">
        <v>975</v>
      </c>
      <c r="D393" t="s">
        <v>3526</v>
      </c>
      <c r="E393">
        <v>2018</v>
      </c>
      <c r="F393">
        <v>19722</v>
      </c>
      <c r="G393">
        <v>16692276</v>
      </c>
      <c r="H393">
        <v>345998</v>
      </c>
      <c r="I393">
        <v>38448054</v>
      </c>
      <c r="J393">
        <v>15101382</v>
      </c>
      <c r="K393">
        <v>96881695</v>
      </c>
      <c r="L393">
        <v>41468330</v>
      </c>
      <c r="M393" t="s">
        <v>1859</v>
      </c>
      <c r="AK393">
        <f>IF(LAM_API_TABLE[[#This Row],[Alternative_Data_Approval_Status]]="Approved",LAM_API_TABLE[[#This Row],[HCL_area_sqft_Alternative]],LAM_API_TABLE[[#This Row],[HCL_area_sqft]])</f>
        <v>19722</v>
      </c>
      <c r="AL393">
        <f>IF(LAM_API_TABLE[[#This Row],[Alternative_Data_Approval_Status]]="Approved",LAM_API_TABLE[[#This Row],[Ag_area_sqft_Alternative]],LAM_API_TABLE[[#This Row],[Ag_area_sqft]])</f>
        <v>16692276</v>
      </c>
      <c r="AM393">
        <f>IF(LAM_API_TABLE[[#This Row],[Alternative_Data_Approval_Status]]="Approved",LAM_API_TABLE[[#This Row],[Pool_area_sqft_Alternative]],LAM_API_TABLE[[#This Row],[Pool_area_sqft]])</f>
        <v>345998</v>
      </c>
      <c r="AN393">
        <f>IF(LAM_API_TABLE[[#This Row],[Alternative_Data_Approval_Status]]="Approved",LAM_API_TABLE[[#This Row],[Total_II_sqft_Alternative]],LAM_API_TABLE[[#This Row],[Total_II_sqft]])</f>
        <v>38448054</v>
      </c>
      <c r="AO393">
        <f>IF(LAM_API_TABLE[[#This Row],[Alternative_Data_Approval_Status]]="Approved",LAM_API_TABLE[[#This Row],[Total_INI_sqft_Alternative]],LAM_API_TABLE[[#This Row],[Total_INI_sqft]])</f>
        <v>15101382</v>
      </c>
      <c r="AP393">
        <f>IF(LAM_API_TABLE[[#This Row],[New_Res_Constr_Approval_Status]]="Approved",LAM_API_TABLE[[#This Row],[New_Res_Constr_sqft]],0)</f>
        <v>0</v>
      </c>
      <c r="AQ393">
        <f>IF(LAM_API_TABLE[[#This Row],[New_Res_Constr_Approval_Status]]="Approved",LAM_API_TABLE[[#This Row],[New_Res_SLA_norec_sqft]],0)</f>
        <v>0</v>
      </c>
      <c r="AR393">
        <f>IF(LAM_API_TABLE[[#This Row],[New_Res_Constr_Approval_Status]]="Approved",LAM_API_TABLE[[#This Row],[New_Res_SLA_rec_sqft]],0)</f>
        <v>0</v>
      </c>
      <c r="AS393">
        <f>IF(LAM_API_TABLE[[#This Row],[Existing_Res_SLA_Data_Approval_Status]]="Approved",LAM_API_TABLE[[#This Row],[Existing_Res_SLA_norec_sqft]],0)</f>
        <v>0</v>
      </c>
      <c r="AT393">
        <f>IF(LAM_API_TABLE[[#This Row],[Existing_Res_SLA_Data_Approval_Status]]="Approved",LAM_API_TABLE[[#This Row],[Existing_Res_SLA_rec_sqft]],0)</f>
        <v>0</v>
      </c>
    </row>
    <row r="394" spans="1:46" x14ac:dyDescent="0.25">
      <c r="A394" t="s">
        <v>2529</v>
      </c>
      <c r="B394" t="s">
        <v>2530</v>
      </c>
      <c r="C394" t="s">
        <v>3527</v>
      </c>
      <c r="D394" t="s">
        <v>3528</v>
      </c>
      <c r="E394">
        <v>2018</v>
      </c>
      <c r="F394">
        <v>52180</v>
      </c>
      <c r="G394">
        <v>1374520</v>
      </c>
      <c r="H394">
        <v>956953</v>
      </c>
      <c r="I394">
        <v>55668934</v>
      </c>
      <c r="J394">
        <v>31066337</v>
      </c>
      <c r="K394">
        <v>171597942</v>
      </c>
      <c r="L394">
        <v>61882201</v>
      </c>
      <c r="M394" t="s">
        <v>1859</v>
      </c>
      <c r="AK394">
        <f>IF(LAM_API_TABLE[[#This Row],[Alternative_Data_Approval_Status]]="Approved",LAM_API_TABLE[[#This Row],[HCL_area_sqft_Alternative]],LAM_API_TABLE[[#This Row],[HCL_area_sqft]])</f>
        <v>52180</v>
      </c>
      <c r="AL394">
        <f>IF(LAM_API_TABLE[[#This Row],[Alternative_Data_Approval_Status]]="Approved",LAM_API_TABLE[[#This Row],[Ag_area_sqft_Alternative]],LAM_API_TABLE[[#This Row],[Ag_area_sqft]])</f>
        <v>1374520</v>
      </c>
      <c r="AM394">
        <f>IF(LAM_API_TABLE[[#This Row],[Alternative_Data_Approval_Status]]="Approved",LAM_API_TABLE[[#This Row],[Pool_area_sqft_Alternative]],LAM_API_TABLE[[#This Row],[Pool_area_sqft]])</f>
        <v>956953</v>
      </c>
      <c r="AN394">
        <f>IF(LAM_API_TABLE[[#This Row],[Alternative_Data_Approval_Status]]="Approved",LAM_API_TABLE[[#This Row],[Total_II_sqft_Alternative]],LAM_API_TABLE[[#This Row],[Total_II_sqft]])</f>
        <v>55668934</v>
      </c>
      <c r="AO394">
        <f>IF(LAM_API_TABLE[[#This Row],[Alternative_Data_Approval_Status]]="Approved",LAM_API_TABLE[[#This Row],[Total_INI_sqft_Alternative]],LAM_API_TABLE[[#This Row],[Total_INI_sqft]])</f>
        <v>31066337</v>
      </c>
      <c r="AP394">
        <f>IF(LAM_API_TABLE[[#This Row],[New_Res_Constr_Approval_Status]]="Approved",LAM_API_TABLE[[#This Row],[New_Res_Constr_sqft]],0)</f>
        <v>0</v>
      </c>
      <c r="AQ394">
        <f>IF(LAM_API_TABLE[[#This Row],[New_Res_Constr_Approval_Status]]="Approved",LAM_API_TABLE[[#This Row],[New_Res_SLA_norec_sqft]],0)</f>
        <v>0</v>
      </c>
      <c r="AR394">
        <f>IF(LAM_API_TABLE[[#This Row],[New_Res_Constr_Approval_Status]]="Approved",LAM_API_TABLE[[#This Row],[New_Res_SLA_rec_sqft]],0)</f>
        <v>0</v>
      </c>
      <c r="AS394">
        <f>IF(LAM_API_TABLE[[#This Row],[Existing_Res_SLA_Data_Approval_Status]]="Approved",LAM_API_TABLE[[#This Row],[Existing_Res_SLA_norec_sqft]],0)</f>
        <v>0</v>
      </c>
      <c r="AT394">
        <f>IF(LAM_API_TABLE[[#This Row],[Existing_Res_SLA_Data_Approval_Status]]="Approved",LAM_API_TABLE[[#This Row],[Existing_Res_SLA_rec_sqft]],0)</f>
        <v>0</v>
      </c>
    </row>
    <row r="395" spans="1:46" x14ac:dyDescent="0.25">
      <c r="A395" t="s">
        <v>2533</v>
      </c>
      <c r="B395" t="s">
        <v>3529</v>
      </c>
      <c r="C395" t="s">
        <v>3530</v>
      </c>
      <c r="D395" t="s">
        <v>3531</v>
      </c>
      <c r="E395">
        <v>2018</v>
      </c>
      <c r="H395">
        <v>729</v>
      </c>
      <c r="I395">
        <v>1858817</v>
      </c>
      <c r="J395">
        <v>1571362</v>
      </c>
      <c r="K395">
        <v>9426251</v>
      </c>
      <c r="L395">
        <v>2173089</v>
      </c>
      <c r="M395" t="s">
        <v>1859</v>
      </c>
      <c r="AK395">
        <f>IF(LAM_API_TABLE[[#This Row],[Alternative_Data_Approval_Status]]="Approved",LAM_API_TABLE[[#This Row],[HCL_area_sqft_Alternative]],LAM_API_TABLE[[#This Row],[HCL_area_sqft]])</f>
        <v>0</v>
      </c>
      <c r="AL395">
        <f>IF(LAM_API_TABLE[[#This Row],[Alternative_Data_Approval_Status]]="Approved",LAM_API_TABLE[[#This Row],[Ag_area_sqft_Alternative]],LAM_API_TABLE[[#This Row],[Ag_area_sqft]])</f>
        <v>0</v>
      </c>
      <c r="AM395">
        <f>IF(LAM_API_TABLE[[#This Row],[Alternative_Data_Approval_Status]]="Approved",LAM_API_TABLE[[#This Row],[Pool_area_sqft_Alternative]],LAM_API_TABLE[[#This Row],[Pool_area_sqft]])</f>
        <v>729</v>
      </c>
      <c r="AN395">
        <f>IF(LAM_API_TABLE[[#This Row],[Alternative_Data_Approval_Status]]="Approved",LAM_API_TABLE[[#This Row],[Total_II_sqft_Alternative]],LAM_API_TABLE[[#This Row],[Total_II_sqft]])</f>
        <v>1858817</v>
      </c>
      <c r="AO395">
        <f>IF(LAM_API_TABLE[[#This Row],[Alternative_Data_Approval_Status]]="Approved",LAM_API_TABLE[[#This Row],[Total_INI_sqft_Alternative]],LAM_API_TABLE[[#This Row],[Total_INI_sqft]])</f>
        <v>1571362</v>
      </c>
      <c r="AP395">
        <f>IF(LAM_API_TABLE[[#This Row],[New_Res_Constr_Approval_Status]]="Approved",LAM_API_TABLE[[#This Row],[New_Res_Constr_sqft]],0)</f>
        <v>0</v>
      </c>
      <c r="AQ395">
        <f>IF(LAM_API_TABLE[[#This Row],[New_Res_Constr_Approval_Status]]="Approved",LAM_API_TABLE[[#This Row],[New_Res_SLA_norec_sqft]],0)</f>
        <v>0</v>
      </c>
      <c r="AR395">
        <f>IF(LAM_API_TABLE[[#This Row],[New_Res_Constr_Approval_Status]]="Approved",LAM_API_TABLE[[#This Row],[New_Res_SLA_rec_sqft]],0)</f>
        <v>0</v>
      </c>
      <c r="AS395">
        <f>IF(LAM_API_TABLE[[#This Row],[Existing_Res_SLA_Data_Approval_Status]]="Approved",LAM_API_TABLE[[#This Row],[Existing_Res_SLA_norec_sqft]],0)</f>
        <v>0</v>
      </c>
      <c r="AT395">
        <f>IF(LAM_API_TABLE[[#This Row],[Existing_Res_SLA_Data_Approval_Status]]="Approved",LAM_API_TABLE[[#This Row],[Existing_Res_SLA_rec_sqft]],0)</f>
        <v>0</v>
      </c>
    </row>
    <row r="396" spans="1:46" x14ac:dyDescent="0.25">
      <c r="A396" t="s">
        <v>2537</v>
      </c>
      <c r="B396" t="s">
        <v>3532</v>
      </c>
      <c r="C396" t="s">
        <v>3533</v>
      </c>
      <c r="D396" t="s">
        <v>3534</v>
      </c>
      <c r="E396">
        <v>2018</v>
      </c>
      <c r="F396">
        <v>2057631</v>
      </c>
      <c r="G396">
        <v>8772758</v>
      </c>
      <c r="H396">
        <v>3121592</v>
      </c>
      <c r="I396">
        <v>116865567</v>
      </c>
      <c r="J396">
        <v>144314567</v>
      </c>
      <c r="K396">
        <v>495373579</v>
      </c>
      <c r="L396">
        <v>145728480</v>
      </c>
      <c r="M396" t="s">
        <v>1859</v>
      </c>
      <c r="AK396">
        <f>IF(LAM_API_TABLE[[#This Row],[Alternative_Data_Approval_Status]]="Approved",LAM_API_TABLE[[#This Row],[HCL_area_sqft_Alternative]],LAM_API_TABLE[[#This Row],[HCL_area_sqft]])</f>
        <v>2057631</v>
      </c>
      <c r="AL396">
        <f>IF(LAM_API_TABLE[[#This Row],[Alternative_Data_Approval_Status]]="Approved",LAM_API_TABLE[[#This Row],[Ag_area_sqft_Alternative]],LAM_API_TABLE[[#This Row],[Ag_area_sqft]])</f>
        <v>8772758</v>
      </c>
      <c r="AM396">
        <f>IF(LAM_API_TABLE[[#This Row],[Alternative_Data_Approval_Status]]="Approved",LAM_API_TABLE[[#This Row],[Pool_area_sqft_Alternative]],LAM_API_TABLE[[#This Row],[Pool_area_sqft]])</f>
        <v>3121592</v>
      </c>
      <c r="AN396">
        <f>IF(LAM_API_TABLE[[#This Row],[Alternative_Data_Approval_Status]]="Approved",LAM_API_TABLE[[#This Row],[Total_II_sqft_Alternative]],LAM_API_TABLE[[#This Row],[Total_II_sqft]])</f>
        <v>116865567</v>
      </c>
      <c r="AO396">
        <f>IF(LAM_API_TABLE[[#This Row],[Alternative_Data_Approval_Status]]="Approved",LAM_API_TABLE[[#This Row],[Total_INI_sqft_Alternative]],LAM_API_TABLE[[#This Row],[Total_INI_sqft]])</f>
        <v>144314567</v>
      </c>
      <c r="AP396">
        <f>IF(LAM_API_TABLE[[#This Row],[New_Res_Constr_Approval_Status]]="Approved",LAM_API_TABLE[[#This Row],[New_Res_Constr_sqft]],0)</f>
        <v>0</v>
      </c>
      <c r="AQ396">
        <f>IF(LAM_API_TABLE[[#This Row],[New_Res_Constr_Approval_Status]]="Approved",LAM_API_TABLE[[#This Row],[New_Res_SLA_norec_sqft]],0)</f>
        <v>0</v>
      </c>
      <c r="AR396">
        <f>IF(LAM_API_TABLE[[#This Row],[New_Res_Constr_Approval_Status]]="Approved",LAM_API_TABLE[[#This Row],[New_Res_SLA_rec_sqft]],0)</f>
        <v>0</v>
      </c>
      <c r="AS396">
        <f>IF(LAM_API_TABLE[[#This Row],[Existing_Res_SLA_Data_Approval_Status]]="Approved",LAM_API_TABLE[[#This Row],[Existing_Res_SLA_norec_sqft]],0)</f>
        <v>0</v>
      </c>
      <c r="AT396">
        <f>IF(LAM_API_TABLE[[#This Row],[Existing_Res_SLA_Data_Approval_Status]]="Approved",LAM_API_TABLE[[#This Row],[Existing_Res_SLA_rec_sqft]],0)</f>
        <v>0</v>
      </c>
    </row>
    <row r="397" spans="1:46" x14ac:dyDescent="0.25">
      <c r="A397" t="s">
        <v>2545</v>
      </c>
      <c r="B397" t="s">
        <v>3535</v>
      </c>
      <c r="C397" t="s">
        <v>979</v>
      </c>
      <c r="D397" t="s">
        <v>3536</v>
      </c>
      <c r="E397">
        <v>2018</v>
      </c>
      <c r="H397">
        <v>915481</v>
      </c>
      <c r="I397">
        <v>25978406</v>
      </c>
      <c r="J397">
        <v>13882964</v>
      </c>
      <c r="K397">
        <v>94795003</v>
      </c>
      <c r="L397">
        <v>28754999</v>
      </c>
      <c r="M397" t="s">
        <v>1859</v>
      </c>
      <c r="AK397">
        <f>IF(LAM_API_TABLE[[#This Row],[Alternative_Data_Approval_Status]]="Approved",LAM_API_TABLE[[#This Row],[HCL_area_sqft_Alternative]],LAM_API_TABLE[[#This Row],[HCL_area_sqft]])</f>
        <v>0</v>
      </c>
      <c r="AL397">
        <f>IF(LAM_API_TABLE[[#This Row],[Alternative_Data_Approval_Status]]="Approved",LAM_API_TABLE[[#This Row],[Ag_area_sqft_Alternative]],LAM_API_TABLE[[#This Row],[Ag_area_sqft]])</f>
        <v>0</v>
      </c>
      <c r="AM397">
        <f>IF(LAM_API_TABLE[[#This Row],[Alternative_Data_Approval_Status]]="Approved",LAM_API_TABLE[[#This Row],[Pool_area_sqft_Alternative]],LAM_API_TABLE[[#This Row],[Pool_area_sqft]])</f>
        <v>915481</v>
      </c>
      <c r="AN397">
        <f>IF(LAM_API_TABLE[[#This Row],[Alternative_Data_Approval_Status]]="Approved",LAM_API_TABLE[[#This Row],[Total_II_sqft_Alternative]],LAM_API_TABLE[[#This Row],[Total_II_sqft]])</f>
        <v>25978406</v>
      </c>
      <c r="AO397">
        <f>IF(LAM_API_TABLE[[#This Row],[Alternative_Data_Approval_Status]]="Approved",LAM_API_TABLE[[#This Row],[Total_INI_sqft_Alternative]],LAM_API_TABLE[[#This Row],[Total_INI_sqft]])</f>
        <v>13882964</v>
      </c>
      <c r="AP397">
        <f>IF(LAM_API_TABLE[[#This Row],[New_Res_Constr_Approval_Status]]="Approved",LAM_API_TABLE[[#This Row],[New_Res_Constr_sqft]],0)</f>
        <v>0</v>
      </c>
      <c r="AQ397">
        <f>IF(LAM_API_TABLE[[#This Row],[New_Res_Constr_Approval_Status]]="Approved",LAM_API_TABLE[[#This Row],[New_Res_SLA_norec_sqft]],0)</f>
        <v>0</v>
      </c>
      <c r="AR397">
        <f>IF(LAM_API_TABLE[[#This Row],[New_Res_Constr_Approval_Status]]="Approved",LAM_API_TABLE[[#This Row],[New_Res_SLA_rec_sqft]],0)</f>
        <v>0</v>
      </c>
      <c r="AS397">
        <f>IF(LAM_API_TABLE[[#This Row],[Existing_Res_SLA_Data_Approval_Status]]="Approved",LAM_API_TABLE[[#This Row],[Existing_Res_SLA_norec_sqft]],0)</f>
        <v>0</v>
      </c>
      <c r="AT397">
        <f>IF(LAM_API_TABLE[[#This Row],[Existing_Res_SLA_Data_Approval_Status]]="Approved",LAM_API_TABLE[[#This Row],[Existing_Res_SLA_rec_sqft]],0)</f>
        <v>0</v>
      </c>
    </row>
    <row r="398" spans="1:46" x14ac:dyDescent="0.25">
      <c r="A398" t="s">
        <v>2549</v>
      </c>
      <c r="B398" t="s">
        <v>3537</v>
      </c>
      <c r="C398" t="s">
        <v>983</v>
      </c>
      <c r="D398" t="s">
        <v>3538</v>
      </c>
      <c r="E398">
        <v>2018</v>
      </c>
      <c r="H398">
        <v>548288</v>
      </c>
      <c r="I398">
        <v>24957769</v>
      </c>
      <c r="J398">
        <v>10795057</v>
      </c>
      <c r="K398">
        <v>56190241</v>
      </c>
      <c r="L398">
        <v>27116780</v>
      </c>
      <c r="M398" t="s">
        <v>1859</v>
      </c>
      <c r="AK398">
        <f>IF(LAM_API_TABLE[[#This Row],[Alternative_Data_Approval_Status]]="Approved",LAM_API_TABLE[[#This Row],[HCL_area_sqft_Alternative]],LAM_API_TABLE[[#This Row],[HCL_area_sqft]])</f>
        <v>0</v>
      </c>
      <c r="AL398">
        <f>IF(LAM_API_TABLE[[#This Row],[Alternative_Data_Approval_Status]]="Approved",LAM_API_TABLE[[#This Row],[Ag_area_sqft_Alternative]],LAM_API_TABLE[[#This Row],[Ag_area_sqft]])</f>
        <v>0</v>
      </c>
      <c r="AM398">
        <f>IF(LAM_API_TABLE[[#This Row],[Alternative_Data_Approval_Status]]="Approved",LAM_API_TABLE[[#This Row],[Pool_area_sqft_Alternative]],LAM_API_TABLE[[#This Row],[Pool_area_sqft]])</f>
        <v>548288</v>
      </c>
      <c r="AN398">
        <f>IF(LAM_API_TABLE[[#This Row],[Alternative_Data_Approval_Status]]="Approved",LAM_API_TABLE[[#This Row],[Total_II_sqft_Alternative]],LAM_API_TABLE[[#This Row],[Total_II_sqft]])</f>
        <v>24957769</v>
      </c>
      <c r="AO398">
        <f>IF(LAM_API_TABLE[[#This Row],[Alternative_Data_Approval_Status]]="Approved",LAM_API_TABLE[[#This Row],[Total_INI_sqft_Alternative]],LAM_API_TABLE[[#This Row],[Total_INI_sqft]])</f>
        <v>10795057</v>
      </c>
      <c r="AP398">
        <f>IF(LAM_API_TABLE[[#This Row],[New_Res_Constr_Approval_Status]]="Approved",LAM_API_TABLE[[#This Row],[New_Res_Constr_sqft]],0)</f>
        <v>0</v>
      </c>
      <c r="AQ398">
        <f>IF(LAM_API_TABLE[[#This Row],[New_Res_Constr_Approval_Status]]="Approved",LAM_API_TABLE[[#This Row],[New_Res_SLA_norec_sqft]],0)</f>
        <v>0</v>
      </c>
      <c r="AR398">
        <f>IF(LAM_API_TABLE[[#This Row],[New_Res_Constr_Approval_Status]]="Approved",LAM_API_TABLE[[#This Row],[New_Res_SLA_rec_sqft]],0)</f>
        <v>0</v>
      </c>
      <c r="AS398">
        <f>IF(LAM_API_TABLE[[#This Row],[Existing_Res_SLA_Data_Approval_Status]]="Approved",LAM_API_TABLE[[#This Row],[Existing_Res_SLA_norec_sqft]],0)</f>
        <v>0</v>
      </c>
      <c r="AT398">
        <f>IF(LAM_API_TABLE[[#This Row],[Existing_Res_SLA_Data_Approval_Status]]="Approved",LAM_API_TABLE[[#This Row],[Existing_Res_SLA_rec_sqft]],0)</f>
        <v>0</v>
      </c>
    </row>
    <row r="399" spans="1:46" x14ac:dyDescent="0.25">
      <c r="A399" t="s">
        <v>2553</v>
      </c>
      <c r="B399" t="s">
        <v>2554</v>
      </c>
      <c r="C399" t="s">
        <v>3539</v>
      </c>
      <c r="D399" t="s">
        <v>3540</v>
      </c>
      <c r="E399">
        <v>2018</v>
      </c>
      <c r="F399">
        <v>21376</v>
      </c>
      <c r="G399">
        <v>1850760</v>
      </c>
      <c r="H399">
        <v>11685</v>
      </c>
      <c r="I399">
        <v>27760422</v>
      </c>
      <c r="J399">
        <v>13419315</v>
      </c>
      <c r="K399">
        <v>107809965</v>
      </c>
      <c r="L399">
        <v>30444285</v>
      </c>
      <c r="M399" t="s">
        <v>1859</v>
      </c>
      <c r="AK399">
        <f>IF(LAM_API_TABLE[[#This Row],[Alternative_Data_Approval_Status]]="Approved",LAM_API_TABLE[[#This Row],[HCL_area_sqft_Alternative]],LAM_API_TABLE[[#This Row],[HCL_area_sqft]])</f>
        <v>21376</v>
      </c>
      <c r="AL399">
        <f>IF(LAM_API_TABLE[[#This Row],[Alternative_Data_Approval_Status]]="Approved",LAM_API_TABLE[[#This Row],[Ag_area_sqft_Alternative]],LAM_API_TABLE[[#This Row],[Ag_area_sqft]])</f>
        <v>1850760</v>
      </c>
      <c r="AM399">
        <f>IF(LAM_API_TABLE[[#This Row],[Alternative_Data_Approval_Status]]="Approved",LAM_API_TABLE[[#This Row],[Pool_area_sqft_Alternative]],LAM_API_TABLE[[#This Row],[Pool_area_sqft]])</f>
        <v>11685</v>
      </c>
      <c r="AN399">
        <f>IF(LAM_API_TABLE[[#This Row],[Alternative_Data_Approval_Status]]="Approved",LAM_API_TABLE[[#This Row],[Total_II_sqft_Alternative]],LAM_API_TABLE[[#This Row],[Total_II_sqft]])</f>
        <v>27760422</v>
      </c>
      <c r="AO399">
        <f>IF(LAM_API_TABLE[[#This Row],[Alternative_Data_Approval_Status]]="Approved",LAM_API_TABLE[[#This Row],[Total_INI_sqft_Alternative]],LAM_API_TABLE[[#This Row],[Total_INI_sqft]])</f>
        <v>13419315</v>
      </c>
      <c r="AP399">
        <f>IF(LAM_API_TABLE[[#This Row],[New_Res_Constr_Approval_Status]]="Approved",LAM_API_TABLE[[#This Row],[New_Res_Constr_sqft]],0)</f>
        <v>0</v>
      </c>
      <c r="AQ399">
        <f>IF(LAM_API_TABLE[[#This Row],[New_Res_Constr_Approval_Status]]="Approved",LAM_API_TABLE[[#This Row],[New_Res_SLA_norec_sqft]],0)</f>
        <v>0</v>
      </c>
      <c r="AR399">
        <f>IF(LAM_API_TABLE[[#This Row],[New_Res_Constr_Approval_Status]]="Approved",LAM_API_TABLE[[#This Row],[New_Res_SLA_rec_sqft]],0)</f>
        <v>0</v>
      </c>
      <c r="AS399">
        <f>IF(LAM_API_TABLE[[#This Row],[Existing_Res_SLA_Data_Approval_Status]]="Approved",LAM_API_TABLE[[#This Row],[Existing_Res_SLA_norec_sqft]],0)</f>
        <v>0</v>
      </c>
      <c r="AT399">
        <f>IF(LAM_API_TABLE[[#This Row],[Existing_Res_SLA_Data_Approval_Status]]="Approved",LAM_API_TABLE[[#This Row],[Existing_Res_SLA_rec_sqft]],0)</f>
        <v>0</v>
      </c>
    </row>
    <row r="400" spans="1:46" x14ac:dyDescent="0.25">
      <c r="A400" t="s">
        <v>2557</v>
      </c>
      <c r="B400" t="s">
        <v>2558</v>
      </c>
      <c r="C400" t="s">
        <v>3541</v>
      </c>
      <c r="D400" t="s">
        <v>3542</v>
      </c>
      <c r="E400">
        <v>2018</v>
      </c>
      <c r="G400">
        <v>10705850</v>
      </c>
      <c r="H400">
        <v>510202</v>
      </c>
      <c r="I400">
        <v>39136534</v>
      </c>
      <c r="J400">
        <v>20371254</v>
      </c>
      <c r="K400">
        <v>77897876</v>
      </c>
      <c r="L400">
        <v>43210785</v>
      </c>
      <c r="M400" t="s">
        <v>1859</v>
      </c>
      <c r="AK400">
        <f>IF(LAM_API_TABLE[[#This Row],[Alternative_Data_Approval_Status]]="Approved",LAM_API_TABLE[[#This Row],[HCL_area_sqft_Alternative]],LAM_API_TABLE[[#This Row],[HCL_area_sqft]])</f>
        <v>0</v>
      </c>
      <c r="AL400">
        <f>IF(LAM_API_TABLE[[#This Row],[Alternative_Data_Approval_Status]]="Approved",LAM_API_TABLE[[#This Row],[Ag_area_sqft_Alternative]],LAM_API_TABLE[[#This Row],[Ag_area_sqft]])</f>
        <v>10705850</v>
      </c>
      <c r="AM400">
        <f>IF(LAM_API_TABLE[[#This Row],[Alternative_Data_Approval_Status]]="Approved",LAM_API_TABLE[[#This Row],[Pool_area_sqft_Alternative]],LAM_API_TABLE[[#This Row],[Pool_area_sqft]])</f>
        <v>510202</v>
      </c>
      <c r="AN400">
        <f>IF(LAM_API_TABLE[[#This Row],[Alternative_Data_Approval_Status]]="Approved",LAM_API_TABLE[[#This Row],[Total_II_sqft_Alternative]],LAM_API_TABLE[[#This Row],[Total_II_sqft]])</f>
        <v>39136534</v>
      </c>
      <c r="AO400">
        <f>IF(LAM_API_TABLE[[#This Row],[Alternative_Data_Approval_Status]]="Approved",LAM_API_TABLE[[#This Row],[Total_INI_sqft_Alternative]],LAM_API_TABLE[[#This Row],[Total_INI_sqft]])</f>
        <v>20371254</v>
      </c>
      <c r="AP400">
        <f>IF(LAM_API_TABLE[[#This Row],[New_Res_Constr_Approval_Status]]="Approved",LAM_API_TABLE[[#This Row],[New_Res_Constr_sqft]],0)</f>
        <v>0</v>
      </c>
      <c r="AQ400">
        <f>IF(LAM_API_TABLE[[#This Row],[New_Res_Constr_Approval_Status]]="Approved",LAM_API_TABLE[[#This Row],[New_Res_SLA_norec_sqft]],0)</f>
        <v>0</v>
      </c>
      <c r="AR400">
        <f>IF(LAM_API_TABLE[[#This Row],[New_Res_Constr_Approval_Status]]="Approved",LAM_API_TABLE[[#This Row],[New_Res_SLA_rec_sqft]],0)</f>
        <v>0</v>
      </c>
      <c r="AS400">
        <f>IF(LAM_API_TABLE[[#This Row],[Existing_Res_SLA_Data_Approval_Status]]="Approved",LAM_API_TABLE[[#This Row],[Existing_Res_SLA_norec_sqft]],0)</f>
        <v>0</v>
      </c>
      <c r="AT400">
        <f>IF(LAM_API_TABLE[[#This Row],[Existing_Res_SLA_Data_Approval_Status]]="Approved",LAM_API_TABLE[[#This Row],[Existing_Res_SLA_rec_sqft]],0)</f>
        <v>0</v>
      </c>
    </row>
    <row r="401" spans="1:46" x14ac:dyDescent="0.25">
      <c r="A401" t="s">
        <v>2561</v>
      </c>
      <c r="B401" t="s">
        <v>2562</v>
      </c>
      <c r="C401" t="s">
        <v>3543</v>
      </c>
      <c r="D401" t="s">
        <v>3544</v>
      </c>
      <c r="E401">
        <v>2018</v>
      </c>
      <c r="F401">
        <v>34830</v>
      </c>
      <c r="G401">
        <v>394405</v>
      </c>
      <c r="H401">
        <v>3106041</v>
      </c>
      <c r="I401">
        <v>103214735</v>
      </c>
      <c r="J401">
        <v>28182001</v>
      </c>
      <c r="K401">
        <v>147166310</v>
      </c>
      <c r="L401">
        <v>108851135</v>
      </c>
      <c r="M401" t="s">
        <v>1859</v>
      </c>
      <c r="AK401">
        <f>IF(LAM_API_TABLE[[#This Row],[Alternative_Data_Approval_Status]]="Approved",LAM_API_TABLE[[#This Row],[HCL_area_sqft_Alternative]],LAM_API_TABLE[[#This Row],[HCL_area_sqft]])</f>
        <v>34830</v>
      </c>
      <c r="AL401">
        <f>IF(LAM_API_TABLE[[#This Row],[Alternative_Data_Approval_Status]]="Approved",LAM_API_TABLE[[#This Row],[Ag_area_sqft_Alternative]],LAM_API_TABLE[[#This Row],[Ag_area_sqft]])</f>
        <v>394405</v>
      </c>
      <c r="AM401">
        <f>IF(LAM_API_TABLE[[#This Row],[Alternative_Data_Approval_Status]]="Approved",LAM_API_TABLE[[#This Row],[Pool_area_sqft_Alternative]],LAM_API_TABLE[[#This Row],[Pool_area_sqft]])</f>
        <v>3106041</v>
      </c>
      <c r="AN401">
        <f>IF(LAM_API_TABLE[[#This Row],[Alternative_Data_Approval_Status]]="Approved",LAM_API_TABLE[[#This Row],[Total_II_sqft_Alternative]],LAM_API_TABLE[[#This Row],[Total_II_sqft]])</f>
        <v>103214735</v>
      </c>
      <c r="AO401">
        <f>IF(LAM_API_TABLE[[#This Row],[Alternative_Data_Approval_Status]]="Approved",LAM_API_TABLE[[#This Row],[Total_INI_sqft_Alternative]],LAM_API_TABLE[[#This Row],[Total_INI_sqft]])</f>
        <v>28182001</v>
      </c>
      <c r="AP401">
        <f>IF(LAM_API_TABLE[[#This Row],[New_Res_Constr_Approval_Status]]="Approved",LAM_API_TABLE[[#This Row],[New_Res_Constr_sqft]],0)</f>
        <v>0</v>
      </c>
      <c r="AQ401">
        <f>IF(LAM_API_TABLE[[#This Row],[New_Res_Constr_Approval_Status]]="Approved",LAM_API_TABLE[[#This Row],[New_Res_SLA_norec_sqft]],0)</f>
        <v>0</v>
      </c>
      <c r="AR401">
        <f>IF(LAM_API_TABLE[[#This Row],[New_Res_Constr_Approval_Status]]="Approved",LAM_API_TABLE[[#This Row],[New_Res_SLA_rec_sqft]],0)</f>
        <v>0</v>
      </c>
      <c r="AS401">
        <f>IF(LAM_API_TABLE[[#This Row],[Existing_Res_SLA_Data_Approval_Status]]="Approved",LAM_API_TABLE[[#This Row],[Existing_Res_SLA_norec_sqft]],0)</f>
        <v>0</v>
      </c>
      <c r="AT401">
        <f>IF(LAM_API_TABLE[[#This Row],[Existing_Res_SLA_Data_Approval_Status]]="Approved",LAM_API_TABLE[[#This Row],[Existing_Res_SLA_rec_sqft]],0)</f>
        <v>0</v>
      </c>
    </row>
    <row r="402" spans="1:46" x14ac:dyDescent="0.25">
      <c r="A402" t="s">
        <v>2565</v>
      </c>
      <c r="B402" t="s">
        <v>3545</v>
      </c>
      <c r="C402" t="s">
        <v>999</v>
      </c>
      <c r="D402" t="s">
        <v>3546</v>
      </c>
      <c r="E402">
        <v>2018</v>
      </c>
      <c r="H402">
        <v>13244</v>
      </c>
      <c r="I402">
        <v>8105433</v>
      </c>
      <c r="J402">
        <v>8542123</v>
      </c>
      <c r="K402">
        <v>32248123</v>
      </c>
      <c r="L402">
        <v>9813858</v>
      </c>
      <c r="M402" t="s">
        <v>1859</v>
      </c>
      <c r="AK402">
        <f>IF(LAM_API_TABLE[[#This Row],[Alternative_Data_Approval_Status]]="Approved",LAM_API_TABLE[[#This Row],[HCL_area_sqft_Alternative]],LAM_API_TABLE[[#This Row],[HCL_area_sqft]])</f>
        <v>0</v>
      </c>
      <c r="AL402">
        <f>IF(LAM_API_TABLE[[#This Row],[Alternative_Data_Approval_Status]]="Approved",LAM_API_TABLE[[#This Row],[Ag_area_sqft_Alternative]],LAM_API_TABLE[[#This Row],[Ag_area_sqft]])</f>
        <v>0</v>
      </c>
      <c r="AM402">
        <f>IF(LAM_API_TABLE[[#This Row],[Alternative_Data_Approval_Status]]="Approved",LAM_API_TABLE[[#This Row],[Pool_area_sqft_Alternative]],LAM_API_TABLE[[#This Row],[Pool_area_sqft]])</f>
        <v>13244</v>
      </c>
      <c r="AN402">
        <f>IF(LAM_API_TABLE[[#This Row],[Alternative_Data_Approval_Status]]="Approved",LAM_API_TABLE[[#This Row],[Total_II_sqft_Alternative]],LAM_API_TABLE[[#This Row],[Total_II_sqft]])</f>
        <v>8105433</v>
      </c>
      <c r="AO402">
        <f>IF(LAM_API_TABLE[[#This Row],[Alternative_Data_Approval_Status]]="Approved",LAM_API_TABLE[[#This Row],[Total_INI_sqft_Alternative]],LAM_API_TABLE[[#This Row],[Total_INI_sqft]])</f>
        <v>8542123</v>
      </c>
      <c r="AP402">
        <f>IF(LAM_API_TABLE[[#This Row],[New_Res_Constr_Approval_Status]]="Approved",LAM_API_TABLE[[#This Row],[New_Res_Constr_sqft]],0)</f>
        <v>0</v>
      </c>
      <c r="AQ402">
        <f>IF(LAM_API_TABLE[[#This Row],[New_Res_Constr_Approval_Status]]="Approved",LAM_API_TABLE[[#This Row],[New_Res_SLA_norec_sqft]],0)</f>
        <v>0</v>
      </c>
      <c r="AR402">
        <f>IF(LAM_API_TABLE[[#This Row],[New_Res_Constr_Approval_Status]]="Approved",LAM_API_TABLE[[#This Row],[New_Res_SLA_rec_sqft]],0)</f>
        <v>0</v>
      </c>
      <c r="AS402">
        <f>IF(LAM_API_TABLE[[#This Row],[Existing_Res_SLA_Data_Approval_Status]]="Approved",LAM_API_TABLE[[#This Row],[Existing_Res_SLA_norec_sqft]],0)</f>
        <v>0</v>
      </c>
      <c r="AT402">
        <f>IF(LAM_API_TABLE[[#This Row],[Existing_Res_SLA_Data_Approval_Status]]="Approved",LAM_API_TABLE[[#This Row],[Existing_Res_SLA_rec_sqft]],0)</f>
        <v>0</v>
      </c>
    </row>
    <row r="403" spans="1:46" x14ac:dyDescent="0.25">
      <c r="A403" t="s">
        <v>2570</v>
      </c>
      <c r="B403" t="s">
        <v>2571</v>
      </c>
      <c r="C403" t="s">
        <v>1003</v>
      </c>
      <c r="D403" t="s">
        <v>3547</v>
      </c>
      <c r="E403">
        <v>2018</v>
      </c>
      <c r="F403">
        <v>19753</v>
      </c>
      <c r="G403">
        <v>5297680</v>
      </c>
      <c r="H403">
        <v>1128433</v>
      </c>
      <c r="I403">
        <v>58602841</v>
      </c>
      <c r="J403">
        <v>33032232</v>
      </c>
      <c r="K403">
        <v>99114520</v>
      </c>
      <c r="L403">
        <v>65209287</v>
      </c>
      <c r="M403" t="s">
        <v>1859</v>
      </c>
      <c r="AK403">
        <f>IF(LAM_API_TABLE[[#This Row],[Alternative_Data_Approval_Status]]="Approved",LAM_API_TABLE[[#This Row],[HCL_area_sqft_Alternative]],LAM_API_TABLE[[#This Row],[HCL_area_sqft]])</f>
        <v>19753</v>
      </c>
      <c r="AL403">
        <f>IF(LAM_API_TABLE[[#This Row],[Alternative_Data_Approval_Status]]="Approved",LAM_API_TABLE[[#This Row],[Ag_area_sqft_Alternative]],LAM_API_TABLE[[#This Row],[Ag_area_sqft]])</f>
        <v>5297680</v>
      </c>
      <c r="AM403">
        <f>IF(LAM_API_TABLE[[#This Row],[Alternative_Data_Approval_Status]]="Approved",LAM_API_TABLE[[#This Row],[Pool_area_sqft_Alternative]],LAM_API_TABLE[[#This Row],[Pool_area_sqft]])</f>
        <v>1128433</v>
      </c>
      <c r="AN403">
        <f>IF(LAM_API_TABLE[[#This Row],[Alternative_Data_Approval_Status]]="Approved",LAM_API_TABLE[[#This Row],[Total_II_sqft_Alternative]],LAM_API_TABLE[[#This Row],[Total_II_sqft]])</f>
        <v>58602841</v>
      </c>
      <c r="AO403">
        <f>IF(LAM_API_TABLE[[#This Row],[Alternative_Data_Approval_Status]]="Approved",LAM_API_TABLE[[#This Row],[Total_INI_sqft_Alternative]],LAM_API_TABLE[[#This Row],[Total_INI_sqft]])</f>
        <v>33032232</v>
      </c>
      <c r="AP403">
        <f>IF(LAM_API_TABLE[[#This Row],[New_Res_Constr_Approval_Status]]="Approved",LAM_API_TABLE[[#This Row],[New_Res_Constr_sqft]],0)</f>
        <v>0</v>
      </c>
      <c r="AQ403">
        <f>IF(LAM_API_TABLE[[#This Row],[New_Res_Constr_Approval_Status]]="Approved",LAM_API_TABLE[[#This Row],[New_Res_SLA_norec_sqft]],0)</f>
        <v>0</v>
      </c>
      <c r="AR403">
        <f>IF(LAM_API_TABLE[[#This Row],[New_Res_Constr_Approval_Status]]="Approved",LAM_API_TABLE[[#This Row],[New_Res_SLA_rec_sqft]],0)</f>
        <v>0</v>
      </c>
      <c r="AS403">
        <f>IF(LAM_API_TABLE[[#This Row],[Existing_Res_SLA_Data_Approval_Status]]="Approved",LAM_API_TABLE[[#This Row],[Existing_Res_SLA_norec_sqft]],0)</f>
        <v>0</v>
      </c>
      <c r="AT403">
        <f>IF(LAM_API_TABLE[[#This Row],[Existing_Res_SLA_Data_Approval_Status]]="Approved",LAM_API_TABLE[[#This Row],[Existing_Res_SLA_rec_sqft]],0)</f>
        <v>0</v>
      </c>
    </row>
    <row r="404" spans="1:46" x14ac:dyDescent="0.25">
      <c r="A404" t="s">
        <v>2575</v>
      </c>
      <c r="B404" t="s">
        <v>3548</v>
      </c>
      <c r="C404" t="s">
        <v>3549</v>
      </c>
      <c r="D404" t="s">
        <v>3550</v>
      </c>
      <c r="E404">
        <v>2018</v>
      </c>
      <c r="F404">
        <v>441162</v>
      </c>
      <c r="G404">
        <v>1358447</v>
      </c>
      <c r="H404">
        <v>1066594</v>
      </c>
      <c r="I404">
        <v>63818003</v>
      </c>
      <c r="J404">
        <v>37607429</v>
      </c>
      <c r="K404">
        <v>215817431</v>
      </c>
      <c r="L404">
        <v>71339489</v>
      </c>
      <c r="M404" t="s">
        <v>1859</v>
      </c>
      <c r="AK404">
        <f>IF(LAM_API_TABLE[[#This Row],[Alternative_Data_Approval_Status]]="Approved",LAM_API_TABLE[[#This Row],[HCL_area_sqft_Alternative]],LAM_API_TABLE[[#This Row],[HCL_area_sqft]])</f>
        <v>441162</v>
      </c>
      <c r="AL404">
        <f>IF(LAM_API_TABLE[[#This Row],[Alternative_Data_Approval_Status]]="Approved",LAM_API_TABLE[[#This Row],[Ag_area_sqft_Alternative]],LAM_API_TABLE[[#This Row],[Ag_area_sqft]])</f>
        <v>1358447</v>
      </c>
      <c r="AM404">
        <f>IF(LAM_API_TABLE[[#This Row],[Alternative_Data_Approval_Status]]="Approved",LAM_API_TABLE[[#This Row],[Pool_area_sqft_Alternative]],LAM_API_TABLE[[#This Row],[Pool_area_sqft]])</f>
        <v>1066594</v>
      </c>
      <c r="AN404">
        <f>IF(LAM_API_TABLE[[#This Row],[Alternative_Data_Approval_Status]]="Approved",LAM_API_TABLE[[#This Row],[Total_II_sqft_Alternative]],LAM_API_TABLE[[#This Row],[Total_II_sqft]])</f>
        <v>63818003</v>
      </c>
      <c r="AO404">
        <f>IF(LAM_API_TABLE[[#This Row],[Alternative_Data_Approval_Status]]="Approved",LAM_API_TABLE[[#This Row],[Total_INI_sqft_Alternative]],LAM_API_TABLE[[#This Row],[Total_INI_sqft]])</f>
        <v>37607429</v>
      </c>
      <c r="AP404">
        <f>IF(LAM_API_TABLE[[#This Row],[New_Res_Constr_Approval_Status]]="Approved",LAM_API_TABLE[[#This Row],[New_Res_Constr_sqft]],0)</f>
        <v>0</v>
      </c>
      <c r="AQ404">
        <f>IF(LAM_API_TABLE[[#This Row],[New_Res_Constr_Approval_Status]]="Approved",LAM_API_TABLE[[#This Row],[New_Res_SLA_norec_sqft]],0)</f>
        <v>0</v>
      </c>
      <c r="AR404">
        <f>IF(LAM_API_TABLE[[#This Row],[New_Res_Constr_Approval_Status]]="Approved",LAM_API_TABLE[[#This Row],[New_Res_SLA_rec_sqft]],0)</f>
        <v>0</v>
      </c>
      <c r="AS404">
        <f>IF(LAM_API_TABLE[[#This Row],[Existing_Res_SLA_Data_Approval_Status]]="Approved",LAM_API_TABLE[[#This Row],[Existing_Res_SLA_norec_sqft]],0)</f>
        <v>0</v>
      </c>
      <c r="AT404">
        <f>IF(LAM_API_TABLE[[#This Row],[Existing_Res_SLA_Data_Approval_Status]]="Approved",LAM_API_TABLE[[#This Row],[Existing_Res_SLA_rec_sqft]],0)</f>
        <v>0</v>
      </c>
    </row>
    <row r="405" spans="1:46" x14ac:dyDescent="0.25">
      <c r="A405" t="s">
        <v>2579</v>
      </c>
      <c r="B405" t="s">
        <v>3551</v>
      </c>
      <c r="C405" t="s">
        <v>3552</v>
      </c>
      <c r="D405" t="s">
        <v>3553</v>
      </c>
      <c r="E405">
        <v>2018</v>
      </c>
      <c r="F405">
        <v>827696</v>
      </c>
      <c r="G405">
        <v>716142</v>
      </c>
      <c r="H405">
        <v>171847</v>
      </c>
      <c r="I405">
        <v>15312162</v>
      </c>
      <c r="J405">
        <v>18854343</v>
      </c>
      <c r="K405">
        <v>315768669</v>
      </c>
      <c r="L405">
        <v>19083031</v>
      </c>
      <c r="M405" t="s">
        <v>1859</v>
      </c>
      <c r="AK405">
        <f>IF(LAM_API_TABLE[[#This Row],[Alternative_Data_Approval_Status]]="Approved",LAM_API_TABLE[[#This Row],[HCL_area_sqft_Alternative]],LAM_API_TABLE[[#This Row],[HCL_area_sqft]])</f>
        <v>827696</v>
      </c>
      <c r="AL405">
        <f>IF(LAM_API_TABLE[[#This Row],[Alternative_Data_Approval_Status]]="Approved",LAM_API_TABLE[[#This Row],[Ag_area_sqft_Alternative]],LAM_API_TABLE[[#This Row],[Ag_area_sqft]])</f>
        <v>716142</v>
      </c>
      <c r="AM405">
        <f>IF(LAM_API_TABLE[[#This Row],[Alternative_Data_Approval_Status]]="Approved",LAM_API_TABLE[[#This Row],[Pool_area_sqft_Alternative]],LAM_API_TABLE[[#This Row],[Pool_area_sqft]])</f>
        <v>171847</v>
      </c>
      <c r="AN405">
        <f>IF(LAM_API_TABLE[[#This Row],[Alternative_Data_Approval_Status]]="Approved",LAM_API_TABLE[[#This Row],[Total_II_sqft_Alternative]],LAM_API_TABLE[[#This Row],[Total_II_sqft]])</f>
        <v>15312162</v>
      </c>
      <c r="AO405">
        <f>IF(LAM_API_TABLE[[#This Row],[Alternative_Data_Approval_Status]]="Approved",LAM_API_TABLE[[#This Row],[Total_INI_sqft_Alternative]],LAM_API_TABLE[[#This Row],[Total_INI_sqft]])</f>
        <v>18854343</v>
      </c>
      <c r="AP405">
        <f>IF(LAM_API_TABLE[[#This Row],[New_Res_Constr_Approval_Status]]="Approved",LAM_API_TABLE[[#This Row],[New_Res_Constr_sqft]],0)</f>
        <v>0</v>
      </c>
      <c r="AQ405">
        <f>IF(LAM_API_TABLE[[#This Row],[New_Res_Constr_Approval_Status]]="Approved",LAM_API_TABLE[[#This Row],[New_Res_SLA_norec_sqft]],0)</f>
        <v>0</v>
      </c>
      <c r="AR405">
        <f>IF(LAM_API_TABLE[[#This Row],[New_Res_Constr_Approval_Status]]="Approved",LAM_API_TABLE[[#This Row],[New_Res_SLA_rec_sqft]],0)</f>
        <v>0</v>
      </c>
      <c r="AS405">
        <f>IF(LAM_API_TABLE[[#This Row],[Existing_Res_SLA_Data_Approval_Status]]="Approved",LAM_API_TABLE[[#This Row],[Existing_Res_SLA_norec_sqft]],0)</f>
        <v>0</v>
      </c>
      <c r="AT405">
        <f>IF(LAM_API_TABLE[[#This Row],[Existing_Res_SLA_Data_Approval_Status]]="Approved",LAM_API_TABLE[[#This Row],[Existing_Res_SLA_rec_sqft]],0)</f>
        <v>0</v>
      </c>
    </row>
    <row r="406" spans="1:46" x14ac:dyDescent="0.25">
      <c r="A406" t="s">
        <v>2583</v>
      </c>
      <c r="B406" t="s">
        <v>3554</v>
      </c>
      <c r="C406" t="s">
        <v>3555</v>
      </c>
      <c r="D406" t="s">
        <v>3556</v>
      </c>
      <c r="E406">
        <v>2018</v>
      </c>
      <c r="G406">
        <v>2723832</v>
      </c>
      <c r="H406">
        <v>149091</v>
      </c>
      <c r="I406">
        <v>8264703</v>
      </c>
      <c r="J406">
        <v>8112283</v>
      </c>
      <c r="K406">
        <v>25792372</v>
      </c>
      <c r="L406">
        <v>9887160</v>
      </c>
      <c r="M406" t="s">
        <v>1859</v>
      </c>
      <c r="AK406">
        <f>IF(LAM_API_TABLE[[#This Row],[Alternative_Data_Approval_Status]]="Approved",LAM_API_TABLE[[#This Row],[HCL_area_sqft_Alternative]],LAM_API_TABLE[[#This Row],[HCL_area_sqft]])</f>
        <v>0</v>
      </c>
      <c r="AL406">
        <f>IF(LAM_API_TABLE[[#This Row],[Alternative_Data_Approval_Status]]="Approved",LAM_API_TABLE[[#This Row],[Ag_area_sqft_Alternative]],LAM_API_TABLE[[#This Row],[Ag_area_sqft]])</f>
        <v>2723832</v>
      </c>
      <c r="AM406">
        <f>IF(LAM_API_TABLE[[#This Row],[Alternative_Data_Approval_Status]]="Approved",LAM_API_TABLE[[#This Row],[Pool_area_sqft_Alternative]],LAM_API_TABLE[[#This Row],[Pool_area_sqft]])</f>
        <v>149091</v>
      </c>
      <c r="AN406">
        <f>IF(LAM_API_TABLE[[#This Row],[Alternative_Data_Approval_Status]]="Approved",LAM_API_TABLE[[#This Row],[Total_II_sqft_Alternative]],LAM_API_TABLE[[#This Row],[Total_II_sqft]])</f>
        <v>8264703</v>
      </c>
      <c r="AO406">
        <f>IF(LAM_API_TABLE[[#This Row],[Alternative_Data_Approval_Status]]="Approved",LAM_API_TABLE[[#This Row],[Total_INI_sqft_Alternative]],LAM_API_TABLE[[#This Row],[Total_INI_sqft]])</f>
        <v>8112283</v>
      </c>
      <c r="AP406">
        <f>IF(LAM_API_TABLE[[#This Row],[New_Res_Constr_Approval_Status]]="Approved",LAM_API_TABLE[[#This Row],[New_Res_Constr_sqft]],0)</f>
        <v>0</v>
      </c>
      <c r="AQ406">
        <f>IF(LAM_API_TABLE[[#This Row],[New_Res_Constr_Approval_Status]]="Approved",LAM_API_TABLE[[#This Row],[New_Res_SLA_norec_sqft]],0)</f>
        <v>0</v>
      </c>
      <c r="AR406">
        <f>IF(LAM_API_TABLE[[#This Row],[New_Res_Constr_Approval_Status]]="Approved",LAM_API_TABLE[[#This Row],[New_Res_SLA_rec_sqft]],0)</f>
        <v>0</v>
      </c>
      <c r="AS406">
        <f>IF(LAM_API_TABLE[[#This Row],[Existing_Res_SLA_Data_Approval_Status]]="Approved",LAM_API_TABLE[[#This Row],[Existing_Res_SLA_norec_sqft]],0)</f>
        <v>0</v>
      </c>
      <c r="AT406">
        <f>IF(LAM_API_TABLE[[#This Row],[Existing_Res_SLA_Data_Approval_Status]]="Approved",LAM_API_TABLE[[#This Row],[Existing_Res_SLA_rec_sqft]],0)</f>
        <v>0</v>
      </c>
    </row>
    <row r="407" spans="1:46" x14ac:dyDescent="0.25">
      <c r="A407" t="s">
        <v>2587</v>
      </c>
      <c r="B407" t="s">
        <v>2588</v>
      </c>
      <c r="C407" t="s">
        <v>3557</v>
      </c>
      <c r="D407" t="s">
        <v>3558</v>
      </c>
      <c r="E407">
        <v>2018</v>
      </c>
      <c r="G407">
        <v>261633</v>
      </c>
      <c r="H407">
        <v>61468</v>
      </c>
      <c r="I407">
        <v>7435221</v>
      </c>
      <c r="J407">
        <v>1325465</v>
      </c>
      <c r="K407">
        <v>29055595</v>
      </c>
      <c r="L407">
        <v>7700314</v>
      </c>
      <c r="M407" t="s">
        <v>1859</v>
      </c>
      <c r="AK407">
        <f>IF(LAM_API_TABLE[[#This Row],[Alternative_Data_Approval_Status]]="Approved",LAM_API_TABLE[[#This Row],[HCL_area_sqft_Alternative]],LAM_API_TABLE[[#This Row],[HCL_area_sqft]])</f>
        <v>0</v>
      </c>
      <c r="AL407">
        <f>IF(LAM_API_TABLE[[#This Row],[Alternative_Data_Approval_Status]]="Approved",LAM_API_TABLE[[#This Row],[Ag_area_sqft_Alternative]],LAM_API_TABLE[[#This Row],[Ag_area_sqft]])</f>
        <v>261633</v>
      </c>
      <c r="AM407">
        <f>IF(LAM_API_TABLE[[#This Row],[Alternative_Data_Approval_Status]]="Approved",LAM_API_TABLE[[#This Row],[Pool_area_sqft_Alternative]],LAM_API_TABLE[[#This Row],[Pool_area_sqft]])</f>
        <v>61468</v>
      </c>
      <c r="AN407">
        <f>IF(LAM_API_TABLE[[#This Row],[Alternative_Data_Approval_Status]]="Approved",LAM_API_TABLE[[#This Row],[Total_II_sqft_Alternative]],LAM_API_TABLE[[#This Row],[Total_II_sqft]])</f>
        <v>7435221</v>
      </c>
      <c r="AO407">
        <f>IF(LAM_API_TABLE[[#This Row],[Alternative_Data_Approval_Status]]="Approved",LAM_API_TABLE[[#This Row],[Total_INI_sqft_Alternative]],LAM_API_TABLE[[#This Row],[Total_INI_sqft]])</f>
        <v>1325465</v>
      </c>
      <c r="AP407">
        <f>IF(LAM_API_TABLE[[#This Row],[New_Res_Constr_Approval_Status]]="Approved",LAM_API_TABLE[[#This Row],[New_Res_Constr_sqft]],0)</f>
        <v>0</v>
      </c>
      <c r="AQ407">
        <f>IF(LAM_API_TABLE[[#This Row],[New_Res_Constr_Approval_Status]]="Approved",LAM_API_TABLE[[#This Row],[New_Res_SLA_norec_sqft]],0)</f>
        <v>0</v>
      </c>
      <c r="AR407">
        <f>IF(LAM_API_TABLE[[#This Row],[New_Res_Constr_Approval_Status]]="Approved",LAM_API_TABLE[[#This Row],[New_Res_SLA_rec_sqft]],0)</f>
        <v>0</v>
      </c>
      <c r="AS407">
        <f>IF(LAM_API_TABLE[[#This Row],[Existing_Res_SLA_Data_Approval_Status]]="Approved",LAM_API_TABLE[[#This Row],[Existing_Res_SLA_norec_sqft]],0)</f>
        <v>0</v>
      </c>
      <c r="AT407">
        <f>IF(LAM_API_TABLE[[#This Row],[Existing_Res_SLA_Data_Approval_Status]]="Approved",LAM_API_TABLE[[#This Row],[Existing_Res_SLA_rec_sqft]],0)</f>
        <v>0</v>
      </c>
    </row>
    <row r="408" spans="1:46" x14ac:dyDescent="0.25">
      <c r="A408" t="s">
        <v>2591</v>
      </c>
      <c r="B408" t="s">
        <v>2592</v>
      </c>
      <c r="C408" t="s">
        <v>3559</v>
      </c>
      <c r="D408" t="s">
        <v>3560</v>
      </c>
      <c r="E408">
        <v>2018</v>
      </c>
      <c r="F408">
        <v>935019</v>
      </c>
      <c r="G408">
        <v>339036</v>
      </c>
      <c r="H408">
        <v>2409740</v>
      </c>
      <c r="I408">
        <v>114106723</v>
      </c>
      <c r="J408">
        <v>46346864</v>
      </c>
      <c r="K408">
        <v>308331185</v>
      </c>
      <c r="L408">
        <v>123376096</v>
      </c>
      <c r="M408" t="s">
        <v>1859</v>
      </c>
      <c r="AK408">
        <f>IF(LAM_API_TABLE[[#This Row],[Alternative_Data_Approval_Status]]="Approved",LAM_API_TABLE[[#This Row],[HCL_area_sqft_Alternative]],LAM_API_TABLE[[#This Row],[HCL_area_sqft]])</f>
        <v>935019</v>
      </c>
      <c r="AL408">
        <f>IF(LAM_API_TABLE[[#This Row],[Alternative_Data_Approval_Status]]="Approved",LAM_API_TABLE[[#This Row],[Ag_area_sqft_Alternative]],LAM_API_TABLE[[#This Row],[Ag_area_sqft]])</f>
        <v>339036</v>
      </c>
      <c r="AM408">
        <f>IF(LAM_API_TABLE[[#This Row],[Alternative_Data_Approval_Status]]="Approved",LAM_API_TABLE[[#This Row],[Pool_area_sqft_Alternative]],LAM_API_TABLE[[#This Row],[Pool_area_sqft]])</f>
        <v>2409740</v>
      </c>
      <c r="AN408">
        <f>IF(LAM_API_TABLE[[#This Row],[Alternative_Data_Approval_Status]]="Approved",LAM_API_TABLE[[#This Row],[Total_II_sqft_Alternative]],LAM_API_TABLE[[#This Row],[Total_II_sqft]])</f>
        <v>114106723</v>
      </c>
      <c r="AO408">
        <f>IF(LAM_API_TABLE[[#This Row],[Alternative_Data_Approval_Status]]="Approved",LAM_API_TABLE[[#This Row],[Total_INI_sqft_Alternative]],LAM_API_TABLE[[#This Row],[Total_INI_sqft]])</f>
        <v>46346864</v>
      </c>
      <c r="AP408">
        <f>IF(LAM_API_TABLE[[#This Row],[New_Res_Constr_Approval_Status]]="Approved",LAM_API_TABLE[[#This Row],[New_Res_Constr_sqft]],0)</f>
        <v>0</v>
      </c>
      <c r="AQ408">
        <f>IF(LAM_API_TABLE[[#This Row],[New_Res_Constr_Approval_Status]]="Approved",LAM_API_TABLE[[#This Row],[New_Res_SLA_norec_sqft]],0)</f>
        <v>0</v>
      </c>
      <c r="AR408">
        <f>IF(LAM_API_TABLE[[#This Row],[New_Res_Constr_Approval_Status]]="Approved",LAM_API_TABLE[[#This Row],[New_Res_SLA_rec_sqft]],0)</f>
        <v>0</v>
      </c>
      <c r="AS408">
        <f>IF(LAM_API_TABLE[[#This Row],[Existing_Res_SLA_Data_Approval_Status]]="Approved",LAM_API_TABLE[[#This Row],[Existing_Res_SLA_norec_sqft]],0)</f>
        <v>0</v>
      </c>
      <c r="AT408">
        <f>IF(LAM_API_TABLE[[#This Row],[Existing_Res_SLA_Data_Approval_Status]]="Approved",LAM_API_TABLE[[#This Row],[Existing_Res_SLA_rec_sqft]],0)</f>
        <v>0</v>
      </c>
    </row>
    <row r="409" spans="1:46" x14ac:dyDescent="0.25">
      <c r="A409" t="s">
        <v>2591</v>
      </c>
      <c r="B409" t="s">
        <v>2592</v>
      </c>
      <c r="C409" t="s">
        <v>3561</v>
      </c>
      <c r="D409" t="s">
        <v>3562</v>
      </c>
      <c r="E409">
        <v>2018</v>
      </c>
      <c r="F409">
        <v>114250</v>
      </c>
      <c r="G409">
        <v>641743</v>
      </c>
      <c r="H409">
        <v>695841</v>
      </c>
      <c r="I409">
        <v>41876429</v>
      </c>
      <c r="J409">
        <v>10763521</v>
      </c>
      <c r="K409">
        <v>169883950</v>
      </c>
      <c r="L409">
        <v>44029133</v>
      </c>
      <c r="M409" t="s">
        <v>1859</v>
      </c>
      <c r="AK409">
        <f>IF(LAM_API_TABLE[[#This Row],[Alternative_Data_Approval_Status]]="Approved",LAM_API_TABLE[[#This Row],[HCL_area_sqft_Alternative]],LAM_API_TABLE[[#This Row],[HCL_area_sqft]])</f>
        <v>114250</v>
      </c>
      <c r="AL409">
        <f>IF(LAM_API_TABLE[[#This Row],[Alternative_Data_Approval_Status]]="Approved",LAM_API_TABLE[[#This Row],[Ag_area_sqft_Alternative]],LAM_API_TABLE[[#This Row],[Ag_area_sqft]])</f>
        <v>641743</v>
      </c>
      <c r="AM409">
        <f>IF(LAM_API_TABLE[[#This Row],[Alternative_Data_Approval_Status]]="Approved",LAM_API_TABLE[[#This Row],[Pool_area_sqft_Alternative]],LAM_API_TABLE[[#This Row],[Pool_area_sqft]])</f>
        <v>695841</v>
      </c>
      <c r="AN409">
        <f>IF(LAM_API_TABLE[[#This Row],[Alternative_Data_Approval_Status]]="Approved",LAM_API_TABLE[[#This Row],[Total_II_sqft_Alternative]],LAM_API_TABLE[[#This Row],[Total_II_sqft]])</f>
        <v>41876429</v>
      </c>
      <c r="AO409">
        <f>IF(LAM_API_TABLE[[#This Row],[Alternative_Data_Approval_Status]]="Approved",LAM_API_TABLE[[#This Row],[Total_INI_sqft_Alternative]],LAM_API_TABLE[[#This Row],[Total_INI_sqft]])</f>
        <v>10763521</v>
      </c>
      <c r="AP409">
        <f>IF(LAM_API_TABLE[[#This Row],[New_Res_Constr_Approval_Status]]="Approved",LAM_API_TABLE[[#This Row],[New_Res_Constr_sqft]],0)</f>
        <v>0</v>
      </c>
      <c r="AQ409">
        <f>IF(LAM_API_TABLE[[#This Row],[New_Res_Constr_Approval_Status]]="Approved",LAM_API_TABLE[[#This Row],[New_Res_SLA_norec_sqft]],0)</f>
        <v>0</v>
      </c>
      <c r="AR409">
        <f>IF(LAM_API_TABLE[[#This Row],[New_Res_Constr_Approval_Status]]="Approved",LAM_API_TABLE[[#This Row],[New_Res_SLA_rec_sqft]],0)</f>
        <v>0</v>
      </c>
      <c r="AS409">
        <f>IF(LAM_API_TABLE[[#This Row],[Existing_Res_SLA_Data_Approval_Status]]="Approved",LAM_API_TABLE[[#This Row],[Existing_Res_SLA_norec_sqft]],0)</f>
        <v>0</v>
      </c>
      <c r="AT409">
        <f>IF(LAM_API_TABLE[[#This Row],[Existing_Res_SLA_Data_Approval_Status]]="Approved",LAM_API_TABLE[[#This Row],[Existing_Res_SLA_rec_sqft]],0)</f>
        <v>0</v>
      </c>
    </row>
    <row r="410" spans="1:46" x14ac:dyDescent="0.25">
      <c r="A410" t="s">
        <v>2591</v>
      </c>
      <c r="B410" t="s">
        <v>2592</v>
      </c>
      <c r="C410" t="s">
        <v>3563</v>
      </c>
      <c r="D410" t="s">
        <v>3564</v>
      </c>
      <c r="E410">
        <v>2018</v>
      </c>
      <c r="G410">
        <v>2226564</v>
      </c>
      <c r="H410">
        <v>1882119</v>
      </c>
      <c r="I410">
        <v>76351449</v>
      </c>
      <c r="J410">
        <v>14395257</v>
      </c>
      <c r="K410">
        <v>140225826</v>
      </c>
      <c r="L410">
        <v>79230500</v>
      </c>
      <c r="M410" t="s">
        <v>1859</v>
      </c>
      <c r="AK410">
        <f>IF(LAM_API_TABLE[[#This Row],[Alternative_Data_Approval_Status]]="Approved",LAM_API_TABLE[[#This Row],[HCL_area_sqft_Alternative]],LAM_API_TABLE[[#This Row],[HCL_area_sqft]])</f>
        <v>0</v>
      </c>
      <c r="AL410">
        <f>IF(LAM_API_TABLE[[#This Row],[Alternative_Data_Approval_Status]]="Approved",LAM_API_TABLE[[#This Row],[Ag_area_sqft_Alternative]],LAM_API_TABLE[[#This Row],[Ag_area_sqft]])</f>
        <v>2226564</v>
      </c>
      <c r="AM410">
        <f>IF(LAM_API_TABLE[[#This Row],[Alternative_Data_Approval_Status]]="Approved",LAM_API_TABLE[[#This Row],[Pool_area_sqft_Alternative]],LAM_API_TABLE[[#This Row],[Pool_area_sqft]])</f>
        <v>1882119</v>
      </c>
      <c r="AN410">
        <f>IF(LAM_API_TABLE[[#This Row],[Alternative_Data_Approval_Status]]="Approved",LAM_API_TABLE[[#This Row],[Total_II_sqft_Alternative]],LAM_API_TABLE[[#This Row],[Total_II_sqft]])</f>
        <v>76351449</v>
      </c>
      <c r="AO410">
        <f>IF(LAM_API_TABLE[[#This Row],[Alternative_Data_Approval_Status]]="Approved",LAM_API_TABLE[[#This Row],[Total_INI_sqft_Alternative]],LAM_API_TABLE[[#This Row],[Total_INI_sqft]])</f>
        <v>14395257</v>
      </c>
      <c r="AP410">
        <f>IF(LAM_API_TABLE[[#This Row],[New_Res_Constr_Approval_Status]]="Approved",LAM_API_TABLE[[#This Row],[New_Res_Constr_sqft]],0)</f>
        <v>0</v>
      </c>
      <c r="AQ410">
        <f>IF(LAM_API_TABLE[[#This Row],[New_Res_Constr_Approval_Status]]="Approved",LAM_API_TABLE[[#This Row],[New_Res_SLA_norec_sqft]],0)</f>
        <v>0</v>
      </c>
      <c r="AR410">
        <f>IF(LAM_API_TABLE[[#This Row],[New_Res_Constr_Approval_Status]]="Approved",LAM_API_TABLE[[#This Row],[New_Res_SLA_rec_sqft]],0)</f>
        <v>0</v>
      </c>
      <c r="AS410">
        <f>IF(LAM_API_TABLE[[#This Row],[Existing_Res_SLA_Data_Approval_Status]]="Approved",LAM_API_TABLE[[#This Row],[Existing_Res_SLA_norec_sqft]],0)</f>
        <v>0</v>
      </c>
      <c r="AT410">
        <f>IF(LAM_API_TABLE[[#This Row],[Existing_Res_SLA_Data_Approval_Status]]="Approved",LAM_API_TABLE[[#This Row],[Existing_Res_SLA_rec_sqft]],0)</f>
        <v>0</v>
      </c>
    </row>
  </sheetData>
  <phoneticPr fontId="8" type="noConversion"/>
  <conditionalFormatting sqref="AL411:AO811">
    <cfRule type="expression" dxfId="1" priority="109">
      <formula>$AL411=$AV$1</formula>
    </cfRule>
  </conditionalFormatting>
  <conditionalFormatting sqref="AP400:AT800">
    <cfRule type="expression" dxfId="0" priority="105">
      <formula>$AL411=$AV$1</formula>
    </cfRule>
  </conditionalFormatting>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A70A5-17DB-45F2-AD0B-C5C4D671D122}">
  <sheetPr codeName="Sheet27">
    <tabColor theme="8" tint="0.39997558519241921"/>
  </sheetPr>
  <dimension ref="A1:M410"/>
  <sheetViews>
    <sheetView workbookViewId="0">
      <selection activeCell="F2" sqref="F2"/>
    </sheetView>
  </sheetViews>
  <sheetFormatPr defaultRowHeight="15" x14ac:dyDescent="0.25"/>
  <cols>
    <col min="1" max="1" width="10.140625" bestFit="1" customWidth="1"/>
    <col min="2" max="2" width="61.7109375" bestFit="1" customWidth="1"/>
    <col min="3" max="3" width="12.42578125" bestFit="1" customWidth="1"/>
    <col min="4" max="4" width="26.5703125" bestFit="1" customWidth="1"/>
    <col min="5" max="5" width="30" bestFit="1" customWidth="1"/>
    <col min="6" max="6" width="27.140625" bestFit="1" customWidth="1"/>
    <col min="7" max="7" width="33.42578125" bestFit="1" customWidth="1"/>
    <col min="8" max="8" width="23.5703125" bestFit="1" customWidth="1"/>
    <col min="9" max="9" width="41.140625" bestFit="1" customWidth="1"/>
    <col min="10" max="10" width="16.85546875" bestFit="1" customWidth="1"/>
    <col min="11" max="11" width="15.28515625" bestFit="1" customWidth="1"/>
    <col min="12" max="12" width="13.28515625" bestFit="1" customWidth="1"/>
    <col min="13" max="13" width="12.42578125" bestFit="1" customWidth="1"/>
  </cols>
  <sheetData>
    <row r="1" spans="1:13" x14ac:dyDescent="0.25">
      <c r="A1" t="s">
        <v>2611</v>
      </c>
      <c r="B1" t="s">
        <v>2612</v>
      </c>
      <c r="C1" t="s">
        <v>3565</v>
      </c>
      <c r="D1" t="s">
        <v>3566</v>
      </c>
      <c r="E1" t="s">
        <v>3567</v>
      </c>
      <c r="F1" t="s">
        <v>2623</v>
      </c>
      <c r="G1" t="s">
        <v>2624</v>
      </c>
      <c r="H1" t="s">
        <v>3568</v>
      </c>
      <c r="I1" t="s">
        <v>3569</v>
      </c>
      <c r="J1" t="s">
        <v>2608</v>
      </c>
      <c r="K1" t="s">
        <v>2609</v>
      </c>
      <c r="L1" t="s">
        <v>3570</v>
      </c>
      <c r="M1" t="s">
        <v>3571</v>
      </c>
    </row>
    <row r="2" spans="1:13" x14ac:dyDescent="0.25">
      <c r="A2" t="s">
        <v>689</v>
      </c>
      <c r="B2" t="s">
        <v>3572</v>
      </c>
      <c r="C2">
        <v>63.36</v>
      </c>
      <c r="D2">
        <v>10.29</v>
      </c>
      <c r="E2">
        <v>2.57</v>
      </c>
      <c r="F2" t="s">
        <v>1859</v>
      </c>
      <c r="J2" s="9">
        <v>45108</v>
      </c>
      <c r="K2" s="9">
        <v>45473</v>
      </c>
      <c r="L2">
        <f>IF(CLIMATE_API[[#This Row],[Alternative_Data_Approval_Status]]="Approved",CLIMATE_API[[#This Row],[Effective_Precipitation_inches_Alternative]],CLIMATE_API[[#This Row],[Effective_Precipitation_inches]])</f>
        <v>2.57</v>
      </c>
      <c r="M2">
        <f>IF(CLIMATE_API[[#This Row],[Alternative_Data_Approval_Status]]="Approved",CLIMATE_API[[#This Row],[Eto_inches_Alternative]],CLIMATE_API[[#This Row],[Eto_inches]])</f>
        <v>63.36</v>
      </c>
    </row>
    <row r="3" spans="1:13" x14ac:dyDescent="0.25">
      <c r="A3" t="s">
        <v>695</v>
      </c>
      <c r="B3" t="s">
        <v>95</v>
      </c>
      <c r="C3">
        <v>43.22</v>
      </c>
      <c r="D3">
        <v>18.010000000000002</v>
      </c>
      <c r="E3">
        <v>4.5</v>
      </c>
      <c r="F3" t="s">
        <v>1859</v>
      </c>
      <c r="J3" s="9">
        <v>45108</v>
      </c>
      <c r="K3" s="9">
        <v>45473</v>
      </c>
      <c r="L3">
        <f>IF(CLIMATE_API[[#This Row],[Alternative_Data_Approval_Status]]="Approved",CLIMATE_API[[#This Row],[Effective_Precipitation_inches_Alternative]],CLIMATE_API[[#This Row],[Effective_Precipitation_inches]])</f>
        <v>4.5</v>
      </c>
      <c r="M3">
        <f>IF(CLIMATE_API[[#This Row],[Alternative_Data_Approval_Status]]="Approved",CLIMATE_API[[#This Row],[Eto_inches_Alternative]],CLIMATE_API[[#This Row],[Eto_inches]])</f>
        <v>43.22</v>
      </c>
    </row>
    <row r="4" spans="1:13" x14ac:dyDescent="0.25">
      <c r="A4" t="s">
        <v>699</v>
      </c>
      <c r="B4" t="s">
        <v>700</v>
      </c>
      <c r="C4">
        <v>45.09</v>
      </c>
      <c r="D4">
        <v>19.22</v>
      </c>
      <c r="E4">
        <v>4.8</v>
      </c>
      <c r="F4" t="s">
        <v>1859</v>
      </c>
      <c r="J4" s="9">
        <v>45108</v>
      </c>
      <c r="K4" s="9">
        <v>45473</v>
      </c>
      <c r="L4">
        <f>IF(CLIMATE_API[[#This Row],[Alternative_Data_Approval_Status]]="Approved",CLIMATE_API[[#This Row],[Effective_Precipitation_inches_Alternative]],CLIMATE_API[[#This Row],[Effective_Precipitation_inches]])</f>
        <v>4.8</v>
      </c>
      <c r="M4">
        <f>IF(CLIMATE_API[[#This Row],[Alternative_Data_Approval_Status]]="Approved",CLIMATE_API[[#This Row],[Eto_inches_Alternative]],CLIMATE_API[[#This Row],[Eto_inches]])</f>
        <v>45.09</v>
      </c>
    </row>
    <row r="5" spans="1:13" x14ac:dyDescent="0.25">
      <c r="A5" t="s">
        <v>704</v>
      </c>
      <c r="B5" t="s">
        <v>3573</v>
      </c>
      <c r="C5">
        <v>50.57</v>
      </c>
      <c r="D5">
        <v>27.21</v>
      </c>
      <c r="E5">
        <v>6.8</v>
      </c>
      <c r="F5" t="s">
        <v>1859</v>
      </c>
      <c r="J5" s="9">
        <v>45108</v>
      </c>
      <c r="K5" s="9">
        <v>45473</v>
      </c>
      <c r="L5">
        <f>IF(CLIMATE_API[[#This Row],[Alternative_Data_Approval_Status]]="Approved",CLIMATE_API[[#This Row],[Effective_Precipitation_inches_Alternative]],CLIMATE_API[[#This Row],[Effective_Precipitation_inches]])</f>
        <v>6.8</v>
      </c>
      <c r="M5">
        <f>IF(CLIMATE_API[[#This Row],[Alternative_Data_Approval_Status]]="Approved",CLIMATE_API[[#This Row],[Eto_inches_Alternative]],CLIMATE_API[[#This Row],[Eto_inches]])</f>
        <v>50.57</v>
      </c>
    </row>
    <row r="6" spans="1:13" x14ac:dyDescent="0.25">
      <c r="A6" t="s">
        <v>709</v>
      </c>
      <c r="B6" t="s">
        <v>710</v>
      </c>
      <c r="C6">
        <v>54.23</v>
      </c>
      <c r="D6">
        <v>28.75</v>
      </c>
      <c r="E6">
        <v>7.19</v>
      </c>
      <c r="F6" t="s">
        <v>1859</v>
      </c>
      <c r="J6" s="9">
        <v>45108</v>
      </c>
      <c r="K6" s="9">
        <v>45473</v>
      </c>
      <c r="L6">
        <f>IF(CLIMATE_API[[#This Row],[Alternative_Data_Approval_Status]]="Approved",CLIMATE_API[[#This Row],[Effective_Precipitation_inches_Alternative]],CLIMATE_API[[#This Row],[Effective_Precipitation_inches]])</f>
        <v>7.19</v>
      </c>
      <c r="M6">
        <f>IF(CLIMATE_API[[#This Row],[Alternative_Data_Approval_Status]]="Approved",CLIMATE_API[[#This Row],[Eto_inches_Alternative]],CLIMATE_API[[#This Row],[Eto_inches]])</f>
        <v>54.23</v>
      </c>
    </row>
    <row r="7" spans="1:13" x14ac:dyDescent="0.25">
      <c r="A7" t="s">
        <v>722</v>
      </c>
      <c r="B7" t="s">
        <v>3574</v>
      </c>
      <c r="C7">
        <v>47.71</v>
      </c>
      <c r="D7">
        <v>21.58</v>
      </c>
      <c r="E7">
        <v>5.4</v>
      </c>
      <c r="F7" t="s">
        <v>1859</v>
      </c>
      <c r="J7" s="9">
        <v>45108</v>
      </c>
      <c r="K7" s="9">
        <v>45473</v>
      </c>
      <c r="L7">
        <f>IF(CLIMATE_API[[#This Row],[Alternative_Data_Approval_Status]]="Approved",CLIMATE_API[[#This Row],[Effective_Precipitation_inches_Alternative]],CLIMATE_API[[#This Row],[Effective_Precipitation_inches]])</f>
        <v>5.4</v>
      </c>
      <c r="M7">
        <f>IF(CLIMATE_API[[#This Row],[Alternative_Data_Approval_Status]]="Approved",CLIMATE_API[[#This Row],[Eto_inches_Alternative]],CLIMATE_API[[#This Row],[Eto_inches]])</f>
        <v>47.71</v>
      </c>
    </row>
    <row r="8" spans="1:13" x14ac:dyDescent="0.25">
      <c r="A8" t="s">
        <v>727</v>
      </c>
      <c r="B8" t="s">
        <v>3575</v>
      </c>
      <c r="C8">
        <v>48.72</v>
      </c>
      <c r="D8">
        <v>20.8</v>
      </c>
      <c r="E8">
        <v>5.2</v>
      </c>
      <c r="F8" t="s">
        <v>1859</v>
      </c>
      <c r="J8" s="9">
        <v>45108</v>
      </c>
      <c r="K8" s="9">
        <v>45473</v>
      </c>
      <c r="L8">
        <f>IF(CLIMATE_API[[#This Row],[Alternative_Data_Approval_Status]]="Approved",CLIMATE_API[[#This Row],[Effective_Precipitation_inches_Alternative]],CLIMATE_API[[#This Row],[Effective_Precipitation_inches]])</f>
        <v>5.2</v>
      </c>
      <c r="M8">
        <f>IF(CLIMATE_API[[#This Row],[Alternative_Data_Approval_Status]]="Approved",CLIMATE_API[[#This Row],[Eto_inches_Alternative]],CLIMATE_API[[#This Row],[Eto_inches]])</f>
        <v>48.72</v>
      </c>
    </row>
    <row r="9" spans="1:13" x14ac:dyDescent="0.25">
      <c r="A9" t="s">
        <v>732</v>
      </c>
      <c r="B9" t="s">
        <v>3576</v>
      </c>
      <c r="C9">
        <v>52.21</v>
      </c>
      <c r="D9">
        <v>31.97</v>
      </c>
      <c r="E9">
        <v>7.99</v>
      </c>
      <c r="F9" t="s">
        <v>1859</v>
      </c>
      <c r="J9" s="9">
        <v>45108</v>
      </c>
      <c r="K9" s="9">
        <v>45473</v>
      </c>
      <c r="L9">
        <f>IF(CLIMATE_API[[#This Row],[Alternative_Data_Approval_Status]]="Approved",CLIMATE_API[[#This Row],[Effective_Precipitation_inches_Alternative]],CLIMATE_API[[#This Row],[Effective_Precipitation_inches]])</f>
        <v>7.99</v>
      </c>
      <c r="M9">
        <f>IF(CLIMATE_API[[#This Row],[Alternative_Data_Approval_Status]]="Approved",CLIMATE_API[[#This Row],[Eto_inches_Alternative]],CLIMATE_API[[#This Row],[Eto_inches]])</f>
        <v>52.21</v>
      </c>
    </row>
    <row r="10" spans="1:13" x14ac:dyDescent="0.25">
      <c r="A10" t="s">
        <v>737</v>
      </c>
      <c r="B10" t="s">
        <v>3577</v>
      </c>
      <c r="C10">
        <v>50.76</v>
      </c>
      <c r="D10">
        <v>14.65</v>
      </c>
      <c r="E10">
        <v>3.66</v>
      </c>
      <c r="F10" t="s">
        <v>1859</v>
      </c>
      <c r="J10" s="9">
        <v>45108</v>
      </c>
      <c r="K10" s="9">
        <v>45473</v>
      </c>
      <c r="L10">
        <f>IF(CLIMATE_API[[#This Row],[Alternative_Data_Approval_Status]]="Approved",CLIMATE_API[[#This Row],[Effective_Precipitation_inches_Alternative]],CLIMATE_API[[#This Row],[Effective_Precipitation_inches]])</f>
        <v>3.66</v>
      </c>
      <c r="M10">
        <f>IF(CLIMATE_API[[#This Row],[Alternative_Data_Approval_Status]]="Approved",CLIMATE_API[[#This Row],[Eto_inches_Alternative]],CLIMATE_API[[#This Row],[Eto_inches]])</f>
        <v>50.76</v>
      </c>
    </row>
    <row r="11" spans="1:13" x14ac:dyDescent="0.25">
      <c r="A11" t="s">
        <v>742</v>
      </c>
      <c r="B11" t="s">
        <v>743</v>
      </c>
      <c r="C11">
        <v>63.32</v>
      </c>
      <c r="D11">
        <v>10.18</v>
      </c>
      <c r="E11">
        <v>2.5499999999999998</v>
      </c>
      <c r="F11" t="s">
        <v>1859</v>
      </c>
      <c r="J11" s="9">
        <v>45108</v>
      </c>
      <c r="K11" s="9">
        <v>45473</v>
      </c>
      <c r="L11">
        <f>IF(CLIMATE_API[[#This Row],[Alternative_Data_Approval_Status]]="Approved",CLIMATE_API[[#This Row],[Effective_Precipitation_inches_Alternative]],CLIMATE_API[[#This Row],[Effective_Precipitation_inches]])</f>
        <v>2.5499999999999998</v>
      </c>
      <c r="M11">
        <f>IF(CLIMATE_API[[#This Row],[Alternative_Data_Approval_Status]]="Approved",CLIMATE_API[[#This Row],[Eto_inches_Alternative]],CLIMATE_API[[#This Row],[Eto_inches]])</f>
        <v>63.32</v>
      </c>
    </row>
    <row r="12" spans="1:13" x14ac:dyDescent="0.25">
      <c r="A12" t="s">
        <v>746</v>
      </c>
      <c r="B12" t="s">
        <v>3578</v>
      </c>
      <c r="C12">
        <v>52.32</v>
      </c>
      <c r="D12">
        <v>28.34</v>
      </c>
      <c r="E12">
        <v>7.08</v>
      </c>
      <c r="F12" t="s">
        <v>1859</v>
      </c>
      <c r="J12" s="9">
        <v>45108</v>
      </c>
      <c r="K12" s="9">
        <v>45473</v>
      </c>
      <c r="L12">
        <f>IF(CLIMATE_API[[#This Row],[Alternative_Data_Approval_Status]]="Approved",CLIMATE_API[[#This Row],[Effective_Precipitation_inches_Alternative]],CLIMATE_API[[#This Row],[Effective_Precipitation_inches]])</f>
        <v>7.08</v>
      </c>
      <c r="M12">
        <f>IF(CLIMATE_API[[#This Row],[Alternative_Data_Approval_Status]]="Approved",CLIMATE_API[[#This Row],[Eto_inches_Alternative]],CLIMATE_API[[#This Row],[Eto_inches]])</f>
        <v>52.32</v>
      </c>
    </row>
    <row r="13" spans="1:13" x14ac:dyDescent="0.25">
      <c r="A13" t="s">
        <v>750</v>
      </c>
      <c r="B13" t="s">
        <v>3579</v>
      </c>
      <c r="C13">
        <v>31.98</v>
      </c>
      <c r="D13">
        <v>59.69</v>
      </c>
      <c r="E13">
        <v>13.42</v>
      </c>
      <c r="F13" t="s">
        <v>1859</v>
      </c>
      <c r="J13" s="9">
        <v>45108</v>
      </c>
      <c r="K13" s="9">
        <v>45473</v>
      </c>
      <c r="L13">
        <f>IF(CLIMATE_API[[#This Row],[Alternative_Data_Approval_Status]]="Approved",CLIMATE_API[[#This Row],[Effective_Precipitation_inches_Alternative]],CLIMATE_API[[#This Row],[Effective_Precipitation_inches]])</f>
        <v>13.42</v>
      </c>
      <c r="M13">
        <f>IF(CLIMATE_API[[#This Row],[Alternative_Data_Approval_Status]]="Approved",CLIMATE_API[[#This Row],[Eto_inches_Alternative]],CLIMATE_API[[#This Row],[Eto_inches]])</f>
        <v>31.98</v>
      </c>
    </row>
    <row r="14" spans="1:13" x14ac:dyDescent="0.25">
      <c r="A14" t="s">
        <v>757</v>
      </c>
      <c r="B14" t="s">
        <v>3580</v>
      </c>
      <c r="C14">
        <v>44.36</v>
      </c>
      <c r="D14">
        <v>20.79</v>
      </c>
      <c r="E14">
        <v>5.2</v>
      </c>
      <c r="F14" t="s">
        <v>1859</v>
      </c>
      <c r="J14" s="9">
        <v>45108</v>
      </c>
      <c r="K14" s="9">
        <v>45473</v>
      </c>
      <c r="L14">
        <f>IF(CLIMATE_API[[#This Row],[Alternative_Data_Approval_Status]]="Approved",CLIMATE_API[[#This Row],[Effective_Precipitation_inches_Alternative]],CLIMATE_API[[#This Row],[Effective_Precipitation_inches]])</f>
        <v>5.2</v>
      </c>
      <c r="M14">
        <f>IF(CLIMATE_API[[#This Row],[Alternative_Data_Approval_Status]]="Approved",CLIMATE_API[[#This Row],[Eto_inches_Alternative]],CLIMATE_API[[#This Row],[Eto_inches]])</f>
        <v>44.36</v>
      </c>
    </row>
    <row r="15" spans="1:13" x14ac:dyDescent="0.25">
      <c r="A15" t="s">
        <v>762</v>
      </c>
      <c r="B15" t="s">
        <v>763</v>
      </c>
      <c r="C15">
        <v>64.849999999999994</v>
      </c>
      <c r="D15">
        <v>10.62</v>
      </c>
      <c r="E15">
        <v>2.65</v>
      </c>
      <c r="F15" t="s">
        <v>1859</v>
      </c>
      <c r="J15" s="9">
        <v>45108</v>
      </c>
      <c r="K15" s="9">
        <v>45473</v>
      </c>
      <c r="L15">
        <f>IF(CLIMATE_API[[#This Row],[Alternative_Data_Approval_Status]]="Approved",CLIMATE_API[[#This Row],[Effective_Precipitation_inches_Alternative]],CLIMATE_API[[#This Row],[Effective_Precipitation_inches]])</f>
        <v>2.65</v>
      </c>
      <c r="M15">
        <f>IF(CLIMATE_API[[#This Row],[Alternative_Data_Approval_Status]]="Approved",CLIMATE_API[[#This Row],[Eto_inches_Alternative]],CLIMATE_API[[#This Row],[Eto_inches]])</f>
        <v>64.849999999999994</v>
      </c>
    </row>
    <row r="16" spans="1:13" x14ac:dyDescent="0.25">
      <c r="A16" t="s">
        <v>767</v>
      </c>
      <c r="B16" t="s">
        <v>768</v>
      </c>
      <c r="C16">
        <v>49.04</v>
      </c>
      <c r="D16">
        <v>27.21</v>
      </c>
      <c r="E16">
        <v>6.8</v>
      </c>
      <c r="F16" t="s">
        <v>1859</v>
      </c>
      <c r="J16" s="9">
        <v>45108</v>
      </c>
      <c r="K16" s="9">
        <v>45473</v>
      </c>
      <c r="L16">
        <f>IF(CLIMATE_API[[#This Row],[Alternative_Data_Approval_Status]]="Approved",CLIMATE_API[[#This Row],[Effective_Precipitation_inches_Alternative]],CLIMATE_API[[#This Row],[Effective_Precipitation_inches]])</f>
        <v>6.8</v>
      </c>
      <c r="M16">
        <f>IF(CLIMATE_API[[#This Row],[Alternative_Data_Approval_Status]]="Approved",CLIMATE_API[[#This Row],[Eto_inches_Alternative]],CLIMATE_API[[#This Row],[Eto_inches]])</f>
        <v>49.04</v>
      </c>
    </row>
    <row r="17" spans="1:13" x14ac:dyDescent="0.25">
      <c r="A17" t="s">
        <v>771</v>
      </c>
      <c r="B17" t="s">
        <v>3581</v>
      </c>
      <c r="C17">
        <v>54.01</v>
      </c>
      <c r="D17">
        <v>15.41</v>
      </c>
      <c r="E17">
        <v>3.85</v>
      </c>
      <c r="F17" t="s">
        <v>1859</v>
      </c>
      <c r="J17" s="9">
        <v>45108</v>
      </c>
      <c r="K17" s="9">
        <v>45473</v>
      </c>
      <c r="L17">
        <f>IF(CLIMATE_API[[#This Row],[Alternative_Data_Approval_Status]]="Approved",CLIMATE_API[[#This Row],[Effective_Precipitation_inches_Alternative]],CLIMATE_API[[#This Row],[Effective_Precipitation_inches]])</f>
        <v>3.85</v>
      </c>
      <c r="M17">
        <f>IF(CLIMATE_API[[#This Row],[Alternative_Data_Approval_Status]]="Approved",CLIMATE_API[[#This Row],[Eto_inches_Alternative]],CLIMATE_API[[#This Row],[Eto_inches]])</f>
        <v>54.01</v>
      </c>
    </row>
    <row r="18" spans="1:13" x14ac:dyDescent="0.25">
      <c r="A18" t="s">
        <v>776</v>
      </c>
      <c r="B18" t="s">
        <v>3582</v>
      </c>
      <c r="C18">
        <v>53.19</v>
      </c>
      <c r="D18">
        <v>27.59</v>
      </c>
      <c r="E18">
        <v>6.9</v>
      </c>
      <c r="F18" t="s">
        <v>1859</v>
      </c>
      <c r="J18" s="9">
        <v>45108</v>
      </c>
      <c r="K18" s="9">
        <v>45473</v>
      </c>
      <c r="L18">
        <f>IF(CLIMATE_API[[#This Row],[Alternative_Data_Approval_Status]]="Approved",CLIMATE_API[[#This Row],[Effective_Precipitation_inches_Alternative]],CLIMATE_API[[#This Row],[Effective_Precipitation_inches]])</f>
        <v>6.9</v>
      </c>
      <c r="M18">
        <f>IF(CLIMATE_API[[#This Row],[Alternative_Data_Approval_Status]]="Approved",CLIMATE_API[[#This Row],[Eto_inches_Alternative]],CLIMATE_API[[#This Row],[Eto_inches]])</f>
        <v>53.19</v>
      </c>
    </row>
    <row r="19" spans="1:13" x14ac:dyDescent="0.25">
      <c r="A19" t="s">
        <v>780</v>
      </c>
      <c r="B19" t="s">
        <v>3583</v>
      </c>
      <c r="C19">
        <v>62.01</v>
      </c>
      <c r="D19">
        <v>8.8800000000000008</v>
      </c>
      <c r="E19">
        <v>2.2200000000000002</v>
      </c>
      <c r="F19" t="s">
        <v>1859</v>
      </c>
      <c r="J19" s="9">
        <v>45108</v>
      </c>
      <c r="K19" s="9">
        <v>45473</v>
      </c>
      <c r="L19">
        <f>IF(CLIMATE_API[[#This Row],[Alternative_Data_Approval_Status]]="Approved",CLIMATE_API[[#This Row],[Effective_Precipitation_inches_Alternative]],CLIMATE_API[[#This Row],[Effective_Precipitation_inches]])</f>
        <v>2.2200000000000002</v>
      </c>
      <c r="M19">
        <f>IF(CLIMATE_API[[#This Row],[Alternative_Data_Approval_Status]]="Approved",CLIMATE_API[[#This Row],[Eto_inches_Alternative]],CLIMATE_API[[#This Row],[Eto_inches]])</f>
        <v>62.01</v>
      </c>
    </row>
    <row r="20" spans="1:13" x14ac:dyDescent="0.25">
      <c r="A20" t="s">
        <v>784</v>
      </c>
      <c r="B20" t="s">
        <v>785</v>
      </c>
      <c r="C20">
        <v>55.47</v>
      </c>
      <c r="D20">
        <v>10.38</v>
      </c>
      <c r="E20">
        <v>2.59</v>
      </c>
      <c r="F20" t="s">
        <v>1859</v>
      </c>
      <c r="J20" s="9">
        <v>45108</v>
      </c>
      <c r="K20" s="9">
        <v>45473</v>
      </c>
      <c r="L20">
        <f>IF(CLIMATE_API[[#This Row],[Alternative_Data_Approval_Status]]="Approved",CLIMATE_API[[#This Row],[Effective_Precipitation_inches_Alternative]],CLIMATE_API[[#This Row],[Effective_Precipitation_inches]])</f>
        <v>2.59</v>
      </c>
      <c r="M20">
        <f>IF(CLIMATE_API[[#This Row],[Alternative_Data_Approval_Status]]="Approved",CLIMATE_API[[#This Row],[Eto_inches_Alternative]],CLIMATE_API[[#This Row],[Eto_inches]])</f>
        <v>55.47</v>
      </c>
    </row>
    <row r="21" spans="1:13" x14ac:dyDescent="0.25">
      <c r="A21" t="s">
        <v>789</v>
      </c>
      <c r="B21" t="s">
        <v>3584</v>
      </c>
      <c r="C21">
        <v>61.57</v>
      </c>
      <c r="D21">
        <v>20.43</v>
      </c>
      <c r="E21">
        <v>5.1100000000000003</v>
      </c>
      <c r="F21" t="s">
        <v>1859</v>
      </c>
      <c r="J21" s="9">
        <v>45108</v>
      </c>
      <c r="K21" s="9">
        <v>45473</v>
      </c>
      <c r="L21">
        <f>IF(CLIMATE_API[[#This Row],[Alternative_Data_Approval_Status]]="Approved",CLIMATE_API[[#This Row],[Effective_Precipitation_inches_Alternative]],CLIMATE_API[[#This Row],[Effective_Precipitation_inches]])</f>
        <v>5.1100000000000003</v>
      </c>
      <c r="M21">
        <f>IF(CLIMATE_API[[#This Row],[Alternative_Data_Approval_Status]]="Approved",CLIMATE_API[[#This Row],[Eto_inches_Alternative]],CLIMATE_API[[#This Row],[Eto_inches]])</f>
        <v>61.57</v>
      </c>
    </row>
    <row r="22" spans="1:13" x14ac:dyDescent="0.25">
      <c r="A22" t="s">
        <v>794</v>
      </c>
      <c r="B22" t="s">
        <v>795</v>
      </c>
      <c r="J22" s="9">
        <v>45108</v>
      </c>
      <c r="K22" s="9">
        <v>45473</v>
      </c>
      <c r="L22">
        <f>IF(CLIMATE_API[[#This Row],[Alternative_Data_Approval_Status]]="Approved",CLIMATE_API[[#This Row],[Effective_Precipitation_inches_Alternative]],CLIMATE_API[[#This Row],[Effective_Precipitation_inches]])</f>
        <v>0</v>
      </c>
      <c r="M22">
        <f>IF(CLIMATE_API[[#This Row],[Alternative_Data_Approval_Status]]="Approved",CLIMATE_API[[#This Row],[Eto_inches_Alternative]],CLIMATE_API[[#This Row],[Eto_inches]])</f>
        <v>0</v>
      </c>
    </row>
    <row r="23" spans="1:13" x14ac:dyDescent="0.25">
      <c r="A23" t="s">
        <v>798</v>
      </c>
      <c r="B23" t="s">
        <v>799</v>
      </c>
      <c r="C23">
        <v>60.49</v>
      </c>
      <c r="D23">
        <v>20.71</v>
      </c>
      <c r="E23">
        <v>5.18</v>
      </c>
      <c r="F23" t="s">
        <v>1859</v>
      </c>
      <c r="J23" s="9">
        <v>45108</v>
      </c>
      <c r="K23" s="9">
        <v>45473</v>
      </c>
      <c r="L23">
        <f>IF(CLIMATE_API[[#This Row],[Alternative_Data_Approval_Status]]="Approved",CLIMATE_API[[#This Row],[Effective_Precipitation_inches_Alternative]],CLIMATE_API[[#This Row],[Effective_Precipitation_inches]])</f>
        <v>5.18</v>
      </c>
      <c r="M23">
        <f>IF(CLIMATE_API[[#This Row],[Alternative_Data_Approval_Status]]="Approved",CLIMATE_API[[#This Row],[Eto_inches_Alternative]],CLIMATE_API[[#This Row],[Eto_inches]])</f>
        <v>60.49</v>
      </c>
    </row>
    <row r="24" spans="1:13" x14ac:dyDescent="0.25">
      <c r="A24" t="s">
        <v>802</v>
      </c>
      <c r="B24" t="s">
        <v>803</v>
      </c>
      <c r="C24">
        <v>51.72</v>
      </c>
      <c r="D24">
        <v>45.67</v>
      </c>
      <c r="E24">
        <v>10.85</v>
      </c>
      <c r="F24" t="s">
        <v>1859</v>
      </c>
      <c r="J24" s="9">
        <v>45108</v>
      </c>
      <c r="K24" s="9">
        <v>45473</v>
      </c>
      <c r="L24">
        <f>IF(CLIMATE_API[[#This Row],[Alternative_Data_Approval_Status]]="Approved",CLIMATE_API[[#This Row],[Effective_Precipitation_inches_Alternative]],CLIMATE_API[[#This Row],[Effective_Precipitation_inches]])</f>
        <v>10.85</v>
      </c>
      <c r="M24">
        <f>IF(CLIMATE_API[[#This Row],[Alternative_Data_Approval_Status]]="Approved",CLIMATE_API[[#This Row],[Eto_inches_Alternative]],CLIMATE_API[[#This Row],[Eto_inches]])</f>
        <v>51.72</v>
      </c>
    </row>
    <row r="25" spans="1:13" x14ac:dyDescent="0.25">
      <c r="A25" t="s">
        <v>806</v>
      </c>
      <c r="B25" t="s">
        <v>807</v>
      </c>
      <c r="C25">
        <v>46.47</v>
      </c>
      <c r="D25">
        <v>22.71</v>
      </c>
      <c r="E25">
        <v>5.68</v>
      </c>
      <c r="F25" t="s">
        <v>1859</v>
      </c>
      <c r="J25" s="9">
        <v>45108</v>
      </c>
      <c r="K25" s="9">
        <v>45473</v>
      </c>
      <c r="L25">
        <f>IF(CLIMATE_API[[#This Row],[Alternative_Data_Approval_Status]]="Approved",CLIMATE_API[[#This Row],[Effective_Precipitation_inches_Alternative]],CLIMATE_API[[#This Row],[Effective_Precipitation_inches]])</f>
        <v>5.68</v>
      </c>
      <c r="M25">
        <f>IF(CLIMATE_API[[#This Row],[Alternative_Data_Approval_Status]]="Approved",CLIMATE_API[[#This Row],[Eto_inches_Alternative]],CLIMATE_API[[#This Row],[Eto_inches]])</f>
        <v>46.47</v>
      </c>
    </row>
    <row r="26" spans="1:13" x14ac:dyDescent="0.25">
      <c r="A26" t="s">
        <v>810</v>
      </c>
      <c r="B26" t="s">
        <v>3585</v>
      </c>
      <c r="C26">
        <v>48</v>
      </c>
      <c r="D26">
        <v>18.690000000000001</v>
      </c>
      <c r="E26">
        <v>4.67</v>
      </c>
      <c r="F26" t="s">
        <v>1859</v>
      </c>
      <c r="J26" s="9">
        <v>45108</v>
      </c>
      <c r="K26" s="9">
        <v>45473</v>
      </c>
      <c r="L26">
        <f>IF(CLIMATE_API[[#This Row],[Alternative_Data_Approval_Status]]="Approved",CLIMATE_API[[#This Row],[Effective_Precipitation_inches_Alternative]],CLIMATE_API[[#This Row],[Effective_Precipitation_inches]])</f>
        <v>4.67</v>
      </c>
      <c r="M26">
        <f>IF(CLIMATE_API[[#This Row],[Alternative_Data_Approval_Status]]="Approved",CLIMATE_API[[#This Row],[Eto_inches_Alternative]],CLIMATE_API[[#This Row],[Eto_inches]])</f>
        <v>48</v>
      </c>
    </row>
    <row r="27" spans="1:13" x14ac:dyDescent="0.25">
      <c r="A27" t="s">
        <v>815</v>
      </c>
      <c r="B27" t="s">
        <v>3586</v>
      </c>
      <c r="C27">
        <v>48.83</v>
      </c>
      <c r="D27">
        <v>29.9</v>
      </c>
      <c r="E27">
        <v>7.11</v>
      </c>
      <c r="F27" t="s">
        <v>1859</v>
      </c>
      <c r="J27" s="9">
        <v>45108</v>
      </c>
      <c r="K27" s="9">
        <v>45473</v>
      </c>
      <c r="L27">
        <f>IF(CLIMATE_API[[#This Row],[Alternative_Data_Approval_Status]]="Approved",CLIMATE_API[[#This Row],[Effective_Precipitation_inches_Alternative]],CLIMATE_API[[#This Row],[Effective_Precipitation_inches]])</f>
        <v>7.11</v>
      </c>
      <c r="M27">
        <f>IF(CLIMATE_API[[#This Row],[Alternative_Data_Approval_Status]]="Approved",CLIMATE_API[[#This Row],[Eto_inches_Alternative]],CLIMATE_API[[#This Row],[Eto_inches]])</f>
        <v>48.83</v>
      </c>
    </row>
    <row r="28" spans="1:13" x14ac:dyDescent="0.25">
      <c r="A28" t="s">
        <v>819</v>
      </c>
      <c r="B28" t="s">
        <v>820</v>
      </c>
      <c r="C28">
        <v>54.92</v>
      </c>
      <c r="D28">
        <v>23.96</v>
      </c>
      <c r="E28">
        <v>5.99</v>
      </c>
      <c r="F28" t="s">
        <v>1859</v>
      </c>
      <c r="J28" s="9">
        <v>45108</v>
      </c>
      <c r="K28" s="9">
        <v>45473</v>
      </c>
      <c r="L28">
        <f>IF(CLIMATE_API[[#This Row],[Alternative_Data_Approval_Status]]="Approved",CLIMATE_API[[#This Row],[Effective_Precipitation_inches_Alternative]],CLIMATE_API[[#This Row],[Effective_Precipitation_inches]])</f>
        <v>5.99</v>
      </c>
      <c r="M28">
        <f>IF(CLIMATE_API[[#This Row],[Alternative_Data_Approval_Status]]="Approved",CLIMATE_API[[#This Row],[Eto_inches_Alternative]],CLIMATE_API[[#This Row],[Eto_inches]])</f>
        <v>54.92</v>
      </c>
    </row>
    <row r="29" spans="1:13" x14ac:dyDescent="0.25">
      <c r="A29" t="s">
        <v>823</v>
      </c>
      <c r="B29" t="s">
        <v>3587</v>
      </c>
      <c r="C29">
        <v>53.89</v>
      </c>
      <c r="D29">
        <v>25.54</v>
      </c>
      <c r="E29">
        <v>6.39</v>
      </c>
      <c r="F29" t="s">
        <v>1859</v>
      </c>
      <c r="J29" s="9">
        <v>45108</v>
      </c>
      <c r="K29" s="9">
        <v>45473</v>
      </c>
      <c r="L29">
        <f>IF(CLIMATE_API[[#This Row],[Alternative_Data_Approval_Status]]="Approved",CLIMATE_API[[#This Row],[Effective_Precipitation_inches_Alternative]],CLIMATE_API[[#This Row],[Effective_Precipitation_inches]])</f>
        <v>6.39</v>
      </c>
      <c r="M29">
        <f>IF(CLIMATE_API[[#This Row],[Alternative_Data_Approval_Status]]="Approved",CLIMATE_API[[#This Row],[Eto_inches_Alternative]],CLIMATE_API[[#This Row],[Eto_inches]])</f>
        <v>53.89</v>
      </c>
    </row>
    <row r="30" spans="1:13" x14ac:dyDescent="0.25">
      <c r="A30" t="s">
        <v>833</v>
      </c>
      <c r="B30" t="s">
        <v>3588</v>
      </c>
      <c r="C30">
        <v>83</v>
      </c>
      <c r="D30">
        <v>3.4</v>
      </c>
      <c r="E30">
        <v>0.85</v>
      </c>
      <c r="F30" t="s">
        <v>1859</v>
      </c>
      <c r="J30" s="9">
        <v>45108</v>
      </c>
      <c r="K30" s="9">
        <v>45473</v>
      </c>
      <c r="L30">
        <f>IF(CLIMATE_API[[#This Row],[Alternative_Data_Approval_Status]]="Approved",CLIMATE_API[[#This Row],[Effective_Precipitation_inches_Alternative]],CLIMATE_API[[#This Row],[Effective_Precipitation_inches]])</f>
        <v>0.85</v>
      </c>
      <c r="M30">
        <f>IF(CLIMATE_API[[#This Row],[Alternative_Data_Approval_Status]]="Approved",CLIMATE_API[[#This Row],[Eto_inches_Alternative]],CLIMATE_API[[#This Row],[Eto_inches]])</f>
        <v>83</v>
      </c>
    </row>
    <row r="31" spans="1:13" x14ac:dyDescent="0.25">
      <c r="A31" t="s">
        <v>837</v>
      </c>
      <c r="B31" t="s">
        <v>3589</v>
      </c>
      <c r="C31">
        <v>78.52</v>
      </c>
      <c r="D31">
        <v>4.59</v>
      </c>
      <c r="E31">
        <v>1.1499999999999999</v>
      </c>
      <c r="F31" t="s">
        <v>1859</v>
      </c>
      <c r="J31" s="9">
        <v>45108</v>
      </c>
      <c r="K31" s="9">
        <v>45473</v>
      </c>
      <c r="L31">
        <f>IF(CLIMATE_API[[#This Row],[Alternative_Data_Approval_Status]]="Approved",CLIMATE_API[[#This Row],[Effective_Precipitation_inches_Alternative]],CLIMATE_API[[#This Row],[Effective_Precipitation_inches]])</f>
        <v>1.1499999999999999</v>
      </c>
      <c r="M31">
        <f>IF(CLIMATE_API[[#This Row],[Alternative_Data_Approval_Status]]="Approved",CLIMATE_API[[#This Row],[Eto_inches_Alternative]],CLIMATE_API[[#This Row],[Eto_inches]])</f>
        <v>78.52</v>
      </c>
    </row>
    <row r="32" spans="1:13" x14ac:dyDescent="0.25">
      <c r="A32" t="s">
        <v>842</v>
      </c>
      <c r="B32" t="s">
        <v>3590</v>
      </c>
      <c r="C32">
        <v>50.04</v>
      </c>
      <c r="D32">
        <v>22.34</v>
      </c>
      <c r="E32">
        <v>5.59</v>
      </c>
      <c r="F32" t="s">
        <v>1859</v>
      </c>
      <c r="J32" s="9">
        <v>45108</v>
      </c>
      <c r="K32" s="9">
        <v>45473</v>
      </c>
      <c r="L32">
        <f>IF(CLIMATE_API[[#This Row],[Alternative_Data_Approval_Status]]="Approved",CLIMATE_API[[#This Row],[Effective_Precipitation_inches_Alternative]],CLIMATE_API[[#This Row],[Effective_Precipitation_inches]])</f>
        <v>5.59</v>
      </c>
      <c r="M32">
        <f>IF(CLIMATE_API[[#This Row],[Alternative_Data_Approval_Status]]="Approved",CLIMATE_API[[#This Row],[Eto_inches_Alternative]],CLIMATE_API[[#This Row],[Eto_inches]])</f>
        <v>50.04</v>
      </c>
    </row>
    <row r="33" spans="1:13" x14ac:dyDescent="0.25">
      <c r="A33" t="s">
        <v>846</v>
      </c>
      <c r="B33" t="s">
        <v>847</v>
      </c>
      <c r="C33">
        <v>51.24</v>
      </c>
      <c r="D33">
        <v>14.46</v>
      </c>
      <c r="E33">
        <v>3.61</v>
      </c>
      <c r="F33" t="s">
        <v>1859</v>
      </c>
      <c r="J33" s="9">
        <v>45108</v>
      </c>
      <c r="K33" s="9">
        <v>45473</v>
      </c>
      <c r="L33">
        <f>IF(CLIMATE_API[[#This Row],[Alternative_Data_Approval_Status]]="Approved",CLIMATE_API[[#This Row],[Effective_Precipitation_inches_Alternative]],CLIMATE_API[[#This Row],[Effective_Precipitation_inches]])</f>
        <v>3.61</v>
      </c>
      <c r="M33">
        <f>IF(CLIMATE_API[[#This Row],[Alternative_Data_Approval_Status]]="Approved",CLIMATE_API[[#This Row],[Eto_inches_Alternative]],CLIMATE_API[[#This Row],[Eto_inches]])</f>
        <v>51.24</v>
      </c>
    </row>
    <row r="34" spans="1:13" x14ac:dyDescent="0.25">
      <c r="A34" t="s">
        <v>850</v>
      </c>
      <c r="B34" t="s">
        <v>3591</v>
      </c>
      <c r="C34">
        <v>47.1</v>
      </c>
      <c r="D34">
        <v>21.48</v>
      </c>
      <c r="E34">
        <v>5.37</v>
      </c>
      <c r="F34" t="s">
        <v>1859</v>
      </c>
      <c r="J34" s="9">
        <v>45108</v>
      </c>
      <c r="K34" s="9">
        <v>45473</v>
      </c>
      <c r="L34">
        <f>IF(CLIMATE_API[[#This Row],[Alternative_Data_Approval_Status]]="Approved",CLIMATE_API[[#This Row],[Effective_Precipitation_inches_Alternative]],CLIMATE_API[[#This Row],[Effective_Precipitation_inches]])</f>
        <v>5.37</v>
      </c>
      <c r="M34">
        <f>IF(CLIMATE_API[[#This Row],[Alternative_Data_Approval_Status]]="Approved",CLIMATE_API[[#This Row],[Eto_inches_Alternative]],CLIMATE_API[[#This Row],[Eto_inches]])</f>
        <v>47.1</v>
      </c>
    </row>
    <row r="35" spans="1:13" x14ac:dyDescent="0.25">
      <c r="A35" t="s">
        <v>854</v>
      </c>
      <c r="B35" t="s">
        <v>3592</v>
      </c>
      <c r="C35">
        <v>51.49</v>
      </c>
      <c r="D35">
        <v>27.42</v>
      </c>
      <c r="E35">
        <v>6.86</v>
      </c>
      <c r="F35" t="s">
        <v>1859</v>
      </c>
      <c r="J35" s="9">
        <v>45108</v>
      </c>
      <c r="K35" s="9">
        <v>45473</v>
      </c>
      <c r="L35">
        <f>IF(CLIMATE_API[[#This Row],[Alternative_Data_Approval_Status]]="Approved",CLIMATE_API[[#This Row],[Effective_Precipitation_inches_Alternative]],CLIMATE_API[[#This Row],[Effective_Precipitation_inches]])</f>
        <v>6.86</v>
      </c>
      <c r="M35">
        <f>IF(CLIMATE_API[[#This Row],[Alternative_Data_Approval_Status]]="Approved",CLIMATE_API[[#This Row],[Eto_inches_Alternative]],CLIMATE_API[[#This Row],[Eto_inches]])</f>
        <v>51.49</v>
      </c>
    </row>
    <row r="36" spans="1:13" x14ac:dyDescent="0.25">
      <c r="A36" t="s">
        <v>858</v>
      </c>
      <c r="B36" t="s">
        <v>3593</v>
      </c>
      <c r="C36">
        <v>39.270000000000003</v>
      </c>
      <c r="D36">
        <v>24.07</v>
      </c>
      <c r="E36">
        <v>6.02</v>
      </c>
      <c r="F36" t="s">
        <v>1859</v>
      </c>
      <c r="J36" s="9">
        <v>45108</v>
      </c>
      <c r="K36" s="9">
        <v>45473</v>
      </c>
      <c r="L36">
        <f>IF(CLIMATE_API[[#This Row],[Alternative_Data_Approval_Status]]="Approved",CLIMATE_API[[#This Row],[Effective_Precipitation_inches_Alternative]],CLIMATE_API[[#This Row],[Effective_Precipitation_inches]])</f>
        <v>6.02</v>
      </c>
      <c r="M36">
        <f>IF(CLIMATE_API[[#This Row],[Alternative_Data_Approval_Status]]="Approved",CLIMATE_API[[#This Row],[Eto_inches_Alternative]],CLIMATE_API[[#This Row],[Eto_inches]])</f>
        <v>39.270000000000003</v>
      </c>
    </row>
    <row r="37" spans="1:13" x14ac:dyDescent="0.25">
      <c r="A37" t="s">
        <v>863</v>
      </c>
      <c r="B37" t="s">
        <v>864</v>
      </c>
      <c r="C37">
        <v>52.05</v>
      </c>
      <c r="D37">
        <v>33.729999999999997</v>
      </c>
      <c r="E37">
        <v>8.43</v>
      </c>
      <c r="F37" t="s">
        <v>1859</v>
      </c>
      <c r="J37" s="9">
        <v>45108</v>
      </c>
      <c r="K37" s="9">
        <v>45473</v>
      </c>
      <c r="L37">
        <f>IF(CLIMATE_API[[#This Row],[Alternative_Data_Approval_Status]]="Approved",CLIMATE_API[[#This Row],[Effective_Precipitation_inches_Alternative]],CLIMATE_API[[#This Row],[Effective_Precipitation_inches]])</f>
        <v>8.43</v>
      </c>
      <c r="M37">
        <f>IF(CLIMATE_API[[#This Row],[Alternative_Data_Approval_Status]]="Approved",CLIMATE_API[[#This Row],[Eto_inches_Alternative]],CLIMATE_API[[#This Row],[Eto_inches]])</f>
        <v>52.05</v>
      </c>
    </row>
    <row r="38" spans="1:13" x14ac:dyDescent="0.25">
      <c r="A38" t="s">
        <v>878</v>
      </c>
      <c r="B38" t="s">
        <v>3594</v>
      </c>
      <c r="C38">
        <v>76.66</v>
      </c>
      <c r="D38">
        <v>4.6100000000000003</v>
      </c>
      <c r="E38">
        <v>1.1499999999999999</v>
      </c>
      <c r="F38" t="s">
        <v>1859</v>
      </c>
      <c r="J38" s="9">
        <v>45108</v>
      </c>
      <c r="K38" s="9">
        <v>45473</v>
      </c>
      <c r="L38">
        <f>IF(CLIMATE_API[[#This Row],[Alternative_Data_Approval_Status]]="Approved",CLIMATE_API[[#This Row],[Effective_Precipitation_inches_Alternative]],CLIMATE_API[[#This Row],[Effective_Precipitation_inches]])</f>
        <v>1.1499999999999999</v>
      </c>
      <c r="M38">
        <f>IF(CLIMATE_API[[#This Row],[Alternative_Data_Approval_Status]]="Approved",CLIMATE_API[[#This Row],[Eto_inches_Alternative]],CLIMATE_API[[#This Row],[Eto_inches]])</f>
        <v>76.66</v>
      </c>
    </row>
    <row r="39" spans="1:13" x14ac:dyDescent="0.25">
      <c r="A39" t="s">
        <v>882</v>
      </c>
      <c r="B39" t="s">
        <v>883</v>
      </c>
      <c r="C39">
        <v>51.34</v>
      </c>
      <c r="D39">
        <v>27.8</v>
      </c>
      <c r="E39">
        <v>6.95</v>
      </c>
      <c r="F39" t="s">
        <v>1859</v>
      </c>
      <c r="J39" s="9">
        <v>45108</v>
      </c>
      <c r="K39" s="9">
        <v>45473</v>
      </c>
      <c r="L39">
        <f>IF(CLIMATE_API[[#This Row],[Alternative_Data_Approval_Status]]="Approved",CLIMATE_API[[#This Row],[Effective_Precipitation_inches_Alternative]],CLIMATE_API[[#This Row],[Effective_Precipitation_inches]])</f>
        <v>6.95</v>
      </c>
      <c r="M39">
        <f>IF(CLIMATE_API[[#This Row],[Alternative_Data_Approval_Status]]="Approved",CLIMATE_API[[#This Row],[Eto_inches_Alternative]],CLIMATE_API[[#This Row],[Eto_inches]])</f>
        <v>51.34</v>
      </c>
    </row>
    <row r="40" spans="1:13" x14ac:dyDescent="0.25">
      <c r="A40" t="s">
        <v>890</v>
      </c>
      <c r="B40" t="s">
        <v>891</v>
      </c>
      <c r="C40">
        <v>37.67</v>
      </c>
      <c r="D40">
        <v>21.37</v>
      </c>
      <c r="E40">
        <v>5.34</v>
      </c>
      <c r="F40" t="s">
        <v>1859</v>
      </c>
      <c r="J40" s="9">
        <v>45108</v>
      </c>
      <c r="K40" s="9">
        <v>45473</v>
      </c>
      <c r="L40">
        <f>IF(CLIMATE_API[[#This Row],[Alternative_Data_Approval_Status]]="Approved",CLIMATE_API[[#This Row],[Effective_Precipitation_inches_Alternative]],CLIMATE_API[[#This Row],[Effective_Precipitation_inches]])</f>
        <v>5.34</v>
      </c>
      <c r="M40">
        <f>IF(CLIMATE_API[[#This Row],[Alternative_Data_Approval_Status]]="Approved",CLIMATE_API[[#This Row],[Eto_inches_Alternative]],CLIMATE_API[[#This Row],[Eto_inches]])</f>
        <v>37.67</v>
      </c>
    </row>
    <row r="41" spans="1:13" x14ac:dyDescent="0.25">
      <c r="A41" t="s">
        <v>906</v>
      </c>
      <c r="B41" t="s">
        <v>907</v>
      </c>
      <c r="C41">
        <v>56.8</v>
      </c>
      <c r="D41">
        <v>19.059999999999999</v>
      </c>
      <c r="E41">
        <v>4.7699999999999996</v>
      </c>
      <c r="F41" t="s">
        <v>1859</v>
      </c>
      <c r="J41" s="9">
        <v>45108</v>
      </c>
      <c r="K41" s="9">
        <v>45473</v>
      </c>
      <c r="L41">
        <f>IF(CLIMATE_API[[#This Row],[Alternative_Data_Approval_Status]]="Approved",CLIMATE_API[[#This Row],[Effective_Precipitation_inches_Alternative]],CLIMATE_API[[#This Row],[Effective_Precipitation_inches]])</f>
        <v>4.7699999999999996</v>
      </c>
      <c r="M41">
        <f>IF(CLIMATE_API[[#This Row],[Alternative_Data_Approval_Status]]="Approved",CLIMATE_API[[#This Row],[Eto_inches_Alternative]],CLIMATE_API[[#This Row],[Eto_inches]])</f>
        <v>56.8</v>
      </c>
    </row>
    <row r="42" spans="1:13" x14ac:dyDescent="0.25">
      <c r="A42" t="s">
        <v>906</v>
      </c>
      <c r="B42" t="s">
        <v>907</v>
      </c>
      <c r="C42">
        <v>56.69</v>
      </c>
      <c r="D42">
        <v>18.07</v>
      </c>
      <c r="E42">
        <v>4.5199999999999996</v>
      </c>
      <c r="F42" t="s">
        <v>1859</v>
      </c>
      <c r="J42" s="9">
        <v>45108</v>
      </c>
      <c r="K42" s="9">
        <v>45473</v>
      </c>
      <c r="L42">
        <f>IF(CLIMATE_API[[#This Row],[Alternative_Data_Approval_Status]]="Approved",CLIMATE_API[[#This Row],[Effective_Precipitation_inches_Alternative]],CLIMATE_API[[#This Row],[Effective_Precipitation_inches]])</f>
        <v>4.5199999999999996</v>
      </c>
      <c r="M42">
        <f>IF(CLIMATE_API[[#This Row],[Alternative_Data_Approval_Status]]="Approved",CLIMATE_API[[#This Row],[Eto_inches_Alternative]],CLIMATE_API[[#This Row],[Eto_inches]])</f>
        <v>56.69</v>
      </c>
    </row>
    <row r="43" spans="1:13" x14ac:dyDescent="0.25">
      <c r="A43" t="s">
        <v>933</v>
      </c>
      <c r="B43" t="s">
        <v>3595</v>
      </c>
      <c r="C43">
        <v>45.81</v>
      </c>
      <c r="D43">
        <v>13.07</v>
      </c>
      <c r="E43">
        <v>3.27</v>
      </c>
      <c r="F43" t="s">
        <v>1859</v>
      </c>
      <c r="J43" s="9">
        <v>45108</v>
      </c>
      <c r="K43" s="9">
        <v>45473</v>
      </c>
      <c r="L43">
        <f>IF(CLIMATE_API[[#This Row],[Alternative_Data_Approval_Status]]="Approved",CLIMATE_API[[#This Row],[Effective_Precipitation_inches_Alternative]],CLIMATE_API[[#This Row],[Effective_Precipitation_inches]])</f>
        <v>3.27</v>
      </c>
      <c r="M43">
        <f>IF(CLIMATE_API[[#This Row],[Alternative_Data_Approval_Status]]="Approved",CLIMATE_API[[#This Row],[Eto_inches_Alternative]],CLIMATE_API[[#This Row],[Eto_inches]])</f>
        <v>45.81</v>
      </c>
    </row>
    <row r="44" spans="1:13" x14ac:dyDescent="0.25">
      <c r="A44" t="s">
        <v>938</v>
      </c>
      <c r="B44" t="s">
        <v>939</v>
      </c>
      <c r="C44">
        <v>48.23</v>
      </c>
      <c r="D44">
        <v>26</v>
      </c>
      <c r="E44">
        <v>6.5</v>
      </c>
      <c r="F44" t="s">
        <v>1859</v>
      </c>
      <c r="J44" s="9">
        <v>45108</v>
      </c>
      <c r="K44" s="9">
        <v>45473</v>
      </c>
      <c r="L44">
        <f>IF(CLIMATE_API[[#This Row],[Alternative_Data_Approval_Status]]="Approved",CLIMATE_API[[#This Row],[Effective_Precipitation_inches_Alternative]],CLIMATE_API[[#This Row],[Effective_Precipitation_inches]])</f>
        <v>6.5</v>
      </c>
      <c r="M44">
        <f>IF(CLIMATE_API[[#This Row],[Alternative_Data_Approval_Status]]="Approved",CLIMATE_API[[#This Row],[Eto_inches_Alternative]],CLIMATE_API[[#This Row],[Eto_inches]])</f>
        <v>48.23</v>
      </c>
    </row>
    <row r="45" spans="1:13" x14ac:dyDescent="0.25">
      <c r="A45" t="s">
        <v>945</v>
      </c>
      <c r="B45" t="s">
        <v>946</v>
      </c>
      <c r="C45">
        <v>68.48</v>
      </c>
      <c r="D45">
        <v>10.98</v>
      </c>
      <c r="E45">
        <v>2.75</v>
      </c>
      <c r="F45" t="s">
        <v>1859</v>
      </c>
      <c r="J45" s="9">
        <v>45108</v>
      </c>
      <c r="K45" s="9">
        <v>45473</v>
      </c>
      <c r="L45">
        <f>IF(CLIMATE_API[[#This Row],[Alternative_Data_Approval_Status]]="Approved",CLIMATE_API[[#This Row],[Effective_Precipitation_inches_Alternative]],CLIMATE_API[[#This Row],[Effective_Precipitation_inches]])</f>
        <v>2.75</v>
      </c>
      <c r="M45">
        <f>IF(CLIMATE_API[[#This Row],[Alternative_Data_Approval_Status]]="Approved",CLIMATE_API[[#This Row],[Eto_inches_Alternative]],CLIMATE_API[[#This Row],[Eto_inches]])</f>
        <v>68.48</v>
      </c>
    </row>
    <row r="46" spans="1:13" x14ac:dyDescent="0.25">
      <c r="A46" t="s">
        <v>949</v>
      </c>
      <c r="B46" t="s">
        <v>950</v>
      </c>
      <c r="C46">
        <v>62.51</v>
      </c>
      <c r="D46">
        <v>9.69</v>
      </c>
      <c r="E46">
        <v>2.42</v>
      </c>
      <c r="F46" t="s">
        <v>1859</v>
      </c>
      <c r="J46" s="9">
        <v>45108</v>
      </c>
      <c r="K46" s="9">
        <v>45473</v>
      </c>
      <c r="L46">
        <f>IF(CLIMATE_API[[#This Row],[Alternative_Data_Approval_Status]]="Approved",CLIMATE_API[[#This Row],[Effective_Precipitation_inches_Alternative]],CLIMATE_API[[#This Row],[Effective_Precipitation_inches]])</f>
        <v>2.42</v>
      </c>
      <c r="M46">
        <f>IF(CLIMATE_API[[#This Row],[Alternative_Data_Approval_Status]]="Approved",CLIMATE_API[[#This Row],[Eto_inches_Alternative]],CLIMATE_API[[#This Row],[Eto_inches]])</f>
        <v>62.51</v>
      </c>
    </row>
    <row r="47" spans="1:13" x14ac:dyDescent="0.25">
      <c r="A47" t="s">
        <v>955</v>
      </c>
      <c r="B47" t="s">
        <v>956</v>
      </c>
      <c r="C47">
        <v>37.049999999999997</v>
      </c>
      <c r="D47">
        <v>32.58</v>
      </c>
      <c r="E47">
        <v>8.15</v>
      </c>
      <c r="F47" t="s">
        <v>1859</v>
      </c>
      <c r="J47" s="9">
        <v>45108</v>
      </c>
      <c r="K47" s="9">
        <v>45473</v>
      </c>
      <c r="L47">
        <f>IF(CLIMATE_API[[#This Row],[Alternative_Data_Approval_Status]]="Approved",CLIMATE_API[[#This Row],[Effective_Precipitation_inches_Alternative]],CLIMATE_API[[#This Row],[Effective_Precipitation_inches]])</f>
        <v>8.15</v>
      </c>
      <c r="M47">
        <f>IF(CLIMATE_API[[#This Row],[Alternative_Data_Approval_Status]]="Approved",CLIMATE_API[[#This Row],[Eto_inches_Alternative]],CLIMATE_API[[#This Row],[Eto_inches]])</f>
        <v>37.049999999999997</v>
      </c>
    </row>
    <row r="48" spans="1:13" x14ac:dyDescent="0.25">
      <c r="A48" t="s">
        <v>959</v>
      </c>
      <c r="B48" t="s">
        <v>960</v>
      </c>
      <c r="C48">
        <v>52</v>
      </c>
      <c r="D48">
        <v>25.95</v>
      </c>
      <c r="E48">
        <v>6.49</v>
      </c>
      <c r="F48" t="s">
        <v>1859</v>
      </c>
      <c r="J48" s="9">
        <v>45108</v>
      </c>
      <c r="K48" s="9">
        <v>45473</v>
      </c>
      <c r="L48">
        <f>IF(CLIMATE_API[[#This Row],[Alternative_Data_Approval_Status]]="Approved",CLIMATE_API[[#This Row],[Effective_Precipitation_inches_Alternative]],CLIMATE_API[[#This Row],[Effective_Precipitation_inches]])</f>
        <v>6.49</v>
      </c>
      <c r="M48">
        <f>IF(CLIMATE_API[[#This Row],[Alternative_Data_Approval_Status]]="Approved",CLIMATE_API[[#This Row],[Eto_inches_Alternative]],CLIMATE_API[[#This Row],[Eto_inches]])</f>
        <v>52</v>
      </c>
    </row>
    <row r="49" spans="1:13" x14ac:dyDescent="0.25">
      <c r="A49" t="s">
        <v>967</v>
      </c>
      <c r="B49" t="s">
        <v>968</v>
      </c>
      <c r="J49" s="9">
        <v>45108</v>
      </c>
      <c r="K49" s="9">
        <v>45473</v>
      </c>
      <c r="L49">
        <f>IF(CLIMATE_API[[#This Row],[Alternative_Data_Approval_Status]]="Approved",CLIMATE_API[[#This Row],[Effective_Precipitation_inches_Alternative]],CLIMATE_API[[#This Row],[Effective_Precipitation_inches]])</f>
        <v>0</v>
      </c>
      <c r="M49">
        <f>IF(CLIMATE_API[[#This Row],[Alternative_Data_Approval_Status]]="Approved",CLIMATE_API[[#This Row],[Eto_inches_Alternative]],CLIMATE_API[[#This Row],[Eto_inches]])</f>
        <v>0</v>
      </c>
    </row>
    <row r="50" spans="1:13" x14ac:dyDescent="0.25">
      <c r="A50" t="s">
        <v>971</v>
      </c>
      <c r="B50" t="s">
        <v>972</v>
      </c>
      <c r="C50">
        <v>44.27</v>
      </c>
      <c r="D50">
        <v>22.86</v>
      </c>
      <c r="E50">
        <v>5.71</v>
      </c>
      <c r="F50" t="s">
        <v>1859</v>
      </c>
      <c r="J50" s="9">
        <v>45108</v>
      </c>
      <c r="K50" s="9">
        <v>45473</v>
      </c>
      <c r="L50">
        <f>IF(CLIMATE_API[[#This Row],[Alternative_Data_Approval_Status]]="Approved",CLIMATE_API[[#This Row],[Effective_Precipitation_inches_Alternative]],CLIMATE_API[[#This Row],[Effective_Precipitation_inches]])</f>
        <v>5.71</v>
      </c>
      <c r="M50">
        <f>IF(CLIMATE_API[[#This Row],[Alternative_Data_Approval_Status]]="Approved",CLIMATE_API[[#This Row],[Eto_inches_Alternative]],CLIMATE_API[[#This Row],[Eto_inches]])</f>
        <v>44.27</v>
      </c>
    </row>
    <row r="51" spans="1:13" x14ac:dyDescent="0.25">
      <c r="A51" t="s">
        <v>975</v>
      </c>
      <c r="B51" t="s">
        <v>976</v>
      </c>
      <c r="C51">
        <v>49.1</v>
      </c>
      <c r="D51">
        <v>25.73</v>
      </c>
      <c r="E51">
        <v>6.43</v>
      </c>
      <c r="F51" t="s">
        <v>1859</v>
      </c>
      <c r="J51" s="9">
        <v>45108</v>
      </c>
      <c r="K51" s="9">
        <v>45473</v>
      </c>
      <c r="L51">
        <f>IF(CLIMATE_API[[#This Row],[Alternative_Data_Approval_Status]]="Approved",CLIMATE_API[[#This Row],[Effective_Precipitation_inches_Alternative]],CLIMATE_API[[#This Row],[Effective_Precipitation_inches]])</f>
        <v>6.43</v>
      </c>
      <c r="M51">
        <f>IF(CLIMATE_API[[#This Row],[Alternative_Data_Approval_Status]]="Approved",CLIMATE_API[[#This Row],[Eto_inches_Alternative]],CLIMATE_API[[#This Row],[Eto_inches]])</f>
        <v>49.1</v>
      </c>
    </row>
    <row r="52" spans="1:13" x14ac:dyDescent="0.25">
      <c r="A52" t="s">
        <v>979</v>
      </c>
      <c r="B52" t="s">
        <v>980</v>
      </c>
      <c r="C52">
        <v>43.38</v>
      </c>
      <c r="D52">
        <v>22.99</v>
      </c>
      <c r="E52">
        <v>5.75</v>
      </c>
      <c r="F52" t="s">
        <v>1859</v>
      </c>
      <c r="J52" s="9">
        <v>45108</v>
      </c>
      <c r="K52" s="9">
        <v>45473</v>
      </c>
      <c r="L52">
        <f>IF(CLIMATE_API[[#This Row],[Alternative_Data_Approval_Status]]="Approved",CLIMATE_API[[#This Row],[Effective_Precipitation_inches_Alternative]],CLIMATE_API[[#This Row],[Effective_Precipitation_inches]])</f>
        <v>5.75</v>
      </c>
      <c r="M52">
        <f>IF(CLIMATE_API[[#This Row],[Alternative_Data_Approval_Status]]="Approved",CLIMATE_API[[#This Row],[Eto_inches_Alternative]],CLIMATE_API[[#This Row],[Eto_inches]])</f>
        <v>43.38</v>
      </c>
    </row>
    <row r="53" spans="1:13" x14ac:dyDescent="0.25">
      <c r="A53" t="s">
        <v>983</v>
      </c>
      <c r="B53" t="s">
        <v>984</v>
      </c>
      <c r="J53" s="9">
        <v>45108</v>
      </c>
      <c r="K53" s="9">
        <v>45473</v>
      </c>
      <c r="L53">
        <f>IF(CLIMATE_API[[#This Row],[Alternative_Data_Approval_Status]]="Approved",CLIMATE_API[[#This Row],[Effective_Precipitation_inches_Alternative]],CLIMATE_API[[#This Row],[Effective_Precipitation_inches]])</f>
        <v>0</v>
      </c>
      <c r="M53">
        <f>IF(CLIMATE_API[[#This Row],[Alternative_Data_Approval_Status]]="Approved",CLIMATE_API[[#This Row],[Eto_inches_Alternative]],CLIMATE_API[[#This Row],[Eto_inches]])</f>
        <v>0</v>
      </c>
    </row>
    <row r="54" spans="1:13" x14ac:dyDescent="0.25">
      <c r="A54" t="s">
        <v>999</v>
      </c>
      <c r="B54" t="s">
        <v>1000</v>
      </c>
      <c r="C54">
        <v>47.32</v>
      </c>
      <c r="D54">
        <v>16.190000000000001</v>
      </c>
      <c r="E54">
        <v>4.05</v>
      </c>
      <c r="F54" t="s">
        <v>1859</v>
      </c>
      <c r="J54" s="9">
        <v>45108</v>
      </c>
      <c r="K54" s="9">
        <v>45473</v>
      </c>
      <c r="L54">
        <f>IF(CLIMATE_API[[#This Row],[Alternative_Data_Approval_Status]]="Approved",CLIMATE_API[[#This Row],[Effective_Precipitation_inches_Alternative]],CLIMATE_API[[#This Row],[Effective_Precipitation_inches]])</f>
        <v>4.05</v>
      </c>
      <c r="M54">
        <f>IF(CLIMATE_API[[#This Row],[Alternative_Data_Approval_Status]]="Approved",CLIMATE_API[[#This Row],[Eto_inches_Alternative]],CLIMATE_API[[#This Row],[Eto_inches]])</f>
        <v>47.32</v>
      </c>
    </row>
    <row r="55" spans="1:13" x14ac:dyDescent="0.25">
      <c r="A55" t="s">
        <v>1003</v>
      </c>
      <c r="B55" t="s">
        <v>1004</v>
      </c>
      <c r="C55">
        <v>40.630000000000003</v>
      </c>
      <c r="D55">
        <v>20.65</v>
      </c>
      <c r="E55">
        <v>5.16</v>
      </c>
      <c r="F55" t="s">
        <v>1859</v>
      </c>
      <c r="J55" s="9">
        <v>45108</v>
      </c>
      <c r="K55" s="9">
        <v>45473</v>
      </c>
      <c r="L55">
        <f>IF(CLIMATE_API[[#This Row],[Alternative_Data_Approval_Status]]="Approved",CLIMATE_API[[#This Row],[Effective_Precipitation_inches_Alternative]],CLIMATE_API[[#This Row],[Effective_Precipitation_inches]])</f>
        <v>5.16</v>
      </c>
      <c r="M55">
        <f>IF(CLIMATE_API[[#This Row],[Alternative_Data_Approval_Status]]="Approved",CLIMATE_API[[#This Row],[Eto_inches_Alternative]],CLIMATE_API[[#This Row],[Eto_inches]])</f>
        <v>40.630000000000003</v>
      </c>
    </row>
    <row r="56" spans="1:13" x14ac:dyDescent="0.25">
      <c r="A56" t="s">
        <v>1008</v>
      </c>
      <c r="B56" t="s">
        <v>1009</v>
      </c>
      <c r="C56">
        <v>54.71</v>
      </c>
      <c r="D56">
        <v>19.41</v>
      </c>
      <c r="E56">
        <v>4.8499999999999996</v>
      </c>
      <c r="F56" t="s">
        <v>1859</v>
      </c>
      <c r="J56" s="9">
        <v>45108</v>
      </c>
      <c r="K56" s="9">
        <v>45473</v>
      </c>
      <c r="L56">
        <f>IF(CLIMATE_API[[#This Row],[Alternative_Data_Approval_Status]]="Approved",CLIMATE_API[[#This Row],[Effective_Precipitation_inches_Alternative]],CLIMATE_API[[#This Row],[Effective_Precipitation_inches]])</f>
        <v>4.8499999999999996</v>
      </c>
      <c r="M56">
        <f>IF(CLIMATE_API[[#This Row],[Alternative_Data_Approval_Status]]="Approved",CLIMATE_API[[#This Row],[Eto_inches_Alternative]],CLIMATE_API[[#This Row],[Eto_inches]])</f>
        <v>54.71</v>
      </c>
    </row>
    <row r="57" spans="1:13" x14ac:dyDescent="0.25">
      <c r="A57" t="s">
        <v>1013</v>
      </c>
      <c r="B57" t="s">
        <v>1014</v>
      </c>
      <c r="C57">
        <v>52.8</v>
      </c>
      <c r="D57">
        <v>27.14</v>
      </c>
      <c r="E57">
        <v>6.78</v>
      </c>
      <c r="F57" t="s">
        <v>1859</v>
      </c>
      <c r="J57" s="9">
        <v>45108</v>
      </c>
      <c r="K57" s="9">
        <v>45473</v>
      </c>
      <c r="L57">
        <f>IF(CLIMATE_API[[#This Row],[Alternative_Data_Approval_Status]]="Approved",CLIMATE_API[[#This Row],[Effective_Precipitation_inches_Alternative]],CLIMATE_API[[#This Row],[Effective_Precipitation_inches]])</f>
        <v>6.78</v>
      </c>
      <c r="M57">
        <f>IF(CLIMATE_API[[#This Row],[Alternative_Data_Approval_Status]]="Approved",CLIMATE_API[[#This Row],[Eto_inches_Alternative]],CLIMATE_API[[#This Row],[Eto_inches]])</f>
        <v>52.8</v>
      </c>
    </row>
    <row r="58" spans="1:13" x14ac:dyDescent="0.25">
      <c r="A58" t="s">
        <v>1017</v>
      </c>
      <c r="B58" t="s">
        <v>1018</v>
      </c>
      <c r="C58">
        <v>41.18</v>
      </c>
      <c r="D58">
        <v>23.48</v>
      </c>
      <c r="E58">
        <v>5.87</v>
      </c>
      <c r="F58" t="s">
        <v>1859</v>
      </c>
      <c r="J58" s="9">
        <v>45108</v>
      </c>
      <c r="K58" s="9">
        <v>45473</v>
      </c>
      <c r="L58">
        <f>IF(CLIMATE_API[[#This Row],[Alternative_Data_Approval_Status]]="Approved",CLIMATE_API[[#This Row],[Effective_Precipitation_inches_Alternative]],CLIMATE_API[[#This Row],[Effective_Precipitation_inches]])</f>
        <v>5.87</v>
      </c>
      <c r="M58">
        <f>IF(CLIMATE_API[[#This Row],[Alternative_Data_Approval_Status]]="Approved",CLIMATE_API[[#This Row],[Eto_inches_Alternative]],CLIMATE_API[[#This Row],[Eto_inches]])</f>
        <v>41.18</v>
      </c>
    </row>
    <row r="59" spans="1:13" x14ac:dyDescent="0.25">
      <c r="A59" t="s">
        <v>1021</v>
      </c>
      <c r="B59" t="s">
        <v>1022</v>
      </c>
      <c r="C59">
        <v>43.47</v>
      </c>
      <c r="D59">
        <v>18.72</v>
      </c>
      <c r="E59">
        <v>4.68</v>
      </c>
      <c r="F59" t="s">
        <v>1859</v>
      </c>
      <c r="J59" s="9">
        <v>45108</v>
      </c>
      <c r="K59" s="9">
        <v>45473</v>
      </c>
      <c r="L59">
        <f>IF(CLIMATE_API[[#This Row],[Alternative_Data_Approval_Status]]="Approved",CLIMATE_API[[#This Row],[Effective_Precipitation_inches_Alternative]],CLIMATE_API[[#This Row],[Effective_Precipitation_inches]])</f>
        <v>4.68</v>
      </c>
      <c r="M59">
        <f>IF(CLIMATE_API[[#This Row],[Alternative_Data_Approval_Status]]="Approved",CLIMATE_API[[#This Row],[Eto_inches_Alternative]],CLIMATE_API[[#This Row],[Eto_inches]])</f>
        <v>43.47</v>
      </c>
    </row>
    <row r="60" spans="1:13" x14ac:dyDescent="0.25">
      <c r="A60" t="s">
        <v>1033</v>
      </c>
      <c r="B60" t="s">
        <v>1034</v>
      </c>
      <c r="C60">
        <v>39.08</v>
      </c>
      <c r="D60">
        <v>23.31</v>
      </c>
      <c r="E60">
        <v>5.83</v>
      </c>
      <c r="F60" t="s">
        <v>1859</v>
      </c>
      <c r="J60" s="9">
        <v>45108</v>
      </c>
      <c r="K60" s="9">
        <v>45473</v>
      </c>
      <c r="L60">
        <f>IF(CLIMATE_API[[#This Row],[Alternative_Data_Approval_Status]]="Approved",CLIMATE_API[[#This Row],[Effective_Precipitation_inches_Alternative]],CLIMATE_API[[#This Row],[Effective_Precipitation_inches]])</f>
        <v>5.83</v>
      </c>
      <c r="M60">
        <f>IF(CLIMATE_API[[#This Row],[Alternative_Data_Approval_Status]]="Approved",CLIMATE_API[[#This Row],[Eto_inches_Alternative]],CLIMATE_API[[#This Row],[Eto_inches]])</f>
        <v>39.08</v>
      </c>
    </row>
    <row r="61" spans="1:13" x14ac:dyDescent="0.25">
      <c r="A61" t="s">
        <v>1039</v>
      </c>
      <c r="B61" t="s">
        <v>1040</v>
      </c>
      <c r="C61">
        <v>56.13</v>
      </c>
      <c r="D61">
        <v>11</v>
      </c>
      <c r="E61">
        <v>2.75</v>
      </c>
      <c r="F61" t="s">
        <v>1859</v>
      </c>
      <c r="J61" s="9">
        <v>45108</v>
      </c>
      <c r="K61" s="9">
        <v>45473</v>
      </c>
      <c r="L61">
        <f>IF(CLIMATE_API[[#This Row],[Alternative_Data_Approval_Status]]="Approved",CLIMATE_API[[#This Row],[Effective_Precipitation_inches_Alternative]],CLIMATE_API[[#This Row],[Effective_Precipitation_inches]])</f>
        <v>2.75</v>
      </c>
      <c r="M61">
        <f>IF(CLIMATE_API[[#This Row],[Alternative_Data_Approval_Status]]="Approved",CLIMATE_API[[#This Row],[Eto_inches_Alternative]],CLIMATE_API[[#This Row],[Eto_inches]])</f>
        <v>56.13</v>
      </c>
    </row>
    <row r="62" spans="1:13" x14ac:dyDescent="0.25">
      <c r="A62" t="s">
        <v>1043</v>
      </c>
      <c r="B62" t="s">
        <v>1044</v>
      </c>
      <c r="C62">
        <v>38.94</v>
      </c>
      <c r="D62">
        <v>25.66</v>
      </c>
      <c r="E62">
        <v>6.42</v>
      </c>
      <c r="F62" t="s">
        <v>1859</v>
      </c>
      <c r="J62" s="9">
        <v>45108</v>
      </c>
      <c r="K62" s="9">
        <v>45473</v>
      </c>
      <c r="L62">
        <f>IF(CLIMATE_API[[#This Row],[Alternative_Data_Approval_Status]]="Approved",CLIMATE_API[[#This Row],[Effective_Precipitation_inches_Alternative]],CLIMATE_API[[#This Row],[Effective_Precipitation_inches]])</f>
        <v>6.42</v>
      </c>
      <c r="M62">
        <f>IF(CLIMATE_API[[#This Row],[Alternative_Data_Approval_Status]]="Approved",CLIMATE_API[[#This Row],[Eto_inches_Alternative]],CLIMATE_API[[#This Row],[Eto_inches]])</f>
        <v>38.94</v>
      </c>
    </row>
    <row r="63" spans="1:13" x14ac:dyDescent="0.25">
      <c r="A63" t="s">
        <v>1047</v>
      </c>
      <c r="B63" t="s">
        <v>1048</v>
      </c>
      <c r="C63">
        <v>54.3</v>
      </c>
      <c r="D63">
        <v>15.52</v>
      </c>
      <c r="E63">
        <v>3.88</v>
      </c>
      <c r="F63" t="s">
        <v>1859</v>
      </c>
      <c r="J63" s="9">
        <v>45108</v>
      </c>
      <c r="K63" s="9">
        <v>45473</v>
      </c>
      <c r="L63">
        <f>IF(CLIMATE_API[[#This Row],[Alternative_Data_Approval_Status]]="Approved",CLIMATE_API[[#This Row],[Effective_Precipitation_inches_Alternative]],CLIMATE_API[[#This Row],[Effective_Precipitation_inches]])</f>
        <v>3.88</v>
      </c>
      <c r="M63">
        <f>IF(CLIMATE_API[[#This Row],[Alternative_Data_Approval_Status]]="Approved",CLIMATE_API[[#This Row],[Eto_inches_Alternative]],CLIMATE_API[[#This Row],[Eto_inches]])</f>
        <v>54.3</v>
      </c>
    </row>
    <row r="64" spans="1:13" x14ac:dyDescent="0.25">
      <c r="A64" t="s">
        <v>1052</v>
      </c>
      <c r="B64" t="s">
        <v>1053</v>
      </c>
      <c r="C64">
        <v>56.27</v>
      </c>
      <c r="D64">
        <v>10.89</v>
      </c>
      <c r="E64">
        <v>2.72</v>
      </c>
      <c r="F64" t="s">
        <v>1859</v>
      </c>
      <c r="J64" s="9">
        <v>45108</v>
      </c>
      <c r="K64" s="9">
        <v>45473</v>
      </c>
      <c r="L64">
        <f>IF(CLIMATE_API[[#This Row],[Alternative_Data_Approval_Status]]="Approved",CLIMATE_API[[#This Row],[Effective_Precipitation_inches_Alternative]],CLIMATE_API[[#This Row],[Effective_Precipitation_inches]])</f>
        <v>2.72</v>
      </c>
      <c r="M64">
        <f>IF(CLIMATE_API[[#This Row],[Alternative_Data_Approval_Status]]="Approved",CLIMATE_API[[#This Row],[Eto_inches_Alternative]],CLIMATE_API[[#This Row],[Eto_inches]])</f>
        <v>56.27</v>
      </c>
    </row>
    <row r="65" spans="1:13" x14ac:dyDescent="0.25">
      <c r="A65" t="s">
        <v>1061</v>
      </c>
      <c r="B65" t="s">
        <v>1062</v>
      </c>
      <c r="C65">
        <v>48.55</v>
      </c>
      <c r="D65">
        <v>27.38</v>
      </c>
      <c r="E65">
        <v>6.85</v>
      </c>
      <c r="F65" t="s">
        <v>1859</v>
      </c>
      <c r="J65" s="9">
        <v>45108</v>
      </c>
      <c r="K65" s="9">
        <v>45473</v>
      </c>
      <c r="L65">
        <f>IF(CLIMATE_API[[#This Row],[Alternative_Data_Approval_Status]]="Approved",CLIMATE_API[[#This Row],[Effective_Precipitation_inches_Alternative]],CLIMATE_API[[#This Row],[Effective_Precipitation_inches]])</f>
        <v>6.85</v>
      </c>
      <c r="M65">
        <f>IF(CLIMATE_API[[#This Row],[Alternative_Data_Approval_Status]]="Approved",CLIMATE_API[[#This Row],[Eto_inches_Alternative]],CLIMATE_API[[#This Row],[Eto_inches]])</f>
        <v>48.55</v>
      </c>
    </row>
    <row r="66" spans="1:13" x14ac:dyDescent="0.25">
      <c r="A66" t="s">
        <v>1065</v>
      </c>
      <c r="B66" t="s">
        <v>3596</v>
      </c>
      <c r="C66">
        <v>47.89</v>
      </c>
      <c r="D66">
        <v>23.08</v>
      </c>
      <c r="E66">
        <v>5.77</v>
      </c>
      <c r="F66" t="s">
        <v>1859</v>
      </c>
      <c r="J66" s="9">
        <v>45108</v>
      </c>
      <c r="K66" s="9">
        <v>45473</v>
      </c>
      <c r="L66">
        <f>IF(CLIMATE_API[[#This Row],[Alternative_Data_Approval_Status]]="Approved",CLIMATE_API[[#This Row],[Effective_Precipitation_inches_Alternative]],CLIMATE_API[[#This Row],[Effective_Precipitation_inches]])</f>
        <v>5.77</v>
      </c>
      <c r="M66">
        <f>IF(CLIMATE_API[[#This Row],[Alternative_Data_Approval_Status]]="Approved",CLIMATE_API[[#This Row],[Eto_inches_Alternative]],CLIMATE_API[[#This Row],[Eto_inches]])</f>
        <v>47.89</v>
      </c>
    </row>
    <row r="67" spans="1:13" x14ac:dyDescent="0.25">
      <c r="A67" t="s">
        <v>1069</v>
      </c>
      <c r="B67" t="s">
        <v>3597</v>
      </c>
      <c r="C67">
        <v>42.18</v>
      </c>
      <c r="D67">
        <v>25.33</v>
      </c>
      <c r="E67">
        <v>6.33</v>
      </c>
      <c r="F67" t="s">
        <v>1859</v>
      </c>
      <c r="J67" s="9">
        <v>45108</v>
      </c>
      <c r="K67" s="9">
        <v>45473</v>
      </c>
      <c r="L67">
        <f>IF(CLIMATE_API[[#This Row],[Alternative_Data_Approval_Status]]="Approved",CLIMATE_API[[#This Row],[Effective_Precipitation_inches_Alternative]],CLIMATE_API[[#This Row],[Effective_Precipitation_inches]])</f>
        <v>6.33</v>
      </c>
      <c r="M67">
        <f>IF(CLIMATE_API[[#This Row],[Alternative_Data_Approval_Status]]="Approved",CLIMATE_API[[#This Row],[Eto_inches_Alternative]],CLIMATE_API[[#This Row],[Eto_inches]])</f>
        <v>42.18</v>
      </c>
    </row>
    <row r="68" spans="1:13" x14ac:dyDescent="0.25">
      <c r="A68" t="s">
        <v>1073</v>
      </c>
      <c r="B68" t="s">
        <v>1074</v>
      </c>
      <c r="C68">
        <v>49.3</v>
      </c>
      <c r="D68">
        <v>24.08</v>
      </c>
      <c r="E68">
        <v>6.02</v>
      </c>
      <c r="F68" t="s">
        <v>1859</v>
      </c>
      <c r="J68" s="9">
        <v>45108</v>
      </c>
      <c r="K68" s="9">
        <v>45473</v>
      </c>
      <c r="L68">
        <f>IF(CLIMATE_API[[#This Row],[Alternative_Data_Approval_Status]]="Approved",CLIMATE_API[[#This Row],[Effective_Precipitation_inches_Alternative]],CLIMATE_API[[#This Row],[Effective_Precipitation_inches]])</f>
        <v>6.02</v>
      </c>
      <c r="M68">
        <f>IF(CLIMATE_API[[#This Row],[Alternative_Data_Approval_Status]]="Approved",CLIMATE_API[[#This Row],[Eto_inches_Alternative]],CLIMATE_API[[#This Row],[Eto_inches]])</f>
        <v>49.3</v>
      </c>
    </row>
    <row r="69" spans="1:13" x14ac:dyDescent="0.25">
      <c r="A69" t="s">
        <v>1077</v>
      </c>
      <c r="B69" t="s">
        <v>1078</v>
      </c>
      <c r="C69">
        <v>48.3</v>
      </c>
      <c r="D69">
        <v>18.37</v>
      </c>
      <c r="E69">
        <v>4.59</v>
      </c>
      <c r="F69" t="s">
        <v>1859</v>
      </c>
      <c r="J69" s="9">
        <v>45108</v>
      </c>
      <c r="K69" s="9">
        <v>45473</v>
      </c>
      <c r="L69">
        <f>IF(CLIMATE_API[[#This Row],[Alternative_Data_Approval_Status]]="Approved",CLIMATE_API[[#This Row],[Effective_Precipitation_inches_Alternative]],CLIMATE_API[[#This Row],[Effective_Precipitation_inches]])</f>
        <v>4.59</v>
      </c>
      <c r="M69">
        <f>IF(CLIMATE_API[[#This Row],[Alternative_Data_Approval_Status]]="Approved",CLIMATE_API[[#This Row],[Eto_inches_Alternative]],CLIMATE_API[[#This Row],[Eto_inches]])</f>
        <v>48.3</v>
      </c>
    </row>
    <row r="70" spans="1:13" x14ac:dyDescent="0.25">
      <c r="A70" t="s">
        <v>1081</v>
      </c>
      <c r="B70" t="s">
        <v>1082</v>
      </c>
      <c r="C70">
        <v>56.79</v>
      </c>
      <c r="D70">
        <v>19.760000000000002</v>
      </c>
      <c r="E70">
        <v>4.9400000000000004</v>
      </c>
      <c r="F70" t="s">
        <v>1859</v>
      </c>
      <c r="J70" s="9">
        <v>45108</v>
      </c>
      <c r="K70" s="9">
        <v>45473</v>
      </c>
      <c r="L70">
        <f>IF(CLIMATE_API[[#This Row],[Alternative_Data_Approval_Status]]="Approved",CLIMATE_API[[#This Row],[Effective_Precipitation_inches_Alternative]],CLIMATE_API[[#This Row],[Effective_Precipitation_inches]])</f>
        <v>4.9400000000000004</v>
      </c>
      <c r="M70">
        <f>IF(CLIMATE_API[[#This Row],[Alternative_Data_Approval_Status]]="Approved",CLIMATE_API[[#This Row],[Eto_inches_Alternative]],CLIMATE_API[[#This Row],[Eto_inches]])</f>
        <v>56.79</v>
      </c>
    </row>
    <row r="71" spans="1:13" x14ac:dyDescent="0.25">
      <c r="A71" t="s">
        <v>1085</v>
      </c>
      <c r="B71" t="s">
        <v>1086</v>
      </c>
      <c r="C71">
        <v>46.13</v>
      </c>
      <c r="D71">
        <v>35.96</v>
      </c>
      <c r="E71">
        <v>8.7799999999999994</v>
      </c>
      <c r="F71" t="s">
        <v>1859</v>
      </c>
      <c r="J71" s="9">
        <v>45108</v>
      </c>
      <c r="K71" s="9">
        <v>45473</v>
      </c>
      <c r="L71">
        <f>IF(CLIMATE_API[[#This Row],[Alternative_Data_Approval_Status]]="Approved",CLIMATE_API[[#This Row],[Effective_Precipitation_inches_Alternative]],CLIMATE_API[[#This Row],[Effective_Precipitation_inches]])</f>
        <v>8.7799999999999994</v>
      </c>
      <c r="M71">
        <f>IF(CLIMATE_API[[#This Row],[Alternative_Data_Approval_Status]]="Approved",CLIMATE_API[[#This Row],[Eto_inches_Alternative]],CLIMATE_API[[#This Row],[Eto_inches]])</f>
        <v>46.13</v>
      </c>
    </row>
    <row r="72" spans="1:13" x14ac:dyDescent="0.25">
      <c r="A72" t="s">
        <v>1090</v>
      </c>
      <c r="B72" t="s">
        <v>3598</v>
      </c>
      <c r="C72">
        <v>48.32</v>
      </c>
      <c r="D72">
        <v>34.93</v>
      </c>
      <c r="E72">
        <v>8.69</v>
      </c>
      <c r="F72" t="s">
        <v>1859</v>
      </c>
      <c r="J72" s="9">
        <v>45108</v>
      </c>
      <c r="K72" s="9">
        <v>45473</v>
      </c>
      <c r="L72">
        <f>IF(CLIMATE_API[[#This Row],[Alternative_Data_Approval_Status]]="Approved",CLIMATE_API[[#This Row],[Effective_Precipitation_inches_Alternative]],CLIMATE_API[[#This Row],[Effective_Precipitation_inches]])</f>
        <v>8.69</v>
      </c>
      <c r="M72">
        <f>IF(CLIMATE_API[[#This Row],[Alternative_Data_Approval_Status]]="Approved",CLIMATE_API[[#This Row],[Eto_inches_Alternative]],CLIMATE_API[[#This Row],[Eto_inches]])</f>
        <v>48.32</v>
      </c>
    </row>
    <row r="73" spans="1:13" x14ac:dyDescent="0.25">
      <c r="A73" t="s">
        <v>1096</v>
      </c>
      <c r="B73" t="s">
        <v>3599</v>
      </c>
      <c r="C73">
        <v>53.53</v>
      </c>
      <c r="D73">
        <v>15.36</v>
      </c>
      <c r="E73">
        <v>3.84</v>
      </c>
      <c r="F73" t="s">
        <v>1859</v>
      </c>
      <c r="J73" s="9">
        <v>45108</v>
      </c>
      <c r="K73" s="9">
        <v>45473</v>
      </c>
      <c r="L73">
        <f>IF(CLIMATE_API[[#This Row],[Alternative_Data_Approval_Status]]="Approved",CLIMATE_API[[#This Row],[Effective_Precipitation_inches_Alternative]],CLIMATE_API[[#This Row],[Effective_Precipitation_inches]])</f>
        <v>3.84</v>
      </c>
      <c r="M73">
        <f>IF(CLIMATE_API[[#This Row],[Alternative_Data_Approval_Status]]="Approved",CLIMATE_API[[#This Row],[Eto_inches_Alternative]],CLIMATE_API[[#This Row],[Eto_inches]])</f>
        <v>53.53</v>
      </c>
    </row>
    <row r="74" spans="1:13" x14ac:dyDescent="0.25">
      <c r="A74" t="s">
        <v>1101</v>
      </c>
      <c r="B74" t="s">
        <v>3600</v>
      </c>
      <c r="C74">
        <v>46.75</v>
      </c>
      <c r="D74">
        <v>22.09</v>
      </c>
      <c r="E74">
        <v>5.52</v>
      </c>
      <c r="F74" t="s">
        <v>1859</v>
      </c>
      <c r="J74" s="9">
        <v>45108</v>
      </c>
      <c r="K74" s="9">
        <v>45473</v>
      </c>
      <c r="L74">
        <f>IF(CLIMATE_API[[#This Row],[Alternative_Data_Approval_Status]]="Approved",CLIMATE_API[[#This Row],[Effective_Precipitation_inches_Alternative]],CLIMATE_API[[#This Row],[Effective_Precipitation_inches]])</f>
        <v>5.52</v>
      </c>
      <c r="M74">
        <f>IF(CLIMATE_API[[#This Row],[Alternative_Data_Approval_Status]]="Approved",CLIMATE_API[[#This Row],[Eto_inches_Alternative]],CLIMATE_API[[#This Row],[Eto_inches]])</f>
        <v>46.75</v>
      </c>
    </row>
    <row r="75" spans="1:13" x14ac:dyDescent="0.25">
      <c r="A75" t="s">
        <v>1105</v>
      </c>
      <c r="B75" t="s">
        <v>3601</v>
      </c>
      <c r="C75">
        <v>54.75</v>
      </c>
      <c r="D75">
        <v>20.75</v>
      </c>
      <c r="E75">
        <v>5.19</v>
      </c>
      <c r="F75" t="s">
        <v>1859</v>
      </c>
      <c r="J75" s="9">
        <v>45108</v>
      </c>
      <c r="K75" s="9">
        <v>45473</v>
      </c>
      <c r="L75">
        <f>IF(CLIMATE_API[[#This Row],[Alternative_Data_Approval_Status]]="Approved",CLIMATE_API[[#This Row],[Effective_Precipitation_inches_Alternative]],CLIMATE_API[[#This Row],[Effective_Precipitation_inches]])</f>
        <v>5.19</v>
      </c>
      <c r="M75">
        <f>IF(CLIMATE_API[[#This Row],[Alternative_Data_Approval_Status]]="Approved",CLIMATE_API[[#This Row],[Eto_inches_Alternative]],CLIMATE_API[[#This Row],[Eto_inches]])</f>
        <v>54.75</v>
      </c>
    </row>
    <row r="76" spans="1:13" x14ac:dyDescent="0.25">
      <c r="A76" t="s">
        <v>1109</v>
      </c>
      <c r="B76" t="s">
        <v>3602</v>
      </c>
      <c r="C76">
        <v>52.75</v>
      </c>
      <c r="D76">
        <v>22.53</v>
      </c>
      <c r="E76">
        <v>5.63</v>
      </c>
      <c r="F76" t="s">
        <v>1859</v>
      </c>
      <c r="J76" s="9">
        <v>45108</v>
      </c>
      <c r="K76" s="9">
        <v>45473</v>
      </c>
      <c r="L76">
        <f>IF(CLIMATE_API[[#This Row],[Alternative_Data_Approval_Status]]="Approved",CLIMATE_API[[#This Row],[Effective_Precipitation_inches_Alternative]],CLIMATE_API[[#This Row],[Effective_Precipitation_inches]])</f>
        <v>5.63</v>
      </c>
      <c r="M76">
        <f>IF(CLIMATE_API[[#This Row],[Alternative_Data_Approval_Status]]="Approved",CLIMATE_API[[#This Row],[Eto_inches_Alternative]],CLIMATE_API[[#This Row],[Eto_inches]])</f>
        <v>52.75</v>
      </c>
    </row>
    <row r="77" spans="1:13" x14ac:dyDescent="0.25">
      <c r="A77" t="s">
        <v>1113</v>
      </c>
      <c r="B77" t="s">
        <v>1114</v>
      </c>
      <c r="C77">
        <v>56.84</v>
      </c>
      <c r="D77">
        <v>20.95</v>
      </c>
      <c r="E77">
        <v>5.24</v>
      </c>
      <c r="F77" t="s">
        <v>1859</v>
      </c>
      <c r="J77" s="9">
        <v>45108</v>
      </c>
      <c r="K77" s="9">
        <v>45473</v>
      </c>
      <c r="L77">
        <f>IF(CLIMATE_API[[#This Row],[Alternative_Data_Approval_Status]]="Approved",CLIMATE_API[[#This Row],[Effective_Precipitation_inches_Alternative]],CLIMATE_API[[#This Row],[Effective_Precipitation_inches]])</f>
        <v>5.24</v>
      </c>
      <c r="M77">
        <f>IF(CLIMATE_API[[#This Row],[Alternative_Data_Approval_Status]]="Approved",CLIMATE_API[[#This Row],[Eto_inches_Alternative]],CLIMATE_API[[#This Row],[Eto_inches]])</f>
        <v>56.84</v>
      </c>
    </row>
    <row r="78" spans="1:13" x14ac:dyDescent="0.25">
      <c r="A78" t="s">
        <v>1117</v>
      </c>
      <c r="B78" t="s">
        <v>2838</v>
      </c>
      <c r="C78">
        <v>45.69</v>
      </c>
      <c r="D78">
        <v>49.47</v>
      </c>
      <c r="E78">
        <v>9.99</v>
      </c>
      <c r="F78" t="s">
        <v>1859</v>
      </c>
      <c r="J78" s="9">
        <v>45108</v>
      </c>
      <c r="K78" s="9">
        <v>45473</v>
      </c>
      <c r="L78">
        <f>IF(CLIMATE_API[[#This Row],[Alternative_Data_Approval_Status]]="Approved",CLIMATE_API[[#This Row],[Effective_Precipitation_inches_Alternative]],CLIMATE_API[[#This Row],[Effective_Precipitation_inches]])</f>
        <v>9.99</v>
      </c>
      <c r="M78">
        <f>IF(CLIMATE_API[[#This Row],[Alternative_Data_Approval_Status]]="Approved",CLIMATE_API[[#This Row],[Eto_inches_Alternative]],CLIMATE_API[[#This Row],[Eto_inches]])</f>
        <v>45.69</v>
      </c>
    </row>
    <row r="79" spans="1:13" x14ac:dyDescent="0.25">
      <c r="A79" t="s">
        <v>1122</v>
      </c>
      <c r="B79" t="s">
        <v>3603</v>
      </c>
      <c r="C79">
        <v>54.76</v>
      </c>
      <c r="D79">
        <v>11.72</v>
      </c>
      <c r="E79">
        <v>2.93</v>
      </c>
      <c r="F79" t="s">
        <v>1859</v>
      </c>
      <c r="J79" s="9">
        <v>45108</v>
      </c>
      <c r="K79" s="9">
        <v>45473</v>
      </c>
      <c r="L79">
        <f>IF(CLIMATE_API[[#This Row],[Alternative_Data_Approval_Status]]="Approved",CLIMATE_API[[#This Row],[Effective_Precipitation_inches_Alternative]],CLIMATE_API[[#This Row],[Effective_Precipitation_inches]])</f>
        <v>2.93</v>
      </c>
      <c r="M79">
        <f>IF(CLIMATE_API[[#This Row],[Alternative_Data_Approval_Status]]="Approved",CLIMATE_API[[#This Row],[Eto_inches_Alternative]],CLIMATE_API[[#This Row],[Eto_inches]])</f>
        <v>54.76</v>
      </c>
    </row>
    <row r="80" spans="1:13" x14ac:dyDescent="0.25">
      <c r="A80" t="s">
        <v>1126</v>
      </c>
      <c r="B80" t="s">
        <v>3604</v>
      </c>
      <c r="C80">
        <v>76.39</v>
      </c>
      <c r="D80">
        <v>6.14</v>
      </c>
      <c r="E80">
        <v>1.53</v>
      </c>
      <c r="F80" t="s">
        <v>1859</v>
      </c>
      <c r="J80" s="9">
        <v>45108</v>
      </c>
      <c r="K80" s="9">
        <v>45473</v>
      </c>
      <c r="L80">
        <f>IF(CLIMATE_API[[#This Row],[Alternative_Data_Approval_Status]]="Approved",CLIMATE_API[[#This Row],[Effective_Precipitation_inches_Alternative]],CLIMATE_API[[#This Row],[Effective_Precipitation_inches]])</f>
        <v>1.53</v>
      </c>
      <c r="M80">
        <f>IF(CLIMATE_API[[#This Row],[Alternative_Data_Approval_Status]]="Approved",CLIMATE_API[[#This Row],[Eto_inches_Alternative]],CLIMATE_API[[#This Row],[Eto_inches]])</f>
        <v>76.39</v>
      </c>
    </row>
    <row r="81" spans="1:13" x14ac:dyDescent="0.25">
      <c r="A81" t="s">
        <v>1130</v>
      </c>
      <c r="B81" t="s">
        <v>1131</v>
      </c>
      <c r="C81">
        <v>73</v>
      </c>
      <c r="D81">
        <v>7.02</v>
      </c>
      <c r="E81">
        <v>1.75</v>
      </c>
      <c r="F81" t="s">
        <v>1859</v>
      </c>
      <c r="J81" s="9">
        <v>45108</v>
      </c>
      <c r="K81" s="9">
        <v>45473</v>
      </c>
      <c r="L81">
        <f>IF(CLIMATE_API[[#This Row],[Alternative_Data_Approval_Status]]="Approved",CLIMATE_API[[#This Row],[Effective_Precipitation_inches_Alternative]],CLIMATE_API[[#This Row],[Effective_Precipitation_inches]])</f>
        <v>1.75</v>
      </c>
      <c r="M81">
        <f>IF(CLIMATE_API[[#This Row],[Alternative_Data_Approval_Status]]="Approved",CLIMATE_API[[#This Row],[Eto_inches_Alternative]],CLIMATE_API[[#This Row],[Eto_inches]])</f>
        <v>73</v>
      </c>
    </row>
    <row r="82" spans="1:13" x14ac:dyDescent="0.25">
      <c r="A82" t="s">
        <v>1136</v>
      </c>
      <c r="B82" t="s">
        <v>3605</v>
      </c>
      <c r="C82">
        <v>61.86</v>
      </c>
      <c r="D82">
        <v>11.7</v>
      </c>
      <c r="E82">
        <v>2.92</v>
      </c>
      <c r="F82" t="s">
        <v>1859</v>
      </c>
      <c r="J82" s="9">
        <v>45108</v>
      </c>
      <c r="K82" s="9">
        <v>45473</v>
      </c>
      <c r="L82">
        <f>IF(CLIMATE_API[[#This Row],[Alternative_Data_Approval_Status]]="Approved",CLIMATE_API[[#This Row],[Effective_Precipitation_inches_Alternative]],CLIMATE_API[[#This Row],[Effective_Precipitation_inches]])</f>
        <v>2.92</v>
      </c>
      <c r="M82">
        <f>IF(CLIMATE_API[[#This Row],[Alternative_Data_Approval_Status]]="Approved",CLIMATE_API[[#This Row],[Eto_inches_Alternative]],CLIMATE_API[[#This Row],[Eto_inches]])</f>
        <v>61.86</v>
      </c>
    </row>
    <row r="83" spans="1:13" x14ac:dyDescent="0.25">
      <c r="A83" t="s">
        <v>1140</v>
      </c>
      <c r="B83" t="s">
        <v>1141</v>
      </c>
      <c r="C83">
        <v>35.79</v>
      </c>
      <c r="D83">
        <v>30.47</v>
      </c>
      <c r="E83">
        <v>7.62</v>
      </c>
      <c r="F83" t="s">
        <v>1859</v>
      </c>
      <c r="J83" s="9">
        <v>45108</v>
      </c>
      <c r="K83" s="9">
        <v>45473</v>
      </c>
      <c r="L83">
        <f>IF(CLIMATE_API[[#This Row],[Alternative_Data_Approval_Status]]="Approved",CLIMATE_API[[#This Row],[Effective_Precipitation_inches_Alternative]],CLIMATE_API[[#This Row],[Effective_Precipitation_inches]])</f>
        <v>7.62</v>
      </c>
      <c r="M83">
        <f>IF(CLIMATE_API[[#This Row],[Alternative_Data_Approval_Status]]="Approved",CLIMATE_API[[#This Row],[Eto_inches_Alternative]],CLIMATE_API[[#This Row],[Eto_inches]])</f>
        <v>35.79</v>
      </c>
    </row>
    <row r="84" spans="1:13" x14ac:dyDescent="0.25">
      <c r="A84" t="s">
        <v>1144</v>
      </c>
      <c r="B84" t="s">
        <v>3606</v>
      </c>
      <c r="C84">
        <v>60</v>
      </c>
      <c r="D84">
        <v>18.010000000000002</v>
      </c>
      <c r="E84">
        <v>4.5</v>
      </c>
      <c r="F84" t="s">
        <v>1859</v>
      </c>
      <c r="J84" s="9">
        <v>45108</v>
      </c>
      <c r="K84" s="9">
        <v>45473</v>
      </c>
      <c r="L84">
        <f>IF(CLIMATE_API[[#This Row],[Alternative_Data_Approval_Status]]="Approved",CLIMATE_API[[#This Row],[Effective_Precipitation_inches_Alternative]],CLIMATE_API[[#This Row],[Effective_Precipitation_inches]])</f>
        <v>4.5</v>
      </c>
      <c r="M84">
        <f>IF(CLIMATE_API[[#This Row],[Alternative_Data_Approval_Status]]="Approved",CLIMATE_API[[#This Row],[Eto_inches_Alternative]],CLIMATE_API[[#This Row],[Eto_inches]])</f>
        <v>60</v>
      </c>
    </row>
    <row r="85" spans="1:13" x14ac:dyDescent="0.25">
      <c r="A85" t="s">
        <v>1148</v>
      </c>
      <c r="B85" t="s">
        <v>3607</v>
      </c>
      <c r="C85">
        <v>45.97</v>
      </c>
      <c r="D85">
        <v>23.56</v>
      </c>
      <c r="E85">
        <v>5.89</v>
      </c>
      <c r="F85" t="s">
        <v>1859</v>
      </c>
      <c r="J85" s="9">
        <v>45108</v>
      </c>
      <c r="K85" s="9">
        <v>45473</v>
      </c>
      <c r="L85">
        <f>IF(CLIMATE_API[[#This Row],[Alternative_Data_Approval_Status]]="Approved",CLIMATE_API[[#This Row],[Effective_Precipitation_inches_Alternative]],CLIMATE_API[[#This Row],[Effective_Precipitation_inches]])</f>
        <v>5.89</v>
      </c>
      <c r="M85">
        <f>IF(CLIMATE_API[[#This Row],[Alternative_Data_Approval_Status]]="Approved",CLIMATE_API[[#This Row],[Eto_inches_Alternative]],CLIMATE_API[[#This Row],[Eto_inches]])</f>
        <v>45.97</v>
      </c>
    </row>
    <row r="86" spans="1:13" x14ac:dyDescent="0.25">
      <c r="A86" t="s">
        <v>1152</v>
      </c>
      <c r="B86" t="s">
        <v>1153</v>
      </c>
      <c r="C86">
        <v>47.99</v>
      </c>
      <c r="D86">
        <v>18.05</v>
      </c>
      <c r="E86">
        <v>4.51</v>
      </c>
      <c r="F86" t="s">
        <v>1859</v>
      </c>
      <c r="J86" s="9">
        <v>45108</v>
      </c>
      <c r="K86" s="9">
        <v>45473</v>
      </c>
      <c r="L86">
        <f>IF(CLIMATE_API[[#This Row],[Alternative_Data_Approval_Status]]="Approved",CLIMATE_API[[#This Row],[Effective_Precipitation_inches_Alternative]],CLIMATE_API[[#This Row],[Effective_Precipitation_inches]])</f>
        <v>4.51</v>
      </c>
      <c r="M86">
        <f>IF(CLIMATE_API[[#This Row],[Alternative_Data_Approval_Status]]="Approved",CLIMATE_API[[#This Row],[Eto_inches_Alternative]],CLIMATE_API[[#This Row],[Eto_inches]])</f>
        <v>47.99</v>
      </c>
    </row>
    <row r="87" spans="1:13" x14ac:dyDescent="0.25">
      <c r="A87" t="s">
        <v>1156</v>
      </c>
      <c r="B87" t="s">
        <v>3608</v>
      </c>
      <c r="C87">
        <v>57.97</v>
      </c>
      <c r="D87">
        <v>8.9700000000000006</v>
      </c>
      <c r="E87">
        <v>2.2400000000000002</v>
      </c>
      <c r="F87" t="s">
        <v>1859</v>
      </c>
      <c r="J87" s="9">
        <v>45108</v>
      </c>
      <c r="K87" s="9">
        <v>45473</v>
      </c>
      <c r="L87">
        <f>IF(CLIMATE_API[[#This Row],[Alternative_Data_Approval_Status]]="Approved",CLIMATE_API[[#This Row],[Effective_Precipitation_inches_Alternative]],CLIMATE_API[[#This Row],[Effective_Precipitation_inches]])</f>
        <v>2.2400000000000002</v>
      </c>
      <c r="M87">
        <f>IF(CLIMATE_API[[#This Row],[Alternative_Data_Approval_Status]]="Approved",CLIMATE_API[[#This Row],[Eto_inches_Alternative]],CLIMATE_API[[#This Row],[Eto_inches]])</f>
        <v>57.97</v>
      </c>
    </row>
    <row r="88" spans="1:13" x14ac:dyDescent="0.25">
      <c r="A88" t="s">
        <v>1161</v>
      </c>
      <c r="B88" t="s">
        <v>3609</v>
      </c>
      <c r="C88">
        <v>54.31</v>
      </c>
      <c r="D88">
        <v>19.36</v>
      </c>
      <c r="E88">
        <v>4.84</v>
      </c>
      <c r="F88" t="s">
        <v>1859</v>
      </c>
      <c r="J88" s="9">
        <v>45108</v>
      </c>
      <c r="K88" s="9">
        <v>45473</v>
      </c>
      <c r="L88">
        <f>IF(CLIMATE_API[[#This Row],[Alternative_Data_Approval_Status]]="Approved",CLIMATE_API[[#This Row],[Effective_Precipitation_inches_Alternative]],CLIMATE_API[[#This Row],[Effective_Precipitation_inches]])</f>
        <v>4.84</v>
      </c>
      <c r="M88">
        <f>IF(CLIMATE_API[[#This Row],[Alternative_Data_Approval_Status]]="Approved",CLIMATE_API[[#This Row],[Eto_inches_Alternative]],CLIMATE_API[[#This Row],[Eto_inches]])</f>
        <v>54.31</v>
      </c>
    </row>
    <row r="89" spans="1:13" x14ac:dyDescent="0.25">
      <c r="A89" t="s">
        <v>1165</v>
      </c>
      <c r="B89" t="s">
        <v>3610</v>
      </c>
      <c r="C89">
        <v>52.81</v>
      </c>
      <c r="D89">
        <v>25.74</v>
      </c>
      <c r="E89">
        <v>6.44</v>
      </c>
      <c r="F89" t="s">
        <v>1859</v>
      </c>
      <c r="J89" s="9">
        <v>45108</v>
      </c>
      <c r="K89" s="9">
        <v>45473</v>
      </c>
      <c r="L89">
        <f>IF(CLIMATE_API[[#This Row],[Alternative_Data_Approval_Status]]="Approved",CLIMATE_API[[#This Row],[Effective_Precipitation_inches_Alternative]],CLIMATE_API[[#This Row],[Effective_Precipitation_inches]])</f>
        <v>6.44</v>
      </c>
      <c r="M89">
        <f>IF(CLIMATE_API[[#This Row],[Alternative_Data_Approval_Status]]="Approved",CLIMATE_API[[#This Row],[Eto_inches_Alternative]],CLIMATE_API[[#This Row],[Eto_inches]])</f>
        <v>52.81</v>
      </c>
    </row>
    <row r="90" spans="1:13" x14ac:dyDescent="0.25">
      <c r="A90" t="s">
        <v>1169</v>
      </c>
      <c r="B90" t="s">
        <v>1170</v>
      </c>
      <c r="C90">
        <v>31.02</v>
      </c>
      <c r="D90">
        <v>87.53</v>
      </c>
      <c r="E90">
        <v>13.5</v>
      </c>
      <c r="F90" t="s">
        <v>1859</v>
      </c>
      <c r="J90" s="9">
        <v>45108</v>
      </c>
      <c r="K90" s="9">
        <v>45473</v>
      </c>
      <c r="L90">
        <f>IF(CLIMATE_API[[#This Row],[Alternative_Data_Approval_Status]]="Approved",CLIMATE_API[[#This Row],[Effective_Precipitation_inches_Alternative]],CLIMATE_API[[#This Row],[Effective_Precipitation_inches]])</f>
        <v>13.5</v>
      </c>
      <c r="M90">
        <f>IF(CLIMATE_API[[#This Row],[Alternative_Data_Approval_Status]]="Approved",CLIMATE_API[[#This Row],[Eto_inches_Alternative]],CLIMATE_API[[#This Row],[Eto_inches]])</f>
        <v>31.02</v>
      </c>
    </row>
    <row r="91" spans="1:13" x14ac:dyDescent="0.25">
      <c r="A91" t="s">
        <v>1174</v>
      </c>
      <c r="B91" t="s">
        <v>1175</v>
      </c>
      <c r="C91">
        <v>51.79</v>
      </c>
      <c r="D91">
        <v>30.64</v>
      </c>
      <c r="E91">
        <v>7.66</v>
      </c>
      <c r="F91" t="s">
        <v>1859</v>
      </c>
      <c r="J91" s="9">
        <v>45108</v>
      </c>
      <c r="K91" s="9">
        <v>45473</v>
      </c>
      <c r="L91">
        <f>IF(CLIMATE_API[[#This Row],[Alternative_Data_Approval_Status]]="Approved",CLIMATE_API[[#This Row],[Effective_Precipitation_inches_Alternative]],CLIMATE_API[[#This Row],[Effective_Precipitation_inches]])</f>
        <v>7.66</v>
      </c>
      <c r="M91">
        <f>IF(CLIMATE_API[[#This Row],[Alternative_Data_Approval_Status]]="Approved",CLIMATE_API[[#This Row],[Eto_inches_Alternative]],CLIMATE_API[[#This Row],[Eto_inches]])</f>
        <v>51.79</v>
      </c>
    </row>
    <row r="92" spans="1:13" x14ac:dyDescent="0.25">
      <c r="A92" t="s">
        <v>1178</v>
      </c>
      <c r="B92" t="s">
        <v>1179</v>
      </c>
      <c r="C92">
        <v>54.78</v>
      </c>
      <c r="D92">
        <v>39.47</v>
      </c>
      <c r="E92">
        <v>9.8699999999999992</v>
      </c>
      <c r="F92" t="s">
        <v>1859</v>
      </c>
      <c r="J92" s="9">
        <v>45108</v>
      </c>
      <c r="K92" s="9">
        <v>45473</v>
      </c>
      <c r="L92">
        <f>IF(CLIMATE_API[[#This Row],[Alternative_Data_Approval_Status]]="Approved",CLIMATE_API[[#This Row],[Effective_Precipitation_inches_Alternative]],CLIMATE_API[[#This Row],[Effective_Precipitation_inches]])</f>
        <v>9.8699999999999992</v>
      </c>
      <c r="M92">
        <f>IF(CLIMATE_API[[#This Row],[Alternative_Data_Approval_Status]]="Approved",CLIMATE_API[[#This Row],[Eto_inches_Alternative]],CLIMATE_API[[#This Row],[Eto_inches]])</f>
        <v>54.78</v>
      </c>
    </row>
    <row r="93" spans="1:13" x14ac:dyDescent="0.25">
      <c r="A93" t="s">
        <v>1182</v>
      </c>
      <c r="B93" t="s">
        <v>1183</v>
      </c>
      <c r="C93">
        <v>56.28</v>
      </c>
      <c r="D93">
        <v>28.09</v>
      </c>
      <c r="E93">
        <v>7.02</v>
      </c>
      <c r="F93" t="s">
        <v>1859</v>
      </c>
      <c r="J93" s="9">
        <v>45108</v>
      </c>
      <c r="K93" s="9">
        <v>45473</v>
      </c>
      <c r="L93">
        <f>IF(CLIMATE_API[[#This Row],[Alternative_Data_Approval_Status]]="Approved",CLIMATE_API[[#This Row],[Effective_Precipitation_inches_Alternative]],CLIMATE_API[[#This Row],[Effective_Precipitation_inches]])</f>
        <v>7.02</v>
      </c>
      <c r="M93">
        <f>IF(CLIMATE_API[[#This Row],[Alternative_Data_Approval_Status]]="Approved",CLIMATE_API[[#This Row],[Eto_inches_Alternative]],CLIMATE_API[[#This Row],[Eto_inches]])</f>
        <v>56.28</v>
      </c>
    </row>
    <row r="94" spans="1:13" x14ac:dyDescent="0.25">
      <c r="A94" t="s">
        <v>1186</v>
      </c>
      <c r="B94" t="s">
        <v>1187</v>
      </c>
      <c r="C94">
        <v>38.35</v>
      </c>
      <c r="D94">
        <v>26.02</v>
      </c>
      <c r="E94">
        <v>6.51</v>
      </c>
      <c r="F94" t="s">
        <v>1859</v>
      </c>
      <c r="J94" s="9">
        <v>45108</v>
      </c>
      <c r="K94" s="9">
        <v>45473</v>
      </c>
      <c r="L94">
        <f>IF(CLIMATE_API[[#This Row],[Alternative_Data_Approval_Status]]="Approved",CLIMATE_API[[#This Row],[Effective_Precipitation_inches_Alternative]],CLIMATE_API[[#This Row],[Effective_Precipitation_inches]])</f>
        <v>6.51</v>
      </c>
      <c r="M94">
        <f>IF(CLIMATE_API[[#This Row],[Alternative_Data_Approval_Status]]="Approved",CLIMATE_API[[#This Row],[Eto_inches_Alternative]],CLIMATE_API[[#This Row],[Eto_inches]])</f>
        <v>38.35</v>
      </c>
    </row>
    <row r="95" spans="1:13" x14ac:dyDescent="0.25">
      <c r="A95" t="s">
        <v>1190</v>
      </c>
      <c r="B95" t="s">
        <v>3611</v>
      </c>
      <c r="C95">
        <v>56</v>
      </c>
      <c r="D95">
        <v>18.29</v>
      </c>
      <c r="E95">
        <v>4.57</v>
      </c>
      <c r="F95" t="s">
        <v>1859</v>
      </c>
      <c r="J95" s="9">
        <v>45108</v>
      </c>
      <c r="K95" s="9">
        <v>45473</v>
      </c>
      <c r="L95">
        <f>IF(CLIMATE_API[[#This Row],[Alternative_Data_Approval_Status]]="Approved",CLIMATE_API[[#This Row],[Effective_Precipitation_inches_Alternative]],CLIMATE_API[[#This Row],[Effective_Precipitation_inches]])</f>
        <v>4.57</v>
      </c>
      <c r="M95">
        <f>IF(CLIMATE_API[[#This Row],[Alternative_Data_Approval_Status]]="Approved",CLIMATE_API[[#This Row],[Eto_inches_Alternative]],CLIMATE_API[[#This Row],[Eto_inches]])</f>
        <v>56</v>
      </c>
    </row>
    <row r="96" spans="1:13" x14ac:dyDescent="0.25">
      <c r="A96" t="s">
        <v>1194</v>
      </c>
      <c r="B96" t="s">
        <v>1195</v>
      </c>
      <c r="C96">
        <v>48.4</v>
      </c>
      <c r="D96">
        <v>56.35</v>
      </c>
      <c r="E96">
        <v>12.08</v>
      </c>
      <c r="F96" t="s">
        <v>1859</v>
      </c>
      <c r="J96" s="9">
        <v>45108</v>
      </c>
      <c r="K96" s="9">
        <v>45473</v>
      </c>
      <c r="L96">
        <f>IF(CLIMATE_API[[#This Row],[Alternative_Data_Approval_Status]]="Approved",CLIMATE_API[[#This Row],[Effective_Precipitation_inches_Alternative]],CLIMATE_API[[#This Row],[Effective_Precipitation_inches]])</f>
        <v>12.08</v>
      </c>
      <c r="M96">
        <f>IF(CLIMATE_API[[#This Row],[Alternative_Data_Approval_Status]]="Approved",CLIMATE_API[[#This Row],[Eto_inches_Alternative]],CLIMATE_API[[#This Row],[Eto_inches]])</f>
        <v>48.4</v>
      </c>
    </row>
    <row r="97" spans="1:13" x14ac:dyDescent="0.25">
      <c r="A97" t="s">
        <v>1198</v>
      </c>
      <c r="B97" t="s">
        <v>3612</v>
      </c>
      <c r="C97">
        <v>58.98</v>
      </c>
      <c r="D97">
        <v>9.02</v>
      </c>
      <c r="E97">
        <v>2.25</v>
      </c>
      <c r="F97" t="s">
        <v>1859</v>
      </c>
      <c r="J97" s="9">
        <v>45108</v>
      </c>
      <c r="K97" s="9">
        <v>45473</v>
      </c>
      <c r="L97">
        <f>IF(CLIMATE_API[[#This Row],[Alternative_Data_Approval_Status]]="Approved",CLIMATE_API[[#This Row],[Effective_Precipitation_inches_Alternative]],CLIMATE_API[[#This Row],[Effective_Precipitation_inches]])</f>
        <v>2.25</v>
      </c>
      <c r="M97">
        <f>IF(CLIMATE_API[[#This Row],[Alternative_Data_Approval_Status]]="Approved",CLIMATE_API[[#This Row],[Eto_inches_Alternative]],CLIMATE_API[[#This Row],[Eto_inches]])</f>
        <v>58.98</v>
      </c>
    </row>
    <row r="98" spans="1:13" x14ac:dyDescent="0.25">
      <c r="A98" t="s">
        <v>1202</v>
      </c>
      <c r="B98" t="s">
        <v>1203</v>
      </c>
      <c r="C98">
        <v>65.92</v>
      </c>
      <c r="D98">
        <v>11.19</v>
      </c>
      <c r="E98">
        <v>2.8</v>
      </c>
      <c r="F98" t="s">
        <v>1859</v>
      </c>
      <c r="J98" s="9">
        <v>45108</v>
      </c>
      <c r="K98" s="9">
        <v>45473</v>
      </c>
      <c r="L98">
        <f>IF(CLIMATE_API[[#This Row],[Alternative_Data_Approval_Status]]="Approved",CLIMATE_API[[#This Row],[Effective_Precipitation_inches_Alternative]],CLIMATE_API[[#This Row],[Effective_Precipitation_inches]])</f>
        <v>2.8</v>
      </c>
      <c r="M98">
        <f>IF(CLIMATE_API[[#This Row],[Alternative_Data_Approval_Status]]="Approved",CLIMATE_API[[#This Row],[Eto_inches_Alternative]],CLIMATE_API[[#This Row],[Eto_inches]])</f>
        <v>65.92</v>
      </c>
    </row>
    <row r="99" spans="1:13" x14ac:dyDescent="0.25">
      <c r="A99" t="s">
        <v>1206</v>
      </c>
      <c r="B99" t="s">
        <v>1207</v>
      </c>
      <c r="C99">
        <v>52.22</v>
      </c>
      <c r="D99">
        <v>14.17</v>
      </c>
      <c r="E99">
        <v>3.54</v>
      </c>
      <c r="F99" t="s">
        <v>1859</v>
      </c>
      <c r="J99" s="9">
        <v>45108</v>
      </c>
      <c r="K99" s="9">
        <v>45473</v>
      </c>
      <c r="L99">
        <f>IF(CLIMATE_API[[#This Row],[Alternative_Data_Approval_Status]]="Approved",CLIMATE_API[[#This Row],[Effective_Precipitation_inches_Alternative]],CLIMATE_API[[#This Row],[Effective_Precipitation_inches]])</f>
        <v>3.54</v>
      </c>
      <c r="M99">
        <f>IF(CLIMATE_API[[#This Row],[Alternative_Data_Approval_Status]]="Approved",CLIMATE_API[[#This Row],[Eto_inches_Alternative]],CLIMATE_API[[#This Row],[Eto_inches]])</f>
        <v>52.22</v>
      </c>
    </row>
    <row r="100" spans="1:13" x14ac:dyDescent="0.25">
      <c r="A100" t="s">
        <v>1210</v>
      </c>
      <c r="B100" t="s">
        <v>3613</v>
      </c>
      <c r="C100">
        <v>55.43</v>
      </c>
      <c r="D100">
        <v>11.5</v>
      </c>
      <c r="E100">
        <v>2.87</v>
      </c>
      <c r="F100" t="s">
        <v>1859</v>
      </c>
      <c r="J100" s="9">
        <v>45108</v>
      </c>
      <c r="K100" s="9">
        <v>45473</v>
      </c>
      <c r="L100">
        <f>IF(CLIMATE_API[[#This Row],[Alternative_Data_Approval_Status]]="Approved",CLIMATE_API[[#This Row],[Effective_Precipitation_inches_Alternative]],CLIMATE_API[[#This Row],[Effective_Precipitation_inches]])</f>
        <v>2.87</v>
      </c>
      <c r="M100">
        <f>IF(CLIMATE_API[[#This Row],[Alternative_Data_Approval_Status]]="Approved",CLIMATE_API[[#This Row],[Eto_inches_Alternative]],CLIMATE_API[[#This Row],[Eto_inches]])</f>
        <v>55.43</v>
      </c>
    </row>
    <row r="101" spans="1:13" x14ac:dyDescent="0.25">
      <c r="A101" t="s">
        <v>1214</v>
      </c>
      <c r="B101" t="s">
        <v>1215</v>
      </c>
      <c r="C101">
        <v>52.17</v>
      </c>
      <c r="D101">
        <v>13.77</v>
      </c>
      <c r="E101">
        <v>3.44</v>
      </c>
      <c r="F101" t="s">
        <v>1859</v>
      </c>
      <c r="J101" s="9">
        <v>45108</v>
      </c>
      <c r="K101" s="9">
        <v>45473</v>
      </c>
      <c r="L101">
        <f>IF(CLIMATE_API[[#This Row],[Alternative_Data_Approval_Status]]="Approved",CLIMATE_API[[#This Row],[Effective_Precipitation_inches_Alternative]],CLIMATE_API[[#This Row],[Effective_Precipitation_inches]])</f>
        <v>3.44</v>
      </c>
      <c r="M101">
        <f>IF(CLIMATE_API[[#This Row],[Alternative_Data_Approval_Status]]="Approved",CLIMATE_API[[#This Row],[Eto_inches_Alternative]],CLIMATE_API[[#This Row],[Eto_inches]])</f>
        <v>52.17</v>
      </c>
    </row>
    <row r="102" spans="1:13" x14ac:dyDescent="0.25">
      <c r="A102" t="s">
        <v>1218</v>
      </c>
      <c r="B102" t="s">
        <v>3614</v>
      </c>
      <c r="C102">
        <v>47.56</v>
      </c>
      <c r="D102">
        <v>24.06</v>
      </c>
      <c r="E102">
        <v>6.01</v>
      </c>
      <c r="F102" t="s">
        <v>1859</v>
      </c>
      <c r="J102" s="9">
        <v>45108</v>
      </c>
      <c r="K102" s="9">
        <v>45473</v>
      </c>
      <c r="L102">
        <f>IF(CLIMATE_API[[#This Row],[Alternative_Data_Approval_Status]]="Approved",CLIMATE_API[[#This Row],[Effective_Precipitation_inches_Alternative]],CLIMATE_API[[#This Row],[Effective_Precipitation_inches]])</f>
        <v>6.01</v>
      </c>
      <c r="M102">
        <f>IF(CLIMATE_API[[#This Row],[Alternative_Data_Approval_Status]]="Approved",CLIMATE_API[[#This Row],[Eto_inches_Alternative]],CLIMATE_API[[#This Row],[Eto_inches]])</f>
        <v>47.56</v>
      </c>
    </row>
    <row r="103" spans="1:13" x14ac:dyDescent="0.25">
      <c r="A103" t="s">
        <v>1222</v>
      </c>
      <c r="B103" t="s">
        <v>1223</v>
      </c>
      <c r="C103">
        <v>46.34</v>
      </c>
      <c r="D103">
        <v>20.67</v>
      </c>
      <c r="E103">
        <v>5.17</v>
      </c>
      <c r="F103" t="s">
        <v>1859</v>
      </c>
      <c r="J103" s="9">
        <v>45108</v>
      </c>
      <c r="K103" s="9">
        <v>45473</v>
      </c>
      <c r="L103">
        <f>IF(CLIMATE_API[[#This Row],[Alternative_Data_Approval_Status]]="Approved",CLIMATE_API[[#This Row],[Effective_Precipitation_inches_Alternative]],CLIMATE_API[[#This Row],[Effective_Precipitation_inches]])</f>
        <v>5.17</v>
      </c>
      <c r="M103">
        <f>IF(CLIMATE_API[[#This Row],[Alternative_Data_Approval_Status]]="Approved",CLIMATE_API[[#This Row],[Eto_inches_Alternative]],CLIMATE_API[[#This Row],[Eto_inches]])</f>
        <v>46.34</v>
      </c>
    </row>
    <row r="104" spans="1:13" x14ac:dyDescent="0.25">
      <c r="A104" t="s">
        <v>1226</v>
      </c>
      <c r="B104" t="s">
        <v>1227</v>
      </c>
      <c r="C104">
        <v>43.89</v>
      </c>
      <c r="D104">
        <v>23.2</v>
      </c>
      <c r="E104">
        <v>5.8</v>
      </c>
      <c r="F104" t="s">
        <v>1859</v>
      </c>
      <c r="J104" s="9">
        <v>45108</v>
      </c>
      <c r="K104" s="9">
        <v>45473</v>
      </c>
      <c r="L104">
        <f>IF(CLIMATE_API[[#This Row],[Alternative_Data_Approval_Status]]="Approved",CLIMATE_API[[#This Row],[Effective_Precipitation_inches_Alternative]],CLIMATE_API[[#This Row],[Effective_Precipitation_inches]])</f>
        <v>5.8</v>
      </c>
      <c r="M104">
        <f>IF(CLIMATE_API[[#This Row],[Alternative_Data_Approval_Status]]="Approved",CLIMATE_API[[#This Row],[Eto_inches_Alternative]],CLIMATE_API[[#This Row],[Eto_inches]])</f>
        <v>43.89</v>
      </c>
    </row>
    <row r="105" spans="1:13" x14ac:dyDescent="0.25">
      <c r="A105" t="s">
        <v>1230</v>
      </c>
      <c r="B105" t="s">
        <v>1231</v>
      </c>
      <c r="C105">
        <v>62.89</v>
      </c>
      <c r="D105">
        <v>9.99</v>
      </c>
      <c r="E105">
        <v>2.5</v>
      </c>
      <c r="F105" t="s">
        <v>1859</v>
      </c>
      <c r="J105" s="9">
        <v>45108</v>
      </c>
      <c r="K105" s="9">
        <v>45473</v>
      </c>
      <c r="L105">
        <f>IF(CLIMATE_API[[#This Row],[Alternative_Data_Approval_Status]]="Approved",CLIMATE_API[[#This Row],[Effective_Precipitation_inches_Alternative]],CLIMATE_API[[#This Row],[Effective_Precipitation_inches]])</f>
        <v>2.5</v>
      </c>
      <c r="M105">
        <f>IF(CLIMATE_API[[#This Row],[Alternative_Data_Approval_Status]]="Approved",CLIMATE_API[[#This Row],[Eto_inches_Alternative]],CLIMATE_API[[#This Row],[Eto_inches]])</f>
        <v>62.89</v>
      </c>
    </row>
    <row r="106" spans="1:13" x14ac:dyDescent="0.25">
      <c r="A106" t="s">
        <v>1234</v>
      </c>
      <c r="B106" t="s">
        <v>3615</v>
      </c>
      <c r="C106">
        <v>40.98</v>
      </c>
      <c r="D106">
        <v>17.260000000000002</v>
      </c>
      <c r="E106">
        <v>4.32</v>
      </c>
      <c r="F106" t="s">
        <v>1859</v>
      </c>
      <c r="J106" s="9">
        <v>45108</v>
      </c>
      <c r="K106" s="9">
        <v>45473</v>
      </c>
      <c r="L106">
        <f>IF(CLIMATE_API[[#This Row],[Alternative_Data_Approval_Status]]="Approved",CLIMATE_API[[#This Row],[Effective_Precipitation_inches_Alternative]],CLIMATE_API[[#This Row],[Effective_Precipitation_inches]])</f>
        <v>4.32</v>
      </c>
      <c r="M106">
        <f>IF(CLIMATE_API[[#This Row],[Alternative_Data_Approval_Status]]="Approved",CLIMATE_API[[#This Row],[Eto_inches_Alternative]],CLIMATE_API[[#This Row],[Eto_inches]])</f>
        <v>40.98</v>
      </c>
    </row>
    <row r="107" spans="1:13" x14ac:dyDescent="0.25">
      <c r="A107" t="s">
        <v>1238</v>
      </c>
      <c r="B107" t="s">
        <v>1239</v>
      </c>
      <c r="C107">
        <v>61.2</v>
      </c>
      <c r="D107">
        <v>22.17</v>
      </c>
      <c r="E107">
        <v>5.54</v>
      </c>
      <c r="F107" t="s">
        <v>1859</v>
      </c>
      <c r="J107" s="9">
        <v>45108</v>
      </c>
      <c r="K107" s="9">
        <v>45473</v>
      </c>
      <c r="L107">
        <f>IF(CLIMATE_API[[#This Row],[Alternative_Data_Approval_Status]]="Approved",CLIMATE_API[[#This Row],[Effective_Precipitation_inches_Alternative]],CLIMATE_API[[#This Row],[Effective_Precipitation_inches]])</f>
        <v>5.54</v>
      </c>
      <c r="M107">
        <f>IF(CLIMATE_API[[#This Row],[Alternative_Data_Approval_Status]]="Approved",CLIMATE_API[[#This Row],[Eto_inches_Alternative]],CLIMATE_API[[#This Row],[Eto_inches]])</f>
        <v>61.2</v>
      </c>
    </row>
    <row r="108" spans="1:13" x14ac:dyDescent="0.25">
      <c r="A108" t="s">
        <v>1242</v>
      </c>
      <c r="B108" t="s">
        <v>1243</v>
      </c>
      <c r="C108">
        <v>58.93</v>
      </c>
      <c r="D108">
        <v>16.32</v>
      </c>
      <c r="E108">
        <v>4.08</v>
      </c>
      <c r="F108" t="s">
        <v>1859</v>
      </c>
      <c r="J108" s="9">
        <v>45108</v>
      </c>
      <c r="K108" s="9">
        <v>45473</v>
      </c>
      <c r="L108">
        <f>IF(CLIMATE_API[[#This Row],[Alternative_Data_Approval_Status]]="Approved",CLIMATE_API[[#This Row],[Effective_Precipitation_inches_Alternative]],CLIMATE_API[[#This Row],[Effective_Precipitation_inches]])</f>
        <v>4.08</v>
      </c>
      <c r="M108">
        <f>IF(CLIMATE_API[[#This Row],[Alternative_Data_Approval_Status]]="Approved",CLIMATE_API[[#This Row],[Eto_inches_Alternative]],CLIMATE_API[[#This Row],[Eto_inches]])</f>
        <v>58.93</v>
      </c>
    </row>
    <row r="109" spans="1:13" x14ac:dyDescent="0.25">
      <c r="A109" t="s">
        <v>1246</v>
      </c>
      <c r="B109" t="s">
        <v>3616</v>
      </c>
      <c r="C109">
        <v>77.010000000000005</v>
      </c>
      <c r="D109">
        <v>4.46</v>
      </c>
      <c r="E109">
        <v>1.1100000000000001</v>
      </c>
      <c r="F109" t="s">
        <v>1859</v>
      </c>
      <c r="J109" s="9">
        <v>45108</v>
      </c>
      <c r="K109" s="9">
        <v>45473</v>
      </c>
      <c r="L109">
        <f>IF(CLIMATE_API[[#This Row],[Alternative_Data_Approval_Status]]="Approved",CLIMATE_API[[#This Row],[Effective_Precipitation_inches_Alternative]],CLIMATE_API[[#This Row],[Effective_Precipitation_inches]])</f>
        <v>1.1100000000000001</v>
      </c>
      <c r="M109">
        <f>IF(CLIMATE_API[[#This Row],[Alternative_Data_Approval_Status]]="Approved",CLIMATE_API[[#This Row],[Eto_inches_Alternative]],CLIMATE_API[[#This Row],[Eto_inches]])</f>
        <v>77.010000000000005</v>
      </c>
    </row>
    <row r="110" spans="1:13" x14ac:dyDescent="0.25">
      <c r="A110" t="s">
        <v>1250</v>
      </c>
      <c r="B110" t="s">
        <v>1251</v>
      </c>
      <c r="C110">
        <v>54.48</v>
      </c>
      <c r="D110">
        <v>33.020000000000003</v>
      </c>
      <c r="E110">
        <v>8.26</v>
      </c>
      <c r="F110" t="s">
        <v>1859</v>
      </c>
      <c r="J110" s="9">
        <v>45108</v>
      </c>
      <c r="K110" s="9">
        <v>45473</v>
      </c>
      <c r="L110">
        <f>IF(CLIMATE_API[[#This Row],[Alternative_Data_Approval_Status]]="Approved",CLIMATE_API[[#This Row],[Effective_Precipitation_inches_Alternative]],CLIMATE_API[[#This Row],[Effective_Precipitation_inches]])</f>
        <v>8.26</v>
      </c>
      <c r="M110">
        <f>IF(CLIMATE_API[[#This Row],[Alternative_Data_Approval_Status]]="Approved",CLIMATE_API[[#This Row],[Eto_inches_Alternative]],CLIMATE_API[[#This Row],[Eto_inches]])</f>
        <v>54.48</v>
      </c>
    </row>
    <row r="111" spans="1:13" x14ac:dyDescent="0.25">
      <c r="A111" t="s">
        <v>1259</v>
      </c>
      <c r="B111" t="s">
        <v>3617</v>
      </c>
      <c r="C111">
        <v>51.41</v>
      </c>
      <c r="D111">
        <v>25.53</v>
      </c>
      <c r="E111">
        <v>6.38</v>
      </c>
      <c r="F111" t="s">
        <v>1859</v>
      </c>
      <c r="J111" s="9">
        <v>45108</v>
      </c>
      <c r="K111" s="9">
        <v>45473</v>
      </c>
      <c r="L111">
        <f>IF(CLIMATE_API[[#This Row],[Alternative_Data_Approval_Status]]="Approved",CLIMATE_API[[#This Row],[Effective_Precipitation_inches_Alternative]],CLIMATE_API[[#This Row],[Effective_Precipitation_inches]])</f>
        <v>6.38</v>
      </c>
      <c r="M111">
        <f>IF(CLIMATE_API[[#This Row],[Alternative_Data_Approval_Status]]="Approved",CLIMATE_API[[#This Row],[Eto_inches_Alternative]],CLIMATE_API[[#This Row],[Eto_inches]])</f>
        <v>51.41</v>
      </c>
    </row>
    <row r="112" spans="1:13" x14ac:dyDescent="0.25">
      <c r="A112" t="s">
        <v>1263</v>
      </c>
      <c r="B112" t="s">
        <v>3618</v>
      </c>
      <c r="C112">
        <v>44.74</v>
      </c>
      <c r="D112">
        <v>24.19</v>
      </c>
      <c r="E112">
        <v>5.77</v>
      </c>
      <c r="F112" t="s">
        <v>1859</v>
      </c>
      <c r="J112" s="9">
        <v>45108</v>
      </c>
      <c r="K112" s="9">
        <v>45473</v>
      </c>
      <c r="L112">
        <f>IF(CLIMATE_API[[#This Row],[Alternative_Data_Approval_Status]]="Approved",CLIMATE_API[[#This Row],[Effective_Precipitation_inches_Alternative]],CLIMATE_API[[#This Row],[Effective_Precipitation_inches]])</f>
        <v>5.77</v>
      </c>
      <c r="M112">
        <f>IF(CLIMATE_API[[#This Row],[Alternative_Data_Approval_Status]]="Approved",CLIMATE_API[[#This Row],[Eto_inches_Alternative]],CLIMATE_API[[#This Row],[Eto_inches]])</f>
        <v>44.74</v>
      </c>
    </row>
    <row r="113" spans="1:13" x14ac:dyDescent="0.25">
      <c r="A113" t="s">
        <v>1267</v>
      </c>
      <c r="B113" t="s">
        <v>1268</v>
      </c>
      <c r="C113">
        <v>46.34</v>
      </c>
      <c r="D113">
        <v>21.28</v>
      </c>
      <c r="E113">
        <v>5.32</v>
      </c>
      <c r="F113" t="s">
        <v>1859</v>
      </c>
      <c r="J113" s="9">
        <v>45108</v>
      </c>
      <c r="K113" s="9">
        <v>45473</v>
      </c>
      <c r="L113">
        <f>IF(CLIMATE_API[[#This Row],[Alternative_Data_Approval_Status]]="Approved",CLIMATE_API[[#This Row],[Effective_Precipitation_inches_Alternative]],CLIMATE_API[[#This Row],[Effective_Precipitation_inches]])</f>
        <v>5.32</v>
      </c>
      <c r="M113">
        <f>IF(CLIMATE_API[[#This Row],[Alternative_Data_Approval_Status]]="Approved",CLIMATE_API[[#This Row],[Eto_inches_Alternative]],CLIMATE_API[[#This Row],[Eto_inches]])</f>
        <v>46.34</v>
      </c>
    </row>
    <row r="114" spans="1:13" x14ac:dyDescent="0.25">
      <c r="A114" t="s">
        <v>1271</v>
      </c>
      <c r="B114" t="s">
        <v>1272</v>
      </c>
      <c r="C114">
        <v>56.68</v>
      </c>
      <c r="D114">
        <v>16.760000000000002</v>
      </c>
      <c r="E114">
        <v>4.1900000000000004</v>
      </c>
      <c r="F114" t="s">
        <v>1859</v>
      </c>
      <c r="J114" s="9">
        <v>45108</v>
      </c>
      <c r="K114" s="9">
        <v>45473</v>
      </c>
      <c r="L114">
        <f>IF(CLIMATE_API[[#This Row],[Alternative_Data_Approval_Status]]="Approved",CLIMATE_API[[#This Row],[Effective_Precipitation_inches_Alternative]],CLIMATE_API[[#This Row],[Effective_Precipitation_inches]])</f>
        <v>4.1900000000000004</v>
      </c>
      <c r="M114">
        <f>IF(CLIMATE_API[[#This Row],[Alternative_Data_Approval_Status]]="Approved",CLIMATE_API[[#This Row],[Eto_inches_Alternative]],CLIMATE_API[[#This Row],[Eto_inches]])</f>
        <v>56.68</v>
      </c>
    </row>
    <row r="115" spans="1:13" x14ac:dyDescent="0.25">
      <c r="A115" t="s">
        <v>1275</v>
      </c>
      <c r="B115" t="s">
        <v>1276</v>
      </c>
      <c r="C115">
        <v>53.97</v>
      </c>
      <c r="D115">
        <v>19.43</v>
      </c>
      <c r="E115">
        <v>4.8600000000000003</v>
      </c>
      <c r="F115" t="s">
        <v>1859</v>
      </c>
      <c r="J115" s="9">
        <v>45108</v>
      </c>
      <c r="K115" s="9">
        <v>45473</v>
      </c>
      <c r="L115">
        <f>IF(CLIMATE_API[[#This Row],[Alternative_Data_Approval_Status]]="Approved",CLIMATE_API[[#This Row],[Effective_Precipitation_inches_Alternative]],CLIMATE_API[[#This Row],[Effective_Precipitation_inches]])</f>
        <v>4.8600000000000003</v>
      </c>
      <c r="M115">
        <f>IF(CLIMATE_API[[#This Row],[Alternative_Data_Approval_Status]]="Approved",CLIMATE_API[[#This Row],[Eto_inches_Alternative]],CLIMATE_API[[#This Row],[Eto_inches]])</f>
        <v>53.97</v>
      </c>
    </row>
    <row r="116" spans="1:13" x14ac:dyDescent="0.25">
      <c r="A116" t="s">
        <v>1279</v>
      </c>
      <c r="B116" t="s">
        <v>3619</v>
      </c>
      <c r="C116">
        <v>53.97</v>
      </c>
      <c r="D116">
        <v>18.61</v>
      </c>
      <c r="E116">
        <v>4.6500000000000004</v>
      </c>
      <c r="F116" t="s">
        <v>1859</v>
      </c>
      <c r="J116" s="9">
        <v>45108</v>
      </c>
      <c r="K116" s="9">
        <v>45473</v>
      </c>
      <c r="L116">
        <f>IF(CLIMATE_API[[#This Row],[Alternative_Data_Approval_Status]]="Approved",CLIMATE_API[[#This Row],[Effective_Precipitation_inches_Alternative]],CLIMATE_API[[#This Row],[Effective_Precipitation_inches]])</f>
        <v>4.6500000000000004</v>
      </c>
      <c r="M116">
        <f>IF(CLIMATE_API[[#This Row],[Alternative_Data_Approval_Status]]="Approved",CLIMATE_API[[#This Row],[Eto_inches_Alternative]],CLIMATE_API[[#This Row],[Eto_inches]])</f>
        <v>53.97</v>
      </c>
    </row>
    <row r="117" spans="1:13" x14ac:dyDescent="0.25">
      <c r="A117" t="s">
        <v>1283</v>
      </c>
      <c r="B117" t="s">
        <v>1284</v>
      </c>
      <c r="C117">
        <v>40.06</v>
      </c>
      <c r="D117">
        <v>20.350000000000001</v>
      </c>
      <c r="E117">
        <v>5.09</v>
      </c>
      <c r="F117" t="s">
        <v>1859</v>
      </c>
      <c r="J117" s="9">
        <v>45108</v>
      </c>
      <c r="K117" s="9">
        <v>45473</v>
      </c>
      <c r="L117">
        <f>IF(CLIMATE_API[[#This Row],[Alternative_Data_Approval_Status]]="Approved",CLIMATE_API[[#This Row],[Effective_Precipitation_inches_Alternative]],CLIMATE_API[[#This Row],[Effective_Precipitation_inches]])</f>
        <v>5.09</v>
      </c>
      <c r="M117">
        <f>IF(CLIMATE_API[[#This Row],[Alternative_Data_Approval_Status]]="Approved",CLIMATE_API[[#This Row],[Eto_inches_Alternative]],CLIMATE_API[[#This Row],[Eto_inches]])</f>
        <v>40.06</v>
      </c>
    </row>
    <row r="118" spans="1:13" x14ac:dyDescent="0.25">
      <c r="A118" t="s">
        <v>1287</v>
      </c>
      <c r="B118" t="s">
        <v>3620</v>
      </c>
      <c r="C118">
        <v>31.66</v>
      </c>
      <c r="D118">
        <v>54.44</v>
      </c>
      <c r="E118">
        <v>13.09</v>
      </c>
      <c r="F118" t="s">
        <v>1859</v>
      </c>
      <c r="J118" s="9">
        <v>45108</v>
      </c>
      <c r="K118" s="9">
        <v>45473</v>
      </c>
      <c r="L118">
        <f>IF(CLIMATE_API[[#This Row],[Alternative_Data_Approval_Status]]="Approved",CLIMATE_API[[#This Row],[Effective_Precipitation_inches_Alternative]],CLIMATE_API[[#This Row],[Effective_Precipitation_inches]])</f>
        <v>13.09</v>
      </c>
      <c r="M118">
        <f>IF(CLIMATE_API[[#This Row],[Alternative_Data_Approval_Status]]="Approved",CLIMATE_API[[#This Row],[Eto_inches_Alternative]],CLIMATE_API[[#This Row],[Eto_inches]])</f>
        <v>31.66</v>
      </c>
    </row>
    <row r="119" spans="1:13" x14ac:dyDescent="0.25">
      <c r="A119" t="s">
        <v>1291</v>
      </c>
      <c r="B119" t="s">
        <v>3621</v>
      </c>
      <c r="C119">
        <v>56.29</v>
      </c>
      <c r="D119">
        <v>11.24</v>
      </c>
      <c r="E119">
        <v>2.81</v>
      </c>
      <c r="F119" t="s">
        <v>1859</v>
      </c>
      <c r="J119" s="9">
        <v>45108</v>
      </c>
      <c r="K119" s="9">
        <v>45473</v>
      </c>
      <c r="L119">
        <f>IF(CLIMATE_API[[#This Row],[Alternative_Data_Approval_Status]]="Approved",CLIMATE_API[[#This Row],[Effective_Precipitation_inches_Alternative]],CLIMATE_API[[#This Row],[Effective_Precipitation_inches]])</f>
        <v>2.81</v>
      </c>
      <c r="M119">
        <f>IF(CLIMATE_API[[#This Row],[Alternative_Data_Approval_Status]]="Approved",CLIMATE_API[[#This Row],[Eto_inches_Alternative]],CLIMATE_API[[#This Row],[Eto_inches]])</f>
        <v>56.29</v>
      </c>
    </row>
    <row r="120" spans="1:13" x14ac:dyDescent="0.25">
      <c r="A120" t="s">
        <v>1295</v>
      </c>
      <c r="B120" t="s">
        <v>1296</v>
      </c>
      <c r="C120">
        <v>56.67</v>
      </c>
      <c r="D120">
        <v>20.96</v>
      </c>
      <c r="E120">
        <v>5.24</v>
      </c>
      <c r="F120" t="s">
        <v>1859</v>
      </c>
      <c r="J120" s="9">
        <v>45108</v>
      </c>
      <c r="K120" s="9">
        <v>45473</v>
      </c>
      <c r="L120">
        <f>IF(CLIMATE_API[[#This Row],[Alternative_Data_Approval_Status]]="Approved",CLIMATE_API[[#This Row],[Effective_Precipitation_inches_Alternative]],CLIMATE_API[[#This Row],[Effective_Precipitation_inches]])</f>
        <v>5.24</v>
      </c>
      <c r="M120">
        <f>IF(CLIMATE_API[[#This Row],[Alternative_Data_Approval_Status]]="Approved",CLIMATE_API[[#This Row],[Eto_inches_Alternative]],CLIMATE_API[[#This Row],[Eto_inches]])</f>
        <v>56.67</v>
      </c>
    </row>
    <row r="121" spans="1:13" x14ac:dyDescent="0.25">
      <c r="A121" t="s">
        <v>1299</v>
      </c>
      <c r="B121" t="s">
        <v>3622</v>
      </c>
      <c r="C121">
        <v>51.09</v>
      </c>
      <c r="D121">
        <v>21.85</v>
      </c>
      <c r="E121">
        <v>5.46</v>
      </c>
      <c r="F121" t="s">
        <v>1859</v>
      </c>
      <c r="J121" s="9">
        <v>45108</v>
      </c>
      <c r="K121" s="9">
        <v>45473</v>
      </c>
      <c r="L121">
        <f>IF(CLIMATE_API[[#This Row],[Alternative_Data_Approval_Status]]="Approved",CLIMATE_API[[#This Row],[Effective_Precipitation_inches_Alternative]],CLIMATE_API[[#This Row],[Effective_Precipitation_inches]])</f>
        <v>5.46</v>
      </c>
      <c r="M121">
        <f>IF(CLIMATE_API[[#This Row],[Alternative_Data_Approval_Status]]="Approved",CLIMATE_API[[#This Row],[Eto_inches_Alternative]],CLIMATE_API[[#This Row],[Eto_inches]])</f>
        <v>51.09</v>
      </c>
    </row>
    <row r="122" spans="1:13" x14ac:dyDescent="0.25">
      <c r="A122" t="s">
        <v>1303</v>
      </c>
      <c r="B122" t="s">
        <v>2933</v>
      </c>
      <c r="C122">
        <v>51.92</v>
      </c>
      <c r="D122">
        <v>22.32</v>
      </c>
      <c r="E122">
        <v>5.58</v>
      </c>
      <c r="F122" t="s">
        <v>1859</v>
      </c>
      <c r="J122" s="9">
        <v>45108</v>
      </c>
      <c r="K122" s="9">
        <v>45473</v>
      </c>
      <c r="L122">
        <f>IF(CLIMATE_API[[#This Row],[Alternative_Data_Approval_Status]]="Approved",CLIMATE_API[[#This Row],[Effective_Precipitation_inches_Alternative]],CLIMATE_API[[#This Row],[Effective_Precipitation_inches]])</f>
        <v>5.58</v>
      </c>
      <c r="M122">
        <f>IF(CLIMATE_API[[#This Row],[Alternative_Data_Approval_Status]]="Approved",CLIMATE_API[[#This Row],[Eto_inches_Alternative]],CLIMATE_API[[#This Row],[Eto_inches]])</f>
        <v>51.92</v>
      </c>
    </row>
    <row r="123" spans="1:13" x14ac:dyDescent="0.25">
      <c r="A123" t="s">
        <v>1307</v>
      </c>
      <c r="B123" t="s">
        <v>3623</v>
      </c>
      <c r="C123">
        <v>53.34</v>
      </c>
      <c r="D123">
        <v>34.96</v>
      </c>
      <c r="E123">
        <v>8.74</v>
      </c>
      <c r="F123" t="s">
        <v>1859</v>
      </c>
      <c r="J123" s="9">
        <v>45108</v>
      </c>
      <c r="K123" s="9">
        <v>45473</v>
      </c>
      <c r="L123">
        <f>IF(CLIMATE_API[[#This Row],[Alternative_Data_Approval_Status]]="Approved",CLIMATE_API[[#This Row],[Effective_Precipitation_inches_Alternative]],CLIMATE_API[[#This Row],[Effective_Precipitation_inches]])</f>
        <v>8.74</v>
      </c>
      <c r="M123">
        <f>IF(CLIMATE_API[[#This Row],[Alternative_Data_Approval_Status]]="Approved",CLIMATE_API[[#This Row],[Eto_inches_Alternative]],CLIMATE_API[[#This Row],[Eto_inches]])</f>
        <v>53.34</v>
      </c>
    </row>
    <row r="124" spans="1:13" x14ac:dyDescent="0.25">
      <c r="A124" t="s">
        <v>1311</v>
      </c>
      <c r="B124" t="s">
        <v>3624</v>
      </c>
      <c r="C124">
        <v>56.43</v>
      </c>
      <c r="D124">
        <v>21.2</v>
      </c>
      <c r="E124">
        <v>5.3</v>
      </c>
      <c r="F124" t="s">
        <v>1859</v>
      </c>
      <c r="J124" s="9">
        <v>45108</v>
      </c>
      <c r="K124" s="9">
        <v>45473</v>
      </c>
      <c r="L124">
        <f>IF(CLIMATE_API[[#This Row],[Alternative_Data_Approval_Status]]="Approved",CLIMATE_API[[#This Row],[Effective_Precipitation_inches_Alternative]],CLIMATE_API[[#This Row],[Effective_Precipitation_inches]])</f>
        <v>5.3</v>
      </c>
      <c r="M124">
        <f>IF(CLIMATE_API[[#This Row],[Alternative_Data_Approval_Status]]="Approved",CLIMATE_API[[#This Row],[Eto_inches_Alternative]],CLIMATE_API[[#This Row],[Eto_inches]])</f>
        <v>56.43</v>
      </c>
    </row>
    <row r="125" spans="1:13" x14ac:dyDescent="0.25">
      <c r="A125" t="s">
        <v>1317</v>
      </c>
      <c r="B125" t="s">
        <v>3625</v>
      </c>
      <c r="C125">
        <v>33.79</v>
      </c>
      <c r="D125">
        <v>54.79</v>
      </c>
      <c r="E125">
        <v>12.32</v>
      </c>
      <c r="F125" t="s">
        <v>1859</v>
      </c>
      <c r="J125" s="9">
        <v>45108</v>
      </c>
      <c r="K125" s="9">
        <v>45473</v>
      </c>
      <c r="L125">
        <f>IF(CLIMATE_API[[#This Row],[Alternative_Data_Approval_Status]]="Approved",CLIMATE_API[[#This Row],[Effective_Precipitation_inches_Alternative]],CLIMATE_API[[#This Row],[Effective_Precipitation_inches]])</f>
        <v>12.32</v>
      </c>
      <c r="M125">
        <f>IF(CLIMATE_API[[#This Row],[Alternative_Data_Approval_Status]]="Approved",CLIMATE_API[[#This Row],[Eto_inches_Alternative]],CLIMATE_API[[#This Row],[Eto_inches]])</f>
        <v>33.79</v>
      </c>
    </row>
    <row r="126" spans="1:13" x14ac:dyDescent="0.25">
      <c r="A126" t="s">
        <v>1321</v>
      </c>
      <c r="B126" t="s">
        <v>3626</v>
      </c>
      <c r="C126">
        <v>44.76</v>
      </c>
      <c r="D126">
        <v>20.27</v>
      </c>
      <c r="E126">
        <v>5.07</v>
      </c>
      <c r="F126" t="s">
        <v>1859</v>
      </c>
      <c r="J126" s="9">
        <v>45108</v>
      </c>
      <c r="K126" s="9">
        <v>45473</v>
      </c>
      <c r="L126">
        <f>IF(CLIMATE_API[[#This Row],[Alternative_Data_Approval_Status]]="Approved",CLIMATE_API[[#This Row],[Effective_Precipitation_inches_Alternative]],CLIMATE_API[[#This Row],[Effective_Precipitation_inches]])</f>
        <v>5.07</v>
      </c>
      <c r="M126">
        <f>IF(CLIMATE_API[[#This Row],[Alternative_Data_Approval_Status]]="Approved",CLIMATE_API[[#This Row],[Eto_inches_Alternative]],CLIMATE_API[[#This Row],[Eto_inches]])</f>
        <v>44.76</v>
      </c>
    </row>
    <row r="127" spans="1:13" x14ac:dyDescent="0.25">
      <c r="A127" t="s">
        <v>1325</v>
      </c>
      <c r="B127" t="s">
        <v>3627</v>
      </c>
      <c r="C127">
        <v>55.66</v>
      </c>
      <c r="D127">
        <v>10.58</v>
      </c>
      <c r="E127">
        <v>2.65</v>
      </c>
      <c r="F127" t="s">
        <v>1859</v>
      </c>
      <c r="J127" s="9">
        <v>45108</v>
      </c>
      <c r="K127" s="9">
        <v>45473</v>
      </c>
      <c r="L127">
        <f>IF(CLIMATE_API[[#This Row],[Alternative_Data_Approval_Status]]="Approved",CLIMATE_API[[#This Row],[Effective_Precipitation_inches_Alternative]],CLIMATE_API[[#This Row],[Effective_Precipitation_inches]])</f>
        <v>2.65</v>
      </c>
      <c r="M127">
        <f>IF(CLIMATE_API[[#This Row],[Alternative_Data_Approval_Status]]="Approved",CLIMATE_API[[#This Row],[Eto_inches_Alternative]],CLIMATE_API[[#This Row],[Eto_inches]])</f>
        <v>55.66</v>
      </c>
    </row>
    <row r="128" spans="1:13" x14ac:dyDescent="0.25">
      <c r="A128" t="s">
        <v>1329</v>
      </c>
      <c r="B128" t="s">
        <v>3628</v>
      </c>
      <c r="C128">
        <v>48.44</v>
      </c>
      <c r="D128">
        <v>21.35</v>
      </c>
      <c r="E128">
        <v>5.34</v>
      </c>
      <c r="F128" t="s">
        <v>1859</v>
      </c>
      <c r="J128" s="9">
        <v>45108</v>
      </c>
      <c r="K128" s="9">
        <v>45473</v>
      </c>
      <c r="L128">
        <f>IF(CLIMATE_API[[#This Row],[Alternative_Data_Approval_Status]]="Approved",CLIMATE_API[[#This Row],[Effective_Precipitation_inches_Alternative]],CLIMATE_API[[#This Row],[Effective_Precipitation_inches]])</f>
        <v>5.34</v>
      </c>
      <c r="M128">
        <f>IF(CLIMATE_API[[#This Row],[Alternative_Data_Approval_Status]]="Approved",CLIMATE_API[[#This Row],[Eto_inches_Alternative]],CLIMATE_API[[#This Row],[Eto_inches]])</f>
        <v>48.44</v>
      </c>
    </row>
    <row r="129" spans="1:13" x14ac:dyDescent="0.25">
      <c r="A129" t="s">
        <v>1333</v>
      </c>
      <c r="B129" t="s">
        <v>3629</v>
      </c>
      <c r="C129">
        <v>56.11</v>
      </c>
      <c r="D129">
        <v>16.170000000000002</v>
      </c>
      <c r="E129">
        <v>4.04</v>
      </c>
      <c r="F129" t="s">
        <v>1859</v>
      </c>
      <c r="J129" s="9">
        <v>45108</v>
      </c>
      <c r="K129" s="9">
        <v>45473</v>
      </c>
      <c r="L129">
        <f>IF(CLIMATE_API[[#This Row],[Alternative_Data_Approval_Status]]="Approved",CLIMATE_API[[#This Row],[Effective_Precipitation_inches_Alternative]],CLIMATE_API[[#This Row],[Effective_Precipitation_inches]])</f>
        <v>4.04</v>
      </c>
      <c r="M129">
        <f>IF(CLIMATE_API[[#This Row],[Alternative_Data_Approval_Status]]="Approved",CLIMATE_API[[#This Row],[Eto_inches_Alternative]],CLIMATE_API[[#This Row],[Eto_inches]])</f>
        <v>56.11</v>
      </c>
    </row>
    <row r="130" spans="1:13" x14ac:dyDescent="0.25">
      <c r="A130" t="s">
        <v>1337</v>
      </c>
      <c r="B130" t="s">
        <v>3630</v>
      </c>
      <c r="C130">
        <v>45.99</v>
      </c>
      <c r="D130">
        <v>19.920000000000002</v>
      </c>
      <c r="E130">
        <v>4.9800000000000004</v>
      </c>
      <c r="F130" t="s">
        <v>1859</v>
      </c>
      <c r="J130" s="9">
        <v>45108</v>
      </c>
      <c r="K130" s="9">
        <v>45473</v>
      </c>
      <c r="L130">
        <f>IF(CLIMATE_API[[#This Row],[Alternative_Data_Approval_Status]]="Approved",CLIMATE_API[[#This Row],[Effective_Precipitation_inches_Alternative]],CLIMATE_API[[#This Row],[Effective_Precipitation_inches]])</f>
        <v>4.9800000000000004</v>
      </c>
      <c r="M130">
        <f>IF(CLIMATE_API[[#This Row],[Alternative_Data_Approval_Status]]="Approved",CLIMATE_API[[#This Row],[Eto_inches_Alternative]],CLIMATE_API[[#This Row],[Eto_inches]])</f>
        <v>45.99</v>
      </c>
    </row>
    <row r="131" spans="1:13" x14ac:dyDescent="0.25">
      <c r="A131" t="s">
        <v>1341</v>
      </c>
      <c r="B131" t="s">
        <v>1342</v>
      </c>
      <c r="C131">
        <v>54.18</v>
      </c>
      <c r="D131">
        <v>34.51</v>
      </c>
      <c r="E131">
        <v>8.6300000000000008</v>
      </c>
      <c r="F131" t="s">
        <v>1859</v>
      </c>
      <c r="J131" s="9">
        <v>45108</v>
      </c>
      <c r="K131" s="9">
        <v>45473</v>
      </c>
      <c r="L131">
        <f>IF(CLIMATE_API[[#This Row],[Alternative_Data_Approval_Status]]="Approved",CLIMATE_API[[#This Row],[Effective_Precipitation_inches_Alternative]],CLIMATE_API[[#This Row],[Effective_Precipitation_inches]])</f>
        <v>8.6300000000000008</v>
      </c>
      <c r="M131">
        <f>IF(CLIMATE_API[[#This Row],[Alternative_Data_Approval_Status]]="Approved",CLIMATE_API[[#This Row],[Eto_inches_Alternative]],CLIMATE_API[[#This Row],[Eto_inches]])</f>
        <v>54.18</v>
      </c>
    </row>
    <row r="132" spans="1:13" x14ac:dyDescent="0.25">
      <c r="A132" t="s">
        <v>1345</v>
      </c>
      <c r="B132" t="s">
        <v>3631</v>
      </c>
      <c r="C132">
        <v>46.13</v>
      </c>
      <c r="D132">
        <v>23.41</v>
      </c>
      <c r="E132">
        <v>5.85</v>
      </c>
      <c r="F132" t="s">
        <v>1859</v>
      </c>
      <c r="J132" s="9">
        <v>45108</v>
      </c>
      <c r="K132" s="9">
        <v>45473</v>
      </c>
      <c r="L132">
        <f>IF(CLIMATE_API[[#This Row],[Alternative_Data_Approval_Status]]="Approved",CLIMATE_API[[#This Row],[Effective_Precipitation_inches_Alternative]],CLIMATE_API[[#This Row],[Effective_Precipitation_inches]])</f>
        <v>5.85</v>
      </c>
      <c r="M132">
        <f>IF(CLIMATE_API[[#This Row],[Alternative_Data_Approval_Status]]="Approved",CLIMATE_API[[#This Row],[Eto_inches_Alternative]],CLIMATE_API[[#This Row],[Eto_inches]])</f>
        <v>46.13</v>
      </c>
    </row>
    <row r="133" spans="1:13" x14ac:dyDescent="0.25">
      <c r="A133" t="s">
        <v>1349</v>
      </c>
      <c r="B133" t="s">
        <v>3632</v>
      </c>
      <c r="C133">
        <v>51.27</v>
      </c>
      <c r="D133">
        <v>27.92</v>
      </c>
      <c r="E133">
        <v>6.98</v>
      </c>
      <c r="F133" t="s">
        <v>1859</v>
      </c>
      <c r="J133" s="9">
        <v>45108</v>
      </c>
      <c r="K133" s="9">
        <v>45473</v>
      </c>
      <c r="L133">
        <f>IF(CLIMATE_API[[#This Row],[Alternative_Data_Approval_Status]]="Approved",CLIMATE_API[[#This Row],[Effective_Precipitation_inches_Alternative]],CLIMATE_API[[#This Row],[Effective_Precipitation_inches]])</f>
        <v>6.98</v>
      </c>
      <c r="M133">
        <f>IF(CLIMATE_API[[#This Row],[Alternative_Data_Approval_Status]]="Approved",CLIMATE_API[[#This Row],[Eto_inches_Alternative]],CLIMATE_API[[#This Row],[Eto_inches]])</f>
        <v>51.27</v>
      </c>
    </row>
    <row r="134" spans="1:13" x14ac:dyDescent="0.25">
      <c r="A134" t="s">
        <v>1353</v>
      </c>
      <c r="B134" t="s">
        <v>3633</v>
      </c>
      <c r="C134">
        <v>53.7</v>
      </c>
      <c r="D134">
        <v>29.39</v>
      </c>
      <c r="E134">
        <v>7.35</v>
      </c>
      <c r="F134" t="s">
        <v>1859</v>
      </c>
      <c r="J134" s="9">
        <v>45108</v>
      </c>
      <c r="K134" s="9">
        <v>45473</v>
      </c>
      <c r="L134">
        <f>IF(CLIMATE_API[[#This Row],[Alternative_Data_Approval_Status]]="Approved",CLIMATE_API[[#This Row],[Effective_Precipitation_inches_Alternative]],CLIMATE_API[[#This Row],[Effective_Precipitation_inches]])</f>
        <v>7.35</v>
      </c>
      <c r="M134">
        <f>IF(CLIMATE_API[[#This Row],[Alternative_Data_Approval_Status]]="Approved",CLIMATE_API[[#This Row],[Eto_inches_Alternative]],CLIMATE_API[[#This Row],[Eto_inches]])</f>
        <v>53.7</v>
      </c>
    </row>
    <row r="135" spans="1:13" x14ac:dyDescent="0.25">
      <c r="A135" t="s">
        <v>1357</v>
      </c>
      <c r="B135" t="s">
        <v>3634</v>
      </c>
      <c r="C135">
        <v>46.03</v>
      </c>
      <c r="D135">
        <v>21.53</v>
      </c>
      <c r="E135">
        <v>5.38</v>
      </c>
      <c r="F135" t="s">
        <v>1859</v>
      </c>
      <c r="J135" s="9">
        <v>45108</v>
      </c>
      <c r="K135" s="9">
        <v>45473</v>
      </c>
      <c r="L135">
        <f>IF(CLIMATE_API[[#This Row],[Alternative_Data_Approval_Status]]="Approved",CLIMATE_API[[#This Row],[Effective_Precipitation_inches_Alternative]],CLIMATE_API[[#This Row],[Effective_Precipitation_inches]])</f>
        <v>5.38</v>
      </c>
      <c r="M135">
        <f>IF(CLIMATE_API[[#This Row],[Alternative_Data_Approval_Status]]="Approved",CLIMATE_API[[#This Row],[Eto_inches_Alternative]],CLIMATE_API[[#This Row],[Eto_inches]])</f>
        <v>46.03</v>
      </c>
    </row>
    <row r="136" spans="1:13" x14ac:dyDescent="0.25">
      <c r="A136" t="s">
        <v>1361</v>
      </c>
      <c r="B136" t="s">
        <v>1362</v>
      </c>
      <c r="C136">
        <v>69.33</v>
      </c>
      <c r="D136">
        <v>8.8000000000000007</v>
      </c>
      <c r="E136">
        <v>2.2000000000000002</v>
      </c>
      <c r="F136" t="s">
        <v>1859</v>
      </c>
      <c r="J136" s="9">
        <v>45108</v>
      </c>
      <c r="K136" s="9">
        <v>45473</v>
      </c>
      <c r="L136">
        <f>IF(CLIMATE_API[[#This Row],[Alternative_Data_Approval_Status]]="Approved",CLIMATE_API[[#This Row],[Effective_Precipitation_inches_Alternative]],CLIMATE_API[[#This Row],[Effective_Precipitation_inches]])</f>
        <v>2.2000000000000002</v>
      </c>
      <c r="M136">
        <f>IF(CLIMATE_API[[#This Row],[Alternative_Data_Approval_Status]]="Approved",CLIMATE_API[[#This Row],[Eto_inches_Alternative]],CLIMATE_API[[#This Row],[Eto_inches]])</f>
        <v>69.33</v>
      </c>
    </row>
    <row r="137" spans="1:13" x14ac:dyDescent="0.25">
      <c r="A137" t="s">
        <v>1365</v>
      </c>
      <c r="B137" t="s">
        <v>1366</v>
      </c>
      <c r="C137">
        <v>49.8</v>
      </c>
      <c r="D137">
        <v>16.09</v>
      </c>
      <c r="E137">
        <v>4.0199999999999996</v>
      </c>
      <c r="F137" t="s">
        <v>1859</v>
      </c>
      <c r="J137" s="9">
        <v>45108</v>
      </c>
      <c r="K137" s="9">
        <v>45473</v>
      </c>
      <c r="L137">
        <f>IF(CLIMATE_API[[#This Row],[Alternative_Data_Approval_Status]]="Approved",CLIMATE_API[[#This Row],[Effective_Precipitation_inches_Alternative]],CLIMATE_API[[#This Row],[Effective_Precipitation_inches]])</f>
        <v>4.0199999999999996</v>
      </c>
      <c r="M137">
        <f>IF(CLIMATE_API[[#This Row],[Alternative_Data_Approval_Status]]="Approved",CLIMATE_API[[#This Row],[Eto_inches_Alternative]],CLIMATE_API[[#This Row],[Eto_inches]])</f>
        <v>49.8</v>
      </c>
    </row>
    <row r="138" spans="1:13" x14ac:dyDescent="0.25">
      <c r="A138" t="s">
        <v>1369</v>
      </c>
      <c r="B138" t="s">
        <v>1370</v>
      </c>
      <c r="C138">
        <v>47.9</v>
      </c>
      <c r="D138">
        <v>24.58</v>
      </c>
      <c r="E138">
        <v>6.14</v>
      </c>
      <c r="F138" t="s">
        <v>1859</v>
      </c>
      <c r="J138" s="9">
        <v>45108</v>
      </c>
      <c r="K138" s="9">
        <v>45473</v>
      </c>
      <c r="L138">
        <f>IF(CLIMATE_API[[#This Row],[Alternative_Data_Approval_Status]]="Approved",CLIMATE_API[[#This Row],[Effective_Precipitation_inches_Alternative]],CLIMATE_API[[#This Row],[Effective_Precipitation_inches]])</f>
        <v>6.14</v>
      </c>
      <c r="M138">
        <f>IF(CLIMATE_API[[#This Row],[Alternative_Data_Approval_Status]]="Approved",CLIMATE_API[[#This Row],[Eto_inches_Alternative]],CLIMATE_API[[#This Row],[Eto_inches]])</f>
        <v>47.9</v>
      </c>
    </row>
    <row r="139" spans="1:13" x14ac:dyDescent="0.25">
      <c r="A139" t="s">
        <v>1373</v>
      </c>
      <c r="B139" t="s">
        <v>1374</v>
      </c>
      <c r="C139">
        <v>54.35</v>
      </c>
      <c r="D139">
        <v>27.86</v>
      </c>
      <c r="E139">
        <v>6.96</v>
      </c>
      <c r="F139" t="s">
        <v>1859</v>
      </c>
      <c r="J139" s="9">
        <v>45108</v>
      </c>
      <c r="K139" s="9">
        <v>45473</v>
      </c>
      <c r="L139">
        <f>IF(CLIMATE_API[[#This Row],[Alternative_Data_Approval_Status]]="Approved",CLIMATE_API[[#This Row],[Effective_Precipitation_inches_Alternative]],CLIMATE_API[[#This Row],[Effective_Precipitation_inches]])</f>
        <v>6.96</v>
      </c>
      <c r="M139">
        <f>IF(CLIMATE_API[[#This Row],[Alternative_Data_Approval_Status]]="Approved",CLIMATE_API[[#This Row],[Eto_inches_Alternative]],CLIMATE_API[[#This Row],[Eto_inches]])</f>
        <v>54.35</v>
      </c>
    </row>
    <row r="140" spans="1:13" x14ac:dyDescent="0.25">
      <c r="A140" t="s">
        <v>1377</v>
      </c>
      <c r="B140" t="s">
        <v>1378</v>
      </c>
      <c r="C140">
        <v>56.81</v>
      </c>
      <c r="D140">
        <v>19.79</v>
      </c>
      <c r="E140">
        <v>4.95</v>
      </c>
      <c r="F140" t="s">
        <v>1859</v>
      </c>
      <c r="J140" s="9">
        <v>45108</v>
      </c>
      <c r="K140" s="9">
        <v>45473</v>
      </c>
      <c r="L140">
        <f>IF(CLIMATE_API[[#This Row],[Alternative_Data_Approval_Status]]="Approved",CLIMATE_API[[#This Row],[Effective_Precipitation_inches_Alternative]],CLIMATE_API[[#This Row],[Effective_Precipitation_inches]])</f>
        <v>4.95</v>
      </c>
      <c r="M140">
        <f>IF(CLIMATE_API[[#This Row],[Alternative_Data_Approval_Status]]="Approved",CLIMATE_API[[#This Row],[Eto_inches_Alternative]],CLIMATE_API[[#This Row],[Eto_inches]])</f>
        <v>56.81</v>
      </c>
    </row>
    <row r="141" spans="1:13" x14ac:dyDescent="0.25">
      <c r="A141" t="s">
        <v>1381</v>
      </c>
      <c r="B141" t="s">
        <v>3635</v>
      </c>
      <c r="C141">
        <v>47.06</v>
      </c>
      <c r="D141">
        <v>27.32</v>
      </c>
      <c r="E141">
        <v>6.83</v>
      </c>
      <c r="F141" t="s">
        <v>1859</v>
      </c>
      <c r="J141" s="9">
        <v>45108</v>
      </c>
      <c r="K141" s="9">
        <v>45473</v>
      </c>
      <c r="L141">
        <f>IF(CLIMATE_API[[#This Row],[Alternative_Data_Approval_Status]]="Approved",CLIMATE_API[[#This Row],[Effective_Precipitation_inches_Alternative]],CLIMATE_API[[#This Row],[Effective_Precipitation_inches]])</f>
        <v>6.83</v>
      </c>
      <c r="M141">
        <f>IF(CLIMATE_API[[#This Row],[Alternative_Data_Approval_Status]]="Approved",CLIMATE_API[[#This Row],[Eto_inches_Alternative]],CLIMATE_API[[#This Row],[Eto_inches]])</f>
        <v>47.06</v>
      </c>
    </row>
    <row r="142" spans="1:13" x14ac:dyDescent="0.25">
      <c r="A142" t="s">
        <v>1385</v>
      </c>
      <c r="B142" t="s">
        <v>1386</v>
      </c>
      <c r="C142">
        <v>47.33</v>
      </c>
      <c r="D142">
        <v>24.66</v>
      </c>
      <c r="E142">
        <v>6.17</v>
      </c>
      <c r="F142" t="s">
        <v>1859</v>
      </c>
      <c r="J142" s="9">
        <v>45108</v>
      </c>
      <c r="K142" s="9">
        <v>45473</v>
      </c>
      <c r="L142">
        <f>IF(CLIMATE_API[[#This Row],[Alternative_Data_Approval_Status]]="Approved",CLIMATE_API[[#This Row],[Effective_Precipitation_inches_Alternative]],CLIMATE_API[[#This Row],[Effective_Precipitation_inches]])</f>
        <v>6.17</v>
      </c>
      <c r="M142">
        <f>IF(CLIMATE_API[[#This Row],[Alternative_Data_Approval_Status]]="Approved",CLIMATE_API[[#This Row],[Eto_inches_Alternative]],CLIMATE_API[[#This Row],[Eto_inches]])</f>
        <v>47.33</v>
      </c>
    </row>
    <row r="143" spans="1:13" x14ac:dyDescent="0.25">
      <c r="A143" t="s">
        <v>1389</v>
      </c>
      <c r="B143" t="s">
        <v>1390</v>
      </c>
      <c r="C143">
        <v>48.01</v>
      </c>
      <c r="D143">
        <v>23.2</v>
      </c>
      <c r="E143">
        <v>5.8</v>
      </c>
      <c r="F143" t="s">
        <v>1859</v>
      </c>
      <c r="J143" s="9">
        <v>45108</v>
      </c>
      <c r="K143" s="9">
        <v>45473</v>
      </c>
      <c r="L143">
        <f>IF(CLIMATE_API[[#This Row],[Alternative_Data_Approval_Status]]="Approved",CLIMATE_API[[#This Row],[Effective_Precipitation_inches_Alternative]],CLIMATE_API[[#This Row],[Effective_Precipitation_inches]])</f>
        <v>5.8</v>
      </c>
      <c r="M143">
        <f>IF(CLIMATE_API[[#This Row],[Alternative_Data_Approval_Status]]="Approved",CLIMATE_API[[#This Row],[Eto_inches_Alternative]],CLIMATE_API[[#This Row],[Eto_inches]])</f>
        <v>48.01</v>
      </c>
    </row>
    <row r="144" spans="1:13" x14ac:dyDescent="0.25">
      <c r="A144" t="s">
        <v>1393</v>
      </c>
      <c r="B144" t="s">
        <v>1394</v>
      </c>
      <c r="C144">
        <v>43.48</v>
      </c>
      <c r="D144">
        <v>21.19</v>
      </c>
      <c r="E144">
        <v>5.3</v>
      </c>
      <c r="F144" t="s">
        <v>1859</v>
      </c>
      <c r="J144" s="9">
        <v>45108</v>
      </c>
      <c r="K144" s="9">
        <v>45473</v>
      </c>
      <c r="L144">
        <f>IF(CLIMATE_API[[#This Row],[Alternative_Data_Approval_Status]]="Approved",CLIMATE_API[[#This Row],[Effective_Precipitation_inches_Alternative]],CLIMATE_API[[#This Row],[Effective_Precipitation_inches]])</f>
        <v>5.3</v>
      </c>
      <c r="M144">
        <f>IF(CLIMATE_API[[#This Row],[Alternative_Data_Approval_Status]]="Approved",CLIMATE_API[[#This Row],[Eto_inches_Alternative]],CLIMATE_API[[#This Row],[Eto_inches]])</f>
        <v>43.48</v>
      </c>
    </row>
    <row r="145" spans="1:13" x14ac:dyDescent="0.25">
      <c r="A145" t="s">
        <v>1397</v>
      </c>
      <c r="B145" t="s">
        <v>1398</v>
      </c>
      <c r="C145">
        <v>49.71</v>
      </c>
      <c r="D145">
        <v>20.95</v>
      </c>
      <c r="E145">
        <v>5.24</v>
      </c>
      <c r="F145" t="s">
        <v>1859</v>
      </c>
      <c r="J145" s="9">
        <v>45108</v>
      </c>
      <c r="K145" s="9">
        <v>45473</v>
      </c>
      <c r="L145">
        <f>IF(CLIMATE_API[[#This Row],[Alternative_Data_Approval_Status]]="Approved",CLIMATE_API[[#This Row],[Effective_Precipitation_inches_Alternative]],CLIMATE_API[[#This Row],[Effective_Precipitation_inches]])</f>
        <v>5.24</v>
      </c>
      <c r="M145">
        <f>IF(CLIMATE_API[[#This Row],[Alternative_Data_Approval_Status]]="Approved",CLIMATE_API[[#This Row],[Eto_inches_Alternative]],CLIMATE_API[[#This Row],[Eto_inches]])</f>
        <v>49.71</v>
      </c>
    </row>
    <row r="146" spans="1:13" x14ac:dyDescent="0.25">
      <c r="A146" t="s">
        <v>1401</v>
      </c>
      <c r="B146" t="s">
        <v>1402</v>
      </c>
      <c r="C146">
        <v>53.39</v>
      </c>
      <c r="D146">
        <v>27.05</v>
      </c>
      <c r="E146">
        <v>6.76</v>
      </c>
      <c r="F146" t="s">
        <v>1859</v>
      </c>
      <c r="J146" s="9">
        <v>45108</v>
      </c>
      <c r="K146" s="9">
        <v>45473</v>
      </c>
      <c r="L146">
        <f>IF(CLIMATE_API[[#This Row],[Alternative_Data_Approval_Status]]="Approved",CLIMATE_API[[#This Row],[Effective_Precipitation_inches_Alternative]],CLIMATE_API[[#This Row],[Effective_Precipitation_inches]])</f>
        <v>6.76</v>
      </c>
      <c r="M146">
        <f>IF(CLIMATE_API[[#This Row],[Alternative_Data_Approval_Status]]="Approved",CLIMATE_API[[#This Row],[Eto_inches_Alternative]],CLIMATE_API[[#This Row],[Eto_inches]])</f>
        <v>53.39</v>
      </c>
    </row>
    <row r="147" spans="1:13" x14ac:dyDescent="0.25">
      <c r="A147" t="s">
        <v>1405</v>
      </c>
      <c r="B147" t="s">
        <v>1406</v>
      </c>
      <c r="C147">
        <v>51.35</v>
      </c>
      <c r="D147">
        <v>26.79</v>
      </c>
      <c r="E147">
        <v>6.7</v>
      </c>
      <c r="F147" t="s">
        <v>1859</v>
      </c>
      <c r="J147" s="9">
        <v>45108</v>
      </c>
      <c r="K147" s="9">
        <v>45473</v>
      </c>
      <c r="L147">
        <f>IF(CLIMATE_API[[#This Row],[Alternative_Data_Approval_Status]]="Approved",CLIMATE_API[[#This Row],[Effective_Precipitation_inches_Alternative]],CLIMATE_API[[#This Row],[Effective_Precipitation_inches]])</f>
        <v>6.7</v>
      </c>
      <c r="M147">
        <f>IF(CLIMATE_API[[#This Row],[Alternative_Data_Approval_Status]]="Approved",CLIMATE_API[[#This Row],[Eto_inches_Alternative]],CLIMATE_API[[#This Row],[Eto_inches]])</f>
        <v>51.35</v>
      </c>
    </row>
    <row r="148" spans="1:13" x14ac:dyDescent="0.25">
      <c r="A148" t="s">
        <v>1409</v>
      </c>
      <c r="B148" t="s">
        <v>1410</v>
      </c>
      <c r="C148">
        <v>52.01</v>
      </c>
      <c r="D148">
        <v>26.21</v>
      </c>
      <c r="E148">
        <v>6.55</v>
      </c>
      <c r="F148" t="s">
        <v>1859</v>
      </c>
      <c r="J148" s="9">
        <v>45108</v>
      </c>
      <c r="K148" s="9">
        <v>45473</v>
      </c>
      <c r="L148">
        <f>IF(CLIMATE_API[[#This Row],[Alternative_Data_Approval_Status]]="Approved",CLIMATE_API[[#This Row],[Effective_Precipitation_inches_Alternative]],CLIMATE_API[[#This Row],[Effective_Precipitation_inches]])</f>
        <v>6.55</v>
      </c>
      <c r="M148">
        <f>IF(CLIMATE_API[[#This Row],[Alternative_Data_Approval_Status]]="Approved",CLIMATE_API[[#This Row],[Eto_inches_Alternative]],CLIMATE_API[[#This Row],[Eto_inches]])</f>
        <v>52.01</v>
      </c>
    </row>
    <row r="149" spans="1:13" x14ac:dyDescent="0.25">
      <c r="A149" t="s">
        <v>1413</v>
      </c>
      <c r="B149" t="s">
        <v>1414</v>
      </c>
      <c r="C149">
        <v>50.49</v>
      </c>
      <c r="D149">
        <v>26.25</v>
      </c>
      <c r="E149">
        <v>6.56</v>
      </c>
      <c r="F149" t="s">
        <v>1859</v>
      </c>
      <c r="J149" s="9">
        <v>45108</v>
      </c>
      <c r="K149" s="9">
        <v>45473</v>
      </c>
      <c r="L149">
        <f>IF(CLIMATE_API[[#This Row],[Alternative_Data_Approval_Status]]="Approved",CLIMATE_API[[#This Row],[Effective_Precipitation_inches_Alternative]],CLIMATE_API[[#This Row],[Effective_Precipitation_inches]])</f>
        <v>6.56</v>
      </c>
      <c r="M149">
        <f>IF(CLIMATE_API[[#This Row],[Alternative_Data_Approval_Status]]="Approved",CLIMATE_API[[#This Row],[Eto_inches_Alternative]],CLIMATE_API[[#This Row],[Eto_inches]])</f>
        <v>50.49</v>
      </c>
    </row>
    <row r="150" spans="1:13" x14ac:dyDescent="0.25">
      <c r="A150" t="s">
        <v>1417</v>
      </c>
      <c r="B150" t="s">
        <v>1418</v>
      </c>
      <c r="C150">
        <v>45.28</v>
      </c>
      <c r="D150">
        <v>23.98</v>
      </c>
      <c r="E150">
        <v>5.99</v>
      </c>
      <c r="F150" t="s">
        <v>1859</v>
      </c>
      <c r="J150" s="9">
        <v>45108</v>
      </c>
      <c r="K150" s="9">
        <v>45473</v>
      </c>
      <c r="L150">
        <f>IF(CLIMATE_API[[#This Row],[Alternative_Data_Approval_Status]]="Approved",CLIMATE_API[[#This Row],[Effective_Precipitation_inches_Alternative]],CLIMATE_API[[#This Row],[Effective_Precipitation_inches]])</f>
        <v>5.99</v>
      </c>
      <c r="M150">
        <f>IF(CLIMATE_API[[#This Row],[Alternative_Data_Approval_Status]]="Approved",CLIMATE_API[[#This Row],[Eto_inches_Alternative]],CLIMATE_API[[#This Row],[Eto_inches]])</f>
        <v>45.28</v>
      </c>
    </row>
    <row r="151" spans="1:13" x14ac:dyDescent="0.25">
      <c r="A151" t="s">
        <v>1421</v>
      </c>
      <c r="B151" t="s">
        <v>1422</v>
      </c>
      <c r="C151">
        <v>45.65</v>
      </c>
      <c r="D151">
        <v>20.59</v>
      </c>
      <c r="E151">
        <v>5.15</v>
      </c>
      <c r="F151" t="s">
        <v>1859</v>
      </c>
      <c r="J151" s="9">
        <v>45108</v>
      </c>
      <c r="K151" s="9">
        <v>45473</v>
      </c>
      <c r="L151">
        <f>IF(CLIMATE_API[[#This Row],[Alternative_Data_Approval_Status]]="Approved",CLIMATE_API[[#This Row],[Effective_Precipitation_inches_Alternative]],CLIMATE_API[[#This Row],[Effective_Precipitation_inches]])</f>
        <v>5.15</v>
      </c>
      <c r="M151">
        <f>IF(CLIMATE_API[[#This Row],[Alternative_Data_Approval_Status]]="Approved",CLIMATE_API[[#This Row],[Eto_inches_Alternative]],CLIMATE_API[[#This Row],[Eto_inches]])</f>
        <v>45.65</v>
      </c>
    </row>
    <row r="152" spans="1:13" x14ac:dyDescent="0.25">
      <c r="A152" t="s">
        <v>1425</v>
      </c>
      <c r="B152" t="s">
        <v>1426</v>
      </c>
      <c r="C152">
        <v>43.24</v>
      </c>
      <c r="D152">
        <v>31.63</v>
      </c>
      <c r="E152">
        <v>7.91</v>
      </c>
      <c r="F152" t="s">
        <v>1859</v>
      </c>
      <c r="J152" s="9">
        <v>45108</v>
      </c>
      <c r="K152" s="9">
        <v>45473</v>
      </c>
      <c r="L152">
        <f>IF(CLIMATE_API[[#This Row],[Alternative_Data_Approval_Status]]="Approved",CLIMATE_API[[#This Row],[Effective_Precipitation_inches_Alternative]],CLIMATE_API[[#This Row],[Effective_Precipitation_inches]])</f>
        <v>7.91</v>
      </c>
      <c r="M152">
        <f>IF(CLIMATE_API[[#This Row],[Alternative_Data_Approval_Status]]="Approved",CLIMATE_API[[#This Row],[Eto_inches_Alternative]],CLIMATE_API[[#This Row],[Eto_inches]])</f>
        <v>43.24</v>
      </c>
    </row>
    <row r="153" spans="1:13" x14ac:dyDescent="0.25">
      <c r="A153" t="s">
        <v>1429</v>
      </c>
      <c r="B153" t="s">
        <v>1430</v>
      </c>
      <c r="C153">
        <v>43.83</v>
      </c>
      <c r="D153">
        <v>21.26</v>
      </c>
      <c r="E153">
        <v>5.32</v>
      </c>
      <c r="F153" t="s">
        <v>1859</v>
      </c>
      <c r="J153" s="9">
        <v>45108</v>
      </c>
      <c r="K153" s="9">
        <v>45473</v>
      </c>
      <c r="L153">
        <f>IF(CLIMATE_API[[#This Row],[Alternative_Data_Approval_Status]]="Approved",CLIMATE_API[[#This Row],[Effective_Precipitation_inches_Alternative]],CLIMATE_API[[#This Row],[Effective_Precipitation_inches]])</f>
        <v>5.32</v>
      </c>
      <c r="M153">
        <f>IF(CLIMATE_API[[#This Row],[Alternative_Data_Approval_Status]]="Approved",CLIMATE_API[[#This Row],[Eto_inches_Alternative]],CLIMATE_API[[#This Row],[Eto_inches]])</f>
        <v>43.83</v>
      </c>
    </row>
    <row r="154" spans="1:13" x14ac:dyDescent="0.25">
      <c r="A154" t="s">
        <v>1433</v>
      </c>
      <c r="B154" t="s">
        <v>3636</v>
      </c>
      <c r="C154">
        <v>52.5</v>
      </c>
      <c r="D154">
        <v>15.84</v>
      </c>
      <c r="E154">
        <v>3.96</v>
      </c>
      <c r="F154" t="s">
        <v>1859</v>
      </c>
      <c r="J154" s="9">
        <v>45108</v>
      </c>
      <c r="K154" s="9">
        <v>45473</v>
      </c>
      <c r="L154">
        <f>IF(CLIMATE_API[[#This Row],[Alternative_Data_Approval_Status]]="Approved",CLIMATE_API[[#This Row],[Effective_Precipitation_inches_Alternative]],CLIMATE_API[[#This Row],[Effective_Precipitation_inches]])</f>
        <v>3.96</v>
      </c>
      <c r="M154">
        <f>IF(CLIMATE_API[[#This Row],[Alternative_Data_Approval_Status]]="Approved",CLIMATE_API[[#This Row],[Eto_inches_Alternative]],CLIMATE_API[[#This Row],[Eto_inches]])</f>
        <v>52.5</v>
      </c>
    </row>
    <row r="155" spans="1:13" x14ac:dyDescent="0.25">
      <c r="A155" t="s">
        <v>1437</v>
      </c>
      <c r="B155" t="s">
        <v>3637</v>
      </c>
      <c r="C155">
        <v>63.11</v>
      </c>
      <c r="D155">
        <v>9.2200000000000006</v>
      </c>
      <c r="E155">
        <v>2.2999999999999998</v>
      </c>
      <c r="F155" t="s">
        <v>1859</v>
      </c>
      <c r="J155" s="9">
        <v>45108</v>
      </c>
      <c r="K155" s="9">
        <v>45473</v>
      </c>
      <c r="L155">
        <f>IF(CLIMATE_API[[#This Row],[Alternative_Data_Approval_Status]]="Approved",CLIMATE_API[[#This Row],[Effective_Precipitation_inches_Alternative]],CLIMATE_API[[#This Row],[Effective_Precipitation_inches]])</f>
        <v>2.2999999999999998</v>
      </c>
      <c r="M155">
        <f>IF(CLIMATE_API[[#This Row],[Alternative_Data_Approval_Status]]="Approved",CLIMATE_API[[#This Row],[Eto_inches_Alternative]],CLIMATE_API[[#This Row],[Eto_inches]])</f>
        <v>63.11</v>
      </c>
    </row>
    <row r="156" spans="1:13" x14ac:dyDescent="0.25">
      <c r="A156" t="s">
        <v>1441</v>
      </c>
      <c r="B156" t="s">
        <v>1442</v>
      </c>
      <c r="C156">
        <v>49.46</v>
      </c>
      <c r="D156">
        <v>35.090000000000003</v>
      </c>
      <c r="E156">
        <v>8.77</v>
      </c>
      <c r="F156" t="s">
        <v>1859</v>
      </c>
      <c r="J156" s="9">
        <v>45108</v>
      </c>
      <c r="K156" s="9">
        <v>45473</v>
      </c>
      <c r="L156">
        <f>IF(CLIMATE_API[[#This Row],[Alternative_Data_Approval_Status]]="Approved",CLIMATE_API[[#This Row],[Effective_Precipitation_inches_Alternative]],CLIMATE_API[[#This Row],[Effective_Precipitation_inches]])</f>
        <v>8.77</v>
      </c>
      <c r="M156">
        <f>IF(CLIMATE_API[[#This Row],[Alternative_Data_Approval_Status]]="Approved",CLIMATE_API[[#This Row],[Eto_inches_Alternative]],CLIMATE_API[[#This Row],[Eto_inches]])</f>
        <v>49.46</v>
      </c>
    </row>
    <row r="157" spans="1:13" x14ac:dyDescent="0.25">
      <c r="A157" t="s">
        <v>1446</v>
      </c>
      <c r="B157" t="s">
        <v>3638</v>
      </c>
      <c r="C157">
        <v>43.68</v>
      </c>
      <c r="D157">
        <v>20.46</v>
      </c>
      <c r="E157">
        <v>5.12</v>
      </c>
      <c r="F157" t="s">
        <v>1859</v>
      </c>
      <c r="J157" s="9">
        <v>45108</v>
      </c>
      <c r="K157" s="9">
        <v>45473</v>
      </c>
      <c r="L157">
        <f>IF(CLIMATE_API[[#This Row],[Alternative_Data_Approval_Status]]="Approved",CLIMATE_API[[#This Row],[Effective_Precipitation_inches_Alternative]],CLIMATE_API[[#This Row],[Effective_Precipitation_inches]])</f>
        <v>5.12</v>
      </c>
      <c r="M157">
        <f>IF(CLIMATE_API[[#This Row],[Alternative_Data_Approval_Status]]="Approved",CLIMATE_API[[#This Row],[Eto_inches_Alternative]],CLIMATE_API[[#This Row],[Eto_inches]])</f>
        <v>43.68</v>
      </c>
    </row>
    <row r="158" spans="1:13" x14ac:dyDescent="0.25">
      <c r="A158" t="s">
        <v>1450</v>
      </c>
      <c r="B158" t="s">
        <v>3639</v>
      </c>
      <c r="C158">
        <v>57.65</v>
      </c>
      <c r="D158">
        <v>9.52</v>
      </c>
      <c r="E158">
        <v>2.38</v>
      </c>
      <c r="F158" t="s">
        <v>1859</v>
      </c>
      <c r="J158" s="9">
        <v>45108</v>
      </c>
      <c r="K158" s="9">
        <v>45473</v>
      </c>
      <c r="L158">
        <f>IF(CLIMATE_API[[#This Row],[Alternative_Data_Approval_Status]]="Approved",CLIMATE_API[[#This Row],[Effective_Precipitation_inches_Alternative]],CLIMATE_API[[#This Row],[Effective_Precipitation_inches]])</f>
        <v>2.38</v>
      </c>
      <c r="M158">
        <f>IF(CLIMATE_API[[#This Row],[Alternative_Data_Approval_Status]]="Approved",CLIMATE_API[[#This Row],[Eto_inches_Alternative]],CLIMATE_API[[#This Row],[Eto_inches]])</f>
        <v>57.65</v>
      </c>
    </row>
    <row r="159" spans="1:13" x14ac:dyDescent="0.25">
      <c r="A159" t="s">
        <v>1454</v>
      </c>
      <c r="B159" t="s">
        <v>3640</v>
      </c>
      <c r="C159">
        <v>45.35</v>
      </c>
      <c r="D159">
        <v>24.37</v>
      </c>
      <c r="E159">
        <v>6.09</v>
      </c>
      <c r="F159" t="s">
        <v>1859</v>
      </c>
      <c r="J159" s="9">
        <v>45108</v>
      </c>
      <c r="K159" s="9">
        <v>45473</v>
      </c>
      <c r="L159">
        <f>IF(CLIMATE_API[[#This Row],[Alternative_Data_Approval_Status]]="Approved",CLIMATE_API[[#This Row],[Effective_Precipitation_inches_Alternative]],CLIMATE_API[[#This Row],[Effective_Precipitation_inches]])</f>
        <v>6.09</v>
      </c>
      <c r="M159">
        <f>IF(CLIMATE_API[[#This Row],[Alternative_Data_Approval_Status]]="Approved",CLIMATE_API[[#This Row],[Eto_inches_Alternative]],CLIMATE_API[[#This Row],[Eto_inches]])</f>
        <v>45.35</v>
      </c>
    </row>
    <row r="160" spans="1:13" x14ac:dyDescent="0.25">
      <c r="A160" t="s">
        <v>1458</v>
      </c>
      <c r="B160" t="s">
        <v>3641</v>
      </c>
      <c r="C160">
        <v>43.22</v>
      </c>
      <c r="D160">
        <v>20.85</v>
      </c>
      <c r="E160">
        <v>5.21</v>
      </c>
      <c r="F160" t="s">
        <v>1859</v>
      </c>
      <c r="J160" s="9">
        <v>45108</v>
      </c>
      <c r="K160" s="9">
        <v>45473</v>
      </c>
      <c r="L160">
        <f>IF(CLIMATE_API[[#This Row],[Alternative_Data_Approval_Status]]="Approved",CLIMATE_API[[#This Row],[Effective_Precipitation_inches_Alternative]],CLIMATE_API[[#This Row],[Effective_Precipitation_inches]])</f>
        <v>5.21</v>
      </c>
      <c r="M160">
        <f>IF(CLIMATE_API[[#This Row],[Alternative_Data_Approval_Status]]="Approved",CLIMATE_API[[#This Row],[Eto_inches_Alternative]],CLIMATE_API[[#This Row],[Eto_inches]])</f>
        <v>43.22</v>
      </c>
    </row>
    <row r="161" spans="1:13" x14ac:dyDescent="0.25">
      <c r="A161" t="s">
        <v>1462</v>
      </c>
      <c r="B161" t="s">
        <v>3642</v>
      </c>
      <c r="C161">
        <v>45.28</v>
      </c>
      <c r="D161">
        <v>44.94</v>
      </c>
      <c r="E161">
        <v>10.57</v>
      </c>
      <c r="F161" t="s">
        <v>1859</v>
      </c>
      <c r="J161" s="9">
        <v>45108</v>
      </c>
      <c r="K161" s="9">
        <v>45473</v>
      </c>
      <c r="L161">
        <f>IF(CLIMATE_API[[#This Row],[Alternative_Data_Approval_Status]]="Approved",CLIMATE_API[[#This Row],[Effective_Precipitation_inches_Alternative]],CLIMATE_API[[#This Row],[Effective_Precipitation_inches]])</f>
        <v>10.57</v>
      </c>
      <c r="M161">
        <f>IF(CLIMATE_API[[#This Row],[Alternative_Data_Approval_Status]]="Approved",CLIMATE_API[[#This Row],[Eto_inches_Alternative]],CLIMATE_API[[#This Row],[Eto_inches]])</f>
        <v>45.28</v>
      </c>
    </row>
    <row r="162" spans="1:13" x14ac:dyDescent="0.25">
      <c r="A162" t="s">
        <v>1466</v>
      </c>
      <c r="B162" t="s">
        <v>1467</v>
      </c>
      <c r="C162">
        <v>52.02</v>
      </c>
      <c r="D162">
        <v>17.98</v>
      </c>
      <c r="E162">
        <v>4.5</v>
      </c>
      <c r="F162" t="s">
        <v>1859</v>
      </c>
      <c r="J162" s="9">
        <v>45108</v>
      </c>
      <c r="K162" s="9">
        <v>45473</v>
      </c>
      <c r="L162">
        <f>IF(CLIMATE_API[[#This Row],[Alternative_Data_Approval_Status]]="Approved",CLIMATE_API[[#This Row],[Effective_Precipitation_inches_Alternative]],CLIMATE_API[[#This Row],[Effective_Precipitation_inches]])</f>
        <v>4.5</v>
      </c>
      <c r="M162">
        <f>IF(CLIMATE_API[[#This Row],[Alternative_Data_Approval_Status]]="Approved",CLIMATE_API[[#This Row],[Eto_inches_Alternative]],CLIMATE_API[[#This Row],[Eto_inches]])</f>
        <v>52.02</v>
      </c>
    </row>
    <row r="163" spans="1:13" x14ac:dyDescent="0.25">
      <c r="A163" t="s">
        <v>1470</v>
      </c>
      <c r="B163" t="s">
        <v>3643</v>
      </c>
      <c r="C163">
        <v>61.8</v>
      </c>
      <c r="D163">
        <v>15.57</v>
      </c>
      <c r="E163">
        <v>3.89</v>
      </c>
      <c r="F163" t="s">
        <v>1859</v>
      </c>
      <c r="J163" s="9">
        <v>45108</v>
      </c>
      <c r="K163" s="9">
        <v>45473</v>
      </c>
      <c r="L163">
        <f>IF(CLIMATE_API[[#This Row],[Alternative_Data_Approval_Status]]="Approved",CLIMATE_API[[#This Row],[Effective_Precipitation_inches_Alternative]],CLIMATE_API[[#This Row],[Effective_Precipitation_inches]])</f>
        <v>3.89</v>
      </c>
      <c r="M163">
        <f>IF(CLIMATE_API[[#This Row],[Alternative_Data_Approval_Status]]="Approved",CLIMATE_API[[#This Row],[Eto_inches_Alternative]],CLIMATE_API[[#This Row],[Eto_inches]])</f>
        <v>61.8</v>
      </c>
    </row>
    <row r="164" spans="1:13" x14ac:dyDescent="0.25">
      <c r="A164" t="s">
        <v>1474</v>
      </c>
      <c r="B164" t="s">
        <v>1475</v>
      </c>
      <c r="C164">
        <v>60.5</v>
      </c>
      <c r="D164">
        <v>16.63</v>
      </c>
      <c r="E164">
        <v>4.16</v>
      </c>
      <c r="F164" t="s">
        <v>1859</v>
      </c>
      <c r="J164" s="9">
        <v>45108</v>
      </c>
      <c r="K164" s="9">
        <v>45473</v>
      </c>
      <c r="L164">
        <f>IF(CLIMATE_API[[#This Row],[Alternative_Data_Approval_Status]]="Approved",CLIMATE_API[[#This Row],[Effective_Precipitation_inches_Alternative]],CLIMATE_API[[#This Row],[Effective_Precipitation_inches]])</f>
        <v>4.16</v>
      </c>
      <c r="M164">
        <f>IF(CLIMATE_API[[#This Row],[Alternative_Data_Approval_Status]]="Approved",CLIMATE_API[[#This Row],[Eto_inches_Alternative]],CLIMATE_API[[#This Row],[Eto_inches]])</f>
        <v>60.5</v>
      </c>
    </row>
    <row r="165" spans="1:13" x14ac:dyDescent="0.25">
      <c r="A165" t="s">
        <v>1478</v>
      </c>
      <c r="B165" t="s">
        <v>1479</v>
      </c>
      <c r="C165">
        <v>66.180000000000007</v>
      </c>
      <c r="D165">
        <v>7.83</v>
      </c>
      <c r="E165">
        <v>1.96</v>
      </c>
      <c r="F165" t="s">
        <v>1859</v>
      </c>
      <c r="J165" s="9">
        <v>45108</v>
      </c>
      <c r="K165" s="9">
        <v>45473</v>
      </c>
      <c r="L165">
        <f>IF(CLIMATE_API[[#This Row],[Alternative_Data_Approval_Status]]="Approved",CLIMATE_API[[#This Row],[Effective_Precipitation_inches_Alternative]],CLIMATE_API[[#This Row],[Effective_Precipitation_inches]])</f>
        <v>1.96</v>
      </c>
      <c r="M165">
        <f>IF(CLIMATE_API[[#This Row],[Alternative_Data_Approval_Status]]="Approved",CLIMATE_API[[#This Row],[Eto_inches_Alternative]],CLIMATE_API[[#This Row],[Eto_inches]])</f>
        <v>66.180000000000007</v>
      </c>
    </row>
    <row r="166" spans="1:13" x14ac:dyDescent="0.25">
      <c r="A166" t="s">
        <v>1482</v>
      </c>
      <c r="B166" t="s">
        <v>3644</v>
      </c>
      <c r="C166">
        <v>38.56</v>
      </c>
      <c r="D166">
        <v>26.2</v>
      </c>
      <c r="E166">
        <v>6.55</v>
      </c>
      <c r="F166" t="s">
        <v>1859</v>
      </c>
      <c r="J166" s="9">
        <v>45108</v>
      </c>
      <c r="K166" s="9">
        <v>45473</v>
      </c>
      <c r="L166">
        <f>IF(CLIMATE_API[[#This Row],[Alternative_Data_Approval_Status]]="Approved",CLIMATE_API[[#This Row],[Effective_Precipitation_inches_Alternative]],CLIMATE_API[[#This Row],[Effective_Precipitation_inches]])</f>
        <v>6.55</v>
      </c>
      <c r="M166">
        <f>IF(CLIMATE_API[[#This Row],[Alternative_Data_Approval_Status]]="Approved",CLIMATE_API[[#This Row],[Eto_inches_Alternative]],CLIMATE_API[[#This Row],[Eto_inches]])</f>
        <v>38.56</v>
      </c>
    </row>
    <row r="167" spans="1:13" x14ac:dyDescent="0.25">
      <c r="A167" t="s">
        <v>1486</v>
      </c>
      <c r="B167" t="s">
        <v>3031</v>
      </c>
      <c r="C167">
        <v>49.49</v>
      </c>
      <c r="D167">
        <v>17.38</v>
      </c>
      <c r="E167">
        <v>4.3499999999999996</v>
      </c>
      <c r="F167" t="s">
        <v>1859</v>
      </c>
      <c r="J167" s="9">
        <v>45108</v>
      </c>
      <c r="K167" s="9">
        <v>45473</v>
      </c>
      <c r="L167">
        <f>IF(CLIMATE_API[[#This Row],[Alternative_Data_Approval_Status]]="Approved",CLIMATE_API[[#This Row],[Effective_Precipitation_inches_Alternative]],CLIMATE_API[[#This Row],[Effective_Precipitation_inches]])</f>
        <v>4.3499999999999996</v>
      </c>
      <c r="M167">
        <f>IF(CLIMATE_API[[#This Row],[Alternative_Data_Approval_Status]]="Approved",CLIMATE_API[[#This Row],[Eto_inches_Alternative]],CLIMATE_API[[#This Row],[Eto_inches]])</f>
        <v>49.49</v>
      </c>
    </row>
    <row r="168" spans="1:13" x14ac:dyDescent="0.25">
      <c r="A168" t="s">
        <v>1491</v>
      </c>
      <c r="B168" t="s">
        <v>1492</v>
      </c>
      <c r="C168">
        <v>31.86</v>
      </c>
      <c r="D168">
        <v>56.63</v>
      </c>
      <c r="E168">
        <v>14.04</v>
      </c>
      <c r="F168" t="s">
        <v>1859</v>
      </c>
      <c r="J168" s="9">
        <v>45108</v>
      </c>
      <c r="K168" s="9">
        <v>45473</v>
      </c>
      <c r="L168">
        <f>IF(CLIMATE_API[[#This Row],[Alternative_Data_Approval_Status]]="Approved",CLIMATE_API[[#This Row],[Effective_Precipitation_inches_Alternative]],CLIMATE_API[[#This Row],[Effective_Precipitation_inches]])</f>
        <v>14.04</v>
      </c>
      <c r="M168">
        <f>IF(CLIMATE_API[[#This Row],[Alternative_Data_Approval_Status]]="Approved",CLIMATE_API[[#This Row],[Eto_inches_Alternative]],CLIMATE_API[[#This Row],[Eto_inches]])</f>
        <v>31.86</v>
      </c>
    </row>
    <row r="169" spans="1:13" x14ac:dyDescent="0.25">
      <c r="A169" t="s">
        <v>1495</v>
      </c>
      <c r="B169" t="s">
        <v>3645</v>
      </c>
      <c r="C169">
        <v>43.83</v>
      </c>
      <c r="D169">
        <v>20.38</v>
      </c>
      <c r="E169">
        <v>5.0999999999999996</v>
      </c>
      <c r="F169" t="s">
        <v>1859</v>
      </c>
      <c r="J169" s="9">
        <v>45108</v>
      </c>
      <c r="K169" s="9">
        <v>45473</v>
      </c>
      <c r="L169">
        <f>IF(CLIMATE_API[[#This Row],[Alternative_Data_Approval_Status]]="Approved",CLIMATE_API[[#This Row],[Effective_Precipitation_inches_Alternative]],CLIMATE_API[[#This Row],[Effective_Precipitation_inches]])</f>
        <v>5.0999999999999996</v>
      </c>
      <c r="M169">
        <f>IF(CLIMATE_API[[#This Row],[Alternative_Data_Approval_Status]]="Approved",CLIMATE_API[[#This Row],[Eto_inches_Alternative]],CLIMATE_API[[#This Row],[Eto_inches]])</f>
        <v>43.83</v>
      </c>
    </row>
    <row r="170" spans="1:13" x14ac:dyDescent="0.25">
      <c r="A170" t="s">
        <v>1499</v>
      </c>
      <c r="B170" t="s">
        <v>3646</v>
      </c>
      <c r="C170">
        <v>47.7</v>
      </c>
      <c r="D170">
        <v>24.68</v>
      </c>
      <c r="E170">
        <v>6.17</v>
      </c>
      <c r="F170" t="s">
        <v>1859</v>
      </c>
      <c r="J170" s="9">
        <v>45108</v>
      </c>
      <c r="K170" s="9">
        <v>45473</v>
      </c>
      <c r="L170">
        <f>IF(CLIMATE_API[[#This Row],[Alternative_Data_Approval_Status]]="Approved",CLIMATE_API[[#This Row],[Effective_Precipitation_inches_Alternative]],CLIMATE_API[[#This Row],[Effective_Precipitation_inches]])</f>
        <v>6.17</v>
      </c>
      <c r="M170">
        <f>IF(CLIMATE_API[[#This Row],[Alternative_Data_Approval_Status]]="Approved",CLIMATE_API[[#This Row],[Eto_inches_Alternative]],CLIMATE_API[[#This Row],[Eto_inches]])</f>
        <v>47.7</v>
      </c>
    </row>
    <row r="171" spans="1:13" x14ac:dyDescent="0.25">
      <c r="A171" t="s">
        <v>1503</v>
      </c>
      <c r="B171" t="s">
        <v>3647</v>
      </c>
      <c r="C171">
        <v>77.180000000000007</v>
      </c>
      <c r="D171">
        <v>4.53</v>
      </c>
      <c r="E171">
        <v>1.1299999999999999</v>
      </c>
      <c r="F171" t="s">
        <v>1859</v>
      </c>
      <c r="J171" s="9">
        <v>45108</v>
      </c>
      <c r="K171" s="9">
        <v>45473</v>
      </c>
      <c r="L171">
        <f>IF(CLIMATE_API[[#This Row],[Alternative_Data_Approval_Status]]="Approved",CLIMATE_API[[#This Row],[Effective_Precipitation_inches_Alternative]],CLIMATE_API[[#This Row],[Effective_Precipitation_inches]])</f>
        <v>1.1299999999999999</v>
      </c>
      <c r="M171">
        <f>IF(CLIMATE_API[[#This Row],[Alternative_Data_Approval_Status]]="Approved",CLIMATE_API[[#This Row],[Eto_inches_Alternative]],CLIMATE_API[[#This Row],[Eto_inches]])</f>
        <v>77.180000000000007</v>
      </c>
    </row>
    <row r="172" spans="1:13" x14ac:dyDescent="0.25">
      <c r="A172" t="s">
        <v>1507</v>
      </c>
      <c r="B172" t="s">
        <v>1508</v>
      </c>
      <c r="C172">
        <v>71.98</v>
      </c>
      <c r="D172">
        <v>9.81</v>
      </c>
      <c r="E172">
        <v>2.4500000000000002</v>
      </c>
      <c r="F172" t="s">
        <v>1859</v>
      </c>
      <c r="J172" s="9">
        <v>45108</v>
      </c>
      <c r="K172" s="9">
        <v>45473</v>
      </c>
      <c r="L172">
        <f>IF(CLIMATE_API[[#This Row],[Alternative_Data_Approval_Status]]="Approved",CLIMATE_API[[#This Row],[Effective_Precipitation_inches_Alternative]],CLIMATE_API[[#This Row],[Effective_Precipitation_inches]])</f>
        <v>2.4500000000000002</v>
      </c>
      <c r="M172">
        <f>IF(CLIMATE_API[[#This Row],[Alternative_Data_Approval_Status]]="Approved",CLIMATE_API[[#This Row],[Eto_inches_Alternative]],CLIMATE_API[[#This Row],[Eto_inches]])</f>
        <v>71.98</v>
      </c>
    </row>
    <row r="173" spans="1:13" x14ac:dyDescent="0.25">
      <c r="A173" t="s">
        <v>1511</v>
      </c>
      <c r="B173" t="s">
        <v>3648</v>
      </c>
      <c r="C173">
        <v>75.8</v>
      </c>
      <c r="D173">
        <v>5.97</v>
      </c>
      <c r="E173">
        <v>1.49</v>
      </c>
      <c r="F173" t="s">
        <v>1859</v>
      </c>
      <c r="J173" s="9">
        <v>45108</v>
      </c>
      <c r="K173" s="9">
        <v>45473</v>
      </c>
      <c r="L173">
        <f>IF(CLIMATE_API[[#This Row],[Alternative_Data_Approval_Status]]="Approved",CLIMATE_API[[#This Row],[Effective_Precipitation_inches_Alternative]],CLIMATE_API[[#This Row],[Effective_Precipitation_inches]])</f>
        <v>1.49</v>
      </c>
      <c r="M173">
        <f>IF(CLIMATE_API[[#This Row],[Alternative_Data_Approval_Status]]="Approved",CLIMATE_API[[#This Row],[Eto_inches_Alternative]],CLIMATE_API[[#This Row],[Eto_inches]])</f>
        <v>75.8</v>
      </c>
    </row>
    <row r="174" spans="1:13" x14ac:dyDescent="0.25">
      <c r="A174" t="s">
        <v>1515</v>
      </c>
      <c r="B174" t="s">
        <v>3649</v>
      </c>
      <c r="C174">
        <v>46.35</v>
      </c>
      <c r="D174">
        <v>25.51</v>
      </c>
      <c r="E174">
        <v>6.38</v>
      </c>
      <c r="F174" t="s">
        <v>1859</v>
      </c>
      <c r="J174" s="9">
        <v>45108</v>
      </c>
      <c r="K174" s="9">
        <v>45473</v>
      </c>
      <c r="L174">
        <f>IF(CLIMATE_API[[#This Row],[Alternative_Data_Approval_Status]]="Approved",CLIMATE_API[[#This Row],[Effective_Precipitation_inches_Alternative]],CLIMATE_API[[#This Row],[Effective_Precipitation_inches]])</f>
        <v>6.38</v>
      </c>
      <c r="M174">
        <f>IF(CLIMATE_API[[#This Row],[Alternative_Data_Approval_Status]]="Approved",CLIMATE_API[[#This Row],[Eto_inches_Alternative]],CLIMATE_API[[#This Row],[Eto_inches]])</f>
        <v>46.35</v>
      </c>
    </row>
    <row r="175" spans="1:13" x14ac:dyDescent="0.25">
      <c r="A175" t="s">
        <v>1519</v>
      </c>
      <c r="B175" t="s">
        <v>1520</v>
      </c>
      <c r="C175">
        <v>47.46</v>
      </c>
      <c r="D175">
        <v>21.44</v>
      </c>
      <c r="E175">
        <v>5.36</v>
      </c>
      <c r="F175" t="s">
        <v>1859</v>
      </c>
      <c r="J175" s="9">
        <v>45108</v>
      </c>
      <c r="K175" s="9">
        <v>45473</v>
      </c>
      <c r="L175">
        <f>IF(CLIMATE_API[[#This Row],[Alternative_Data_Approval_Status]]="Approved",CLIMATE_API[[#This Row],[Effective_Precipitation_inches_Alternative]],CLIMATE_API[[#This Row],[Effective_Precipitation_inches]])</f>
        <v>5.36</v>
      </c>
      <c r="M175">
        <f>IF(CLIMATE_API[[#This Row],[Alternative_Data_Approval_Status]]="Approved",CLIMATE_API[[#This Row],[Eto_inches_Alternative]],CLIMATE_API[[#This Row],[Eto_inches]])</f>
        <v>47.46</v>
      </c>
    </row>
    <row r="176" spans="1:13" x14ac:dyDescent="0.25">
      <c r="A176" t="s">
        <v>1523</v>
      </c>
      <c r="B176" t="s">
        <v>1524</v>
      </c>
      <c r="C176">
        <v>69.28</v>
      </c>
      <c r="D176">
        <v>6.76</v>
      </c>
      <c r="E176">
        <v>1.69</v>
      </c>
      <c r="F176" t="s">
        <v>1859</v>
      </c>
      <c r="J176" s="9">
        <v>45108</v>
      </c>
      <c r="K176" s="9">
        <v>45473</v>
      </c>
      <c r="L176">
        <f>IF(CLIMATE_API[[#This Row],[Alternative_Data_Approval_Status]]="Approved",CLIMATE_API[[#This Row],[Effective_Precipitation_inches_Alternative]],CLIMATE_API[[#This Row],[Effective_Precipitation_inches]])</f>
        <v>1.69</v>
      </c>
      <c r="M176">
        <f>IF(CLIMATE_API[[#This Row],[Alternative_Data_Approval_Status]]="Approved",CLIMATE_API[[#This Row],[Eto_inches_Alternative]],CLIMATE_API[[#This Row],[Eto_inches]])</f>
        <v>69.28</v>
      </c>
    </row>
    <row r="177" spans="1:13" x14ac:dyDescent="0.25">
      <c r="A177" t="s">
        <v>1527</v>
      </c>
      <c r="B177" t="s">
        <v>1528</v>
      </c>
      <c r="C177">
        <v>57</v>
      </c>
      <c r="D177">
        <v>18.239999999999998</v>
      </c>
      <c r="E177">
        <v>4.5599999999999996</v>
      </c>
      <c r="F177" t="s">
        <v>1859</v>
      </c>
      <c r="J177" s="9">
        <v>45108</v>
      </c>
      <c r="K177" s="9">
        <v>45473</v>
      </c>
      <c r="L177">
        <f>IF(CLIMATE_API[[#This Row],[Alternative_Data_Approval_Status]]="Approved",CLIMATE_API[[#This Row],[Effective_Precipitation_inches_Alternative]],CLIMATE_API[[#This Row],[Effective_Precipitation_inches]])</f>
        <v>4.5599999999999996</v>
      </c>
      <c r="M177">
        <f>IF(CLIMATE_API[[#This Row],[Alternative_Data_Approval_Status]]="Approved",CLIMATE_API[[#This Row],[Eto_inches_Alternative]],CLIMATE_API[[#This Row],[Eto_inches]])</f>
        <v>57</v>
      </c>
    </row>
    <row r="178" spans="1:13" x14ac:dyDescent="0.25">
      <c r="A178" t="s">
        <v>1531</v>
      </c>
      <c r="B178" t="s">
        <v>3650</v>
      </c>
      <c r="C178">
        <v>58.16</v>
      </c>
      <c r="D178">
        <v>10.27</v>
      </c>
      <c r="E178">
        <v>2.57</v>
      </c>
      <c r="F178" t="s">
        <v>1859</v>
      </c>
      <c r="J178" s="9">
        <v>45108</v>
      </c>
      <c r="K178" s="9">
        <v>45473</v>
      </c>
      <c r="L178">
        <f>IF(CLIMATE_API[[#This Row],[Alternative_Data_Approval_Status]]="Approved",CLIMATE_API[[#This Row],[Effective_Precipitation_inches_Alternative]],CLIMATE_API[[#This Row],[Effective_Precipitation_inches]])</f>
        <v>2.57</v>
      </c>
      <c r="M178">
        <f>IF(CLIMATE_API[[#This Row],[Alternative_Data_Approval_Status]]="Approved",CLIMATE_API[[#This Row],[Eto_inches_Alternative]],CLIMATE_API[[#This Row],[Eto_inches]])</f>
        <v>58.16</v>
      </c>
    </row>
    <row r="179" spans="1:13" x14ac:dyDescent="0.25">
      <c r="A179" t="s">
        <v>1535</v>
      </c>
      <c r="B179" t="s">
        <v>3651</v>
      </c>
      <c r="C179">
        <v>56.06</v>
      </c>
      <c r="D179">
        <v>11.03</v>
      </c>
      <c r="E179">
        <v>2.76</v>
      </c>
      <c r="F179" t="s">
        <v>1859</v>
      </c>
      <c r="J179" s="9">
        <v>45108</v>
      </c>
      <c r="K179" s="9">
        <v>45473</v>
      </c>
      <c r="L179">
        <f>IF(CLIMATE_API[[#This Row],[Alternative_Data_Approval_Status]]="Approved",CLIMATE_API[[#This Row],[Effective_Precipitation_inches_Alternative]],CLIMATE_API[[#This Row],[Effective_Precipitation_inches]])</f>
        <v>2.76</v>
      </c>
      <c r="M179">
        <f>IF(CLIMATE_API[[#This Row],[Alternative_Data_Approval_Status]]="Approved",CLIMATE_API[[#This Row],[Eto_inches_Alternative]],CLIMATE_API[[#This Row],[Eto_inches]])</f>
        <v>56.06</v>
      </c>
    </row>
    <row r="180" spans="1:13" x14ac:dyDescent="0.25">
      <c r="A180" t="s">
        <v>1539</v>
      </c>
      <c r="B180" t="s">
        <v>3652</v>
      </c>
      <c r="C180">
        <v>49.07</v>
      </c>
      <c r="D180">
        <v>22.55</v>
      </c>
      <c r="E180">
        <v>5.64</v>
      </c>
      <c r="F180" t="s">
        <v>1859</v>
      </c>
      <c r="J180" s="9">
        <v>45108</v>
      </c>
      <c r="K180" s="9">
        <v>45473</v>
      </c>
      <c r="L180">
        <f>IF(CLIMATE_API[[#This Row],[Alternative_Data_Approval_Status]]="Approved",CLIMATE_API[[#This Row],[Effective_Precipitation_inches_Alternative]],CLIMATE_API[[#This Row],[Effective_Precipitation_inches]])</f>
        <v>5.64</v>
      </c>
      <c r="M180">
        <f>IF(CLIMATE_API[[#This Row],[Alternative_Data_Approval_Status]]="Approved",CLIMATE_API[[#This Row],[Eto_inches_Alternative]],CLIMATE_API[[#This Row],[Eto_inches]])</f>
        <v>49.07</v>
      </c>
    </row>
    <row r="181" spans="1:13" x14ac:dyDescent="0.25">
      <c r="A181" t="s">
        <v>1543</v>
      </c>
      <c r="B181" t="s">
        <v>3653</v>
      </c>
      <c r="C181">
        <v>46.88</v>
      </c>
      <c r="D181">
        <v>21.62</v>
      </c>
      <c r="E181">
        <v>5.41</v>
      </c>
      <c r="F181" t="s">
        <v>1859</v>
      </c>
      <c r="J181" s="9">
        <v>45108</v>
      </c>
      <c r="K181" s="9">
        <v>45473</v>
      </c>
      <c r="L181">
        <f>IF(CLIMATE_API[[#This Row],[Alternative_Data_Approval_Status]]="Approved",CLIMATE_API[[#This Row],[Effective_Precipitation_inches_Alternative]],CLIMATE_API[[#This Row],[Effective_Precipitation_inches]])</f>
        <v>5.41</v>
      </c>
      <c r="M181">
        <f>IF(CLIMATE_API[[#This Row],[Alternative_Data_Approval_Status]]="Approved",CLIMATE_API[[#This Row],[Eto_inches_Alternative]],CLIMATE_API[[#This Row],[Eto_inches]])</f>
        <v>46.88</v>
      </c>
    </row>
    <row r="182" spans="1:13" x14ac:dyDescent="0.25">
      <c r="A182" t="s">
        <v>1547</v>
      </c>
      <c r="B182" t="s">
        <v>3654</v>
      </c>
      <c r="C182">
        <v>54.11</v>
      </c>
      <c r="D182">
        <v>28.56</v>
      </c>
      <c r="E182">
        <v>7.14</v>
      </c>
      <c r="F182" t="s">
        <v>1859</v>
      </c>
      <c r="J182" s="9">
        <v>45108</v>
      </c>
      <c r="K182" s="9">
        <v>45473</v>
      </c>
      <c r="L182">
        <f>IF(CLIMATE_API[[#This Row],[Alternative_Data_Approval_Status]]="Approved",CLIMATE_API[[#This Row],[Effective_Precipitation_inches_Alternative]],CLIMATE_API[[#This Row],[Effective_Precipitation_inches]])</f>
        <v>7.14</v>
      </c>
      <c r="M182">
        <f>IF(CLIMATE_API[[#This Row],[Alternative_Data_Approval_Status]]="Approved",CLIMATE_API[[#This Row],[Eto_inches_Alternative]],CLIMATE_API[[#This Row],[Eto_inches]])</f>
        <v>54.11</v>
      </c>
    </row>
    <row r="183" spans="1:13" x14ac:dyDescent="0.25">
      <c r="A183" t="s">
        <v>1551</v>
      </c>
      <c r="B183" t="s">
        <v>1552</v>
      </c>
      <c r="C183">
        <v>44.23</v>
      </c>
      <c r="D183">
        <v>20.96</v>
      </c>
      <c r="E183">
        <v>5.24</v>
      </c>
      <c r="F183" t="s">
        <v>1859</v>
      </c>
      <c r="J183" s="9">
        <v>45108</v>
      </c>
      <c r="K183" s="9">
        <v>45473</v>
      </c>
      <c r="L183">
        <f>IF(CLIMATE_API[[#This Row],[Alternative_Data_Approval_Status]]="Approved",CLIMATE_API[[#This Row],[Effective_Precipitation_inches_Alternative]],CLIMATE_API[[#This Row],[Effective_Precipitation_inches]])</f>
        <v>5.24</v>
      </c>
      <c r="M183">
        <f>IF(CLIMATE_API[[#This Row],[Alternative_Data_Approval_Status]]="Approved",CLIMATE_API[[#This Row],[Eto_inches_Alternative]],CLIMATE_API[[#This Row],[Eto_inches]])</f>
        <v>44.23</v>
      </c>
    </row>
    <row r="184" spans="1:13" x14ac:dyDescent="0.25">
      <c r="A184" t="s">
        <v>1555</v>
      </c>
      <c r="B184" t="s">
        <v>3655</v>
      </c>
      <c r="C184">
        <v>55.49</v>
      </c>
      <c r="D184">
        <v>36.35</v>
      </c>
      <c r="E184">
        <v>9.09</v>
      </c>
      <c r="F184" t="s">
        <v>1859</v>
      </c>
      <c r="J184" s="9">
        <v>45108</v>
      </c>
      <c r="K184" s="9">
        <v>45473</v>
      </c>
      <c r="L184">
        <f>IF(CLIMATE_API[[#This Row],[Alternative_Data_Approval_Status]]="Approved",CLIMATE_API[[#This Row],[Effective_Precipitation_inches_Alternative]],CLIMATE_API[[#This Row],[Effective_Precipitation_inches]])</f>
        <v>9.09</v>
      </c>
      <c r="M184">
        <f>IF(CLIMATE_API[[#This Row],[Alternative_Data_Approval_Status]]="Approved",CLIMATE_API[[#This Row],[Eto_inches_Alternative]],CLIMATE_API[[#This Row],[Eto_inches]])</f>
        <v>55.49</v>
      </c>
    </row>
    <row r="185" spans="1:13" x14ac:dyDescent="0.25">
      <c r="A185" t="s">
        <v>1559</v>
      </c>
      <c r="B185" t="s">
        <v>1560</v>
      </c>
      <c r="C185">
        <v>62.65</v>
      </c>
      <c r="D185">
        <v>15.7</v>
      </c>
      <c r="E185">
        <v>3.93</v>
      </c>
      <c r="F185" t="s">
        <v>1859</v>
      </c>
      <c r="J185" s="9">
        <v>45108</v>
      </c>
      <c r="K185" s="9">
        <v>45473</v>
      </c>
      <c r="L185">
        <f>IF(CLIMATE_API[[#This Row],[Alternative_Data_Approval_Status]]="Approved",CLIMATE_API[[#This Row],[Effective_Precipitation_inches_Alternative]],CLIMATE_API[[#This Row],[Effective_Precipitation_inches]])</f>
        <v>3.93</v>
      </c>
      <c r="M185">
        <f>IF(CLIMATE_API[[#This Row],[Alternative_Data_Approval_Status]]="Approved",CLIMATE_API[[#This Row],[Eto_inches_Alternative]],CLIMATE_API[[#This Row],[Eto_inches]])</f>
        <v>62.65</v>
      </c>
    </row>
    <row r="186" spans="1:13" x14ac:dyDescent="0.25">
      <c r="A186" t="s">
        <v>1563</v>
      </c>
      <c r="B186" t="s">
        <v>1564</v>
      </c>
      <c r="C186">
        <v>54.14</v>
      </c>
      <c r="D186">
        <v>18.82</v>
      </c>
      <c r="E186">
        <v>4.7</v>
      </c>
      <c r="F186" t="s">
        <v>1859</v>
      </c>
      <c r="J186" s="9">
        <v>45108</v>
      </c>
      <c r="K186" s="9">
        <v>45473</v>
      </c>
      <c r="L186">
        <f>IF(CLIMATE_API[[#This Row],[Alternative_Data_Approval_Status]]="Approved",CLIMATE_API[[#This Row],[Effective_Precipitation_inches_Alternative]],CLIMATE_API[[#This Row],[Effective_Precipitation_inches]])</f>
        <v>4.7</v>
      </c>
      <c r="M186">
        <f>IF(CLIMATE_API[[#This Row],[Alternative_Data_Approval_Status]]="Approved",CLIMATE_API[[#This Row],[Eto_inches_Alternative]],CLIMATE_API[[#This Row],[Eto_inches]])</f>
        <v>54.14</v>
      </c>
    </row>
    <row r="187" spans="1:13" x14ac:dyDescent="0.25">
      <c r="A187" t="s">
        <v>1567</v>
      </c>
      <c r="B187" t="s">
        <v>3656</v>
      </c>
      <c r="C187">
        <v>45.66</v>
      </c>
      <c r="D187">
        <v>21.89</v>
      </c>
      <c r="E187">
        <v>5.47</v>
      </c>
      <c r="F187" t="s">
        <v>1859</v>
      </c>
      <c r="J187" s="9">
        <v>45108</v>
      </c>
      <c r="K187" s="9">
        <v>45473</v>
      </c>
      <c r="L187">
        <f>IF(CLIMATE_API[[#This Row],[Alternative_Data_Approval_Status]]="Approved",CLIMATE_API[[#This Row],[Effective_Precipitation_inches_Alternative]],CLIMATE_API[[#This Row],[Effective_Precipitation_inches]])</f>
        <v>5.47</v>
      </c>
      <c r="M187">
        <f>IF(CLIMATE_API[[#This Row],[Alternative_Data_Approval_Status]]="Approved",CLIMATE_API[[#This Row],[Eto_inches_Alternative]],CLIMATE_API[[#This Row],[Eto_inches]])</f>
        <v>45.66</v>
      </c>
    </row>
    <row r="188" spans="1:13" x14ac:dyDescent="0.25">
      <c r="A188" t="s">
        <v>1571</v>
      </c>
      <c r="B188" t="s">
        <v>1572</v>
      </c>
      <c r="C188">
        <v>63.73</v>
      </c>
      <c r="D188">
        <v>9.82</v>
      </c>
      <c r="E188">
        <v>2.46</v>
      </c>
      <c r="F188" t="s">
        <v>1859</v>
      </c>
      <c r="J188" s="9">
        <v>45108</v>
      </c>
      <c r="K188" s="9">
        <v>45473</v>
      </c>
      <c r="L188">
        <f>IF(CLIMATE_API[[#This Row],[Alternative_Data_Approval_Status]]="Approved",CLIMATE_API[[#This Row],[Effective_Precipitation_inches_Alternative]],CLIMATE_API[[#This Row],[Effective_Precipitation_inches]])</f>
        <v>2.46</v>
      </c>
      <c r="M188">
        <f>IF(CLIMATE_API[[#This Row],[Alternative_Data_Approval_Status]]="Approved",CLIMATE_API[[#This Row],[Eto_inches_Alternative]],CLIMATE_API[[#This Row],[Eto_inches]])</f>
        <v>63.73</v>
      </c>
    </row>
    <row r="189" spans="1:13" x14ac:dyDescent="0.25">
      <c r="A189" t="s">
        <v>1575</v>
      </c>
      <c r="B189" t="s">
        <v>1576</v>
      </c>
      <c r="C189">
        <v>46.32</v>
      </c>
      <c r="D189">
        <v>31.84</v>
      </c>
      <c r="E189">
        <v>6.65</v>
      </c>
      <c r="F189" t="s">
        <v>1859</v>
      </c>
      <c r="J189" s="9">
        <v>45108</v>
      </c>
      <c r="K189" s="9">
        <v>45473</v>
      </c>
      <c r="L189">
        <f>IF(CLIMATE_API[[#This Row],[Alternative_Data_Approval_Status]]="Approved",CLIMATE_API[[#This Row],[Effective_Precipitation_inches_Alternative]],CLIMATE_API[[#This Row],[Effective_Precipitation_inches]])</f>
        <v>6.65</v>
      </c>
      <c r="M189">
        <f>IF(CLIMATE_API[[#This Row],[Alternative_Data_Approval_Status]]="Approved",CLIMATE_API[[#This Row],[Eto_inches_Alternative]],CLIMATE_API[[#This Row],[Eto_inches]])</f>
        <v>46.32</v>
      </c>
    </row>
    <row r="190" spans="1:13" x14ac:dyDescent="0.25">
      <c r="A190" t="s">
        <v>1579</v>
      </c>
      <c r="B190" t="s">
        <v>3657</v>
      </c>
      <c r="C190">
        <v>53.42</v>
      </c>
      <c r="D190">
        <v>14.78</v>
      </c>
      <c r="E190">
        <v>3.69</v>
      </c>
      <c r="F190" t="s">
        <v>1859</v>
      </c>
      <c r="J190" s="9">
        <v>45108</v>
      </c>
      <c r="K190" s="9">
        <v>45473</v>
      </c>
      <c r="L190">
        <f>IF(CLIMATE_API[[#This Row],[Alternative_Data_Approval_Status]]="Approved",CLIMATE_API[[#This Row],[Effective_Precipitation_inches_Alternative]],CLIMATE_API[[#This Row],[Effective_Precipitation_inches]])</f>
        <v>3.69</v>
      </c>
      <c r="M190">
        <f>IF(CLIMATE_API[[#This Row],[Alternative_Data_Approval_Status]]="Approved",CLIMATE_API[[#This Row],[Eto_inches_Alternative]],CLIMATE_API[[#This Row],[Eto_inches]])</f>
        <v>53.42</v>
      </c>
    </row>
    <row r="191" spans="1:13" x14ac:dyDescent="0.25">
      <c r="A191" t="s">
        <v>1583</v>
      </c>
      <c r="B191" t="s">
        <v>1584</v>
      </c>
      <c r="C191">
        <v>53.32</v>
      </c>
      <c r="D191">
        <v>20.07</v>
      </c>
      <c r="E191">
        <v>5.0199999999999996</v>
      </c>
      <c r="F191" t="s">
        <v>1859</v>
      </c>
      <c r="J191" s="9">
        <v>45108</v>
      </c>
      <c r="K191" s="9">
        <v>45473</v>
      </c>
      <c r="L191">
        <f>IF(CLIMATE_API[[#This Row],[Alternative_Data_Approval_Status]]="Approved",CLIMATE_API[[#This Row],[Effective_Precipitation_inches_Alternative]],CLIMATE_API[[#This Row],[Effective_Precipitation_inches]])</f>
        <v>5.0199999999999996</v>
      </c>
      <c r="M191">
        <f>IF(CLIMATE_API[[#This Row],[Alternative_Data_Approval_Status]]="Approved",CLIMATE_API[[#This Row],[Eto_inches_Alternative]],CLIMATE_API[[#This Row],[Eto_inches]])</f>
        <v>53.32</v>
      </c>
    </row>
    <row r="192" spans="1:13" x14ac:dyDescent="0.25">
      <c r="A192" t="s">
        <v>1587</v>
      </c>
      <c r="B192" t="s">
        <v>3658</v>
      </c>
      <c r="C192">
        <v>58.88</v>
      </c>
      <c r="D192">
        <v>8.69</v>
      </c>
      <c r="E192">
        <v>2.17</v>
      </c>
      <c r="F192" t="s">
        <v>1859</v>
      </c>
      <c r="J192" s="9">
        <v>45108</v>
      </c>
      <c r="K192" s="9">
        <v>45473</v>
      </c>
      <c r="L192">
        <f>IF(CLIMATE_API[[#This Row],[Alternative_Data_Approval_Status]]="Approved",CLIMATE_API[[#This Row],[Effective_Precipitation_inches_Alternative]],CLIMATE_API[[#This Row],[Effective_Precipitation_inches]])</f>
        <v>2.17</v>
      </c>
      <c r="M192">
        <f>IF(CLIMATE_API[[#This Row],[Alternative_Data_Approval_Status]]="Approved",CLIMATE_API[[#This Row],[Eto_inches_Alternative]],CLIMATE_API[[#This Row],[Eto_inches]])</f>
        <v>58.88</v>
      </c>
    </row>
    <row r="193" spans="1:13" x14ac:dyDescent="0.25">
      <c r="A193" t="s">
        <v>1591</v>
      </c>
      <c r="B193" t="s">
        <v>3659</v>
      </c>
      <c r="C193">
        <v>56.26</v>
      </c>
      <c r="D193">
        <v>20.18</v>
      </c>
      <c r="E193">
        <v>5.05</v>
      </c>
      <c r="F193" t="s">
        <v>1859</v>
      </c>
      <c r="J193" s="9">
        <v>45108</v>
      </c>
      <c r="K193" s="9">
        <v>45473</v>
      </c>
      <c r="L193">
        <f>IF(CLIMATE_API[[#This Row],[Alternative_Data_Approval_Status]]="Approved",CLIMATE_API[[#This Row],[Effective_Precipitation_inches_Alternative]],CLIMATE_API[[#This Row],[Effective_Precipitation_inches]])</f>
        <v>5.05</v>
      </c>
      <c r="M193">
        <f>IF(CLIMATE_API[[#This Row],[Alternative_Data_Approval_Status]]="Approved",CLIMATE_API[[#This Row],[Eto_inches_Alternative]],CLIMATE_API[[#This Row],[Eto_inches]])</f>
        <v>56.26</v>
      </c>
    </row>
    <row r="194" spans="1:13" x14ac:dyDescent="0.25">
      <c r="A194" t="s">
        <v>1595</v>
      </c>
      <c r="B194" t="s">
        <v>1596</v>
      </c>
      <c r="C194">
        <v>51.51</v>
      </c>
      <c r="D194">
        <v>31.42</v>
      </c>
      <c r="E194">
        <v>7.84</v>
      </c>
      <c r="F194" t="s">
        <v>1859</v>
      </c>
      <c r="J194" s="9">
        <v>45108</v>
      </c>
      <c r="K194" s="9">
        <v>45473</v>
      </c>
      <c r="L194">
        <f>IF(CLIMATE_API[[#This Row],[Alternative_Data_Approval_Status]]="Approved",CLIMATE_API[[#This Row],[Effective_Precipitation_inches_Alternative]],CLIMATE_API[[#This Row],[Effective_Precipitation_inches]])</f>
        <v>7.84</v>
      </c>
      <c r="M194">
        <f>IF(CLIMATE_API[[#This Row],[Alternative_Data_Approval_Status]]="Approved",CLIMATE_API[[#This Row],[Eto_inches_Alternative]],CLIMATE_API[[#This Row],[Eto_inches]])</f>
        <v>51.51</v>
      </c>
    </row>
    <row r="195" spans="1:13" x14ac:dyDescent="0.25">
      <c r="A195" t="s">
        <v>1599</v>
      </c>
      <c r="B195" t="s">
        <v>1600</v>
      </c>
      <c r="C195">
        <v>54.99</v>
      </c>
      <c r="D195">
        <v>18.95</v>
      </c>
      <c r="E195">
        <v>4.74</v>
      </c>
      <c r="F195" t="s">
        <v>1859</v>
      </c>
      <c r="J195" s="9">
        <v>45108</v>
      </c>
      <c r="K195" s="9">
        <v>45473</v>
      </c>
      <c r="L195">
        <f>IF(CLIMATE_API[[#This Row],[Alternative_Data_Approval_Status]]="Approved",CLIMATE_API[[#This Row],[Effective_Precipitation_inches_Alternative]],CLIMATE_API[[#This Row],[Effective_Precipitation_inches]])</f>
        <v>4.74</v>
      </c>
      <c r="M195">
        <f>IF(CLIMATE_API[[#This Row],[Alternative_Data_Approval_Status]]="Approved",CLIMATE_API[[#This Row],[Eto_inches_Alternative]],CLIMATE_API[[#This Row],[Eto_inches]])</f>
        <v>54.99</v>
      </c>
    </row>
    <row r="196" spans="1:13" x14ac:dyDescent="0.25">
      <c r="A196" t="s">
        <v>1603</v>
      </c>
      <c r="B196" t="s">
        <v>1604</v>
      </c>
      <c r="J196" s="9">
        <v>45108</v>
      </c>
      <c r="K196" s="9">
        <v>45473</v>
      </c>
      <c r="L196">
        <f>IF(CLIMATE_API[[#This Row],[Alternative_Data_Approval_Status]]="Approved",CLIMATE_API[[#This Row],[Effective_Precipitation_inches_Alternative]],CLIMATE_API[[#This Row],[Effective_Precipitation_inches]])</f>
        <v>0</v>
      </c>
      <c r="M196">
        <f>IF(CLIMATE_API[[#This Row],[Alternative_Data_Approval_Status]]="Approved",CLIMATE_API[[#This Row],[Eto_inches_Alternative]],CLIMATE_API[[#This Row],[Eto_inches]])</f>
        <v>0</v>
      </c>
    </row>
    <row r="197" spans="1:13" x14ac:dyDescent="0.25">
      <c r="A197" t="s">
        <v>1607</v>
      </c>
      <c r="B197" t="s">
        <v>3660</v>
      </c>
      <c r="C197">
        <v>47.68</v>
      </c>
      <c r="D197">
        <v>15.57</v>
      </c>
      <c r="E197">
        <v>3.89</v>
      </c>
      <c r="F197" t="s">
        <v>1859</v>
      </c>
      <c r="J197" s="9">
        <v>45108</v>
      </c>
      <c r="K197" s="9">
        <v>45473</v>
      </c>
      <c r="L197">
        <f>IF(CLIMATE_API[[#This Row],[Alternative_Data_Approval_Status]]="Approved",CLIMATE_API[[#This Row],[Effective_Precipitation_inches_Alternative]],CLIMATE_API[[#This Row],[Effective_Precipitation_inches]])</f>
        <v>3.89</v>
      </c>
      <c r="M197">
        <f>IF(CLIMATE_API[[#This Row],[Alternative_Data_Approval_Status]]="Approved",CLIMATE_API[[#This Row],[Eto_inches_Alternative]],CLIMATE_API[[#This Row],[Eto_inches]])</f>
        <v>47.68</v>
      </c>
    </row>
    <row r="198" spans="1:13" x14ac:dyDescent="0.25">
      <c r="A198" t="s">
        <v>1611</v>
      </c>
      <c r="B198" t="s">
        <v>3661</v>
      </c>
      <c r="C198">
        <v>53.94</v>
      </c>
      <c r="D198">
        <v>15.04</v>
      </c>
      <c r="E198">
        <v>3.76</v>
      </c>
      <c r="F198" t="s">
        <v>1859</v>
      </c>
      <c r="J198" s="9">
        <v>45108</v>
      </c>
      <c r="K198" s="9">
        <v>45473</v>
      </c>
      <c r="L198">
        <f>IF(CLIMATE_API[[#This Row],[Alternative_Data_Approval_Status]]="Approved",CLIMATE_API[[#This Row],[Effective_Precipitation_inches_Alternative]],CLIMATE_API[[#This Row],[Effective_Precipitation_inches]])</f>
        <v>3.76</v>
      </c>
      <c r="M198">
        <f>IF(CLIMATE_API[[#This Row],[Alternative_Data_Approval_Status]]="Approved",CLIMATE_API[[#This Row],[Eto_inches_Alternative]],CLIMATE_API[[#This Row],[Eto_inches]])</f>
        <v>53.94</v>
      </c>
    </row>
    <row r="199" spans="1:13" x14ac:dyDescent="0.25">
      <c r="A199" t="s">
        <v>1615</v>
      </c>
      <c r="B199" t="s">
        <v>3662</v>
      </c>
      <c r="C199">
        <v>55.46</v>
      </c>
      <c r="D199">
        <v>16.91</v>
      </c>
      <c r="E199">
        <v>4.2300000000000004</v>
      </c>
      <c r="F199" t="s">
        <v>1859</v>
      </c>
      <c r="J199" s="9">
        <v>45108</v>
      </c>
      <c r="K199" s="9">
        <v>45473</v>
      </c>
      <c r="L199">
        <f>IF(CLIMATE_API[[#This Row],[Alternative_Data_Approval_Status]]="Approved",CLIMATE_API[[#This Row],[Effective_Precipitation_inches_Alternative]],CLIMATE_API[[#This Row],[Effective_Precipitation_inches]])</f>
        <v>4.2300000000000004</v>
      </c>
      <c r="M199">
        <f>IF(CLIMATE_API[[#This Row],[Alternative_Data_Approval_Status]]="Approved",CLIMATE_API[[#This Row],[Eto_inches_Alternative]],CLIMATE_API[[#This Row],[Eto_inches]])</f>
        <v>55.46</v>
      </c>
    </row>
    <row r="200" spans="1:13" x14ac:dyDescent="0.25">
      <c r="A200" t="s">
        <v>1619</v>
      </c>
      <c r="B200" t="s">
        <v>3663</v>
      </c>
      <c r="C200">
        <v>60.37</v>
      </c>
      <c r="D200">
        <v>17.66</v>
      </c>
      <c r="E200">
        <v>4.42</v>
      </c>
      <c r="F200" t="s">
        <v>1859</v>
      </c>
      <c r="J200" s="9">
        <v>45108</v>
      </c>
      <c r="K200" s="9">
        <v>45473</v>
      </c>
      <c r="L200">
        <f>IF(CLIMATE_API[[#This Row],[Alternative_Data_Approval_Status]]="Approved",CLIMATE_API[[#This Row],[Effective_Precipitation_inches_Alternative]],CLIMATE_API[[#This Row],[Effective_Precipitation_inches]])</f>
        <v>4.42</v>
      </c>
      <c r="M200">
        <f>IF(CLIMATE_API[[#This Row],[Alternative_Data_Approval_Status]]="Approved",CLIMATE_API[[#This Row],[Eto_inches_Alternative]],CLIMATE_API[[#This Row],[Eto_inches]])</f>
        <v>60.37</v>
      </c>
    </row>
    <row r="201" spans="1:13" x14ac:dyDescent="0.25">
      <c r="A201" t="s">
        <v>1623</v>
      </c>
      <c r="B201" t="s">
        <v>3664</v>
      </c>
      <c r="C201">
        <v>42.74</v>
      </c>
      <c r="D201">
        <v>23.62</v>
      </c>
      <c r="E201">
        <v>5.91</v>
      </c>
      <c r="F201" t="s">
        <v>1859</v>
      </c>
      <c r="J201" s="9">
        <v>45108</v>
      </c>
      <c r="K201" s="9">
        <v>45473</v>
      </c>
      <c r="L201">
        <f>IF(CLIMATE_API[[#This Row],[Alternative_Data_Approval_Status]]="Approved",CLIMATE_API[[#This Row],[Effective_Precipitation_inches_Alternative]],CLIMATE_API[[#This Row],[Effective_Precipitation_inches]])</f>
        <v>5.91</v>
      </c>
      <c r="M201">
        <f>IF(CLIMATE_API[[#This Row],[Alternative_Data_Approval_Status]]="Approved",CLIMATE_API[[#This Row],[Eto_inches_Alternative]],CLIMATE_API[[#This Row],[Eto_inches]])</f>
        <v>42.74</v>
      </c>
    </row>
    <row r="202" spans="1:13" x14ac:dyDescent="0.25">
      <c r="A202" t="s">
        <v>1627</v>
      </c>
      <c r="B202" t="s">
        <v>3665</v>
      </c>
      <c r="C202">
        <v>39.53</v>
      </c>
      <c r="D202">
        <v>22.25</v>
      </c>
      <c r="E202">
        <v>5.56</v>
      </c>
      <c r="F202" t="s">
        <v>1859</v>
      </c>
      <c r="J202" s="9">
        <v>45108</v>
      </c>
      <c r="K202" s="9">
        <v>45473</v>
      </c>
      <c r="L202">
        <f>IF(CLIMATE_API[[#This Row],[Alternative_Data_Approval_Status]]="Approved",CLIMATE_API[[#This Row],[Effective_Precipitation_inches_Alternative]],CLIMATE_API[[#This Row],[Effective_Precipitation_inches]])</f>
        <v>5.56</v>
      </c>
      <c r="M202">
        <f>IF(CLIMATE_API[[#This Row],[Alternative_Data_Approval_Status]]="Approved",CLIMATE_API[[#This Row],[Eto_inches_Alternative]],CLIMATE_API[[#This Row],[Eto_inches]])</f>
        <v>39.53</v>
      </c>
    </row>
    <row r="203" spans="1:13" x14ac:dyDescent="0.25">
      <c r="A203" t="s">
        <v>1631</v>
      </c>
      <c r="B203" t="s">
        <v>3666</v>
      </c>
      <c r="C203">
        <v>44.61</v>
      </c>
      <c r="D203">
        <v>21.33</v>
      </c>
      <c r="E203">
        <v>5.33</v>
      </c>
      <c r="F203" t="s">
        <v>1859</v>
      </c>
      <c r="J203" s="9">
        <v>45108</v>
      </c>
      <c r="K203" s="9">
        <v>45473</v>
      </c>
      <c r="L203">
        <f>IF(CLIMATE_API[[#This Row],[Alternative_Data_Approval_Status]]="Approved",CLIMATE_API[[#This Row],[Effective_Precipitation_inches_Alternative]],CLIMATE_API[[#This Row],[Effective_Precipitation_inches]])</f>
        <v>5.33</v>
      </c>
      <c r="M203">
        <f>IF(CLIMATE_API[[#This Row],[Alternative_Data_Approval_Status]]="Approved",CLIMATE_API[[#This Row],[Eto_inches_Alternative]],CLIMATE_API[[#This Row],[Eto_inches]])</f>
        <v>44.61</v>
      </c>
    </row>
    <row r="204" spans="1:13" x14ac:dyDescent="0.25">
      <c r="A204" t="s">
        <v>1635</v>
      </c>
      <c r="B204" t="s">
        <v>3667</v>
      </c>
      <c r="C204">
        <v>49.73</v>
      </c>
      <c r="D204">
        <v>27.84</v>
      </c>
      <c r="E204">
        <v>6.96</v>
      </c>
      <c r="F204" t="s">
        <v>1859</v>
      </c>
      <c r="J204" s="9">
        <v>45108</v>
      </c>
      <c r="K204" s="9">
        <v>45473</v>
      </c>
      <c r="L204">
        <f>IF(CLIMATE_API[[#This Row],[Alternative_Data_Approval_Status]]="Approved",CLIMATE_API[[#This Row],[Effective_Precipitation_inches_Alternative]],CLIMATE_API[[#This Row],[Effective_Precipitation_inches]])</f>
        <v>6.96</v>
      </c>
      <c r="M204">
        <f>IF(CLIMATE_API[[#This Row],[Alternative_Data_Approval_Status]]="Approved",CLIMATE_API[[#This Row],[Eto_inches_Alternative]],CLIMATE_API[[#This Row],[Eto_inches]])</f>
        <v>49.73</v>
      </c>
    </row>
    <row r="205" spans="1:13" x14ac:dyDescent="0.25">
      <c r="A205" t="s">
        <v>1639</v>
      </c>
      <c r="B205" t="s">
        <v>1640</v>
      </c>
      <c r="C205">
        <v>45.52</v>
      </c>
      <c r="D205">
        <v>30.13</v>
      </c>
      <c r="E205">
        <v>6.3</v>
      </c>
      <c r="F205" t="s">
        <v>1859</v>
      </c>
      <c r="J205" s="9">
        <v>45108</v>
      </c>
      <c r="K205" s="9">
        <v>45473</v>
      </c>
      <c r="L205">
        <f>IF(CLIMATE_API[[#This Row],[Alternative_Data_Approval_Status]]="Approved",CLIMATE_API[[#This Row],[Effective_Precipitation_inches_Alternative]],CLIMATE_API[[#This Row],[Effective_Precipitation_inches]])</f>
        <v>6.3</v>
      </c>
      <c r="M205">
        <f>IF(CLIMATE_API[[#This Row],[Alternative_Data_Approval_Status]]="Approved",CLIMATE_API[[#This Row],[Eto_inches_Alternative]],CLIMATE_API[[#This Row],[Eto_inches]])</f>
        <v>45.52</v>
      </c>
    </row>
    <row r="206" spans="1:13" x14ac:dyDescent="0.25">
      <c r="A206" t="s">
        <v>1643</v>
      </c>
      <c r="B206" t="s">
        <v>1644</v>
      </c>
      <c r="C206">
        <v>63.12</v>
      </c>
      <c r="D206">
        <v>14.16</v>
      </c>
      <c r="E206">
        <v>3.54</v>
      </c>
      <c r="F206" t="s">
        <v>1859</v>
      </c>
      <c r="J206" s="9">
        <v>45108</v>
      </c>
      <c r="K206" s="9">
        <v>45473</v>
      </c>
      <c r="L206">
        <f>IF(CLIMATE_API[[#This Row],[Alternative_Data_Approval_Status]]="Approved",CLIMATE_API[[#This Row],[Effective_Precipitation_inches_Alternative]],CLIMATE_API[[#This Row],[Effective_Precipitation_inches]])</f>
        <v>3.54</v>
      </c>
      <c r="M206">
        <f>IF(CLIMATE_API[[#This Row],[Alternative_Data_Approval_Status]]="Approved",CLIMATE_API[[#This Row],[Eto_inches_Alternative]],CLIMATE_API[[#This Row],[Eto_inches]])</f>
        <v>63.12</v>
      </c>
    </row>
    <row r="207" spans="1:13" x14ac:dyDescent="0.25">
      <c r="A207" t="s">
        <v>1655</v>
      </c>
      <c r="B207" t="s">
        <v>3668</v>
      </c>
      <c r="C207">
        <v>56.58</v>
      </c>
      <c r="D207">
        <v>11.31</v>
      </c>
      <c r="E207">
        <v>2.83</v>
      </c>
      <c r="F207" t="s">
        <v>1859</v>
      </c>
      <c r="J207" s="9">
        <v>45108</v>
      </c>
      <c r="K207" s="9">
        <v>45473</v>
      </c>
      <c r="L207">
        <f>IF(CLIMATE_API[[#This Row],[Alternative_Data_Approval_Status]]="Approved",CLIMATE_API[[#This Row],[Effective_Precipitation_inches_Alternative]],CLIMATE_API[[#This Row],[Effective_Precipitation_inches]])</f>
        <v>2.83</v>
      </c>
      <c r="M207">
        <f>IF(CLIMATE_API[[#This Row],[Alternative_Data_Approval_Status]]="Approved",CLIMATE_API[[#This Row],[Eto_inches_Alternative]],CLIMATE_API[[#This Row],[Eto_inches]])</f>
        <v>56.58</v>
      </c>
    </row>
    <row r="208" spans="1:13" x14ac:dyDescent="0.25">
      <c r="A208" t="s">
        <v>1659</v>
      </c>
      <c r="B208" t="s">
        <v>3669</v>
      </c>
      <c r="C208">
        <v>46.84</v>
      </c>
      <c r="D208">
        <v>24.02</v>
      </c>
      <c r="E208">
        <v>6.01</v>
      </c>
      <c r="F208" t="s">
        <v>1859</v>
      </c>
      <c r="J208" s="9">
        <v>45108</v>
      </c>
      <c r="K208" s="9">
        <v>45473</v>
      </c>
      <c r="L208">
        <f>IF(CLIMATE_API[[#This Row],[Alternative_Data_Approval_Status]]="Approved",CLIMATE_API[[#This Row],[Effective_Precipitation_inches_Alternative]],CLIMATE_API[[#This Row],[Effective_Precipitation_inches]])</f>
        <v>6.01</v>
      </c>
      <c r="M208">
        <f>IF(CLIMATE_API[[#This Row],[Alternative_Data_Approval_Status]]="Approved",CLIMATE_API[[#This Row],[Eto_inches_Alternative]],CLIMATE_API[[#This Row],[Eto_inches]])</f>
        <v>46.84</v>
      </c>
    </row>
    <row r="209" spans="1:13" x14ac:dyDescent="0.25">
      <c r="A209" t="s">
        <v>1663</v>
      </c>
      <c r="B209" t="s">
        <v>3670</v>
      </c>
      <c r="C209">
        <v>55.69</v>
      </c>
      <c r="D209">
        <v>11.51</v>
      </c>
      <c r="E209">
        <v>2.88</v>
      </c>
      <c r="F209" t="s">
        <v>1859</v>
      </c>
      <c r="J209" s="9">
        <v>45108</v>
      </c>
      <c r="K209" s="9">
        <v>45473</v>
      </c>
      <c r="L209">
        <f>IF(CLIMATE_API[[#This Row],[Alternative_Data_Approval_Status]]="Approved",CLIMATE_API[[#This Row],[Effective_Precipitation_inches_Alternative]],CLIMATE_API[[#This Row],[Effective_Precipitation_inches]])</f>
        <v>2.88</v>
      </c>
      <c r="M209">
        <f>IF(CLIMATE_API[[#This Row],[Alternative_Data_Approval_Status]]="Approved",CLIMATE_API[[#This Row],[Eto_inches_Alternative]],CLIMATE_API[[#This Row],[Eto_inches]])</f>
        <v>55.69</v>
      </c>
    </row>
    <row r="210" spans="1:13" x14ac:dyDescent="0.25">
      <c r="A210" t="s">
        <v>1668</v>
      </c>
      <c r="B210" t="s">
        <v>1669</v>
      </c>
      <c r="C210">
        <v>47.91</v>
      </c>
      <c r="D210">
        <v>24.91</v>
      </c>
      <c r="E210">
        <v>6.23</v>
      </c>
      <c r="F210" t="s">
        <v>1859</v>
      </c>
      <c r="J210" s="9">
        <v>45108</v>
      </c>
      <c r="K210" s="9">
        <v>45473</v>
      </c>
      <c r="L210">
        <f>IF(CLIMATE_API[[#This Row],[Alternative_Data_Approval_Status]]="Approved",CLIMATE_API[[#This Row],[Effective_Precipitation_inches_Alternative]],CLIMATE_API[[#This Row],[Effective_Precipitation_inches]])</f>
        <v>6.23</v>
      </c>
      <c r="M210">
        <f>IF(CLIMATE_API[[#This Row],[Alternative_Data_Approval_Status]]="Approved",CLIMATE_API[[#This Row],[Eto_inches_Alternative]],CLIMATE_API[[#This Row],[Eto_inches]])</f>
        <v>47.91</v>
      </c>
    </row>
    <row r="211" spans="1:13" x14ac:dyDescent="0.25">
      <c r="A211" t="s">
        <v>1673</v>
      </c>
      <c r="B211" t="s">
        <v>3671</v>
      </c>
      <c r="C211">
        <v>44.2</v>
      </c>
      <c r="D211">
        <v>23.48</v>
      </c>
      <c r="E211">
        <v>5.5</v>
      </c>
      <c r="F211" t="s">
        <v>1859</v>
      </c>
      <c r="J211" s="9">
        <v>45108</v>
      </c>
      <c r="K211" s="9">
        <v>45473</v>
      </c>
      <c r="L211">
        <f>IF(CLIMATE_API[[#This Row],[Alternative_Data_Approval_Status]]="Approved",CLIMATE_API[[#This Row],[Effective_Precipitation_inches_Alternative]],CLIMATE_API[[#This Row],[Effective_Precipitation_inches]])</f>
        <v>5.5</v>
      </c>
      <c r="M211">
        <f>IF(CLIMATE_API[[#This Row],[Alternative_Data_Approval_Status]]="Approved",CLIMATE_API[[#This Row],[Eto_inches_Alternative]],CLIMATE_API[[#This Row],[Eto_inches]])</f>
        <v>44.2</v>
      </c>
    </row>
    <row r="212" spans="1:13" x14ac:dyDescent="0.25">
      <c r="A212" t="s">
        <v>1677</v>
      </c>
      <c r="B212" t="s">
        <v>3672</v>
      </c>
      <c r="C212">
        <v>53.57</v>
      </c>
      <c r="D212">
        <v>14.92</v>
      </c>
      <c r="E212">
        <v>3.73</v>
      </c>
      <c r="F212" t="s">
        <v>1859</v>
      </c>
      <c r="J212" s="9">
        <v>45108</v>
      </c>
      <c r="K212" s="9">
        <v>45473</v>
      </c>
      <c r="L212">
        <f>IF(CLIMATE_API[[#This Row],[Alternative_Data_Approval_Status]]="Approved",CLIMATE_API[[#This Row],[Effective_Precipitation_inches_Alternative]],CLIMATE_API[[#This Row],[Effective_Precipitation_inches]])</f>
        <v>3.73</v>
      </c>
      <c r="M212">
        <f>IF(CLIMATE_API[[#This Row],[Alternative_Data_Approval_Status]]="Approved",CLIMATE_API[[#This Row],[Eto_inches_Alternative]],CLIMATE_API[[#This Row],[Eto_inches]])</f>
        <v>53.57</v>
      </c>
    </row>
    <row r="213" spans="1:13" x14ac:dyDescent="0.25">
      <c r="A213" t="s">
        <v>1681</v>
      </c>
      <c r="B213" t="s">
        <v>1682</v>
      </c>
      <c r="C213">
        <v>40.630000000000003</v>
      </c>
      <c r="D213">
        <v>39.64</v>
      </c>
      <c r="E213">
        <v>9.91</v>
      </c>
      <c r="F213" t="s">
        <v>1859</v>
      </c>
      <c r="J213" s="9">
        <v>45108</v>
      </c>
      <c r="K213" s="9">
        <v>45473</v>
      </c>
      <c r="L213">
        <f>IF(CLIMATE_API[[#This Row],[Alternative_Data_Approval_Status]]="Approved",CLIMATE_API[[#This Row],[Effective_Precipitation_inches_Alternative]],CLIMATE_API[[#This Row],[Effective_Precipitation_inches]])</f>
        <v>9.91</v>
      </c>
      <c r="M213">
        <f>IF(CLIMATE_API[[#This Row],[Alternative_Data_Approval_Status]]="Approved",CLIMATE_API[[#This Row],[Eto_inches_Alternative]],CLIMATE_API[[#This Row],[Eto_inches]])</f>
        <v>40.630000000000003</v>
      </c>
    </row>
    <row r="214" spans="1:13" x14ac:dyDescent="0.25">
      <c r="A214" t="s">
        <v>1686</v>
      </c>
      <c r="B214" t="s">
        <v>1687</v>
      </c>
      <c r="C214">
        <v>40.049999999999997</v>
      </c>
      <c r="D214">
        <v>18.600000000000001</v>
      </c>
      <c r="E214">
        <v>4.6500000000000004</v>
      </c>
      <c r="F214" t="s">
        <v>1859</v>
      </c>
      <c r="J214" s="9">
        <v>45108</v>
      </c>
      <c r="K214" s="9">
        <v>45473</v>
      </c>
      <c r="L214">
        <f>IF(CLIMATE_API[[#This Row],[Alternative_Data_Approval_Status]]="Approved",CLIMATE_API[[#This Row],[Effective_Precipitation_inches_Alternative]],CLIMATE_API[[#This Row],[Effective_Precipitation_inches]])</f>
        <v>4.6500000000000004</v>
      </c>
      <c r="M214">
        <f>IF(CLIMATE_API[[#This Row],[Alternative_Data_Approval_Status]]="Approved",CLIMATE_API[[#This Row],[Eto_inches_Alternative]],CLIMATE_API[[#This Row],[Eto_inches]])</f>
        <v>40.049999999999997</v>
      </c>
    </row>
    <row r="215" spans="1:13" x14ac:dyDescent="0.25">
      <c r="A215" t="s">
        <v>1690</v>
      </c>
      <c r="B215" t="s">
        <v>3673</v>
      </c>
      <c r="C215">
        <v>47.31</v>
      </c>
      <c r="D215">
        <v>19.73</v>
      </c>
      <c r="E215">
        <v>4.93</v>
      </c>
      <c r="F215" t="s">
        <v>1859</v>
      </c>
      <c r="J215" s="9">
        <v>45108</v>
      </c>
      <c r="K215" s="9">
        <v>45473</v>
      </c>
      <c r="L215">
        <f>IF(CLIMATE_API[[#This Row],[Alternative_Data_Approval_Status]]="Approved",CLIMATE_API[[#This Row],[Effective_Precipitation_inches_Alternative]],CLIMATE_API[[#This Row],[Effective_Precipitation_inches]])</f>
        <v>4.93</v>
      </c>
      <c r="M215">
        <f>IF(CLIMATE_API[[#This Row],[Alternative_Data_Approval_Status]]="Approved",CLIMATE_API[[#This Row],[Eto_inches_Alternative]],CLIMATE_API[[#This Row],[Eto_inches]])</f>
        <v>47.31</v>
      </c>
    </row>
    <row r="216" spans="1:13" x14ac:dyDescent="0.25">
      <c r="A216" t="s">
        <v>1694</v>
      </c>
      <c r="B216" t="s">
        <v>1695</v>
      </c>
      <c r="C216">
        <v>31.56</v>
      </c>
      <c r="D216">
        <v>62.51</v>
      </c>
      <c r="E216">
        <v>12.73</v>
      </c>
      <c r="F216" t="s">
        <v>1859</v>
      </c>
      <c r="J216" s="9">
        <v>45108</v>
      </c>
      <c r="K216" s="9">
        <v>45473</v>
      </c>
      <c r="L216">
        <f>IF(CLIMATE_API[[#This Row],[Alternative_Data_Approval_Status]]="Approved",CLIMATE_API[[#This Row],[Effective_Precipitation_inches_Alternative]],CLIMATE_API[[#This Row],[Effective_Precipitation_inches]])</f>
        <v>12.73</v>
      </c>
      <c r="M216">
        <f>IF(CLIMATE_API[[#This Row],[Alternative_Data_Approval_Status]]="Approved",CLIMATE_API[[#This Row],[Eto_inches_Alternative]],CLIMATE_API[[#This Row],[Eto_inches]])</f>
        <v>31.56</v>
      </c>
    </row>
    <row r="217" spans="1:13" x14ac:dyDescent="0.25">
      <c r="A217" t="s">
        <v>1698</v>
      </c>
      <c r="B217" t="s">
        <v>3674</v>
      </c>
      <c r="C217">
        <v>40.340000000000003</v>
      </c>
      <c r="D217">
        <v>20.2</v>
      </c>
      <c r="E217">
        <v>5.05</v>
      </c>
      <c r="F217" t="s">
        <v>1859</v>
      </c>
      <c r="J217" s="9">
        <v>45108</v>
      </c>
      <c r="K217" s="9">
        <v>45473</v>
      </c>
      <c r="L217">
        <f>IF(CLIMATE_API[[#This Row],[Alternative_Data_Approval_Status]]="Approved",CLIMATE_API[[#This Row],[Effective_Precipitation_inches_Alternative]],CLIMATE_API[[#This Row],[Effective_Precipitation_inches]])</f>
        <v>5.05</v>
      </c>
      <c r="M217">
        <f>IF(CLIMATE_API[[#This Row],[Alternative_Data_Approval_Status]]="Approved",CLIMATE_API[[#This Row],[Eto_inches_Alternative]],CLIMATE_API[[#This Row],[Eto_inches]])</f>
        <v>40.340000000000003</v>
      </c>
    </row>
    <row r="218" spans="1:13" x14ac:dyDescent="0.25">
      <c r="A218" t="s">
        <v>1702</v>
      </c>
      <c r="B218" t="s">
        <v>3675</v>
      </c>
      <c r="C218">
        <v>54.1</v>
      </c>
      <c r="D218">
        <v>15.69</v>
      </c>
      <c r="E218">
        <v>3.92</v>
      </c>
      <c r="F218" t="s">
        <v>1859</v>
      </c>
      <c r="J218" s="9">
        <v>45108</v>
      </c>
      <c r="K218" s="9">
        <v>45473</v>
      </c>
      <c r="L218">
        <f>IF(CLIMATE_API[[#This Row],[Alternative_Data_Approval_Status]]="Approved",CLIMATE_API[[#This Row],[Effective_Precipitation_inches_Alternative]],CLIMATE_API[[#This Row],[Effective_Precipitation_inches]])</f>
        <v>3.92</v>
      </c>
      <c r="M218">
        <f>IF(CLIMATE_API[[#This Row],[Alternative_Data_Approval_Status]]="Approved",CLIMATE_API[[#This Row],[Eto_inches_Alternative]],CLIMATE_API[[#This Row],[Eto_inches]])</f>
        <v>54.1</v>
      </c>
    </row>
    <row r="219" spans="1:13" x14ac:dyDescent="0.25">
      <c r="A219" t="s">
        <v>1706</v>
      </c>
      <c r="B219" t="s">
        <v>1707</v>
      </c>
      <c r="C219">
        <v>44.27</v>
      </c>
      <c r="D219">
        <v>19.55</v>
      </c>
      <c r="E219">
        <v>4.8899999999999997</v>
      </c>
      <c r="F219" t="s">
        <v>1859</v>
      </c>
      <c r="J219" s="9">
        <v>45108</v>
      </c>
      <c r="K219" s="9">
        <v>45473</v>
      </c>
      <c r="L219">
        <f>IF(CLIMATE_API[[#This Row],[Alternative_Data_Approval_Status]]="Approved",CLIMATE_API[[#This Row],[Effective_Precipitation_inches_Alternative]],CLIMATE_API[[#This Row],[Effective_Precipitation_inches]])</f>
        <v>4.8899999999999997</v>
      </c>
      <c r="M219">
        <f>IF(CLIMATE_API[[#This Row],[Alternative_Data_Approval_Status]]="Approved",CLIMATE_API[[#This Row],[Eto_inches_Alternative]],CLIMATE_API[[#This Row],[Eto_inches]])</f>
        <v>44.27</v>
      </c>
    </row>
    <row r="220" spans="1:13" x14ac:dyDescent="0.25">
      <c r="A220" t="s">
        <v>1710</v>
      </c>
      <c r="B220" t="s">
        <v>3676</v>
      </c>
      <c r="C220">
        <v>39.090000000000003</v>
      </c>
      <c r="D220">
        <v>23.28</v>
      </c>
      <c r="E220">
        <v>5.82</v>
      </c>
      <c r="F220" t="s">
        <v>1859</v>
      </c>
      <c r="J220" s="9">
        <v>45108</v>
      </c>
      <c r="K220" s="9">
        <v>45473</v>
      </c>
      <c r="L220">
        <f>IF(CLIMATE_API[[#This Row],[Alternative_Data_Approval_Status]]="Approved",CLIMATE_API[[#This Row],[Effective_Precipitation_inches_Alternative]],CLIMATE_API[[#This Row],[Effective_Precipitation_inches]])</f>
        <v>5.82</v>
      </c>
      <c r="M220">
        <f>IF(CLIMATE_API[[#This Row],[Alternative_Data_Approval_Status]]="Approved",CLIMATE_API[[#This Row],[Eto_inches_Alternative]],CLIMATE_API[[#This Row],[Eto_inches]])</f>
        <v>39.090000000000003</v>
      </c>
    </row>
    <row r="221" spans="1:13" x14ac:dyDescent="0.25">
      <c r="A221" t="s">
        <v>1714</v>
      </c>
      <c r="B221" t="s">
        <v>3677</v>
      </c>
      <c r="C221">
        <v>38.630000000000003</v>
      </c>
      <c r="D221">
        <v>27.8</v>
      </c>
      <c r="E221">
        <v>6.95</v>
      </c>
      <c r="F221" t="s">
        <v>1859</v>
      </c>
      <c r="J221" s="9">
        <v>45108</v>
      </c>
      <c r="K221" s="9">
        <v>45473</v>
      </c>
      <c r="L221">
        <f>IF(CLIMATE_API[[#This Row],[Alternative_Data_Approval_Status]]="Approved",CLIMATE_API[[#This Row],[Effective_Precipitation_inches_Alternative]],CLIMATE_API[[#This Row],[Effective_Precipitation_inches]])</f>
        <v>6.95</v>
      </c>
      <c r="M221">
        <f>IF(CLIMATE_API[[#This Row],[Alternative_Data_Approval_Status]]="Approved",CLIMATE_API[[#This Row],[Eto_inches_Alternative]],CLIMATE_API[[#This Row],[Eto_inches]])</f>
        <v>38.630000000000003</v>
      </c>
    </row>
    <row r="222" spans="1:13" x14ac:dyDescent="0.25">
      <c r="A222" t="s">
        <v>1718</v>
      </c>
      <c r="B222" t="s">
        <v>3678</v>
      </c>
      <c r="C222">
        <v>44.06</v>
      </c>
      <c r="D222">
        <v>17.489999999999998</v>
      </c>
      <c r="E222">
        <v>4.37</v>
      </c>
      <c r="F222" t="s">
        <v>1859</v>
      </c>
      <c r="J222" s="9">
        <v>45108</v>
      </c>
      <c r="K222" s="9">
        <v>45473</v>
      </c>
      <c r="L222">
        <f>IF(CLIMATE_API[[#This Row],[Alternative_Data_Approval_Status]]="Approved",CLIMATE_API[[#This Row],[Effective_Precipitation_inches_Alternative]],CLIMATE_API[[#This Row],[Effective_Precipitation_inches]])</f>
        <v>4.37</v>
      </c>
      <c r="M222">
        <f>IF(CLIMATE_API[[#This Row],[Alternative_Data_Approval_Status]]="Approved",CLIMATE_API[[#This Row],[Eto_inches_Alternative]],CLIMATE_API[[#This Row],[Eto_inches]])</f>
        <v>44.06</v>
      </c>
    </row>
    <row r="223" spans="1:13" x14ac:dyDescent="0.25">
      <c r="A223" t="s">
        <v>1722</v>
      </c>
      <c r="B223" t="s">
        <v>1723</v>
      </c>
      <c r="C223">
        <v>67.12</v>
      </c>
      <c r="D223">
        <v>11</v>
      </c>
      <c r="E223">
        <v>2.75</v>
      </c>
      <c r="F223" t="s">
        <v>1859</v>
      </c>
      <c r="J223" s="9">
        <v>45108</v>
      </c>
      <c r="K223" s="9">
        <v>45473</v>
      </c>
      <c r="L223">
        <f>IF(CLIMATE_API[[#This Row],[Alternative_Data_Approval_Status]]="Approved",CLIMATE_API[[#This Row],[Effective_Precipitation_inches_Alternative]],CLIMATE_API[[#This Row],[Effective_Precipitation_inches]])</f>
        <v>2.75</v>
      </c>
      <c r="M223">
        <f>IF(CLIMATE_API[[#This Row],[Alternative_Data_Approval_Status]]="Approved",CLIMATE_API[[#This Row],[Eto_inches_Alternative]],CLIMATE_API[[#This Row],[Eto_inches]])</f>
        <v>67.12</v>
      </c>
    </row>
    <row r="224" spans="1:13" x14ac:dyDescent="0.25">
      <c r="A224" t="s">
        <v>1730</v>
      </c>
      <c r="B224" t="s">
        <v>3679</v>
      </c>
      <c r="C224">
        <v>53.46</v>
      </c>
      <c r="D224">
        <v>15.73</v>
      </c>
      <c r="E224">
        <v>3.93</v>
      </c>
      <c r="F224" t="s">
        <v>1859</v>
      </c>
      <c r="J224" s="9">
        <v>45108</v>
      </c>
      <c r="K224" s="9">
        <v>45473</v>
      </c>
      <c r="L224">
        <f>IF(CLIMATE_API[[#This Row],[Alternative_Data_Approval_Status]]="Approved",CLIMATE_API[[#This Row],[Effective_Precipitation_inches_Alternative]],CLIMATE_API[[#This Row],[Effective_Precipitation_inches]])</f>
        <v>3.93</v>
      </c>
      <c r="M224">
        <f>IF(CLIMATE_API[[#This Row],[Alternative_Data_Approval_Status]]="Approved",CLIMATE_API[[#This Row],[Eto_inches_Alternative]],CLIMATE_API[[#This Row],[Eto_inches]])</f>
        <v>53.46</v>
      </c>
    </row>
    <row r="225" spans="1:13" x14ac:dyDescent="0.25">
      <c r="A225" t="s">
        <v>1748</v>
      </c>
      <c r="B225" t="s">
        <v>3680</v>
      </c>
      <c r="C225">
        <v>52.27</v>
      </c>
      <c r="D225">
        <v>32.82</v>
      </c>
      <c r="E225">
        <v>8.2100000000000009</v>
      </c>
      <c r="F225" t="s">
        <v>1859</v>
      </c>
      <c r="J225" s="9">
        <v>45108</v>
      </c>
      <c r="K225" s="9">
        <v>45473</v>
      </c>
      <c r="L225">
        <f>IF(CLIMATE_API[[#This Row],[Alternative_Data_Approval_Status]]="Approved",CLIMATE_API[[#This Row],[Effective_Precipitation_inches_Alternative]],CLIMATE_API[[#This Row],[Effective_Precipitation_inches]])</f>
        <v>8.2100000000000009</v>
      </c>
      <c r="M225">
        <f>IF(CLIMATE_API[[#This Row],[Alternative_Data_Approval_Status]]="Approved",CLIMATE_API[[#This Row],[Eto_inches_Alternative]],CLIMATE_API[[#This Row],[Eto_inches]])</f>
        <v>52.27</v>
      </c>
    </row>
    <row r="226" spans="1:13" x14ac:dyDescent="0.25">
      <c r="A226" t="s">
        <v>1752</v>
      </c>
      <c r="B226" t="s">
        <v>1753</v>
      </c>
      <c r="C226">
        <v>54.46</v>
      </c>
      <c r="D226">
        <v>23.75</v>
      </c>
      <c r="E226">
        <v>5.94</v>
      </c>
      <c r="F226" t="s">
        <v>1859</v>
      </c>
      <c r="J226" s="9">
        <v>45108</v>
      </c>
      <c r="K226" s="9">
        <v>45473</v>
      </c>
      <c r="L226">
        <f>IF(CLIMATE_API[[#This Row],[Alternative_Data_Approval_Status]]="Approved",CLIMATE_API[[#This Row],[Effective_Precipitation_inches_Alternative]],CLIMATE_API[[#This Row],[Effective_Precipitation_inches]])</f>
        <v>5.94</v>
      </c>
      <c r="M226">
        <f>IF(CLIMATE_API[[#This Row],[Alternative_Data_Approval_Status]]="Approved",CLIMATE_API[[#This Row],[Eto_inches_Alternative]],CLIMATE_API[[#This Row],[Eto_inches]])</f>
        <v>54.46</v>
      </c>
    </row>
    <row r="227" spans="1:13" x14ac:dyDescent="0.25">
      <c r="A227" t="s">
        <v>1756</v>
      </c>
      <c r="B227" t="s">
        <v>1757</v>
      </c>
      <c r="C227">
        <v>49.2</v>
      </c>
      <c r="D227">
        <v>25.02</v>
      </c>
      <c r="E227">
        <v>6.26</v>
      </c>
      <c r="F227" t="s">
        <v>1859</v>
      </c>
      <c r="J227" s="9">
        <v>45108</v>
      </c>
      <c r="K227" s="9">
        <v>45473</v>
      </c>
      <c r="L227">
        <f>IF(CLIMATE_API[[#This Row],[Alternative_Data_Approval_Status]]="Approved",CLIMATE_API[[#This Row],[Effective_Precipitation_inches_Alternative]],CLIMATE_API[[#This Row],[Effective_Precipitation_inches]])</f>
        <v>6.26</v>
      </c>
      <c r="M227">
        <f>IF(CLIMATE_API[[#This Row],[Alternative_Data_Approval_Status]]="Approved",CLIMATE_API[[#This Row],[Eto_inches_Alternative]],CLIMATE_API[[#This Row],[Eto_inches]])</f>
        <v>49.2</v>
      </c>
    </row>
    <row r="228" spans="1:13" x14ac:dyDescent="0.25">
      <c r="A228" t="s">
        <v>1760</v>
      </c>
      <c r="B228" t="s">
        <v>1761</v>
      </c>
      <c r="C228">
        <v>44.99</v>
      </c>
      <c r="D228">
        <v>39.54</v>
      </c>
      <c r="E228">
        <v>8.2899999999999991</v>
      </c>
      <c r="F228" t="s">
        <v>1859</v>
      </c>
      <c r="J228" s="9">
        <v>45108</v>
      </c>
      <c r="K228" s="9">
        <v>45473</v>
      </c>
      <c r="L228">
        <f>IF(CLIMATE_API[[#This Row],[Alternative_Data_Approval_Status]]="Approved",CLIMATE_API[[#This Row],[Effective_Precipitation_inches_Alternative]],CLIMATE_API[[#This Row],[Effective_Precipitation_inches]])</f>
        <v>8.2899999999999991</v>
      </c>
      <c r="M228">
        <f>IF(CLIMATE_API[[#This Row],[Alternative_Data_Approval_Status]]="Approved",CLIMATE_API[[#This Row],[Eto_inches_Alternative]],CLIMATE_API[[#This Row],[Eto_inches]])</f>
        <v>44.99</v>
      </c>
    </row>
    <row r="229" spans="1:13" x14ac:dyDescent="0.25">
      <c r="A229" t="s">
        <v>1764</v>
      </c>
      <c r="B229" t="s">
        <v>3681</v>
      </c>
      <c r="C229">
        <v>49.86</v>
      </c>
      <c r="D229">
        <v>26.22</v>
      </c>
      <c r="E229">
        <v>6.55</v>
      </c>
      <c r="F229" t="s">
        <v>1859</v>
      </c>
      <c r="J229" s="9">
        <v>45108</v>
      </c>
      <c r="K229" s="9">
        <v>45473</v>
      </c>
      <c r="L229">
        <f>IF(CLIMATE_API[[#This Row],[Alternative_Data_Approval_Status]]="Approved",CLIMATE_API[[#This Row],[Effective_Precipitation_inches_Alternative]],CLIMATE_API[[#This Row],[Effective_Precipitation_inches]])</f>
        <v>6.55</v>
      </c>
      <c r="M229">
        <f>IF(CLIMATE_API[[#This Row],[Alternative_Data_Approval_Status]]="Approved",CLIMATE_API[[#This Row],[Eto_inches_Alternative]],CLIMATE_API[[#This Row],[Eto_inches]])</f>
        <v>49.86</v>
      </c>
    </row>
    <row r="230" spans="1:13" x14ac:dyDescent="0.25">
      <c r="A230" t="s">
        <v>1768</v>
      </c>
      <c r="B230" t="s">
        <v>3682</v>
      </c>
      <c r="C230">
        <v>45.52</v>
      </c>
      <c r="D230">
        <v>24.53</v>
      </c>
      <c r="E230">
        <v>6.13</v>
      </c>
      <c r="F230" t="s">
        <v>1859</v>
      </c>
      <c r="J230" s="9">
        <v>45108</v>
      </c>
      <c r="K230" s="9">
        <v>45473</v>
      </c>
      <c r="L230">
        <f>IF(CLIMATE_API[[#This Row],[Alternative_Data_Approval_Status]]="Approved",CLIMATE_API[[#This Row],[Effective_Precipitation_inches_Alternative]],CLIMATE_API[[#This Row],[Effective_Precipitation_inches]])</f>
        <v>6.13</v>
      </c>
      <c r="M230">
        <f>IF(CLIMATE_API[[#This Row],[Alternative_Data_Approval_Status]]="Approved",CLIMATE_API[[#This Row],[Eto_inches_Alternative]],CLIMATE_API[[#This Row],[Eto_inches]])</f>
        <v>45.52</v>
      </c>
    </row>
    <row r="231" spans="1:13" x14ac:dyDescent="0.25">
      <c r="A231" t="s">
        <v>1772</v>
      </c>
      <c r="B231" t="s">
        <v>3683</v>
      </c>
      <c r="C231">
        <v>43.99</v>
      </c>
      <c r="D231">
        <v>21.79</v>
      </c>
      <c r="E231">
        <v>5.45</v>
      </c>
      <c r="F231" t="s">
        <v>1859</v>
      </c>
      <c r="J231" s="9">
        <v>45108</v>
      </c>
      <c r="K231" s="9">
        <v>45473</v>
      </c>
      <c r="L231">
        <f>IF(CLIMATE_API[[#This Row],[Alternative_Data_Approval_Status]]="Approved",CLIMATE_API[[#This Row],[Effective_Precipitation_inches_Alternative]],CLIMATE_API[[#This Row],[Effective_Precipitation_inches]])</f>
        <v>5.45</v>
      </c>
      <c r="M231">
        <f>IF(CLIMATE_API[[#This Row],[Alternative_Data_Approval_Status]]="Approved",CLIMATE_API[[#This Row],[Eto_inches_Alternative]],CLIMATE_API[[#This Row],[Eto_inches]])</f>
        <v>43.99</v>
      </c>
    </row>
    <row r="232" spans="1:13" x14ac:dyDescent="0.25">
      <c r="A232" t="s">
        <v>1776</v>
      </c>
      <c r="B232" t="s">
        <v>1777</v>
      </c>
      <c r="C232">
        <v>45.28</v>
      </c>
      <c r="D232">
        <v>21.33</v>
      </c>
      <c r="E232">
        <v>5.33</v>
      </c>
      <c r="F232" t="s">
        <v>1859</v>
      </c>
      <c r="J232" s="9">
        <v>45108</v>
      </c>
      <c r="K232" s="9">
        <v>45473</v>
      </c>
      <c r="L232">
        <f>IF(CLIMATE_API[[#This Row],[Alternative_Data_Approval_Status]]="Approved",CLIMATE_API[[#This Row],[Effective_Precipitation_inches_Alternative]],CLIMATE_API[[#This Row],[Effective_Precipitation_inches]])</f>
        <v>5.33</v>
      </c>
      <c r="M232">
        <f>IF(CLIMATE_API[[#This Row],[Alternative_Data_Approval_Status]]="Approved",CLIMATE_API[[#This Row],[Eto_inches_Alternative]],CLIMATE_API[[#This Row],[Eto_inches]])</f>
        <v>45.28</v>
      </c>
    </row>
    <row r="233" spans="1:13" x14ac:dyDescent="0.25">
      <c r="A233" t="s">
        <v>1780</v>
      </c>
      <c r="B233" t="s">
        <v>3684</v>
      </c>
      <c r="C233">
        <v>41.19</v>
      </c>
      <c r="D233">
        <v>17.350000000000001</v>
      </c>
      <c r="E233">
        <v>4.34</v>
      </c>
      <c r="F233" t="s">
        <v>1859</v>
      </c>
      <c r="J233" s="9">
        <v>45108</v>
      </c>
      <c r="K233" s="9">
        <v>45473</v>
      </c>
      <c r="L233">
        <f>IF(CLIMATE_API[[#This Row],[Alternative_Data_Approval_Status]]="Approved",CLIMATE_API[[#This Row],[Effective_Precipitation_inches_Alternative]],CLIMATE_API[[#This Row],[Effective_Precipitation_inches]])</f>
        <v>4.34</v>
      </c>
      <c r="M233">
        <f>IF(CLIMATE_API[[#This Row],[Alternative_Data_Approval_Status]]="Approved",CLIMATE_API[[#This Row],[Eto_inches_Alternative]],CLIMATE_API[[#This Row],[Eto_inches]])</f>
        <v>41.19</v>
      </c>
    </row>
    <row r="234" spans="1:13" x14ac:dyDescent="0.25">
      <c r="A234" t="s">
        <v>1784</v>
      </c>
      <c r="B234" t="s">
        <v>1785</v>
      </c>
      <c r="C234">
        <v>75.22</v>
      </c>
      <c r="D234">
        <v>6.35</v>
      </c>
      <c r="E234">
        <v>1.59</v>
      </c>
      <c r="F234" t="s">
        <v>1859</v>
      </c>
      <c r="J234" s="9">
        <v>45108</v>
      </c>
      <c r="K234" s="9">
        <v>45473</v>
      </c>
      <c r="L234">
        <f>IF(CLIMATE_API[[#This Row],[Alternative_Data_Approval_Status]]="Approved",CLIMATE_API[[#This Row],[Effective_Precipitation_inches_Alternative]],CLIMATE_API[[#This Row],[Effective_Precipitation_inches]])</f>
        <v>1.59</v>
      </c>
      <c r="M234">
        <f>IF(CLIMATE_API[[#This Row],[Alternative_Data_Approval_Status]]="Approved",CLIMATE_API[[#This Row],[Eto_inches_Alternative]],CLIMATE_API[[#This Row],[Eto_inches]])</f>
        <v>75.22</v>
      </c>
    </row>
    <row r="235" spans="1:13" x14ac:dyDescent="0.25">
      <c r="A235" t="s">
        <v>1788</v>
      </c>
      <c r="B235" t="s">
        <v>3685</v>
      </c>
      <c r="C235">
        <v>48.46</v>
      </c>
      <c r="D235">
        <v>25.22</v>
      </c>
      <c r="E235">
        <v>6.31</v>
      </c>
      <c r="F235" t="s">
        <v>1859</v>
      </c>
      <c r="J235" s="9">
        <v>45108</v>
      </c>
      <c r="K235" s="9">
        <v>45473</v>
      </c>
      <c r="L235">
        <f>IF(CLIMATE_API[[#This Row],[Alternative_Data_Approval_Status]]="Approved",CLIMATE_API[[#This Row],[Effective_Precipitation_inches_Alternative]],CLIMATE_API[[#This Row],[Effective_Precipitation_inches]])</f>
        <v>6.31</v>
      </c>
      <c r="M235">
        <f>IF(CLIMATE_API[[#This Row],[Alternative_Data_Approval_Status]]="Approved",CLIMATE_API[[#This Row],[Eto_inches_Alternative]],CLIMATE_API[[#This Row],[Eto_inches]])</f>
        <v>48.46</v>
      </c>
    </row>
    <row r="236" spans="1:13" x14ac:dyDescent="0.25">
      <c r="A236" t="s">
        <v>1792</v>
      </c>
      <c r="B236" t="s">
        <v>1793</v>
      </c>
      <c r="C236">
        <v>53.24</v>
      </c>
      <c r="D236">
        <v>34</v>
      </c>
      <c r="E236">
        <v>8.5</v>
      </c>
      <c r="F236" t="s">
        <v>1859</v>
      </c>
      <c r="J236" s="9">
        <v>45108</v>
      </c>
      <c r="K236" s="9">
        <v>45473</v>
      </c>
      <c r="L236">
        <f>IF(CLIMATE_API[[#This Row],[Alternative_Data_Approval_Status]]="Approved",CLIMATE_API[[#This Row],[Effective_Precipitation_inches_Alternative]],CLIMATE_API[[#This Row],[Effective_Precipitation_inches]])</f>
        <v>8.5</v>
      </c>
      <c r="M236">
        <f>IF(CLIMATE_API[[#This Row],[Alternative_Data_Approval_Status]]="Approved",CLIMATE_API[[#This Row],[Eto_inches_Alternative]],CLIMATE_API[[#This Row],[Eto_inches]])</f>
        <v>53.24</v>
      </c>
    </row>
    <row r="237" spans="1:13" x14ac:dyDescent="0.25">
      <c r="A237" t="s">
        <v>1807</v>
      </c>
      <c r="B237" t="s">
        <v>3189</v>
      </c>
      <c r="C237">
        <v>53.85</v>
      </c>
      <c r="D237">
        <v>14.73</v>
      </c>
      <c r="E237">
        <v>3.68</v>
      </c>
      <c r="F237" t="s">
        <v>1859</v>
      </c>
      <c r="J237" s="9">
        <v>45108</v>
      </c>
      <c r="K237" s="9">
        <v>45473</v>
      </c>
      <c r="L237">
        <f>IF(CLIMATE_API[[#This Row],[Alternative_Data_Approval_Status]]="Approved",CLIMATE_API[[#This Row],[Effective_Precipitation_inches_Alternative]],CLIMATE_API[[#This Row],[Effective_Precipitation_inches]])</f>
        <v>3.68</v>
      </c>
      <c r="M237">
        <f>IF(CLIMATE_API[[#This Row],[Alternative_Data_Approval_Status]]="Approved",CLIMATE_API[[#This Row],[Eto_inches_Alternative]],CLIMATE_API[[#This Row],[Eto_inches]])</f>
        <v>53.85</v>
      </c>
    </row>
    <row r="238" spans="1:13" x14ac:dyDescent="0.25">
      <c r="A238" t="s">
        <v>1811</v>
      </c>
      <c r="B238" t="s">
        <v>3686</v>
      </c>
      <c r="C238">
        <v>43.67</v>
      </c>
      <c r="D238">
        <v>19.07</v>
      </c>
      <c r="E238">
        <v>4.7699999999999996</v>
      </c>
      <c r="F238" t="s">
        <v>1859</v>
      </c>
      <c r="J238" s="9">
        <v>45108</v>
      </c>
      <c r="K238" s="9">
        <v>45473</v>
      </c>
      <c r="L238">
        <f>IF(CLIMATE_API[[#This Row],[Alternative_Data_Approval_Status]]="Approved",CLIMATE_API[[#This Row],[Effective_Precipitation_inches_Alternative]],CLIMATE_API[[#This Row],[Effective_Precipitation_inches]])</f>
        <v>4.7699999999999996</v>
      </c>
      <c r="M238">
        <f>IF(CLIMATE_API[[#This Row],[Alternative_Data_Approval_Status]]="Approved",CLIMATE_API[[#This Row],[Eto_inches_Alternative]],CLIMATE_API[[#This Row],[Eto_inches]])</f>
        <v>43.67</v>
      </c>
    </row>
    <row r="239" spans="1:13" x14ac:dyDescent="0.25">
      <c r="A239" t="s">
        <v>1815</v>
      </c>
      <c r="B239" t="s">
        <v>3687</v>
      </c>
      <c r="C239">
        <v>44.18</v>
      </c>
      <c r="D239">
        <v>21.67</v>
      </c>
      <c r="E239">
        <v>5.42</v>
      </c>
      <c r="F239" t="s">
        <v>1859</v>
      </c>
      <c r="J239" s="9">
        <v>45108</v>
      </c>
      <c r="K239" s="9">
        <v>45473</v>
      </c>
      <c r="L239">
        <f>IF(CLIMATE_API[[#This Row],[Alternative_Data_Approval_Status]]="Approved",CLIMATE_API[[#This Row],[Effective_Precipitation_inches_Alternative]],CLIMATE_API[[#This Row],[Effective_Precipitation_inches]])</f>
        <v>5.42</v>
      </c>
      <c r="M239">
        <f>IF(CLIMATE_API[[#This Row],[Alternative_Data_Approval_Status]]="Approved",CLIMATE_API[[#This Row],[Eto_inches_Alternative]],CLIMATE_API[[#This Row],[Eto_inches]])</f>
        <v>44.18</v>
      </c>
    </row>
    <row r="240" spans="1:13" x14ac:dyDescent="0.25">
      <c r="A240" t="s">
        <v>1819</v>
      </c>
      <c r="B240" t="s">
        <v>3688</v>
      </c>
      <c r="C240">
        <v>55.98</v>
      </c>
      <c r="D240">
        <v>17.32</v>
      </c>
      <c r="E240">
        <v>4.33</v>
      </c>
      <c r="F240" t="s">
        <v>1859</v>
      </c>
      <c r="J240" s="9">
        <v>45108</v>
      </c>
      <c r="K240" s="9">
        <v>45473</v>
      </c>
      <c r="L240">
        <f>IF(CLIMATE_API[[#This Row],[Alternative_Data_Approval_Status]]="Approved",CLIMATE_API[[#This Row],[Effective_Precipitation_inches_Alternative]],CLIMATE_API[[#This Row],[Effective_Precipitation_inches]])</f>
        <v>4.33</v>
      </c>
      <c r="M240">
        <f>IF(CLIMATE_API[[#This Row],[Alternative_Data_Approval_Status]]="Approved",CLIMATE_API[[#This Row],[Eto_inches_Alternative]],CLIMATE_API[[#This Row],[Eto_inches]])</f>
        <v>55.98</v>
      </c>
    </row>
    <row r="241" spans="1:13" x14ac:dyDescent="0.25">
      <c r="A241" t="s">
        <v>1823</v>
      </c>
      <c r="B241" t="s">
        <v>1824</v>
      </c>
      <c r="C241">
        <v>36.950000000000003</v>
      </c>
      <c r="D241">
        <v>29.31</v>
      </c>
      <c r="E241">
        <v>7.33</v>
      </c>
      <c r="F241" t="s">
        <v>1859</v>
      </c>
      <c r="J241" s="9">
        <v>45108</v>
      </c>
      <c r="K241" s="9">
        <v>45473</v>
      </c>
      <c r="L241">
        <f>IF(CLIMATE_API[[#This Row],[Alternative_Data_Approval_Status]]="Approved",CLIMATE_API[[#This Row],[Effective_Precipitation_inches_Alternative]],CLIMATE_API[[#This Row],[Effective_Precipitation_inches]])</f>
        <v>7.33</v>
      </c>
      <c r="M241">
        <f>IF(CLIMATE_API[[#This Row],[Alternative_Data_Approval_Status]]="Approved",CLIMATE_API[[#This Row],[Eto_inches_Alternative]],CLIMATE_API[[#This Row],[Eto_inches]])</f>
        <v>36.950000000000003</v>
      </c>
    </row>
    <row r="242" spans="1:13" x14ac:dyDescent="0.25">
      <c r="A242" t="s">
        <v>1827</v>
      </c>
      <c r="B242" t="s">
        <v>1828</v>
      </c>
      <c r="C242">
        <v>42.43</v>
      </c>
      <c r="D242">
        <v>38.07</v>
      </c>
      <c r="E242">
        <v>9.52</v>
      </c>
      <c r="F242" t="s">
        <v>1859</v>
      </c>
      <c r="J242" s="9">
        <v>45108</v>
      </c>
      <c r="K242" s="9">
        <v>45473</v>
      </c>
      <c r="L242">
        <f>IF(CLIMATE_API[[#This Row],[Alternative_Data_Approval_Status]]="Approved",CLIMATE_API[[#This Row],[Effective_Precipitation_inches_Alternative]],CLIMATE_API[[#This Row],[Effective_Precipitation_inches]])</f>
        <v>9.52</v>
      </c>
      <c r="M242">
        <f>IF(CLIMATE_API[[#This Row],[Alternative_Data_Approval_Status]]="Approved",CLIMATE_API[[#This Row],[Eto_inches_Alternative]],CLIMATE_API[[#This Row],[Eto_inches]])</f>
        <v>42.43</v>
      </c>
    </row>
    <row r="243" spans="1:13" x14ac:dyDescent="0.25">
      <c r="A243" t="s">
        <v>1831</v>
      </c>
      <c r="B243" t="s">
        <v>3689</v>
      </c>
      <c r="C243">
        <v>51.55</v>
      </c>
      <c r="D243">
        <v>25.85</v>
      </c>
      <c r="E243">
        <v>6.46</v>
      </c>
      <c r="F243" t="s">
        <v>1859</v>
      </c>
      <c r="J243" s="9">
        <v>45108</v>
      </c>
      <c r="K243" s="9">
        <v>45473</v>
      </c>
      <c r="L243">
        <f>IF(CLIMATE_API[[#This Row],[Alternative_Data_Approval_Status]]="Approved",CLIMATE_API[[#This Row],[Effective_Precipitation_inches_Alternative]],CLIMATE_API[[#This Row],[Effective_Precipitation_inches]])</f>
        <v>6.46</v>
      </c>
      <c r="M243">
        <f>IF(CLIMATE_API[[#This Row],[Alternative_Data_Approval_Status]]="Approved",CLIMATE_API[[#This Row],[Eto_inches_Alternative]],CLIMATE_API[[#This Row],[Eto_inches]])</f>
        <v>51.55</v>
      </c>
    </row>
    <row r="244" spans="1:13" x14ac:dyDescent="0.25">
      <c r="A244" t="s">
        <v>1839</v>
      </c>
      <c r="B244" t="s">
        <v>3690</v>
      </c>
      <c r="C244">
        <v>47.32</v>
      </c>
      <c r="D244">
        <v>22.71</v>
      </c>
      <c r="E244">
        <v>5.68</v>
      </c>
      <c r="F244" t="s">
        <v>1859</v>
      </c>
      <c r="J244" s="9">
        <v>45108</v>
      </c>
      <c r="K244" s="9">
        <v>45473</v>
      </c>
      <c r="L244">
        <f>IF(CLIMATE_API[[#This Row],[Alternative_Data_Approval_Status]]="Approved",CLIMATE_API[[#This Row],[Effective_Precipitation_inches_Alternative]],CLIMATE_API[[#This Row],[Effective_Precipitation_inches]])</f>
        <v>5.68</v>
      </c>
      <c r="M244">
        <f>IF(CLIMATE_API[[#This Row],[Alternative_Data_Approval_Status]]="Approved",CLIMATE_API[[#This Row],[Eto_inches_Alternative]],CLIMATE_API[[#This Row],[Eto_inches]])</f>
        <v>47.32</v>
      </c>
    </row>
    <row r="245" spans="1:13" x14ac:dyDescent="0.25">
      <c r="A245" t="s">
        <v>1843</v>
      </c>
      <c r="B245" t="s">
        <v>1844</v>
      </c>
      <c r="C245">
        <v>53.49</v>
      </c>
      <c r="D245">
        <v>18.36</v>
      </c>
      <c r="E245">
        <v>4.59</v>
      </c>
      <c r="F245" t="s">
        <v>1859</v>
      </c>
      <c r="J245" s="9">
        <v>45108</v>
      </c>
      <c r="K245" s="9">
        <v>45473</v>
      </c>
      <c r="L245">
        <f>IF(CLIMATE_API[[#This Row],[Alternative_Data_Approval_Status]]="Approved",CLIMATE_API[[#This Row],[Effective_Precipitation_inches_Alternative]],CLIMATE_API[[#This Row],[Effective_Precipitation_inches]])</f>
        <v>4.59</v>
      </c>
      <c r="M245">
        <f>IF(CLIMATE_API[[#This Row],[Alternative_Data_Approval_Status]]="Approved",CLIMATE_API[[#This Row],[Eto_inches_Alternative]],CLIMATE_API[[#This Row],[Eto_inches]])</f>
        <v>53.49</v>
      </c>
    </row>
    <row r="246" spans="1:13" x14ac:dyDescent="0.25">
      <c r="A246" t="s">
        <v>1847</v>
      </c>
      <c r="B246" t="s">
        <v>3691</v>
      </c>
      <c r="C246">
        <v>49.18</v>
      </c>
      <c r="D246">
        <v>18.64</v>
      </c>
      <c r="E246">
        <v>4.66</v>
      </c>
      <c r="F246" t="s">
        <v>1859</v>
      </c>
      <c r="J246" s="9">
        <v>45108</v>
      </c>
      <c r="K246" s="9">
        <v>45473</v>
      </c>
      <c r="L246">
        <f>IF(CLIMATE_API[[#This Row],[Alternative_Data_Approval_Status]]="Approved",CLIMATE_API[[#This Row],[Effective_Precipitation_inches_Alternative]],CLIMATE_API[[#This Row],[Effective_Precipitation_inches]])</f>
        <v>4.66</v>
      </c>
      <c r="M246">
        <f>IF(CLIMATE_API[[#This Row],[Alternative_Data_Approval_Status]]="Approved",CLIMATE_API[[#This Row],[Eto_inches_Alternative]],CLIMATE_API[[#This Row],[Eto_inches]])</f>
        <v>49.18</v>
      </c>
    </row>
    <row r="247" spans="1:13" x14ac:dyDescent="0.25">
      <c r="A247" t="s">
        <v>1851</v>
      </c>
      <c r="B247" t="s">
        <v>1852</v>
      </c>
      <c r="C247">
        <v>61.69</v>
      </c>
      <c r="D247">
        <v>9.2799999999999994</v>
      </c>
      <c r="E247">
        <v>2.3199999999999998</v>
      </c>
      <c r="F247" t="s">
        <v>1859</v>
      </c>
      <c r="J247" s="9">
        <v>45108</v>
      </c>
      <c r="K247" s="9">
        <v>45473</v>
      </c>
      <c r="L247">
        <f>IF(CLIMATE_API[[#This Row],[Alternative_Data_Approval_Status]]="Approved",CLIMATE_API[[#This Row],[Effective_Precipitation_inches_Alternative]],CLIMATE_API[[#This Row],[Effective_Precipitation_inches]])</f>
        <v>2.3199999999999998</v>
      </c>
      <c r="M247">
        <f>IF(CLIMATE_API[[#This Row],[Alternative_Data_Approval_Status]]="Approved",CLIMATE_API[[#This Row],[Eto_inches_Alternative]],CLIMATE_API[[#This Row],[Eto_inches]])</f>
        <v>61.69</v>
      </c>
    </row>
    <row r="248" spans="1:13" x14ac:dyDescent="0.25">
      <c r="A248" t="s">
        <v>1855</v>
      </c>
      <c r="B248" t="s">
        <v>1856</v>
      </c>
      <c r="C248">
        <v>55.17</v>
      </c>
      <c r="D248">
        <v>18.5</v>
      </c>
      <c r="E248">
        <v>4.63</v>
      </c>
      <c r="F248" t="s">
        <v>1859</v>
      </c>
      <c r="J248" s="9">
        <v>45108</v>
      </c>
      <c r="K248" s="9">
        <v>45473</v>
      </c>
      <c r="L248">
        <f>IF(CLIMATE_API[[#This Row],[Alternative_Data_Approval_Status]]="Approved",CLIMATE_API[[#This Row],[Effective_Precipitation_inches_Alternative]],CLIMATE_API[[#This Row],[Effective_Precipitation_inches]])</f>
        <v>4.63</v>
      </c>
      <c r="M248">
        <f>IF(CLIMATE_API[[#This Row],[Alternative_Data_Approval_Status]]="Approved",CLIMATE_API[[#This Row],[Eto_inches_Alternative]],CLIMATE_API[[#This Row],[Eto_inches]])</f>
        <v>55.17</v>
      </c>
    </row>
    <row r="249" spans="1:13" x14ac:dyDescent="0.25">
      <c r="A249" t="s">
        <v>1862</v>
      </c>
      <c r="B249" t="s">
        <v>1863</v>
      </c>
      <c r="C249">
        <v>49.74</v>
      </c>
      <c r="D249">
        <v>18.190000000000001</v>
      </c>
      <c r="E249">
        <v>4.55</v>
      </c>
      <c r="F249" t="s">
        <v>1859</v>
      </c>
      <c r="J249" s="9">
        <v>45108</v>
      </c>
      <c r="K249" s="9">
        <v>45473</v>
      </c>
      <c r="L249">
        <f>IF(CLIMATE_API[[#This Row],[Alternative_Data_Approval_Status]]="Approved",CLIMATE_API[[#This Row],[Effective_Precipitation_inches_Alternative]],CLIMATE_API[[#This Row],[Effective_Precipitation_inches]])</f>
        <v>4.55</v>
      </c>
      <c r="M249">
        <f>IF(CLIMATE_API[[#This Row],[Alternative_Data_Approval_Status]]="Approved",CLIMATE_API[[#This Row],[Eto_inches_Alternative]],CLIMATE_API[[#This Row],[Eto_inches]])</f>
        <v>49.74</v>
      </c>
    </row>
    <row r="250" spans="1:13" x14ac:dyDescent="0.25">
      <c r="A250" t="s">
        <v>1866</v>
      </c>
      <c r="B250" t="s">
        <v>3692</v>
      </c>
      <c r="C250">
        <v>55.9</v>
      </c>
      <c r="D250">
        <v>20.7</v>
      </c>
      <c r="E250">
        <v>5.17</v>
      </c>
      <c r="F250" t="s">
        <v>1859</v>
      </c>
      <c r="J250" s="9">
        <v>45108</v>
      </c>
      <c r="K250" s="9">
        <v>45473</v>
      </c>
      <c r="L250">
        <f>IF(CLIMATE_API[[#This Row],[Alternative_Data_Approval_Status]]="Approved",CLIMATE_API[[#This Row],[Effective_Precipitation_inches_Alternative]],CLIMATE_API[[#This Row],[Effective_Precipitation_inches]])</f>
        <v>5.17</v>
      </c>
      <c r="M250">
        <f>IF(CLIMATE_API[[#This Row],[Alternative_Data_Approval_Status]]="Approved",CLIMATE_API[[#This Row],[Eto_inches_Alternative]],CLIMATE_API[[#This Row],[Eto_inches]])</f>
        <v>55.9</v>
      </c>
    </row>
    <row r="251" spans="1:13" x14ac:dyDescent="0.25">
      <c r="A251" t="s">
        <v>1870</v>
      </c>
      <c r="B251" t="s">
        <v>3693</v>
      </c>
      <c r="C251">
        <v>48.43</v>
      </c>
      <c r="D251">
        <v>20.63</v>
      </c>
      <c r="E251">
        <v>5.16</v>
      </c>
      <c r="F251" t="s">
        <v>1859</v>
      </c>
      <c r="J251" s="9">
        <v>45108</v>
      </c>
      <c r="K251" s="9">
        <v>45473</v>
      </c>
      <c r="L251">
        <f>IF(CLIMATE_API[[#This Row],[Alternative_Data_Approval_Status]]="Approved",CLIMATE_API[[#This Row],[Effective_Precipitation_inches_Alternative]],CLIMATE_API[[#This Row],[Effective_Precipitation_inches]])</f>
        <v>5.16</v>
      </c>
      <c r="M251">
        <f>IF(CLIMATE_API[[#This Row],[Alternative_Data_Approval_Status]]="Approved",CLIMATE_API[[#This Row],[Eto_inches_Alternative]],CLIMATE_API[[#This Row],[Eto_inches]])</f>
        <v>48.43</v>
      </c>
    </row>
    <row r="252" spans="1:13" x14ac:dyDescent="0.25">
      <c r="A252" t="s">
        <v>1874</v>
      </c>
      <c r="B252" t="s">
        <v>1875</v>
      </c>
      <c r="C252">
        <v>56.69</v>
      </c>
      <c r="D252">
        <v>21.36</v>
      </c>
      <c r="E252">
        <v>5.34</v>
      </c>
      <c r="F252" t="s">
        <v>1859</v>
      </c>
      <c r="J252" s="9">
        <v>45108</v>
      </c>
      <c r="K252" s="9">
        <v>45473</v>
      </c>
      <c r="L252">
        <f>IF(CLIMATE_API[[#This Row],[Alternative_Data_Approval_Status]]="Approved",CLIMATE_API[[#This Row],[Effective_Precipitation_inches_Alternative]],CLIMATE_API[[#This Row],[Effective_Precipitation_inches]])</f>
        <v>5.34</v>
      </c>
      <c r="M252">
        <f>IF(CLIMATE_API[[#This Row],[Alternative_Data_Approval_Status]]="Approved",CLIMATE_API[[#This Row],[Eto_inches_Alternative]],CLIMATE_API[[#This Row],[Eto_inches]])</f>
        <v>56.69</v>
      </c>
    </row>
    <row r="253" spans="1:13" x14ac:dyDescent="0.25">
      <c r="A253" t="s">
        <v>1878</v>
      </c>
      <c r="B253" t="s">
        <v>1879</v>
      </c>
      <c r="C253">
        <v>48.45</v>
      </c>
      <c r="D253">
        <v>22.85</v>
      </c>
      <c r="E253">
        <v>5.71</v>
      </c>
      <c r="F253" t="s">
        <v>1859</v>
      </c>
      <c r="J253" s="9">
        <v>45108</v>
      </c>
      <c r="K253" s="9">
        <v>45473</v>
      </c>
      <c r="L253">
        <f>IF(CLIMATE_API[[#This Row],[Alternative_Data_Approval_Status]]="Approved",CLIMATE_API[[#This Row],[Effective_Precipitation_inches_Alternative]],CLIMATE_API[[#This Row],[Effective_Precipitation_inches]])</f>
        <v>5.71</v>
      </c>
      <c r="M253">
        <f>IF(CLIMATE_API[[#This Row],[Alternative_Data_Approval_Status]]="Approved",CLIMATE_API[[#This Row],[Eto_inches_Alternative]],CLIMATE_API[[#This Row],[Eto_inches]])</f>
        <v>48.45</v>
      </c>
    </row>
    <row r="254" spans="1:13" x14ac:dyDescent="0.25">
      <c r="A254" t="s">
        <v>1882</v>
      </c>
      <c r="B254" t="s">
        <v>1883</v>
      </c>
      <c r="C254">
        <v>50.97</v>
      </c>
      <c r="D254">
        <v>16.53</v>
      </c>
      <c r="E254">
        <v>4.13</v>
      </c>
      <c r="F254" t="s">
        <v>1859</v>
      </c>
      <c r="J254" s="9">
        <v>45108</v>
      </c>
      <c r="K254" s="9">
        <v>45473</v>
      </c>
      <c r="L254">
        <f>IF(CLIMATE_API[[#This Row],[Alternative_Data_Approval_Status]]="Approved",CLIMATE_API[[#This Row],[Effective_Precipitation_inches_Alternative]],CLIMATE_API[[#This Row],[Effective_Precipitation_inches]])</f>
        <v>4.13</v>
      </c>
      <c r="M254">
        <f>IF(CLIMATE_API[[#This Row],[Alternative_Data_Approval_Status]]="Approved",CLIMATE_API[[#This Row],[Eto_inches_Alternative]],CLIMATE_API[[#This Row],[Eto_inches]])</f>
        <v>50.97</v>
      </c>
    </row>
    <row r="255" spans="1:13" x14ac:dyDescent="0.25">
      <c r="A255" t="s">
        <v>1886</v>
      </c>
      <c r="B255" t="s">
        <v>3694</v>
      </c>
      <c r="C255">
        <v>45.39</v>
      </c>
      <c r="D255">
        <v>23.26</v>
      </c>
      <c r="E255">
        <v>5.82</v>
      </c>
      <c r="F255" t="s">
        <v>1859</v>
      </c>
      <c r="J255" s="9">
        <v>45108</v>
      </c>
      <c r="K255" s="9">
        <v>45473</v>
      </c>
      <c r="L255">
        <f>IF(CLIMATE_API[[#This Row],[Alternative_Data_Approval_Status]]="Approved",CLIMATE_API[[#This Row],[Effective_Precipitation_inches_Alternative]],CLIMATE_API[[#This Row],[Effective_Precipitation_inches]])</f>
        <v>5.82</v>
      </c>
      <c r="M255">
        <f>IF(CLIMATE_API[[#This Row],[Alternative_Data_Approval_Status]]="Approved",CLIMATE_API[[#This Row],[Eto_inches_Alternative]],CLIMATE_API[[#This Row],[Eto_inches]])</f>
        <v>45.39</v>
      </c>
    </row>
    <row r="256" spans="1:13" x14ac:dyDescent="0.25">
      <c r="A256" t="s">
        <v>1890</v>
      </c>
      <c r="B256" t="s">
        <v>1891</v>
      </c>
      <c r="C256">
        <v>54.65</v>
      </c>
      <c r="D256">
        <v>19.350000000000001</v>
      </c>
      <c r="E256">
        <v>4.84</v>
      </c>
      <c r="F256" t="s">
        <v>1859</v>
      </c>
      <c r="J256" s="9">
        <v>45108</v>
      </c>
      <c r="K256" s="9">
        <v>45473</v>
      </c>
      <c r="L256">
        <f>IF(CLIMATE_API[[#This Row],[Alternative_Data_Approval_Status]]="Approved",CLIMATE_API[[#This Row],[Effective_Precipitation_inches_Alternative]],CLIMATE_API[[#This Row],[Effective_Precipitation_inches]])</f>
        <v>4.84</v>
      </c>
      <c r="M256">
        <f>IF(CLIMATE_API[[#This Row],[Alternative_Data_Approval_Status]]="Approved",CLIMATE_API[[#This Row],[Eto_inches_Alternative]],CLIMATE_API[[#This Row],[Eto_inches]])</f>
        <v>54.65</v>
      </c>
    </row>
    <row r="257" spans="1:13" x14ac:dyDescent="0.25">
      <c r="A257" t="s">
        <v>1894</v>
      </c>
      <c r="B257" t="s">
        <v>1895</v>
      </c>
      <c r="C257">
        <v>61.71</v>
      </c>
      <c r="D257">
        <v>13.66</v>
      </c>
      <c r="E257">
        <v>3.42</v>
      </c>
      <c r="F257" t="s">
        <v>1859</v>
      </c>
      <c r="J257" s="9">
        <v>45108</v>
      </c>
      <c r="K257" s="9">
        <v>45473</v>
      </c>
      <c r="L257">
        <f>IF(CLIMATE_API[[#This Row],[Alternative_Data_Approval_Status]]="Approved",CLIMATE_API[[#This Row],[Effective_Precipitation_inches_Alternative]],CLIMATE_API[[#This Row],[Effective_Precipitation_inches]])</f>
        <v>3.42</v>
      </c>
      <c r="M257">
        <f>IF(CLIMATE_API[[#This Row],[Alternative_Data_Approval_Status]]="Approved",CLIMATE_API[[#This Row],[Eto_inches_Alternative]],CLIMATE_API[[#This Row],[Eto_inches]])</f>
        <v>61.71</v>
      </c>
    </row>
    <row r="258" spans="1:13" x14ac:dyDescent="0.25">
      <c r="A258" t="s">
        <v>1898</v>
      </c>
      <c r="B258" t="s">
        <v>3695</v>
      </c>
      <c r="C258">
        <v>40.159999999999997</v>
      </c>
      <c r="D258">
        <v>20.64</v>
      </c>
      <c r="E258">
        <v>5.16</v>
      </c>
      <c r="F258" t="s">
        <v>1859</v>
      </c>
      <c r="J258" s="9">
        <v>45108</v>
      </c>
      <c r="K258" s="9">
        <v>45473</v>
      </c>
      <c r="L258">
        <f>IF(CLIMATE_API[[#This Row],[Alternative_Data_Approval_Status]]="Approved",CLIMATE_API[[#This Row],[Effective_Precipitation_inches_Alternative]],CLIMATE_API[[#This Row],[Effective_Precipitation_inches]])</f>
        <v>5.16</v>
      </c>
      <c r="M258">
        <f>IF(CLIMATE_API[[#This Row],[Alternative_Data_Approval_Status]]="Approved",CLIMATE_API[[#This Row],[Eto_inches_Alternative]],CLIMATE_API[[#This Row],[Eto_inches]])</f>
        <v>40.159999999999997</v>
      </c>
    </row>
    <row r="259" spans="1:13" x14ac:dyDescent="0.25">
      <c r="A259" t="s">
        <v>1902</v>
      </c>
      <c r="B259" t="s">
        <v>1903</v>
      </c>
      <c r="J259" s="9">
        <v>45108</v>
      </c>
      <c r="K259" s="9">
        <v>45473</v>
      </c>
      <c r="L259">
        <f>IF(CLIMATE_API[[#This Row],[Alternative_Data_Approval_Status]]="Approved",CLIMATE_API[[#This Row],[Effective_Precipitation_inches_Alternative]],CLIMATE_API[[#This Row],[Effective_Precipitation_inches]])</f>
        <v>0</v>
      </c>
      <c r="M259">
        <f>IF(CLIMATE_API[[#This Row],[Alternative_Data_Approval_Status]]="Approved",CLIMATE_API[[#This Row],[Eto_inches_Alternative]],CLIMATE_API[[#This Row],[Eto_inches]])</f>
        <v>0</v>
      </c>
    </row>
    <row r="260" spans="1:13" x14ac:dyDescent="0.25">
      <c r="A260" t="s">
        <v>1906</v>
      </c>
      <c r="B260" t="s">
        <v>3696</v>
      </c>
      <c r="C260">
        <v>46.49</v>
      </c>
      <c r="D260">
        <v>23.38</v>
      </c>
      <c r="E260">
        <v>5.84</v>
      </c>
      <c r="F260" t="s">
        <v>1859</v>
      </c>
      <c r="J260" s="9">
        <v>45108</v>
      </c>
      <c r="K260" s="9">
        <v>45473</v>
      </c>
      <c r="L260">
        <f>IF(CLIMATE_API[[#This Row],[Alternative_Data_Approval_Status]]="Approved",CLIMATE_API[[#This Row],[Effective_Precipitation_inches_Alternative]],CLIMATE_API[[#This Row],[Effective_Precipitation_inches]])</f>
        <v>5.84</v>
      </c>
      <c r="M260">
        <f>IF(CLIMATE_API[[#This Row],[Alternative_Data_Approval_Status]]="Approved",CLIMATE_API[[#This Row],[Eto_inches_Alternative]],CLIMATE_API[[#This Row],[Eto_inches]])</f>
        <v>46.49</v>
      </c>
    </row>
    <row r="261" spans="1:13" x14ac:dyDescent="0.25">
      <c r="A261" t="s">
        <v>1910</v>
      </c>
      <c r="B261" t="s">
        <v>3240</v>
      </c>
      <c r="C261">
        <v>46.68</v>
      </c>
      <c r="D261">
        <v>23.24</v>
      </c>
      <c r="E261">
        <v>5.81</v>
      </c>
      <c r="F261" t="s">
        <v>1859</v>
      </c>
      <c r="J261" s="9">
        <v>45108</v>
      </c>
      <c r="K261" s="9">
        <v>45473</v>
      </c>
      <c r="L261">
        <f>IF(CLIMATE_API[[#This Row],[Alternative_Data_Approval_Status]]="Approved",CLIMATE_API[[#This Row],[Effective_Precipitation_inches_Alternative]],CLIMATE_API[[#This Row],[Effective_Precipitation_inches]])</f>
        <v>5.81</v>
      </c>
      <c r="M261">
        <f>IF(CLIMATE_API[[#This Row],[Alternative_Data_Approval_Status]]="Approved",CLIMATE_API[[#This Row],[Eto_inches_Alternative]],CLIMATE_API[[#This Row],[Eto_inches]])</f>
        <v>46.68</v>
      </c>
    </row>
    <row r="262" spans="1:13" x14ac:dyDescent="0.25">
      <c r="A262" t="s">
        <v>1918</v>
      </c>
      <c r="B262" t="s">
        <v>3697</v>
      </c>
      <c r="C262">
        <v>51.69</v>
      </c>
      <c r="D262">
        <v>29.38</v>
      </c>
      <c r="E262">
        <v>7.35</v>
      </c>
      <c r="F262" t="s">
        <v>1859</v>
      </c>
      <c r="J262" s="9">
        <v>45108</v>
      </c>
      <c r="K262" s="9">
        <v>45473</v>
      </c>
      <c r="L262">
        <f>IF(CLIMATE_API[[#This Row],[Alternative_Data_Approval_Status]]="Approved",CLIMATE_API[[#This Row],[Effective_Precipitation_inches_Alternative]],CLIMATE_API[[#This Row],[Effective_Precipitation_inches]])</f>
        <v>7.35</v>
      </c>
      <c r="M262">
        <f>IF(CLIMATE_API[[#This Row],[Alternative_Data_Approval_Status]]="Approved",CLIMATE_API[[#This Row],[Eto_inches_Alternative]],CLIMATE_API[[#This Row],[Eto_inches]])</f>
        <v>51.69</v>
      </c>
    </row>
    <row r="263" spans="1:13" x14ac:dyDescent="0.25">
      <c r="A263" t="s">
        <v>1922</v>
      </c>
      <c r="B263" t="s">
        <v>3698</v>
      </c>
      <c r="C263">
        <v>53.02</v>
      </c>
      <c r="D263">
        <v>19.25</v>
      </c>
      <c r="E263">
        <v>4.8099999999999996</v>
      </c>
      <c r="F263" t="s">
        <v>1859</v>
      </c>
      <c r="J263" s="9">
        <v>45108</v>
      </c>
      <c r="K263" s="9">
        <v>45473</v>
      </c>
      <c r="L263">
        <f>IF(CLIMATE_API[[#This Row],[Alternative_Data_Approval_Status]]="Approved",CLIMATE_API[[#This Row],[Effective_Precipitation_inches_Alternative]],CLIMATE_API[[#This Row],[Effective_Precipitation_inches]])</f>
        <v>4.8099999999999996</v>
      </c>
      <c r="M263">
        <f>IF(CLIMATE_API[[#This Row],[Alternative_Data_Approval_Status]]="Approved",CLIMATE_API[[#This Row],[Eto_inches_Alternative]],CLIMATE_API[[#This Row],[Eto_inches]])</f>
        <v>53.02</v>
      </c>
    </row>
    <row r="264" spans="1:13" x14ac:dyDescent="0.25">
      <c r="A264" t="s">
        <v>1926</v>
      </c>
      <c r="B264" t="s">
        <v>3699</v>
      </c>
      <c r="C264">
        <v>52.81</v>
      </c>
      <c r="D264">
        <v>13.97</v>
      </c>
      <c r="E264">
        <v>3.49</v>
      </c>
      <c r="F264" t="s">
        <v>1859</v>
      </c>
      <c r="J264" s="9">
        <v>45108</v>
      </c>
      <c r="K264" s="9">
        <v>45473</v>
      </c>
      <c r="L264">
        <f>IF(CLIMATE_API[[#This Row],[Alternative_Data_Approval_Status]]="Approved",CLIMATE_API[[#This Row],[Effective_Precipitation_inches_Alternative]],CLIMATE_API[[#This Row],[Effective_Precipitation_inches]])</f>
        <v>3.49</v>
      </c>
      <c r="M264">
        <f>IF(CLIMATE_API[[#This Row],[Alternative_Data_Approval_Status]]="Approved",CLIMATE_API[[#This Row],[Eto_inches_Alternative]],CLIMATE_API[[#This Row],[Eto_inches]])</f>
        <v>52.81</v>
      </c>
    </row>
    <row r="265" spans="1:13" x14ac:dyDescent="0.25">
      <c r="A265" t="s">
        <v>1930</v>
      </c>
      <c r="B265" t="s">
        <v>3700</v>
      </c>
      <c r="C265">
        <v>43.57</v>
      </c>
      <c r="D265">
        <v>29.73</v>
      </c>
      <c r="E265">
        <v>7.43</v>
      </c>
      <c r="F265" t="s">
        <v>1859</v>
      </c>
      <c r="J265" s="9">
        <v>45108</v>
      </c>
      <c r="K265" s="9">
        <v>45473</v>
      </c>
      <c r="L265">
        <f>IF(CLIMATE_API[[#This Row],[Alternative_Data_Approval_Status]]="Approved",CLIMATE_API[[#This Row],[Effective_Precipitation_inches_Alternative]],CLIMATE_API[[#This Row],[Effective_Precipitation_inches]])</f>
        <v>7.43</v>
      </c>
      <c r="M265">
        <f>IF(CLIMATE_API[[#This Row],[Alternative_Data_Approval_Status]]="Approved",CLIMATE_API[[#This Row],[Eto_inches_Alternative]],CLIMATE_API[[#This Row],[Eto_inches]])</f>
        <v>43.57</v>
      </c>
    </row>
    <row r="266" spans="1:13" x14ac:dyDescent="0.25">
      <c r="A266" t="s">
        <v>1934</v>
      </c>
      <c r="B266" t="s">
        <v>1935</v>
      </c>
      <c r="C266">
        <v>59.46</v>
      </c>
      <c r="D266">
        <v>15.41</v>
      </c>
      <c r="E266">
        <v>3.85</v>
      </c>
      <c r="F266" t="s">
        <v>1859</v>
      </c>
      <c r="J266" s="9">
        <v>45108</v>
      </c>
      <c r="K266" s="9">
        <v>45473</v>
      </c>
      <c r="L266">
        <f>IF(CLIMATE_API[[#This Row],[Alternative_Data_Approval_Status]]="Approved",CLIMATE_API[[#This Row],[Effective_Precipitation_inches_Alternative]],CLIMATE_API[[#This Row],[Effective_Precipitation_inches]])</f>
        <v>3.85</v>
      </c>
      <c r="M266">
        <f>IF(CLIMATE_API[[#This Row],[Alternative_Data_Approval_Status]]="Approved",CLIMATE_API[[#This Row],[Eto_inches_Alternative]],CLIMATE_API[[#This Row],[Eto_inches]])</f>
        <v>59.46</v>
      </c>
    </row>
    <row r="267" spans="1:13" x14ac:dyDescent="0.25">
      <c r="A267" t="s">
        <v>1938</v>
      </c>
      <c r="B267" t="s">
        <v>3701</v>
      </c>
      <c r="C267">
        <v>48.95</v>
      </c>
      <c r="D267">
        <v>24.58</v>
      </c>
      <c r="E267">
        <v>6.15</v>
      </c>
      <c r="F267" t="s">
        <v>1859</v>
      </c>
      <c r="J267" s="9">
        <v>45108</v>
      </c>
      <c r="K267" s="9">
        <v>45473</v>
      </c>
      <c r="L267">
        <f>IF(CLIMATE_API[[#This Row],[Alternative_Data_Approval_Status]]="Approved",CLIMATE_API[[#This Row],[Effective_Precipitation_inches_Alternative]],CLIMATE_API[[#This Row],[Effective_Precipitation_inches]])</f>
        <v>6.15</v>
      </c>
      <c r="M267">
        <f>IF(CLIMATE_API[[#This Row],[Alternative_Data_Approval_Status]]="Approved",CLIMATE_API[[#This Row],[Eto_inches_Alternative]],CLIMATE_API[[#This Row],[Eto_inches]])</f>
        <v>48.95</v>
      </c>
    </row>
    <row r="268" spans="1:13" x14ac:dyDescent="0.25">
      <c r="A268" t="s">
        <v>1942</v>
      </c>
      <c r="B268" t="s">
        <v>1943</v>
      </c>
      <c r="C268">
        <v>49.31</v>
      </c>
      <c r="D268">
        <v>24.65</v>
      </c>
      <c r="E268">
        <v>6.16</v>
      </c>
      <c r="F268" t="s">
        <v>1859</v>
      </c>
      <c r="J268" s="9">
        <v>45108</v>
      </c>
      <c r="K268" s="9">
        <v>45473</v>
      </c>
      <c r="L268">
        <f>IF(CLIMATE_API[[#This Row],[Alternative_Data_Approval_Status]]="Approved",CLIMATE_API[[#This Row],[Effective_Precipitation_inches_Alternative]],CLIMATE_API[[#This Row],[Effective_Precipitation_inches]])</f>
        <v>6.16</v>
      </c>
      <c r="M268">
        <f>IF(CLIMATE_API[[#This Row],[Alternative_Data_Approval_Status]]="Approved",CLIMATE_API[[#This Row],[Eto_inches_Alternative]],CLIMATE_API[[#This Row],[Eto_inches]])</f>
        <v>49.31</v>
      </c>
    </row>
    <row r="269" spans="1:13" x14ac:dyDescent="0.25">
      <c r="A269" t="s">
        <v>1946</v>
      </c>
      <c r="B269" t="s">
        <v>3702</v>
      </c>
      <c r="C269">
        <v>43.37</v>
      </c>
      <c r="D269">
        <v>20.57</v>
      </c>
      <c r="E269">
        <v>5.14</v>
      </c>
      <c r="F269" t="s">
        <v>1859</v>
      </c>
      <c r="J269" s="9">
        <v>45108</v>
      </c>
      <c r="K269" s="9">
        <v>45473</v>
      </c>
      <c r="L269">
        <f>IF(CLIMATE_API[[#This Row],[Alternative_Data_Approval_Status]]="Approved",CLIMATE_API[[#This Row],[Effective_Precipitation_inches_Alternative]],CLIMATE_API[[#This Row],[Effective_Precipitation_inches]])</f>
        <v>5.14</v>
      </c>
      <c r="M269">
        <f>IF(CLIMATE_API[[#This Row],[Alternative_Data_Approval_Status]]="Approved",CLIMATE_API[[#This Row],[Eto_inches_Alternative]],CLIMATE_API[[#This Row],[Eto_inches]])</f>
        <v>43.37</v>
      </c>
    </row>
    <row r="270" spans="1:13" x14ac:dyDescent="0.25">
      <c r="A270" t="s">
        <v>1950</v>
      </c>
      <c r="B270" t="s">
        <v>3703</v>
      </c>
      <c r="C270">
        <v>50.08</v>
      </c>
      <c r="D270">
        <v>15.74</v>
      </c>
      <c r="E270">
        <v>3.94</v>
      </c>
      <c r="F270" t="s">
        <v>1859</v>
      </c>
      <c r="J270" s="9">
        <v>45108</v>
      </c>
      <c r="K270" s="9">
        <v>45473</v>
      </c>
      <c r="L270">
        <f>IF(CLIMATE_API[[#This Row],[Alternative_Data_Approval_Status]]="Approved",CLIMATE_API[[#This Row],[Effective_Precipitation_inches_Alternative]],CLIMATE_API[[#This Row],[Effective_Precipitation_inches]])</f>
        <v>3.94</v>
      </c>
      <c r="M270">
        <f>IF(CLIMATE_API[[#This Row],[Alternative_Data_Approval_Status]]="Approved",CLIMATE_API[[#This Row],[Eto_inches_Alternative]],CLIMATE_API[[#This Row],[Eto_inches]])</f>
        <v>50.08</v>
      </c>
    </row>
    <row r="271" spans="1:13" x14ac:dyDescent="0.25">
      <c r="A271" t="s">
        <v>1954</v>
      </c>
      <c r="B271" t="s">
        <v>1955</v>
      </c>
      <c r="C271">
        <v>54.44</v>
      </c>
      <c r="D271">
        <v>32.299999999999997</v>
      </c>
      <c r="E271">
        <v>8.07</v>
      </c>
      <c r="F271" t="s">
        <v>1859</v>
      </c>
      <c r="J271" s="9">
        <v>45108</v>
      </c>
      <c r="K271" s="9">
        <v>45473</v>
      </c>
      <c r="L271">
        <f>IF(CLIMATE_API[[#This Row],[Alternative_Data_Approval_Status]]="Approved",CLIMATE_API[[#This Row],[Effective_Precipitation_inches_Alternative]],CLIMATE_API[[#This Row],[Effective_Precipitation_inches]])</f>
        <v>8.07</v>
      </c>
      <c r="M271">
        <f>IF(CLIMATE_API[[#This Row],[Alternative_Data_Approval_Status]]="Approved",CLIMATE_API[[#This Row],[Eto_inches_Alternative]],CLIMATE_API[[#This Row],[Eto_inches]])</f>
        <v>54.44</v>
      </c>
    </row>
    <row r="272" spans="1:13" x14ac:dyDescent="0.25">
      <c r="A272" t="s">
        <v>1970</v>
      </c>
      <c r="B272" t="s">
        <v>3704</v>
      </c>
      <c r="C272">
        <v>45.79</v>
      </c>
      <c r="D272">
        <v>20.079999999999998</v>
      </c>
      <c r="E272">
        <v>5.0199999999999996</v>
      </c>
      <c r="F272" t="s">
        <v>1859</v>
      </c>
      <c r="J272" s="9">
        <v>45108</v>
      </c>
      <c r="K272" s="9">
        <v>45473</v>
      </c>
      <c r="L272">
        <f>IF(CLIMATE_API[[#This Row],[Alternative_Data_Approval_Status]]="Approved",CLIMATE_API[[#This Row],[Effective_Precipitation_inches_Alternative]],CLIMATE_API[[#This Row],[Effective_Precipitation_inches]])</f>
        <v>5.0199999999999996</v>
      </c>
      <c r="M272">
        <f>IF(CLIMATE_API[[#This Row],[Alternative_Data_Approval_Status]]="Approved",CLIMATE_API[[#This Row],[Eto_inches_Alternative]],CLIMATE_API[[#This Row],[Eto_inches]])</f>
        <v>45.79</v>
      </c>
    </row>
    <row r="273" spans="1:13" x14ac:dyDescent="0.25">
      <c r="A273" t="s">
        <v>1974</v>
      </c>
      <c r="B273" t="s">
        <v>3705</v>
      </c>
      <c r="C273">
        <v>53.75</v>
      </c>
      <c r="D273">
        <v>24.83</v>
      </c>
      <c r="E273">
        <v>6.21</v>
      </c>
      <c r="F273" t="s">
        <v>1859</v>
      </c>
      <c r="J273" s="9">
        <v>45108</v>
      </c>
      <c r="K273" s="9">
        <v>45473</v>
      </c>
      <c r="L273">
        <f>IF(CLIMATE_API[[#This Row],[Alternative_Data_Approval_Status]]="Approved",CLIMATE_API[[#This Row],[Effective_Precipitation_inches_Alternative]],CLIMATE_API[[#This Row],[Effective_Precipitation_inches]])</f>
        <v>6.21</v>
      </c>
      <c r="M273">
        <f>IF(CLIMATE_API[[#This Row],[Alternative_Data_Approval_Status]]="Approved",CLIMATE_API[[#This Row],[Eto_inches_Alternative]],CLIMATE_API[[#This Row],[Eto_inches]])</f>
        <v>53.75</v>
      </c>
    </row>
    <row r="274" spans="1:13" x14ac:dyDescent="0.25">
      <c r="A274" t="s">
        <v>1978</v>
      </c>
      <c r="B274" t="s">
        <v>3706</v>
      </c>
      <c r="C274">
        <v>44.34</v>
      </c>
      <c r="D274">
        <v>23</v>
      </c>
      <c r="E274">
        <v>5.75</v>
      </c>
      <c r="F274" t="s">
        <v>1859</v>
      </c>
      <c r="J274" s="9">
        <v>45108</v>
      </c>
      <c r="K274" s="9">
        <v>45473</v>
      </c>
      <c r="L274">
        <f>IF(CLIMATE_API[[#This Row],[Alternative_Data_Approval_Status]]="Approved",CLIMATE_API[[#This Row],[Effective_Precipitation_inches_Alternative]],CLIMATE_API[[#This Row],[Effective_Precipitation_inches]])</f>
        <v>5.75</v>
      </c>
      <c r="M274">
        <f>IF(CLIMATE_API[[#This Row],[Alternative_Data_Approval_Status]]="Approved",CLIMATE_API[[#This Row],[Eto_inches_Alternative]],CLIMATE_API[[#This Row],[Eto_inches]])</f>
        <v>44.34</v>
      </c>
    </row>
    <row r="275" spans="1:13" x14ac:dyDescent="0.25">
      <c r="A275" t="s">
        <v>1982</v>
      </c>
      <c r="B275" t="s">
        <v>3707</v>
      </c>
      <c r="C275">
        <v>57.31</v>
      </c>
      <c r="D275">
        <v>11.4</v>
      </c>
      <c r="E275">
        <v>2.85</v>
      </c>
      <c r="F275" t="s">
        <v>1859</v>
      </c>
      <c r="J275" s="9">
        <v>45108</v>
      </c>
      <c r="K275" s="9">
        <v>45473</v>
      </c>
      <c r="L275">
        <f>IF(CLIMATE_API[[#This Row],[Alternative_Data_Approval_Status]]="Approved",CLIMATE_API[[#This Row],[Effective_Precipitation_inches_Alternative]],CLIMATE_API[[#This Row],[Effective_Precipitation_inches]])</f>
        <v>2.85</v>
      </c>
      <c r="M275">
        <f>IF(CLIMATE_API[[#This Row],[Alternative_Data_Approval_Status]]="Approved",CLIMATE_API[[#This Row],[Eto_inches_Alternative]],CLIMATE_API[[#This Row],[Eto_inches]])</f>
        <v>57.31</v>
      </c>
    </row>
    <row r="276" spans="1:13" x14ac:dyDescent="0.25">
      <c r="A276" t="s">
        <v>1986</v>
      </c>
      <c r="B276" t="s">
        <v>3708</v>
      </c>
      <c r="C276">
        <v>52.7</v>
      </c>
      <c r="D276">
        <v>18.7</v>
      </c>
      <c r="E276">
        <v>4.68</v>
      </c>
      <c r="F276" t="s">
        <v>1859</v>
      </c>
      <c r="J276" s="9">
        <v>45108</v>
      </c>
      <c r="K276" s="9">
        <v>45473</v>
      </c>
      <c r="L276">
        <f>IF(CLIMATE_API[[#This Row],[Alternative_Data_Approval_Status]]="Approved",CLIMATE_API[[#This Row],[Effective_Precipitation_inches_Alternative]],CLIMATE_API[[#This Row],[Effective_Precipitation_inches]])</f>
        <v>4.68</v>
      </c>
      <c r="M276">
        <f>IF(CLIMATE_API[[#This Row],[Alternative_Data_Approval_Status]]="Approved",CLIMATE_API[[#This Row],[Eto_inches_Alternative]],CLIMATE_API[[#This Row],[Eto_inches]])</f>
        <v>52.7</v>
      </c>
    </row>
    <row r="277" spans="1:13" x14ac:dyDescent="0.25">
      <c r="A277" t="s">
        <v>1990</v>
      </c>
      <c r="B277" t="s">
        <v>1991</v>
      </c>
      <c r="C277">
        <v>63.57</v>
      </c>
      <c r="D277">
        <v>13.58</v>
      </c>
      <c r="E277">
        <v>3.39</v>
      </c>
      <c r="F277" t="s">
        <v>1859</v>
      </c>
      <c r="J277" s="9">
        <v>45108</v>
      </c>
      <c r="K277" s="9">
        <v>45473</v>
      </c>
      <c r="L277">
        <f>IF(CLIMATE_API[[#This Row],[Alternative_Data_Approval_Status]]="Approved",CLIMATE_API[[#This Row],[Effective_Precipitation_inches_Alternative]],CLIMATE_API[[#This Row],[Effective_Precipitation_inches]])</f>
        <v>3.39</v>
      </c>
      <c r="M277">
        <f>IF(CLIMATE_API[[#This Row],[Alternative_Data_Approval_Status]]="Approved",CLIMATE_API[[#This Row],[Eto_inches_Alternative]],CLIMATE_API[[#This Row],[Eto_inches]])</f>
        <v>63.57</v>
      </c>
    </row>
    <row r="278" spans="1:13" x14ac:dyDescent="0.25">
      <c r="A278" t="s">
        <v>1994</v>
      </c>
      <c r="B278" t="s">
        <v>1995</v>
      </c>
      <c r="C278">
        <v>53.88</v>
      </c>
      <c r="D278">
        <v>20.260000000000002</v>
      </c>
      <c r="E278">
        <v>5.0599999999999996</v>
      </c>
      <c r="F278" t="s">
        <v>1859</v>
      </c>
      <c r="J278" s="9">
        <v>45108</v>
      </c>
      <c r="K278" s="9">
        <v>45473</v>
      </c>
      <c r="L278">
        <f>IF(CLIMATE_API[[#This Row],[Alternative_Data_Approval_Status]]="Approved",CLIMATE_API[[#This Row],[Effective_Precipitation_inches_Alternative]],CLIMATE_API[[#This Row],[Effective_Precipitation_inches]])</f>
        <v>5.0599999999999996</v>
      </c>
      <c r="M278">
        <f>IF(CLIMATE_API[[#This Row],[Alternative_Data_Approval_Status]]="Approved",CLIMATE_API[[#This Row],[Eto_inches_Alternative]],CLIMATE_API[[#This Row],[Eto_inches]])</f>
        <v>53.88</v>
      </c>
    </row>
    <row r="279" spans="1:13" x14ac:dyDescent="0.25">
      <c r="A279" t="s">
        <v>1998</v>
      </c>
      <c r="B279" t="s">
        <v>1999</v>
      </c>
      <c r="C279">
        <v>55.75</v>
      </c>
      <c r="D279">
        <v>19.34</v>
      </c>
      <c r="E279">
        <v>4.84</v>
      </c>
      <c r="F279" t="s">
        <v>1859</v>
      </c>
      <c r="J279" s="9">
        <v>45108</v>
      </c>
      <c r="K279" s="9">
        <v>45473</v>
      </c>
      <c r="L279">
        <f>IF(CLIMATE_API[[#This Row],[Alternative_Data_Approval_Status]]="Approved",CLIMATE_API[[#This Row],[Effective_Precipitation_inches_Alternative]],CLIMATE_API[[#This Row],[Effective_Precipitation_inches]])</f>
        <v>4.84</v>
      </c>
      <c r="M279">
        <f>IF(CLIMATE_API[[#This Row],[Alternative_Data_Approval_Status]]="Approved",CLIMATE_API[[#This Row],[Eto_inches_Alternative]],CLIMATE_API[[#This Row],[Eto_inches]])</f>
        <v>55.75</v>
      </c>
    </row>
    <row r="280" spans="1:13" x14ac:dyDescent="0.25">
      <c r="A280" t="s">
        <v>2002</v>
      </c>
      <c r="B280" t="s">
        <v>2003</v>
      </c>
      <c r="C280">
        <v>55.34</v>
      </c>
      <c r="D280">
        <v>21.7</v>
      </c>
      <c r="E280">
        <v>5.43</v>
      </c>
      <c r="F280" t="s">
        <v>1859</v>
      </c>
      <c r="J280" s="9">
        <v>45108</v>
      </c>
      <c r="K280" s="9">
        <v>45473</v>
      </c>
      <c r="L280">
        <f>IF(CLIMATE_API[[#This Row],[Alternative_Data_Approval_Status]]="Approved",CLIMATE_API[[#This Row],[Effective_Precipitation_inches_Alternative]],CLIMATE_API[[#This Row],[Effective_Precipitation_inches]])</f>
        <v>5.43</v>
      </c>
      <c r="M280">
        <f>IF(CLIMATE_API[[#This Row],[Alternative_Data_Approval_Status]]="Approved",CLIMATE_API[[#This Row],[Eto_inches_Alternative]],CLIMATE_API[[#This Row],[Eto_inches]])</f>
        <v>55.34</v>
      </c>
    </row>
    <row r="281" spans="1:13" x14ac:dyDescent="0.25">
      <c r="A281" t="s">
        <v>2006</v>
      </c>
      <c r="B281" t="s">
        <v>3709</v>
      </c>
      <c r="C281">
        <v>52.44</v>
      </c>
      <c r="D281">
        <v>26.74</v>
      </c>
      <c r="E281">
        <v>6.68</v>
      </c>
      <c r="F281" t="s">
        <v>1859</v>
      </c>
      <c r="J281" s="9">
        <v>45108</v>
      </c>
      <c r="K281" s="9">
        <v>45473</v>
      </c>
      <c r="L281">
        <f>IF(CLIMATE_API[[#This Row],[Alternative_Data_Approval_Status]]="Approved",CLIMATE_API[[#This Row],[Effective_Precipitation_inches_Alternative]],CLIMATE_API[[#This Row],[Effective_Precipitation_inches]])</f>
        <v>6.68</v>
      </c>
      <c r="M281">
        <f>IF(CLIMATE_API[[#This Row],[Alternative_Data_Approval_Status]]="Approved",CLIMATE_API[[#This Row],[Eto_inches_Alternative]],CLIMATE_API[[#This Row],[Eto_inches]])</f>
        <v>52.44</v>
      </c>
    </row>
    <row r="282" spans="1:13" x14ac:dyDescent="0.25">
      <c r="A282" t="s">
        <v>2011</v>
      </c>
      <c r="B282" t="s">
        <v>3710</v>
      </c>
      <c r="C282">
        <v>51.9</v>
      </c>
      <c r="D282">
        <v>44.58</v>
      </c>
      <c r="E282">
        <v>11.01</v>
      </c>
      <c r="F282" t="s">
        <v>1859</v>
      </c>
      <c r="J282" s="9">
        <v>45108</v>
      </c>
      <c r="K282" s="9">
        <v>45473</v>
      </c>
      <c r="L282">
        <f>IF(CLIMATE_API[[#This Row],[Alternative_Data_Approval_Status]]="Approved",CLIMATE_API[[#This Row],[Effective_Precipitation_inches_Alternative]],CLIMATE_API[[#This Row],[Effective_Precipitation_inches]])</f>
        <v>11.01</v>
      </c>
      <c r="M282">
        <f>IF(CLIMATE_API[[#This Row],[Alternative_Data_Approval_Status]]="Approved",CLIMATE_API[[#This Row],[Eto_inches_Alternative]],CLIMATE_API[[#This Row],[Eto_inches]])</f>
        <v>51.9</v>
      </c>
    </row>
    <row r="283" spans="1:13" x14ac:dyDescent="0.25">
      <c r="A283" t="s">
        <v>2015</v>
      </c>
      <c r="B283" t="s">
        <v>3711</v>
      </c>
      <c r="C283">
        <v>61.11</v>
      </c>
      <c r="D283">
        <v>18.940000000000001</v>
      </c>
      <c r="E283">
        <v>4.7300000000000004</v>
      </c>
      <c r="F283" t="s">
        <v>1859</v>
      </c>
      <c r="J283" s="9">
        <v>45108</v>
      </c>
      <c r="K283" s="9">
        <v>45473</v>
      </c>
      <c r="L283">
        <f>IF(CLIMATE_API[[#This Row],[Alternative_Data_Approval_Status]]="Approved",CLIMATE_API[[#This Row],[Effective_Precipitation_inches_Alternative]],CLIMATE_API[[#This Row],[Effective_Precipitation_inches]])</f>
        <v>4.7300000000000004</v>
      </c>
      <c r="M283">
        <f>IF(CLIMATE_API[[#This Row],[Alternative_Data_Approval_Status]]="Approved",CLIMATE_API[[#This Row],[Eto_inches_Alternative]],CLIMATE_API[[#This Row],[Eto_inches]])</f>
        <v>61.11</v>
      </c>
    </row>
    <row r="284" spans="1:13" x14ac:dyDescent="0.25">
      <c r="A284" t="s">
        <v>2019</v>
      </c>
      <c r="B284" t="s">
        <v>2020</v>
      </c>
      <c r="C284">
        <v>39.74</v>
      </c>
      <c r="D284">
        <v>21.63</v>
      </c>
      <c r="E284">
        <v>5.41</v>
      </c>
      <c r="F284" t="s">
        <v>1859</v>
      </c>
      <c r="J284" s="9">
        <v>45108</v>
      </c>
      <c r="K284" s="9">
        <v>45473</v>
      </c>
      <c r="L284">
        <f>IF(CLIMATE_API[[#This Row],[Alternative_Data_Approval_Status]]="Approved",CLIMATE_API[[#This Row],[Effective_Precipitation_inches_Alternative]],CLIMATE_API[[#This Row],[Effective_Precipitation_inches]])</f>
        <v>5.41</v>
      </c>
      <c r="M284">
        <f>IF(CLIMATE_API[[#This Row],[Alternative_Data_Approval_Status]]="Approved",CLIMATE_API[[#This Row],[Eto_inches_Alternative]],CLIMATE_API[[#This Row],[Eto_inches]])</f>
        <v>39.74</v>
      </c>
    </row>
    <row r="285" spans="1:13" x14ac:dyDescent="0.25">
      <c r="A285" t="s">
        <v>2023</v>
      </c>
      <c r="B285" t="s">
        <v>3712</v>
      </c>
      <c r="C285">
        <v>55.21</v>
      </c>
      <c r="D285">
        <v>11.6</v>
      </c>
      <c r="E285">
        <v>2.9</v>
      </c>
      <c r="F285" t="s">
        <v>1859</v>
      </c>
      <c r="J285" s="9">
        <v>45108</v>
      </c>
      <c r="K285" s="9">
        <v>45473</v>
      </c>
      <c r="L285">
        <f>IF(CLIMATE_API[[#This Row],[Alternative_Data_Approval_Status]]="Approved",CLIMATE_API[[#This Row],[Effective_Precipitation_inches_Alternative]],CLIMATE_API[[#This Row],[Effective_Precipitation_inches]])</f>
        <v>2.9</v>
      </c>
      <c r="M285">
        <f>IF(CLIMATE_API[[#This Row],[Alternative_Data_Approval_Status]]="Approved",CLIMATE_API[[#This Row],[Eto_inches_Alternative]],CLIMATE_API[[#This Row],[Eto_inches]])</f>
        <v>55.21</v>
      </c>
    </row>
    <row r="286" spans="1:13" x14ac:dyDescent="0.25">
      <c r="A286" t="s">
        <v>2027</v>
      </c>
      <c r="B286" t="s">
        <v>3713</v>
      </c>
      <c r="C286">
        <v>59.15</v>
      </c>
      <c r="D286">
        <v>22.83</v>
      </c>
      <c r="E286">
        <v>5.71</v>
      </c>
      <c r="F286" t="s">
        <v>1859</v>
      </c>
      <c r="J286" s="9">
        <v>45108</v>
      </c>
      <c r="K286" s="9">
        <v>45473</v>
      </c>
      <c r="L286">
        <f>IF(CLIMATE_API[[#This Row],[Alternative_Data_Approval_Status]]="Approved",CLIMATE_API[[#This Row],[Effective_Precipitation_inches_Alternative]],CLIMATE_API[[#This Row],[Effective_Precipitation_inches]])</f>
        <v>5.71</v>
      </c>
      <c r="M286">
        <f>IF(CLIMATE_API[[#This Row],[Alternative_Data_Approval_Status]]="Approved",CLIMATE_API[[#This Row],[Eto_inches_Alternative]],CLIMATE_API[[#This Row],[Eto_inches]])</f>
        <v>59.15</v>
      </c>
    </row>
    <row r="287" spans="1:13" x14ac:dyDescent="0.25">
      <c r="A287" t="s">
        <v>2031</v>
      </c>
      <c r="B287" t="s">
        <v>3714</v>
      </c>
      <c r="C287">
        <v>52.63</v>
      </c>
      <c r="D287">
        <v>18.55</v>
      </c>
      <c r="E287">
        <v>4.6399999999999997</v>
      </c>
      <c r="F287" t="s">
        <v>1859</v>
      </c>
      <c r="J287" s="9">
        <v>45108</v>
      </c>
      <c r="K287" s="9">
        <v>45473</v>
      </c>
      <c r="L287">
        <f>IF(CLIMATE_API[[#This Row],[Alternative_Data_Approval_Status]]="Approved",CLIMATE_API[[#This Row],[Effective_Precipitation_inches_Alternative]],CLIMATE_API[[#This Row],[Effective_Precipitation_inches]])</f>
        <v>4.6399999999999997</v>
      </c>
      <c r="M287">
        <f>IF(CLIMATE_API[[#This Row],[Alternative_Data_Approval_Status]]="Approved",CLIMATE_API[[#This Row],[Eto_inches_Alternative]],CLIMATE_API[[#This Row],[Eto_inches]])</f>
        <v>52.63</v>
      </c>
    </row>
    <row r="288" spans="1:13" x14ac:dyDescent="0.25">
      <c r="A288" t="s">
        <v>2037</v>
      </c>
      <c r="B288" t="s">
        <v>2038</v>
      </c>
      <c r="C288">
        <v>56.8</v>
      </c>
      <c r="D288">
        <v>18.350000000000001</v>
      </c>
      <c r="E288">
        <v>4.59</v>
      </c>
      <c r="F288" t="s">
        <v>1859</v>
      </c>
      <c r="J288" s="9">
        <v>45108</v>
      </c>
      <c r="K288" s="9">
        <v>45473</v>
      </c>
      <c r="L288">
        <f>IF(CLIMATE_API[[#This Row],[Alternative_Data_Approval_Status]]="Approved",CLIMATE_API[[#This Row],[Effective_Precipitation_inches_Alternative]],CLIMATE_API[[#This Row],[Effective_Precipitation_inches]])</f>
        <v>4.59</v>
      </c>
      <c r="M288">
        <f>IF(CLIMATE_API[[#This Row],[Alternative_Data_Approval_Status]]="Approved",CLIMATE_API[[#This Row],[Eto_inches_Alternative]],CLIMATE_API[[#This Row],[Eto_inches]])</f>
        <v>56.8</v>
      </c>
    </row>
    <row r="289" spans="1:13" x14ac:dyDescent="0.25">
      <c r="A289" t="s">
        <v>2041</v>
      </c>
      <c r="B289" t="s">
        <v>3715</v>
      </c>
      <c r="C289">
        <v>54.06</v>
      </c>
      <c r="D289">
        <v>15.93</v>
      </c>
      <c r="E289">
        <v>3.98</v>
      </c>
      <c r="F289" t="s">
        <v>1859</v>
      </c>
      <c r="J289" s="9">
        <v>45108</v>
      </c>
      <c r="K289" s="9">
        <v>45473</v>
      </c>
      <c r="L289">
        <f>IF(CLIMATE_API[[#This Row],[Alternative_Data_Approval_Status]]="Approved",CLIMATE_API[[#This Row],[Effective_Precipitation_inches_Alternative]],CLIMATE_API[[#This Row],[Effective_Precipitation_inches]])</f>
        <v>3.98</v>
      </c>
      <c r="M289">
        <f>IF(CLIMATE_API[[#This Row],[Alternative_Data_Approval_Status]]="Approved",CLIMATE_API[[#This Row],[Eto_inches_Alternative]],CLIMATE_API[[#This Row],[Eto_inches]])</f>
        <v>54.06</v>
      </c>
    </row>
    <row r="290" spans="1:13" x14ac:dyDescent="0.25">
      <c r="A290" t="s">
        <v>2045</v>
      </c>
      <c r="B290" t="s">
        <v>3716</v>
      </c>
      <c r="C290">
        <v>53.52</v>
      </c>
      <c r="D290">
        <v>15.55</v>
      </c>
      <c r="E290">
        <v>3.89</v>
      </c>
      <c r="F290" t="s">
        <v>1859</v>
      </c>
      <c r="J290" s="9">
        <v>45108</v>
      </c>
      <c r="K290" s="9">
        <v>45473</v>
      </c>
      <c r="L290">
        <f>IF(CLIMATE_API[[#This Row],[Alternative_Data_Approval_Status]]="Approved",CLIMATE_API[[#This Row],[Effective_Precipitation_inches_Alternative]],CLIMATE_API[[#This Row],[Effective_Precipitation_inches]])</f>
        <v>3.89</v>
      </c>
      <c r="M290">
        <f>IF(CLIMATE_API[[#This Row],[Alternative_Data_Approval_Status]]="Approved",CLIMATE_API[[#This Row],[Eto_inches_Alternative]],CLIMATE_API[[#This Row],[Eto_inches]])</f>
        <v>53.52</v>
      </c>
    </row>
    <row r="291" spans="1:13" x14ac:dyDescent="0.25">
      <c r="A291" t="s">
        <v>2049</v>
      </c>
      <c r="B291" t="s">
        <v>3717</v>
      </c>
      <c r="C291">
        <v>53.57</v>
      </c>
      <c r="D291">
        <v>16.559999999999999</v>
      </c>
      <c r="E291">
        <v>4.1399999999999997</v>
      </c>
      <c r="F291" t="s">
        <v>1859</v>
      </c>
      <c r="J291" s="9">
        <v>45108</v>
      </c>
      <c r="K291" s="9">
        <v>45473</v>
      </c>
      <c r="L291">
        <f>IF(CLIMATE_API[[#This Row],[Alternative_Data_Approval_Status]]="Approved",CLIMATE_API[[#This Row],[Effective_Precipitation_inches_Alternative]],CLIMATE_API[[#This Row],[Effective_Precipitation_inches]])</f>
        <v>4.1399999999999997</v>
      </c>
      <c r="M291">
        <f>IF(CLIMATE_API[[#This Row],[Alternative_Data_Approval_Status]]="Approved",CLIMATE_API[[#This Row],[Eto_inches_Alternative]],CLIMATE_API[[#This Row],[Eto_inches]])</f>
        <v>53.57</v>
      </c>
    </row>
    <row r="292" spans="1:13" x14ac:dyDescent="0.25">
      <c r="A292" t="s">
        <v>2053</v>
      </c>
      <c r="B292" t="s">
        <v>3308</v>
      </c>
      <c r="C292">
        <v>57.6</v>
      </c>
      <c r="D292">
        <v>15.95</v>
      </c>
      <c r="E292">
        <v>3.99</v>
      </c>
      <c r="F292" t="s">
        <v>1859</v>
      </c>
      <c r="J292" s="9">
        <v>45108</v>
      </c>
      <c r="K292" s="9">
        <v>45473</v>
      </c>
      <c r="L292">
        <f>IF(CLIMATE_API[[#This Row],[Alternative_Data_Approval_Status]]="Approved",CLIMATE_API[[#This Row],[Effective_Precipitation_inches_Alternative]],CLIMATE_API[[#This Row],[Effective_Precipitation_inches]])</f>
        <v>3.99</v>
      </c>
      <c r="M292">
        <f>IF(CLIMATE_API[[#This Row],[Alternative_Data_Approval_Status]]="Approved",CLIMATE_API[[#This Row],[Eto_inches_Alternative]],CLIMATE_API[[#This Row],[Eto_inches]])</f>
        <v>57.6</v>
      </c>
    </row>
    <row r="293" spans="1:13" x14ac:dyDescent="0.25">
      <c r="A293" t="s">
        <v>2057</v>
      </c>
      <c r="B293" t="s">
        <v>2058</v>
      </c>
      <c r="C293">
        <v>59.12</v>
      </c>
      <c r="D293">
        <v>17.079999999999998</v>
      </c>
      <c r="E293">
        <v>4.2699999999999996</v>
      </c>
      <c r="F293" t="s">
        <v>1859</v>
      </c>
      <c r="J293" s="9">
        <v>45108</v>
      </c>
      <c r="K293" s="9">
        <v>45473</v>
      </c>
      <c r="L293">
        <f>IF(CLIMATE_API[[#This Row],[Alternative_Data_Approval_Status]]="Approved",CLIMATE_API[[#This Row],[Effective_Precipitation_inches_Alternative]],CLIMATE_API[[#This Row],[Effective_Precipitation_inches]])</f>
        <v>4.2699999999999996</v>
      </c>
      <c r="M293">
        <f>IF(CLIMATE_API[[#This Row],[Alternative_Data_Approval_Status]]="Approved",CLIMATE_API[[#This Row],[Eto_inches_Alternative]],CLIMATE_API[[#This Row],[Eto_inches]])</f>
        <v>59.12</v>
      </c>
    </row>
    <row r="294" spans="1:13" x14ac:dyDescent="0.25">
      <c r="A294" t="s">
        <v>2061</v>
      </c>
      <c r="B294" t="s">
        <v>3718</v>
      </c>
      <c r="C294">
        <v>43.88</v>
      </c>
      <c r="D294">
        <v>32.909999999999997</v>
      </c>
      <c r="E294">
        <v>8.23</v>
      </c>
      <c r="F294" t="s">
        <v>1859</v>
      </c>
      <c r="J294" s="9">
        <v>45108</v>
      </c>
      <c r="K294" s="9">
        <v>45473</v>
      </c>
      <c r="L294">
        <f>IF(CLIMATE_API[[#This Row],[Alternative_Data_Approval_Status]]="Approved",CLIMATE_API[[#This Row],[Effective_Precipitation_inches_Alternative]],CLIMATE_API[[#This Row],[Effective_Precipitation_inches]])</f>
        <v>8.23</v>
      </c>
      <c r="M294">
        <f>IF(CLIMATE_API[[#This Row],[Alternative_Data_Approval_Status]]="Approved",CLIMATE_API[[#This Row],[Eto_inches_Alternative]],CLIMATE_API[[#This Row],[Eto_inches]])</f>
        <v>43.88</v>
      </c>
    </row>
    <row r="295" spans="1:13" x14ac:dyDescent="0.25">
      <c r="A295" t="s">
        <v>2065</v>
      </c>
      <c r="B295" t="s">
        <v>2066</v>
      </c>
      <c r="C295">
        <v>65.290000000000006</v>
      </c>
      <c r="D295">
        <v>11.02</v>
      </c>
      <c r="E295">
        <v>2.76</v>
      </c>
      <c r="F295" t="s">
        <v>1859</v>
      </c>
      <c r="J295" s="9">
        <v>45108</v>
      </c>
      <c r="K295" s="9">
        <v>45473</v>
      </c>
      <c r="L295">
        <f>IF(CLIMATE_API[[#This Row],[Alternative_Data_Approval_Status]]="Approved",CLIMATE_API[[#This Row],[Effective_Precipitation_inches_Alternative]],CLIMATE_API[[#This Row],[Effective_Precipitation_inches]])</f>
        <v>2.76</v>
      </c>
      <c r="M295">
        <f>IF(CLIMATE_API[[#This Row],[Alternative_Data_Approval_Status]]="Approved",CLIMATE_API[[#This Row],[Eto_inches_Alternative]],CLIMATE_API[[#This Row],[Eto_inches]])</f>
        <v>65.290000000000006</v>
      </c>
    </row>
    <row r="296" spans="1:13" x14ac:dyDescent="0.25">
      <c r="A296" t="s">
        <v>2069</v>
      </c>
      <c r="B296" t="s">
        <v>3719</v>
      </c>
      <c r="C296">
        <v>56.7</v>
      </c>
      <c r="D296">
        <v>20.62</v>
      </c>
      <c r="E296">
        <v>5.16</v>
      </c>
      <c r="F296" t="s">
        <v>1859</v>
      </c>
      <c r="J296" s="9">
        <v>45108</v>
      </c>
      <c r="K296" s="9">
        <v>45473</v>
      </c>
      <c r="L296">
        <f>IF(CLIMATE_API[[#This Row],[Alternative_Data_Approval_Status]]="Approved",CLIMATE_API[[#This Row],[Effective_Precipitation_inches_Alternative]],CLIMATE_API[[#This Row],[Effective_Precipitation_inches]])</f>
        <v>5.16</v>
      </c>
      <c r="M296">
        <f>IF(CLIMATE_API[[#This Row],[Alternative_Data_Approval_Status]]="Approved",CLIMATE_API[[#This Row],[Eto_inches_Alternative]],CLIMATE_API[[#This Row],[Eto_inches]])</f>
        <v>56.7</v>
      </c>
    </row>
    <row r="297" spans="1:13" x14ac:dyDescent="0.25">
      <c r="A297" t="s">
        <v>2073</v>
      </c>
      <c r="B297" t="s">
        <v>2074</v>
      </c>
      <c r="C297">
        <v>50.33</v>
      </c>
      <c r="D297">
        <v>23.89</v>
      </c>
      <c r="E297">
        <v>5.97</v>
      </c>
      <c r="F297" t="s">
        <v>1859</v>
      </c>
      <c r="J297" s="9">
        <v>45108</v>
      </c>
      <c r="K297" s="9">
        <v>45473</v>
      </c>
      <c r="L297">
        <f>IF(CLIMATE_API[[#This Row],[Alternative_Data_Approval_Status]]="Approved",CLIMATE_API[[#This Row],[Effective_Precipitation_inches_Alternative]],CLIMATE_API[[#This Row],[Effective_Precipitation_inches]])</f>
        <v>5.97</v>
      </c>
      <c r="M297">
        <f>IF(CLIMATE_API[[#This Row],[Alternative_Data_Approval_Status]]="Approved",CLIMATE_API[[#This Row],[Eto_inches_Alternative]],CLIMATE_API[[#This Row],[Eto_inches]])</f>
        <v>50.33</v>
      </c>
    </row>
    <row r="298" spans="1:13" x14ac:dyDescent="0.25">
      <c r="A298" t="s">
        <v>2077</v>
      </c>
      <c r="B298" t="s">
        <v>2078</v>
      </c>
      <c r="C298">
        <v>58.45</v>
      </c>
      <c r="D298">
        <v>17.48</v>
      </c>
      <c r="E298">
        <v>4.37</v>
      </c>
      <c r="F298" t="s">
        <v>1859</v>
      </c>
      <c r="J298" s="9">
        <v>45108</v>
      </c>
      <c r="K298" s="9">
        <v>45473</v>
      </c>
      <c r="L298">
        <f>IF(CLIMATE_API[[#This Row],[Alternative_Data_Approval_Status]]="Approved",CLIMATE_API[[#This Row],[Effective_Precipitation_inches_Alternative]],CLIMATE_API[[#This Row],[Effective_Precipitation_inches]])</f>
        <v>4.37</v>
      </c>
      <c r="M298">
        <f>IF(CLIMATE_API[[#This Row],[Alternative_Data_Approval_Status]]="Approved",CLIMATE_API[[#This Row],[Eto_inches_Alternative]],CLIMATE_API[[#This Row],[Eto_inches]])</f>
        <v>58.45</v>
      </c>
    </row>
    <row r="299" spans="1:13" x14ac:dyDescent="0.25">
      <c r="A299" t="s">
        <v>2081</v>
      </c>
      <c r="B299" t="s">
        <v>2082</v>
      </c>
      <c r="C299">
        <v>52.01</v>
      </c>
      <c r="D299">
        <v>31.35</v>
      </c>
      <c r="E299">
        <v>7.28</v>
      </c>
      <c r="F299" t="s">
        <v>1859</v>
      </c>
      <c r="J299" s="9">
        <v>45108</v>
      </c>
      <c r="K299" s="9">
        <v>45473</v>
      </c>
      <c r="L299">
        <f>IF(CLIMATE_API[[#This Row],[Alternative_Data_Approval_Status]]="Approved",CLIMATE_API[[#This Row],[Effective_Precipitation_inches_Alternative]],CLIMATE_API[[#This Row],[Effective_Precipitation_inches]])</f>
        <v>7.28</v>
      </c>
      <c r="M299">
        <f>IF(CLIMATE_API[[#This Row],[Alternative_Data_Approval_Status]]="Approved",CLIMATE_API[[#This Row],[Eto_inches_Alternative]],CLIMATE_API[[#This Row],[Eto_inches]])</f>
        <v>52.01</v>
      </c>
    </row>
    <row r="300" spans="1:13" x14ac:dyDescent="0.25">
      <c r="A300" t="s">
        <v>2085</v>
      </c>
      <c r="B300" t="s">
        <v>2086</v>
      </c>
      <c r="J300" s="9">
        <v>45108</v>
      </c>
      <c r="K300" s="9">
        <v>45473</v>
      </c>
      <c r="L300">
        <f>IF(CLIMATE_API[[#This Row],[Alternative_Data_Approval_Status]]="Approved",CLIMATE_API[[#This Row],[Effective_Precipitation_inches_Alternative]],CLIMATE_API[[#This Row],[Effective_Precipitation_inches]])</f>
        <v>0</v>
      </c>
      <c r="M300">
        <f>IF(CLIMATE_API[[#This Row],[Alternative_Data_Approval_Status]]="Approved",CLIMATE_API[[#This Row],[Eto_inches_Alternative]],CLIMATE_API[[#This Row],[Eto_inches]])</f>
        <v>0</v>
      </c>
    </row>
    <row r="301" spans="1:13" x14ac:dyDescent="0.25">
      <c r="A301" t="s">
        <v>2089</v>
      </c>
      <c r="B301" t="s">
        <v>3720</v>
      </c>
      <c r="C301">
        <v>56.8</v>
      </c>
      <c r="D301">
        <v>17.93</v>
      </c>
      <c r="E301">
        <v>4.4800000000000004</v>
      </c>
      <c r="F301" t="s">
        <v>1859</v>
      </c>
      <c r="J301" s="9">
        <v>45108</v>
      </c>
      <c r="K301" s="9">
        <v>45473</v>
      </c>
      <c r="L301">
        <f>IF(CLIMATE_API[[#This Row],[Alternative_Data_Approval_Status]]="Approved",CLIMATE_API[[#This Row],[Effective_Precipitation_inches_Alternative]],CLIMATE_API[[#This Row],[Effective_Precipitation_inches]])</f>
        <v>4.4800000000000004</v>
      </c>
      <c r="M301">
        <f>IF(CLIMATE_API[[#This Row],[Alternative_Data_Approval_Status]]="Approved",CLIMATE_API[[#This Row],[Eto_inches_Alternative]],CLIMATE_API[[#This Row],[Eto_inches]])</f>
        <v>56.8</v>
      </c>
    </row>
    <row r="302" spans="1:13" x14ac:dyDescent="0.25">
      <c r="A302" t="s">
        <v>2093</v>
      </c>
      <c r="B302" t="s">
        <v>2094</v>
      </c>
      <c r="C302">
        <v>56.7</v>
      </c>
      <c r="D302">
        <v>18.14</v>
      </c>
      <c r="E302">
        <v>4.53</v>
      </c>
      <c r="F302" t="s">
        <v>1859</v>
      </c>
      <c r="J302" s="9">
        <v>45108</v>
      </c>
      <c r="K302" s="9">
        <v>45473</v>
      </c>
      <c r="L302">
        <f>IF(CLIMATE_API[[#This Row],[Alternative_Data_Approval_Status]]="Approved",CLIMATE_API[[#This Row],[Effective_Precipitation_inches_Alternative]],CLIMATE_API[[#This Row],[Effective_Precipitation_inches]])</f>
        <v>4.53</v>
      </c>
      <c r="M302">
        <f>IF(CLIMATE_API[[#This Row],[Alternative_Data_Approval_Status]]="Approved",CLIMATE_API[[#This Row],[Eto_inches_Alternative]],CLIMATE_API[[#This Row],[Eto_inches]])</f>
        <v>56.7</v>
      </c>
    </row>
    <row r="303" spans="1:13" x14ac:dyDescent="0.25">
      <c r="A303" t="s">
        <v>2109</v>
      </c>
      <c r="B303" t="s">
        <v>2110</v>
      </c>
      <c r="C303">
        <v>56.92</v>
      </c>
      <c r="D303">
        <v>19.510000000000002</v>
      </c>
      <c r="E303">
        <v>4.88</v>
      </c>
      <c r="F303" t="s">
        <v>1859</v>
      </c>
      <c r="J303" s="9">
        <v>45108</v>
      </c>
      <c r="K303" s="9">
        <v>45473</v>
      </c>
      <c r="L303">
        <f>IF(CLIMATE_API[[#This Row],[Alternative_Data_Approval_Status]]="Approved",CLIMATE_API[[#This Row],[Effective_Precipitation_inches_Alternative]],CLIMATE_API[[#This Row],[Effective_Precipitation_inches]])</f>
        <v>4.88</v>
      </c>
      <c r="M303">
        <f>IF(CLIMATE_API[[#This Row],[Alternative_Data_Approval_Status]]="Approved",CLIMATE_API[[#This Row],[Eto_inches_Alternative]],CLIMATE_API[[#This Row],[Eto_inches]])</f>
        <v>56.92</v>
      </c>
    </row>
    <row r="304" spans="1:13" x14ac:dyDescent="0.25">
      <c r="A304" t="s">
        <v>2113</v>
      </c>
      <c r="B304" t="s">
        <v>3721</v>
      </c>
      <c r="C304">
        <v>60.03</v>
      </c>
      <c r="D304">
        <v>24.78</v>
      </c>
      <c r="E304">
        <v>6.19</v>
      </c>
      <c r="F304" t="s">
        <v>1859</v>
      </c>
      <c r="J304" s="9">
        <v>45108</v>
      </c>
      <c r="K304" s="9">
        <v>45473</v>
      </c>
      <c r="L304">
        <f>IF(CLIMATE_API[[#This Row],[Alternative_Data_Approval_Status]]="Approved",CLIMATE_API[[#This Row],[Effective_Precipitation_inches_Alternative]],CLIMATE_API[[#This Row],[Effective_Precipitation_inches]])</f>
        <v>6.19</v>
      </c>
      <c r="M304">
        <f>IF(CLIMATE_API[[#This Row],[Alternative_Data_Approval_Status]]="Approved",CLIMATE_API[[#This Row],[Eto_inches_Alternative]],CLIMATE_API[[#This Row],[Eto_inches]])</f>
        <v>60.03</v>
      </c>
    </row>
    <row r="305" spans="1:13" x14ac:dyDescent="0.25">
      <c r="A305" t="s">
        <v>2117</v>
      </c>
      <c r="B305" t="s">
        <v>2118</v>
      </c>
      <c r="C305">
        <v>62.81</v>
      </c>
      <c r="D305">
        <v>10.45</v>
      </c>
      <c r="E305">
        <v>2.61</v>
      </c>
      <c r="F305" t="s">
        <v>1859</v>
      </c>
      <c r="J305" s="9">
        <v>45108</v>
      </c>
      <c r="K305" s="9">
        <v>45473</v>
      </c>
      <c r="L305">
        <f>IF(CLIMATE_API[[#This Row],[Alternative_Data_Approval_Status]]="Approved",CLIMATE_API[[#This Row],[Effective_Precipitation_inches_Alternative]],CLIMATE_API[[#This Row],[Effective_Precipitation_inches]])</f>
        <v>2.61</v>
      </c>
      <c r="M305">
        <f>IF(CLIMATE_API[[#This Row],[Alternative_Data_Approval_Status]]="Approved",CLIMATE_API[[#This Row],[Eto_inches_Alternative]],CLIMATE_API[[#This Row],[Eto_inches]])</f>
        <v>62.81</v>
      </c>
    </row>
    <row r="306" spans="1:13" x14ac:dyDescent="0.25">
      <c r="A306" t="s">
        <v>2121</v>
      </c>
      <c r="B306" t="s">
        <v>3722</v>
      </c>
      <c r="C306">
        <v>38.46</v>
      </c>
      <c r="D306">
        <v>27.15</v>
      </c>
      <c r="E306">
        <v>6.79</v>
      </c>
      <c r="F306" t="s">
        <v>1859</v>
      </c>
      <c r="J306" s="9">
        <v>45108</v>
      </c>
      <c r="K306" s="9">
        <v>45473</v>
      </c>
      <c r="L306">
        <f>IF(CLIMATE_API[[#This Row],[Alternative_Data_Approval_Status]]="Approved",CLIMATE_API[[#This Row],[Effective_Precipitation_inches_Alternative]],CLIMATE_API[[#This Row],[Effective_Precipitation_inches]])</f>
        <v>6.79</v>
      </c>
      <c r="M306">
        <f>IF(CLIMATE_API[[#This Row],[Alternative_Data_Approval_Status]]="Approved",CLIMATE_API[[#This Row],[Eto_inches_Alternative]],CLIMATE_API[[#This Row],[Eto_inches]])</f>
        <v>38.46</v>
      </c>
    </row>
    <row r="307" spans="1:13" x14ac:dyDescent="0.25">
      <c r="A307" t="s">
        <v>2125</v>
      </c>
      <c r="B307" t="s">
        <v>3723</v>
      </c>
      <c r="C307">
        <v>47.06</v>
      </c>
      <c r="D307">
        <v>27.07</v>
      </c>
      <c r="E307">
        <v>6.77</v>
      </c>
      <c r="F307" t="s">
        <v>1859</v>
      </c>
      <c r="J307" s="9">
        <v>45108</v>
      </c>
      <c r="K307" s="9">
        <v>45473</v>
      </c>
      <c r="L307">
        <f>IF(CLIMATE_API[[#This Row],[Alternative_Data_Approval_Status]]="Approved",CLIMATE_API[[#This Row],[Effective_Precipitation_inches_Alternative]],CLIMATE_API[[#This Row],[Effective_Precipitation_inches]])</f>
        <v>6.77</v>
      </c>
      <c r="M307">
        <f>IF(CLIMATE_API[[#This Row],[Alternative_Data_Approval_Status]]="Approved",CLIMATE_API[[#This Row],[Eto_inches_Alternative]],CLIMATE_API[[#This Row],[Eto_inches]])</f>
        <v>47.06</v>
      </c>
    </row>
    <row r="308" spans="1:13" x14ac:dyDescent="0.25">
      <c r="A308" t="s">
        <v>2129</v>
      </c>
      <c r="B308" t="s">
        <v>3724</v>
      </c>
      <c r="C308">
        <v>44.96</v>
      </c>
      <c r="D308">
        <v>20.79</v>
      </c>
      <c r="E308">
        <v>5.2</v>
      </c>
      <c r="F308" t="s">
        <v>1859</v>
      </c>
      <c r="J308" s="9">
        <v>45108</v>
      </c>
      <c r="K308" s="9">
        <v>45473</v>
      </c>
      <c r="L308">
        <f>IF(CLIMATE_API[[#This Row],[Alternative_Data_Approval_Status]]="Approved",CLIMATE_API[[#This Row],[Effective_Precipitation_inches_Alternative]],CLIMATE_API[[#This Row],[Effective_Precipitation_inches]])</f>
        <v>5.2</v>
      </c>
      <c r="M308">
        <f>IF(CLIMATE_API[[#This Row],[Alternative_Data_Approval_Status]]="Approved",CLIMATE_API[[#This Row],[Eto_inches_Alternative]],CLIMATE_API[[#This Row],[Eto_inches]])</f>
        <v>44.96</v>
      </c>
    </row>
    <row r="309" spans="1:13" x14ac:dyDescent="0.25">
      <c r="A309" t="s">
        <v>2133</v>
      </c>
      <c r="B309" t="s">
        <v>3725</v>
      </c>
      <c r="C309">
        <v>48.77</v>
      </c>
      <c r="D309">
        <v>16.73</v>
      </c>
      <c r="E309">
        <v>4.18</v>
      </c>
      <c r="F309" t="s">
        <v>1859</v>
      </c>
      <c r="J309" s="9">
        <v>45108</v>
      </c>
      <c r="K309" s="9">
        <v>45473</v>
      </c>
      <c r="L309">
        <f>IF(CLIMATE_API[[#This Row],[Alternative_Data_Approval_Status]]="Approved",CLIMATE_API[[#This Row],[Effective_Precipitation_inches_Alternative]],CLIMATE_API[[#This Row],[Effective_Precipitation_inches]])</f>
        <v>4.18</v>
      </c>
      <c r="M309">
        <f>IF(CLIMATE_API[[#This Row],[Alternative_Data_Approval_Status]]="Approved",CLIMATE_API[[#This Row],[Eto_inches_Alternative]],CLIMATE_API[[#This Row],[Eto_inches]])</f>
        <v>48.77</v>
      </c>
    </row>
    <row r="310" spans="1:13" x14ac:dyDescent="0.25">
      <c r="A310" t="s">
        <v>2137</v>
      </c>
      <c r="B310" t="s">
        <v>2138</v>
      </c>
      <c r="C310">
        <v>47.4</v>
      </c>
      <c r="D310">
        <v>17.63</v>
      </c>
      <c r="E310">
        <v>4.41</v>
      </c>
      <c r="F310" t="s">
        <v>1859</v>
      </c>
      <c r="J310" s="9">
        <v>45108</v>
      </c>
      <c r="K310" s="9">
        <v>45473</v>
      </c>
      <c r="L310">
        <f>IF(CLIMATE_API[[#This Row],[Alternative_Data_Approval_Status]]="Approved",CLIMATE_API[[#This Row],[Effective_Precipitation_inches_Alternative]],CLIMATE_API[[#This Row],[Effective_Precipitation_inches]])</f>
        <v>4.41</v>
      </c>
      <c r="M310">
        <f>IF(CLIMATE_API[[#This Row],[Alternative_Data_Approval_Status]]="Approved",CLIMATE_API[[#This Row],[Eto_inches_Alternative]],CLIMATE_API[[#This Row],[Eto_inches]])</f>
        <v>47.4</v>
      </c>
    </row>
    <row r="311" spans="1:13" x14ac:dyDescent="0.25">
      <c r="A311" t="s">
        <v>2141</v>
      </c>
      <c r="B311" t="s">
        <v>3726</v>
      </c>
      <c r="C311">
        <v>54.07</v>
      </c>
      <c r="D311">
        <v>26.6</v>
      </c>
      <c r="E311">
        <v>6.65</v>
      </c>
      <c r="F311" t="s">
        <v>1859</v>
      </c>
      <c r="J311" s="9">
        <v>45108</v>
      </c>
      <c r="K311" s="9">
        <v>45473</v>
      </c>
      <c r="L311">
        <f>IF(CLIMATE_API[[#This Row],[Alternative_Data_Approval_Status]]="Approved",CLIMATE_API[[#This Row],[Effective_Precipitation_inches_Alternative]],CLIMATE_API[[#This Row],[Effective_Precipitation_inches]])</f>
        <v>6.65</v>
      </c>
      <c r="M311">
        <f>IF(CLIMATE_API[[#This Row],[Alternative_Data_Approval_Status]]="Approved",CLIMATE_API[[#This Row],[Eto_inches_Alternative]],CLIMATE_API[[#This Row],[Eto_inches]])</f>
        <v>54.07</v>
      </c>
    </row>
    <row r="312" spans="1:13" x14ac:dyDescent="0.25">
      <c r="A312" t="s">
        <v>2145</v>
      </c>
      <c r="B312" t="s">
        <v>3727</v>
      </c>
      <c r="C312">
        <v>39.840000000000003</v>
      </c>
      <c r="D312">
        <v>25.82</v>
      </c>
      <c r="E312">
        <v>6.45</v>
      </c>
      <c r="F312" t="s">
        <v>1859</v>
      </c>
      <c r="J312" s="9">
        <v>45108</v>
      </c>
      <c r="K312" s="9">
        <v>45473</v>
      </c>
      <c r="L312">
        <f>IF(CLIMATE_API[[#This Row],[Alternative_Data_Approval_Status]]="Approved",CLIMATE_API[[#This Row],[Effective_Precipitation_inches_Alternative]],CLIMATE_API[[#This Row],[Effective_Precipitation_inches]])</f>
        <v>6.45</v>
      </c>
      <c r="M312">
        <f>IF(CLIMATE_API[[#This Row],[Alternative_Data_Approval_Status]]="Approved",CLIMATE_API[[#This Row],[Eto_inches_Alternative]],CLIMATE_API[[#This Row],[Eto_inches]])</f>
        <v>39.840000000000003</v>
      </c>
    </row>
    <row r="313" spans="1:13" x14ac:dyDescent="0.25">
      <c r="A313" t="s">
        <v>2154</v>
      </c>
      <c r="B313" t="s">
        <v>3357</v>
      </c>
      <c r="C313">
        <v>51.11</v>
      </c>
      <c r="D313">
        <v>26.75</v>
      </c>
      <c r="E313">
        <v>6.69</v>
      </c>
      <c r="F313" t="s">
        <v>1859</v>
      </c>
      <c r="J313" s="9">
        <v>45108</v>
      </c>
      <c r="K313" s="9">
        <v>45473</v>
      </c>
      <c r="L313">
        <f>IF(CLIMATE_API[[#This Row],[Alternative_Data_Approval_Status]]="Approved",CLIMATE_API[[#This Row],[Effective_Precipitation_inches_Alternative]],CLIMATE_API[[#This Row],[Effective_Precipitation_inches]])</f>
        <v>6.69</v>
      </c>
      <c r="M313">
        <f>IF(CLIMATE_API[[#This Row],[Alternative_Data_Approval_Status]]="Approved",CLIMATE_API[[#This Row],[Eto_inches_Alternative]],CLIMATE_API[[#This Row],[Eto_inches]])</f>
        <v>51.11</v>
      </c>
    </row>
    <row r="314" spans="1:13" x14ac:dyDescent="0.25">
      <c r="A314" t="s">
        <v>2158</v>
      </c>
      <c r="B314" t="s">
        <v>3728</v>
      </c>
      <c r="C314">
        <v>57.88</v>
      </c>
      <c r="D314">
        <v>23.46</v>
      </c>
      <c r="E314">
        <v>5.87</v>
      </c>
      <c r="F314" t="s">
        <v>1859</v>
      </c>
      <c r="J314" s="9">
        <v>45108</v>
      </c>
      <c r="K314" s="9">
        <v>45473</v>
      </c>
      <c r="L314">
        <f>IF(CLIMATE_API[[#This Row],[Alternative_Data_Approval_Status]]="Approved",CLIMATE_API[[#This Row],[Effective_Precipitation_inches_Alternative]],CLIMATE_API[[#This Row],[Effective_Precipitation_inches]])</f>
        <v>5.87</v>
      </c>
      <c r="M314">
        <f>IF(CLIMATE_API[[#This Row],[Alternative_Data_Approval_Status]]="Approved",CLIMATE_API[[#This Row],[Eto_inches_Alternative]],CLIMATE_API[[#This Row],[Eto_inches]])</f>
        <v>57.88</v>
      </c>
    </row>
    <row r="315" spans="1:13" x14ac:dyDescent="0.25">
      <c r="A315" t="s">
        <v>2162</v>
      </c>
      <c r="B315" t="s">
        <v>2163</v>
      </c>
      <c r="C315">
        <v>50.55</v>
      </c>
      <c r="D315">
        <v>24.79</v>
      </c>
      <c r="E315">
        <v>6.2</v>
      </c>
      <c r="F315" t="s">
        <v>1859</v>
      </c>
      <c r="J315" s="9">
        <v>45108</v>
      </c>
      <c r="K315" s="9">
        <v>45473</v>
      </c>
      <c r="L315">
        <f>IF(CLIMATE_API[[#This Row],[Alternative_Data_Approval_Status]]="Approved",CLIMATE_API[[#This Row],[Effective_Precipitation_inches_Alternative]],CLIMATE_API[[#This Row],[Effective_Precipitation_inches]])</f>
        <v>6.2</v>
      </c>
      <c r="M315">
        <f>IF(CLIMATE_API[[#This Row],[Alternative_Data_Approval_Status]]="Approved",CLIMATE_API[[#This Row],[Eto_inches_Alternative]],CLIMATE_API[[#This Row],[Eto_inches]])</f>
        <v>50.55</v>
      </c>
    </row>
    <row r="316" spans="1:13" x14ac:dyDescent="0.25">
      <c r="A316" t="s">
        <v>2168</v>
      </c>
      <c r="B316" t="s">
        <v>3729</v>
      </c>
      <c r="C316">
        <v>62.65</v>
      </c>
      <c r="D316">
        <v>16</v>
      </c>
      <c r="E316">
        <v>4</v>
      </c>
      <c r="F316" t="s">
        <v>1859</v>
      </c>
      <c r="J316" s="9">
        <v>45108</v>
      </c>
      <c r="K316" s="9">
        <v>45473</v>
      </c>
      <c r="L316">
        <f>IF(CLIMATE_API[[#This Row],[Alternative_Data_Approval_Status]]="Approved",CLIMATE_API[[#This Row],[Effective_Precipitation_inches_Alternative]],CLIMATE_API[[#This Row],[Effective_Precipitation_inches]])</f>
        <v>4</v>
      </c>
      <c r="M316">
        <f>IF(CLIMATE_API[[#This Row],[Alternative_Data_Approval_Status]]="Approved",CLIMATE_API[[#This Row],[Eto_inches_Alternative]],CLIMATE_API[[#This Row],[Eto_inches]])</f>
        <v>62.65</v>
      </c>
    </row>
    <row r="317" spans="1:13" x14ac:dyDescent="0.25">
      <c r="A317" t="s">
        <v>2172</v>
      </c>
      <c r="B317" t="s">
        <v>3730</v>
      </c>
      <c r="C317">
        <v>43.76</v>
      </c>
      <c r="D317">
        <v>18</v>
      </c>
      <c r="E317">
        <v>4.5</v>
      </c>
      <c r="F317" t="s">
        <v>1859</v>
      </c>
      <c r="J317" s="9">
        <v>45108</v>
      </c>
      <c r="K317" s="9">
        <v>45473</v>
      </c>
      <c r="L317">
        <f>IF(CLIMATE_API[[#This Row],[Alternative_Data_Approval_Status]]="Approved",CLIMATE_API[[#This Row],[Effective_Precipitation_inches_Alternative]],CLIMATE_API[[#This Row],[Effective_Precipitation_inches]])</f>
        <v>4.5</v>
      </c>
      <c r="M317">
        <f>IF(CLIMATE_API[[#This Row],[Alternative_Data_Approval_Status]]="Approved",CLIMATE_API[[#This Row],[Eto_inches_Alternative]],CLIMATE_API[[#This Row],[Eto_inches]])</f>
        <v>43.76</v>
      </c>
    </row>
    <row r="318" spans="1:13" x14ac:dyDescent="0.25">
      <c r="A318" t="s">
        <v>2178</v>
      </c>
      <c r="B318" t="s">
        <v>2179</v>
      </c>
      <c r="C318">
        <v>40.33</v>
      </c>
      <c r="D318">
        <v>24.05</v>
      </c>
      <c r="E318">
        <v>6.01</v>
      </c>
      <c r="F318" t="s">
        <v>1859</v>
      </c>
      <c r="J318" s="9">
        <v>45108</v>
      </c>
      <c r="K318" s="9">
        <v>45473</v>
      </c>
      <c r="L318">
        <f>IF(CLIMATE_API[[#This Row],[Alternative_Data_Approval_Status]]="Approved",CLIMATE_API[[#This Row],[Effective_Precipitation_inches_Alternative]],CLIMATE_API[[#This Row],[Effective_Precipitation_inches]])</f>
        <v>6.01</v>
      </c>
      <c r="M318">
        <f>IF(CLIMATE_API[[#This Row],[Alternative_Data_Approval_Status]]="Approved",CLIMATE_API[[#This Row],[Eto_inches_Alternative]],CLIMATE_API[[#This Row],[Eto_inches]])</f>
        <v>40.33</v>
      </c>
    </row>
    <row r="319" spans="1:13" x14ac:dyDescent="0.25">
      <c r="A319" t="s">
        <v>2178</v>
      </c>
      <c r="B319" t="s">
        <v>2179</v>
      </c>
      <c r="C319">
        <v>42.62</v>
      </c>
      <c r="D319">
        <v>20.399999999999999</v>
      </c>
      <c r="E319">
        <v>5.0999999999999996</v>
      </c>
      <c r="F319" t="s">
        <v>1859</v>
      </c>
      <c r="J319" s="9">
        <v>45108</v>
      </c>
      <c r="K319" s="9">
        <v>45473</v>
      </c>
      <c r="L319">
        <f>IF(CLIMATE_API[[#This Row],[Alternative_Data_Approval_Status]]="Approved",CLIMATE_API[[#This Row],[Effective_Precipitation_inches_Alternative]],CLIMATE_API[[#This Row],[Effective_Precipitation_inches]])</f>
        <v>5.0999999999999996</v>
      </c>
      <c r="M319">
        <f>IF(CLIMATE_API[[#This Row],[Alternative_Data_Approval_Status]]="Approved",CLIMATE_API[[#This Row],[Eto_inches_Alternative]],CLIMATE_API[[#This Row],[Eto_inches]])</f>
        <v>42.62</v>
      </c>
    </row>
    <row r="320" spans="1:13" x14ac:dyDescent="0.25">
      <c r="A320" t="s">
        <v>2184</v>
      </c>
      <c r="B320" t="s">
        <v>2185</v>
      </c>
      <c r="C320">
        <v>56.51</v>
      </c>
      <c r="D320">
        <v>21.51</v>
      </c>
      <c r="E320">
        <v>5.38</v>
      </c>
      <c r="F320" t="s">
        <v>1859</v>
      </c>
      <c r="J320" s="9">
        <v>45108</v>
      </c>
      <c r="K320" s="9">
        <v>45473</v>
      </c>
      <c r="L320">
        <f>IF(CLIMATE_API[[#This Row],[Alternative_Data_Approval_Status]]="Approved",CLIMATE_API[[#This Row],[Effective_Precipitation_inches_Alternative]],CLIMATE_API[[#This Row],[Effective_Precipitation_inches]])</f>
        <v>5.38</v>
      </c>
      <c r="M320">
        <f>IF(CLIMATE_API[[#This Row],[Alternative_Data_Approval_Status]]="Approved",CLIMATE_API[[#This Row],[Eto_inches_Alternative]],CLIMATE_API[[#This Row],[Eto_inches]])</f>
        <v>56.51</v>
      </c>
    </row>
    <row r="321" spans="1:13" x14ac:dyDescent="0.25">
      <c r="A321" t="s">
        <v>2188</v>
      </c>
      <c r="B321" t="s">
        <v>2189</v>
      </c>
      <c r="C321">
        <v>37</v>
      </c>
      <c r="D321">
        <v>48.5</v>
      </c>
      <c r="E321">
        <v>10.24</v>
      </c>
      <c r="F321" t="s">
        <v>1859</v>
      </c>
      <c r="J321" s="9">
        <v>45108</v>
      </c>
      <c r="K321" s="9">
        <v>45473</v>
      </c>
      <c r="L321">
        <f>IF(CLIMATE_API[[#This Row],[Alternative_Data_Approval_Status]]="Approved",CLIMATE_API[[#This Row],[Effective_Precipitation_inches_Alternative]],CLIMATE_API[[#This Row],[Effective_Precipitation_inches]])</f>
        <v>10.24</v>
      </c>
      <c r="M321">
        <f>IF(CLIMATE_API[[#This Row],[Alternative_Data_Approval_Status]]="Approved",CLIMATE_API[[#This Row],[Eto_inches_Alternative]],CLIMATE_API[[#This Row],[Eto_inches]])</f>
        <v>37</v>
      </c>
    </row>
    <row r="322" spans="1:13" x14ac:dyDescent="0.25">
      <c r="A322" t="s">
        <v>2195</v>
      </c>
      <c r="B322" t="s">
        <v>3731</v>
      </c>
      <c r="C322">
        <v>45.56</v>
      </c>
      <c r="D322">
        <v>23.34</v>
      </c>
      <c r="E322">
        <v>5.83</v>
      </c>
      <c r="F322" t="s">
        <v>1859</v>
      </c>
      <c r="J322" s="9">
        <v>45108</v>
      </c>
      <c r="K322" s="9">
        <v>45473</v>
      </c>
      <c r="L322">
        <f>IF(CLIMATE_API[[#This Row],[Alternative_Data_Approval_Status]]="Approved",CLIMATE_API[[#This Row],[Effective_Precipitation_inches_Alternative]],CLIMATE_API[[#This Row],[Effective_Precipitation_inches]])</f>
        <v>5.83</v>
      </c>
      <c r="M322">
        <f>IF(CLIMATE_API[[#This Row],[Alternative_Data_Approval_Status]]="Approved",CLIMATE_API[[#This Row],[Eto_inches_Alternative]],CLIMATE_API[[#This Row],[Eto_inches]])</f>
        <v>45.56</v>
      </c>
    </row>
    <row r="323" spans="1:13" x14ac:dyDescent="0.25">
      <c r="A323" t="s">
        <v>2199</v>
      </c>
      <c r="B323" t="s">
        <v>3732</v>
      </c>
      <c r="C323">
        <v>55.18</v>
      </c>
      <c r="D323">
        <v>11.56</v>
      </c>
      <c r="E323">
        <v>2.89</v>
      </c>
      <c r="F323" t="s">
        <v>1859</v>
      </c>
      <c r="J323" s="9">
        <v>45108</v>
      </c>
      <c r="K323" s="9">
        <v>45473</v>
      </c>
      <c r="L323">
        <f>IF(CLIMATE_API[[#This Row],[Alternative_Data_Approval_Status]]="Approved",CLIMATE_API[[#This Row],[Effective_Precipitation_inches_Alternative]],CLIMATE_API[[#This Row],[Effective_Precipitation_inches]])</f>
        <v>2.89</v>
      </c>
      <c r="M323">
        <f>IF(CLIMATE_API[[#This Row],[Alternative_Data_Approval_Status]]="Approved",CLIMATE_API[[#This Row],[Eto_inches_Alternative]],CLIMATE_API[[#This Row],[Eto_inches]])</f>
        <v>55.18</v>
      </c>
    </row>
    <row r="324" spans="1:13" x14ac:dyDescent="0.25">
      <c r="A324" t="s">
        <v>2203</v>
      </c>
      <c r="B324" t="s">
        <v>3384</v>
      </c>
      <c r="C324">
        <v>46.3</v>
      </c>
      <c r="D324">
        <v>19.52</v>
      </c>
      <c r="E324">
        <v>4.88</v>
      </c>
      <c r="F324" t="s">
        <v>1859</v>
      </c>
      <c r="J324" s="9">
        <v>45108</v>
      </c>
      <c r="K324" s="9">
        <v>45473</v>
      </c>
      <c r="L324">
        <f>IF(CLIMATE_API[[#This Row],[Alternative_Data_Approval_Status]]="Approved",CLIMATE_API[[#This Row],[Effective_Precipitation_inches_Alternative]],CLIMATE_API[[#This Row],[Effective_Precipitation_inches]])</f>
        <v>4.88</v>
      </c>
      <c r="M324">
        <f>IF(CLIMATE_API[[#This Row],[Alternative_Data_Approval_Status]]="Approved",CLIMATE_API[[#This Row],[Eto_inches_Alternative]],CLIMATE_API[[#This Row],[Eto_inches]])</f>
        <v>46.3</v>
      </c>
    </row>
    <row r="325" spans="1:13" x14ac:dyDescent="0.25">
      <c r="A325" t="s">
        <v>2207</v>
      </c>
      <c r="B325" t="s">
        <v>3733</v>
      </c>
      <c r="C325">
        <v>44.11</v>
      </c>
      <c r="D325">
        <v>32.32</v>
      </c>
      <c r="E325">
        <v>7.73</v>
      </c>
      <c r="F325" t="s">
        <v>1859</v>
      </c>
      <c r="J325" s="9">
        <v>45108</v>
      </c>
      <c r="K325" s="9">
        <v>45473</v>
      </c>
      <c r="L325">
        <f>IF(CLIMATE_API[[#This Row],[Alternative_Data_Approval_Status]]="Approved",CLIMATE_API[[#This Row],[Effective_Precipitation_inches_Alternative]],CLIMATE_API[[#This Row],[Effective_Precipitation_inches]])</f>
        <v>7.73</v>
      </c>
      <c r="M325">
        <f>IF(CLIMATE_API[[#This Row],[Alternative_Data_Approval_Status]]="Approved",CLIMATE_API[[#This Row],[Eto_inches_Alternative]],CLIMATE_API[[#This Row],[Eto_inches]])</f>
        <v>44.11</v>
      </c>
    </row>
    <row r="326" spans="1:13" x14ac:dyDescent="0.25">
      <c r="A326" t="s">
        <v>2211</v>
      </c>
      <c r="B326" t="s">
        <v>3734</v>
      </c>
      <c r="C326">
        <v>42.6</v>
      </c>
      <c r="D326">
        <v>16.670000000000002</v>
      </c>
      <c r="E326">
        <v>4.17</v>
      </c>
      <c r="F326" t="s">
        <v>1859</v>
      </c>
      <c r="J326" s="9">
        <v>45108</v>
      </c>
      <c r="K326" s="9">
        <v>45473</v>
      </c>
      <c r="L326">
        <f>IF(CLIMATE_API[[#This Row],[Alternative_Data_Approval_Status]]="Approved",CLIMATE_API[[#This Row],[Effective_Precipitation_inches_Alternative]],CLIMATE_API[[#This Row],[Effective_Precipitation_inches]])</f>
        <v>4.17</v>
      </c>
      <c r="M326">
        <f>IF(CLIMATE_API[[#This Row],[Alternative_Data_Approval_Status]]="Approved",CLIMATE_API[[#This Row],[Eto_inches_Alternative]],CLIMATE_API[[#This Row],[Eto_inches]])</f>
        <v>42.6</v>
      </c>
    </row>
    <row r="327" spans="1:13" x14ac:dyDescent="0.25">
      <c r="A327" t="s">
        <v>2215</v>
      </c>
      <c r="B327" t="s">
        <v>3735</v>
      </c>
      <c r="C327">
        <v>36.97</v>
      </c>
      <c r="D327">
        <v>37.03</v>
      </c>
      <c r="E327">
        <v>9.26</v>
      </c>
      <c r="F327" t="s">
        <v>1859</v>
      </c>
      <c r="J327" s="9">
        <v>45108</v>
      </c>
      <c r="K327" s="9">
        <v>45473</v>
      </c>
      <c r="L327">
        <f>IF(CLIMATE_API[[#This Row],[Alternative_Data_Approval_Status]]="Approved",CLIMATE_API[[#This Row],[Effective_Precipitation_inches_Alternative]],CLIMATE_API[[#This Row],[Effective_Precipitation_inches]])</f>
        <v>9.26</v>
      </c>
      <c r="M327">
        <f>IF(CLIMATE_API[[#This Row],[Alternative_Data_Approval_Status]]="Approved",CLIMATE_API[[#This Row],[Eto_inches_Alternative]],CLIMATE_API[[#This Row],[Eto_inches]])</f>
        <v>36.97</v>
      </c>
    </row>
    <row r="328" spans="1:13" x14ac:dyDescent="0.25">
      <c r="A328" t="s">
        <v>2219</v>
      </c>
      <c r="B328" t="s">
        <v>2220</v>
      </c>
      <c r="C328">
        <v>48.73</v>
      </c>
      <c r="D328">
        <v>17.059999999999999</v>
      </c>
      <c r="E328">
        <v>4.2699999999999996</v>
      </c>
      <c r="F328" t="s">
        <v>1859</v>
      </c>
      <c r="J328" s="9">
        <v>45108</v>
      </c>
      <c r="K328" s="9">
        <v>45473</v>
      </c>
      <c r="L328">
        <f>IF(CLIMATE_API[[#This Row],[Alternative_Data_Approval_Status]]="Approved",CLIMATE_API[[#This Row],[Effective_Precipitation_inches_Alternative]],CLIMATE_API[[#This Row],[Effective_Precipitation_inches]])</f>
        <v>4.2699999999999996</v>
      </c>
      <c r="M328">
        <f>IF(CLIMATE_API[[#This Row],[Alternative_Data_Approval_Status]]="Approved",CLIMATE_API[[#This Row],[Eto_inches_Alternative]],CLIMATE_API[[#This Row],[Eto_inches]])</f>
        <v>48.73</v>
      </c>
    </row>
    <row r="329" spans="1:13" x14ac:dyDescent="0.25">
      <c r="A329" t="s">
        <v>2223</v>
      </c>
      <c r="B329" t="s">
        <v>3736</v>
      </c>
      <c r="C329">
        <v>48.1</v>
      </c>
      <c r="D329">
        <v>23.22</v>
      </c>
      <c r="E329">
        <v>5.81</v>
      </c>
      <c r="F329" t="s">
        <v>1859</v>
      </c>
      <c r="J329" s="9">
        <v>45108</v>
      </c>
      <c r="K329" s="9">
        <v>45473</v>
      </c>
      <c r="L329">
        <f>IF(CLIMATE_API[[#This Row],[Alternative_Data_Approval_Status]]="Approved",CLIMATE_API[[#This Row],[Effective_Precipitation_inches_Alternative]],CLIMATE_API[[#This Row],[Effective_Precipitation_inches]])</f>
        <v>5.81</v>
      </c>
      <c r="M329">
        <f>IF(CLIMATE_API[[#This Row],[Alternative_Data_Approval_Status]]="Approved",CLIMATE_API[[#This Row],[Eto_inches_Alternative]],CLIMATE_API[[#This Row],[Eto_inches]])</f>
        <v>48.1</v>
      </c>
    </row>
    <row r="330" spans="1:13" x14ac:dyDescent="0.25">
      <c r="A330" t="s">
        <v>2227</v>
      </c>
      <c r="B330" t="s">
        <v>2228</v>
      </c>
      <c r="C330">
        <v>47.38</v>
      </c>
      <c r="D330">
        <v>22.48</v>
      </c>
      <c r="E330">
        <v>5.62</v>
      </c>
      <c r="F330" t="s">
        <v>1859</v>
      </c>
      <c r="J330" s="9">
        <v>45108</v>
      </c>
      <c r="K330" s="9">
        <v>45473</v>
      </c>
      <c r="L330">
        <f>IF(CLIMATE_API[[#This Row],[Alternative_Data_Approval_Status]]="Approved",CLIMATE_API[[#This Row],[Effective_Precipitation_inches_Alternative]],CLIMATE_API[[#This Row],[Effective_Precipitation_inches]])</f>
        <v>5.62</v>
      </c>
      <c r="M330">
        <f>IF(CLIMATE_API[[#This Row],[Alternative_Data_Approval_Status]]="Approved",CLIMATE_API[[#This Row],[Eto_inches_Alternative]],CLIMATE_API[[#This Row],[Eto_inches]])</f>
        <v>47.38</v>
      </c>
    </row>
    <row r="331" spans="1:13" x14ac:dyDescent="0.25">
      <c r="A331" t="s">
        <v>2227</v>
      </c>
      <c r="B331" t="s">
        <v>2228</v>
      </c>
      <c r="C331">
        <v>45.26</v>
      </c>
      <c r="D331">
        <v>21.13</v>
      </c>
      <c r="E331">
        <v>5.28</v>
      </c>
      <c r="F331" t="s">
        <v>1859</v>
      </c>
      <c r="J331" s="9">
        <v>45108</v>
      </c>
      <c r="K331" s="9">
        <v>45473</v>
      </c>
      <c r="L331">
        <f>IF(CLIMATE_API[[#This Row],[Alternative_Data_Approval_Status]]="Approved",CLIMATE_API[[#This Row],[Effective_Precipitation_inches_Alternative]],CLIMATE_API[[#This Row],[Effective_Precipitation_inches]])</f>
        <v>5.28</v>
      </c>
      <c r="M331">
        <f>IF(CLIMATE_API[[#This Row],[Alternative_Data_Approval_Status]]="Approved",CLIMATE_API[[#This Row],[Eto_inches_Alternative]],CLIMATE_API[[#This Row],[Eto_inches]])</f>
        <v>45.26</v>
      </c>
    </row>
    <row r="332" spans="1:13" x14ac:dyDescent="0.25">
      <c r="A332" t="s">
        <v>2233</v>
      </c>
      <c r="B332" t="s">
        <v>3737</v>
      </c>
      <c r="C332">
        <v>44.16</v>
      </c>
      <c r="D332">
        <v>21.4</v>
      </c>
      <c r="E332">
        <v>5.35</v>
      </c>
      <c r="F332" t="s">
        <v>1859</v>
      </c>
      <c r="J332" s="9">
        <v>45108</v>
      </c>
      <c r="K332" s="9">
        <v>45473</v>
      </c>
      <c r="L332">
        <f>IF(CLIMATE_API[[#This Row],[Alternative_Data_Approval_Status]]="Approved",CLIMATE_API[[#This Row],[Effective_Precipitation_inches_Alternative]],CLIMATE_API[[#This Row],[Effective_Precipitation_inches]])</f>
        <v>5.35</v>
      </c>
      <c r="M332">
        <f>IF(CLIMATE_API[[#This Row],[Alternative_Data_Approval_Status]]="Approved",CLIMATE_API[[#This Row],[Eto_inches_Alternative]],CLIMATE_API[[#This Row],[Eto_inches]])</f>
        <v>44.16</v>
      </c>
    </row>
    <row r="333" spans="1:13" x14ac:dyDescent="0.25">
      <c r="A333" t="s">
        <v>2237</v>
      </c>
      <c r="B333" t="s">
        <v>3738</v>
      </c>
      <c r="C333">
        <v>47.04</v>
      </c>
      <c r="D333">
        <v>27.17</v>
      </c>
      <c r="E333">
        <v>6.79</v>
      </c>
      <c r="F333" t="s">
        <v>1859</v>
      </c>
      <c r="J333" s="9">
        <v>45108</v>
      </c>
      <c r="K333" s="9">
        <v>45473</v>
      </c>
      <c r="L333">
        <f>IF(CLIMATE_API[[#This Row],[Alternative_Data_Approval_Status]]="Approved",CLIMATE_API[[#This Row],[Effective_Precipitation_inches_Alternative]],CLIMATE_API[[#This Row],[Effective_Precipitation_inches]])</f>
        <v>6.79</v>
      </c>
      <c r="M333">
        <f>IF(CLIMATE_API[[#This Row],[Alternative_Data_Approval_Status]]="Approved",CLIMATE_API[[#This Row],[Eto_inches_Alternative]],CLIMATE_API[[#This Row],[Eto_inches]])</f>
        <v>47.04</v>
      </c>
    </row>
    <row r="334" spans="1:13" x14ac:dyDescent="0.25">
      <c r="A334" t="s">
        <v>2241</v>
      </c>
      <c r="B334" t="s">
        <v>3739</v>
      </c>
      <c r="C334">
        <v>50.15</v>
      </c>
      <c r="D334">
        <v>28.86</v>
      </c>
      <c r="E334">
        <v>7.21</v>
      </c>
      <c r="F334" t="s">
        <v>1859</v>
      </c>
      <c r="J334" s="9">
        <v>45108</v>
      </c>
      <c r="K334" s="9">
        <v>45473</v>
      </c>
      <c r="L334">
        <f>IF(CLIMATE_API[[#This Row],[Alternative_Data_Approval_Status]]="Approved",CLIMATE_API[[#This Row],[Effective_Precipitation_inches_Alternative]],CLIMATE_API[[#This Row],[Effective_Precipitation_inches]])</f>
        <v>7.21</v>
      </c>
      <c r="M334">
        <f>IF(CLIMATE_API[[#This Row],[Alternative_Data_Approval_Status]]="Approved",CLIMATE_API[[#This Row],[Eto_inches_Alternative]],CLIMATE_API[[#This Row],[Eto_inches]])</f>
        <v>50.15</v>
      </c>
    </row>
    <row r="335" spans="1:13" x14ac:dyDescent="0.25">
      <c r="A335" t="s">
        <v>2245</v>
      </c>
      <c r="B335" t="s">
        <v>3740</v>
      </c>
      <c r="C335">
        <v>44.86</v>
      </c>
      <c r="D335">
        <v>35.32</v>
      </c>
      <c r="E335">
        <v>8.83</v>
      </c>
      <c r="F335" t="s">
        <v>1859</v>
      </c>
      <c r="J335" s="9">
        <v>45108</v>
      </c>
      <c r="K335" s="9">
        <v>45473</v>
      </c>
      <c r="L335">
        <f>IF(CLIMATE_API[[#This Row],[Alternative_Data_Approval_Status]]="Approved",CLIMATE_API[[#This Row],[Effective_Precipitation_inches_Alternative]],CLIMATE_API[[#This Row],[Effective_Precipitation_inches]])</f>
        <v>8.83</v>
      </c>
      <c r="M335">
        <f>IF(CLIMATE_API[[#This Row],[Alternative_Data_Approval_Status]]="Approved",CLIMATE_API[[#This Row],[Eto_inches_Alternative]],CLIMATE_API[[#This Row],[Eto_inches]])</f>
        <v>44.86</v>
      </c>
    </row>
    <row r="336" spans="1:13" x14ac:dyDescent="0.25">
      <c r="A336" t="s">
        <v>2249</v>
      </c>
      <c r="B336" t="s">
        <v>3741</v>
      </c>
      <c r="C336">
        <v>38.03</v>
      </c>
      <c r="D336">
        <v>45.28</v>
      </c>
      <c r="E336">
        <v>9.61</v>
      </c>
      <c r="F336" t="s">
        <v>1859</v>
      </c>
      <c r="J336" s="9">
        <v>45108</v>
      </c>
      <c r="K336" s="9">
        <v>45473</v>
      </c>
      <c r="L336">
        <f>IF(CLIMATE_API[[#This Row],[Alternative_Data_Approval_Status]]="Approved",CLIMATE_API[[#This Row],[Effective_Precipitation_inches_Alternative]],CLIMATE_API[[#This Row],[Effective_Precipitation_inches]])</f>
        <v>9.61</v>
      </c>
      <c r="M336">
        <f>IF(CLIMATE_API[[#This Row],[Alternative_Data_Approval_Status]]="Approved",CLIMATE_API[[#This Row],[Eto_inches_Alternative]],CLIMATE_API[[#This Row],[Eto_inches]])</f>
        <v>38.03</v>
      </c>
    </row>
    <row r="337" spans="1:13" x14ac:dyDescent="0.25">
      <c r="A337" t="s">
        <v>2253</v>
      </c>
      <c r="B337" t="s">
        <v>3742</v>
      </c>
      <c r="C337">
        <v>44.34</v>
      </c>
      <c r="D337">
        <v>20.190000000000001</v>
      </c>
      <c r="E337">
        <v>5.05</v>
      </c>
      <c r="F337" t="s">
        <v>1859</v>
      </c>
      <c r="J337" s="9">
        <v>45108</v>
      </c>
      <c r="K337" s="9">
        <v>45473</v>
      </c>
      <c r="L337">
        <f>IF(CLIMATE_API[[#This Row],[Alternative_Data_Approval_Status]]="Approved",CLIMATE_API[[#This Row],[Effective_Precipitation_inches_Alternative]],CLIMATE_API[[#This Row],[Effective_Precipitation_inches]])</f>
        <v>5.05</v>
      </c>
      <c r="M337">
        <f>IF(CLIMATE_API[[#This Row],[Alternative_Data_Approval_Status]]="Approved",CLIMATE_API[[#This Row],[Eto_inches_Alternative]],CLIMATE_API[[#This Row],[Eto_inches]])</f>
        <v>44.34</v>
      </c>
    </row>
    <row r="338" spans="1:13" x14ac:dyDescent="0.25">
      <c r="A338" t="s">
        <v>2257</v>
      </c>
      <c r="B338" t="s">
        <v>3743</v>
      </c>
      <c r="C338">
        <v>60.55</v>
      </c>
      <c r="D338">
        <v>9.09</v>
      </c>
      <c r="E338">
        <v>2.27</v>
      </c>
      <c r="F338" t="s">
        <v>1859</v>
      </c>
      <c r="J338" s="9">
        <v>45108</v>
      </c>
      <c r="K338" s="9">
        <v>45473</v>
      </c>
      <c r="L338">
        <f>IF(CLIMATE_API[[#This Row],[Alternative_Data_Approval_Status]]="Approved",CLIMATE_API[[#This Row],[Effective_Precipitation_inches_Alternative]],CLIMATE_API[[#This Row],[Effective_Precipitation_inches]])</f>
        <v>2.27</v>
      </c>
      <c r="M338">
        <f>IF(CLIMATE_API[[#This Row],[Alternative_Data_Approval_Status]]="Approved",CLIMATE_API[[#This Row],[Eto_inches_Alternative]],CLIMATE_API[[#This Row],[Eto_inches]])</f>
        <v>60.55</v>
      </c>
    </row>
    <row r="339" spans="1:13" x14ac:dyDescent="0.25">
      <c r="A339" t="s">
        <v>2261</v>
      </c>
      <c r="B339" t="s">
        <v>3744</v>
      </c>
      <c r="C339">
        <v>51.16</v>
      </c>
      <c r="D339">
        <v>59.27</v>
      </c>
      <c r="E339">
        <v>11.42</v>
      </c>
      <c r="F339" t="s">
        <v>1859</v>
      </c>
      <c r="J339" s="9">
        <v>45108</v>
      </c>
      <c r="K339" s="9">
        <v>45473</v>
      </c>
      <c r="L339">
        <f>IF(CLIMATE_API[[#This Row],[Alternative_Data_Approval_Status]]="Approved",CLIMATE_API[[#This Row],[Effective_Precipitation_inches_Alternative]],CLIMATE_API[[#This Row],[Effective_Precipitation_inches]])</f>
        <v>11.42</v>
      </c>
      <c r="M339">
        <f>IF(CLIMATE_API[[#This Row],[Alternative_Data_Approval_Status]]="Approved",CLIMATE_API[[#This Row],[Eto_inches_Alternative]],CLIMATE_API[[#This Row],[Eto_inches]])</f>
        <v>51.16</v>
      </c>
    </row>
    <row r="340" spans="1:13" x14ac:dyDescent="0.25">
      <c r="A340" t="s">
        <v>2265</v>
      </c>
      <c r="B340" t="s">
        <v>3745</v>
      </c>
      <c r="C340">
        <v>51.71</v>
      </c>
      <c r="D340">
        <v>32.380000000000003</v>
      </c>
      <c r="E340">
        <v>8.0299999999999994</v>
      </c>
      <c r="F340" t="s">
        <v>1859</v>
      </c>
      <c r="J340" s="9">
        <v>45108</v>
      </c>
      <c r="K340" s="9">
        <v>45473</v>
      </c>
      <c r="L340">
        <f>IF(CLIMATE_API[[#This Row],[Alternative_Data_Approval_Status]]="Approved",CLIMATE_API[[#This Row],[Effective_Precipitation_inches_Alternative]],CLIMATE_API[[#This Row],[Effective_Precipitation_inches]])</f>
        <v>8.0299999999999994</v>
      </c>
      <c r="M340">
        <f>IF(CLIMATE_API[[#This Row],[Alternative_Data_Approval_Status]]="Approved",CLIMATE_API[[#This Row],[Eto_inches_Alternative]],CLIMATE_API[[#This Row],[Eto_inches]])</f>
        <v>51.71</v>
      </c>
    </row>
    <row r="341" spans="1:13" x14ac:dyDescent="0.25">
      <c r="A341" t="s">
        <v>2269</v>
      </c>
      <c r="B341" t="s">
        <v>2270</v>
      </c>
      <c r="J341" s="9">
        <v>45108</v>
      </c>
      <c r="K341" s="9">
        <v>45473</v>
      </c>
      <c r="L341">
        <f>IF(CLIMATE_API[[#This Row],[Alternative_Data_Approval_Status]]="Approved",CLIMATE_API[[#This Row],[Effective_Precipitation_inches_Alternative]],CLIMATE_API[[#This Row],[Effective_Precipitation_inches]])</f>
        <v>0</v>
      </c>
      <c r="M341">
        <f>IF(CLIMATE_API[[#This Row],[Alternative_Data_Approval_Status]]="Approved",CLIMATE_API[[#This Row],[Eto_inches_Alternative]],CLIMATE_API[[#This Row],[Eto_inches]])</f>
        <v>0</v>
      </c>
    </row>
    <row r="342" spans="1:13" x14ac:dyDescent="0.25">
      <c r="A342" t="s">
        <v>2273</v>
      </c>
      <c r="B342" t="s">
        <v>3746</v>
      </c>
      <c r="C342">
        <v>51.32</v>
      </c>
      <c r="D342">
        <v>13.98</v>
      </c>
      <c r="E342">
        <v>3.49</v>
      </c>
      <c r="F342" t="s">
        <v>1859</v>
      </c>
      <c r="J342" s="9">
        <v>45108</v>
      </c>
      <c r="K342" s="9">
        <v>45473</v>
      </c>
      <c r="L342">
        <f>IF(CLIMATE_API[[#This Row],[Alternative_Data_Approval_Status]]="Approved",CLIMATE_API[[#This Row],[Effective_Precipitation_inches_Alternative]],CLIMATE_API[[#This Row],[Effective_Precipitation_inches]])</f>
        <v>3.49</v>
      </c>
      <c r="M342">
        <f>IF(CLIMATE_API[[#This Row],[Alternative_Data_Approval_Status]]="Approved",CLIMATE_API[[#This Row],[Eto_inches_Alternative]],CLIMATE_API[[#This Row],[Eto_inches]])</f>
        <v>51.32</v>
      </c>
    </row>
    <row r="343" spans="1:13" x14ac:dyDescent="0.25">
      <c r="A343" t="s">
        <v>2277</v>
      </c>
      <c r="B343" t="s">
        <v>3747</v>
      </c>
      <c r="C343">
        <v>46.21</v>
      </c>
      <c r="D343">
        <v>28.24</v>
      </c>
      <c r="E343">
        <v>7.06</v>
      </c>
      <c r="F343" t="s">
        <v>1859</v>
      </c>
      <c r="J343" s="9">
        <v>45108</v>
      </c>
      <c r="K343" s="9">
        <v>45473</v>
      </c>
      <c r="L343">
        <f>IF(CLIMATE_API[[#This Row],[Alternative_Data_Approval_Status]]="Approved",CLIMATE_API[[#This Row],[Effective_Precipitation_inches_Alternative]],CLIMATE_API[[#This Row],[Effective_Precipitation_inches]])</f>
        <v>7.06</v>
      </c>
      <c r="M343">
        <f>IF(CLIMATE_API[[#This Row],[Alternative_Data_Approval_Status]]="Approved",CLIMATE_API[[#This Row],[Eto_inches_Alternative]],CLIMATE_API[[#This Row],[Eto_inches]])</f>
        <v>46.21</v>
      </c>
    </row>
    <row r="344" spans="1:13" x14ac:dyDescent="0.25">
      <c r="A344" t="s">
        <v>2281</v>
      </c>
      <c r="B344" t="s">
        <v>3748</v>
      </c>
      <c r="C344">
        <v>38.94</v>
      </c>
      <c r="D344">
        <v>32.17</v>
      </c>
      <c r="E344">
        <v>8.0399999999999991</v>
      </c>
      <c r="F344" t="s">
        <v>1859</v>
      </c>
      <c r="J344" s="9">
        <v>45108</v>
      </c>
      <c r="K344" s="9">
        <v>45473</v>
      </c>
      <c r="L344">
        <f>IF(CLIMATE_API[[#This Row],[Alternative_Data_Approval_Status]]="Approved",CLIMATE_API[[#This Row],[Effective_Precipitation_inches_Alternative]],CLIMATE_API[[#This Row],[Effective_Precipitation_inches]])</f>
        <v>8.0399999999999991</v>
      </c>
      <c r="M344">
        <f>IF(CLIMATE_API[[#This Row],[Alternative_Data_Approval_Status]]="Approved",CLIMATE_API[[#This Row],[Eto_inches_Alternative]],CLIMATE_API[[#This Row],[Eto_inches]])</f>
        <v>38.94</v>
      </c>
    </row>
    <row r="345" spans="1:13" x14ac:dyDescent="0.25">
      <c r="A345" t="s">
        <v>2285</v>
      </c>
      <c r="B345" t="s">
        <v>2286</v>
      </c>
      <c r="C345">
        <v>44.16</v>
      </c>
      <c r="D345">
        <v>20.73</v>
      </c>
      <c r="E345">
        <v>5.18</v>
      </c>
      <c r="F345" t="s">
        <v>1859</v>
      </c>
      <c r="J345" s="9">
        <v>45108</v>
      </c>
      <c r="K345" s="9">
        <v>45473</v>
      </c>
      <c r="L345">
        <f>IF(CLIMATE_API[[#This Row],[Alternative_Data_Approval_Status]]="Approved",CLIMATE_API[[#This Row],[Effective_Precipitation_inches_Alternative]],CLIMATE_API[[#This Row],[Effective_Precipitation_inches]])</f>
        <v>5.18</v>
      </c>
      <c r="M345">
        <f>IF(CLIMATE_API[[#This Row],[Alternative_Data_Approval_Status]]="Approved",CLIMATE_API[[#This Row],[Eto_inches_Alternative]],CLIMATE_API[[#This Row],[Eto_inches]])</f>
        <v>44.16</v>
      </c>
    </row>
    <row r="346" spans="1:13" x14ac:dyDescent="0.25">
      <c r="A346" t="s">
        <v>2289</v>
      </c>
      <c r="B346" t="s">
        <v>2290</v>
      </c>
      <c r="C346">
        <v>52.45</v>
      </c>
      <c r="D346">
        <v>30.1</v>
      </c>
      <c r="E346">
        <v>7.53</v>
      </c>
      <c r="F346" t="s">
        <v>1859</v>
      </c>
      <c r="J346" s="9">
        <v>45108</v>
      </c>
      <c r="K346" s="9">
        <v>45473</v>
      </c>
      <c r="L346">
        <f>IF(CLIMATE_API[[#This Row],[Alternative_Data_Approval_Status]]="Approved",CLIMATE_API[[#This Row],[Effective_Precipitation_inches_Alternative]],CLIMATE_API[[#This Row],[Effective_Precipitation_inches]])</f>
        <v>7.53</v>
      </c>
      <c r="M346">
        <f>IF(CLIMATE_API[[#This Row],[Alternative_Data_Approval_Status]]="Approved",CLIMATE_API[[#This Row],[Eto_inches_Alternative]],CLIMATE_API[[#This Row],[Eto_inches]])</f>
        <v>52.45</v>
      </c>
    </row>
    <row r="347" spans="1:13" x14ac:dyDescent="0.25">
      <c r="A347" t="s">
        <v>2295</v>
      </c>
      <c r="B347" t="s">
        <v>3749</v>
      </c>
      <c r="C347">
        <v>47.25</v>
      </c>
      <c r="D347">
        <v>24.24</v>
      </c>
      <c r="E347">
        <v>6.06</v>
      </c>
      <c r="F347" t="s">
        <v>1859</v>
      </c>
      <c r="J347" s="9">
        <v>45108</v>
      </c>
      <c r="K347" s="9">
        <v>45473</v>
      </c>
      <c r="L347">
        <f>IF(CLIMATE_API[[#This Row],[Alternative_Data_Approval_Status]]="Approved",CLIMATE_API[[#This Row],[Effective_Precipitation_inches_Alternative]],CLIMATE_API[[#This Row],[Effective_Precipitation_inches]])</f>
        <v>6.06</v>
      </c>
      <c r="M347">
        <f>IF(CLIMATE_API[[#This Row],[Alternative_Data_Approval_Status]]="Approved",CLIMATE_API[[#This Row],[Eto_inches_Alternative]],CLIMATE_API[[#This Row],[Eto_inches]])</f>
        <v>47.25</v>
      </c>
    </row>
    <row r="348" spans="1:13" x14ac:dyDescent="0.25">
      <c r="A348" t="s">
        <v>2299</v>
      </c>
      <c r="B348" t="s">
        <v>3750</v>
      </c>
      <c r="C348">
        <v>50.63</v>
      </c>
      <c r="D348">
        <v>28.08</v>
      </c>
      <c r="E348">
        <v>7.02</v>
      </c>
      <c r="F348" t="s">
        <v>1859</v>
      </c>
      <c r="J348" s="9">
        <v>45108</v>
      </c>
      <c r="K348" s="9">
        <v>45473</v>
      </c>
      <c r="L348">
        <f>IF(CLIMATE_API[[#This Row],[Alternative_Data_Approval_Status]]="Approved",CLIMATE_API[[#This Row],[Effective_Precipitation_inches_Alternative]],CLIMATE_API[[#This Row],[Effective_Precipitation_inches]])</f>
        <v>7.02</v>
      </c>
      <c r="M348">
        <f>IF(CLIMATE_API[[#This Row],[Alternative_Data_Approval_Status]]="Approved",CLIMATE_API[[#This Row],[Eto_inches_Alternative]],CLIMATE_API[[#This Row],[Eto_inches]])</f>
        <v>50.63</v>
      </c>
    </row>
    <row r="349" spans="1:13" x14ac:dyDescent="0.25">
      <c r="A349" t="s">
        <v>2303</v>
      </c>
      <c r="B349" t="s">
        <v>2304</v>
      </c>
      <c r="C349">
        <v>51.46</v>
      </c>
      <c r="D349">
        <v>29.89</v>
      </c>
      <c r="E349">
        <v>7.47</v>
      </c>
      <c r="F349" t="s">
        <v>1859</v>
      </c>
      <c r="J349" s="9">
        <v>45108</v>
      </c>
      <c r="K349" s="9">
        <v>45473</v>
      </c>
      <c r="L349">
        <f>IF(CLIMATE_API[[#This Row],[Alternative_Data_Approval_Status]]="Approved",CLIMATE_API[[#This Row],[Effective_Precipitation_inches_Alternative]],CLIMATE_API[[#This Row],[Effective_Precipitation_inches]])</f>
        <v>7.47</v>
      </c>
      <c r="M349">
        <f>IF(CLIMATE_API[[#This Row],[Alternative_Data_Approval_Status]]="Approved",CLIMATE_API[[#This Row],[Eto_inches_Alternative]],CLIMATE_API[[#This Row],[Eto_inches]])</f>
        <v>51.46</v>
      </c>
    </row>
    <row r="350" spans="1:13" x14ac:dyDescent="0.25">
      <c r="A350" t="s">
        <v>2307</v>
      </c>
      <c r="B350" t="s">
        <v>3751</v>
      </c>
      <c r="C350">
        <v>54.44</v>
      </c>
      <c r="D350">
        <v>15.48</v>
      </c>
      <c r="E350">
        <v>3.87</v>
      </c>
      <c r="F350" t="s">
        <v>1859</v>
      </c>
      <c r="J350" s="9">
        <v>45108</v>
      </c>
      <c r="K350" s="9">
        <v>45473</v>
      </c>
      <c r="L350">
        <f>IF(CLIMATE_API[[#This Row],[Alternative_Data_Approval_Status]]="Approved",CLIMATE_API[[#This Row],[Effective_Precipitation_inches_Alternative]],CLIMATE_API[[#This Row],[Effective_Precipitation_inches]])</f>
        <v>3.87</v>
      </c>
      <c r="M350">
        <f>IF(CLIMATE_API[[#This Row],[Alternative_Data_Approval_Status]]="Approved",CLIMATE_API[[#This Row],[Eto_inches_Alternative]],CLIMATE_API[[#This Row],[Eto_inches]])</f>
        <v>54.44</v>
      </c>
    </row>
    <row r="351" spans="1:13" x14ac:dyDescent="0.25">
      <c r="A351" t="s">
        <v>2313</v>
      </c>
      <c r="B351" t="s">
        <v>3446</v>
      </c>
      <c r="C351">
        <v>51.68</v>
      </c>
      <c r="D351">
        <v>24.71</v>
      </c>
      <c r="E351">
        <v>6.18</v>
      </c>
      <c r="F351" t="s">
        <v>1859</v>
      </c>
      <c r="J351" s="9">
        <v>45108</v>
      </c>
      <c r="K351" s="9">
        <v>45473</v>
      </c>
      <c r="L351">
        <f>IF(CLIMATE_API[[#This Row],[Alternative_Data_Approval_Status]]="Approved",CLIMATE_API[[#This Row],[Effective_Precipitation_inches_Alternative]],CLIMATE_API[[#This Row],[Effective_Precipitation_inches]])</f>
        <v>6.18</v>
      </c>
      <c r="M351">
        <f>IF(CLIMATE_API[[#This Row],[Alternative_Data_Approval_Status]]="Approved",CLIMATE_API[[#This Row],[Eto_inches_Alternative]],CLIMATE_API[[#This Row],[Eto_inches]])</f>
        <v>51.68</v>
      </c>
    </row>
    <row r="352" spans="1:13" x14ac:dyDescent="0.25">
      <c r="A352" t="s">
        <v>2321</v>
      </c>
      <c r="B352" t="s">
        <v>3752</v>
      </c>
      <c r="C352">
        <v>48.41</v>
      </c>
      <c r="D352">
        <v>22.7</v>
      </c>
      <c r="E352">
        <v>5.67</v>
      </c>
      <c r="F352" t="s">
        <v>1859</v>
      </c>
      <c r="J352" s="9">
        <v>45108</v>
      </c>
      <c r="K352" s="9">
        <v>45473</v>
      </c>
      <c r="L352">
        <f>IF(CLIMATE_API[[#This Row],[Alternative_Data_Approval_Status]]="Approved",CLIMATE_API[[#This Row],[Effective_Precipitation_inches_Alternative]],CLIMATE_API[[#This Row],[Effective_Precipitation_inches]])</f>
        <v>5.67</v>
      </c>
      <c r="M352">
        <f>IF(CLIMATE_API[[#This Row],[Alternative_Data_Approval_Status]]="Approved",CLIMATE_API[[#This Row],[Eto_inches_Alternative]],CLIMATE_API[[#This Row],[Eto_inches]])</f>
        <v>48.41</v>
      </c>
    </row>
    <row r="353" spans="1:13" x14ac:dyDescent="0.25">
      <c r="A353" t="s">
        <v>2327</v>
      </c>
      <c r="B353" t="s">
        <v>2328</v>
      </c>
      <c r="C353">
        <v>51.7</v>
      </c>
      <c r="D353">
        <v>19.54</v>
      </c>
      <c r="E353">
        <v>4.8899999999999997</v>
      </c>
      <c r="F353" t="s">
        <v>1859</v>
      </c>
      <c r="J353" s="9">
        <v>45108</v>
      </c>
      <c r="K353" s="9">
        <v>45473</v>
      </c>
      <c r="L353">
        <f>IF(CLIMATE_API[[#This Row],[Alternative_Data_Approval_Status]]="Approved",CLIMATE_API[[#This Row],[Effective_Precipitation_inches_Alternative]],CLIMATE_API[[#This Row],[Effective_Precipitation_inches]])</f>
        <v>4.8899999999999997</v>
      </c>
      <c r="M353">
        <f>IF(CLIMATE_API[[#This Row],[Alternative_Data_Approval_Status]]="Approved",CLIMATE_API[[#This Row],[Eto_inches_Alternative]],CLIMATE_API[[#This Row],[Eto_inches]])</f>
        <v>51.7</v>
      </c>
    </row>
    <row r="354" spans="1:13" x14ac:dyDescent="0.25">
      <c r="A354" t="s">
        <v>2331</v>
      </c>
      <c r="B354" t="s">
        <v>2332</v>
      </c>
      <c r="C354">
        <v>51.61</v>
      </c>
      <c r="D354">
        <v>26.86</v>
      </c>
      <c r="E354">
        <v>6.72</v>
      </c>
      <c r="F354" t="s">
        <v>1859</v>
      </c>
      <c r="J354" s="9">
        <v>45108</v>
      </c>
      <c r="K354" s="9">
        <v>45473</v>
      </c>
      <c r="L354">
        <f>IF(CLIMATE_API[[#This Row],[Alternative_Data_Approval_Status]]="Approved",CLIMATE_API[[#This Row],[Effective_Precipitation_inches_Alternative]],CLIMATE_API[[#This Row],[Effective_Precipitation_inches]])</f>
        <v>6.72</v>
      </c>
      <c r="M354">
        <f>IF(CLIMATE_API[[#This Row],[Alternative_Data_Approval_Status]]="Approved",CLIMATE_API[[#This Row],[Eto_inches_Alternative]],CLIMATE_API[[#This Row],[Eto_inches]])</f>
        <v>51.61</v>
      </c>
    </row>
    <row r="355" spans="1:13" x14ac:dyDescent="0.25">
      <c r="A355" t="s">
        <v>2335</v>
      </c>
      <c r="B355" t="s">
        <v>3455</v>
      </c>
      <c r="C355">
        <v>50.16</v>
      </c>
      <c r="D355">
        <v>17.12</v>
      </c>
      <c r="E355">
        <v>4.28</v>
      </c>
      <c r="F355" t="s">
        <v>1859</v>
      </c>
      <c r="J355" s="9">
        <v>45108</v>
      </c>
      <c r="K355" s="9">
        <v>45473</v>
      </c>
      <c r="L355">
        <f>IF(CLIMATE_API[[#This Row],[Alternative_Data_Approval_Status]]="Approved",CLIMATE_API[[#This Row],[Effective_Precipitation_inches_Alternative]],CLIMATE_API[[#This Row],[Effective_Precipitation_inches]])</f>
        <v>4.28</v>
      </c>
      <c r="M355">
        <f>IF(CLIMATE_API[[#This Row],[Alternative_Data_Approval_Status]]="Approved",CLIMATE_API[[#This Row],[Eto_inches_Alternative]],CLIMATE_API[[#This Row],[Eto_inches]])</f>
        <v>50.16</v>
      </c>
    </row>
    <row r="356" spans="1:13" x14ac:dyDescent="0.25">
      <c r="A356" t="s">
        <v>2339</v>
      </c>
      <c r="B356" t="s">
        <v>3753</v>
      </c>
      <c r="C356">
        <v>41.82</v>
      </c>
      <c r="D356">
        <v>17.100000000000001</v>
      </c>
      <c r="E356">
        <v>4.2699999999999996</v>
      </c>
      <c r="F356" t="s">
        <v>1859</v>
      </c>
      <c r="J356" s="9">
        <v>45108</v>
      </c>
      <c r="K356" s="9">
        <v>45473</v>
      </c>
      <c r="L356">
        <f>IF(CLIMATE_API[[#This Row],[Alternative_Data_Approval_Status]]="Approved",CLIMATE_API[[#This Row],[Effective_Precipitation_inches_Alternative]],CLIMATE_API[[#This Row],[Effective_Precipitation_inches]])</f>
        <v>4.2699999999999996</v>
      </c>
      <c r="M356">
        <f>IF(CLIMATE_API[[#This Row],[Alternative_Data_Approval_Status]]="Approved",CLIMATE_API[[#This Row],[Eto_inches_Alternative]],CLIMATE_API[[#This Row],[Eto_inches]])</f>
        <v>41.82</v>
      </c>
    </row>
    <row r="357" spans="1:13" x14ac:dyDescent="0.25">
      <c r="A357" t="s">
        <v>2343</v>
      </c>
      <c r="B357" t="s">
        <v>3754</v>
      </c>
      <c r="C357">
        <v>44.62</v>
      </c>
      <c r="D357">
        <v>17.36</v>
      </c>
      <c r="E357">
        <v>4.34</v>
      </c>
      <c r="F357" t="s">
        <v>1859</v>
      </c>
      <c r="J357" s="9">
        <v>45108</v>
      </c>
      <c r="K357" s="9">
        <v>45473</v>
      </c>
      <c r="L357">
        <f>IF(CLIMATE_API[[#This Row],[Alternative_Data_Approval_Status]]="Approved",CLIMATE_API[[#This Row],[Effective_Precipitation_inches_Alternative]],CLIMATE_API[[#This Row],[Effective_Precipitation_inches]])</f>
        <v>4.34</v>
      </c>
      <c r="M357">
        <f>IF(CLIMATE_API[[#This Row],[Alternative_Data_Approval_Status]]="Approved",CLIMATE_API[[#This Row],[Eto_inches_Alternative]],CLIMATE_API[[#This Row],[Eto_inches]])</f>
        <v>44.62</v>
      </c>
    </row>
    <row r="358" spans="1:13" x14ac:dyDescent="0.25">
      <c r="A358" t="s">
        <v>2348</v>
      </c>
      <c r="B358" t="s">
        <v>2349</v>
      </c>
      <c r="C358">
        <v>48.08</v>
      </c>
      <c r="D358">
        <v>13.9</v>
      </c>
      <c r="E358">
        <v>3.48</v>
      </c>
      <c r="F358" t="s">
        <v>1859</v>
      </c>
      <c r="J358" s="9">
        <v>45108</v>
      </c>
      <c r="K358" s="9">
        <v>45473</v>
      </c>
      <c r="L358">
        <f>IF(CLIMATE_API[[#This Row],[Alternative_Data_Approval_Status]]="Approved",CLIMATE_API[[#This Row],[Effective_Precipitation_inches_Alternative]],CLIMATE_API[[#This Row],[Effective_Precipitation_inches]])</f>
        <v>3.48</v>
      </c>
      <c r="M358">
        <f>IF(CLIMATE_API[[#This Row],[Alternative_Data_Approval_Status]]="Approved",CLIMATE_API[[#This Row],[Eto_inches_Alternative]],CLIMATE_API[[#This Row],[Eto_inches]])</f>
        <v>48.08</v>
      </c>
    </row>
    <row r="359" spans="1:13" x14ac:dyDescent="0.25">
      <c r="A359" t="s">
        <v>2352</v>
      </c>
      <c r="B359" t="s">
        <v>2353</v>
      </c>
      <c r="J359" s="9">
        <v>45108</v>
      </c>
      <c r="K359" s="9">
        <v>45473</v>
      </c>
      <c r="L359">
        <f>IF(CLIMATE_API[[#This Row],[Alternative_Data_Approval_Status]]="Approved",CLIMATE_API[[#This Row],[Effective_Precipitation_inches_Alternative]],CLIMATE_API[[#This Row],[Effective_Precipitation_inches]])</f>
        <v>0</v>
      </c>
      <c r="M359">
        <f>IF(CLIMATE_API[[#This Row],[Alternative_Data_Approval_Status]]="Approved",CLIMATE_API[[#This Row],[Eto_inches_Alternative]],CLIMATE_API[[#This Row],[Eto_inches]])</f>
        <v>0</v>
      </c>
    </row>
    <row r="360" spans="1:13" x14ac:dyDescent="0.25">
      <c r="A360" t="s">
        <v>2358</v>
      </c>
      <c r="B360" t="s">
        <v>2359</v>
      </c>
      <c r="J360" s="9">
        <v>45108</v>
      </c>
      <c r="K360" s="9">
        <v>45473</v>
      </c>
      <c r="L360">
        <f>IF(CLIMATE_API[[#This Row],[Alternative_Data_Approval_Status]]="Approved",CLIMATE_API[[#This Row],[Effective_Precipitation_inches_Alternative]],CLIMATE_API[[#This Row],[Effective_Precipitation_inches]])</f>
        <v>0</v>
      </c>
      <c r="M360">
        <f>IF(CLIMATE_API[[#This Row],[Alternative_Data_Approval_Status]]="Approved",CLIMATE_API[[#This Row],[Eto_inches_Alternative]],CLIMATE_API[[#This Row],[Eto_inches]])</f>
        <v>0</v>
      </c>
    </row>
    <row r="361" spans="1:13" x14ac:dyDescent="0.25">
      <c r="A361" t="s">
        <v>2374</v>
      </c>
      <c r="B361" t="s">
        <v>3755</v>
      </c>
      <c r="C361">
        <v>63.59</v>
      </c>
      <c r="D361">
        <v>15.92</v>
      </c>
      <c r="E361">
        <v>3.98</v>
      </c>
      <c r="F361" t="s">
        <v>1859</v>
      </c>
      <c r="J361" s="9">
        <v>45108</v>
      </c>
      <c r="K361" s="9">
        <v>45473</v>
      </c>
      <c r="L361">
        <f>IF(CLIMATE_API[[#This Row],[Alternative_Data_Approval_Status]]="Approved",CLIMATE_API[[#This Row],[Effective_Precipitation_inches_Alternative]],CLIMATE_API[[#This Row],[Effective_Precipitation_inches]])</f>
        <v>3.98</v>
      </c>
      <c r="M361">
        <f>IF(CLIMATE_API[[#This Row],[Alternative_Data_Approval_Status]]="Approved",CLIMATE_API[[#This Row],[Eto_inches_Alternative]],CLIMATE_API[[#This Row],[Eto_inches]])</f>
        <v>63.59</v>
      </c>
    </row>
    <row r="362" spans="1:13" x14ac:dyDescent="0.25">
      <c r="A362" t="s">
        <v>2378</v>
      </c>
      <c r="B362" t="s">
        <v>2379</v>
      </c>
      <c r="J362" s="9">
        <v>45108</v>
      </c>
      <c r="K362" s="9">
        <v>45473</v>
      </c>
      <c r="L362">
        <f>IF(CLIMATE_API[[#This Row],[Alternative_Data_Approval_Status]]="Approved",CLIMATE_API[[#This Row],[Effective_Precipitation_inches_Alternative]],CLIMATE_API[[#This Row],[Effective_Precipitation_inches]])</f>
        <v>0</v>
      </c>
      <c r="M362">
        <f>IF(CLIMATE_API[[#This Row],[Alternative_Data_Approval_Status]]="Approved",CLIMATE_API[[#This Row],[Eto_inches_Alternative]],CLIMATE_API[[#This Row],[Eto_inches]])</f>
        <v>0</v>
      </c>
    </row>
    <row r="363" spans="1:13" x14ac:dyDescent="0.25">
      <c r="A363" t="s">
        <v>2382</v>
      </c>
      <c r="B363" t="s">
        <v>3756</v>
      </c>
      <c r="C363">
        <v>48.87</v>
      </c>
      <c r="D363">
        <v>26.16</v>
      </c>
      <c r="E363">
        <v>6.54</v>
      </c>
      <c r="F363" t="s">
        <v>1859</v>
      </c>
      <c r="J363" s="9">
        <v>45108</v>
      </c>
      <c r="K363" s="9">
        <v>45473</v>
      </c>
      <c r="L363">
        <f>IF(CLIMATE_API[[#This Row],[Alternative_Data_Approval_Status]]="Approved",CLIMATE_API[[#This Row],[Effective_Precipitation_inches_Alternative]],CLIMATE_API[[#This Row],[Effective_Precipitation_inches]])</f>
        <v>6.54</v>
      </c>
      <c r="M363">
        <f>IF(CLIMATE_API[[#This Row],[Alternative_Data_Approval_Status]]="Approved",CLIMATE_API[[#This Row],[Eto_inches_Alternative]],CLIMATE_API[[#This Row],[Eto_inches]])</f>
        <v>48.87</v>
      </c>
    </row>
    <row r="364" spans="1:13" x14ac:dyDescent="0.25">
      <c r="A364" t="s">
        <v>2386</v>
      </c>
      <c r="B364" t="s">
        <v>3757</v>
      </c>
      <c r="C364">
        <v>43.39</v>
      </c>
      <c r="D364">
        <v>23.68</v>
      </c>
      <c r="E364">
        <v>5.92</v>
      </c>
      <c r="F364" t="s">
        <v>1859</v>
      </c>
      <c r="J364" s="9">
        <v>45108</v>
      </c>
      <c r="K364" s="9">
        <v>45473</v>
      </c>
      <c r="L364">
        <f>IF(CLIMATE_API[[#This Row],[Alternative_Data_Approval_Status]]="Approved",CLIMATE_API[[#This Row],[Effective_Precipitation_inches_Alternative]],CLIMATE_API[[#This Row],[Effective_Precipitation_inches]])</f>
        <v>5.92</v>
      </c>
      <c r="M364">
        <f>IF(CLIMATE_API[[#This Row],[Alternative_Data_Approval_Status]]="Approved",CLIMATE_API[[#This Row],[Eto_inches_Alternative]],CLIMATE_API[[#This Row],[Eto_inches]])</f>
        <v>43.39</v>
      </c>
    </row>
    <row r="365" spans="1:13" x14ac:dyDescent="0.25">
      <c r="A365" t="s">
        <v>2390</v>
      </c>
      <c r="B365" t="s">
        <v>2391</v>
      </c>
      <c r="C365">
        <v>48.84</v>
      </c>
      <c r="D365">
        <v>25.56</v>
      </c>
      <c r="E365">
        <v>6.39</v>
      </c>
      <c r="F365" t="s">
        <v>1859</v>
      </c>
      <c r="J365" s="9">
        <v>45108</v>
      </c>
      <c r="K365" s="9">
        <v>45473</v>
      </c>
      <c r="L365">
        <f>IF(CLIMATE_API[[#This Row],[Alternative_Data_Approval_Status]]="Approved",CLIMATE_API[[#This Row],[Effective_Precipitation_inches_Alternative]],CLIMATE_API[[#This Row],[Effective_Precipitation_inches]])</f>
        <v>6.39</v>
      </c>
      <c r="M365">
        <f>IF(CLIMATE_API[[#This Row],[Alternative_Data_Approval_Status]]="Approved",CLIMATE_API[[#This Row],[Eto_inches_Alternative]],CLIMATE_API[[#This Row],[Eto_inches]])</f>
        <v>48.84</v>
      </c>
    </row>
    <row r="366" spans="1:13" x14ac:dyDescent="0.25">
      <c r="A366" t="s">
        <v>2394</v>
      </c>
      <c r="B366" t="s">
        <v>3758</v>
      </c>
      <c r="C366">
        <v>51.71</v>
      </c>
      <c r="D366">
        <v>11.09</v>
      </c>
      <c r="E366">
        <v>2.77</v>
      </c>
      <c r="F366" t="s">
        <v>1859</v>
      </c>
      <c r="J366" s="9">
        <v>45108</v>
      </c>
      <c r="K366" s="9">
        <v>45473</v>
      </c>
      <c r="L366">
        <f>IF(CLIMATE_API[[#This Row],[Alternative_Data_Approval_Status]]="Approved",CLIMATE_API[[#This Row],[Effective_Precipitation_inches_Alternative]],CLIMATE_API[[#This Row],[Effective_Precipitation_inches]])</f>
        <v>2.77</v>
      </c>
      <c r="M366">
        <f>IF(CLIMATE_API[[#This Row],[Alternative_Data_Approval_Status]]="Approved",CLIMATE_API[[#This Row],[Eto_inches_Alternative]],CLIMATE_API[[#This Row],[Eto_inches]])</f>
        <v>51.71</v>
      </c>
    </row>
    <row r="367" spans="1:13" x14ac:dyDescent="0.25">
      <c r="A367" t="s">
        <v>2398</v>
      </c>
      <c r="B367" t="s">
        <v>2399</v>
      </c>
      <c r="C367">
        <v>48.92</v>
      </c>
      <c r="D367">
        <v>29.59</v>
      </c>
      <c r="E367">
        <v>6.83</v>
      </c>
      <c r="F367" t="s">
        <v>1859</v>
      </c>
      <c r="J367" s="9">
        <v>45108</v>
      </c>
      <c r="K367" s="9">
        <v>45473</v>
      </c>
      <c r="L367">
        <f>IF(CLIMATE_API[[#This Row],[Alternative_Data_Approval_Status]]="Approved",CLIMATE_API[[#This Row],[Effective_Precipitation_inches_Alternative]],CLIMATE_API[[#This Row],[Effective_Precipitation_inches]])</f>
        <v>6.83</v>
      </c>
      <c r="M367">
        <f>IF(CLIMATE_API[[#This Row],[Alternative_Data_Approval_Status]]="Approved",CLIMATE_API[[#This Row],[Eto_inches_Alternative]],CLIMATE_API[[#This Row],[Eto_inches]])</f>
        <v>48.92</v>
      </c>
    </row>
    <row r="368" spans="1:13" x14ac:dyDescent="0.25">
      <c r="A368" t="s">
        <v>2402</v>
      </c>
      <c r="B368" t="s">
        <v>2403</v>
      </c>
      <c r="C368">
        <v>50.04</v>
      </c>
      <c r="D368">
        <v>29.78</v>
      </c>
      <c r="E368">
        <v>7.45</v>
      </c>
      <c r="F368" t="s">
        <v>1859</v>
      </c>
      <c r="J368" s="9">
        <v>45108</v>
      </c>
      <c r="K368" s="9">
        <v>45473</v>
      </c>
      <c r="L368">
        <f>IF(CLIMATE_API[[#This Row],[Alternative_Data_Approval_Status]]="Approved",CLIMATE_API[[#This Row],[Effective_Precipitation_inches_Alternative]],CLIMATE_API[[#This Row],[Effective_Precipitation_inches]])</f>
        <v>7.45</v>
      </c>
      <c r="M368">
        <f>IF(CLIMATE_API[[#This Row],[Alternative_Data_Approval_Status]]="Approved",CLIMATE_API[[#This Row],[Eto_inches_Alternative]],CLIMATE_API[[#This Row],[Eto_inches]])</f>
        <v>50.04</v>
      </c>
    </row>
    <row r="369" spans="1:13" x14ac:dyDescent="0.25">
      <c r="A369" t="s">
        <v>2406</v>
      </c>
      <c r="B369" t="s">
        <v>3759</v>
      </c>
      <c r="C369">
        <v>56.74</v>
      </c>
      <c r="D369">
        <v>10.51</v>
      </c>
      <c r="E369">
        <v>2.63</v>
      </c>
      <c r="F369" t="s">
        <v>1859</v>
      </c>
      <c r="J369" s="9">
        <v>45108</v>
      </c>
      <c r="K369" s="9">
        <v>45473</v>
      </c>
      <c r="L369">
        <f>IF(CLIMATE_API[[#This Row],[Alternative_Data_Approval_Status]]="Approved",CLIMATE_API[[#This Row],[Effective_Precipitation_inches_Alternative]],CLIMATE_API[[#This Row],[Effective_Precipitation_inches]])</f>
        <v>2.63</v>
      </c>
      <c r="M369">
        <f>IF(CLIMATE_API[[#This Row],[Alternative_Data_Approval_Status]]="Approved",CLIMATE_API[[#This Row],[Eto_inches_Alternative]],CLIMATE_API[[#This Row],[Eto_inches]])</f>
        <v>56.74</v>
      </c>
    </row>
    <row r="370" spans="1:13" x14ac:dyDescent="0.25">
      <c r="A370" t="s">
        <v>2410</v>
      </c>
      <c r="B370" t="s">
        <v>2411</v>
      </c>
      <c r="C370">
        <v>50.44</v>
      </c>
      <c r="D370">
        <v>33.79</v>
      </c>
      <c r="E370">
        <v>8.4499999999999993</v>
      </c>
      <c r="F370" t="s">
        <v>1859</v>
      </c>
      <c r="J370" s="9">
        <v>45108</v>
      </c>
      <c r="K370" s="9">
        <v>45473</v>
      </c>
      <c r="L370">
        <f>IF(CLIMATE_API[[#This Row],[Alternative_Data_Approval_Status]]="Approved",CLIMATE_API[[#This Row],[Effective_Precipitation_inches_Alternative]],CLIMATE_API[[#This Row],[Effective_Precipitation_inches]])</f>
        <v>8.4499999999999993</v>
      </c>
      <c r="M370">
        <f>IF(CLIMATE_API[[#This Row],[Alternative_Data_Approval_Status]]="Approved",CLIMATE_API[[#This Row],[Eto_inches_Alternative]],CLIMATE_API[[#This Row],[Eto_inches]])</f>
        <v>50.44</v>
      </c>
    </row>
    <row r="371" spans="1:13" x14ac:dyDescent="0.25">
      <c r="A371" t="s">
        <v>2434</v>
      </c>
      <c r="B371" t="s">
        <v>3760</v>
      </c>
      <c r="C371">
        <v>53.66</v>
      </c>
      <c r="D371">
        <v>15.54</v>
      </c>
      <c r="E371">
        <v>3.88</v>
      </c>
      <c r="F371" t="s">
        <v>1859</v>
      </c>
      <c r="J371" s="9">
        <v>45108</v>
      </c>
      <c r="K371" s="9">
        <v>45473</v>
      </c>
      <c r="L371">
        <f>IF(CLIMATE_API[[#This Row],[Alternative_Data_Approval_Status]]="Approved",CLIMATE_API[[#This Row],[Effective_Precipitation_inches_Alternative]],CLIMATE_API[[#This Row],[Effective_Precipitation_inches]])</f>
        <v>3.88</v>
      </c>
      <c r="M371">
        <f>IF(CLIMATE_API[[#This Row],[Alternative_Data_Approval_Status]]="Approved",CLIMATE_API[[#This Row],[Eto_inches_Alternative]],CLIMATE_API[[#This Row],[Eto_inches]])</f>
        <v>53.66</v>
      </c>
    </row>
    <row r="372" spans="1:13" x14ac:dyDescent="0.25">
      <c r="A372" t="s">
        <v>2438</v>
      </c>
      <c r="B372" t="s">
        <v>3761</v>
      </c>
      <c r="C372">
        <v>47.68</v>
      </c>
      <c r="D372">
        <v>20.059999999999999</v>
      </c>
      <c r="E372">
        <v>5.0199999999999996</v>
      </c>
      <c r="F372" t="s">
        <v>1859</v>
      </c>
      <c r="J372" s="9">
        <v>45108</v>
      </c>
      <c r="K372" s="9">
        <v>45473</v>
      </c>
      <c r="L372">
        <f>IF(CLIMATE_API[[#This Row],[Alternative_Data_Approval_Status]]="Approved",CLIMATE_API[[#This Row],[Effective_Precipitation_inches_Alternative]],CLIMATE_API[[#This Row],[Effective_Precipitation_inches]])</f>
        <v>5.0199999999999996</v>
      </c>
      <c r="M372">
        <f>IF(CLIMATE_API[[#This Row],[Alternative_Data_Approval_Status]]="Approved",CLIMATE_API[[#This Row],[Eto_inches_Alternative]],CLIMATE_API[[#This Row],[Eto_inches]])</f>
        <v>47.68</v>
      </c>
    </row>
    <row r="373" spans="1:13" x14ac:dyDescent="0.25">
      <c r="A373" t="s">
        <v>2442</v>
      </c>
      <c r="B373" t="s">
        <v>2443</v>
      </c>
      <c r="C373">
        <v>73.66</v>
      </c>
      <c r="D373">
        <v>6.11</v>
      </c>
      <c r="E373">
        <v>1.53</v>
      </c>
      <c r="F373" t="s">
        <v>1859</v>
      </c>
      <c r="J373" s="9">
        <v>45108</v>
      </c>
      <c r="K373" s="9">
        <v>45473</v>
      </c>
      <c r="L373">
        <f>IF(CLIMATE_API[[#This Row],[Alternative_Data_Approval_Status]]="Approved",CLIMATE_API[[#This Row],[Effective_Precipitation_inches_Alternative]],CLIMATE_API[[#This Row],[Effective_Precipitation_inches]])</f>
        <v>1.53</v>
      </c>
      <c r="M373">
        <f>IF(CLIMATE_API[[#This Row],[Alternative_Data_Approval_Status]]="Approved",CLIMATE_API[[#This Row],[Eto_inches_Alternative]],CLIMATE_API[[#This Row],[Eto_inches]])</f>
        <v>73.66</v>
      </c>
    </row>
    <row r="374" spans="1:13" x14ac:dyDescent="0.25">
      <c r="A374" t="s">
        <v>2446</v>
      </c>
      <c r="B374" t="s">
        <v>3762</v>
      </c>
      <c r="C374">
        <v>47</v>
      </c>
      <c r="D374">
        <v>46.21</v>
      </c>
      <c r="E374">
        <v>10.63</v>
      </c>
      <c r="F374" t="s">
        <v>1859</v>
      </c>
      <c r="J374" s="9">
        <v>45108</v>
      </c>
      <c r="K374" s="9">
        <v>45473</v>
      </c>
      <c r="L374">
        <f>IF(CLIMATE_API[[#This Row],[Alternative_Data_Approval_Status]]="Approved",CLIMATE_API[[#This Row],[Effective_Precipitation_inches_Alternative]],CLIMATE_API[[#This Row],[Effective_Precipitation_inches]])</f>
        <v>10.63</v>
      </c>
      <c r="M374">
        <f>IF(CLIMATE_API[[#This Row],[Alternative_Data_Approval_Status]]="Approved",CLIMATE_API[[#This Row],[Eto_inches_Alternative]],CLIMATE_API[[#This Row],[Eto_inches]])</f>
        <v>47</v>
      </c>
    </row>
    <row r="375" spans="1:13" x14ac:dyDescent="0.25">
      <c r="A375" t="s">
        <v>2451</v>
      </c>
      <c r="B375" t="s">
        <v>3763</v>
      </c>
      <c r="C375">
        <v>55.01</v>
      </c>
      <c r="D375">
        <v>27.52</v>
      </c>
      <c r="E375">
        <v>6.88</v>
      </c>
      <c r="F375" t="s">
        <v>1859</v>
      </c>
      <c r="J375" s="9">
        <v>45108</v>
      </c>
      <c r="K375" s="9">
        <v>45473</v>
      </c>
      <c r="L375">
        <f>IF(CLIMATE_API[[#This Row],[Alternative_Data_Approval_Status]]="Approved",CLIMATE_API[[#This Row],[Effective_Precipitation_inches_Alternative]],CLIMATE_API[[#This Row],[Effective_Precipitation_inches]])</f>
        <v>6.88</v>
      </c>
      <c r="M375">
        <f>IF(CLIMATE_API[[#This Row],[Alternative_Data_Approval_Status]]="Approved",CLIMATE_API[[#This Row],[Eto_inches_Alternative]],CLIMATE_API[[#This Row],[Eto_inches]])</f>
        <v>55.01</v>
      </c>
    </row>
    <row r="376" spans="1:13" x14ac:dyDescent="0.25">
      <c r="A376" t="s">
        <v>2455</v>
      </c>
      <c r="B376" t="s">
        <v>3764</v>
      </c>
      <c r="C376">
        <v>52.84</v>
      </c>
      <c r="D376">
        <v>23.08</v>
      </c>
      <c r="E376">
        <v>5.77</v>
      </c>
      <c r="F376" t="s">
        <v>1859</v>
      </c>
      <c r="J376" s="9">
        <v>45108</v>
      </c>
      <c r="K376" s="9">
        <v>45473</v>
      </c>
      <c r="L376">
        <f>IF(CLIMATE_API[[#This Row],[Alternative_Data_Approval_Status]]="Approved",CLIMATE_API[[#This Row],[Effective_Precipitation_inches_Alternative]],CLIMATE_API[[#This Row],[Effective_Precipitation_inches]])</f>
        <v>5.77</v>
      </c>
      <c r="M376">
        <f>IF(CLIMATE_API[[#This Row],[Alternative_Data_Approval_Status]]="Approved",CLIMATE_API[[#This Row],[Eto_inches_Alternative]],CLIMATE_API[[#This Row],[Eto_inches]])</f>
        <v>52.84</v>
      </c>
    </row>
    <row r="377" spans="1:13" x14ac:dyDescent="0.25">
      <c r="A377" t="s">
        <v>2459</v>
      </c>
      <c r="B377" t="s">
        <v>3765</v>
      </c>
      <c r="C377">
        <v>51.27</v>
      </c>
      <c r="D377">
        <v>19.14</v>
      </c>
      <c r="E377">
        <v>4.79</v>
      </c>
      <c r="F377" t="s">
        <v>1859</v>
      </c>
      <c r="J377" s="9">
        <v>45108</v>
      </c>
      <c r="K377" s="9">
        <v>45473</v>
      </c>
      <c r="L377">
        <f>IF(CLIMATE_API[[#This Row],[Alternative_Data_Approval_Status]]="Approved",CLIMATE_API[[#This Row],[Effective_Precipitation_inches_Alternative]],CLIMATE_API[[#This Row],[Effective_Precipitation_inches]])</f>
        <v>4.79</v>
      </c>
      <c r="M377">
        <f>IF(CLIMATE_API[[#This Row],[Alternative_Data_Approval_Status]]="Approved",CLIMATE_API[[#This Row],[Eto_inches_Alternative]],CLIMATE_API[[#This Row],[Eto_inches]])</f>
        <v>51.27</v>
      </c>
    </row>
    <row r="378" spans="1:13" x14ac:dyDescent="0.25">
      <c r="A378" t="s">
        <v>2463</v>
      </c>
      <c r="B378" t="s">
        <v>3766</v>
      </c>
      <c r="C378">
        <v>47.85</v>
      </c>
      <c r="D378">
        <v>21.55</v>
      </c>
      <c r="E378">
        <v>5.39</v>
      </c>
      <c r="F378" t="s">
        <v>1859</v>
      </c>
      <c r="J378" s="9">
        <v>45108</v>
      </c>
      <c r="K378" s="9">
        <v>45473</v>
      </c>
      <c r="L378">
        <f>IF(CLIMATE_API[[#This Row],[Alternative_Data_Approval_Status]]="Approved",CLIMATE_API[[#This Row],[Effective_Precipitation_inches_Alternative]],CLIMATE_API[[#This Row],[Effective_Precipitation_inches]])</f>
        <v>5.39</v>
      </c>
      <c r="M378">
        <f>IF(CLIMATE_API[[#This Row],[Alternative_Data_Approval_Status]]="Approved",CLIMATE_API[[#This Row],[Eto_inches_Alternative]],CLIMATE_API[[#This Row],[Eto_inches]])</f>
        <v>47.85</v>
      </c>
    </row>
    <row r="379" spans="1:13" x14ac:dyDescent="0.25">
      <c r="A379" t="s">
        <v>2469</v>
      </c>
      <c r="B379" t="s">
        <v>2470</v>
      </c>
      <c r="C379">
        <v>54.85</v>
      </c>
      <c r="D379">
        <v>20.75</v>
      </c>
      <c r="E379">
        <v>5.19</v>
      </c>
      <c r="F379" t="s">
        <v>1859</v>
      </c>
      <c r="J379" s="9">
        <v>45108</v>
      </c>
      <c r="K379" s="9">
        <v>45473</v>
      </c>
      <c r="L379">
        <f>IF(CLIMATE_API[[#This Row],[Alternative_Data_Approval_Status]]="Approved",CLIMATE_API[[#This Row],[Effective_Precipitation_inches_Alternative]],CLIMATE_API[[#This Row],[Effective_Precipitation_inches]])</f>
        <v>5.19</v>
      </c>
      <c r="M379">
        <f>IF(CLIMATE_API[[#This Row],[Alternative_Data_Approval_Status]]="Approved",CLIMATE_API[[#This Row],[Eto_inches_Alternative]],CLIMATE_API[[#This Row],[Eto_inches]])</f>
        <v>54.85</v>
      </c>
    </row>
    <row r="380" spans="1:13" x14ac:dyDescent="0.25">
      <c r="A380" t="s">
        <v>2473</v>
      </c>
      <c r="B380" t="s">
        <v>2474</v>
      </c>
      <c r="C380">
        <v>52.53</v>
      </c>
      <c r="D380">
        <v>25.73</v>
      </c>
      <c r="E380">
        <v>6.43</v>
      </c>
      <c r="F380" t="s">
        <v>1859</v>
      </c>
      <c r="J380" s="9">
        <v>45108</v>
      </c>
      <c r="K380" s="9">
        <v>45473</v>
      </c>
      <c r="L380">
        <f>IF(CLIMATE_API[[#This Row],[Alternative_Data_Approval_Status]]="Approved",CLIMATE_API[[#This Row],[Effective_Precipitation_inches_Alternative]],CLIMATE_API[[#This Row],[Effective_Precipitation_inches]])</f>
        <v>6.43</v>
      </c>
      <c r="M380">
        <f>IF(CLIMATE_API[[#This Row],[Alternative_Data_Approval_Status]]="Approved",CLIMATE_API[[#This Row],[Eto_inches_Alternative]],CLIMATE_API[[#This Row],[Eto_inches]])</f>
        <v>52.53</v>
      </c>
    </row>
    <row r="381" spans="1:13" x14ac:dyDescent="0.25">
      <c r="A381" t="s">
        <v>2477</v>
      </c>
      <c r="B381" t="s">
        <v>2478</v>
      </c>
      <c r="C381">
        <v>45.85</v>
      </c>
      <c r="D381">
        <v>32.909999999999997</v>
      </c>
      <c r="E381">
        <v>8.23</v>
      </c>
      <c r="F381" t="s">
        <v>1859</v>
      </c>
      <c r="J381" s="9">
        <v>45108</v>
      </c>
      <c r="K381" s="9">
        <v>45473</v>
      </c>
      <c r="L381">
        <f>IF(CLIMATE_API[[#This Row],[Alternative_Data_Approval_Status]]="Approved",CLIMATE_API[[#This Row],[Effective_Precipitation_inches_Alternative]],CLIMATE_API[[#This Row],[Effective_Precipitation_inches]])</f>
        <v>8.23</v>
      </c>
      <c r="M381">
        <f>IF(CLIMATE_API[[#This Row],[Alternative_Data_Approval_Status]]="Approved",CLIMATE_API[[#This Row],[Eto_inches_Alternative]],CLIMATE_API[[#This Row],[Eto_inches]])</f>
        <v>45.85</v>
      </c>
    </row>
    <row r="382" spans="1:13" x14ac:dyDescent="0.25">
      <c r="A382" t="s">
        <v>2481</v>
      </c>
      <c r="B382" t="s">
        <v>2482</v>
      </c>
      <c r="C382">
        <v>51.51</v>
      </c>
      <c r="D382">
        <v>28.86</v>
      </c>
      <c r="E382">
        <v>7.22</v>
      </c>
      <c r="F382" t="s">
        <v>1859</v>
      </c>
      <c r="J382" s="9">
        <v>45108</v>
      </c>
      <c r="K382" s="9">
        <v>45473</v>
      </c>
      <c r="L382">
        <f>IF(CLIMATE_API[[#This Row],[Alternative_Data_Approval_Status]]="Approved",CLIMATE_API[[#This Row],[Effective_Precipitation_inches_Alternative]],CLIMATE_API[[#This Row],[Effective_Precipitation_inches]])</f>
        <v>7.22</v>
      </c>
      <c r="M382">
        <f>IF(CLIMATE_API[[#This Row],[Alternative_Data_Approval_Status]]="Approved",CLIMATE_API[[#This Row],[Eto_inches_Alternative]],CLIMATE_API[[#This Row],[Eto_inches]])</f>
        <v>51.51</v>
      </c>
    </row>
    <row r="383" spans="1:13" x14ac:dyDescent="0.25">
      <c r="A383" t="s">
        <v>2485</v>
      </c>
      <c r="B383" t="s">
        <v>2486</v>
      </c>
      <c r="C383">
        <v>61.59</v>
      </c>
      <c r="D383">
        <v>8.85</v>
      </c>
      <c r="E383">
        <v>2.21</v>
      </c>
      <c r="F383" t="s">
        <v>1859</v>
      </c>
      <c r="J383" s="9">
        <v>45108</v>
      </c>
      <c r="K383" s="9">
        <v>45473</v>
      </c>
      <c r="L383">
        <f>IF(CLIMATE_API[[#This Row],[Alternative_Data_Approval_Status]]="Approved",CLIMATE_API[[#This Row],[Effective_Precipitation_inches_Alternative]],CLIMATE_API[[#This Row],[Effective_Precipitation_inches]])</f>
        <v>2.21</v>
      </c>
      <c r="M383">
        <f>IF(CLIMATE_API[[#This Row],[Alternative_Data_Approval_Status]]="Approved",CLIMATE_API[[#This Row],[Eto_inches_Alternative]],CLIMATE_API[[#This Row],[Eto_inches]])</f>
        <v>61.59</v>
      </c>
    </row>
    <row r="384" spans="1:13" x14ac:dyDescent="0.25">
      <c r="A384" t="s">
        <v>2489</v>
      </c>
      <c r="B384" t="s">
        <v>3767</v>
      </c>
      <c r="C384">
        <v>51.37</v>
      </c>
      <c r="D384">
        <v>25.81</v>
      </c>
      <c r="E384">
        <v>6.45</v>
      </c>
      <c r="F384" t="s">
        <v>1859</v>
      </c>
      <c r="J384" s="9">
        <v>45108</v>
      </c>
      <c r="K384" s="9">
        <v>45473</v>
      </c>
      <c r="L384">
        <f>IF(CLIMATE_API[[#This Row],[Alternative_Data_Approval_Status]]="Approved",CLIMATE_API[[#This Row],[Effective_Precipitation_inches_Alternative]],CLIMATE_API[[#This Row],[Effective_Precipitation_inches]])</f>
        <v>6.45</v>
      </c>
      <c r="M384">
        <f>IF(CLIMATE_API[[#This Row],[Alternative_Data_Approval_Status]]="Approved",CLIMATE_API[[#This Row],[Eto_inches_Alternative]],CLIMATE_API[[#This Row],[Eto_inches]])</f>
        <v>51.37</v>
      </c>
    </row>
    <row r="385" spans="1:13" x14ac:dyDescent="0.25">
      <c r="A385" t="s">
        <v>2493</v>
      </c>
      <c r="B385" t="s">
        <v>2494</v>
      </c>
      <c r="C385">
        <v>51.42</v>
      </c>
      <c r="D385">
        <v>26.74</v>
      </c>
      <c r="E385">
        <v>6.68</v>
      </c>
      <c r="F385" t="s">
        <v>1859</v>
      </c>
      <c r="J385" s="9">
        <v>45108</v>
      </c>
      <c r="K385" s="9">
        <v>45473</v>
      </c>
      <c r="L385">
        <f>IF(CLIMATE_API[[#This Row],[Alternative_Data_Approval_Status]]="Approved",CLIMATE_API[[#This Row],[Effective_Precipitation_inches_Alternative]],CLIMATE_API[[#This Row],[Effective_Precipitation_inches]])</f>
        <v>6.68</v>
      </c>
      <c r="M385">
        <f>IF(CLIMATE_API[[#This Row],[Alternative_Data_Approval_Status]]="Approved",CLIMATE_API[[#This Row],[Eto_inches_Alternative]],CLIMATE_API[[#This Row],[Eto_inches]])</f>
        <v>51.42</v>
      </c>
    </row>
    <row r="386" spans="1:13" x14ac:dyDescent="0.25">
      <c r="A386" t="s">
        <v>2497</v>
      </c>
      <c r="B386" t="s">
        <v>3517</v>
      </c>
      <c r="C386">
        <v>48.38</v>
      </c>
      <c r="D386">
        <v>25.34</v>
      </c>
      <c r="E386">
        <v>6.34</v>
      </c>
      <c r="F386" t="s">
        <v>1859</v>
      </c>
      <c r="J386" s="9">
        <v>45108</v>
      </c>
      <c r="K386" s="9">
        <v>45473</v>
      </c>
      <c r="L386">
        <f>IF(CLIMATE_API[[#This Row],[Alternative_Data_Approval_Status]]="Approved",CLIMATE_API[[#This Row],[Effective_Precipitation_inches_Alternative]],CLIMATE_API[[#This Row],[Effective_Precipitation_inches]])</f>
        <v>6.34</v>
      </c>
      <c r="M386">
        <f>IF(CLIMATE_API[[#This Row],[Alternative_Data_Approval_Status]]="Approved",CLIMATE_API[[#This Row],[Eto_inches_Alternative]],CLIMATE_API[[#This Row],[Eto_inches]])</f>
        <v>48.38</v>
      </c>
    </row>
    <row r="387" spans="1:13" x14ac:dyDescent="0.25">
      <c r="A387" t="s">
        <v>2501</v>
      </c>
      <c r="B387" t="s">
        <v>2502</v>
      </c>
      <c r="C387">
        <v>62.5</v>
      </c>
      <c r="D387">
        <v>11</v>
      </c>
      <c r="E387">
        <v>2.75</v>
      </c>
      <c r="F387" t="s">
        <v>1859</v>
      </c>
      <c r="J387" s="9">
        <v>45108</v>
      </c>
      <c r="K387" s="9">
        <v>45473</v>
      </c>
      <c r="L387">
        <f>IF(CLIMATE_API[[#This Row],[Alternative_Data_Approval_Status]]="Approved",CLIMATE_API[[#This Row],[Effective_Precipitation_inches_Alternative]],CLIMATE_API[[#This Row],[Effective_Precipitation_inches]])</f>
        <v>2.75</v>
      </c>
      <c r="M387">
        <f>IF(CLIMATE_API[[#This Row],[Alternative_Data_Approval_Status]]="Approved",CLIMATE_API[[#This Row],[Eto_inches_Alternative]],CLIMATE_API[[#This Row],[Eto_inches]])</f>
        <v>62.5</v>
      </c>
    </row>
    <row r="388" spans="1:13" x14ac:dyDescent="0.25">
      <c r="A388" t="s">
        <v>2505</v>
      </c>
      <c r="B388" t="s">
        <v>2506</v>
      </c>
      <c r="C388">
        <v>56.65</v>
      </c>
      <c r="D388">
        <v>23.21</v>
      </c>
      <c r="E388">
        <v>5.8</v>
      </c>
      <c r="F388" t="s">
        <v>1859</v>
      </c>
      <c r="J388" s="9">
        <v>45108</v>
      </c>
      <c r="K388" s="9">
        <v>45473</v>
      </c>
      <c r="L388">
        <f>IF(CLIMATE_API[[#This Row],[Alternative_Data_Approval_Status]]="Approved",CLIMATE_API[[#This Row],[Effective_Precipitation_inches_Alternative]],CLIMATE_API[[#This Row],[Effective_Precipitation_inches]])</f>
        <v>5.8</v>
      </c>
      <c r="M388">
        <f>IF(CLIMATE_API[[#This Row],[Alternative_Data_Approval_Status]]="Approved",CLIMATE_API[[#This Row],[Eto_inches_Alternative]],CLIMATE_API[[#This Row],[Eto_inches]])</f>
        <v>56.65</v>
      </c>
    </row>
    <row r="389" spans="1:13" x14ac:dyDescent="0.25">
      <c r="A389" t="s">
        <v>2509</v>
      </c>
      <c r="B389" t="s">
        <v>2510</v>
      </c>
      <c r="C389">
        <v>51.82</v>
      </c>
      <c r="D389">
        <v>24.19</v>
      </c>
      <c r="E389">
        <v>6.05</v>
      </c>
      <c r="F389" t="s">
        <v>1859</v>
      </c>
      <c r="J389" s="9">
        <v>45108</v>
      </c>
      <c r="K389" s="9">
        <v>45473</v>
      </c>
      <c r="L389">
        <f>IF(CLIMATE_API[[#This Row],[Alternative_Data_Approval_Status]]="Approved",CLIMATE_API[[#This Row],[Effective_Precipitation_inches_Alternative]],CLIMATE_API[[#This Row],[Effective_Precipitation_inches]])</f>
        <v>6.05</v>
      </c>
      <c r="M389">
        <f>IF(CLIMATE_API[[#This Row],[Alternative_Data_Approval_Status]]="Approved",CLIMATE_API[[#This Row],[Eto_inches_Alternative]],CLIMATE_API[[#This Row],[Eto_inches]])</f>
        <v>51.82</v>
      </c>
    </row>
    <row r="390" spans="1:13" x14ac:dyDescent="0.25">
      <c r="A390" t="s">
        <v>2513</v>
      </c>
      <c r="B390" t="s">
        <v>3768</v>
      </c>
      <c r="C390">
        <v>59.56</v>
      </c>
      <c r="D390">
        <v>9</v>
      </c>
      <c r="E390">
        <v>2.25</v>
      </c>
      <c r="F390" t="s">
        <v>1859</v>
      </c>
      <c r="J390" s="9">
        <v>45108</v>
      </c>
      <c r="K390" s="9">
        <v>45473</v>
      </c>
      <c r="L390">
        <f>IF(CLIMATE_API[[#This Row],[Alternative_Data_Approval_Status]]="Approved",CLIMATE_API[[#This Row],[Effective_Precipitation_inches_Alternative]],CLIMATE_API[[#This Row],[Effective_Precipitation_inches]])</f>
        <v>2.25</v>
      </c>
      <c r="M390">
        <f>IF(CLIMATE_API[[#This Row],[Alternative_Data_Approval_Status]]="Approved",CLIMATE_API[[#This Row],[Eto_inches_Alternative]],CLIMATE_API[[#This Row],[Eto_inches]])</f>
        <v>59.56</v>
      </c>
    </row>
    <row r="391" spans="1:13" x14ac:dyDescent="0.25">
      <c r="A391" t="s">
        <v>2517</v>
      </c>
      <c r="B391" t="s">
        <v>3769</v>
      </c>
      <c r="C391">
        <v>41.45</v>
      </c>
      <c r="D391">
        <v>26.83</v>
      </c>
      <c r="E391">
        <v>6.71</v>
      </c>
      <c r="F391" t="s">
        <v>1859</v>
      </c>
      <c r="J391" s="9">
        <v>45108</v>
      </c>
      <c r="K391" s="9">
        <v>45473</v>
      </c>
      <c r="L391">
        <f>IF(CLIMATE_API[[#This Row],[Alternative_Data_Approval_Status]]="Approved",CLIMATE_API[[#This Row],[Effective_Precipitation_inches_Alternative]],CLIMATE_API[[#This Row],[Effective_Precipitation_inches]])</f>
        <v>6.71</v>
      </c>
      <c r="M391">
        <f>IF(CLIMATE_API[[#This Row],[Alternative_Data_Approval_Status]]="Approved",CLIMATE_API[[#This Row],[Eto_inches_Alternative]],CLIMATE_API[[#This Row],[Eto_inches]])</f>
        <v>41.45</v>
      </c>
    </row>
    <row r="392" spans="1:13" x14ac:dyDescent="0.25">
      <c r="A392" t="s">
        <v>2521</v>
      </c>
      <c r="B392" t="s">
        <v>2522</v>
      </c>
      <c r="C392">
        <v>59.76</v>
      </c>
      <c r="D392">
        <v>9.44</v>
      </c>
      <c r="E392">
        <v>2.36</v>
      </c>
      <c r="F392" t="s">
        <v>1859</v>
      </c>
      <c r="J392" s="9">
        <v>45108</v>
      </c>
      <c r="K392" s="9">
        <v>45473</v>
      </c>
      <c r="L392">
        <f>IF(CLIMATE_API[[#This Row],[Alternative_Data_Approval_Status]]="Approved",CLIMATE_API[[#This Row],[Effective_Precipitation_inches_Alternative]],CLIMATE_API[[#This Row],[Effective_Precipitation_inches]])</f>
        <v>2.36</v>
      </c>
      <c r="M392">
        <f>IF(CLIMATE_API[[#This Row],[Alternative_Data_Approval_Status]]="Approved",CLIMATE_API[[#This Row],[Eto_inches_Alternative]],CLIMATE_API[[#This Row],[Eto_inches]])</f>
        <v>59.76</v>
      </c>
    </row>
    <row r="393" spans="1:13" x14ac:dyDescent="0.25">
      <c r="A393" t="s">
        <v>2525</v>
      </c>
      <c r="B393" t="s">
        <v>3770</v>
      </c>
      <c r="C393">
        <v>56.78</v>
      </c>
      <c r="D393">
        <v>17.489999999999998</v>
      </c>
      <c r="E393">
        <v>4.37</v>
      </c>
      <c r="F393" t="s">
        <v>1859</v>
      </c>
      <c r="J393" s="9">
        <v>45108</v>
      </c>
      <c r="K393" s="9">
        <v>45473</v>
      </c>
      <c r="L393">
        <f>IF(CLIMATE_API[[#This Row],[Alternative_Data_Approval_Status]]="Approved",CLIMATE_API[[#This Row],[Effective_Precipitation_inches_Alternative]],CLIMATE_API[[#This Row],[Effective_Precipitation_inches]])</f>
        <v>4.37</v>
      </c>
      <c r="M393">
        <f>IF(CLIMATE_API[[#This Row],[Alternative_Data_Approval_Status]]="Approved",CLIMATE_API[[#This Row],[Eto_inches_Alternative]],CLIMATE_API[[#This Row],[Eto_inches]])</f>
        <v>56.78</v>
      </c>
    </row>
    <row r="394" spans="1:13" x14ac:dyDescent="0.25">
      <c r="A394" t="s">
        <v>2529</v>
      </c>
      <c r="B394" t="s">
        <v>2530</v>
      </c>
      <c r="C394">
        <v>58.49</v>
      </c>
      <c r="D394">
        <v>25.17</v>
      </c>
      <c r="E394">
        <v>6.29</v>
      </c>
      <c r="F394" t="s">
        <v>1859</v>
      </c>
      <c r="J394" s="9">
        <v>45108</v>
      </c>
      <c r="K394" s="9">
        <v>45473</v>
      </c>
      <c r="L394">
        <f>IF(CLIMATE_API[[#This Row],[Alternative_Data_Approval_Status]]="Approved",CLIMATE_API[[#This Row],[Effective_Precipitation_inches_Alternative]],CLIMATE_API[[#This Row],[Effective_Precipitation_inches]])</f>
        <v>6.29</v>
      </c>
      <c r="M394">
        <f>IF(CLIMATE_API[[#This Row],[Alternative_Data_Approval_Status]]="Approved",CLIMATE_API[[#This Row],[Eto_inches_Alternative]],CLIMATE_API[[#This Row],[Eto_inches]])</f>
        <v>58.49</v>
      </c>
    </row>
    <row r="395" spans="1:13" x14ac:dyDescent="0.25">
      <c r="A395" t="s">
        <v>2533</v>
      </c>
      <c r="B395" t="s">
        <v>2534</v>
      </c>
      <c r="C395">
        <v>37.79</v>
      </c>
      <c r="D395">
        <v>27.6</v>
      </c>
      <c r="E395">
        <v>6.9</v>
      </c>
      <c r="F395" t="s">
        <v>1859</v>
      </c>
      <c r="J395" s="9">
        <v>45108</v>
      </c>
      <c r="K395" s="9">
        <v>45473</v>
      </c>
      <c r="L395">
        <f>IF(CLIMATE_API[[#This Row],[Alternative_Data_Approval_Status]]="Approved",CLIMATE_API[[#This Row],[Effective_Precipitation_inches_Alternative]],CLIMATE_API[[#This Row],[Effective_Precipitation_inches]])</f>
        <v>6.9</v>
      </c>
      <c r="M395">
        <f>IF(CLIMATE_API[[#This Row],[Alternative_Data_Approval_Status]]="Approved",CLIMATE_API[[#This Row],[Eto_inches_Alternative]],CLIMATE_API[[#This Row],[Eto_inches]])</f>
        <v>37.79</v>
      </c>
    </row>
    <row r="396" spans="1:13" x14ac:dyDescent="0.25">
      <c r="A396" t="s">
        <v>2537</v>
      </c>
      <c r="B396" t="s">
        <v>2538</v>
      </c>
      <c r="C396">
        <v>55.52</v>
      </c>
      <c r="D396">
        <v>16.57</v>
      </c>
      <c r="E396">
        <v>4.1399999999999997</v>
      </c>
      <c r="F396" t="s">
        <v>1859</v>
      </c>
      <c r="J396" s="9">
        <v>45108</v>
      </c>
      <c r="K396" s="9">
        <v>45473</v>
      </c>
      <c r="L396">
        <f>IF(CLIMATE_API[[#This Row],[Alternative_Data_Approval_Status]]="Approved",CLIMATE_API[[#This Row],[Effective_Precipitation_inches_Alternative]],CLIMATE_API[[#This Row],[Effective_Precipitation_inches]])</f>
        <v>4.1399999999999997</v>
      </c>
      <c r="M396">
        <f>IF(CLIMATE_API[[#This Row],[Alternative_Data_Approval_Status]]="Approved",CLIMATE_API[[#This Row],[Eto_inches_Alternative]],CLIMATE_API[[#This Row],[Eto_inches]])</f>
        <v>55.52</v>
      </c>
    </row>
    <row r="397" spans="1:13" x14ac:dyDescent="0.25">
      <c r="A397" t="s">
        <v>2545</v>
      </c>
      <c r="B397" t="s">
        <v>3771</v>
      </c>
      <c r="C397">
        <v>45.03</v>
      </c>
      <c r="D397">
        <v>19.64</v>
      </c>
      <c r="E397">
        <v>4.91</v>
      </c>
      <c r="F397" t="s">
        <v>1859</v>
      </c>
      <c r="J397" s="9">
        <v>45108</v>
      </c>
      <c r="K397" s="9">
        <v>45473</v>
      </c>
      <c r="L397">
        <f>IF(CLIMATE_API[[#This Row],[Alternative_Data_Approval_Status]]="Approved",CLIMATE_API[[#This Row],[Effective_Precipitation_inches_Alternative]],CLIMATE_API[[#This Row],[Effective_Precipitation_inches]])</f>
        <v>4.91</v>
      </c>
      <c r="M397">
        <f>IF(CLIMATE_API[[#This Row],[Alternative_Data_Approval_Status]]="Approved",CLIMATE_API[[#This Row],[Eto_inches_Alternative]],CLIMATE_API[[#This Row],[Eto_inches]])</f>
        <v>45.03</v>
      </c>
    </row>
    <row r="398" spans="1:13" x14ac:dyDescent="0.25">
      <c r="A398" t="s">
        <v>2549</v>
      </c>
      <c r="B398" t="s">
        <v>3772</v>
      </c>
      <c r="C398">
        <v>49.19</v>
      </c>
      <c r="D398">
        <v>23.92</v>
      </c>
      <c r="E398">
        <v>5.98</v>
      </c>
      <c r="F398" t="s">
        <v>1859</v>
      </c>
      <c r="J398" s="9">
        <v>45108</v>
      </c>
      <c r="K398" s="9">
        <v>45473</v>
      </c>
      <c r="L398">
        <f>IF(CLIMATE_API[[#This Row],[Alternative_Data_Approval_Status]]="Approved",CLIMATE_API[[#This Row],[Effective_Precipitation_inches_Alternative]],CLIMATE_API[[#This Row],[Effective_Precipitation_inches]])</f>
        <v>5.98</v>
      </c>
      <c r="M398">
        <f>IF(CLIMATE_API[[#This Row],[Alternative_Data_Approval_Status]]="Approved",CLIMATE_API[[#This Row],[Eto_inches_Alternative]],CLIMATE_API[[#This Row],[Eto_inches]])</f>
        <v>49.19</v>
      </c>
    </row>
    <row r="399" spans="1:13" x14ac:dyDescent="0.25">
      <c r="A399" t="s">
        <v>2553</v>
      </c>
      <c r="B399" t="s">
        <v>3773</v>
      </c>
      <c r="C399">
        <v>45.01</v>
      </c>
      <c r="D399">
        <v>39.700000000000003</v>
      </c>
      <c r="E399">
        <v>9.93</v>
      </c>
      <c r="F399" t="s">
        <v>1859</v>
      </c>
      <c r="J399" s="9">
        <v>45108</v>
      </c>
      <c r="K399" s="9">
        <v>45473</v>
      </c>
      <c r="L399">
        <f>IF(CLIMATE_API[[#This Row],[Alternative_Data_Approval_Status]]="Approved",CLIMATE_API[[#This Row],[Effective_Precipitation_inches_Alternative]],CLIMATE_API[[#This Row],[Effective_Precipitation_inches]])</f>
        <v>9.93</v>
      </c>
      <c r="M399">
        <f>IF(CLIMATE_API[[#This Row],[Alternative_Data_Approval_Status]]="Approved",CLIMATE_API[[#This Row],[Eto_inches_Alternative]],CLIMATE_API[[#This Row],[Eto_inches]])</f>
        <v>45.01</v>
      </c>
    </row>
    <row r="400" spans="1:13" x14ac:dyDescent="0.25">
      <c r="A400" t="s">
        <v>2557</v>
      </c>
      <c r="B400" t="s">
        <v>3774</v>
      </c>
      <c r="C400">
        <v>56.07</v>
      </c>
      <c r="D400">
        <v>18.149999999999999</v>
      </c>
      <c r="E400">
        <v>4.54</v>
      </c>
      <c r="F400" t="s">
        <v>1859</v>
      </c>
      <c r="J400" s="9">
        <v>45108</v>
      </c>
      <c r="K400" s="9">
        <v>45473</v>
      </c>
      <c r="L400">
        <f>IF(CLIMATE_API[[#This Row],[Alternative_Data_Approval_Status]]="Approved",CLIMATE_API[[#This Row],[Effective_Precipitation_inches_Alternative]],CLIMATE_API[[#This Row],[Effective_Precipitation_inches]])</f>
        <v>4.54</v>
      </c>
      <c r="M400">
        <f>IF(CLIMATE_API[[#This Row],[Alternative_Data_Approval_Status]]="Approved",CLIMATE_API[[#This Row],[Eto_inches_Alternative]],CLIMATE_API[[#This Row],[Eto_inches]])</f>
        <v>56.07</v>
      </c>
    </row>
    <row r="401" spans="1:13" x14ac:dyDescent="0.25">
      <c r="A401" t="s">
        <v>2561</v>
      </c>
      <c r="B401" t="s">
        <v>2562</v>
      </c>
      <c r="C401">
        <v>51.07</v>
      </c>
      <c r="D401">
        <v>21.37</v>
      </c>
      <c r="E401">
        <v>5.34</v>
      </c>
      <c r="F401" t="s">
        <v>1859</v>
      </c>
      <c r="J401" s="9">
        <v>45108</v>
      </c>
      <c r="K401" s="9">
        <v>45473</v>
      </c>
      <c r="L401">
        <f>IF(CLIMATE_API[[#This Row],[Alternative_Data_Approval_Status]]="Approved",CLIMATE_API[[#This Row],[Effective_Precipitation_inches_Alternative]],CLIMATE_API[[#This Row],[Effective_Precipitation_inches]])</f>
        <v>5.34</v>
      </c>
      <c r="M401">
        <f>IF(CLIMATE_API[[#This Row],[Alternative_Data_Approval_Status]]="Approved",CLIMATE_API[[#This Row],[Eto_inches_Alternative]],CLIMATE_API[[#This Row],[Eto_inches]])</f>
        <v>51.07</v>
      </c>
    </row>
    <row r="402" spans="1:13" x14ac:dyDescent="0.25">
      <c r="A402" t="s">
        <v>2565</v>
      </c>
      <c r="B402" t="s">
        <v>3775</v>
      </c>
      <c r="C402">
        <v>44.42</v>
      </c>
      <c r="D402">
        <v>15.79</v>
      </c>
      <c r="E402">
        <v>3.95</v>
      </c>
      <c r="F402" t="s">
        <v>1859</v>
      </c>
      <c r="J402" s="9">
        <v>45108</v>
      </c>
      <c r="K402" s="9">
        <v>45473</v>
      </c>
      <c r="L402">
        <f>IF(CLIMATE_API[[#This Row],[Alternative_Data_Approval_Status]]="Approved",CLIMATE_API[[#This Row],[Effective_Precipitation_inches_Alternative]],CLIMATE_API[[#This Row],[Effective_Precipitation_inches]])</f>
        <v>3.95</v>
      </c>
      <c r="M402">
        <f>IF(CLIMATE_API[[#This Row],[Alternative_Data_Approval_Status]]="Approved",CLIMATE_API[[#This Row],[Eto_inches_Alternative]],CLIMATE_API[[#This Row],[Eto_inches]])</f>
        <v>44.42</v>
      </c>
    </row>
    <row r="403" spans="1:13" x14ac:dyDescent="0.25">
      <c r="A403" t="s">
        <v>2570</v>
      </c>
      <c r="B403" t="s">
        <v>2571</v>
      </c>
      <c r="C403">
        <v>54.79</v>
      </c>
      <c r="D403">
        <v>19.09</v>
      </c>
      <c r="E403">
        <v>4.7699999999999996</v>
      </c>
      <c r="F403" t="s">
        <v>1859</v>
      </c>
      <c r="J403" s="9">
        <v>45108</v>
      </c>
      <c r="K403" s="9">
        <v>45473</v>
      </c>
      <c r="L403">
        <f>IF(CLIMATE_API[[#This Row],[Alternative_Data_Approval_Status]]="Approved",CLIMATE_API[[#This Row],[Effective_Precipitation_inches_Alternative]],CLIMATE_API[[#This Row],[Effective_Precipitation_inches]])</f>
        <v>4.7699999999999996</v>
      </c>
      <c r="M403">
        <f>IF(CLIMATE_API[[#This Row],[Alternative_Data_Approval_Status]]="Approved",CLIMATE_API[[#This Row],[Eto_inches_Alternative]],CLIMATE_API[[#This Row],[Eto_inches]])</f>
        <v>54.79</v>
      </c>
    </row>
    <row r="404" spans="1:13" x14ac:dyDescent="0.25">
      <c r="A404" t="s">
        <v>2575</v>
      </c>
      <c r="B404" t="s">
        <v>2576</v>
      </c>
      <c r="C404">
        <v>59.99</v>
      </c>
      <c r="D404">
        <v>21.65</v>
      </c>
      <c r="E404">
        <v>5.41</v>
      </c>
      <c r="F404" t="s">
        <v>1859</v>
      </c>
      <c r="J404" s="9">
        <v>45108</v>
      </c>
      <c r="K404" s="9">
        <v>45473</v>
      </c>
      <c r="L404">
        <f>IF(CLIMATE_API[[#This Row],[Alternative_Data_Approval_Status]]="Approved",CLIMATE_API[[#This Row],[Effective_Precipitation_inches_Alternative]],CLIMATE_API[[#This Row],[Effective_Precipitation_inches]])</f>
        <v>5.41</v>
      </c>
      <c r="M404">
        <f>IF(CLIMATE_API[[#This Row],[Alternative_Data_Approval_Status]]="Approved",CLIMATE_API[[#This Row],[Eto_inches_Alternative]],CLIMATE_API[[#This Row],[Eto_inches]])</f>
        <v>59.99</v>
      </c>
    </row>
    <row r="405" spans="1:13" x14ac:dyDescent="0.25">
      <c r="A405" t="s">
        <v>2579</v>
      </c>
      <c r="B405" t="s">
        <v>2580</v>
      </c>
      <c r="C405">
        <v>58.91</v>
      </c>
      <c r="D405">
        <v>20.04</v>
      </c>
      <c r="E405">
        <v>5.01</v>
      </c>
      <c r="F405" t="s">
        <v>1859</v>
      </c>
      <c r="J405" s="9">
        <v>45108</v>
      </c>
      <c r="K405" s="9">
        <v>45473</v>
      </c>
      <c r="L405">
        <f>IF(CLIMATE_API[[#This Row],[Alternative_Data_Approval_Status]]="Approved",CLIMATE_API[[#This Row],[Effective_Precipitation_inches_Alternative]],CLIMATE_API[[#This Row],[Effective_Precipitation_inches]])</f>
        <v>5.01</v>
      </c>
      <c r="M405">
        <f>IF(CLIMATE_API[[#This Row],[Alternative_Data_Approval_Status]]="Approved",CLIMATE_API[[#This Row],[Eto_inches_Alternative]],CLIMATE_API[[#This Row],[Eto_inches]])</f>
        <v>58.91</v>
      </c>
    </row>
    <row r="406" spans="1:13" x14ac:dyDescent="0.25">
      <c r="A406" t="s">
        <v>2583</v>
      </c>
      <c r="B406" t="s">
        <v>3554</v>
      </c>
      <c r="C406">
        <v>55.11</v>
      </c>
      <c r="D406">
        <v>12.92</v>
      </c>
      <c r="E406">
        <v>3.23</v>
      </c>
      <c r="F406" t="s">
        <v>1859</v>
      </c>
      <c r="J406" s="9">
        <v>45108</v>
      </c>
      <c r="K406" s="9">
        <v>45473</v>
      </c>
      <c r="L406">
        <f>IF(CLIMATE_API[[#This Row],[Alternative_Data_Approval_Status]]="Approved",CLIMATE_API[[#This Row],[Effective_Precipitation_inches_Alternative]],CLIMATE_API[[#This Row],[Effective_Precipitation_inches]])</f>
        <v>3.23</v>
      </c>
      <c r="M406">
        <f>IF(CLIMATE_API[[#This Row],[Alternative_Data_Approval_Status]]="Approved",CLIMATE_API[[#This Row],[Eto_inches_Alternative]],CLIMATE_API[[#This Row],[Eto_inches]])</f>
        <v>55.11</v>
      </c>
    </row>
    <row r="407" spans="1:13" x14ac:dyDescent="0.25">
      <c r="A407" t="s">
        <v>2587</v>
      </c>
      <c r="B407" t="s">
        <v>2588</v>
      </c>
      <c r="C407">
        <v>51.37</v>
      </c>
      <c r="D407">
        <v>12.48</v>
      </c>
      <c r="E407">
        <v>3.12</v>
      </c>
      <c r="F407" t="s">
        <v>1859</v>
      </c>
      <c r="J407" s="9">
        <v>45108</v>
      </c>
      <c r="K407" s="9">
        <v>45473</v>
      </c>
      <c r="L407">
        <f>IF(CLIMATE_API[[#This Row],[Alternative_Data_Approval_Status]]="Approved",CLIMATE_API[[#This Row],[Effective_Precipitation_inches_Alternative]],CLIMATE_API[[#This Row],[Effective_Precipitation_inches]])</f>
        <v>3.12</v>
      </c>
      <c r="M407">
        <f>IF(CLIMATE_API[[#This Row],[Alternative_Data_Approval_Status]]="Approved",CLIMATE_API[[#This Row],[Eto_inches_Alternative]],CLIMATE_API[[#This Row],[Eto_inches]])</f>
        <v>51.37</v>
      </c>
    </row>
    <row r="408" spans="1:13" x14ac:dyDescent="0.25">
      <c r="A408" t="s">
        <v>2591</v>
      </c>
      <c r="B408" t="s">
        <v>3776</v>
      </c>
      <c r="C408">
        <v>58.39</v>
      </c>
      <c r="D408">
        <v>24.6</v>
      </c>
      <c r="E408">
        <v>6.15</v>
      </c>
      <c r="F408" t="s">
        <v>1859</v>
      </c>
      <c r="J408" s="9">
        <v>45108</v>
      </c>
      <c r="K408" s="9">
        <v>45473</v>
      </c>
      <c r="L408">
        <f>IF(CLIMATE_API[[#This Row],[Alternative_Data_Approval_Status]]="Approved",CLIMATE_API[[#This Row],[Effective_Precipitation_inches_Alternative]],CLIMATE_API[[#This Row],[Effective_Precipitation_inches]])</f>
        <v>6.15</v>
      </c>
      <c r="M408">
        <f>IF(CLIMATE_API[[#This Row],[Alternative_Data_Approval_Status]]="Approved",CLIMATE_API[[#This Row],[Eto_inches_Alternative]],CLIMATE_API[[#This Row],[Eto_inches]])</f>
        <v>58.39</v>
      </c>
    </row>
    <row r="409" spans="1:13" x14ac:dyDescent="0.25">
      <c r="A409" t="s">
        <v>2591</v>
      </c>
      <c r="B409" t="s">
        <v>3776</v>
      </c>
      <c r="C409">
        <v>58.8</v>
      </c>
      <c r="D409">
        <v>27.05</v>
      </c>
      <c r="E409">
        <v>6.76</v>
      </c>
      <c r="F409" t="s">
        <v>1859</v>
      </c>
      <c r="J409" s="9">
        <v>45108</v>
      </c>
      <c r="K409" s="9">
        <v>45473</v>
      </c>
      <c r="L409">
        <f>IF(CLIMATE_API[[#This Row],[Alternative_Data_Approval_Status]]="Approved",CLIMATE_API[[#This Row],[Effective_Precipitation_inches_Alternative]],CLIMATE_API[[#This Row],[Effective_Precipitation_inches]])</f>
        <v>6.76</v>
      </c>
      <c r="M409">
        <f>IF(CLIMATE_API[[#This Row],[Alternative_Data_Approval_Status]]="Approved",CLIMATE_API[[#This Row],[Eto_inches_Alternative]],CLIMATE_API[[#This Row],[Eto_inches]])</f>
        <v>58.8</v>
      </c>
    </row>
    <row r="410" spans="1:13" x14ac:dyDescent="0.25">
      <c r="A410" t="s">
        <v>2591</v>
      </c>
      <c r="B410" t="s">
        <v>3776</v>
      </c>
      <c r="C410">
        <v>57.95</v>
      </c>
      <c r="D410">
        <v>24.96</v>
      </c>
      <c r="E410">
        <v>6.24</v>
      </c>
      <c r="F410" t="s">
        <v>1859</v>
      </c>
      <c r="J410" s="9">
        <v>45108</v>
      </c>
      <c r="K410" s="9">
        <v>45473</v>
      </c>
      <c r="L410">
        <f>IF(CLIMATE_API[[#This Row],[Alternative_Data_Approval_Status]]="Approved",CLIMATE_API[[#This Row],[Effective_Precipitation_inches_Alternative]],CLIMATE_API[[#This Row],[Effective_Precipitation_inches]])</f>
        <v>6.24</v>
      </c>
      <c r="M410">
        <f>IF(CLIMATE_API[[#This Row],[Alternative_Data_Approval_Status]]="Approved",CLIMATE_API[[#This Row],[Eto_inches_Alternative]],CLIMATE_API[[#This Row],[Eto_inches]])</f>
        <v>57.95</v>
      </c>
    </row>
  </sheetData>
  <phoneticPr fontId="8" type="noConversion"/>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B787C-C496-4BAD-B245-0D604E1A568E}">
  <sheetPr codeName="Sheet29">
    <tabColor theme="8" tint="0.39997558519241921"/>
  </sheetPr>
  <dimension ref="A1:K410"/>
  <sheetViews>
    <sheetView workbookViewId="0">
      <selection sqref="A1:K410"/>
    </sheetView>
  </sheetViews>
  <sheetFormatPr defaultRowHeight="15" x14ac:dyDescent="0.25"/>
  <cols>
    <col min="1" max="1" width="18.5703125" bestFit="1" customWidth="1"/>
    <col min="2" max="2" width="21.28515625" bestFit="1" customWidth="1"/>
    <col min="3" max="3" width="10.140625" bestFit="1" customWidth="1"/>
    <col min="4" max="4" width="61.7109375" bestFit="1" customWidth="1"/>
    <col min="5" max="5" width="21.28515625" bestFit="1" customWidth="1"/>
    <col min="6" max="6" width="22.28515625" bestFit="1" customWidth="1"/>
    <col min="7" max="7" width="13.7109375" bestFit="1" customWidth="1"/>
    <col min="8" max="8" width="13.28515625" bestFit="1" customWidth="1"/>
    <col min="9" max="9" width="14.7109375" bestFit="1" customWidth="1"/>
    <col min="10" max="10" width="16.85546875" bestFit="1" customWidth="1"/>
    <col min="11" max="11" width="15.28515625" bestFit="1" customWidth="1"/>
  </cols>
  <sheetData>
    <row r="1" spans="1:11" x14ac:dyDescent="0.25">
      <c r="A1" t="s">
        <v>2613</v>
      </c>
      <c r="B1" t="s">
        <v>2614</v>
      </c>
      <c r="C1" t="s">
        <v>2611</v>
      </c>
      <c r="D1" t="s">
        <v>2612</v>
      </c>
      <c r="E1" t="s">
        <v>3777</v>
      </c>
      <c r="F1" t="s">
        <v>3778</v>
      </c>
      <c r="G1" t="s">
        <v>3779</v>
      </c>
      <c r="H1" t="s">
        <v>3780</v>
      </c>
      <c r="I1" t="s">
        <v>3781</v>
      </c>
      <c r="J1" t="s">
        <v>2608</v>
      </c>
      <c r="K1" t="s">
        <v>2609</v>
      </c>
    </row>
    <row r="2" spans="1:11" x14ac:dyDescent="0.25">
      <c r="A2">
        <v>1</v>
      </c>
      <c r="B2" t="s">
        <v>2659</v>
      </c>
      <c r="C2" t="s">
        <v>689</v>
      </c>
      <c r="D2" t="s">
        <v>2657</v>
      </c>
      <c r="E2">
        <v>65.430000000000007</v>
      </c>
      <c r="F2">
        <v>1.25</v>
      </c>
      <c r="G2">
        <v>0.91</v>
      </c>
      <c r="H2">
        <v>77.87</v>
      </c>
      <c r="I2">
        <v>1.17</v>
      </c>
      <c r="J2" s="9">
        <v>45108</v>
      </c>
      <c r="K2" s="9">
        <v>45473</v>
      </c>
    </row>
    <row r="3" spans="1:11" x14ac:dyDescent="0.25">
      <c r="A3">
        <v>2</v>
      </c>
      <c r="B3" t="s">
        <v>2661</v>
      </c>
      <c r="C3" t="s">
        <v>695</v>
      </c>
      <c r="D3" t="s">
        <v>95</v>
      </c>
      <c r="E3">
        <v>24.2</v>
      </c>
      <c r="F3">
        <v>2.72</v>
      </c>
      <c r="G3">
        <v>0.82</v>
      </c>
      <c r="H3">
        <v>82.5</v>
      </c>
      <c r="I3">
        <v>1</v>
      </c>
      <c r="J3" s="9">
        <v>45108</v>
      </c>
      <c r="K3" s="9">
        <v>45473</v>
      </c>
    </row>
    <row r="4" spans="1:11" x14ac:dyDescent="0.25">
      <c r="A4">
        <v>3</v>
      </c>
      <c r="B4" t="s">
        <v>2663</v>
      </c>
      <c r="C4" t="s">
        <v>699</v>
      </c>
      <c r="D4" t="s">
        <v>700</v>
      </c>
      <c r="E4">
        <v>20.98</v>
      </c>
      <c r="F4">
        <v>2.12</v>
      </c>
      <c r="G4">
        <v>0.81</v>
      </c>
      <c r="H4">
        <v>89.39</v>
      </c>
      <c r="I4">
        <v>0.91</v>
      </c>
      <c r="J4" s="9">
        <v>45108</v>
      </c>
      <c r="K4" s="9">
        <v>45473</v>
      </c>
    </row>
    <row r="5" spans="1:11" x14ac:dyDescent="0.25">
      <c r="A5">
        <v>4</v>
      </c>
      <c r="B5" t="s">
        <v>2666</v>
      </c>
      <c r="C5" t="s">
        <v>704</v>
      </c>
      <c r="D5" t="s">
        <v>2664</v>
      </c>
      <c r="J5" s="9">
        <v>45108</v>
      </c>
      <c r="K5" s="9">
        <v>45473</v>
      </c>
    </row>
    <row r="6" spans="1:11" x14ac:dyDescent="0.25">
      <c r="A6">
        <v>5</v>
      </c>
      <c r="B6" t="s">
        <v>2669</v>
      </c>
      <c r="C6" t="s">
        <v>709</v>
      </c>
      <c r="D6" t="s">
        <v>2667</v>
      </c>
      <c r="E6">
        <v>49.95</v>
      </c>
      <c r="F6">
        <v>7.17</v>
      </c>
      <c r="G6">
        <v>0.88</v>
      </c>
      <c r="H6">
        <v>80.260000000000005</v>
      </c>
      <c r="I6">
        <v>1.0900000000000001</v>
      </c>
      <c r="J6" s="9">
        <v>45108</v>
      </c>
      <c r="K6" s="9">
        <v>45473</v>
      </c>
    </row>
    <row r="7" spans="1:11" x14ac:dyDescent="0.25">
      <c r="A7">
        <v>6</v>
      </c>
      <c r="B7" t="s">
        <v>2672</v>
      </c>
      <c r="C7" t="s">
        <v>722</v>
      </c>
      <c r="D7" t="s">
        <v>2670</v>
      </c>
      <c r="E7">
        <v>47.97</v>
      </c>
      <c r="F7">
        <v>5.58</v>
      </c>
      <c r="G7">
        <v>0.86</v>
      </c>
      <c r="H7">
        <v>81.22</v>
      </c>
      <c r="I7">
        <v>1.06</v>
      </c>
      <c r="J7" s="9">
        <v>45108</v>
      </c>
      <c r="K7" s="9">
        <v>45473</v>
      </c>
    </row>
    <row r="8" spans="1:11" x14ac:dyDescent="0.25">
      <c r="A8">
        <v>7</v>
      </c>
      <c r="B8" t="s">
        <v>2674</v>
      </c>
      <c r="C8" t="s">
        <v>727</v>
      </c>
      <c r="D8" t="s">
        <v>728</v>
      </c>
      <c r="E8">
        <v>44.96</v>
      </c>
      <c r="F8">
        <v>4.8600000000000003</v>
      </c>
      <c r="G8">
        <v>1</v>
      </c>
      <c r="H8">
        <v>90.18</v>
      </c>
      <c r="I8">
        <v>1.1100000000000001</v>
      </c>
      <c r="J8" s="9">
        <v>45108</v>
      </c>
      <c r="K8" s="9">
        <v>45473</v>
      </c>
    </row>
    <row r="9" spans="1:11" x14ac:dyDescent="0.25">
      <c r="A9">
        <v>8</v>
      </c>
      <c r="B9" t="s">
        <v>2677</v>
      </c>
      <c r="C9" t="s">
        <v>732</v>
      </c>
      <c r="D9" t="s">
        <v>2675</v>
      </c>
      <c r="E9">
        <v>45.95</v>
      </c>
      <c r="F9">
        <v>5.08</v>
      </c>
      <c r="G9">
        <v>0.93</v>
      </c>
      <c r="H9">
        <v>85.22</v>
      </c>
      <c r="I9">
        <v>1.0900000000000001</v>
      </c>
      <c r="J9" s="9">
        <v>45108</v>
      </c>
      <c r="K9" s="9">
        <v>45473</v>
      </c>
    </row>
    <row r="10" spans="1:11" x14ac:dyDescent="0.25">
      <c r="A10">
        <v>9</v>
      </c>
      <c r="B10" t="s">
        <v>2679</v>
      </c>
      <c r="C10" t="s">
        <v>737</v>
      </c>
      <c r="D10" t="s">
        <v>738</v>
      </c>
      <c r="E10">
        <v>35.92</v>
      </c>
      <c r="F10">
        <v>2.56</v>
      </c>
      <c r="G10">
        <v>0.75</v>
      </c>
      <c r="H10">
        <v>84.3</v>
      </c>
      <c r="I10">
        <v>0.89</v>
      </c>
      <c r="J10" s="9">
        <v>45108</v>
      </c>
      <c r="K10" s="9">
        <v>45473</v>
      </c>
    </row>
    <row r="11" spans="1:11" x14ac:dyDescent="0.25">
      <c r="A11">
        <v>10</v>
      </c>
      <c r="B11" t="s">
        <v>2681</v>
      </c>
      <c r="C11" t="s">
        <v>742</v>
      </c>
      <c r="D11" t="s">
        <v>743</v>
      </c>
      <c r="E11">
        <v>65.430000000000007</v>
      </c>
      <c r="F11">
        <v>1.25</v>
      </c>
      <c r="G11">
        <v>0.91</v>
      </c>
      <c r="H11">
        <v>77.87</v>
      </c>
      <c r="I11">
        <v>1.17</v>
      </c>
      <c r="J11" s="9">
        <v>45108</v>
      </c>
      <c r="K11" s="9">
        <v>45473</v>
      </c>
    </row>
    <row r="12" spans="1:11" x14ac:dyDescent="0.25">
      <c r="A12">
        <v>11</v>
      </c>
      <c r="B12" t="s">
        <v>2684</v>
      </c>
      <c r="C12" t="s">
        <v>746</v>
      </c>
      <c r="D12" t="s">
        <v>2682</v>
      </c>
      <c r="J12" s="9">
        <v>45108</v>
      </c>
      <c r="K12" s="9">
        <v>45473</v>
      </c>
    </row>
    <row r="13" spans="1:11" x14ac:dyDescent="0.25">
      <c r="A13">
        <v>12</v>
      </c>
      <c r="B13" t="s">
        <v>2687</v>
      </c>
      <c r="C13" t="s">
        <v>750</v>
      </c>
      <c r="D13" t="s">
        <v>2685</v>
      </c>
      <c r="E13">
        <v>24</v>
      </c>
      <c r="F13">
        <v>6.48</v>
      </c>
      <c r="G13">
        <v>0.96</v>
      </c>
      <c r="H13">
        <v>83</v>
      </c>
      <c r="I13">
        <v>1.1599999999999999</v>
      </c>
      <c r="J13" s="9">
        <v>45108</v>
      </c>
      <c r="K13" s="9">
        <v>45473</v>
      </c>
    </row>
    <row r="14" spans="1:11" x14ac:dyDescent="0.25">
      <c r="A14">
        <v>13</v>
      </c>
      <c r="B14" t="s">
        <v>2688</v>
      </c>
      <c r="C14" t="s">
        <v>757</v>
      </c>
      <c r="D14" t="s">
        <v>758</v>
      </c>
      <c r="E14">
        <v>12.83</v>
      </c>
      <c r="F14">
        <v>1.77</v>
      </c>
      <c r="G14">
        <v>0.81</v>
      </c>
      <c r="H14">
        <v>81.56</v>
      </c>
      <c r="I14">
        <v>0.99</v>
      </c>
      <c r="J14" s="9">
        <v>45108</v>
      </c>
      <c r="K14" s="9">
        <v>45473</v>
      </c>
    </row>
    <row r="15" spans="1:11" x14ac:dyDescent="0.25">
      <c r="A15">
        <v>14</v>
      </c>
      <c r="B15" t="s">
        <v>2690</v>
      </c>
      <c r="C15" t="s">
        <v>762</v>
      </c>
      <c r="D15" t="s">
        <v>763</v>
      </c>
      <c r="E15">
        <v>56.69</v>
      </c>
      <c r="F15">
        <v>0.82</v>
      </c>
      <c r="G15">
        <v>0.92</v>
      </c>
      <c r="H15">
        <v>78.16</v>
      </c>
      <c r="I15">
        <v>1.18</v>
      </c>
      <c r="J15" s="9">
        <v>45108</v>
      </c>
      <c r="K15" s="9">
        <v>45473</v>
      </c>
    </row>
    <row r="16" spans="1:11" x14ac:dyDescent="0.25">
      <c r="A16">
        <v>15</v>
      </c>
      <c r="B16" t="s">
        <v>2692</v>
      </c>
      <c r="C16" t="s">
        <v>767</v>
      </c>
      <c r="D16" t="s">
        <v>768</v>
      </c>
      <c r="E16">
        <v>38.08</v>
      </c>
      <c r="F16">
        <v>1.91</v>
      </c>
      <c r="G16">
        <v>0.83</v>
      </c>
      <c r="H16">
        <v>76.52</v>
      </c>
      <c r="I16">
        <v>1.0900000000000001</v>
      </c>
      <c r="J16" s="9">
        <v>45108</v>
      </c>
      <c r="K16" s="9">
        <v>45473</v>
      </c>
    </row>
    <row r="17" spans="1:11" x14ac:dyDescent="0.25">
      <c r="A17">
        <v>16</v>
      </c>
      <c r="B17" t="s">
        <v>2695</v>
      </c>
      <c r="C17" t="s">
        <v>771</v>
      </c>
      <c r="D17" t="s">
        <v>2693</v>
      </c>
      <c r="E17">
        <v>26.31</v>
      </c>
      <c r="F17">
        <v>1.41</v>
      </c>
      <c r="G17">
        <v>0.92</v>
      </c>
      <c r="H17">
        <v>82.28</v>
      </c>
      <c r="I17">
        <v>1.1200000000000001</v>
      </c>
      <c r="J17" s="9">
        <v>45108</v>
      </c>
      <c r="K17" s="9">
        <v>45473</v>
      </c>
    </row>
    <row r="18" spans="1:11" x14ac:dyDescent="0.25">
      <c r="A18">
        <v>17</v>
      </c>
      <c r="B18" t="s">
        <v>2698</v>
      </c>
      <c r="C18" t="s">
        <v>776</v>
      </c>
      <c r="D18" t="s">
        <v>2696</v>
      </c>
      <c r="J18" s="9">
        <v>45108</v>
      </c>
      <c r="K18" s="9">
        <v>45473</v>
      </c>
    </row>
    <row r="19" spans="1:11" x14ac:dyDescent="0.25">
      <c r="A19">
        <v>18</v>
      </c>
      <c r="B19" t="s">
        <v>2700</v>
      </c>
      <c r="C19" t="s">
        <v>780</v>
      </c>
      <c r="D19" t="s">
        <v>781</v>
      </c>
      <c r="E19">
        <v>35.19</v>
      </c>
      <c r="F19">
        <v>1.73</v>
      </c>
      <c r="G19">
        <v>0.94</v>
      </c>
      <c r="H19">
        <v>88.33</v>
      </c>
      <c r="I19">
        <v>1.06</v>
      </c>
      <c r="J19" s="9">
        <v>45108</v>
      </c>
      <c r="K19" s="9">
        <v>45473</v>
      </c>
    </row>
    <row r="20" spans="1:11" x14ac:dyDescent="0.25">
      <c r="A20">
        <v>19</v>
      </c>
      <c r="B20" t="s">
        <v>2702</v>
      </c>
      <c r="C20" t="s">
        <v>784</v>
      </c>
      <c r="D20" t="s">
        <v>785</v>
      </c>
      <c r="E20">
        <v>31.45</v>
      </c>
      <c r="F20">
        <v>1.78</v>
      </c>
      <c r="G20">
        <v>0.87</v>
      </c>
      <c r="H20">
        <v>81.63</v>
      </c>
      <c r="I20">
        <v>1.07</v>
      </c>
      <c r="J20" s="9">
        <v>45108</v>
      </c>
      <c r="K20" s="9">
        <v>45473</v>
      </c>
    </row>
    <row r="21" spans="1:11" x14ac:dyDescent="0.25">
      <c r="A21">
        <v>20</v>
      </c>
      <c r="B21" t="s">
        <v>2705</v>
      </c>
      <c r="C21" t="s">
        <v>789</v>
      </c>
      <c r="D21" t="s">
        <v>2703</v>
      </c>
      <c r="E21">
        <v>78.12</v>
      </c>
      <c r="F21">
        <v>1.32</v>
      </c>
      <c r="G21">
        <v>0.95</v>
      </c>
      <c r="H21">
        <v>93</v>
      </c>
      <c r="I21">
        <v>1.02</v>
      </c>
      <c r="J21" s="9">
        <v>45108</v>
      </c>
      <c r="K21" s="9">
        <v>45473</v>
      </c>
    </row>
    <row r="22" spans="1:11" x14ac:dyDescent="0.25">
      <c r="C22" t="s">
        <v>794</v>
      </c>
      <c r="D22" t="s">
        <v>795</v>
      </c>
      <c r="J22" s="9">
        <v>45108</v>
      </c>
      <c r="K22" s="9">
        <v>45473</v>
      </c>
    </row>
    <row r="23" spans="1:11" x14ac:dyDescent="0.25">
      <c r="A23">
        <v>21</v>
      </c>
      <c r="B23" t="s">
        <v>2707</v>
      </c>
      <c r="C23" t="s">
        <v>798</v>
      </c>
      <c r="D23" t="s">
        <v>799</v>
      </c>
      <c r="E23">
        <v>49.61</v>
      </c>
      <c r="F23">
        <v>1.23</v>
      </c>
      <c r="G23">
        <v>0.92</v>
      </c>
      <c r="H23">
        <v>75.400000000000006</v>
      </c>
      <c r="I23">
        <v>1.23</v>
      </c>
      <c r="J23" s="9">
        <v>45108</v>
      </c>
      <c r="K23" s="9">
        <v>45473</v>
      </c>
    </row>
    <row r="24" spans="1:11" x14ac:dyDescent="0.25">
      <c r="A24">
        <v>22</v>
      </c>
      <c r="B24" t="s">
        <v>2709</v>
      </c>
      <c r="C24" t="s">
        <v>802</v>
      </c>
      <c r="D24" t="s">
        <v>803</v>
      </c>
      <c r="E24">
        <v>45</v>
      </c>
      <c r="F24">
        <v>5.95</v>
      </c>
      <c r="G24">
        <v>0.94</v>
      </c>
      <c r="H24">
        <v>85.35</v>
      </c>
      <c r="I24">
        <v>1.1000000000000001</v>
      </c>
      <c r="J24" s="9">
        <v>45108</v>
      </c>
      <c r="K24" s="9">
        <v>45473</v>
      </c>
    </row>
    <row r="25" spans="1:11" x14ac:dyDescent="0.25">
      <c r="A25">
        <v>23</v>
      </c>
      <c r="B25" t="s">
        <v>2711</v>
      </c>
      <c r="C25" t="s">
        <v>806</v>
      </c>
      <c r="D25" t="s">
        <v>2710</v>
      </c>
      <c r="J25" s="9">
        <v>45108</v>
      </c>
      <c r="K25" s="9">
        <v>45473</v>
      </c>
    </row>
    <row r="26" spans="1:11" x14ac:dyDescent="0.25">
      <c r="A26">
        <v>24</v>
      </c>
      <c r="B26" t="s">
        <v>2713</v>
      </c>
      <c r="C26" t="s">
        <v>810</v>
      </c>
      <c r="D26" t="s">
        <v>811</v>
      </c>
      <c r="J26" s="9">
        <v>45108</v>
      </c>
      <c r="K26" s="9">
        <v>45473</v>
      </c>
    </row>
    <row r="27" spans="1:11" x14ac:dyDescent="0.25">
      <c r="A27">
        <v>25</v>
      </c>
      <c r="B27" t="s">
        <v>2714</v>
      </c>
      <c r="C27" t="s">
        <v>815</v>
      </c>
      <c r="D27" t="s">
        <v>816</v>
      </c>
      <c r="J27" s="9">
        <v>45108</v>
      </c>
      <c r="K27" s="9">
        <v>45473</v>
      </c>
    </row>
    <row r="28" spans="1:11" x14ac:dyDescent="0.25">
      <c r="A28">
        <v>26</v>
      </c>
      <c r="B28" t="s">
        <v>2717</v>
      </c>
      <c r="C28" t="s">
        <v>819</v>
      </c>
      <c r="D28" t="s">
        <v>2715</v>
      </c>
      <c r="E28">
        <v>44.26</v>
      </c>
      <c r="F28">
        <v>3.73</v>
      </c>
      <c r="G28">
        <v>0.85</v>
      </c>
      <c r="H28">
        <v>81.819999999999993</v>
      </c>
      <c r="I28">
        <v>1.04</v>
      </c>
      <c r="J28" s="9">
        <v>45108</v>
      </c>
      <c r="K28" s="9">
        <v>45473</v>
      </c>
    </row>
    <row r="29" spans="1:11" x14ac:dyDescent="0.25">
      <c r="A29">
        <v>27</v>
      </c>
      <c r="B29" t="s">
        <v>2719</v>
      </c>
      <c r="C29" t="s">
        <v>823</v>
      </c>
      <c r="D29" t="s">
        <v>824</v>
      </c>
      <c r="J29" s="9">
        <v>45108</v>
      </c>
      <c r="K29" s="9">
        <v>45473</v>
      </c>
    </row>
    <row r="30" spans="1:11" x14ac:dyDescent="0.25">
      <c r="A30">
        <v>28</v>
      </c>
      <c r="B30" t="s">
        <v>2722</v>
      </c>
      <c r="C30" t="s">
        <v>833</v>
      </c>
      <c r="D30" t="s">
        <v>2720</v>
      </c>
      <c r="E30">
        <v>68.14</v>
      </c>
      <c r="F30">
        <v>1.65</v>
      </c>
      <c r="G30">
        <v>0.89</v>
      </c>
      <c r="H30">
        <v>73.790000000000006</v>
      </c>
      <c r="I30">
        <v>1.21</v>
      </c>
      <c r="J30" s="9">
        <v>45108</v>
      </c>
      <c r="K30" s="9">
        <v>45473</v>
      </c>
    </row>
    <row r="31" spans="1:11" x14ac:dyDescent="0.25">
      <c r="A31">
        <v>29</v>
      </c>
      <c r="B31" t="s">
        <v>2725</v>
      </c>
      <c r="C31" t="s">
        <v>837</v>
      </c>
      <c r="D31" t="s">
        <v>2723</v>
      </c>
      <c r="E31">
        <v>60.48</v>
      </c>
      <c r="F31">
        <v>1.47</v>
      </c>
      <c r="G31">
        <v>0.9</v>
      </c>
      <c r="H31">
        <v>72.59</v>
      </c>
      <c r="I31">
        <v>1.24</v>
      </c>
      <c r="J31" s="9">
        <v>45108</v>
      </c>
      <c r="K31" s="9">
        <v>45473</v>
      </c>
    </row>
    <row r="32" spans="1:11" x14ac:dyDescent="0.25">
      <c r="A32">
        <v>30</v>
      </c>
      <c r="B32" t="s">
        <v>2727</v>
      </c>
      <c r="C32" t="s">
        <v>842</v>
      </c>
      <c r="D32" t="s">
        <v>2726</v>
      </c>
      <c r="E32">
        <v>36.72</v>
      </c>
      <c r="F32">
        <v>2.82</v>
      </c>
      <c r="G32">
        <v>0.97</v>
      </c>
      <c r="H32">
        <v>90</v>
      </c>
      <c r="I32">
        <v>1.08</v>
      </c>
      <c r="J32" s="9">
        <v>45108</v>
      </c>
      <c r="K32" s="9">
        <v>45473</v>
      </c>
    </row>
    <row r="33" spans="1:11" x14ac:dyDescent="0.25">
      <c r="A33">
        <v>31</v>
      </c>
      <c r="B33" t="s">
        <v>2729</v>
      </c>
      <c r="C33" t="s">
        <v>846</v>
      </c>
      <c r="D33" t="s">
        <v>847</v>
      </c>
      <c r="E33">
        <v>35.22</v>
      </c>
      <c r="F33">
        <v>3.04</v>
      </c>
      <c r="G33">
        <v>0.77</v>
      </c>
      <c r="H33">
        <v>78.7</v>
      </c>
      <c r="I33">
        <v>0.97</v>
      </c>
      <c r="J33" s="9">
        <v>45108</v>
      </c>
      <c r="K33" s="9">
        <v>45473</v>
      </c>
    </row>
    <row r="34" spans="1:11" x14ac:dyDescent="0.25">
      <c r="A34">
        <v>32</v>
      </c>
      <c r="B34" t="s">
        <v>2731</v>
      </c>
      <c r="C34" t="s">
        <v>850</v>
      </c>
      <c r="D34" t="s">
        <v>851</v>
      </c>
      <c r="E34">
        <v>48.72</v>
      </c>
      <c r="F34">
        <v>4.68</v>
      </c>
      <c r="G34">
        <v>1.05</v>
      </c>
      <c r="H34">
        <v>90</v>
      </c>
      <c r="I34">
        <v>1.17</v>
      </c>
      <c r="J34" s="9">
        <v>45108</v>
      </c>
      <c r="K34" s="9">
        <v>45473</v>
      </c>
    </row>
    <row r="35" spans="1:11" x14ac:dyDescent="0.25">
      <c r="A35">
        <v>33</v>
      </c>
      <c r="B35" t="s">
        <v>2733</v>
      </c>
      <c r="C35" t="s">
        <v>854</v>
      </c>
      <c r="D35" t="s">
        <v>855</v>
      </c>
      <c r="J35" s="9">
        <v>45108</v>
      </c>
      <c r="K35" s="9">
        <v>45473</v>
      </c>
    </row>
    <row r="36" spans="1:11" x14ac:dyDescent="0.25">
      <c r="A36">
        <v>34</v>
      </c>
      <c r="B36" t="s">
        <v>2735</v>
      </c>
      <c r="C36" t="s">
        <v>858</v>
      </c>
      <c r="D36" t="s">
        <v>859</v>
      </c>
      <c r="J36" s="9">
        <v>45108</v>
      </c>
      <c r="K36" s="9">
        <v>45473</v>
      </c>
    </row>
    <row r="37" spans="1:11" x14ac:dyDescent="0.25">
      <c r="A37">
        <v>35</v>
      </c>
      <c r="B37" t="s">
        <v>2737</v>
      </c>
      <c r="C37" t="s">
        <v>863</v>
      </c>
      <c r="D37" t="s">
        <v>864</v>
      </c>
      <c r="E37">
        <v>46.48</v>
      </c>
      <c r="F37">
        <v>1.36</v>
      </c>
      <c r="G37">
        <v>0.83</v>
      </c>
      <c r="H37">
        <v>87.05</v>
      </c>
      <c r="I37">
        <v>0.95</v>
      </c>
      <c r="J37" s="9">
        <v>45108</v>
      </c>
      <c r="K37" s="9">
        <v>45473</v>
      </c>
    </row>
    <row r="38" spans="1:11" x14ac:dyDescent="0.25">
      <c r="A38">
        <v>36</v>
      </c>
      <c r="B38" t="s">
        <v>2740</v>
      </c>
      <c r="C38" t="s">
        <v>878</v>
      </c>
      <c r="D38" t="s">
        <v>2738</v>
      </c>
      <c r="E38">
        <v>52.78</v>
      </c>
      <c r="F38">
        <v>1.59</v>
      </c>
      <c r="G38">
        <v>0.86</v>
      </c>
      <c r="H38">
        <v>74.62</v>
      </c>
      <c r="I38">
        <v>1.1599999999999999</v>
      </c>
      <c r="J38" s="9">
        <v>45108</v>
      </c>
      <c r="K38" s="9">
        <v>45473</v>
      </c>
    </row>
    <row r="39" spans="1:11" x14ac:dyDescent="0.25">
      <c r="A39">
        <v>37</v>
      </c>
      <c r="B39" t="s">
        <v>2743</v>
      </c>
      <c r="C39" t="s">
        <v>882</v>
      </c>
      <c r="D39" t="s">
        <v>2741</v>
      </c>
      <c r="E39">
        <v>58.08</v>
      </c>
      <c r="F39">
        <v>5.04</v>
      </c>
      <c r="G39">
        <v>1</v>
      </c>
      <c r="H39">
        <v>91.52</v>
      </c>
      <c r="I39">
        <v>1.1000000000000001</v>
      </c>
      <c r="J39" s="9">
        <v>45108</v>
      </c>
      <c r="K39" s="9">
        <v>45473</v>
      </c>
    </row>
    <row r="40" spans="1:11" x14ac:dyDescent="0.25">
      <c r="A40">
        <v>38</v>
      </c>
      <c r="B40" t="s">
        <v>2745</v>
      </c>
      <c r="C40" t="s">
        <v>890</v>
      </c>
      <c r="D40" t="s">
        <v>891</v>
      </c>
      <c r="E40">
        <v>28.48</v>
      </c>
      <c r="F40">
        <v>2.2000000000000002</v>
      </c>
      <c r="G40">
        <v>0.83</v>
      </c>
      <c r="H40">
        <v>89.07</v>
      </c>
      <c r="I40">
        <v>0.93</v>
      </c>
      <c r="J40" s="9">
        <v>45108</v>
      </c>
      <c r="K40" s="9">
        <v>45473</v>
      </c>
    </row>
    <row r="41" spans="1:11" x14ac:dyDescent="0.25">
      <c r="A41">
        <v>39</v>
      </c>
      <c r="B41" t="s">
        <v>2747</v>
      </c>
      <c r="C41" t="s">
        <v>906</v>
      </c>
      <c r="D41" t="s">
        <v>907</v>
      </c>
      <c r="E41">
        <v>46.36</v>
      </c>
      <c r="F41">
        <v>2.76</v>
      </c>
      <c r="G41">
        <v>0.84</v>
      </c>
      <c r="H41">
        <v>80.69</v>
      </c>
      <c r="I41">
        <v>1.05</v>
      </c>
      <c r="J41" s="9">
        <v>45108</v>
      </c>
      <c r="K41" s="9">
        <v>45473</v>
      </c>
    </row>
    <row r="42" spans="1:11" x14ac:dyDescent="0.25">
      <c r="A42">
        <v>127</v>
      </c>
      <c r="B42" t="s">
        <v>2749</v>
      </c>
      <c r="C42" t="s">
        <v>906</v>
      </c>
      <c r="D42" t="s">
        <v>907</v>
      </c>
      <c r="J42" s="9">
        <v>45108</v>
      </c>
      <c r="K42" s="9">
        <v>45473</v>
      </c>
    </row>
    <row r="43" spans="1:11" x14ac:dyDescent="0.25">
      <c r="A43">
        <v>40</v>
      </c>
      <c r="B43" t="s">
        <v>2752</v>
      </c>
      <c r="C43" t="s">
        <v>933</v>
      </c>
      <c r="D43" t="s">
        <v>2750</v>
      </c>
      <c r="E43">
        <v>55.92</v>
      </c>
      <c r="F43">
        <v>7.2</v>
      </c>
      <c r="G43">
        <v>1.05</v>
      </c>
      <c r="H43">
        <v>90</v>
      </c>
      <c r="I43">
        <v>1.17</v>
      </c>
      <c r="J43" s="9">
        <v>45108</v>
      </c>
      <c r="K43" s="9">
        <v>45473</v>
      </c>
    </row>
    <row r="44" spans="1:11" x14ac:dyDescent="0.25">
      <c r="A44">
        <v>41</v>
      </c>
      <c r="B44" t="s">
        <v>2754</v>
      </c>
      <c r="C44" t="s">
        <v>938</v>
      </c>
      <c r="D44" t="s">
        <v>939</v>
      </c>
      <c r="E44">
        <v>53.52</v>
      </c>
      <c r="F44">
        <v>3.72</v>
      </c>
      <c r="G44">
        <v>0.88</v>
      </c>
      <c r="H44">
        <v>93</v>
      </c>
      <c r="I44">
        <v>0.94</v>
      </c>
      <c r="J44" s="9">
        <v>45108</v>
      </c>
      <c r="K44" s="9">
        <v>45473</v>
      </c>
    </row>
    <row r="45" spans="1:11" x14ac:dyDescent="0.25">
      <c r="A45">
        <v>42</v>
      </c>
      <c r="B45" t="s">
        <v>2757</v>
      </c>
      <c r="C45" t="s">
        <v>945</v>
      </c>
      <c r="D45" t="s">
        <v>2755</v>
      </c>
      <c r="J45" s="9">
        <v>45108</v>
      </c>
      <c r="K45" s="9">
        <v>45473</v>
      </c>
    </row>
    <row r="46" spans="1:11" x14ac:dyDescent="0.25">
      <c r="A46">
        <v>43</v>
      </c>
      <c r="B46" t="s">
        <v>2760</v>
      </c>
      <c r="C46" t="s">
        <v>949</v>
      </c>
      <c r="D46" t="s">
        <v>2758</v>
      </c>
      <c r="E46">
        <v>56.2</v>
      </c>
      <c r="F46">
        <v>2.68</v>
      </c>
      <c r="G46">
        <v>0.78</v>
      </c>
      <c r="H46">
        <v>87.81</v>
      </c>
      <c r="I46">
        <v>0.89</v>
      </c>
      <c r="J46" s="9">
        <v>45108</v>
      </c>
      <c r="K46" s="9">
        <v>45473</v>
      </c>
    </row>
    <row r="47" spans="1:11" x14ac:dyDescent="0.25">
      <c r="A47">
        <v>44</v>
      </c>
      <c r="B47" t="s">
        <v>2763</v>
      </c>
      <c r="C47" t="s">
        <v>955</v>
      </c>
      <c r="D47" t="s">
        <v>2761</v>
      </c>
      <c r="E47">
        <v>21.16</v>
      </c>
      <c r="F47">
        <v>1.61</v>
      </c>
      <c r="G47">
        <v>0.82</v>
      </c>
      <c r="H47">
        <v>82.46</v>
      </c>
      <c r="I47">
        <v>0.99</v>
      </c>
      <c r="J47" s="9">
        <v>45108</v>
      </c>
      <c r="K47" s="9">
        <v>45473</v>
      </c>
    </row>
    <row r="48" spans="1:11" x14ac:dyDescent="0.25">
      <c r="A48">
        <v>45</v>
      </c>
      <c r="B48" t="s">
        <v>2766</v>
      </c>
      <c r="C48" t="s">
        <v>959</v>
      </c>
      <c r="D48" t="s">
        <v>2764</v>
      </c>
      <c r="E48">
        <v>47.29</v>
      </c>
      <c r="F48">
        <v>3.2</v>
      </c>
      <c r="G48">
        <v>0.93</v>
      </c>
      <c r="H48">
        <v>92.49</v>
      </c>
      <c r="I48">
        <v>1.01</v>
      </c>
      <c r="J48" s="9">
        <v>45108</v>
      </c>
      <c r="K48" s="9">
        <v>45473</v>
      </c>
    </row>
    <row r="49" spans="1:11" x14ac:dyDescent="0.25">
      <c r="C49" t="s">
        <v>967</v>
      </c>
      <c r="D49" t="s">
        <v>968</v>
      </c>
      <c r="J49" s="9">
        <v>45108</v>
      </c>
      <c r="K49" s="9">
        <v>45473</v>
      </c>
    </row>
    <row r="50" spans="1:11" x14ac:dyDescent="0.25">
      <c r="A50">
        <v>46</v>
      </c>
      <c r="B50" t="s">
        <v>2769</v>
      </c>
      <c r="C50" t="s">
        <v>971</v>
      </c>
      <c r="D50" t="s">
        <v>2767</v>
      </c>
      <c r="E50">
        <v>49.02</v>
      </c>
      <c r="F50">
        <v>2.52</v>
      </c>
      <c r="G50">
        <v>0.98</v>
      </c>
      <c r="H50">
        <v>86.66</v>
      </c>
      <c r="I50">
        <v>1.1299999999999999</v>
      </c>
      <c r="J50" s="9">
        <v>45108</v>
      </c>
      <c r="K50" s="9">
        <v>45473</v>
      </c>
    </row>
    <row r="51" spans="1:11" x14ac:dyDescent="0.25">
      <c r="A51">
        <v>47</v>
      </c>
      <c r="B51" t="s">
        <v>2772</v>
      </c>
      <c r="C51" t="s">
        <v>975</v>
      </c>
      <c r="D51" t="s">
        <v>2770</v>
      </c>
      <c r="E51">
        <v>51.6</v>
      </c>
      <c r="F51">
        <v>2.52</v>
      </c>
      <c r="G51">
        <v>1.05</v>
      </c>
      <c r="H51">
        <v>90</v>
      </c>
      <c r="I51">
        <v>1.17</v>
      </c>
      <c r="J51" s="9">
        <v>45108</v>
      </c>
      <c r="K51" s="9">
        <v>45473</v>
      </c>
    </row>
    <row r="52" spans="1:11" x14ac:dyDescent="0.25">
      <c r="A52">
        <v>48</v>
      </c>
      <c r="B52" t="s">
        <v>2775</v>
      </c>
      <c r="C52" t="s">
        <v>979</v>
      </c>
      <c r="D52" t="s">
        <v>2773</v>
      </c>
      <c r="J52" s="9">
        <v>45108</v>
      </c>
      <c r="K52" s="9">
        <v>45473</v>
      </c>
    </row>
    <row r="53" spans="1:11" x14ac:dyDescent="0.25">
      <c r="C53" t="s">
        <v>983</v>
      </c>
      <c r="D53" t="s">
        <v>984</v>
      </c>
      <c r="J53" s="9">
        <v>45108</v>
      </c>
      <c r="K53" s="9">
        <v>45473</v>
      </c>
    </row>
    <row r="54" spans="1:11" x14ac:dyDescent="0.25">
      <c r="A54">
        <v>49</v>
      </c>
      <c r="B54" t="s">
        <v>2778</v>
      </c>
      <c r="C54" t="s">
        <v>999</v>
      </c>
      <c r="D54" t="s">
        <v>2776</v>
      </c>
      <c r="E54">
        <v>40.049999999999997</v>
      </c>
      <c r="F54">
        <v>4.8499999999999996</v>
      </c>
      <c r="G54">
        <v>0.74</v>
      </c>
      <c r="H54">
        <v>85.57</v>
      </c>
      <c r="I54">
        <v>0.87</v>
      </c>
      <c r="J54" s="9">
        <v>45108</v>
      </c>
      <c r="K54" s="9">
        <v>45473</v>
      </c>
    </row>
    <row r="55" spans="1:11" x14ac:dyDescent="0.25">
      <c r="A55">
        <v>50</v>
      </c>
      <c r="B55" t="s">
        <v>2781</v>
      </c>
      <c r="C55" t="s">
        <v>1003</v>
      </c>
      <c r="D55" t="s">
        <v>2779</v>
      </c>
      <c r="E55">
        <v>29.24</v>
      </c>
      <c r="F55">
        <v>5.12</v>
      </c>
      <c r="G55">
        <v>0.86</v>
      </c>
      <c r="H55">
        <v>83.26</v>
      </c>
      <c r="I55">
        <v>1.03</v>
      </c>
      <c r="J55" s="9">
        <v>45108</v>
      </c>
      <c r="K55" s="9">
        <v>45473</v>
      </c>
    </row>
    <row r="56" spans="1:11" x14ac:dyDescent="0.25">
      <c r="A56">
        <v>51</v>
      </c>
      <c r="B56" t="s">
        <v>2784</v>
      </c>
      <c r="C56" t="s">
        <v>1008</v>
      </c>
      <c r="D56" t="s">
        <v>2782</v>
      </c>
      <c r="E56">
        <v>44.52</v>
      </c>
      <c r="F56">
        <v>1.32</v>
      </c>
      <c r="G56">
        <v>0.89</v>
      </c>
      <c r="H56">
        <v>90</v>
      </c>
      <c r="I56">
        <v>0.99</v>
      </c>
      <c r="J56" s="9">
        <v>45108</v>
      </c>
      <c r="K56" s="9">
        <v>45473</v>
      </c>
    </row>
    <row r="57" spans="1:11" x14ac:dyDescent="0.25">
      <c r="A57">
        <v>53</v>
      </c>
      <c r="B57" t="s">
        <v>2787</v>
      </c>
      <c r="C57" t="s">
        <v>1013</v>
      </c>
      <c r="D57" t="s">
        <v>2785</v>
      </c>
      <c r="J57" s="9">
        <v>45108</v>
      </c>
      <c r="K57" s="9">
        <v>45473</v>
      </c>
    </row>
    <row r="58" spans="1:11" x14ac:dyDescent="0.25">
      <c r="A58">
        <v>54</v>
      </c>
      <c r="B58" t="s">
        <v>2790</v>
      </c>
      <c r="C58" t="s">
        <v>1017</v>
      </c>
      <c r="D58" t="s">
        <v>2788</v>
      </c>
      <c r="E58">
        <v>41.35</v>
      </c>
      <c r="F58">
        <v>1.4</v>
      </c>
      <c r="G58">
        <v>0.86</v>
      </c>
      <c r="H58">
        <v>84.15</v>
      </c>
      <c r="I58">
        <v>1.02</v>
      </c>
      <c r="J58" s="9">
        <v>45108</v>
      </c>
      <c r="K58" s="9">
        <v>45473</v>
      </c>
    </row>
    <row r="59" spans="1:11" x14ac:dyDescent="0.25">
      <c r="A59">
        <v>55</v>
      </c>
      <c r="B59" t="s">
        <v>2792</v>
      </c>
      <c r="C59" t="s">
        <v>1021</v>
      </c>
      <c r="D59" t="s">
        <v>2791</v>
      </c>
      <c r="E59">
        <v>18.23</v>
      </c>
      <c r="F59">
        <v>1.82</v>
      </c>
      <c r="G59">
        <v>0.82</v>
      </c>
      <c r="H59">
        <v>89.33</v>
      </c>
      <c r="I59">
        <v>0.92</v>
      </c>
      <c r="J59" s="9">
        <v>45108</v>
      </c>
      <c r="K59" s="9">
        <v>45473</v>
      </c>
    </row>
    <row r="60" spans="1:11" x14ac:dyDescent="0.25">
      <c r="A60">
        <v>52</v>
      </c>
      <c r="B60" t="s">
        <v>2795</v>
      </c>
      <c r="C60" t="s">
        <v>1033</v>
      </c>
      <c r="D60" t="s">
        <v>2793</v>
      </c>
      <c r="E60">
        <v>31.56</v>
      </c>
      <c r="F60">
        <v>2.54</v>
      </c>
      <c r="G60">
        <v>0.85</v>
      </c>
      <c r="H60">
        <v>83.26</v>
      </c>
      <c r="I60">
        <v>1.02</v>
      </c>
      <c r="J60" s="9">
        <v>45108</v>
      </c>
      <c r="K60" s="9">
        <v>45473</v>
      </c>
    </row>
    <row r="61" spans="1:11" x14ac:dyDescent="0.25">
      <c r="A61">
        <v>56</v>
      </c>
      <c r="B61" t="s">
        <v>2798</v>
      </c>
      <c r="C61" t="s">
        <v>1039</v>
      </c>
      <c r="D61" t="s">
        <v>2796</v>
      </c>
      <c r="E61">
        <v>43.55</v>
      </c>
      <c r="F61">
        <v>2.25</v>
      </c>
      <c r="G61">
        <v>0.89</v>
      </c>
      <c r="H61">
        <v>86.33</v>
      </c>
      <c r="I61">
        <v>1.03</v>
      </c>
      <c r="J61" s="9">
        <v>45108</v>
      </c>
      <c r="K61" s="9">
        <v>45473</v>
      </c>
    </row>
    <row r="62" spans="1:11" x14ac:dyDescent="0.25">
      <c r="A62">
        <v>57</v>
      </c>
      <c r="B62" t="s">
        <v>2800</v>
      </c>
      <c r="C62" t="s">
        <v>1043</v>
      </c>
      <c r="D62" t="s">
        <v>2799</v>
      </c>
      <c r="E62">
        <v>37.770000000000003</v>
      </c>
      <c r="F62">
        <v>6.13</v>
      </c>
      <c r="G62">
        <v>1.04</v>
      </c>
      <c r="H62">
        <v>85.23</v>
      </c>
      <c r="I62">
        <v>1.22</v>
      </c>
      <c r="J62" s="9">
        <v>45108</v>
      </c>
      <c r="K62" s="9">
        <v>45473</v>
      </c>
    </row>
    <row r="63" spans="1:11" x14ac:dyDescent="0.25">
      <c r="A63">
        <v>58</v>
      </c>
      <c r="B63" t="s">
        <v>2803</v>
      </c>
      <c r="C63" t="s">
        <v>1047</v>
      </c>
      <c r="D63" t="s">
        <v>2801</v>
      </c>
      <c r="E63">
        <v>41.43</v>
      </c>
      <c r="F63">
        <v>2.0499999999999998</v>
      </c>
      <c r="G63">
        <v>0.89</v>
      </c>
      <c r="H63">
        <v>84.93</v>
      </c>
      <c r="I63">
        <v>1.05</v>
      </c>
      <c r="J63" s="9">
        <v>45108</v>
      </c>
      <c r="K63" s="9">
        <v>45473</v>
      </c>
    </row>
    <row r="64" spans="1:11" x14ac:dyDescent="0.25">
      <c r="A64">
        <v>59</v>
      </c>
      <c r="B64" t="s">
        <v>2806</v>
      </c>
      <c r="C64" t="s">
        <v>1052</v>
      </c>
      <c r="D64" t="s">
        <v>2804</v>
      </c>
      <c r="E64">
        <v>35.380000000000003</v>
      </c>
      <c r="F64">
        <v>2.2400000000000002</v>
      </c>
      <c r="G64">
        <v>0.85</v>
      </c>
      <c r="H64">
        <v>82.2</v>
      </c>
      <c r="I64">
        <v>1.04</v>
      </c>
      <c r="J64" s="9">
        <v>45108</v>
      </c>
      <c r="K64" s="9">
        <v>45473</v>
      </c>
    </row>
    <row r="65" spans="1:11" x14ac:dyDescent="0.25">
      <c r="A65">
        <v>60</v>
      </c>
      <c r="B65" t="s">
        <v>2809</v>
      </c>
      <c r="C65" t="s">
        <v>1061</v>
      </c>
      <c r="D65" t="s">
        <v>2807</v>
      </c>
      <c r="E65">
        <v>34.770000000000003</v>
      </c>
      <c r="F65">
        <v>2.35</v>
      </c>
      <c r="G65">
        <v>0.83</v>
      </c>
      <c r="H65">
        <v>89.48</v>
      </c>
      <c r="I65">
        <v>0.92</v>
      </c>
      <c r="J65" s="9">
        <v>45108</v>
      </c>
      <c r="K65" s="9">
        <v>45473</v>
      </c>
    </row>
    <row r="66" spans="1:11" x14ac:dyDescent="0.25">
      <c r="A66">
        <v>61</v>
      </c>
      <c r="B66" t="s">
        <v>2812</v>
      </c>
      <c r="C66" t="s">
        <v>1065</v>
      </c>
      <c r="D66" t="s">
        <v>2810</v>
      </c>
      <c r="E66">
        <v>45.66</v>
      </c>
      <c r="F66">
        <v>2.5499999999999998</v>
      </c>
      <c r="G66">
        <v>0.83</v>
      </c>
      <c r="H66">
        <v>91.72</v>
      </c>
      <c r="I66">
        <v>0.91</v>
      </c>
      <c r="J66" s="9">
        <v>45108</v>
      </c>
      <c r="K66" s="9">
        <v>45473</v>
      </c>
    </row>
    <row r="67" spans="1:11" x14ac:dyDescent="0.25">
      <c r="A67">
        <v>62</v>
      </c>
      <c r="B67" t="s">
        <v>2815</v>
      </c>
      <c r="C67" t="s">
        <v>1069</v>
      </c>
      <c r="D67" t="s">
        <v>2813</v>
      </c>
      <c r="E67">
        <v>29.16</v>
      </c>
      <c r="F67">
        <v>0</v>
      </c>
      <c r="G67">
        <v>0.71</v>
      </c>
      <c r="H67">
        <v>80</v>
      </c>
      <c r="I67">
        <v>0.89</v>
      </c>
      <c r="J67" s="9">
        <v>45108</v>
      </c>
      <c r="K67" s="9">
        <v>45473</v>
      </c>
    </row>
    <row r="68" spans="1:11" x14ac:dyDescent="0.25">
      <c r="A68">
        <v>63</v>
      </c>
      <c r="B68" t="s">
        <v>2817</v>
      </c>
      <c r="C68" t="s">
        <v>1073</v>
      </c>
      <c r="D68" t="s">
        <v>1074</v>
      </c>
      <c r="E68">
        <v>35.979999999999997</v>
      </c>
      <c r="F68">
        <v>2.2200000000000002</v>
      </c>
      <c r="G68">
        <v>0.83</v>
      </c>
      <c r="H68">
        <v>90.36</v>
      </c>
      <c r="I68">
        <v>0.91</v>
      </c>
      <c r="J68" s="9">
        <v>45108</v>
      </c>
      <c r="K68" s="9">
        <v>45473</v>
      </c>
    </row>
    <row r="69" spans="1:11" x14ac:dyDescent="0.25">
      <c r="A69">
        <v>64</v>
      </c>
      <c r="B69" t="s">
        <v>2818</v>
      </c>
      <c r="C69" t="s">
        <v>1077</v>
      </c>
      <c r="D69" t="s">
        <v>1078</v>
      </c>
      <c r="E69">
        <v>22.42</v>
      </c>
      <c r="F69">
        <v>3.03</v>
      </c>
      <c r="G69">
        <v>0.88</v>
      </c>
      <c r="H69">
        <v>90</v>
      </c>
      <c r="I69">
        <v>0.97</v>
      </c>
      <c r="J69" s="9">
        <v>45108</v>
      </c>
      <c r="K69" s="9">
        <v>45473</v>
      </c>
    </row>
    <row r="70" spans="1:11" x14ac:dyDescent="0.25">
      <c r="A70">
        <v>65</v>
      </c>
      <c r="B70" t="s">
        <v>2820</v>
      </c>
      <c r="C70" t="s">
        <v>1081</v>
      </c>
      <c r="D70" t="s">
        <v>1082</v>
      </c>
      <c r="J70" s="9">
        <v>45108</v>
      </c>
      <c r="K70" s="9">
        <v>45473</v>
      </c>
    </row>
    <row r="71" spans="1:11" x14ac:dyDescent="0.25">
      <c r="A71">
        <v>66</v>
      </c>
      <c r="B71" t="s">
        <v>2822</v>
      </c>
      <c r="C71" t="s">
        <v>1085</v>
      </c>
      <c r="D71" t="s">
        <v>2821</v>
      </c>
      <c r="E71">
        <v>44.36</v>
      </c>
      <c r="F71">
        <v>4.24</v>
      </c>
      <c r="G71">
        <v>0.8</v>
      </c>
      <c r="H71">
        <v>90.79</v>
      </c>
      <c r="I71">
        <v>0.88</v>
      </c>
      <c r="J71" s="9">
        <v>45108</v>
      </c>
      <c r="K71" s="9">
        <v>45473</v>
      </c>
    </row>
    <row r="72" spans="1:11" x14ac:dyDescent="0.25">
      <c r="A72">
        <v>404</v>
      </c>
      <c r="B72" t="s">
        <v>2824</v>
      </c>
      <c r="C72" t="s">
        <v>1090</v>
      </c>
      <c r="D72" t="s">
        <v>1091</v>
      </c>
      <c r="E72">
        <v>48.36</v>
      </c>
      <c r="F72">
        <v>3.29</v>
      </c>
      <c r="G72">
        <v>0.82</v>
      </c>
      <c r="H72">
        <v>90.63</v>
      </c>
      <c r="I72">
        <v>0.9</v>
      </c>
      <c r="J72" s="9">
        <v>45108</v>
      </c>
      <c r="K72" s="9">
        <v>45473</v>
      </c>
    </row>
    <row r="73" spans="1:11" x14ac:dyDescent="0.25">
      <c r="A73">
        <v>68</v>
      </c>
      <c r="B73" t="s">
        <v>2826</v>
      </c>
      <c r="C73" t="s">
        <v>1096</v>
      </c>
      <c r="D73" t="s">
        <v>1097</v>
      </c>
      <c r="E73">
        <v>48.62</v>
      </c>
      <c r="F73">
        <v>3.48</v>
      </c>
      <c r="G73">
        <v>0.91</v>
      </c>
      <c r="H73">
        <v>85.12</v>
      </c>
      <c r="I73">
        <v>1.07</v>
      </c>
      <c r="J73" s="9">
        <v>45108</v>
      </c>
      <c r="K73" s="9">
        <v>45473</v>
      </c>
    </row>
    <row r="74" spans="1:11" x14ac:dyDescent="0.25">
      <c r="A74">
        <v>69</v>
      </c>
      <c r="B74" t="s">
        <v>2829</v>
      </c>
      <c r="C74" t="s">
        <v>1101</v>
      </c>
      <c r="D74" t="s">
        <v>2827</v>
      </c>
      <c r="E74">
        <v>49.02</v>
      </c>
      <c r="F74">
        <v>2.52</v>
      </c>
      <c r="G74">
        <v>0.98</v>
      </c>
      <c r="H74">
        <v>86.66</v>
      </c>
      <c r="I74">
        <v>1.1299999999999999</v>
      </c>
      <c r="J74" s="9">
        <v>45108</v>
      </c>
      <c r="K74" s="9">
        <v>45473</v>
      </c>
    </row>
    <row r="75" spans="1:11" x14ac:dyDescent="0.25">
      <c r="A75">
        <v>70</v>
      </c>
      <c r="B75" t="s">
        <v>2832</v>
      </c>
      <c r="C75" t="s">
        <v>1105</v>
      </c>
      <c r="D75" t="s">
        <v>2830</v>
      </c>
      <c r="E75">
        <v>36.99</v>
      </c>
      <c r="F75">
        <v>3.29</v>
      </c>
      <c r="G75">
        <v>0.78</v>
      </c>
      <c r="H75">
        <v>73.75</v>
      </c>
      <c r="I75">
        <v>1.06</v>
      </c>
      <c r="J75" s="9">
        <v>45108</v>
      </c>
      <c r="K75" s="9">
        <v>45473</v>
      </c>
    </row>
    <row r="76" spans="1:11" x14ac:dyDescent="0.25">
      <c r="A76">
        <v>71</v>
      </c>
      <c r="B76" t="s">
        <v>2835</v>
      </c>
      <c r="C76" t="s">
        <v>1109</v>
      </c>
      <c r="D76" t="s">
        <v>2833</v>
      </c>
      <c r="E76">
        <v>41.68</v>
      </c>
      <c r="F76">
        <v>4.12</v>
      </c>
      <c r="G76">
        <v>0.77</v>
      </c>
      <c r="H76">
        <v>75.91</v>
      </c>
      <c r="I76">
        <v>1.02</v>
      </c>
      <c r="J76" s="9">
        <v>45108</v>
      </c>
      <c r="K76" s="9">
        <v>45473</v>
      </c>
    </row>
    <row r="77" spans="1:11" x14ac:dyDescent="0.25">
      <c r="A77">
        <v>73</v>
      </c>
      <c r="B77" t="s">
        <v>2837</v>
      </c>
      <c r="C77" t="s">
        <v>1113</v>
      </c>
      <c r="D77" t="s">
        <v>1114</v>
      </c>
      <c r="E77">
        <v>40.049999999999997</v>
      </c>
      <c r="F77">
        <v>0.32</v>
      </c>
      <c r="G77">
        <v>0.72</v>
      </c>
      <c r="H77">
        <v>85.09</v>
      </c>
      <c r="I77">
        <v>0.84</v>
      </c>
      <c r="J77" s="9">
        <v>45108</v>
      </c>
      <c r="K77" s="9">
        <v>45473</v>
      </c>
    </row>
    <row r="78" spans="1:11" x14ac:dyDescent="0.25">
      <c r="A78">
        <v>74</v>
      </c>
      <c r="B78" t="s">
        <v>2840</v>
      </c>
      <c r="C78" t="s">
        <v>1117</v>
      </c>
      <c r="D78" t="s">
        <v>2838</v>
      </c>
      <c r="E78">
        <v>42</v>
      </c>
      <c r="F78">
        <v>1.2</v>
      </c>
      <c r="G78">
        <v>0.74</v>
      </c>
      <c r="H78">
        <v>86</v>
      </c>
      <c r="I78">
        <v>0.86</v>
      </c>
      <c r="J78" s="9">
        <v>45108</v>
      </c>
      <c r="K78" s="9">
        <v>45473</v>
      </c>
    </row>
    <row r="79" spans="1:11" x14ac:dyDescent="0.25">
      <c r="A79">
        <v>75</v>
      </c>
      <c r="B79" t="s">
        <v>2842</v>
      </c>
      <c r="C79" t="s">
        <v>1122</v>
      </c>
      <c r="D79" t="s">
        <v>1123</v>
      </c>
      <c r="E79">
        <v>44.36</v>
      </c>
      <c r="F79">
        <v>4.55</v>
      </c>
      <c r="G79">
        <v>0.87</v>
      </c>
      <c r="H79">
        <v>86.35</v>
      </c>
      <c r="I79">
        <v>1.01</v>
      </c>
      <c r="J79" s="9">
        <v>45108</v>
      </c>
      <c r="K79" s="9">
        <v>45473</v>
      </c>
    </row>
    <row r="80" spans="1:11" x14ac:dyDescent="0.25">
      <c r="A80">
        <v>76</v>
      </c>
      <c r="B80" t="s">
        <v>2845</v>
      </c>
      <c r="C80" t="s">
        <v>1126</v>
      </c>
      <c r="D80" t="s">
        <v>2843</v>
      </c>
      <c r="E80">
        <v>43.27</v>
      </c>
      <c r="F80">
        <v>1.19</v>
      </c>
      <c r="G80">
        <v>0.85</v>
      </c>
      <c r="H80">
        <v>85.37</v>
      </c>
      <c r="I80">
        <v>1</v>
      </c>
      <c r="J80" s="9">
        <v>45108</v>
      </c>
      <c r="K80" s="9">
        <v>45473</v>
      </c>
    </row>
    <row r="81" spans="1:11" x14ac:dyDescent="0.25">
      <c r="A81">
        <v>77</v>
      </c>
      <c r="B81" t="s">
        <v>2847</v>
      </c>
      <c r="C81" t="s">
        <v>1130</v>
      </c>
      <c r="D81" t="s">
        <v>1131</v>
      </c>
      <c r="E81">
        <v>49.96</v>
      </c>
      <c r="F81">
        <v>1.47</v>
      </c>
      <c r="G81">
        <v>0.87</v>
      </c>
      <c r="H81">
        <v>86.37</v>
      </c>
      <c r="I81">
        <v>1.01</v>
      </c>
      <c r="J81" s="9">
        <v>45108</v>
      </c>
      <c r="K81" s="9">
        <v>45473</v>
      </c>
    </row>
    <row r="82" spans="1:11" x14ac:dyDescent="0.25">
      <c r="A82">
        <v>78</v>
      </c>
      <c r="B82" t="s">
        <v>2849</v>
      </c>
      <c r="C82" t="s">
        <v>1136</v>
      </c>
      <c r="D82" t="s">
        <v>1137</v>
      </c>
      <c r="E82">
        <v>46.74</v>
      </c>
      <c r="F82">
        <v>1.37</v>
      </c>
      <c r="G82">
        <v>0.75</v>
      </c>
      <c r="H82">
        <v>87.76</v>
      </c>
      <c r="I82">
        <v>0.85</v>
      </c>
      <c r="J82" s="9">
        <v>45108</v>
      </c>
      <c r="K82" s="9">
        <v>45473</v>
      </c>
    </row>
    <row r="83" spans="1:11" x14ac:dyDescent="0.25">
      <c r="A83">
        <v>79</v>
      </c>
      <c r="B83" t="s">
        <v>2851</v>
      </c>
      <c r="C83" t="s">
        <v>1140</v>
      </c>
      <c r="D83" t="s">
        <v>1141</v>
      </c>
      <c r="E83">
        <v>17.75</v>
      </c>
      <c r="F83">
        <v>3.43</v>
      </c>
      <c r="G83">
        <v>0.93</v>
      </c>
      <c r="H83">
        <v>81.87</v>
      </c>
      <c r="I83">
        <v>1.1399999999999999</v>
      </c>
      <c r="J83" s="9">
        <v>45108</v>
      </c>
      <c r="K83" s="9">
        <v>45473</v>
      </c>
    </row>
    <row r="84" spans="1:11" x14ac:dyDescent="0.25">
      <c r="A84">
        <v>80</v>
      </c>
      <c r="B84" t="s">
        <v>2854</v>
      </c>
      <c r="C84" t="s">
        <v>1144</v>
      </c>
      <c r="D84" t="s">
        <v>2852</v>
      </c>
      <c r="E84">
        <v>44.26</v>
      </c>
      <c r="F84">
        <v>3.73</v>
      </c>
      <c r="G84">
        <v>0.85</v>
      </c>
      <c r="H84">
        <v>81.819999999999993</v>
      </c>
      <c r="I84">
        <v>1.04</v>
      </c>
      <c r="J84" s="9">
        <v>45108</v>
      </c>
      <c r="K84" s="9">
        <v>45473</v>
      </c>
    </row>
    <row r="85" spans="1:11" x14ac:dyDescent="0.25">
      <c r="A85">
        <v>81</v>
      </c>
      <c r="B85" t="s">
        <v>2857</v>
      </c>
      <c r="C85" t="s">
        <v>1148</v>
      </c>
      <c r="D85" t="s">
        <v>2855</v>
      </c>
      <c r="J85" s="9">
        <v>45108</v>
      </c>
      <c r="K85" s="9">
        <v>45473</v>
      </c>
    </row>
    <row r="86" spans="1:11" x14ac:dyDescent="0.25">
      <c r="A86">
        <v>82</v>
      </c>
      <c r="B86" t="s">
        <v>2858</v>
      </c>
      <c r="C86" t="s">
        <v>1152</v>
      </c>
      <c r="D86" t="s">
        <v>1153</v>
      </c>
      <c r="E86">
        <v>44.74</v>
      </c>
      <c r="F86">
        <v>1.89</v>
      </c>
      <c r="G86">
        <v>0.74</v>
      </c>
      <c r="H86">
        <v>86</v>
      </c>
      <c r="I86">
        <v>0.86</v>
      </c>
      <c r="J86" s="9">
        <v>45108</v>
      </c>
      <c r="K86" s="9">
        <v>45473</v>
      </c>
    </row>
    <row r="87" spans="1:11" x14ac:dyDescent="0.25">
      <c r="A87">
        <v>83</v>
      </c>
      <c r="B87" t="s">
        <v>2860</v>
      </c>
      <c r="C87" t="s">
        <v>1156</v>
      </c>
      <c r="D87" t="s">
        <v>1157</v>
      </c>
      <c r="E87">
        <v>32.729999999999997</v>
      </c>
      <c r="F87">
        <v>2.5</v>
      </c>
      <c r="G87">
        <v>0.74</v>
      </c>
      <c r="H87">
        <v>80.78</v>
      </c>
      <c r="I87">
        <v>0.91</v>
      </c>
      <c r="J87" s="9">
        <v>45108</v>
      </c>
      <c r="K87" s="9">
        <v>45473</v>
      </c>
    </row>
    <row r="88" spans="1:11" x14ac:dyDescent="0.25">
      <c r="A88">
        <v>84</v>
      </c>
      <c r="B88" t="s">
        <v>2863</v>
      </c>
      <c r="C88" t="s">
        <v>1161</v>
      </c>
      <c r="D88" t="s">
        <v>2861</v>
      </c>
      <c r="E88">
        <v>61.2</v>
      </c>
      <c r="F88">
        <v>3.92</v>
      </c>
      <c r="G88">
        <v>0.83</v>
      </c>
      <c r="H88">
        <v>92.83</v>
      </c>
      <c r="I88">
        <v>0.9</v>
      </c>
      <c r="J88" s="9">
        <v>45108</v>
      </c>
      <c r="K88" s="9">
        <v>45473</v>
      </c>
    </row>
    <row r="89" spans="1:11" x14ac:dyDescent="0.25">
      <c r="A89">
        <v>85</v>
      </c>
      <c r="B89" t="s">
        <v>2866</v>
      </c>
      <c r="C89" t="s">
        <v>1165</v>
      </c>
      <c r="D89" t="s">
        <v>2864</v>
      </c>
      <c r="J89" s="9">
        <v>45108</v>
      </c>
      <c r="K89" s="9">
        <v>45473</v>
      </c>
    </row>
    <row r="90" spans="1:11" x14ac:dyDescent="0.25">
      <c r="A90">
        <v>87</v>
      </c>
      <c r="B90" t="s">
        <v>2868</v>
      </c>
      <c r="C90" t="s">
        <v>1169</v>
      </c>
      <c r="D90" t="s">
        <v>2867</v>
      </c>
      <c r="E90">
        <v>22.88</v>
      </c>
      <c r="F90">
        <v>6.67</v>
      </c>
      <c r="G90">
        <v>0.96</v>
      </c>
      <c r="H90">
        <v>84.22</v>
      </c>
      <c r="I90">
        <v>1.1499999999999999</v>
      </c>
      <c r="J90" s="9">
        <v>45108</v>
      </c>
      <c r="K90" s="9">
        <v>45473</v>
      </c>
    </row>
    <row r="91" spans="1:11" x14ac:dyDescent="0.25">
      <c r="A91">
        <v>88</v>
      </c>
      <c r="B91" t="s">
        <v>2871</v>
      </c>
      <c r="C91" t="s">
        <v>1174</v>
      </c>
      <c r="D91" t="s">
        <v>2869</v>
      </c>
      <c r="J91" s="9">
        <v>45108</v>
      </c>
      <c r="K91" s="9">
        <v>45473</v>
      </c>
    </row>
    <row r="92" spans="1:11" x14ac:dyDescent="0.25">
      <c r="A92">
        <v>89</v>
      </c>
      <c r="B92" t="s">
        <v>2873</v>
      </c>
      <c r="C92" t="s">
        <v>1178</v>
      </c>
      <c r="D92" t="s">
        <v>1179</v>
      </c>
      <c r="J92" s="9">
        <v>45108</v>
      </c>
      <c r="K92" s="9">
        <v>45473</v>
      </c>
    </row>
    <row r="93" spans="1:11" x14ac:dyDescent="0.25">
      <c r="A93">
        <v>90</v>
      </c>
      <c r="B93" t="s">
        <v>2875</v>
      </c>
      <c r="C93" t="s">
        <v>1182</v>
      </c>
      <c r="D93" t="s">
        <v>1183</v>
      </c>
      <c r="E93">
        <v>50.9</v>
      </c>
      <c r="F93">
        <v>2.4700000000000002</v>
      </c>
      <c r="G93">
        <v>0.83</v>
      </c>
      <c r="H93">
        <v>86.59</v>
      </c>
      <c r="I93">
        <v>0.96</v>
      </c>
      <c r="J93" s="9">
        <v>45108</v>
      </c>
      <c r="K93" s="9">
        <v>45473</v>
      </c>
    </row>
    <row r="94" spans="1:11" x14ac:dyDescent="0.25">
      <c r="A94">
        <v>92</v>
      </c>
      <c r="B94" t="s">
        <v>2877</v>
      </c>
      <c r="C94" t="s">
        <v>1186</v>
      </c>
      <c r="D94" t="s">
        <v>1187</v>
      </c>
      <c r="J94" s="9">
        <v>45108</v>
      </c>
      <c r="K94" s="9">
        <v>45473</v>
      </c>
    </row>
    <row r="95" spans="1:11" x14ac:dyDescent="0.25">
      <c r="A95">
        <v>93</v>
      </c>
      <c r="B95" t="s">
        <v>2878</v>
      </c>
      <c r="C95" t="s">
        <v>1190</v>
      </c>
      <c r="D95" t="s">
        <v>1191</v>
      </c>
      <c r="E95">
        <v>59.05</v>
      </c>
      <c r="F95">
        <v>4.75</v>
      </c>
      <c r="G95">
        <v>1.04</v>
      </c>
      <c r="H95">
        <v>85.1</v>
      </c>
      <c r="I95">
        <v>1.22</v>
      </c>
      <c r="J95" s="9">
        <v>45108</v>
      </c>
      <c r="K95" s="9">
        <v>45473</v>
      </c>
    </row>
    <row r="96" spans="1:11" x14ac:dyDescent="0.25">
      <c r="A96">
        <v>94</v>
      </c>
      <c r="B96" t="s">
        <v>2880</v>
      </c>
      <c r="C96" t="s">
        <v>1194</v>
      </c>
      <c r="D96" t="s">
        <v>2879</v>
      </c>
      <c r="J96" s="9">
        <v>45108</v>
      </c>
      <c r="K96" s="9">
        <v>45473</v>
      </c>
    </row>
    <row r="97" spans="1:11" x14ac:dyDescent="0.25">
      <c r="A97">
        <v>95</v>
      </c>
      <c r="B97" t="s">
        <v>2882</v>
      </c>
      <c r="C97" t="s">
        <v>1198</v>
      </c>
      <c r="D97" t="s">
        <v>1199</v>
      </c>
      <c r="E97">
        <v>50.62</v>
      </c>
      <c r="F97">
        <v>2.48</v>
      </c>
      <c r="G97">
        <v>0.9</v>
      </c>
      <c r="H97">
        <v>84.47</v>
      </c>
      <c r="I97">
        <v>1.07</v>
      </c>
      <c r="J97" s="9">
        <v>45108</v>
      </c>
      <c r="K97" s="9">
        <v>45473</v>
      </c>
    </row>
    <row r="98" spans="1:11" x14ac:dyDescent="0.25">
      <c r="A98">
        <v>96</v>
      </c>
      <c r="B98" t="s">
        <v>2884</v>
      </c>
      <c r="C98" t="s">
        <v>1202</v>
      </c>
      <c r="D98" t="s">
        <v>1203</v>
      </c>
      <c r="E98">
        <v>48.99</v>
      </c>
      <c r="F98">
        <v>1.44</v>
      </c>
      <c r="G98">
        <v>0.87</v>
      </c>
      <c r="H98">
        <v>86.14</v>
      </c>
      <c r="I98">
        <v>1.01</v>
      </c>
      <c r="J98" s="9">
        <v>45108</v>
      </c>
      <c r="K98" s="9">
        <v>45473</v>
      </c>
    </row>
    <row r="99" spans="1:11" x14ac:dyDescent="0.25">
      <c r="A99">
        <v>97</v>
      </c>
      <c r="B99" t="s">
        <v>2886</v>
      </c>
      <c r="C99" t="s">
        <v>1206</v>
      </c>
      <c r="D99" t="s">
        <v>1207</v>
      </c>
      <c r="E99">
        <v>51.33</v>
      </c>
      <c r="F99">
        <v>3.76</v>
      </c>
      <c r="G99">
        <v>0.88</v>
      </c>
      <c r="H99">
        <v>79.92</v>
      </c>
      <c r="I99">
        <v>1.1000000000000001</v>
      </c>
      <c r="J99" s="9">
        <v>45108</v>
      </c>
      <c r="K99" s="9">
        <v>45473</v>
      </c>
    </row>
    <row r="100" spans="1:11" x14ac:dyDescent="0.25">
      <c r="A100">
        <v>98</v>
      </c>
      <c r="B100" t="s">
        <v>2888</v>
      </c>
      <c r="C100" t="s">
        <v>1210</v>
      </c>
      <c r="D100" t="s">
        <v>1211</v>
      </c>
      <c r="E100">
        <v>50.13</v>
      </c>
      <c r="F100">
        <v>1.94</v>
      </c>
      <c r="G100">
        <v>0.89</v>
      </c>
      <c r="H100">
        <v>89.2</v>
      </c>
      <c r="I100">
        <v>1</v>
      </c>
      <c r="J100" s="9">
        <v>45108</v>
      </c>
      <c r="K100" s="9">
        <v>45473</v>
      </c>
    </row>
    <row r="101" spans="1:11" x14ac:dyDescent="0.25">
      <c r="A101">
        <v>99</v>
      </c>
      <c r="B101" t="s">
        <v>2890</v>
      </c>
      <c r="C101" t="s">
        <v>1214</v>
      </c>
      <c r="D101" t="s">
        <v>2889</v>
      </c>
      <c r="E101">
        <v>37.42</v>
      </c>
      <c r="F101">
        <v>4.42</v>
      </c>
      <c r="G101">
        <v>0.81</v>
      </c>
      <c r="H101">
        <v>80.03</v>
      </c>
      <c r="I101">
        <v>1.02</v>
      </c>
      <c r="J101" s="9">
        <v>45108</v>
      </c>
      <c r="K101" s="9">
        <v>45473</v>
      </c>
    </row>
    <row r="102" spans="1:11" x14ac:dyDescent="0.25">
      <c r="A102">
        <v>100</v>
      </c>
      <c r="B102" t="s">
        <v>2893</v>
      </c>
      <c r="C102" t="s">
        <v>1218</v>
      </c>
      <c r="D102" t="s">
        <v>2891</v>
      </c>
      <c r="J102" s="9">
        <v>45108</v>
      </c>
      <c r="K102" s="9">
        <v>45473</v>
      </c>
    </row>
    <row r="103" spans="1:11" x14ac:dyDescent="0.25">
      <c r="A103">
        <v>101</v>
      </c>
      <c r="B103" t="s">
        <v>2895</v>
      </c>
      <c r="C103" t="s">
        <v>1222</v>
      </c>
      <c r="D103" t="s">
        <v>1223</v>
      </c>
      <c r="E103">
        <v>51.12</v>
      </c>
      <c r="F103">
        <v>4.8</v>
      </c>
      <c r="G103">
        <v>0.96</v>
      </c>
      <c r="H103">
        <v>77</v>
      </c>
      <c r="I103">
        <v>1.25</v>
      </c>
      <c r="J103" s="9">
        <v>45108</v>
      </c>
      <c r="K103" s="9">
        <v>45473</v>
      </c>
    </row>
    <row r="104" spans="1:11" x14ac:dyDescent="0.25">
      <c r="A104">
        <v>102</v>
      </c>
      <c r="B104" t="s">
        <v>2896</v>
      </c>
      <c r="C104" t="s">
        <v>1226</v>
      </c>
      <c r="D104" t="s">
        <v>1227</v>
      </c>
      <c r="E104">
        <v>28.48</v>
      </c>
      <c r="F104">
        <v>4.93</v>
      </c>
      <c r="G104">
        <v>0.84</v>
      </c>
      <c r="H104">
        <v>85.2</v>
      </c>
      <c r="I104">
        <v>0.98</v>
      </c>
      <c r="J104" s="9">
        <v>45108</v>
      </c>
      <c r="K104" s="9">
        <v>45473</v>
      </c>
    </row>
    <row r="105" spans="1:11" x14ac:dyDescent="0.25">
      <c r="A105">
        <v>103</v>
      </c>
      <c r="B105" t="s">
        <v>2898</v>
      </c>
      <c r="C105" t="s">
        <v>1230</v>
      </c>
      <c r="D105" t="s">
        <v>1231</v>
      </c>
      <c r="E105">
        <v>59.47</v>
      </c>
      <c r="F105">
        <v>1.24</v>
      </c>
      <c r="G105">
        <v>0.88</v>
      </c>
      <c r="H105">
        <v>84.52</v>
      </c>
      <c r="I105">
        <v>1.04</v>
      </c>
      <c r="J105" s="9">
        <v>45108</v>
      </c>
      <c r="K105" s="9">
        <v>45473</v>
      </c>
    </row>
    <row r="106" spans="1:11" x14ac:dyDescent="0.25">
      <c r="A106">
        <v>105</v>
      </c>
      <c r="B106" t="s">
        <v>2901</v>
      </c>
      <c r="C106" t="s">
        <v>1234</v>
      </c>
      <c r="D106" t="s">
        <v>2899</v>
      </c>
      <c r="E106">
        <v>31.56</v>
      </c>
      <c r="F106">
        <v>2.54</v>
      </c>
      <c r="G106">
        <v>0.85</v>
      </c>
      <c r="H106">
        <v>83.26</v>
      </c>
      <c r="I106">
        <v>1.02</v>
      </c>
      <c r="J106" s="9">
        <v>45108</v>
      </c>
      <c r="K106" s="9">
        <v>45473</v>
      </c>
    </row>
    <row r="107" spans="1:11" x14ac:dyDescent="0.25">
      <c r="A107">
        <v>106</v>
      </c>
      <c r="B107" t="s">
        <v>2903</v>
      </c>
      <c r="C107" t="s">
        <v>1238</v>
      </c>
      <c r="D107" t="s">
        <v>1239</v>
      </c>
      <c r="E107">
        <v>62.28</v>
      </c>
      <c r="F107">
        <v>6.13</v>
      </c>
      <c r="G107">
        <v>0.86</v>
      </c>
      <c r="H107">
        <v>93</v>
      </c>
      <c r="I107">
        <v>0.92</v>
      </c>
      <c r="J107" s="9">
        <v>45108</v>
      </c>
      <c r="K107" s="9">
        <v>45473</v>
      </c>
    </row>
    <row r="108" spans="1:11" x14ac:dyDescent="0.25">
      <c r="A108">
        <v>107</v>
      </c>
      <c r="B108" t="s">
        <v>2904</v>
      </c>
      <c r="C108" t="s">
        <v>1242</v>
      </c>
      <c r="D108" t="s">
        <v>1243</v>
      </c>
      <c r="E108">
        <v>34.44</v>
      </c>
      <c r="F108">
        <v>3.62</v>
      </c>
      <c r="G108">
        <v>0.81</v>
      </c>
      <c r="H108">
        <v>76.010000000000005</v>
      </c>
      <c r="I108">
        <v>1.06</v>
      </c>
      <c r="J108" s="9">
        <v>45108</v>
      </c>
      <c r="K108" s="9">
        <v>45473</v>
      </c>
    </row>
    <row r="109" spans="1:11" x14ac:dyDescent="0.25">
      <c r="A109">
        <v>108</v>
      </c>
      <c r="B109" t="s">
        <v>2907</v>
      </c>
      <c r="C109" t="s">
        <v>1246</v>
      </c>
      <c r="D109" t="s">
        <v>2905</v>
      </c>
      <c r="E109">
        <v>42.69</v>
      </c>
      <c r="F109">
        <v>1.49</v>
      </c>
      <c r="G109">
        <v>0.85</v>
      </c>
      <c r="H109">
        <v>76.03</v>
      </c>
      <c r="I109">
        <v>1.1200000000000001</v>
      </c>
      <c r="J109" s="9">
        <v>45108</v>
      </c>
      <c r="K109" s="9">
        <v>45473</v>
      </c>
    </row>
    <row r="110" spans="1:11" x14ac:dyDescent="0.25">
      <c r="A110">
        <v>109</v>
      </c>
      <c r="B110" t="s">
        <v>2909</v>
      </c>
      <c r="C110" t="s">
        <v>1250</v>
      </c>
      <c r="D110" t="s">
        <v>1251</v>
      </c>
      <c r="E110">
        <v>50.74</v>
      </c>
      <c r="F110">
        <v>2.94</v>
      </c>
      <c r="G110">
        <v>0.85</v>
      </c>
      <c r="H110">
        <v>84.52</v>
      </c>
      <c r="I110">
        <v>1</v>
      </c>
      <c r="J110" s="9">
        <v>45108</v>
      </c>
      <c r="K110" s="9">
        <v>45473</v>
      </c>
    </row>
    <row r="111" spans="1:11" x14ac:dyDescent="0.25">
      <c r="A111">
        <v>110</v>
      </c>
      <c r="B111" t="s">
        <v>2910</v>
      </c>
      <c r="C111" t="s">
        <v>1259</v>
      </c>
      <c r="D111" t="s">
        <v>1260</v>
      </c>
      <c r="J111" s="9">
        <v>45108</v>
      </c>
      <c r="K111" s="9">
        <v>45473</v>
      </c>
    </row>
    <row r="112" spans="1:11" x14ac:dyDescent="0.25">
      <c r="A112">
        <v>111</v>
      </c>
      <c r="B112" t="s">
        <v>2913</v>
      </c>
      <c r="C112" t="s">
        <v>1263</v>
      </c>
      <c r="D112" t="s">
        <v>2911</v>
      </c>
      <c r="J112" s="9">
        <v>45108</v>
      </c>
      <c r="K112" s="9">
        <v>45473</v>
      </c>
    </row>
    <row r="113" spans="1:11" x14ac:dyDescent="0.25">
      <c r="A113">
        <v>112</v>
      </c>
      <c r="B113" t="s">
        <v>2915</v>
      </c>
      <c r="C113" t="s">
        <v>1267</v>
      </c>
      <c r="D113" t="s">
        <v>1268</v>
      </c>
      <c r="E113">
        <v>48.72</v>
      </c>
      <c r="F113">
        <v>4.68</v>
      </c>
      <c r="G113">
        <v>1.05</v>
      </c>
      <c r="H113">
        <v>90</v>
      </c>
      <c r="I113">
        <v>1.17</v>
      </c>
      <c r="J113" s="9">
        <v>45108</v>
      </c>
      <c r="K113" s="9">
        <v>45473</v>
      </c>
    </row>
    <row r="114" spans="1:11" x14ac:dyDescent="0.25">
      <c r="A114">
        <v>113</v>
      </c>
      <c r="B114" t="s">
        <v>2917</v>
      </c>
      <c r="C114" t="s">
        <v>1271</v>
      </c>
      <c r="D114" t="s">
        <v>1272</v>
      </c>
      <c r="E114">
        <v>36.53</v>
      </c>
      <c r="F114">
        <v>5.49</v>
      </c>
      <c r="G114">
        <v>0.85</v>
      </c>
      <c r="H114">
        <v>81.650000000000006</v>
      </c>
      <c r="I114">
        <v>1.04</v>
      </c>
      <c r="J114" s="9">
        <v>45108</v>
      </c>
      <c r="K114" s="9">
        <v>45473</v>
      </c>
    </row>
    <row r="115" spans="1:11" x14ac:dyDescent="0.25">
      <c r="A115">
        <v>114</v>
      </c>
      <c r="B115" t="s">
        <v>2919</v>
      </c>
      <c r="C115" t="s">
        <v>1275</v>
      </c>
      <c r="D115" t="s">
        <v>1276</v>
      </c>
      <c r="E115">
        <v>60.35</v>
      </c>
      <c r="F115">
        <v>4.3600000000000003</v>
      </c>
      <c r="G115">
        <v>0.85</v>
      </c>
      <c r="H115">
        <v>93</v>
      </c>
      <c r="I115">
        <v>0.92</v>
      </c>
      <c r="J115" s="9">
        <v>45108</v>
      </c>
      <c r="K115" s="9">
        <v>45473</v>
      </c>
    </row>
    <row r="116" spans="1:11" x14ac:dyDescent="0.25">
      <c r="A116">
        <v>115</v>
      </c>
      <c r="B116" t="s">
        <v>2922</v>
      </c>
      <c r="C116" t="s">
        <v>1279</v>
      </c>
      <c r="D116" t="s">
        <v>2920</v>
      </c>
      <c r="E116">
        <v>55.66</v>
      </c>
      <c r="F116">
        <v>7.7</v>
      </c>
      <c r="G116">
        <v>0.73</v>
      </c>
      <c r="H116">
        <v>92.77</v>
      </c>
      <c r="I116">
        <v>0.79</v>
      </c>
      <c r="J116" s="9">
        <v>45108</v>
      </c>
      <c r="K116" s="9">
        <v>45473</v>
      </c>
    </row>
    <row r="117" spans="1:11" x14ac:dyDescent="0.25">
      <c r="A117">
        <v>116</v>
      </c>
      <c r="B117" t="s">
        <v>2924</v>
      </c>
      <c r="C117" t="s">
        <v>1283</v>
      </c>
      <c r="D117" t="s">
        <v>1284</v>
      </c>
      <c r="J117" s="9">
        <v>45108</v>
      </c>
      <c r="K117" s="9">
        <v>45473</v>
      </c>
    </row>
    <row r="118" spans="1:11" x14ac:dyDescent="0.25">
      <c r="A118">
        <v>117</v>
      </c>
      <c r="B118" t="s">
        <v>2926</v>
      </c>
      <c r="C118" t="s">
        <v>1287</v>
      </c>
      <c r="D118" t="s">
        <v>2925</v>
      </c>
      <c r="E118">
        <v>24</v>
      </c>
      <c r="F118">
        <v>6.48</v>
      </c>
      <c r="G118">
        <v>0.96</v>
      </c>
      <c r="H118">
        <v>83</v>
      </c>
      <c r="I118">
        <v>1.1599999999999999</v>
      </c>
      <c r="J118" s="9">
        <v>45108</v>
      </c>
      <c r="K118" s="9">
        <v>45473</v>
      </c>
    </row>
    <row r="119" spans="1:11" x14ac:dyDescent="0.25">
      <c r="A119">
        <v>118</v>
      </c>
      <c r="B119" t="s">
        <v>2928</v>
      </c>
      <c r="C119" t="s">
        <v>1291</v>
      </c>
      <c r="D119" t="s">
        <v>1292</v>
      </c>
      <c r="E119">
        <v>58.16</v>
      </c>
      <c r="F119">
        <v>4</v>
      </c>
      <c r="G119">
        <v>0.83</v>
      </c>
      <c r="H119">
        <v>90</v>
      </c>
      <c r="I119">
        <v>0.92</v>
      </c>
      <c r="J119" s="9">
        <v>45108</v>
      </c>
      <c r="K119" s="9">
        <v>45473</v>
      </c>
    </row>
    <row r="120" spans="1:11" x14ac:dyDescent="0.25">
      <c r="A120">
        <v>119</v>
      </c>
      <c r="B120" t="s">
        <v>2930</v>
      </c>
      <c r="C120" t="s">
        <v>1295</v>
      </c>
      <c r="D120" t="s">
        <v>1296</v>
      </c>
      <c r="E120">
        <v>61.44</v>
      </c>
      <c r="F120">
        <v>5.52</v>
      </c>
      <c r="G120">
        <v>0.6</v>
      </c>
      <c r="H120">
        <v>86</v>
      </c>
      <c r="I120">
        <v>0.7</v>
      </c>
      <c r="J120" s="9">
        <v>45108</v>
      </c>
      <c r="K120" s="9">
        <v>45473</v>
      </c>
    </row>
    <row r="121" spans="1:11" x14ac:dyDescent="0.25">
      <c r="A121">
        <v>120</v>
      </c>
      <c r="B121" t="s">
        <v>2932</v>
      </c>
      <c r="C121" t="s">
        <v>1299</v>
      </c>
      <c r="D121" t="s">
        <v>1300</v>
      </c>
      <c r="E121">
        <v>37.93</v>
      </c>
      <c r="F121">
        <v>6.31</v>
      </c>
      <c r="G121">
        <v>0.85</v>
      </c>
      <c r="H121">
        <v>80.680000000000007</v>
      </c>
      <c r="I121">
        <v>1.06</v>
      </c>
      <c r="J121" s="9">
        <v>45108</v>
      </c>
      <c r="K121" s="9">
        <v>45473</v>
      </c>
    </row>
    <row r="122" spans="1:11" x14ac:dyDescent="0.25">
      <c r="A122">
        <v>121</v>
      </c>
      <c r="B122" t="s">
        <v>2935</v>
      </c>
      <c r="C122" t="s">
        <v>1303</v>
      </c>
      <c r="D122" t="s">
        <v>2933</v>
      </c>
      <c r="E122">
        <v>53.45</v>
      </c>
      <c r="F122">
        <v>7.21</v>
      </c>
      <c r="G122">
        <v>0.82</v>
      </c>
      <c r="H122">
        <v>91.74</v>
      </c>
      <c r="I122">
        <v>0.89</v>
      </c>
      <c r="J122" s="9">
        <v>45108</v>
      </c>
      <c r="K122" s="9">
        <v>45473</v>
      </c>
    </row>
    <row r="123" spans="1:11" x14ac:dyDescent="0.25">
      <c r="A123">
        <v>122</v>
      </c>
      <c r="B123" t="s">
        <v>2938</v>
      </c>
      <c r="C123" t="s">
        <v>1307</v>
      </c>
      <c r="D123" t="s">
        <v>2936</v>
      </c>
      <c r="E123">
        <v>34</v>
      </c>
      <c r="F123">
        <v>1.99</v>
      </c>
      <c r="G123">
        <v>0.87</v>
      </c>
      <c r="H123">
        <v>91.56</v>
      </c>
      <c r="I123">
        <v>0.95</v>
      </c>
      <c r="J123" s="9">
        <v>45108</v>
      </c>
      <c r="K123" s="9">
        <v>45473</v>
      </c>
    </row>
    <row r="124" spans="1:11" x14ac:dyDescent="0.25">
      <c r="A124">
        <v>123</v>
      </c>
      <c r="B124" t="s">
        <v>2939</v>
      </c>
      <c r="C124" t="s">
        <v>1311</v>
      </c>
      <c r="D124" t="s">
        <v>1312</v>
      </c>
      <c r="E124">
        <v>61.44</v>
      </c>
      <c r="F124">
        <v>8.64</v>
      </c>
      <c r="G124">
        <v>0.73</v>
      </c>
      <c r="H124">
        <v>86</v>
      </c>
      <c r="I124">
        <v>0.85</v>
      </c>
      <c r="J124" s="9">
        <v>45108</v>
      </c>
      <c r="K124" s="9">
        <v>45473</v>
      </c>
    </row>
    <row r="125" spans="1:11" x14ac:dyDescent="0.25">
      <c r="A125">
        <v>124</v>
      </c>
      <c r="B125" t="s">
        <v>2941</v>
      </c>
      <c r="C125" t="s">
        <v>1317</v>
      </c>
      <c r="D125" t="s">
        <v>2940</v>
      </c>
      <c r="E125">
        <v>21.43</v>
      </c>
      <c r="F125">
        <v>4.38</v>
      </c>
      <c r="G125">
        <v>0.96</v>
      </c>
      <c r="H125">
        <v>84.14</v>
      </c>
      <c r="I125">
        <v>1.1399999999999999</v>
      </c>
      <c r="J125" s="9">
        <v>45108</v>
      </c>
      <c r="K125" s="9">
        <v>45473</v>
      </c>
    </row>
    <row r="126" spans="1:11" x14ac:dyDescent="0.25">
      <c r="A126">
        <v>125</v>
      </c>
      <c r="B126" t="s">
        <v>2944</v>
      </c>
      <c r="C126" t="s">
        <v>1321</v>
      </c>
      <c r="D126" t="s">
        <v>2942</v>
      </c>
      <c r="E126">
        <v>13.44</v>
      </c>
      <c r="F126">
        <v>1.57</v>
      </c>
      <c r="G126">
        <v>0.83</v>
      </c>
      <c r="H126">
        <v>90</v>
      </c>
      <c r="I126">
        <v>0.92</v>
      </c>
      <c r="J126" s="9">
        <v>45108</v>
      </c>
      <c r="K126" s="9">
        <v>45473</v>
      </c>
    </row>
    <row r="127" spans="1:11" x14ac:dyDescent="0.25">
      <c r="A127">
        <v>126</v>
      </c>
      <c r="B127" t="s">
        <v>2947</v>
      </c>
      <c r="C127" t="s">
        <v>1325</v>
      </c>
      <c r="D127" t="s">
        <v>2945</v>
      </c>
      <c r="E127">
        <v>43.64</v>
      </c>
      <c r="F127">
        <v>2.2400000000000002</v>
      </c>
      <c r="G127">
        <v>0.88</v>
      </c>
      <c r="H127">
        <v>87.45</v>
      </c>
      <c r="I127">
        <v>1.01</v>
      </c>
      <c r="J127" s="9">
        <v>45108</v>
      </c>
      <c r="K127" s="9">
        <v>45473</v>
      </c>
    </row>
    <row r="128" spans="1:11" x14ac:dyDescent="0.25">
      <c r="A128">
        <v>128</v>
      </c>
      <c r="B128" t="s">
        <v>2949</v>
      </c>
      <c r="C128" t="s">
        <v>1329</v>
      </c>
      <c r="D128" t="s">
        <v>1330</v>
      </c>
      <c r="E128">
        <v>48.72</v>
      </c>
      <c r="F128">
        <v>6.11</v>
      </c>
      <c r="G128">
        <v>0.9</v>
      </c>
      <c r="H128">
        <v>93</v>
      </c>
      <c r="I128">
        <v>0.97</v>
      </c>
      <c r="J128" s="9">
        <v>45108</v>
      </c>
      <c r="K128" s="9">
        <v>45473</v>
      </c>
    </row>
    <row r="129" spans="1:11" x14ac:dyDescent="0.25">
      <c r="A129">
        <v>129</v>
      </c>
      <c r="B129" t="s">
        <v>2950</v>
      </c>
      <c r="C129" t="s">
        <v>1333</v>
      </c>
      <c r="D129" t="s">
        <v>1334</v>
      </c>
      <c r="E129">
        <v>31.99</v>
      </c>
      <c r="F129">
        <v>4.67</v>
      </c>
      <c r="G129">
        <v>0.85</v>
      </c>
      <c r="H129">
        <v>79.75</v>
      </c>
      <c r="I129">
        <v>1.07</v>
      </c>
      <c r="J129" s="9">
        <v>45108</v>
      </c>
      <c r="K129" s="9">
        <v>45473</v>
      </c>
    </row>
    <row r="130" spans="1:11" x14ac:dyDescent="0.25">
      <c r="A130">
        <v>130</v>
      </c>
      <c r="B130" t="s">
        <v>2953</v>
      </c>
      <c r="C130" t="s">
        <v>1337</v>
      </c>
      <c r="D130" t="s">
        <v>2951</v>
      </c>
      <c r="J130" s="9">
        <v>45108</v>
      </c>
      <c r="K130" s="9">
        <v>45473</v>
      </c>
    </row>
    <row r="131" spans="1:11" x14ac:dyDescent="0.25">
      <c r="A131">
        <v>131</v>
      </c>
      <c r="B131" t="s">
        <v>2955</v>
      </c>
      <c r="C131" t="s">
        <v>1341</v>
      </c>
      <c r="D131" t="s">
        <v>1342</v>
      </c>
      <c r="E131">
        <v>54.31</v>
      </c>
      <c r="F131">
        <v>5.79</v>
      </c>
      <c r="G131">
        <v>0.85</v>
      </c>
      <c r="H131">
        <v>82.12</v>
      </c>
      <c r="I131">
        <v>1.03</v>
      </c>
      <c r="J131" s="9">
        <v>45108</v>
      </c>
      <c r="K131" s="9">
        <v>45473</v>
      </c>
    </row>
    <row r="132" spans="1:11" x14ac:dyDescent="0.25">
      <c r="A132">
        <v>132</v>
      </c>
      <c r="B132" t="s">
        <v>2957</v>
      </c>
      <c r="C132" t="s">
        <v>1345</v>
      </c>
      <c r="D132" t="s">
        <v>1346</v>
      </c>
      <c r="E132">
        <v>20.87</v>
      </c>
      <c r="F132">
        <v>2.6</v>
      </c>
      <c r="G132">
        <v>0.87</v>
      </c>
      <c r="H132">
        <v>82.48</v>
      </c>
      <c r="I132">
        <v>1.06</v>
      </c>
      <c r="J132" s="9">
        <v>45108</v>
      </c>
      <c r="K132" s="9">
        <v>45473</v>
      </c>
    </row>
    <row r="133" spans="1:11" x14ac:dyDescent="0.25">
      <c r="A133">
        <v>133</v>
      </c>
      <c r="B133" t="s">
        <v>2960</v>
      </c>
      <c r="C133" t="s">
        <v>1349</v>
      </c>
      <c r="D133" t="s">
        <v>2958</v>
      </c>
      <c r="E133">
        <v>45.59</v>
      </c>
      <c r="F133">
        <v>3.14</v>
      </c>
      <c r="G133">
        <v>0.94</v>
      </c>
      <c r="H133">
        <v>82.93</v>
      </c>
      <c r="I133">
        <v>1.1399999999999999</v>
      </c>
      <c r="J133" s="9">
        <v>45108</v>
      </c>
      <c r="K133" s="9">
        <v>45473</v>
      </c>
    </row>
    <row r="134" spans="1:11" x14ac:dyDescent="0.25">
      <c r="A134">
        <v>134</v>
      </c>
      <c r="B134" t="s">
        <v>2963</v>
      </c>
      <c r="C134" t="s">
        <v>1353</v>
      </c>
      <c r="D134" t="s">
        <v>2961</v>
      </c>
      <c r="J134" s="9">
        <v>45108</v>
      </c>
      <c r="K134" s="9">
        <v>45473</v>
      </c>
    </row>
    <row r="135" spans="1:11" x14ac:dyDescent="0.25">
      <c r="A135">
        <v>135</v>
      </c>
      <c r="B135" t="s">
        <v>2965</v>
      </c>
      <c r="C135" t="s">
        <v>1357</v>
      </c>
      <c r="D135" t="s">
        <v>1358</v>
      </c>
      <c r="J135" s="9">
        <v>45108</v>
      </c>
      <c r="K135" s="9">
        <v>45473</v>
      </c>
    </row>
    <row r="136" spans="1:11" x14ac:dyDescent="0.25">
      <c r="A136">
        <v>136</v>
      </c>
      <c r="B136" t="s">
        <v>2967</v>
      </c>
      <c r="C136" t="s">
        <v>1361</v>
      </c>
      <c r="D136" t="s">
        <v>1362</v>
      </c>
      <c r="E136">
        <v>81.599999999999994</v>
      </c>
      <c r="F136">
        <v>1.92</v>
      </c>
      <c r="G136">
        <v>0.9</v>
      </c>
      <c r="H136">
        <v>75</v>
      </c>
      <c r="I136">
        <v>1.2</v>
      </c>
      <c r="J136" s="9">
        <v>45108</v>
      </c>
      <c r="K136" s="9">
        <v>45473</v>
      </c>
    </row>
    <row r="137" spans="1:11" x14ac:dyDescent="0.25">
      <c r="A137">
        <v>137</v>
      </c>
      <c r="B137" t="s">
        <v>2969</v>
      </c>
      <c r="C137" t="s">
        <v>1365</v>
      </c>
      <c r="D137" t="s">
        <v>1366</v>
      </c>
      <c r="J137" s="9">
        <v>45108</v>
      </c>
      <c r="K137" s="9">
        <v>45473</v>
      </c>
    </row>
    <row r="138" spans="1:11" x14ac:dyDescent="0.25">
      <c r="A138">
        <v>138</v>
      </c>
      <c r="B138" t="s">
        <v>2972</v>
      </c>
      <c r="C138" t="s">
        <v>1369</v>
      </c>
      <c r="D138" t="s">
        <v>2970</v>
      </c>
      <c r="E138">
        <v>51.6</v>
      </c>
      <c r="F138">
        <v>2.52</v>
      </c>
      <c r="G138">
        <v>1.05</v>
      </c>
      <c r="H138">
        <v>90</v>
      </c>
      <c r="I138">
        <v>1.17</v>
      </c>
      <c r="J138" s="9">
        <v>45108</v>
      </c>
      <c r="K138" s="9">
        <v>45473</v>
      </c>
    </row>
    <row r="139" spans="1:11" x14ac:dyDescent="0.25">
      <c r="A139">
        <v>139</v>
      </c>
      <c r="B139" t="s">
        <v>2974</v>
      </c>
      <c r="C139" t="s">
        <v>1373</v>
      </c>
      <c r="D139" t="s">
        <v>1374</v>
      </c>
      <c r="E139">
        <v>58.08</v>
      </c>
      <c r="F139">
        <v>5.31</v>
      </c>
      <c r="G139">
        <v>0.81</v>
      </c>
      <c r="H139">
        <v>93</v>
      </c>
      <c r="I139">
        <v>0.87</v>
      </c>
      <c r="J139" s="9">
        <v>45108</v>
      </c>
      <c r="K139" s="9">
        <v>45473</v>
      </c>
    </row>
    <row r="140" spans="1:11" x14ac:dyDescent="0.25">
      <c r="A140">
        <v>140</v>
      </c>
      <c r="B140" t="s">
        <v>2976</v>
      </c>
      <c r="C140" t="s">
        <v>1377</v>
      </c>
      <c r="D140" t="s">
        <v>1378</v>
      </c>
      <c r="E140">
        <v>46.12</v>
      </c>
      <c r="F140">
        <v>0.94</v>
      </c>
      <c r="G140">
        <v>0.88</v>
      </c>
      <c r="H140">
        <v>80.959999999999994</v>
      </c>
      <c r="I140">
        <v>1.08</v>
      </c>
      <c r="J140" s="9">
        <v>45108</v>
      </c>
      <c r="K140" s="9">
        <v>45473</v>
      </c>
    </row>
    <row r="141" spans="1:11" x14ac:dyDescent="0.25">
      <c r="A141">
        <v>141</v>
      </c>
      <c r="B141" t="s">
        <v>2978</v>
      </c>
      <c r="C141" t="s">
        <v>1381</v>
      </c>
      <c r="D141" t="s">
        <v>1382</v>
      </c>
      <c r="J141" s="9">
        <v>45108</v>
      </c>
      <c r="K141" s="9">
        <v>45473</v>
      </c>
    </row>
    <row r="142" spans="1:11" x14ac:dyDescent="0.25">
      <c r="A142">
        <v>142</v>
      </c>
      <c r="B142" t="s">
        <v>2981</v>
      </c>
      <c r="C142" t="s">
        <v>1385</v>
      </c>
      <c r="D142" t="s">
        <v>2979</v>
      </c>
      <c r="J142" s="9">
        <v>45108</v>
      </c>
      <c r="K142" s="9">
        <v>45473</v>
      </c>
    </row>
    <row r="143" spans="1:11" x14ac:dyDescent="0.25">
      <c r="A143">
        <v>143</v>
      </c>
      <c r="B143" t="s">
        <v>2983</v>
      </c>
      <c r="C143" t="s">
        <v>1389</v>
      </c>
      <c r="D143" t="s">
        <v>1390</v>
      </c>
      <c r="J143" s="9">
        <v>45108</v>
      </c>
      <c r="K143" s="9">
        <v>45473</v>
      </c>
    </row>
    <row r="144" spans="1:11" x14ac:dyDescent="0.25">
      <c r="A144">
        <v>144</v>
      </c>
      <c r="B144" t="s">
        <v>2985</v>
      </c>
      <c r="C144" t="s">
        <v>1393</v>
      </c>
      <c r="D144" t="s">
        <v>1394</v>
      </c>
      <c r="E144">
        <v>21.59</v>
      </c>
      <c r="F144">
        <v>1.88</v>
      </c>
      <c r="G144">
        <v>0.77</v>
      </c>
      <c r="H144">
        <v>88.02</v>
      </c>
      <c r="I144">
        <v>0.88</v>
      </c>
      <c r="J144" s="9">
        <v>45108</v>
      </c>
      <c r="K144" s="9">
        <v>45473</v>
      </c>
    </row>
    <row r="145" spans="1:11" x14ac:dyDescent="0.25">
      <c r="A145">
        <v>145</v>
      </c>
      <c r="B145" t="s">
        <v>2987</v>
      </c>
      <c r="C145" t="s">
        <v>1397</v>
      </c>
      <c r="D145" t="s">
        <v>1398</v>
      </c>
      <c r="E145">
        <v>48.72</v>
      </c>
      <c r="F145">
        <v>4.6500000000000004</v>
      </c>
      <c r="G145">
        <v>0.79</v>
      </c>
      <c r="H145">
        <v>93</v>
      </c>
      <c r="I145">
        <v>0.85</v>
      </c>
      <c r="J145" s="9">
        <v>45108</v>
      </c>
      <c r="K145" s="9">
        <v>45473</v>
      </c>
    </row>
    <row r="146" spans="1:11" x14ac:dyDescent="0.25">
      <c r="A146">
        <v>146</v>
      </c>
      <c r="B146" t="s">
        <v>2989</v>
      </c>
      <c r="C146" t="s">
        <v>1401</v>
      </c>
      <c r="D146" t="s">
        <v>1402</v>
      </c>
      <c r="E146">
        <v>46.08</v>
      </c>
      <c r="F146">
        <v>0.96</v>
      </c>
      <c r="G146">
        <v>0.95</v>
      </c>
      <c r="H146">
        <v>70</v>
      </c>
      <c r="I146">
        <v>1.36</v>
      </c>
      <c r="J146" s="9">
        <v>45108</v>
      </c>
      <c r="K146" s="9">
        <v>45473</v>
      </c>
    </row>
    <row r="147" spans="1:11" x14ac:dyDescent="0.25">
      <c r="A147">
        <v>147</v>
      </c>
      <c r="B147" t="s">
        <v>2991</v>
      </c>
      <c r="C147" t="s">
        <v>1405</v>
      </c>
      <c r="D147" t="s">
        <v>1406</v>
      </c>
      <c r="J147" s="9">
        <v>45108</v>
      </c>
      <c r="K147" s="9">
        <v>45473</v>
      </c>
    </row>
    <row r="148" spans="1:11" x14ac:dyDescent="0.25">
      <c r="A148">
        <v>148</v>
      </c>
      <c r="B148" t="s">
        <v>2993</v>
      </c>
      <c r="C148" t="s">
        <v>1409</v>
      </c>
      <c r="D148" t="s">
        <v>1410</v>
      </c>
      <c r="J148" s="9">
        <v>45108</v>
      </c>
      <c r="K148" s="9">
        <v>45473</v>
      </c>
    </row>
    <row r="149" spans="1:11" x14ac:dyDescent="0.25">
      <c r="A149">
        <v>149</v>
      </c>
      <c r="B149" t="s">
        <v>2995</v>
      </c>
      <c r="C149" t="s">
        <v>1413</v>
      </c>
      <c r="D149" t="s">
        <v>1414</v>
      </c>
      <c r="E149">
        <v>58.08</v>
      </c>
      <c r="F149">
        <v>4.92</v>
      </c>
      <c r="G149">
        <v>1.05</v>
      </c>
      <c r="H149">
        <v>90</v>
      </c>
      <c r="I149">
        <v>1.17</v>
      </c>
      <c r="J149" s="9">
        <v>45108</v>
      </c>
      <c r="K149" s="9">
        <v>45473</v>
      </c>
    </row>
    <row r="150" spans="1:11" x14ac:dyDescent="0.25">
      <c r="A150">
        <v>150</v>
      </c>
      <c r="B150" t="s">
        <v>2997</v>
      </c>
      <c r="C150" t="s">
        <v>1417</v>
      </c>
      <c r="D150" t="s">
        <v>1418</v>
      </c>
      <c r="E150">
        <v>51.6</v>
      </c>
      <c r="F150">
        <v>2.52</v>
      </c>
      <c r="G150">
        <v>1.05</v>
      </c>
      <c r="H150">
        <v>90</v>
      </c>
      <c r="I150">
        <v>1.17</v>
      </c>
      <c r="J150" s="9">
        <v>45108</v>
      </c>
      <c r="K150" s="9">
        <v>45473</v>
      </c>
    </row>
    <row r="151" spans="1:11" x14ac:dyDescent="0.25">
      <c r="A151">
        <v>151</v>
      </c>
      <c r="B151" t="s">
        <v>2999</v>
      </c>
      <c r="C151" t="s">
        <v>1421</v>
      </c>
      <c r="D151" t="s">
        <v>1422</v>
      </c>
      <c r="E151">
        <v>48.72</v>
      </c>
      <c r="F151">
        <v>4.68</v>
      </c>
      <c r="G151">
        <v>1.05</v>
      </c>
      <c r="H151">
        <v>90</v>
      </c>
      <c r="I151">
        <v>1.17</v>
      </c>
      <c r="J151" s="9">
        <v>45108</v>
      </c>
      <c r="K151" s="9">
        <v>45473</v>
      </c>
    </row>
    <row r="152" spans="1:11" x14ac:dyDescent="0.25">
      <c r="A152">
        <v>152</v>
      </c>
      <c r="B152" t="s">
        <v>3001</v>
      </c>
      <c r="C152" t="s">
        <v>1425</v>
      </c>
      <c r="D152" t="s">
        <v>1426</v>
      </c>
      <c r="E152">
        <v>46.43</v>
      </c>
      <c r="F152">
        <v>5.03</v>
      </c>
      <c r="G152">
        <v>0.79</v>
      </c>
      <c r="H152">
        <v>92.55</v>
      </c>
      <c r="I152">
        <v>0.85</v>
      </c>
      <c r="J152" s="9">
        <v>45108</v>
      </c>
      <c r="K152" s="9">
        <v>45473</v>
      </c>
    </row>
    <row r="153" spans="1:11" x14ac:dyDescent="0.25">
      <c r="A153">
        <v>153</v>
      </c>
      <c r="B153" t="s">
        <v>3003</v>
      </c>
      <c r="C153" t="s">
        <v>1429</v>
      </c>
      <c r="D153" t="s">
        <v>1430</v>
      </c>
      <c r="E153">
        <v>26</v>
      </c>
      <c r="F153">
        <v>5.09</v>
      </c>
      <c r="G153">
        <v>0.84</v>
      </c>
      <c r="H153">
        <v>82.44</v>
      </c>
      <c r="I153">
        <v>1.02</v>
      </c>
      <c r="J153" s="9">
        <v>45108</v>
      </c>
      <c r="K153" s="9">
        <v>45473</v>
      </c>
    </row>
    <row r="154" spans="1:11" x14ac:dyDescent="0.25">
      <c r="A154">
        <v>154</v>
      </c>
      <c r="B154" t="s">
        <v>3005</v>
      </c>
      <c r="C154" t="s">
        <v>1433</v>
      </c>
      <c r="D154" t="s">
        <v>1434</v>
      </c>
      <c r="E154">
        <v>25.61</v>
      </c>
      <c r="F154">
        <v>1.74</v>
      </c>
      <c r="G154">
        <v>0.85</v>
      </c>
      <c r="H154">
        <v>90.08</v>
      </c>
      <c r="I154">
        <v>0.94</v>
      </c>
      <c r="J154" s="9">
        <v>45108</v>
      </c>
      <c r="K154" s="9">
        <v>45473</v>
      </c>
    </row>
    <row r="155" spans="1:11" x14ac:dyDescent="0.25">
      <c r="A155">
        <v>155</v>
      </c>
      <c r="B155" t="s">
        <v>3006</v>
      </c>
      <c r="C155" t="s">
        <v>1437</v>
      </c>
      <c r="D155" t="s">
        <v>1438</v>
      </c>
      <c r="E155">
        <v>41.28</v>
      </c>
      <c r="F155">
        <v>2.1800000000000002</v>
      </c>
      <c r="G155">
        <v>0.88</v>
      </c>
      <c r="H155">
        <v>82.13</v>
      </c>
      <c r="I155">
        <v>1.07</v>
      </c>
      <c r="J155" s="9">
        <v>45108</v>
      </c>
      <c r="K155" s="9">
        <v>45473</v>
      </c>
    </row>
    <row r="156" spans="1:11" x14ac:dyDescent="0.25">
      <c r="A156">
        <v>156</v>
      </c>
      <c r="B156" t="s">
        <v>3008</v>
      </c>
      <c r="C156" t="s">
        <v>1441</v>
      </c>
      <c r="D156" t="s">
        <v>1442</v>
      </c>
      <c r="E156">
        <v>24.12</v>
      </c>
      <c r="F156">
        <v>6.24</v>
      </c>
      <c r="G156">
        <v>0.8</v>
      </c>
      <c r="H156">
        <v>83</v>
      </c>
      <c r="I156">
        <v>0.96</v>
      </c>
      <c r="J156" s="9">
        <v>45108</v>
      </c>
      <c r="K156" s="9">
        <v>45473</v>
      </c>
    </row>
    <row r="157" spans="1:11" x14ac:dyDescent="0.25">
      <c r="A157">
        <v>157</v>
      </c>
      <c r="B157" t="s">
        <v>3011</v>
      </c>
      <c r="C157" t="s">
        <v>1446</v>
      </c>
      <c r="D157" t="s">
        <v>3009</v>
      </c>
      <c r="E157">
        <v>12.72</v>
      </c>
      <c r="F157">
        <v>3.48</v>
      </c>
      <c r="G157">
        <v>0.68</v>
      </c>
      <c r="H157">
        <v>90</v>
      </c>
      <c r="I157">
        <v>0.76</v>
      </c>
      <c r="J157" s="9">
        <v>45108</v>
      </c>
      <c r="K157" s="9">
        <v>45473</v>
      </c>
    </row>
    <row r="158" spans="1:11" x14ac:dyDescent="0.25">
      <c r="A158">
        <v>158</v>
      </c>
      <c r="B158" t="s">
        <v>3013</v>
      </c>
      <c r="C158" t="s">
        <v>1450</v>
      </c>
      <c r="D158" t="s">
        <v>1451</v>
      </c>
      <c r="E158">
        <v>38.07</v>
      </c>
      <c r="F158">
        <v>1.32</v>
      </c>
      <c r="G158">
        <v>0.85</v>
      </c>
      <c r="H158">
        <v>82.51</v>
      </c>
      <c r="I158">
        <v>1.03</v>
      </c>
      <c r="J158" s="9">
        <v>45108</v>
      </c>
      <c r="K158" s="9">
        <v>45473</v>
      </c>
    </row>
    <row r="159" spans="1:11" x14ac:dyDescent="0.25">
      <c r="A159">
        <v>159</v>
      </c>
      <c r="B159" t="s">
        <v>3014</v>
      </c>
      <c r="C159" t="s">
        <v>1454</v>
      </c>
      <c r="D159" t="s">
        <v>1455</v>
      </c>
      <c r="J159" s="9">
        <v>45108</v>
      </c>
      <c r="K159" s="9">
        <v>45473</v>
      </c>
    </row>
    <row r="160" spans="1:11" x14ac:dyDescent="0.25">
      <c r="A160">
        <v>160</v>
      </c>
      <c r="B160" t="s">
        <v>3016</v>
      </c>
      <c r="C160" t="s">
        <v>1458</v>
      </c>
      <c r="D160" t="s">
        <v>1459</v>
      </c>
      <c r="E160">
        <v>36.36</v>
      </c>
      <c r="F160">
        <v>0.36</v>
      </c>
      <c r="G160">
        <v>0.9</v>
      </c>
      <c r="H160">
        <v>84</v>
      </c>
      <c r="I160">
        <v>1.07</v>
      </c>
      <c r="J160" s="9">
        <v>45108</v>
      </c>
      <c r="K160" s="9">
        <v>45473</v>
      </c>
    </row>
    <row r="161" spans="1:11" x14ac:dyDescent="0.25">
      <c r="A161">
        <v>161</v>
      </c>
      <c r="B161" t="s">
        <v>3018</v>
      </c>
      <c r="C161" t="s">
        <v>1462</v>
      </c>
      <c r="D161" t="s">
        <v>1463</v>
      </c>
      <c r="E161">
        <v>41.16</v>
      </c>
      <c r="F161">
        <v>4.32</v>
      </c>
      <c r="G161">
        <v>0.74</v>
      </c>
      <c r="H161">
        <v>86</v>
      </c>
      <c r="I161">
        <v>0.86</v>
      </c>
      <c r="J161" s="9">
        <v>45108</v>
      </c>
      <c r="K161" s="9">
        <v>45473</v>
      </c>
    </row>
    <row r="162" spans="1:11" x14ac:dyDescent="0.25">
      <c r="A162">
        <v>162</v>
      </c>
      <c r="B162" t="s">
        <v>3020</v>
      </c>
      <c r="C162" t="s">
        <v>1466</v>
      </c>
      <c r="D162" t="s">
        <v>1467</v>
      </c>
      <c r="E162">
        <v>55.92</v>
      </c>
      <c r="F162">
        <v>7.2</v>
      </c>
      <c r="G162">
        <v>1.05</v>
      </c>
      <c r="H162">
        <v>90</v>
      </c>
      <c r="I162">
        <v>1.17</v>
      </c>
      <c r="J162" s="9">
        <v>45108</v>
      </c>
      <c r="K162" s="9">
        <v>45473</v>
      </c>
    </row>
    <row r="163" spans="1:11" x14ac:dyDescent="0.25">
      <c r="A163">
        <v>163</v>
      </c>
      <c r="B163" t="s">
        <v>3023</v>
      </c>
      <c r="C163" t="s">
        <v>1470</v>
      </c>
      <c r="D163" t="s">
        <v>3021</v>
      </c>
      <c r="J163" s="9">
        <v>45108</v>
      </c>
      <c r="K163" s="9">
        <v>45473</v>
      </c>
    </row>
    <row r="164" spans="1:11" x14ac:dyDescent="0.25">
      <c r="A164">
        <v>164</v>
      </c>
      <c r="B164" t="s">
        <v>3025</v>
      </c>
      <c r="C164" t="s">
        <v>1474</v>
      </c>
      <c r="D164" t="s">
        <v>1475</v>
      </c>
      <c r="E164">
        <v>57.24</v>
      </c>
      <c r="F164">
        <v>0.36</v>
      </c>
      <c r="G164">
        <v>0.89</v>
      </c>
      <c r="H164">
        <v>88</v>
      </c>
      <c r="I164">
        <v>1.01</v>
      </c>
      <c r="J164" s="9">
        <v>45108</v>
      </c>
      <c r="K164" s="9">
        <v>45473</v>
      </c>
    </row>
    <row r="165" spans="1:11" x14ac:dyDescent="0.25">
      <c r="A165">
        <v>165</v>
      </c>
      <c r="B165" t="s">
        <v>3027</v>
      </c>
      <c r="C165" t="s">
        <v>1478</v>
      </c>
      <c r="D165" t="s">
        <v>1479</v>
      </c>
      <c r="J165" s="9">
        <v>45108</v>
      </c>
      <c r="K165" s="9">
        <v>45473</v>
      </c>
    </row>
    <row r="166" spans="1:11" x14ac:dyDescent="0.25">
      <c r="A166">
        <v>166</v>
      </c>
      <c r="B166" t="s">
        <v>3030</v>
      </c>
      <c r="C166" t="s">
        <v>1482</v>
      </c>
      <c r="D166" t="s">
        <v>3028</v>
      </c>
      <c r="J166" s="9">
        <v>45108</v>
      </c>
      <c r="K166" s="9">
        <v>45473</v>
      </c>
    </row>
    <row r="167" spans="1:11" x14ac:dyDescent="0.25">
      <c r="A167">
        <v>167</v>
      </c>
      <c r="B167" t="s">
        <v>3032</v>
      </c>
      <c r="C167" t="s">
        <v>1486</v>
      </c>
      <c r="D167" t="s">
        <v>3031</v>
      </c>
      <c r="E167">
        <v>18.86</v>
      </c>
      <c r="F167">
        <v>1.18</v>
      </c>
      <c r="G167">
        <v>0.85</v>
      </c>
      <c r="H167">
        <v>90</v>
      </c>
      <c r="I167">
        <v>0.95</v>
      </c>
      <c r="J167" s="9">
        <v>45108</v>
      </c>
      <c r="K167" s="9">
        <v>45473</v>
      </c>
    </row>
    <row r="168" spans="1:11" x14ac:dyDescent="0.25">
      <c r="A168">
        <v>168</v>
      </c>
      <c r="B168" t="s">
        <v>3035</v>
      </c>
      <c r="C168" t="s">
        <v>1491</v>
      </c>
      <c r="D168" t="s">
        <v>3033</v>
      </c>
      <c r="E168">
        <v>24</v>
      </c>
      <c r="F168">
        <v>6.48</v>
      </c>
      <c r="G168">
        <v>0.96</v>
      </c>
      <c r="H168">
        <v>83</v>
      </c>
      <c r="I168">
        <v>1.1599999999999999</v>
      </c>
      <c r="J168" s="9">
        <v>45108</v>
      </c>
      <c r="K168" s="9">
        <v>45473</v>
      </c>
    </row>
    <row r="169" spans="1:11" x14ac:dyDescent="0.25">
      <c r="A169">
        <v>169</v>
      </c>
      <c r="B169" t="s">
        <v>3038</v>
      </c>
      <c r="C169" t="s">
        <v>1495</v>
      </c>
      <c r="D169" t="s">
        <v>3036</v>
      </c>
      <c r="E169">
        <v>48.72</v>
      </c>
      <c r="F169">
        <v>4.68</v>
      </c>
      <c r="G169">
        <v>1.05</v>
      </c>
      <c r="H169">
        <v>90</v>
      </c>
      <c r="I169">
        <v>1.17</v>
      </c>
      <c r="J169" s="9">
        <v>45108</v>
      </c>
      <c r="K169" s="9">
        <v>45473</v>
      </c>
    </row>
    <row r="170" spans="1:11" x14ac:dyDescent="0.25">
      <c r="A170">
        <v>170</v>
      </c>
      <c r="B170" t="s">
        <v>3040</v>
      </c>
      <c r="C170" t="s">
        <v>1499</v>
      </c>
      <c r="D170" t="s">
        <v>3039</v>
      </c>
      <c r="J170" s="9">
        <v>45108</v>
      </c>
      <c r="K170" s="9">
        <v>45473</v>
      </c>
    </row>
    <row r="171" spans="1:11" x14ac:dyDescent="0.25">
      <c r="A171">
        <v>171</v>
      </c>
      <c r="B171" t="s">
        <v>3043</v>
      </c>
      <c r="C171" t="s">
        <v>1503</v>
      </c>
      <c r="D171" t="s">
        <v>3041</v>
      </c>
      <c r="E171">
        <v>68.790000000000006</v>
      </c>
      <c r="F171">
        <v>1.63</v>
      </c>
      <c r="G171">
        <v>0.91</v>
      </c>
      <c r="H171">
        <v>72.56</v>
      </c>
      <c r="I171">
        <v>1.25</v>
      </c>
      <c r="J171" s="9">
        <v>45108</v>
      </c>
      <c r="K171" s="9">
        <v>45473</v>
      </c>
    </row>
    <row r="172" spans="1:11" x14ac:dyDescent="0.25">
      <c r="A172">
        <v>172</v>
      </c>
      <c r="B172" t="s">
        <v>3045</v>
      </c>
      <c r="C172" t="s">
        <v>1507</v>
      </c>
      <c r="D172" t="s">
        <v>1508</v>
      </c>
      <c r="E172">
        <v>60.51</v>
      </c>
      <c r="F172">
        <v>0.31</v>
      </c>
      <c r="G172">
        <v>0.86</v>
      </c>
      <c r="H172">
        <v>89.24</v>
      </c>
      <c r="I172">
        <v>0.97</v>
      </c>
      <c r="J172" s="9">
        <v>45108</v>
      </c>
      <c r="K172" s="9">
        <v>45473</v>
      </c>
    </row>
    <row r="173" spans="1:11" x14ac:dyDescent="0.25">
      <c r="A173">
        <v>173</v>
      </c>
      <c r="B173" t="s">
        <v>3048</v>
      </c>
      <c r="C173" t="s">
        <v>1511</v>
      </c>
      <c r="D173" t="s">
        <v>3046</v>
      </c>
      <c r="E173">
        <v>58.1</v>
      </c>
      <c r="F173">
        <v>1.8</v>
      </c>
      <c r="G173">
        <v>0.9</v>
      </c>
      <c r="H173">
        <v>80.67</v>
      </c>
      <c r="I173">
        <v>1.1200000000000001</v>
      </c>
      <c r="J173" s="9">
        <v>45108</v>
      </c>
      <c r="K173" s="9">
        <v>45473</v>
      </c>
    </row>
    <row r="174" spans="1:11" x14ac:dyDescent="0.25">
      <c r="A174">
        <v>174</v>
      </c>
      <c r="B174" t="s">
        <v>3051</v>
      </c>
      <c r="C174" t="s">
        <v>1515</v>
      </c>
      <c r="D174" t="s">
        <v>3049</v>
      </c>
      <c r="J174" s="9">
        <v>45108</v>
      </c>
      <c r="K174" s="9">
        <v>45473</v>
      </c>
    </row>
    <row r="175" spans="1:11" x14ac:dyDescent="0.25">
      <c r="A175">
        <v>175</v>
      </c>
      <c r="B175" t="s">
        <v>3053</v>
      </c>
      <c r="C175" t="s">
        <v>1519</v>
      </c>
      <c r="D175" t="s">
        <v>1520</v>
      </c>
      <c r="E175">
        <v>37.21</v>
      </c>
      <c r="F175">
        <v>3.71</v>
      </c>
      <c r="G175">
        <v>0.74</v>
      </c>
      <c r="H175">
        <v>91.08</v>
      </c>
      <c r="I175">
        <v>0.81</v>
      </c>
      <c r="J175" s="9">
        <v>45108</v>
      </c>
      <c r="K175" s="9">
        <v>45473</v>
      </c>
    </row>
    <row r="176" spans="1:11" x14ac:dyDescent="0.25">
      <c r="A176">
        <v>176</v>
      </c>
      <c r="B176" t="s">
        <v>3057</v>
      </c>
      <c r="C176" t="s">
        <v>1523</v>
      </c>
      <c r="D176" t="s">
        <v>1524</v>
      </c>
      <c r="E176">
        <v>54.24</v>
      </c>
      <c r="F176">
        <v>0.6</v>
      </c>
      <c r="G176">
        <v>0.95</v>
      </c>
      <c r="H176">
        <v>93</v>
      </c>
      <c r="I176">
        <v>1.02</v>
      </c>
      <c r="J176" s="9">
        <v>45108</v>
      </c>
      <c r="K176" s="9">
        <v>45473</v>
      </c>
    </row>
    <row r="177" spans="1:11" x14ac:dyDescent="0.25">
      <c r="A177">
        <v>177</v>
      </c>
      <c r="B177" t="s">
        <v>3060</v>
      </c>
      <c r="C177" t="s">
        <v>1527</v>
      </c>
      <c r="D177" t="s">
        <v>3058</v>
      </c>
      <c r="E177">
        <v>35.78</v>
      </c>
      <c r="F177">
        <v>2.4</v>
      </c>
      <c r="G177">
        <v>0.81</v>
      </c>
      <c r="H177">
        <v>72.13</v>
      </c>
      <c r="I177">
        <v>1.1200000000000001</v>
      </c>
      <c r="J177" s="9">
        <v>45108</v>
      </c>
      <c r="K177" s="9">
        <v>45473</v>
      </c>
    </row>
    <row r="178" spans="1:11" x14ac:dyDescent="0.25">
      <c r="A178">
        <v>178</v>
      </c>
      <c r="B178" t="s">
        <v>3061</v>
      </c>
      <c r="C178" t="s">
        <v>1531</v>
      </c>
      <c r="D178" t="s">
        <v>1532</v>
      </c>
      <c r="E178">
        <v>52.88</v>
      </c>
      <c r="F178">
        <v>2.23</v>
      </c>
      <c r="G178">
        <v>0.92</v>
      </c>
      <c r="H178">
        <v>89.37</v>
      </c>
      <c r="I178">
        <v>1.03</v>
      </c>
      <c r="J178" s="9">
        <v>45108</v>
      </c>
      <c r="K178" s="9">
        <v>45473</v>
      </c>
    </row>
    <row r="179" spans="1:11" x14ac:dyDescent="0.25">
      <c r="A179">
        <v>179</v>
      </c>
      <c r="B179" t="s">
        <v>3063</v>
      </c>
      <c r="C179" t="s">
        <v>1535</v>
      </c>
      <c r="D179" t="s">
        <v>1536</v>
      </c>
      <c r="E179">
        <v>59.54</v>
      </c>
      <c r="F179">
        <v>4.0599999999999996</v>
      </c>
      <c r="G179">
        <v>0.75</v>
      </c>
      <c r="H179">
        <v>90</v>
      </c>
      <c r="I179">
        <v>0.84</v>
      </c>
      <c r="J179" s="9">
        <v>45108</v>
      </c>
      <c r="K179" s="9">
        <v>45473</v>
      </c>
    </row>
    <row r="180" spans="1:11" x14ac:dyDescent="0.25">
      <c r="A180">
        <v>180</v>
      </c>
      <c r="B180" t="s">
        <v>3066</v>
      </c>
      <c r="C180" t="s">
        <v>1539</v>
      </c>
      <c r="D180" t="s">
        <v>3064</v>
      </c>
      <c r="J180" s="9">
        <v>45108</v>
      </c>
      <c r="K180" s="9">
        <v>45473</v>
      </c>
    </row>
    <row r="181" spans="1:11" x14ac:dyDescent="0.25">
      <c r="A181">
        <v>181</v>
      </c>
      <c r="B181" t="s">
        <v>3069</v>
      </c>
      <c r="C181" t="s">
        <v>1543</v>
      </c>
      <c r="D181" t="s">
        <v>3067</v>
      </c>
      <c r="J181" s="9">
        <v>45108</v>
      </c>
      <c r="K181" s="9">
        <v>45473</v>
      </c>
    </row>
    <row r="182" spans="1:11" x14ac:dyDescent="0.25">
      <c r="A182">
        <v>182</v>
      </c>
      <c r="B182" t="s">
        <v>3071</v>
      </c>
      <c r="C182" t="s">
        <v>1547</v>
      </c>
      <c r="D182" t="s">
        <v>1548</v>
      </c>
      <c r="E182">
        <v>58.08</v>
      </c>
      <c r="F182">
        <v>4.92</v>
      </c>
      <c r="G182">
        <v>1.05</v>
      </c>
      <c r="H182">
        <v>90</v>
      </c>
      <c r="I182">
        <v>1.17</v>
      </c>
      <c r="J182" s="9">
        <v>45108</v>
      </c>
      <c r="K182" s="9">
        <v>45473</v>
      </c>
    </row>
    <row r="183" spans="1:11" x14ac:dyDescent="0.25">
      <c r="A183">
        <v>183</v>
      </c>
      <c r="B183" t="s">
        <v>3073</v>
      </c>
      <c r="C183" t="s">
        <v>1551</v>
      </c>
      <c r="D183" t="s">
        <v>1552</v>
      </c>
      <c r="J183" s="9">
        <v>45108</v>
      </c>
      <c r="K183" s="9">
        <v>45473</v>
      </c>
    </row>
    <row r="184" spans="1:11" x14ac:dyDescent="0.25">
      <c r="A184">
        <v>184</v>
      </c>
      <c r="B184" t="s">
        <v>3075</v>
      </c>
      <c r="C184" t="s">
        <v>1555</v>
      </c>
      <c r="D184" t="s">
        <v>1556</v>
      </c>
      <c r="J184" s="9">
        <v>45108</v>
      </c>
      <c r="K184" s="9">
        <v>45473</v>
      </c>
    </row>
    <row r="185" spans="1:11" x14ac:dyDescent="0.25">
      <c r="A185">
        <v>185</v>
      </c>
      <c r="B185" t="s">
        <v>3077</v>
      </c>
      <c r="C185" t="s">
        <v>1559</v>
      </c>
      <c r="D185" t="s">
        <v>1560</v>
      </c>
      <c r="E185">
        <v>63.56</v>
      </c>
      <c r="F185">
        <v>5.48</v>
      </c>
      <c r="G185">
        <v>0.95</v>
      </c>
      <c r="H185">
        <v>92.92</v>
      </c>
      <c r="I185">
        <v>1.02</v>
      </c>
      <c r="J185" s="9">
        <v>45108</v>
      </c>
      <c r="K185" s="9">
        <v>45473</v>
      </c>
    </row>
    <row r="186" spans="1:11" x14ac:dyDescent="0.25">
      <c r="A186">
        <v>186</v>
      </c>
      <c r="B186" t="s">
        <v>3079</v>
      </c>
      <c r="C186" t="s">
        <v>1563</v>
      </c>
      <c r="D186" t="s">
        <v>1564</v>
      </c>
      <c r="E186">
        <v>55.92</v>
      </c>
      <c r="F186">
        <v>7.69</v>
      </c>
      <c r="G186">
        <v>0.89</v>
      </c>
      <c r="H186">
        <v>91.53</v>
      </c>
      <c r="I186">
        <v>0.97</v>
      </c>
      <c r="J186" s="9">
        <v>45108</v>
      </c>
      <c r="K186" s="9">
        <v>45473</v>
      </c>
    </row>
    <row r="187" spans="1:11" x14ac:dyDescent="0.25">
      <c r="A187">
        <v>187</v>
      </c>
      <c r="B187" t="s">
        <v>3082</v>
      </c>
      <c r="C187" t="s">
        <v>1567</v>
      </c>
      <c r="D187" t="s">
        <v>3080</v>
      </c>
      <c r="J187" s="9">
        <v>45108</v>
      </c>
      <c r="K187" s="9">
        <v>45473</v>
      </c>
    </row>
    <row r="188" spans="1:11" x14ac:dyDescent="0.25">
      <c r="A188">
        <v>188</v>
      </c>
      <c r="B188" t="s">
        <v>3084</v>
      </c>
      <c r="C188" t="s">
        <v>1571</v>
      </c>
      <c r="D188" t="s">
        <v>1572</v>
      </c>
      <c r="E188">
        <v>36.42</v>
      </c>
      <c r="F188">
        <v>1.76</v>
      </c>
      <c r="G188">
        <v>0.9</v>
      </c>
      <c r="H188">
        <v>84.34</v>
      </c>
      <c r="I188">
        <v>1.07</v>
      </c>
      <c r="J188" s="9">
        <v>45108</v>
      </c>
      <c r="K188" s="9">
        <v>45473</v>
      </c>
    </row>
    <row r="189" spans="1:11" x14ac:dyDescent="0.25">
      <c r="A189">
        <v>189</v>
      </c>
      <c r="B189" t="s">
        <v>3086</v>
      </c>
      <c r="C189" t="s">
        <v>1575</v>
      </c>
      <c r="D189" t="s">
        <v>1576</v>
      </c>
      <c r="E189">
        <v>37.53</v>
      </c>
      <c r="F189">
        <v>3.25</v>
      </c>
      <c r="G189">
        <v>0.74</v>
      </c>
      <c r="H189">
        <v>80.38</v>
      </c>
      <c r="I189">
        <v>0.92</v>
      </c>
      <c r="J189" s="9">
        <v>45108</v>
      </c>
      <c r="K189" s="9">
        <v>45473</v>
      </c>
    </row>
    <row r="190" spans="1:11" x14ac:dyDescent="0.25">
      <c r="A190">
        <v>190</v>
      </c>
      <c r="B190" t="s">
        <v>3088</v>
      </c>
      <c r="C190" t="s">
        <v>1579</v>
      </c>
      <c r="D190" t="s">
        <v>1580</v>
      </c>
      <c r="E190">
        <v>35.869999999999997</v>
      </c>
      <c r="F190">
        <v>2.4700000000000002</v>
      </c>
      <c r="G190">
        <v>0.76</v>
      </c>
      <c r="H190">
        <v>84.28</v>
      </c>
      <c r="I190">
        <v>0.9</v>
      </c>
      <c r="J190" s="9">
        <v>45108</v>
      </c>
      <c r="K190" s="9">
        <v>45473</v>
      </c>
    </row>
    <row r="191" spans="1:11" x14ac:dyDescent="0.25">
      <c r="A191">
        <v>360</v>
      </c>
      <c r="B191" t="s">
        <v>3090</v>
      </c>
      <c r="C191" t="s">
        <v>1583</v>
      </c>
      <c r="D191" t="s">
        <v>1584</v>
      </c>
      <c r="E191">
        <v>58.79</v>
      </c>
      <c r="F191">
        <v>3.34</v>
      </c>
      <c r="G191">
        <v>0.91</v>
      </c>
      <c r="H191">
        <v>92.5</v>
      </c>
      <c r="I191">
        <v>0.98</v>
      </c>
      <c r="J191" s="9">
        <v>45108</v>
      </c>
      <c r="K191" s="9">
        <v>45473</v>
      </c>
    </row>
    <row r="192" spans="1:11" x14ac:dyDescent="0.25">
      <c r="A192">
        <v>191</v>
      </c>
      <c r="B192" t="s">
        <v>3092</v>
      </c>
      <c r="C192" t="s">
        <v>1587</v>
      </c>
      <c r="D192" t="s">
        <v>1588</v>
      </c>
      <c r="E192">
        <v>41.09</v>
      </c>
      <c r="F192">
        <v>0.41</v>
      </c>
      <c r="G192">
        <v>0.81</v>
      </c>
      <c r="H192">
        <v>83.69</v>
      </c>
      <c r="I192">
        <v>0.97</v>
      </c>
      <c r="J192" s="9">
        <v>45108</v>
      </c>
      <c r="K192" s="9">
        <v>45473</v>
      </c>
    </row>
    <row r="193" spans="1:11" x14ac:dyDescent="0.25">
      <c r="A193">
        <v>194</v>
      </c>
      <c r="B193" t="s">
        <v>3094</v>
      </c>
      <c r="C193" t="s">
        <v>1591</v>
      </c>
      <c r="D193" t="s">
        <v>1592</v>
      </c>
      <c r="E193">
        <v>46.03</v>
      </c>
      <c r="F193">
        <v>0.32</v>
      </c>
      <c r="G193">
        <v>0.91</v>
      </c>
      <c r="H193">
        <v>85.59</v>
      </c>
      <c r="I193">
        <v>1.06</v>
      </c>
      <c r="J193" s="9">
        <v>45108</v>
      </c>
      <c r="K193" s="9">
        <v>45473</v>
      </c>
    </row>
    <row r="194" spans="1:11" x14ac:dyDescent="0.25">
      <c r="A194">
        <v>193</v>
      </c>
      <c r="B194" t="s">
        <v>3095</v>
      </c>
      <c r="C194" t="s">
        <v>1595</v>
      </c>
      <c r="D194" t="s">
        <v>1596</v>
      </c>
      <c r="J194" s="9">
        <v>45108</v>
      </c>
      <c r="K194" s="9">
        <v>45473</v>
      </c>
    </row>
    <row r="195" spans="1:11" x14ac:dyDescent="0.25">
      <c r="A195">
        <v>195</v>
      </c>
      <c r="B195" t="s">
        <v>3097</v>
      </c>
      <c r="C195" t="s">
        <v>1599</v>
      </c>
      <c r="D195" t="s">
        <v>1600</v>
      </c>
      <c r="E195">
        <v>46.1</v>
      </c>
      <c r="F195">
        <v>2.46</v>
      </c>
      <c r="G195">
        <v>0.93</v>
      </c>
      <c r="H195">
        <v>87.61</v>
      </c>
      <c r="I195">
        <v>1.06</v>
      </c>
      <c r="J195" s="9">
        <v>45108</v>
      </c>
      <c r="K195" s="9">
        <v>45473</v>
      </c>
    </row>
    <row r="196" spans="1:11" x14ac:dyDescent="0.25">
      <c r="C196" t="s">
        <v>1603</v>
      </c>
      <c r="D196" t="s">
        <v>1604</v>
      </c>
      <c r="J196" s="9">
        <v>45108</v>
      </c>
      <c r="K196" s="9">
        <v>45473</v>
      </c>
    </row>
    <row r="197" spans="1:11" x14ac:dyDescent="0.25">
      <c r="A197">
        <v>196</v>
      </c>
      <c r="B197" t="s">
        <v>3099</v>
      </c>
      <c r="C197" t="s">
        <v>1607</v>
      </c>
      <c r="D197" t="s">
        <v>1608</v>
      </c>
      <c r="E197">
        <v>42.6</v>
      </c>
      <c r="F197">
        <v>4.3099999999999996</v>
      </c>
      <c r="G197">
        <v>0.74</v>
      </c>
      <c r="H197">
        <v>85.92</v>
      </c>
      <c r="I197">
        <v>0.86</v>
      </c>
      <c r="J197" s="9">
        <v>45108</v>
      </c>
      <c r="K197" s="9">
        <v>45473</v>
      </c>
    </row>
    <row r="198" spans="1:11" x14ac:dyDescent="0.25">
      <c r="A198">
        <v>197</v>
      </c>
      <c r="B198" t="s">
        <v>3101</v>
      </c>
      <c r="C198" t="s">
        <v>1611</v>
      </c>
      <c r="D198" t="s">
        <v>3100</v>
      </c>
      <c r="E198">
        <v>23.68</v>
      </c>
      <c r="F198">
        <v>2.1800000000000002</v>
      </c>
      <c r="G198">
        <v>0.89</v>
      </c>
      <c r="H198">
        <v>78.709999999999994</v>
      </c>
      <c r="I198">
        <v>1.1399999999999999</v>
      </c>
      <c r="J198" s="9">
        <v>45108</v>
      </c>
      <c r="K198" s="9">
        <v>45473</v>
      </c>
    </row>
    <row r="199" spans="1:11" x14ac:dyDescent="0.25">
      <c r="A199">
        <v>198</v>
      </c>
      <c r="B199" t="s">
        <v>3102</v>
      </c>
      <c r="C199" t="s">
        <v>1615</v>
      </c>
      <c r="D199" t="s">
        <v>1616</v>
      </c>
      <c r="E199">
        <v>45.42</v>
      </c>
      <c r="F199">
        <v>1.31</v>
      </c>
      <c r="G199">
        <v>0.81</v>
      </c>
      <c r="H199">
        <v>84.52</v>
      </c>
      <c r="I199">
        <v>0.96</v>
      </c>
      <c r="J199" s="9">
        <v>45108</v>
      </c>
      <c r="K199" s="9">
        <v>45473</v>
      </c>
    </row>
    <row r="200" spans="1:11" x14ac:dyDescent="0.25">
      <c r="A200">
        <v>199</v>
      </c>
      <c r="B200" t="s">
        <v>3105</v>
      </c>
      <c r="C200" t="s">
        <v>1619</v>
      </c>
      <c r="D200" t="s">
        <v>3103</v>
      </c>
      <c r="E200">
        <v>38.49</v>
      </c>
      <c r="F200">
        <v>4.63</v>
      </c>
      <c r="G200">
        <v>0.81</v>
      </c>
      <c r="H200">
        <v>78.599999999999994</v>
      </c>
      <c r="I200">
        <v>1.03</v>
      </c>
      <c r="J200" s="9">
        <v>45108</v>
      </c>
      <c r="K200" s="9">
        <v>45473</v>
      </c>
    </row>
    <row r="201" spans="1:11" x14ac:dyDescent="0.25">
      <c r="A201">
        <v>200</v>
      </c>
      <c r="B201" t="s">
        <v>3108</v>
      </c>
      <c r="C201" t="s">
        <v>1623</v>
      </c>
      <c r="D201" t="s">
        <v>3106</v>
      </c>
      <c r="J201" s="9">
        <v>45108</v>
      </c>
      <c r="K201" s="9">
        <v>45473</v>
      </c>
    </row>
    <row r="202" spans="1:11" x14ac:dyDescent="0.25">
      <c r="A202">
        <v>201</v>
      </c>
      <c r="B202" t="s">
        <v>3111</v>
      </c>
      <c r="C202" t="s">
        <v>1627</v>
      </c>
      <c r="D202" t="s">
        <v>3109</v>
      </c>
      <c r="E202">
        <v>19.89</v>
      </c>
      <c r="F202">
        <v>1.22</v>
      </c>
      <c r="G202">
        <v>0.79</v>
      </c>
      <c r="H202">
        <v>85.9</v>
      </c>
      <c r="I202">
        <v>0.92</v>
      </c>
      <c r="J202" s="9">
        <v>45108</v>
      </c>
      <c r="K202" s="9">
        <v>45473</v>
      </c>
    </row>
    <row r="203" spans="1:11" x14ac:dyDescent="0.25">
      <c r="A203">
        <v>202</v>
      </c>
      <c r="B203" t="s">
        <v>3114</v>
      </c>
      <c r="C203" t="s">
        <v>1631</v>
      </c>
      <c r="D203" t="s">
        <v>3112</v>
      </c>
      <c r="E203">
        <v>51.6</v>
      </c>
      <c r="F203">
        <v>2.52</v>
      </c>
      <c r="G203">
        <v>1.05</v>
      </c>
      <c r="H203">
        <v>90</v>
      </c>
      <c r="I203">
        <v>1.17</v>
      </c>
      <c r="J203" s="9">
        <v>45108</v>
      </c>
      <c r="K203" s="9">
        <v>45473</v>
      </c>
    </row>
    <row r="204" spans="1:11" x14ac:dyDescent="0.25">
      <c r="A204">
        <v>203</v>
      </c>
      <c r="B204" t="s">
        <v>3117</v>
      </c>
      <c r="C204" t="s">
        <v>1635</v>
      </c>
      <c r="D204" t="s">
        <v>3115</v>
      </c>
      <c r="E204">
        <v>45.19</v>
      </c>
      <c r="F204">
        <v>2.96</v>
      </c>
      <c r="G204">
        <v>0.92</v>
      </c>
      <c r="H204">
        <v>81.84</v>
      </c>
      <c r="I204">
        <v>1.1299999999999999</v>
      </c>
      <c r="J204" s="9">
        <v>45108</v>
      </c>
      <c r="K204" s="9">
        <v>45473</v>
      </c>
    </row>
    <row r="205" spans="1:11" x14ac:dyDescent="0.25">
      <c r="A205">
        <v>204</v>
      </c>
      <c r="B205" t="s">
        <v>3119</v>
      </c>
      <c r="C205" t="s">
        <v>1639</v>
      </c>
      <c r="D205" t="s">
        <v>1640</v>
      </c>
      <c r="E205">
        <v>40.17</v>
      </c>
      <c r="F205">
        <v>2.72</v>
      </c>
      <c r="G205">
        <v>0.67</v>
      </c>
      <c r="H205">
        <v>84.4</v>
      </c>
      <c r="I205">
        <v>0.79</v>
      </c>
      <c r="J205" s="9">
        <v>45108</v>
      </c>
      <c r="K205" s="9">
        <v>45473</v>
      </c>
    </row>
    <row r="206" spans="1:11" x14ac:dyDescent="0.25">
      <c r="A206">
        <v>205</v>
      </c>
      <c r="B206" t="s">
        <v>3121</v>
      </c>
      <c r="C206" t="s">
        <v>1643</v>
      </c>
      <c r="D206" t="s">
        <v>1644</v>
      </c>
      <c r="E206">
        <v>42.82</v>
      </c>
      <c r="F206">
        <v>0.86</v>
      </c>
      <c r="G206">
        <v>0.91</v>
      </c>
      <c r="H206">
        <v>74.83</v>
      </c>
      <c r="I206">
        <v>1.21</v>
      </c>
      <c r="J206" s="9">
        <v>45108</v>
      </c>
      <c r="K206" s="9">
        <v>45473</v>
      </c>
    </row>
    <row r="207" spans="1:11" x14ac:dyDescent="0.25">
      <c r="A207">
        <v>206</v>
      </c>
      <c r="B207" t="s">
        <v>3124</v>
      </c>
      <c r="C207" t="s">
        <v>1655</v>
      </c>
      <c r="D207" t="s">
        <v>3122</v>
      </c>
      <c r="E207">
        <v>40.21</v>
      </c>
      <c r="F207">
        <v>2.46</v>
      </c>
      <c r="G207">
        <v>0.85</v>
      </c>
      <c r="H207">
        <v>79.430000000000007</v>
      </c>
      <c r="I207">
        <v>1.07</v>
      </c>
      <c r="J207" s="9">
        <v>45108</v>
      </c>
      <c r="K207" s="9">
        <v>45473</v>
      </c>
    </row>
    <row r="208" spans="1:11" x14ac:dyDescent="0.25">
      <c r="A208">
        <v>207</v>
      </c>
      <c r="B208" t="s">
        <v>3127</v>
      </c>
      <c r="C208" t="s">
        <v>1659</v>
      </c>
      <c r="D208" t="s">
        <v>3125</v>
      </c>
      <c r="J208" s="9">
        <v>45108</v>
      </c>
      <c r="K208" s="9">
        <v>45473</v>
      </c>
    </row>
    <row r="209" spans="1:11" x14ac:dyDescent="0.25">
      <c r="A209">
        <v>208</v>
      </c>
      <c r="B209" t="s">
        <v>3129</v>
      </c>
      <c r="C209" t="s">
        <v>1663</v>
      </c>
      <c r="D209" t="s">
        <v>1664</v>
      </c>
      <c r="E209">
        <v>48.45</v>
      </c>
      <c r="F209">
        <v>3.1</v>
      </c>
      <c r="G209">
        <v>0.89</v>
      </c>
      <c r="H209">
        <v>88.73</v>
      </c>
      <c r="I209">
        <v>1</v>
      </c>
      <c r="J209" s="9">
        <v>45108</v>
      </c>
      <c r="K209" s="9">
        <v>45473</v>
      </c>
    </row>
    <row r="210" spans="1:11" x14ac:dyDescent="0.25">
      <c r="A210">
        <v>209</v>
      </c>
      <c r="B210" t="s">
        <v>3131</v>
      </c>
      <c r="C210" t="s">
        <v>1668</v>
      </c>
      <c r="D210" t="s">
        <v>1669</v>
      </c>
      <c r="J210" s="9">
        <v>45108</v>
      </c>
      <c r="K210" s="9">
        <v>45473</v>
      </c>
    </row>
    <row r="211" spans="1:11" x14ac:dyDescent="0.25">
      <c r="A211">
        <v>210</v>
      </c>
      <c r="B211" t="s">
        <v>3134</v>
      </c>
      <c r="C211" t="s">
        <v>1673</v>
      </c>
      <c r="D211" t="s">
        <v>3132</v>
      </c>
      <c r="J211" s="9">
        <v>45108</v>
      </c>
      <c r="K211" s="9">
        <v>45473</v>
      </c>
    </row>
    <row r="212" spans="1:11" x14ac:dyDescent="0.25">
      <c r="A212">
        <v>211</v>
      </c>
      <c r="B212" t="s">
        <v>3136</v>
      </c>
      <c r="C212" t="s">
        <v>1677</v>
      </c>
      <c r="D212" t="s">
        <v>1678</v>
      </c>
      <c r="E212">
        <v>41.44</v>
      </c>
      <c r="F212">
        <v>1.28</v>
      </c>
      <c r="G212">
        <v>0.89</v>
      </c>
      <c r="H212">
        <v>85.39</v>
      </c>
      <c r="I212">
        <v>1.04</v>
      </c>
      <c r="J212" s="9">
        <v>45108</v>
      </c>
      <c r="K212" s="9">
        <v>45473</v>
      </c>
    </row>
    <row r="213" spans="1:11" x14ac:dyDescent="0.25">
      <c r="A213">
        <v>212</v>
      </c>
      <c r="B213" t="s">
        <v>3138</v>
      </c>
      <c r="C213" t="s">
        <v>1681</v>
      </c>
      <c r="D213" t="s">
        <v>1682</v>
      </c>
      <c r="E213">
        <v>27.94</v>
      </c>
      <c r="F213">
        <v>0.01</v>
      </c>
      <c r="G213">
        <v>0.95</v>
      </c>
      <c r="H213">
        <v>77.02</v>
      </c>
      <c r="I213">
        <v>1.23</v>
      </c>
      <c r="J213" s="9">
        <v>45108</v>
      </c>
      <c r="K213" s="9">
        <v>45473</v>
      </c>
    </row>
    <row r="214" spans="1:11" x14ac:dyDescent="0.25">
      <c r="A214">
        <v>213</v>
      </c>
      <c r="B214" t="s">
        <v>3140</v>
      </c>
      <c r="C214" t="s">
        <v>1686</v>
      </c>
      <c r="D214" t="s">
        <v>1687</v>
      </c>
      <c r="E214">
        <v>24.59</v>
      </c>
      <c r="F214">
        <v>3.31</v>
      </c>
      <c r="G214">
        <v>0.83</v>
      </c>
      <c r="H214">
        <v>89.78</v>
      </c>
      <c r="I214">
        <v>0.92</v>
      </c>
      <c r="J214" s="9">
        <v>45108</v>
      </c>
      <c r="K214" s="9">
        <v>45473</v>
      </c>
    </row>
    <row r="215" spans="1:11" x14ac:dyDescent="0.25">
      <c r="A215">
        <v>214</v>
      </c>
      <c r="B215" t="s">
        <v>3142</v>
      </c>
      <c r="C215" t="s">
        <v>1690</v>
      </c>
      <c r="D215" t="s">
        <v>1691</v>
      </c>
      <c r="E215">
        <v>43.08</v>
      </c>
      <c r="F215">
        <v>1.56</v>
      </c>
      <c r="G215">
        <v>0.74</v>
      </c>
      <c r="H215">
        <v>86</v>
      </c>
      <c r="I215">
        <v>0.86</v>
      </c>
      <c r="J215" s="9">
        <v>45108</v>
      </c>
      <c r="K215" s="9">
        <v>45473</v>
      </c>
    </row>
    <row r="216" spans="1:11" x14ac:dyDescent="0.25">
      <c r="A216">
        <v>215</v>
      </c>
      <c r="B216" t="s">
        <v>3144</v>
      </c>
      <c r="C216" t="s">
        <v>1694</v>
      </c>
      <c r="D216" t="s">
        <v>1695</v>
      </c>
      <c r="E216">
        <v>24.24</v>
      </c>
      <c r="F216">
        <v>4.75</v>
      </c>
      <c r="G216">
        <v>0.96</v>
      </c>
      <c r="H216">
        <v>83.37</v>
      </c>
      <c r="I216">
        <v>1.1499999999999999</v>
      </c>
      <c r="J216" s="9">
        <v>45108</v>
      </c>
      <c r="K216" s="9">
        <v>45473</v>
      </c>
    </row>
    <row r="217" spans="1:11" x14ac:dyDescent="0.25">
      <c r="A217">
        <v>216</v>
      </c>
      <c r="B217" t="s">
        <v>3147</v>
      </c>
      <c r="C217" t="s">
        <v>1698</v>
      </c>
      <c r="D217" t="s">
        <v>3145</v>
      </c>
      <c r="E217">
        <v>26.16</v>
      </c>
      <c r="F217">
        <v>2.16</v>
      </c>
      <c r="G217">
        <v>0.87</v>
      </c>
      <c r="H217">
        <v>80</v>
      </c>
      <c r="I217">
        <v>1.0900000000000001</v>
      </c>
      <c r="J217" s="9">
        <v>45108</v>
      </c>
      <c r="K217" s="9">
        <v>45473</v>
      </c>
    </row>
    <row r="218" spans="1:11" x14ac:dyDescent="0.25">
      <c r="A218">
        <v>217</v>
      </c>
      <c r="B218" t="s">
        <v>3149</v>
      </c>
      <c r="C218" t="s">
        <v>1702</v>
      </c>
      <c r="D218" t="s">
        <v>1703</v>
      </c>
      <c r="E218">
        <v>35.92</v>
      </c>
      <c r="F218">
        <v>4.26</v>
      </c>
      <c r="G218">
        <v>0.89</v>
      </c>
      <c r="H218">
        <v>81.84</v>
      </c>
      <c r="I218">
        <v>1.08</v>
      </c>
      <c r="J218" s="9">
        <v>45108</v>
      </c>
      <c r="K218" s="9">
        <v>45473</v>
      </c>
    </row>
    <row r="219" spans="1:11" x14ac:dyDescent="0.25">
      <c r="A219">
        <v>218</v>
      </c>
      <c r="B219" t="s">
        <v>3151</v>
      </c>
      <c r="C219" t="s">
        <v>1706</v>
      </c>
      <c r="D219" t="s">
        <v>1707</v>
      </c>
      <c r="E219">
        <v>18.600000000000001</v>
      </c>
      <c r="F219">
        <v>0</v>
      </c>
      <c r="G219">
        <v>0.85</v>
      </c>
      <c r="H219">
        <v>90</v>
      </c>
      <c r="I219">
        <v>0.94</v>
      </c>
      <c r="J219" s="9">
        <v>45108</v>
      </c>
      <c r="K219" s="9">
        <v>45473</v>
      </c>
    </row>
    <row r="220" spans="1:11" x14ac:dyDescent="0.25">
      <c r="A220">
        <v>219</v>
      </c>
      <c r="B220" t="s">
        <v>3153</v>
      </c>
      <c r="C220" t="s">
        <v>1710</v>
      </c>
      <c r="D220" t="s">
        <v>1711</v>
      </c>
      <c r="J220" s="9">
        <v>45108</v>
      </c>
      <c r="K220" s="9">
        <v>45473</v>
      </c>
    </row>
    <row r="221" spans="1:11" x14ac:dyDescent="0.25">
      <c r="A221">
        <v>220</v>
      </c>
      <c r="B221" t="s">
        <v>3155</v>
      </c>
      <c r="C221" t="s">
        <v>1714</v>
      </c>
      <c r="D221" t="s">
        <v>1715</v>
      </c>
      <c r="J221" s="9">
        <v>45108</v>
      </c>
      <c r="K221" s="9">
        <v>45473</v>
      </c>
    </row>
    <row r="222" spans="1:11" x14ac:dyDescent="0.25">
      <c r="A222">
        <v>221</v>
      </c>
      <c r="B222" t="s">
        <v>3157</v>
      </c>
      <c r="C222" t="s">
        <v>1718</v>
      </c>
      <c r="D222" t="s">
        <v>1719</v>
      </c>
      <c r="E222">
        <v>44.32</v>
      </c>
      <c r="F222">
        <v>5.48</v>
      </c>
      <c r="G222">
        <v>0.81</v>
      </c>
      <c r="H222">
        <v>85.43</v>
      </c>
      <c r="I222">
        <v>0.95</v>
      </c>
      <c r="J222" s="9">
        <v>45108</v>
      </c>
      <c r="K222" s="9">
        <v>45473</v>
      </c>
    </row>
    <row r="223" spans="1:11" x14ac:dyDescent="0.25">
      <c r="A223">
        <v>222</v>
      </c>
      <c r="B223" t="s">
        <v>3159</v>
      </c>
      <c r="C223" t="s">
        <v>1722</v>
      </c>
      <c r="D223" t="s">
        <v>1723</v>
      </c>
      <c r="E223">
        <v>67.48</v>
      </c>
      <c r="F223">
        <v>1.07</v>
      </c>
      <c r="G223">
        <v>0.96</v>
      </c>
      <c r="H223">
        <v>73.709999999999994</v>
      </c>
      <c r="I223">
        <v>1.3</v>
      </c>
      <c r="J223" s="9">
        <v>45108</v>
      </c>
      <c r="K223" s="9">
        <v>45473</v>
      </c>
    </row>
    <row r="224" spans="1:11" x14ac:dyDescent="0.25">
      <c r="A224">
        <v>223</v>
      </c>
      <c r="B224" t="s">
        <v>3161</v>
      </c>
      <c r="C224" t="s">
        <v>1730</v>
      </c>
      <c r="D224" t="s">
        <v>1731</v>
      </c>
      <c r="E224">
        <v>43.77</v>
      </c>
      <c r="F224">
        <v>2.09</v>
      </c>
      <c r="G224">
        <v>0.87</v>
      </c>
      <c r="H224">
        <v>86.76</v>
      </c>
      <c r="I224">
        <v>1.01</v>
      </c>
      <c r="J224" s="9">
        <v>45108</v>
      </c>
      <c r="K224" s="9">
        <v>45473</v>
      </c>
    </row>
    <row r="225" spans="1:11" x14ac:dyDescent="0.25">
      <c r="A225">
        <v>225</v>
      </c>
      <c r="B225" t="s">
        <v>3164</v>
      </c>
      <c r="C225" t="s">
        <v>1748</v>
      </c>
      <c r="D225" t="s">
        <v>3782</v>
      </c>
      <c r="J225" s="9">
        <v>45108</v>
      </c>
      <c r="K225" s="9">
        <v>45473</v>
      </c>
    </row>
    <row r="226" spans="1:11" x14ac:dyDescent="0.25">
      <c r="A226">
        <v>226</v>
      </c>
      <c r="B226" t="s">
        <v>3167</v>
      </c>
      <c r="C226" t="s">
        <v>1752</v>
      </c>
      <c r="D226" t="s">
        <v>3165</v>
      </c>
      <c r="E226">
        <v>54.16</v>
      </c>
      <c r="F226">
        <v>3.3</v>
      </c>
      <c r="G226">
        <v>0.98</v>
      </c>
      <c r="H226">
        <v>87.34</v>
      </c>
      <c r="I226">
        <v>1.1200000000000001</v>
      </c>
      <c r="J226" s="9">
        <v>45108</v>
      </c>
      <c r="K226" s="9">
        <v>45473</v>
      </c>
    </row>
    <row r="227" spans="1:11" x14ac:dyDescent="0.25">
      <c r="A227">
        <v>227</v>
      </c>
      <c r="B227" t="s">
        <v>3169</v>
      </c>
      <c r="C227" t="s">
        <v>1756</v>
      </c>
      <c r="D227" t="s">
        <v>1757</v>
      </c>
      <c r="J227" s="9">
        <v>45108</v>
      </c>
      <c r="K227" s="9">
        <v>45473</v>
      </c>
    </row>
    <row r="228" spans="1:11" x14ac:dyDescent="0.25">
      <c r="A228">
        <v>228</v>
      </c>
      <c r="B228" t="s">
        <v>3171</v>
      </c>
      <c r="C228" t="s">
        <v>1760</v>
      </c>
      <c r="D228" t="s">
        <v>1761</v>
      </c>
      <c r="E228">
        <v>47.41</v>
      </c>
      <c r="F228">
        <v>5.39</v>
      </c>
      <c r="G228">
        <v>0.83</v>
      </c>
      <c r="H228">
        <v>91</v>
      </c>
      <c r="I228">
        <v>0.91</v>
      </c>
      <c r="J228" s="9">
        <v>45108</v>
      </c>
      <c r="K228" s="9">
        <v>45473</v>
      </c>
    </row>
    <row r="229" spans="1:11" x14ac:dyDescent="0.25">
      <c r="A229">
        <v>229</v>
      </c>
      <c r="B229" t="s">
        <v>3173</v>
      </c>
      <c r="C229" t="s">
        <v>1764</v>
      </c>
      <c r="D229" t="s">
        <v>1765</v>
      </c>
      <c r="J229" s="9">
        <v>45108</v>
      </c>
      <c r="K229" s="9">
        <v>45473</v>
      </c>
    </row>
    <row r="230" spans="1:11" x14ac:dyDescent="0.25">
      <c r="A230">
        <v>230</v>
      </c>
      <c r="B230" t="s">
        <v>3175</v>
      </c>
      <c r="C230" t="s">
        <v>1768</v>
      </c>
      <c r="D230" t="s">
        <v>1769</v>
      </c>
      <c r="E230">
        <v>32.74</v>
      </c>
      <c r="F230">
        <v>6.4</v>
      </c>
      <c r="G230">
        <v>0.89</v>
      </c>
      <c r="H230">
        <v>83.47</v>
      </c>
      <c r="I230">
        <v>1.06</v>
      </c>
      <c r="J230" s="9">
        <v>45108</v>
      </c>
      <c r="K230" s="9">
        <v>45473</v>
      </c>
    </row>
    <row r="231" spans="1:11" x14ac:dyDescent="0.25">
      <c r="A231">
        <v>231</v>
      </c>
      <c r="B231" t="s">
        <v>3177</v>
      </c>
      <c r="C231" t="s">
        <v>1772</v>
      </c>
      <c r="D231" t="s">
        <v>1773</v>
      </c>
      <c r="E231">
        <v>22.2</v>
      </c>
      <c r="F231">
        <v>4.8</v>
      </c>
      <c r="G231">
        <v>0.77</v>
      </c>
      <c r="H231">
        <v>72</v>
      </c>
      <c r="I231">
        <v>1.07</v>
      </c>
      <c r="J231" s="9">
        <v>45108</v>
      </c>
      <c r="K231" s="9">
        <v>45473</v>
      </c>
    </row>
    <row r="232" spans="1:11" x14ac:dyDescent="0.25">
      <c r="A232">
        <v>232</v>
      </c>
      <c r="B232" t="s">
        <v>3179</v>
      </c>
      <c r="C232" t="s">
        <v>1776</v>
      </c>
      <c r="D232" t="s">
        <v>1777</v>
      </c>
      <c r="E232">
        <v>49.56</v>
      </c>
      <c r="F232">
        <v>5.62</v>
      </c>
      <c r="G232">
        <v>0.7</v>
      </c>
      <c r="H232">
        <v>93</v>
      </c>
      <c r="I232">
        <v>0.75</v>
      </c>
      <c r="J232" s="9">
        <v>45108</v>
      </c>
      <c r="K232" s="9">
        <v>45473</v>
      </c>
    </row>
    <row r="233" spans="1:11" x14ac:dyDescent="0.25">
      <c r="A233">
        <v>234</v>
      </c>
      <c r="B233" t="s">
        <v>3181</v>
      </c>
      <c r="C233" t="s">
        <v>1780</v>
      </c>
      <c r="D233" t="s">
        <v>1781</v>
      </c>
      <c r="E233">
        <v>38.04</v>
      </c>
      <c r="F233">
        <v>2.04</v>
      </c>
      <c r="G233">
        <v>1</v>
      </c>
      <c r="H233">
        <v>84</v>
      </c>
      <c r="I233">
        <v>1.19</v>
      </c>
      <c r="J233" s="9">
        <v>45108</v>
      </c>
      <c r="K233" s="9">
        <v>45473</v>
      </c>
    </row>
    <row r="234" spans="1:11" x14ac:dyDescent="0.25">
      <c r="A234">
        <v>235</v>
      </c>
      <c r="B234" t="s">
        <v>3183</v>
      </c>
      <c r="C234" t="s">
        <v>1784</v>
      </c>
      <c r="D234" t="s">
        <v>1785</v>
      </c>
      <c r="E234">
        <v>48.99</v>
      </c>
      <c r="F234">
        <v>1.44</v>
      </c>
      <c r="G234">
        <v>0.87</v>
      </c>
      <c r="H234">
        <v>86.14</v>
      </c>
      <c r="I234">
        <v>1.01</v>
      </c>
      <c r="J234" s="9">
        <v>45108</v>
      </c>
      <c r="K234" s="9">
        <v>45473</v>
      </c>
    </row>
    <row r="235" spans="1:11" x14ac:dyDescent="0.25">
      <c r="A235">
        <v>236</v>
      </c>
      <c r="B235" t="s">
        <v>3186</v>
      </c>
      <c r="C235" t="s">
        <v>1788</v>
      </c>
      <c r="D235" t="s">
        <v>3783</v>
      </c>
      <c r="E235">
        <v>43.59</v>
      </c>
      <c r="F235">
        <v>3.67</v>
      </c>
      <c r="G235">
        <v>0.73</v>
      </c>
      <c r="H235">
        <v>85.85</v>
      </c>
      <c r="I235">
        <v>0.86</v>
      </c>
      <c r="J235" s="9">
        <v>45108</v>
      </c>
      <c r="K235" s="9">
        <v>45473</v>
      </c>
    </row>
    <row r="236" spans="1:11" x14ac:dyDescent="0.25">
      <c r="A236">
        <v>237</v>
      </c>
      <c r="B236" t="s">
        <v>3188</v>
      </c>
      <c r="C236" t="s">
        <v>1792</v>
      </c>
      <c r="D236" t="s">
        <v>1793</v>
      </c>
      <c r="E236">
        <v>55.35</v>
      </c>
      <c r="F236">
        <v>6.07</v>
      </c>
      <c r="G236">
        <v>0.94</v>
      </c>
      <c r="H236">
        <v>77.64</v>
      </c>
      <c r="I236">
        <v>1.22</v>
      </c>
      <c r="J236" s="9">
        <v>45108</v>
      </c>
      <c r="K236" s="9">
        <v>45473</v>
      </c>
    </row>
    <row r="237" spans="1:11" x14ac:dyDescent="0.25">
      <c r="A237">
        <v>239</v>
      </c>
      <c r="B237" t="s">
        <v>3191</v>
      </c>
      <c r="C237" t="s">
        <v>1807</v>
      </c>
      <c r="D237" t="s">
        <v>3189</v>
      </c>
      <c r="E237">
        <v>23.98</v>
      </c>
      <c r="F237">
        <v>4.4800000000000004</v>
      </c>
      <c r="G237">
        <v>0.82</v>
      </c>
      <c r="H237">
        <v>76.97</v>
      </c>
      <c r="I237">
        <v>1.06</v>
      </c>
      <c r="J237" s="9">
        <v>45108</v>
      </c>
      <c r="K237" s="9">
        <v>45473</v>
      </c>
    </row>
    <row r="238" spans="1:11" x14ac:dyDescent="0.25">
      <c r="A238">
        <v>240</v>
      </c>
      <c r="B238" t="s">
        <v>3194</v>
      </c>
      <c r="C238" t="s">
        <v>1811</v>
      </c>
      <c r="D238" t="s">
        <v>3192</v>
      </c>
      <c r="J238" s="9">
        <v>45108</v>
      </c>
      <c r="K238" s="9">
        <v>45473</v>
      </c>
    </row>
    <row r="239" spans="1:11" x14ac:dyDescent="0.25">
      <c r="A239">
        <v>241</v>
      </c>
      <c r="B239" t="s">
        <v>3195</v>
      </c>
      <c r="C239" t="s">
        <v>1815</v>
      </c>
      <c r="D239" t="s">
        <v>1816</v>
      </c>
      <c r="E239">
        <v>39.31</v>
      </c>
      <c r="F239">
        <v>2.63</v>
      </c>
      <c r="G239">
        <v>0.99</v>
      </c>
      <c r="H239">
        <v>90.01</v>
      </c>
      <c r="I239">
        <v>1.1000000000000001</v>
      </c>
      <c r="J239" s="9">
        <v>45108</v>
      </c>
      <c r="K239" s="9">
        <v>45473</v>
      </c>
    </row>
    <row r="240" spans="1:11" x14ac:dyDescent="0.25">
      <c r="A240">
        <v>242</v>
      </c>
      <c r="B240" t="s">
        <v>3198</v>
      </c>
      <c r="C240" t="s">
        <v>1819</v>
      </c>
      <c r="D240" t="s">
        <v>3196</v>
      </c>
      <c r="E240">
        <v>57.2</v>
      </c>
      <c r="F240">
        <v>3.54</v>
      </c>
      <c r="G240">
        <v>0.95</v>
      </c>
      <c r="H240">
        <v>88.44</v>
      </c>
      <c r="I240">
        <v>1.08</v>
      </c>
      <c r="J240" s="9">
        <v>45108</v>
      </c>
      <c r="K240" s="9">
        <v>45473</v>
      </c>
    </row>
    <row r="241" spans="1:11" x14ac:dyDescent="0.25">
      <c r="A241">
        <v>243</v>
      </c>
      <c r="B241" t="s">
        <v>3200</v>
      </c>
      <c r="C241" t="s">
        <v>1823</v>
      </c>
      <c r="D241" t="s">
        <v>1824</v>
      </c>
      <c r="E241">
        <v>16.649999999999999</v>
      </c>
      <c r="F241">
        <v>2.89</v>
      </c>
      <c r="G241">
        <v>0.9</v>
      </c>
      <c r="H241">
        <v>82.53</v>
      </c>
      <c r="I241">
        <v>1.1000000000000001</v>
      </c>
      <c r="J241" s="9">
        <v>45108</v>
      </c>
      <c r="K241" s="9">
        <v>45473</v>
      </c>
    </row>
    <row r="242" spans="1:11" x14ac:dyDescent="0.25">
      <c r="A242">
        <v>244</v>
      </c>
      <c r="B242" t="s">
        <v>3202</v>
      </c>
      <c r="C242" t="s">
        <v>1827</v>
      </c>
      <c r="D242" t="s">
        <v>1828</v>
      </c>
      <c r="E242">
        <v>29.81</v>
      </c>
      <c r="F242">
        <v>5.0599999999999996</v>
      </c>
      <c r="G242">
        <v>0.88</v>
      </c>
      <c r="H242">
        <v>80.290000000000006</v>
      </c>
      <c r="I242">
        <v>1.1000000000000001</v>
      </c>
      <c r="J242" s="9">
        <v>45108</v>
      </c>
      <c r="K242" s="9">
        <v>45473</v>
      </c>
    </row>
    <row r="243" spans="1:11" x14ac:dyDescent="0.25">
      <c r="A243">
        <v>245</v>
      </c>
      <c r="B243" t="s">
        <v>3204</v>
      </c>
      <c r="C243" t="s">
        <v>1831</v>
      </c>
      <c r="D243" t="s">
        <v>1832</v>
      </c>
      <c r="J243" s="9">
        <v>45108</v>
      </c>
      <c r="K243" s="9">
        <v>45473</v>
      </c>
    </row>
    <row r="244" spans="1:11" x14ac:dyDescent="0.25">
      <c r="A244">
        <v>246</v>
      </c>
      <c r="B244" t="s">
        <v>3206</v>
      </c>
      <c r="C244" t="s">
        <v>1839</v>
      </c>
      <c r="D244" t="s">
        <v>1840</v>
      </c>
      <c r="J244" s="9">
        <v>45108</v>
      </c>
      <c r="K244" s="9">
        <v>45473</v>
      </c>
    </row>
    <row r="245" spans="1:11" x14ac:dyDescent="0.25">
      <c r="A245">
        <v>247</v>
      </c>
      <c r="B245" t="s">
        <v>3208</v>
      </c>
      <c r="C245" t="s">
        <v>1843</v>
      </c>
      <c r="D245" t="s">
        <v>1844</v>
      </c>
      <c r="E245">
        <v>40.880000000000003</v>
      </c>
      <c r="F245">
        <v>2.4</v>
      </c>
      <c r="G245">
        <v>0.93</v>
      </c>
      <c r="H245">
        <v>85.83</v>
      </c>
      <c r="I245">
        <v>1.0900000000000001</v>
      </c>
      <c r="J245" s="9">
        <v>45108</v>
      </c>
      <c r="K245" s="9">
        <v>45473</v>
      </c>
    </row>
    <row r="246" spans="1:11" x14ac:dyDescent="0.25">
      <c r="A246">
        <v>248</v>
      </c>
      <c r="B246" t="s">
        <v>3210</v>
      </c>
      <c r="C246" t="s">
        <v>1847</v>
      </c>
      <c r="D246" t="s">
        <v>1848</v>
      </c>
      <c r="E246">
        <v>40.61</v>
      </c>
      <c r="F246">
        <v>5.05</v>
      </c>
      <c r="G246">
        <v>0.87</v>
      </c>
      <c r="H246">
        <v>85.07</v>
      </c>
      <c r="I246">
        <v>1.03</v>
      </c>
      <c r="J246" s="9">
        <v>45108</v>
      </c>
      <c r="K246" s="9">
        <v>45473</v>
      </c>
    </row>
    <row r="247" spans="1:11" x14ac:dyDescent="0.25">
      <c r="A247">
        <v>249</v>
      </c>
      <c r="B247" t="s">
        <v>3212</v>
      </c>
      <c r="C247" t="s">
        <v>1851</v>
      </c>
      <c r="D247" t="s">
        <v>1852</v>
      </c>
      <c r="J247" s="9">
        <v>45108</v>
      </c>
      <c r="K247" s="9">
        <v>45473</v>
      </c>
    </row>
    <row r="248" spans="1:11" x14ac:dyDescent="0.25">
      <c r="A248">
        <v>250</v>
      </c>
      <c r="B248" t="s">
        <v>3214</v>
      </c>
      <c r="C248" t="s">
        <v>1855</v>
      </c>
      <c r="D248" t="s">
        <v>1856</v>
      </c>
      <c r="E248">
        <v>27.6</v>
      </c>
      <c r="F248">
        <v>9.36</v>
      </c>
      <c r="G248">
        <v>0.8</v>
      </c>
      <c r="H248">
        <v>83</v>
      </c>
      <c r="I248">
        <v>0.96</v>
      </c>
      <c r="J248" s="9">
        <v>45108</v>
      </c>
      <c r="K248" s="9">
        <v>45473</v>
      </c>
    </row>
    <row r="249" spans="1:11" x14ac:dyDescent="0.25">
      <c r="A249">
        <v>251</v>
      </c>
      <c r="B249" t="s">
        <v>3216</v>
      </c>
      <c r="C249" t="s">
        <v>1862</v>
      </c>
      <c r="D249" t="s">
        <v>1863</v>
      </c>
      <c r="E249">
        <v>54.89</v>
      </c>
      <c r="F249">
        <v>7.56</v>
      </c>
      <c r="G249">
        <v>0.96</v>
      </c>
      <c r="H249">
        <v>90.86</v>
      </c>
      <c r="I249">
        <v>1.06</v>
      </c>
      <c r="J249" s="9">
        <v>45108</v>
      </c>
      <c r="K249" s="9">
        <v>45473</v>
      </c>
    </row>
    <row r="250" spans="1:11" x14ac:dyDescent="0.25">
      <c r="A250">
        <v>252</v>
      </c>
      <c r="B250" t="s">
        <v>3219</v>
      </c>
      <c r="C250" t="s">
        <v>1866</v>
      </c>
      <c r="D250" t="s">
        <v>3217</v>
      </c>
      <c r="E250">
        <v>33.4</v>
      </c>
      <c r="F250">
        <v>2.31</v>
      </c>
      <c r="G250">
        <v>0.85</v>
      </c>
      <c r="H250">
        <v>78.48</v>
      </c>
      <c r="I250">
        <v>1.08</v>
      </c>
      <c r="J250" s="9">
        <v>45108</v>
      </c>
      <c r="K250" s="9">
        <v>45473</v>
      </c>
    </row>
    <row r="251" spans="1:11" x14ac:dyDescent="0.25">
      <c r="A251">
        <v>253</v>
      </c>
      <c r="B251" t="s">
        <v>3222</v>
      </c>
      <c r="C251" t="s">
        <v>1870</v>
      </c>
      <c r="D251" t="s">
        <v>3220</v>
      </c>
      <c r="E251">
        <v>48.72</v>
      </c>
      <c r="F251">
        <v>4.7</v>
      </c>
      <c r="G251">
        <v>1.05</v>
      </c>
      <c r="H251">
        <v>90.02</v>
      </c>
      <c r="I251">
        <v>1.17</v>
      </c>
      <c r="J251" s="9">
        <v>45108</v>
      </c>
      <c r="K251" s="9">
        <v>45473</v>
      </c>
    </row>
    <row r="252" spans="1:11" x14ac:dyDescent="0.25">
      <c r="A252">
        <v>254</v>
      </c>
      <c r="B252" t="s">
        <v>3224</v>
      </c>
      <c r="C252" t="s">
        <v>1874</v>
      </c>
      <c r="D252" t="s">
        <v>1875</v>
      </c>
      <c r="E252">
        <v>54.21</v>
      </c>
      <c r="F252">
        <v>3.57</v>
      </c>
      <c r="G252">
        <v>0.86</v>
      </c>
      <c r="H252">
        <v>84.44</v>
      </c>
      <c r="I252">
        <v>1.02</v>
      </c>
      <c r="J252" s="9">
        <v>45108</v>
      </c>
      <c r="K252" s="9">
        <v>45473</v>
      </c>
    </row>
    <row r="253" spans="1:11" x14ac:dyDescent="0.25">
      <c r="A253">
        <v>255</v>
      </c>
      <c r="B253" t="s">
        <v>3226</v>
      </c>
      <c r="C253" t="s">
        <v>1878</v>
      </c>
      <c r="D253" t="s">
        <v>1879</v>
      </c>
      <c r="J253" s="9">
        <v>45108</v>
      </c>
      <c r="K253" s="9">
        <v>45473</v>
      </c>
    </row>
    <row r="254" spans="1:11" x14ac:dyDescent="0.25">
      <c r="A254">
        <v>256</v>
      </c>
      <c r="B254" t="s">
        <v>3228</v>
      </c>
      <c r="C254" t="s">
        <v>1882</v>
      </c>
      <c r="D254" t="s">
        <v>1883</v>
      </c>
      <c r="E254">
        <v>53.51</v>
      </c>
      <c r="F254">
        <v>6.95</v>
      </c>
      <c r="G254">
        <v>0.8</v>
      </c>
      <c r="H254">
        <v>90.88</v>
      </c>
      <c r="I254">
        <v>0.88</v>
      </c>
      <c r="J254" s="9">
        <v>45108</v>
      </c>
      <c r="K254" s="9">
        <v>45473</v>
      </c>
    </row>
    <row r="255" spans="1:11" x14ac:dyDescent="0.25">
      <c r="A255">
        <v>257</v>
      </c>
      <c r="B255" t="s">
        <v>3231</v>
      </c>
      <c r="C255" t="s">
        <v>1886</v>
      </c>
      <c r="D255" t="s">
        <v>3229</v>
      </c>
      <c r="E255">
        <v>21.54</v>
      </c>
      <c r="F255">
        <v>1.98</v>
      </c>
      <c r="G255">
        <v>0.78</v>
      </c>
      <c r="H255">
        <v>85.89</v>
      </c>
      <c r="I255">
        <v>0.91</v>
      </c>
      <c r="J255" s="9">
        <v>45108</v>
      </c>
      <c r="K255" s="9">
        <v>45473</v>
      </c>
    </row>
    <row r="256" spans="1:11" x14ac:dyDescent="0.25">
      <c r="A256">
        <v>258</v>
      </c>
      <c r="B256" t="s">
        <v>3233</v>
      </c>
      <c r="C256" t="s">
        <v>1890</v>
      </c>
      <c r="D256" t="s">
        <v>1891</v>
      </c>
      <c r="E256">
        <v>55.92</v>
      </c>
      <c r="F256">
        <v>7.69</v>
      </c>
      <c r="G256">
        <v>0.81</v>
      </c>
      <c r="H256">
        <v>92.27</v>
      </c>
      <c r="I256">
        <v>0.88</v>
      </c>
      <c r="J256" s="9">
        <v>45108</v>
      </c>
      <c r="K256" s="9">
        <v>45473</v>
      </c>
    </row>
    <row r="257" spans="1:11" x14ac:dyDescent="0.25">
      <c r="A257">
        <v>259</v>
      </c>
      <c r="B257" t="s">
        <v>3235</v>
      </c>
      <c r="C257" t="s">
        <v>1894</v>
      </c>
      <c r="D257" t="s">
        <v>1895</v>
      </c>
      <c r="E257">
        <v>49.92</v>
      </c>
      <c r="F257">
        <v>0.96</v>
      </c>
      <c r="G257">
        <v>0.72</v>
      </c>
      <c r="H257">
        <v>80</v>
      </c>
      <c r="I257">
        <v>0.9</v>
      </c>
      <c r="J257" s="9">
        <v>45108</v>
      </c>
      <c r="K257" s="9">
        <v>45473</v>
      </c>
    </row>
    <row r="258" spans="1:11" x14ac:dyDescent="0.25">
      <c r="A258">
        <v>260</v>
      </c>
      <c r="B258" t="s">
        <v>3237</v>
      </c>
      <c r="C258" t="s">
        <v>1898</v>
      </c>
      <c r="D258" t="s">
        <v>1899</v>
      </c>
      <c r="E258">
        <v>38.04</v>
      </c>
      <c r="F258">
        <v>3.27</v>
      </c>
      <c r="G258">
        <v>0.83</v>
      </c>
      <c r="H258">
        <v>84.84</v>
      </c>
      <c r="I258">
        <v>0.98</v>
      </c>
      <c r="J258" s="9">
        <v>45108</v>
      </c>
      <c r="K258" s="9">
        <v>45473</v>
      </c>
    </row>
    <row r="259" spans="1:11" x14ac:dyDescent="0.25">
      <c r="C259" t="s">
        <v>1902</v>
      </c>
      <c r="D259" t="s">
        <v>1903</v>
      </c>
      <c r="J259" s="9">
        <v>45108</v>
      </c>
      <c r="K259" s="9">
        <v>45473</v>
      </c>
    </row>
    <row r="260" spans="1:11" x14ac:dyDescent="0.25">
      <c r="A260">
        <v>262</v>
      </c>
      <c r="B260" t="s">
        <v>3239</v>
      </c>
      <c r="C260" t="s">
        <v>1906</v>
      </c>
      <c r="D260" t="s">
        <v>3238</v>
      </c>
      <c r="E260">
        <v>51.6</v>
      </c>
      <c r="F260">
        <v>2.52</v>
      </c>
      <c r="G260">
        <v>1.05</v>
      </c>
      <c r="H260">
        <v>90</v>
      </c>
      <c r="I260">
        <v>1.17</v>
      </c>
      <c r="J260" s="9">
        <v>45108</v>
      </c>
      <c r="K260" s="9">
        <v>45473</v>
      </c>
    </row>
    <row r="261" spans="1:11" x14ac:dyDescent="0.25">
      <c r="A261">
        <v>192</v>
      </c>
      <c r="B261" t="s">
        <v>3242</v>
      </c>
      <c r="C261" t="s">
        <v>1910</v>
      </c>
      <c r="D261" t="s">
        <v>3240</v>
      </c>
      <c r="J261" s="9">
        <v>45108</v>
      </c>
      <c r="K261" s="9">
        <v>45473</v>
      </c>
    </row>
    <row r="262" spans="1:11" x14ac:dyDescent="0.25">
      <c r="A262">
        <v>263</v>
      </c>
      <c r="B262" t="s">
        <v>3243</v>
      </c>
      <c r="C262" t="s">
        <v>1918</v>
      </c>
      <c r="D262" t="s">
        <v>1919</v>
      </c>
      <c r="E262">
        <v>58.08</v>
      </c>
      <c r="F262">
        <v>4.92</v>
      </c>
      <c r="G262">
        <v>1.05</v>
      </c>
      <c r="H262">
        <v>90</v>
      </c>
      <c r="I262">
        <v>1.17</v>
      </c>
      <c r="J262" s="9">
        <v>45108</v>
      </c>
      <c r="K262" s="9">
        <v>45473</v>
      </c>
    </row>
    <row r="263" spans="1:11" x14ac:dyDescent="0.25">
      <c r="A263">
        <v>264</v>
      </c>
      <c r="B263" t="s">
        <v>3244</v>
      </c>
      <c r="C263" t="s">
        <v>1922</v>
      </c>
      <c r="D263" t="s">
        <v>1923</v>
      </c>
      <c r="E263">
        <v>37.619999999999997</v>
      </c>
      <c r="F263">
        <v>2.1800000000000002</v>
      </c>
      <c r="G263">
        <v>0.73</v>
      </c>
      <c r="H263">
        <v>77.86</v>
      </c>
      <c r="I263">
        <v>0.94</v>
      </c>
      <c r="J263" s="9">
        <v>45108</v>
      </c>
      <c r="K263" s="9">
        <v>45473</v>
      </c>
    </row>
    <row r="264" spans="1:11" x14ac:dyDescent="0.25">
      <c r="A264">
        <v>265</v>
      </c>
      <c r="B264" t="s">
        <v>3247</v>
      </c>
      <c r="C264" t="s">
        <v>1926</v>
      </c>
      <c r="D264" t="s">
        <v>3245</v>
      </c>
      <c r="E264">
        <v>37.880000000000003</v>
      </c>
      <c r="F264">
        <v>2.85</v>
      </c>
      <c r="G264">
        <v>0.84</v>
      </c>
      <c r="H264">
        <v>84.01</v>
      </c>
      <c r="I264">
        <v>1</v>
      </c>
      <c r="J264" s="9">
        <v>45108</v>
      </c>
      <c r="K264" s="9">
        <v>45473</v>
      </c>
    </row>
    <row r="265" spans="1:11" x14ac:dyDescent="0.25">
      <c r="A265">
        <v>266</v>
      </c>
      <c r="B265" t="s">
        <v>3249</v>
      </c>
      <c r="C265" t="s">
        <v>1930</v>
      </c>
      <c r="D265" t="s">
        <v>1931</v>
      </c>
      <c r="E265">
        <v>34.590000000000003</v>
      </c>
      <c r="F265">
        <v>2.71</v>
      </c>
      <c r="G265">
        <v>0.79</v>
      </c>
      <c r="H265">
        <v>81.239999999999995</v>
      </c>
      <c r="I265">
        <v>0.97</v>
      </c>
      <c r="J265" s="9">
        <v>45108</v>
      </c>
      <c r="K265" s="9">
        <v>45473</v>
      </c>
    </row>
    <row r="266" spans="1:11" x14ac:dyDescent="0.25">
      <c r="A266">
        <v>267</v>
      </c>
      <c r="B266" t="s">
        <v>3251</v>
      </c>
      <c r="C266" t="s">
        <v>1934</v>
      </c>
      <c r="D266" t="s">
        <v>1935</v>
      </c>
      <c r="E266">
        <v>57.87</v>
      </c>
      <c r="F266">
        <v>1.1299999999999999</v>
      </c>
      <c r="G266">
        <v>0.9</v>
      </c>
      <c r="H266">
        <v>88.88</v>
      </c>
      <c r="I266">
        <v>1.01</v>
      </c>
      <c r="J266" s="9">
        <v>45108</v>
      </c>
      <c r="K266" s="9">
        <v>45473</v>
      </c>
    </row>
    <row r="267" spans="1:11" x14ac:dyDescent="0.25">
      <c r="A267">
        <v>268</v>
      </c>
      <c r="B267" t="s">
        <v>3254</v>
      </c>
      <c r="C267" t="s">
        <v>1938</v>
      </c>
      <c r="D267" t="s">
        <v>3252</v>
      </c>
      <c r="J267" s="9">
        <v>45108</v>
      </c>
      <c r="K267" s="9">
        <v>45473</v>
      </c>
    </row>
    <row r="268" spans="1:11" x14ac:dyDescent="0.25">
      <c r="A268">
        <v>269</v>
      </c>
      <c r="B268" t="s">
        <v>3256</v>
      </c>
      <c r="C268" t="s">
        <v>1942</v>
      </c>
      <c r="D268" t="s">
        <v>1943</v>
      </c>
      <c r="J268" s="9">
        <v>45108</v>
      </c>
      <c r="K268" s="9">
        <v>45473</v>
      </c>
    </row>
    <row r="269" spans="1:11" x14ac:dyDescent="0.25">
      <c r="A269">
        <v>270</v>
      </c>
      <c r="B269" t="s">
        <v>3259</v>
      </c>
      <c r="C269" t="s">
        <v>1946</v>
      </c>
      <c r="D269" t="s">
        <v>3257</v>
      </c>
      <c r="J269" s="9">
        <v>45108</v>
      </c>
      <c r="K269" s="9">
        <v>45473</v>
      </c>
    </row>
    <row r="270" spans="1:11" x14ac:dyDescent="0.25">
      <c r="A270">
        <v>271</v>
      </c>
      <c r="B270" t="s">
        <v>3261</v>
      </c>
      <c r="C270" t="s">
        <v>1950</v>
      </c>
      <c r="D270" t="s">
        <v>1951</v>
      </c>
      <c r="J270" s="9">
        <v>45108</v>
      </c>
      <c r="K270" s="9">
        <v>45473</v>
      </c>
    </row>
    <row r="271" spans="1:11" x14ac:dyDescent="0.25">
      <c r="A271">
        <v>272</v>
      </c>
      <c r="B271" t="s">
        <v>3264</v>
      </c>
      <c r="C271" t="s">
        <v>1954</v>
      </c>
      <c r="D271" t="s">
        <v>1955</v>
      </c>
      <c r="E271">
        <v>55.77</v>
      </c>
      <c r="F271">
        <v>5.18</v>
      </c>
      <c r="G271">
        <v>0.93</v>
      </c>
      <c r="H271">
        <v>79.25</v>
      </c>
      <c r="I271">
        <v>1.18</v>
      </c>
      <c r="J271" s="9">
        <v>45108</v>
      </c>
      <c r="K271" s="9">
        <v>45473</v>
      </c>
    </row>
    <row r="272" spans="1:11" x14ac:dyDescent="0.25">
      <c r="A272">
        <v>274</v>
      </c>
      <c r="B272" t="s">
        <v>3266</v>
      </c>
      <c r="C272" t="s">
        <v>1970</v>
      </c>
      <c r="D272" t="s">
        <v>1971</v>
      </c>
      <c r="E272">
        <v>39.340000000000003</v>
      </c>
      <c r="F272">
        <v>4.8899999999999997</v>
      </c>
      <c r="G272">
        <v>0.77</v>
      </c>
      <c r="H272">
        <v>85.97</v>
      </c>
      <c r="I272">
        <v>0.89</v>
      </c>
      <c r="J272" s="9">
        <v>45108</v>
      </c>
      <c r="K272" s="9">
        <v>45473</v>
      </c>
    </row>
    <row r="273" spans="1:11" x14ac:dyDescent="0.25">
      <c r="A273">
        <v>275</v>
      </c>
      <c r="B273" t="s">
        <v>3268</v>
      </c>
      <c r="C273" t="s">
        <v>1974</v>
      </c>
      <c r="D273" t="s">
        <v>1975</v>
      </c>
      <c r="E273">
        <v>23.54</v>
      </c>
      <c r="F273">
        <v>2.25</v>
      </c>
      <c r="G273">
        <v>0.81</v>
      </c>
      <c r="H273">
        <v>83.1</v>
      </c>
      <c r="I273">
        <v>0.98</v>
      </c>
      <c r="J273" s="9">
        <v>45108</v>
      </c>
      <c r="K273" s="9">
        <v>45473</v>
      </c>
    </row>
    <row r="274" spans="1:11" x14ac:dyDescent="0.25">
      <c r="A274">
        <v>276</v>
      </c>
      <c r="B274" t="s">
        <v>3270</v>
      </c>
      <c r="C274" t="s">
        <v>1978</v>
      </c>
      <c r="D274" t="s">
        <v>1979</v>
      </c>
      <c r="J274" s="9">
        <v>45108</v>
      </c>
      <c r="K274" s="9">
        <v>45473</v>
      </c>
    </row>
    <row r="275" spans="1:11" x14ac:dyDescent="0.25">
      <c r="A275">
        <v>277</v>
      </c>
      <c r="B275" t="s">
        <v>3272</v>
      </c>
      <c r="C275" t="s">
        <v>1982</v>
      </c>
      <c r="D275" t="s">
        <v>1983</v>
      </c>
      <c r="E275">
        <v>56.67</v>
      </c>
      <c r="F275">
        <v>3.18</v>
      </c>
      <c r="G275">
        <v>0.79</v>
      </c>
      <c r="H275">
        <v>88.62</v>
      </c>
      <c r="I275">
        <v>0.9</v>
      </c>
      <c r="J275" s="9">
        <v>45108</v>
      </c>
      <c r="K275" s="9">
        <v>45473</v>
      </c>
    </row>
    <row r="276" spans="1:11" x14ac:dyDescent="0.25">
      <c r="A276">
        <v>278</v>
      </c>
      <c r="B276" t="s">
        <v>3275</v>
      </c>
      <c r="C276" t="s">
        <v>1986</v>
      </c>
      <c r="D276" t="s">
        <v>3273</v>
      </c>
      <c r="E276">
        <v>55.57</v>
      </c>
      <c r="F276">
        <v>7.73</v>
      </c>
      <c r="G276">
        <v>0.74</v>
      </c>
      <c r="H276">
        <v>92.68</v>
      </c>
      <c r="I276">
        <v>0.8</v>
      </c>
      <c r="J276" s="9">
        <v>45108</v>
      </c>
      <c r="K276" s="9">
        <v>45473</v>
      </c>
    </row>
    <row r="277" spans="1:11" x14ac:dyDescent="0.25">
      <c r="A277">
        <v>279</v>
      </c>
      <c r="B277" t="s">
        <v>3277</v>
      </c>
      <c r="C277" t="s">
        <v>1990</v>
      </c>
      <c r="D277" t="s">
        <v>1991</v>
      </c>
      <c r="E277">
        <v>71.52</v>
      </c>
      <c r="F277">
        <v>2.04</v>
      </c>
      <c r="G277">
        <v>0.95</v>
      </c>
      <c r="H277">
        <v>70</v>
      </c>
      <c r="I277">
        <v>1.36</v>
      </c>
      <c r="J277" s="9">
        <v>45108</v>
      </c>
      <c r="K277" s="9">
        <v>45473</v>
      </c>
    </row>
    <row r="278" spans="1:11" x14ac:dyDescent="0.25">
      <c r="A278">
        <v>280</v>
      </c>
      <c r="B278" t="s">
        <v>3279</v>
      </c>
      <c r="C278" t="s">
        <v>1994</v>
      </c>
      <c r="D278" t="s">
        <v>1995</v>
      </c>
      <c r="E278">
        <v>51.84</v>
      </c>
      <c r="F278">
        <v>6.79</v>
      </c>
      <c r="G278">
        <v>0.85</v>
      </c>
      <c r="H278">
        <v>89.63</v>
      </c>
      <c r="I278">
        <v>0.94</v>
      </c>
      <c r="J278" s="9">
        <v>45108</v>
      </c>
      <c r="K278" s="9">
        <v>45473</v>
      </c>
    </row>
    <row r="279" spans="1:11" x14ac:dyDescent="0.25">
      <c r="A279">
        <v>281</v>
      </c>
      <c r="B279" t="s">
        <v>3281</v>
      </c>
      <c r="C279" t="s">
        <v>1998</v>
      </c>
      <c r="D279" t="s">
        <v>1999</v>
      </c>
      <c r="E279">
        <v>46.21</v>
      </c>
      <c r="F279">
        <v>5.04</v>
      </c>
      <c r="G279">
        <v>0.83</v>
      </c>
      <c r="H279">
        <v>80.349999999999994</v>
      </c>
      <c r="I279">
        <v>1.03</v>
      </c>
      <c r="J279" s="9">
        <v>45108</v>
      </c>
      <c r="K279" s="9">
        <v>45473</v>
      </c>
    </row>
    <row r="280" spans="1:11" x14ac:dyDescent="0.25">
      <c r="A280">
        <v>282</v>
      </c>
      <c r="B280" t="s">
        <v>3283</v>
      </c>
      <c r="C280" t="s">
        <v>2002</v>
      </c>
      <c r="D280" t="s">
        <v>2003</v>
      </c>
      <c r="E280">
        <v>55.06</v>
      </c>
      <c r="F280">
        <v>4.03</v>
      </c>
      <c r="G280">
        <v>0.76</v>
      </c>
      <c r="H280">
        <v>89.89</v>
      </c>
      <c r="I280">
        <v>0.85</v>
      </c>
      <c r="J280" s="9">
        <v>45108</v>
      </c>
      <c r="K280" s="9">
        <v>45473</v>
      </c>
    </row>
    <row r="281" spans="1:11" x14ac:dyDescent="0.25">
      <c r="A281">
        <v>283</v>
      </c>
      <c r="B281" t="s">
        <v>3285</v>
      </c>
      <c r="C281" t="s">
        <v>2006</v>
      </c>
      <c r="D281" t="s">
        <v>3284</v>
      </c>
      <c r="E281">
        <v>48.55</v>
      </c>
      <c r="F281">
        <v>2.34</v>
      </c>
      <c r="G281">
        <v>0.89</v>
      </c>
      <c r="H281">
        <v>94.95</v>
      </c>
      <c r="I281">
        <v>0.94</v>
      </c>
      <c r="J281" s="9">
        <v>45108</v>
      </c>
      <c r="K281" s="9">
        <v>45473</v>
      </c>
    </row>
    <row r="282" spans="1:11" x14ac:dyDescent="0.25">
      <c r="A282">
        <v>284</v>
      </c>
      <c r="B282" t="s">
        <v>3288</v>
      </c>
      <c r="C282" t="s">
        <v>2011</v>
      </c>
      <c r="D282" t="s">
        <v>3286</v>
      </c>
      <c r="E282">
        <v>39.86</v>
      </c>
      <c r="F282">
        <v>4.58</v>
      </c>
      <c r="G282">
        <v>0.92</v>
      </c>
      <c r="H282">
        <v>85.98</v>
      </c>
      <c r="I282">
        <v>1.07</v>
      </c>
      <c r="J282" s="9">
        <v>45108</v>
      </c>
      <c r="K282" s="9">
        <v>45473</v>
      </c>
    </row>
    <row r="283" spans="1:11" x14ac:dyDescent="0.25">
      <c r="A283">
        <v>285</v>
      </c>
      <c r="B283" t="s">
        <v>3290</v>
      </c>
      <c r="C283" t="s">
        <v>2015</v>
      </c>
      <c r="D283" t="s">
        <v>3289</v>
      </c>
      <c r="E283">
        <v>60.56</v>
      </c>
      <c r="F283">
        <v>5.68</v>
      </c>
      <c r="G283">
        <v>0.93</v>
      </c>
      <c r="H283">
        <v>92.29</v>
      </c>
      <c r="I283">
        <v>1</v>
      </c>
      <c r="J283" s="9">
        <v>45108</v>
      </c>
      <c r="K283" s="9">
        <v>45473</v>
      </c>
    </row>
    <row r="284" spans="1:11" x14ac:dyDescent="0.25">
      <c r="A284">
        <v>286</v>
      </c>
      <c r="B284" t="s">
        <v>3291</v>
      </c>
      <c r="C284" t="s">
        <v>2019</v>
      </c>
      <c r="D284" t="s">
        <v>2020</v>
      </c>
      <c r="E284">
        <v>31.56</v>
      </c>
      <c r="F284">
        <v>2.54</v>
      </c>
      <c r="G284">
        <v>0.85</v>
      </c>
      <c r="H284">
        <v>83.26</v>
      </c>
      <c r="I284">
        <v>1.02</v>
      </c>
      <c r="J284" s="9">
        <v>45108</v>
      </c>
      <c r="K284" s="9">
        <v>45473</v>
      </c>
    </row>
    <row r="285" spans="1:11" x14ac:dyDescent="0.25">
      <c r="A285">
        <v>287</v>
      </c>
      <c r="B285" t="s">
        <v>3293</v>
      </c>
      <c r="C285" t="s">
        <v>2023</v>
      </c>
      <c r="D285" t="s">
        <v>2024</v>
      </c>
      <c r="E285">
        <v>52.19</v>
      </c>
      <c r="F285">
        <v>2.1800000000000002</v>
      </c>
      <c r="G285">
        <v>0.92</v>
      </c>
      <c r="H285">
        <v>89.83</v>
      </c>
      <c r="I285">
        <v>1.03</v>
      </c>
      <c r="J285" s="9">
        <v>45108</v>
      </c>
      <c r="K285" s="9">
        <v>45473</v>
      </c>
    </row>
    <row r="286" spans="1:11" x14ac:dyDescent="0.25">
      <c r="A286">
        <v>288</v>
      </c>
      <c r="B286" t="s">
        <v>3296</v>
      </c>
      <c r="C286" t="s">
        <v>2027</v>
      </c>
      <c r="D286" t="s">
        <v>3294</v>
      </c>
      <c r="J286" s="9">
        <v>45108</v>
      </c>
      <c r="K286" s="9">
        <v>45473</v>
      </c>
    </row>
    <row r="287" spans="1:11" x14ac:dyDescent="0.25">
      <c r="A287">
        <v>289</v>
      </c>
      <c r="B287" t="s">
        <v>3298</v>
      </c>
      <c r="C287" t="s">
        <v>2031</v>
      </c>
      <c r="D287" t="s">
        <v>2032</v>
      </c>
      <c r="E287">
        <v>55.66</v>
      </c>
      <c r="F287">
        <v>8.09</v>
      </c>
      <c r="G287">
        <v>0.81</v>
      </c>
      <c r="H287">
        <v>92.81</v>
      </c>
      <c r="I287">
        <v>0.88</v>
      </c>
      <c r="J287" s="9">
        <v>45108</v>
      </c>
      <c r="K287" s="9">
        <v>45473</v>
      </c>
    </row>
    <row r="288" spans="1:11" x14ac:dyDescent="0.25">
      <c r="A288">
        <v>290</v>
      </c>
      <c r="B288" t="s">
        <v>3301</v>
      </c>
      <c r="C288" t="s">
        <v>2037</v>
      </c>
      <c r="D288" t="s">
        <v>3299</v>
      </c>
      <c r="E288">
        <v>44.31</v>
      </c>
      <c r="F288">
        <v>4.9800000000000004</v>
      </c>
      <c r="G288">
        <v>0.89</v>
      </c>
      <c r="H288">
        <v>77.09</v>
      </c>
      <c r="I288">
        <v>1.1499999999999999</v>
      </c>
      <c r="J288" s="9">
        <v>45108</v>
      </c>
      <c r="K288" s="9">
        <v>45473</v>
      </c>
    </row>
    <row r="289" spans="1:11" x14ac:dyDescent="0.25">
      <c r="A289">
        <v>291</v>
      </c>
      <c r="B289" t="s">
        <v>3303</v>
      </c>
      <c r="C289" t="s">
        <v>2041</v>
      </c>
      <c r="D289" t="s">
        <v>2042</v>
      </c>
      <c r="E289">
        <v>28.84</v>
      </c>
      <c r="F289">
        <v>7.72</v>
      </c>
      <c r="G289">
        <v>0.8</v>
      </c>
      <c r="H289">
        <v>82.82</v>
      </c>
      <c r="I289">
        <v>0.97</v>
      </c>
      <c r="J289" s="9">
        <v>45108</v>
      </c>
      <c r="K289" s="9">
        <v>45473</v>
      </c>
    </row>
    <row r="290" spans="1:11" x14ac:dyDescent="0.25">
      <c r="A290">
        <v>292</v>
      </c>
      <c r="B290" t="s">
        <v>3305</v>
      </c>
      <c r="C290" t="s">
        <v>2045</v>
      </c>
      <c r="D290" t="s">
        <v>2046</v>
      </c>
      <c r="E290">
        <v>46.18</v>
      </c>
      <c r="F290">
        <v>1.03</v>
      </c>
      <c r="G290">
        <v>0.96</v>
      </c>
      <c r="H290">
        <v>87.08</v>
      </c>
      <c r="I290">
        <v>1.1000000000000001</v>
      </c>
      <c r="J290" s="9">
        <v>45108</v>
      </c>
      <c r="K290" s="9">
        <v>45473</v>
      </c>
    </row>
    <row r="291" spans="1:11" x14ac:dyDescent="0.25">
      <c r="A291">
        <v>293</v>
      </c>
      <c r="B291" t="s">
        <v>3307</v>
      </c>
      <c r="C291" t="s">
        <v>2049</v>
      </c>
      <c r="D291" t="s">
        <v>2050</v>
      </c>
      <c r="E291">
        <v>58.37</v>
      </c>
      <c r="F291">
        <v>6.44</v>
      </c>
      <c r="G291">
        <v>0.96</v>
      </c>
      <c r="H291">
        <v>85.03</v>
      </c>
      <c r="I291">
        <v>1.1299999999999999</v>
      </c>
      <c r="J291" s="9">
        <v>45108</v>
      </c>
      <c r="K291" s="9">
        <v>45473</v>
      </c>
    </row>
    <row r="292" spans="1:11" x14ac:dyDescent="0.25">
      <c r="A292">
        <v>294</v>
      </c>
      <c r="B292" t="s">
        <v>3310</v>
      </c>
      <c r="C292" t="s">
        <v>2053</v>
      </c>
      <c r="D292" t="s">
        <v>3308</v>
      </c>
      <c r="E292">
        <v>61.07</v>
      </c>
      <c r="F292">
        <v>3.74</v>
      </c>
      <c r="G292">
        <v>0.97</v>
      </c>
      <c r="H292">
        <v>91.78</v>
      </c>
      <c r="I292">
        <v>1.06</v>
      </c>
      <c r="J292" s="9">
        <v>45108</v>
      </c>
      <c r="K292" s="9">
        <v>45473</v>
      </c>
    </row>
    <row r="293" spans="1:11" x14ac:dyDescent="0.25">
      <c r="A293">
        <v>295</v>
      </c>
      <c r="B293" t="s">
        <v>3312</v>
      </c>
      <c r="C293" t="s">
        <v>2057</v>
      </c>
      <c r="D293" t="s">
        <v>2058</v>
      </c>
      <c r="E293">
        <v>55.9</v>
      </c>
      <c r="F293">
        <v>5.34</v>
      </c>
      <c r="G293">
        <v>0.8</v>
      </c>
      <c r="H293">
        <v>89.3</v>
      </c>
      <c r="I293">
        <v>0.89</v>
      </c>
      <c r="J293" s="9">
        <v>45108</v>
      </c>
      <c r="K293" s="9">
        <v>45473</v>
      </c>
    </row>
    <row r="294" spans="1:11" x14ac:dyDescent="0.25">
      <c r="A294">
        <v>296</v>
      </c>
      <c r="B294" t="s">
        <v>3314</v>
      </c>
      <c r="C294" t="s">
        <v>2061</v>
      </c>
      <c r="D294" t="s">
        <v>2062</v>
      </c>
      <c r="E294">
        <v>37.049999999999997</v>
      </c>
      <c r="F294">
        <v>4.29</v>
      </c>
      <c r="G294">
        <v>0.78</v>
      </c>
      <c r="H294">
        <v>84.38</v>
      </c>
      <c r="I294">
        <v>0.93</v>
      </c>
      <c r="J294" s="9">
        <v>45108</v>
      </c>
      <c r="K294" s="9">
        <v>45473</v>
      </c>
    </row>
    <row r="295" spans="1:11" x14ac:dyDescent="0.25">
      <c r="A295">
        <v>297</v>
      </c>
      <c r="B295" t="s">
        <v>3316</v>
      </c>
      <c r="C295" t="s">
        <v>2065</v>
      </c>
      <c r="D295" t="s">
        <v>2066</v>
      </c>
      <c r="J295" s="9">
        <v>45108</v>
      </c>
      <c r="K295" s="9">
        <v>45473</v>
      </c>
    </row>
    <row r="296" spans="1:11" x14ac:dyDescent="0.25">
      <c r="A296">
        <v>298</v>
      </c>
      <c r="B296" t="s">
        <v>3318</v>
      </c>
      <c r="C296" t="s">
        <v>2069</v>
      </c>
      <c r="D296" t="s">
        <v>2070</v>
      </c>
      <c r="E296">
        <v>49.09</v>
      </c>
      <c r="F296">
        <v>4.01</v>
      </c>
      <c r="G296">
        <v>0.97</v>
      </c>
      <c r="H296">
        <v>58.52</v>
      </c>
      <c r="I296">
        <v>1.66</v>
      </c>
      <c r="J296" s="9">
        <v>45108</v>
      </c>
      <c r="K296" s="9">
        <v>45473</v>
      </c>
    </row>
    <row r="297" spans="1:11" x14ac:dyDescent="0.25">
      <c r="A297">
        <v>299</v>
      </c>
      <c r="B297" t="s">
        <v>3320</v>
      </c>
      <c r="C297" t="s">
        <v>2073</v>
      </c>
      <c r="D297" t="s">
        <v>2074</v>
      </c>
      <c r="E297">
        <v>41.1</v>
      </c>
      <c r="F297">
        <v>3.02</v>
      </c>
      <c r="G297">
        <v>0.92</v>
      </c>
      <c r="H297">
        <v>83.78</v>
      </c>
      <c r="I297">
        <v>1.1000000000000001</v>
      </c>
      <c r="J297" s="9">
        <v>45108</v>
      </c>
      <c r="K297" s="9">
        <v>45473</v>
      </c>
    </row>
    <row r="298" spans="1:11" x14ac:dyDescent="0.25">
      <c r="A298">
        <v>300</v>
      </c>
      <c r="B298" t="s">
        <v>3322</v>
      </c>
      <c r="C298" t="s">
        <v>2077</v>
      </c>
      <c r="D298" t="s">
        <v>2078</v>
      </c>
      <c r="E298">
        <v>61.4</v>
      </c>
      <c r="F298">
        <v>3.95</v>
      </c>
      <c r="G298">
        <v>0.96</v>
      </c>
      <c r="H298">
        <v>92.93</v>
      </c>
      <c r="I298">
        <v>1.03</v>
      </c>
      <c r="J298" s="9">
        <v>45108</v>
      </c>
      <c r="K298" s="9">
        <v>45473</v>
      </c>
    </row>
    <row r="299" spans="1:11" x14ac:dyDescent="0.25">
      <c r="A299">
        <v>301</v>
      </c>
      <c r="B299" t="s">
        <v>3325</v>
      </c>
      <c r="C299" t="s">
        <v>2081</v>
      </c>
      <c r="D299" t="s">
        <v>3323</v>
      </c>
      <c r="J299" s="9">
        <v>45108</v>
      </c>
      <c r="K299" s="9">
        <v>45473</v>
      </c>
    </row>
    <row r="300" spans="1:11" x14ac:dyDescent="0.25">
      <c r="C300" t="s">
        <v>2085</v>
      </c>
      <c r="D300" t="s">
        <v>2086</v>
      </c>
      <c r="J300" s="9">
        <v>45108</v>
      </c>
      <c r="K300" s="9">
        <v>45473</v>
      </c>
    </row>
    <row r="301" spans="1:11" x14ac:dyDescent="0.25">
      <c r="A301">
        <v>302</v>
      </c>
      <c r="B301" t="s">
        <v>3328</v>
      </c>
      <c r="C301" t="s">
        <v>2089</v>
      </c>
      <c r="D301" t="s">
        <v>3326</v>
      </c>
      <c r="E301">
        <v>32.229999999999997</v>
      </c>
      <c r="F301">
        <v>6.92</v>
      </c>
      <c r="G301">
        <v>0.82</v>
      </c>
      <c r="H301">
        <v>82.14</v>
      </c>
      <c r="I301">
        <v>1</v>
      </c>
      <c r="J301" s="9">
        <v>45108</v>
      </c>
      <c r="K301" s="9">
        <v>45473</v>
      </c>
    </row>
    <row r="302" spans="1:11" x14ac:dyDescent="0.25">
      <c r="A302">
        <v>303</v>
      </c>
      <c r="B302" t="s">
        <v>3330</v>
      </c>
      <c r="C302" t="s">
        <v>2093</v>
      </c>
      <c r="D302" t="s">
        <v>2094</v>
      </c>
      <c r="E302">
        <v>44.97</v>
      </c>
      <c r="F302">
        <v>4.16</v>
      </c>
      <c r="G302">
        <v>0.84</v>
      </c>
      <c r="H302">
        <v>81.73</v>
      </c>
      <c r="I302">
        <v>1.03</v>
      </c>
      <c r="J302" s="9">
        <v>45108</v>
      </c>
      <c r="K302" s="9">
        <v>45473</v>
      </c>
    </row>
    <row r="303" spans="1:11" x14ac:dyDescent="0.25">
      <c r="A303">
        <v>304</v>
      </c>
      <c r="B303" t="s">
        <v>3332</v>
      </c>
      <c r="C303" t="s">
        <v>2109</v>
      </c>
      <c r="D303" t="s">
        <v>2110</v>
      </c>
      <c r="E303">
        <v>41.34</v>
      </c>
      <c r="F303">
        <v>3.2</v>
      </c>
      <c r="G303">
        <v>0.92</v>
      </c>
      <c r="H303">
        <v>61.58</v>
      </c>
      <c r="I303">
        <v>1.49</v>
      </c>
      <c r="J303" s="9">
        <v>45108</v>
      </c>
      <c r="K303" s="9">
        <v>45473</v>
      </c>
    </row>
    <row r="304" spans="1:11" x14ac:dyDescent="0.25">
      <c r="A304">
        <v>305</v>
      </c>
      <c r="B304" t="s">
        <v>3334</v>
      </c>
      <c r="C304" t="s">
        <v>2113</v>
      </c>
      <c r="D304" t="s">
        <v>2114</v>
      </c>
      <c r="E304">
        <v>62.28</v>
      </c>
      <c r="F304">
        <v>6.6</v>
      </c>
      <c r="G304">
        <v>0.72</v>
      </c>
      <c r="H304">
        <v>93</v>
      </c>
      <c r="I304">
        <v>0.77</v>
      </c>
      <c r="J304" s="9">
        <v>45108</v>
      </c>
      <c r="K304" s="9">
        <v>45473</v>
      </c>
    </row>
    <row r="305" spans="1:11" x14ac:dyDescent="0.25">
      <c r="A305">
        <v>306</v>
      </c>
      <c r="B305" t="s">
        <v>3337</v>
      </c>
      <c r="C305" t="s">
        <v>2117</v>
      </c>
      <c r="D305" t="s">
        <v>3335</v>
      </c>
      <c r="J305" s="9">
        <v>45108</v>
      </c>
      <c r="K305" s="9">
        <v>45473</v>
      </c>
    </row>
    <row r="306" spans="1:11" x14ac:dyDescent="0.25">
      <c r="A306">
        <v>308</v>
      </c>
      <c r="B306" t="s">
        <v>3339</v>
      </c>
      <c r="C306" t="s">
        <v>2121</v>
      </c>
      <c r="D306" t="s">
        <v>2122</v>
      </c>
      <c r="J306" s="9">
        <v>45108</v>
      </c>
      <c r="K306" s="9">
        <v>45473</v>
      </c>
    </row>
    <row r="307" spans="1:11" x14ac:dyDescent="0.25">
      <c r="A307">
        <v>309</v>
      </c>
      <c r="B307" t="s">
        <v>3342</v>
      </c>
      <c r="C307" t="s">
        <v>2125</v>
      </c>
      <c r="D307" t="s">
        <v>3340</v>
      </c>
      <c r="E307">
        <v>39.96</v>
      </c>
      <c r="F307">
        <v>2.46</v>
      </c>
      <c r="G307">
        <v>0.84</v>
      </c>
      <c r="H307">
        <v>90.37</v>
      </c>
      <c r="I307">
        <v>0.93</v>
      </c>
      <c r="J307" s="9">
        <v>45108</v>
      </c>
      <c r="K307" s="9">
        <v>45473</v>
      </c>
    </row>
    <row r="308" spans="1:11" x14ac:dyDescent="0.25">
      <c r="A308">
        <v>310</v>
      </c>
      <c r="B308" t="s">
        <v>3345</v>
      </c>
      <c r="C308" t="s">
        <v>2129</v>
      </c>
      <c r="D308" t="s">
        <v>3343</v>
      </c>
      <c r="J308" s="9">
        <v>45108</v>
      </c>
      <c r="K308" s="9">
        <v>45473</v>
      </c>
    </row>
    <row r="309" spans="1:11" x14ac:dyDescent="0.25">
      <c r="A309">
        <v>311</v>
      </c>
      <c r="B309" t="s">
        <v>3348</v>
      </c>
      <c r="C309" t="s">
        <v>2133</v>
      </c>
      <c r="D309" t="s">
        <v>3346</v>
      </c>
      <c r="E309">
        <v>51.78</v>
      </c>
      <c r="F309">
        <v>6.2</v>
      </c>
      <c r="G309">
        <v>0.9</v>
      </c>
      <c r="H309">
        <v>81.540000000000006</v>
      </c>
      <c r="I309">
        <v>1.1000000000000001</v>
      </c>
      <c r="J309" s="9">
        <v>45108</v>
      </c>
      <c r="K309" s="9">
        <v>45473</v>
      </c>
    </row>
    <row r="310" spans="1:11" x14ac:dyDescent="0.25">
      <c r="A310">
        <v>312</v>
      </c>
      <c r="B310" t="s">
        <v>3350</v>
      </c>
      <c r="C310" t="s">
        <v>2137</v>
      </c>
      <c r="D310" t="s">
        <v>2138</v>
      </c>
      <c r="E310">
        <v>55.66</v>
      </c>
      <c r="F310">
        <v>7.12</v>
      </c>
      <c r="G310">
        <v>1.05</v>
      </c>
      <c r="H310">
        <v>90</v>
      </c>
      <c r="I310">
        <v>1.1599999999999999</v>
      </c>
      <c r="J310" s="9">
        <v>45108</v>
      </c>
      <c r="K310" s="9">
        <v>45473</v>
      </c>
    </row>
    <row r="311" spans="1:11" x14ac:dyDescent="0.25">
      <c r="A311">
        <v>313</v>
      </c>
      <c r="B311" t="s">
        <v>3353</v>
      </c>
      <c r="C311" t="s">
        <v>2141</v>
      </c>
      <c r="D311" t="s">
        <v>3351</v>
      </c>
      <c r="J311" s="9">
        <v>45108</v>
      </c>
      <c r="K311" s="9">
        <v>45473</v>
      </c>
    </row>
    <row r="312" spans="1:11" x14ac:dyDescent="0.25">
      <c r="A312">
        <v>314</v>
      </c>
      <c r="B312" t="s">
        <v>3356</v>
      </c>
      <c r="C312" t="s">
        <v>2145</v>
      </c>
      <c r="D312" t="s">
        <v>3354</v>
      </c>
      <c r="E312">
        <v>48.68</v>
      </c>
      <c r="F312">
        <v>4.7699999999999996</v>
      </c>
      <c r="G312">
        <v>0.99</v>
      </c>
      <c r="H312">
        <v>85.78</v>
      </c>
      <c r="I312">
        <v>1.1599999999999999</v>
      </c>
      <c r="J312" s="9">
        <v>45108</v>
      </c>
      <c r="K312" s="9">
        <v>45473</v>
      </c>
    </row>
    <row r="313" spans="1:11" x14ac:dyDescent="0.25">
      <c r="A313">
        <v>315</v>
      </c>
      <c r="B313" t="s">
        <v>3359</v>
      </c>
      <c r="C313" t="s">
        <v>2154</v>
      </c>
      <c r="D313" t="s">
        <v>3357</v>
      </c>
      <c r="E313">
        <v>58.08</v>
      </c>
      <c r="F313">
        <v>4.92</v>
      </c>
      <c r="G313">
        <v>1.05</v>
      </c>
      <c r="H313">
        <v>90</v>
      </c>
      <c r="I313">
        <v>1.17</v>
      </c>
      <c r="J313" s="9">
        <v>45108</v>
      </c>
      <c r="K313" s="9">
        <v>45473</v>
      </c>
    </row>
    <row r="314" spans="1:11" x14ac:dyDescent="0.25">
      <c r="A314">
        <v>317</v>
      </c>
      <c r="B314" t="s">
        <v>3362</v>
      </c>
      <c r="C314" t="s">
        <v>2158</v>
      </c>
      <c r="D314" t="s">
        <v>3360</v>
      </c>
      <c r="E314">
        <v>62.28</v>
      </c>
      <c r="F314">
        <v>4.67</v>
      </c>
      <c r="G314">
        <v>0.74</v>
      </c>
      <c r="H314">
        <v>93</v>
      </c>
      <c r="I314">
        <v>0.8</v>
      </c>
      <c r="J314" s="9">
        <v>45108</v>
      </c>
      <c r="K314" s="9">
        <v>45473</v>
      </c>
    </row>
    <row r="315" spans="1:11" x14ac:dyDescent="0.25">
      <c r="A315">
        <v>316</v>
      </c>
      <c r="B315" t="s">
        <v>3364</v>
      </c>
      <c r="C315" t="s">
        <v>2162</v>
      </c>
      <c r="D315" t="s">
        <v>2163</v>
      </c>
      <c r="E315">
        <v>54.44</v>
      </c>
      <c r="F315">
        <v>4.57</v>
      </c>
      <c r="G315">
        <v>1.02</v>
      </c>
      <c r="H315">
        <v>90</v>
      </c>
      <c r="I315">
        <v>1.1299999999999999</v>
      </c>
      <c r="J315" s="9">
        <v>45108</v>
      </c>
      <c r="K315" s="9">
        <v>45473</v>
      </c>
    </row>
    <row r="316" spans="1:11" x14ac:dyDescent="0.25">
      <c r="A316">
        <v>318</v>
      </c>
      <c r="B316" t="s">
        <v>3367</v>
      </c>
      <c r="C316" t="s">
        <v>2168</v>
      </c>
      <c r="D316" t="s">
        <v>3365</v>
      </c>
      <c r="E316">
        <v>31.92</v>
      </c>
      <c r="F316">
        <v>2.64</v>
      </c>
      <c r="G316">
        <v>0.75</v>
      </c>
      <c r="H316">
        <v>72.5</v>
      </c>
      <c r="I316">
        <v>1.03</v>
      </c>
      <c r="J316" s="9">
        <v>45108</v>
      </c>
      <c r="K316" s="9">
        <v>45473</v>
      </c>
    </row>
    <row r="317" spans="1:11" x14ac:dyDescent="0.25">
      <c r="A317">
        <v>319</v>
      </c>
      <c r="B317" t="s">
        <v>3370</v>
      </c>
      <c r="C317" t="s">
        <v>2172</v>
      </c>
      <c r="D317" t="s">
        <v>3368</v>
      </c>
      <c r="E317">
        <v>25.1</v>
      </c>
      <c r="F317">
        <v>5.0599999999999996</v>
      </c>
      <c r="G317">
        <v>0.83</v>
      </c>
      <c r="H317">
        <v>82.29</v>
      </c>
      <c r="I317">
        <v>1.01</v>
      </c>
      <c r="J317" s="9">
        <v>45108</v>
      </c>
      <c r="K317" s="9">
        <v>45473</v>
      </c>
    </row>
    <row r="318" spans="1:11" x14ac:dyDescent="0.25">
      <c r="A318">
        <v>91</v>
      </c>
      <c r="B318" t="s">
        <v>3372</v>
      </c>
      <c r="C318" t="s">
        <v>2178</v>
      </c>
      <c r="D318" t="s">
        <v>2179</v>
      </c>
      <c r="E318">
        <v>29.24</v>
      </c>
      <c r="F318">
        <v>5.12</v>
      </c>
      <c r="G318">
        <v>0.86</v>
      </c>
      <c r="H318">
        <v>83.26</v>
      </c>
      <c r="I318">
        <v>1.03</v>
      </c>
      <c r="J318" s="9">
        <v>45108</v>
      </c>
      <c r="K318" s="9">
        <v>45473</v>
      </c>
    </row>
    <row r="319" spans="1:11" x14ac:dyDescent="0.25">
      <c r="A319">
        <v>320</v>
      </c>
      <c r="B319" t="s">
        <v>3374</v>
      </c>
      <c r="C319" t="s">
        <v>2178</v>
      </c>
      <c r="D319" t="s">
        <v>2179</v>
      </c>
      <c r="E319">
        <v>22.44</v>
      </c>
      <c r="F319">
        <v>3.93</v>
      </c>
      <c r="G319">
        <v>0.9</v>
      </c>
      <c r="H319">
        <v>83.28</v>
      </c>
      <c r="I319">
        <v>1.08</v>
      </c>
      <c r="J319" s="9">
        <v>45108</v>
      </c>
      <c r="K319" s="9">
        <v>45473</v>
      </c>
    </row>
    <row r="320" spans="1:11" x14ac:dyDescent="0.25">
      <c r="A320">
        <v>322</v>
      </c>
      <c r="B320" t="s">
        <v>3376</v>
      </c>
      <c r="C320" t="s">
        <v>2184</v>
      </c>
      <c r="D320" t="s">
        <v>2185</v>
      </c>
      <c r="E320">
        <v>49.44</v>
      </c>
      <c r="F320">
        <v>2.0699999999999998</v>
      </c>
      <c r="G320">
        <v>0.82</v>
      </c>
      <c r="H320">
        <v>83.96</v>
      </c>
      <c r="I320">
        <v>0.98</v>
      </c>
      <c r="J320" s="9">
        <v>45108</v>
      </c>
      <c r="K320" s="9">
        <v>45473</v>
      </c>
    </row>
    <row r="321" spans="1:11" x14ac:dyDescent="0.25">
      <c r="A321">
        <v>323</v>
      </c>
      <c r="B321" t="s">
        <v>3378</v>
      </c>
      <c r="C321" t="s">
        <v>2188</v>
      </c>
      <c r="D321" t="s">
        <v>2189</v>
      </c>
      <c r="E321">
        <v>25.56</v>
      </c>
      <c r="F321">
        <v>1.44</v>
      </c>
      <c r="G321">
        <v>0.75</v>
      </c>
      <c r="H321">
        <v>90</v>
      </c>
      <c r="I321">
        <v>0.83</v>
      </c>
      <c r="J321" s="9">
        <v>45108</v>
      </c>
      <c r="K321" s="9">
        <v>45473</v>
      </c>
    </row>
    <row r="322" spans="1:11" x14ac:dyDescent="0.25">
      <c r="A322">
        <v>324</v>
      </c>
      <c r="B322" t="s">
        <v>3381</v>
      </c>
      <c r="C322" t="s">
        <v>2195</v>
      </c>
      <c r="D322" t="s">
        <v>3379</v>
      </c>
      <c r="E322">
        <v>21.88</v>
      </c>
      <c r="F322">
        <v>3.19</v>
      </c>
      <c r="G322">
        <v>0.83</v>
      </c>
      <c r="H322">
        <v>77.78</v>
      </c>
      <c r="I322">
        <v>1.07</v>
      </c>
      <c r="J322" s="9">
        <v>45108</v>
      </c>
      <c r="K322" s="9">
        <v>45473</v>
      </c>
    </row>
    <row r="323" spans="1:11" x14ac:dyDescent="0.25">
      <c r="A323">
        <v>325</v>
      </c>
      <c r="B323" t="s">
        <v>3383</v>
      </c>
      <c r="C323" t="s">
        <v>2199</v>
      </c>
      <c r="D323" t="s">
        <v>2200</v>
      </c>
      <c r="E323">
        <v>39.79</v>
      </c>
      <c r="F323">
        <v>1.47</v>
      </c>
      <c r="G323">
        <v>0.85</v>
      </c>
      <c r="H323">
        <v>83.94</v>
      </c>
      <c r="I323">
        <v>1.01</v>
      </c>
      <c r="J323" s="9">
        <v>45108</v>
      </c>
      <c r="K323" s="9">
        <v>45473</v>
      </c>
    </row>
    <row r="324" spans="1:11" x14ac:dyDescent="0.25">
      <c r="A324">
        <v>326</v>
      </c>
      <c r="B324" t="s">
        <v>3386</v>
      </c>
      <c r="C324" t="s">
        <v>2203</v>
      </c>
      <c r="D324" t="s">
        <v>3384</v>
      </c>
      <c r="J324" s="9">
        <v>45108</v>
      </c>
      <c r="K324" s="9">
        <v>45473</v>
      </c>
    </row>
    <row r="325" spans="1:11" x14ac:dyDescent="0.25">
      <c r="A325">
        <v>327</v>
      </c>
      <c r="B325" t="s">
        <v>3389</v>
      </c>
      <c r="C325" t="s">
        <v>2207</v>
      </c>
      <c r="D325" t="s">
        <v>3387</v>
      </c>
      <c r="E325">
        <v>47.3</v>
      </c>
      <c r="F325">
        <v>4.76</v>
      </c>
      <c r="G325">
        <v>0.73</v>
      </c>
      <c r="H325">
        <v>92.96</v>
      </c>
      <c r="I325">
        <v>0.78</v>
      </c>
      <c r="J325" s="9">
        <v>45108</v>
      </c>
      <c r="K325" s="9">
        <v>45473</v>
      </c>
    </row>
    <row r="326" spans="1:11" x14ac:dyDescent="0.25">
      <c r="A326">
        <v>328</v>
      </c>
      <c r="B326" t="s">
        <v>3391</v>
      </c>
      <c r="C326" t="s">
        <v>2211</v>
      </c>
      <c r="D326" t="s">
        <v>2212</v>
      </c>
      <c r="J326" s="9">
        <v>45108</v>
      </c>
      <c r="K326" s="9">
        <v>45473</v>
      </c>
    </row>
    <row r="327" spans="1:11" x14ac:dyDescent="0.25">
      <c r="A327">
        <v>329</v>
      </c>
      <c r="B327" t="s">
        <v>3393</v>
      </c>
      <c r="C327" t="s">
        <v>2215</v>
      </c>
      <c r="D327" t="s">
        <v>2216</v>
      </c>
      <c r="E327">
        <v>27.35</v>
      </c>
      <c r="F327">
        <v>3.71</v>
      </c>
      <c r="G327">
        <v>0.94</v>
      </c>
      <c r="H327">
        <v>89.61</v>
      </c>
      <c r="I327">
        <v>1.05</v>
      </c>
      <c r="J327" s="9">
        <v>45108</v>
      </c>
      <c r="K327" s="9">
        <v>45473</v>
      </c>
    </row>
    <row r="328" spans="1:11" x14ac:dyDescent="0.25">
      <c r="A328">
        <v>330</v>
      </c>
      <c r="B328" t="s">
        <v>3395</v>
      </c>
      <c r="C328" t="s">
        <v>2219</v>
      </c>
      <c r="D328" t="s">
        <v>2220</v>
      </c>
      <c r="E328">
        <v>53.03</v>
      </c>
      <c r="F328">
        <v>7.04</v>
      </c>
      <c r="G328">
        <v>0.95</v>
      </c>
      <c r="H328">
        <v>88.14</v>
      </c>
      <c r="I328">
        <v>1.08</v>
      </c>
      <c r="J328" s="9">
        <v>45108</v>
      </c>
      <c r="K328" s="9">
        <v>45473</v>
      </c>
    </row>
    <row r="329" spans="1:11" x14ac:dyDescent="0.25">
      <c r="A329">
        <v>331</v>
      </c>
      <c r="B329" t="s">
        <v>3398</v>
      </c>
      <c r="C329" t="s">
        <v>2223</v>
      </c>
      <c r="D329" t="s">
        <v>3396</v>
      </c>
      <c r="E329">
        <v>49.02</v>
      </c>
      <c r="F329">
        <v>2.52</v>
      </c>
      <c r="G329">
        <v>0.98</v>
      </c>
      <c r="H329">
        <v>86.66</v>
      </c>
      <c r="I329">
        <v>1.1299999999999999</v>
      </c>
      <c r="J329" s="9">
        <v>45108</v>
      </c>
      <c r="K329" s="9">
        <v>45473</v>
      </c>
    </row>
    <row r="330" spans="1:11" x14ac:dyDescent="0.25">
      <c r="A330">
        <v>332</v>
      </c>
      <c r="B330" t="s">
        <v>3400</v>
      </c>
      <c r="C330" t="s">
        <v>2227</v>
      </c>
      <c r="D330" t="s">
        <v>2228</v>
      </c>
      <c r="E330">
        <v>47.63</v>
      </c>
      <c r="F330">
        <v>4.34</v>
      </c>
      <c r="G330">
        <v>0.9</v>
      </c>
      <c r="H330">
        <v>91.29</v>
      </c>
      <c r="I330">
        <v>0.99</v>
      </c>
      <c r="J330" s="9">
        <v>45108</v>
      </c>
      <c r="K330" s="9">
        <v>45473</v>
      </c>
    </row>
    <row r="331" spans="1:11" x14ac:dyDescent="0.25">
      <c r="A331">
        <v>321</v>
      </c>
      <c r="B331" t="s">
        <v>3402</v>
      </c>
      <c r="C331" t="s">
        <v>2227</v>
      </c>
      <c r="D331" t="s">
        <v>2228</v>
      </c>
      <c r="E331">
        <v>29.14</v>
      </c>
      <c r="F331">
        <v>2.83</v>
      </c>
      <c r="G331">
        <v>0.8</v>
      </c>
      <c r="H331">
        <v>91.18</v>
      </c>
      <c r="I331">
        <v>0.88</v>
      </c>
      <c r="J331" s="9">
        <v>45108</v>
      </c>
      <c r="K331" s="9">
        <v>45473</v>
      </c>
    </row>
    <row r="332" spans="1:11" x14ac:dyDescent="0.25">
      <c r="A332">
        <v>333</v>
      </c>
      <c r="B332" t="s">
        <v>3405</v>
      </c>
      <c r="C332" t="s">
        <v>2233</v>
      </c>
      <c r="D332" t="s">
        <v>3403</v>
      </c>
      <c r="E332">
        <v>13.52</v>
      </c>
      <c r="F332">
        <v>1.53</v>
      </c>
      <c r="G332">
        <v>0.75</v>
      </c>
      <c r="H332">
        <v>86.27</v>
      </c>
      <c r="I332">
        <v>0.87</v>
      </c>
      <c r="J332" s="9">
        <v>45108</v>
      </c>
      <c r="K332" s="9">
        <v>45473</v>
      </c>
    </row>
    <row r="333" spans="1:11" x14ac:dyDescent="0.25">
      <c r="A333">
        <v>334</v>
      </c>
      <c r="B333" t="s">
        <v>3408</v>
      </c>
      <c r="C333" t="s">
        <v>2237</v>
      </c>
      <c r="D333" t="s">
        <v>3406</v>
      </c>
      <c r="J333" s="9">
        <v>45108</v>
      </c>
      <c r="K333" s="9">
        <v>45473</v>
      </c>
    </row>
    <row r="334" spans="1:11" x14ac:dyDescent="0.25">
      <c r="A334">
        <v>335</v>
      </c>
      <c r="B334" t="s">
        <v>3411</v>
      </c>
      <c r="C334" t="s">
        <v>2241</v>
      </c>
      <c r="D334" t="s">
        <v>3409</v>
      </c>
      <c r="E334">
        <v>41.37</v>
      </c>
      <c r="F334">
        <v>2.41</v>
      </c>
      <c r="G334">
        <v>0.86</v>
      </c>
      <c r="H334">
        <v>90.64</v>
      </c>
      <c r="I334">
        <v>0.95</v>
      </c>
      <c r="J334" s="9">
        <v>45108</v>
      </c>
      <c r="K334" s="9">
        <v>45473</v>
      </c>
    </row>
    <row r="335" spans="1:11" x14ac:dyDescent="0.25">
      <c r="A335">
        <v>336</v>
      </c>
      <c r="B335" t="s">
        <v>3413</v>
      </c>
      <c r="C335" t="s">
        <v>2245</v>
      </c>
      <c r="D335" t="s">
        <v>2246</v>
      </c>
      <c r="E335">
        <v>35.72</v>
      </c>
      <c r="F335">
        <v>3.33</v>
      </c>
      <c r="G335">
        <v>0.81</v>
      </c>
      <c r="H335">
        <v>83.08</v>
      </c>
      <c r="I335">
        <v>0.97</v>
      </c>
      <c r="J335" s="9">
        <v>45108</v>
      </c>
      <c r="K335" s="9">
        <v>45473</v>
      </c>
    </row>
    <row r="336" spans="1:11" x14ac:dyDescent="0.25">
      <c r="A336">
        <v>337</v>
      </c>
      <c r="B336" t="s">
        <v>3415</v>
      </c>
      <c r="C336" t="s">
        <v>2249</v>
      </c>
      <c r="D336" t="s">
        <v>2250</v>
      </c>
      <c r="E336">
        <v>19.88</v>
      </c>
      <c r="F336">
        <v>3.08</v>
      </c>
      <c r="G336">
        <v>0.86</v>
      </c>
      <c r="H336">
        <v>87.77</v>
      </c>
      <c r="I336">
        <v>0.98</v>
      </c>
      <c r="J336" s="9">
        <v>45108</v>
      </c>
      <c r="K336" s="9">
        <v>45473</v>
      </c>
    </row>
    <row r="337" spans="1:11" x14ac:dyDescent="0.25">
      <c r="A337">
        <v>338</v>
      </c>
      <c r="B337" t="s">
        <v>3417</v>
      </c>
      <c r="C337" t="s">
        <v>2253</v>
      </c>
      <c r="D337" t="s">
        <v>2254</v>
      </c>
      <c r="E337">
        <v>20.27</v>
      </c>
      <c r="F337">
        <v>2.15</v>
      </c>
      <c r="G337">
        <v>0.82</v>
      </c>
      <c r="H337">
        <v>84.27</v>
      </c>
      <c r="I337">
        <v>0.97</v>
      </c>
      <c r="J337" s="9">
        <v>45108</v>
      </c>
      <c r="K337" s="9">
        <v>45473</v>
      </c>
    </row>
    <row r="338" spans="1:11" x14ac:dyDescent="0.25">
      <c r="A338">
        <v>339</v>
      </c>
      <c r="B338" t="s">
        <v>3419</v>
      </c>
      <c r="C338" t="s">
        <v>2257</v>
      </c>
      <c r="D338" t="s">
        <v>2258</v>
      </c>
      <c r="E338">
        <v>47.97</v>
      </c>
      <c r="F338">
        <v>1.5</v>
      </c>
      <c r="G338">
        <v>0.89</v>
      </c>
      <c r="H338">
        <v>87.83</v>
      </c>
      <c r="I338">
        <v>1.02</v>
      </c>
      <c r="J338" s="9">
        <v>45108</v>
      </c>
      <c r="K338" s="9">
        <v>45473</v>
      </c>
    </row>
    <row r="339" spans="1:11" x14ac:dyDescent="0.25">
      <c r="A339">
        <v>340</v>
      </c>
      <c r="B339" t="s">
        <v>3422</v>
      </c>
      <c r="C339" t="s">
        <v>2261</v>
      </c>
      <c r="D339" t="s">
        <v>3420</v>
      </c>
      <c r="J339" s="9">
        <v>45108</v>
      </c>
      <c r="K339" s="9">
        <v>45473</v>
      </c>
    </row>
    <row r="340" spans="1:11" x14ac:dyDescent="0.25">
      <c r="A340">
        <v>341</v>
      </c>
      <c r="B340" t="s">
        <v>3425</v>
      </c>
      <c r="C340" t="s">
        <v>2265</v>
      </c>
      <c r="D340" t="s">
        <v>3423</v>
      </c>
      <c r="J340" s="9">
        <v>45108</v>
      </c>
      <c r="K340" s="9">
        <v>45473</v>
      </c>
    </row>
    <row r="341" spans="1:11" x14ac:dyDescent="0.25">
      <c r="C341" t="s">
        <v>2269</v>
      </c>
      <c r="D341" t="s">
        <v>2270</v>
      </c>
      <c r="J341" s="9">
        <v>45108</v>
      </c>
      <c r="K341" s="9">
        <v>45473</v>
      </c>
    </row>
    <row r="342" spans="1:11" x14ac:dyDescent="0.25">
      <c r="A342">
        <v>342</v>
      </c>
      <c r="B342" t="s">
        <v>3427</v>
      </c>
      <c r="C342" t="s">
        <v>2273</v>
      </c>
      <c r="D342" t="s">
        <v>2274</v>
      </c>
      <c r="E342">
        <v>34.33</v>
      </c>
      <c r="F342">
        <v>0.32</v>
      </c>
      <c r="G342">
        <v>0.73</v>
      </c>
      <c r="H342">
        <v>90</v>
      </c>
      <c r="I342">
        <v>0.82</v>
      </c>
      <c r="J342" s="9">
        <v>45108</v>
      </c>
      <c r="K342" s="9">
        <v>45473</v>
      </c>
    </row>
    <row r="343" spans="1:11" x14ac:dyDescent="0.25">
      <c r="A343">
        <v>343</v>
      </c>
      <c r="B343" t="s">
        <v>3429</v>
      </c>
      <c r="C343" t="s">
        <v>2277</v>
      </c>
      <c r="D343" t="s">
        <v>2278</v>
      </c>
      <c r="E343">
        <v>39.76</v>
      </c>
      <c r="F343">
        <v>1.39</v>
      </c>
      <c r="G343">
        <v>0.74</v>
      </c>
      <c r="H343">
        <v>85.65</v>
      </c>
      <c r="I343">
        <v>0.86</v>
      </c>
      <c r="J343" s="9">
        <v>45108</v>
      </c>
      <c r="K343" s="9">
        <v>45473</v>
      </c>
    </row>
    <row r="344" spans="1:11" x14ac:dyDescent="0.25">
      <c r="A344">
        <v>344</v>
      </c>
      <c r="B344" t="s">
        <v>3431</v>
      </c>
      <c r="C344" t="s">
        <v>2281</v>
      </c>
      <c r="D344" t="s">
        <v>2282</v>
      </c>
      <c r="E344">
        <v>39.729999999999997</v>
      </c>
      <c r="F344">
        <v>6.21</v>
      </c>
      <c r="G344">
        <v>0.83</v>
      </c>
      <c r="H344">
        <v>89.98</v>
      </c>
      <c r="I344">
        <v>0.93</v>
      </c>
      <c r="J344" s="9">
        <v>45108</v>
      </c>
      <c r="K344" s="9">
        <v>45473</v>
      </c>
    </row>
    <row r="345" spans="1:11" x14ac:dyDescent="0.25">
      <c r="A345">
        <v>345</v>
      </c>
      <c r="B345" t="s">
        <v>3433</v>
      </c>
      <c r="C345" t="s">
        <v>2285</v>
      </c>
      <c r="D345" t="s">
        <v>2286</v>
      </c>
      <c r="E345">
        <v>46.04</v>
      </c>
      <c r="F345">
        <v>4.18</v>
      </c>
      <c r="G345">
        <v>0.91</v>
      </c>
      <c r="H345">
        <v>91.14</v>
      </c>
      <c r="I345">
        <v>1</v>
      </c>
      <c r="J345" s="9">
        <v>45108</v>
      </c>
      <c r="K345" s="9">
        <v>45473</v>
      </c>
    </row>
    <row r="346" spans="1:11" x14ac:dyDescent="0.25">
      <c r="A346">
        <v>346</v>
      </c>
      <c r="B346" t="s">
        <v>3435</v>
      </c>
      <c r="C346" t="s">
        <v>2289</v>
      </c>
      <c r="D346" t="s">
        <v>2290</v>
      </c>
      <c r="E346">
        <v>53.26</v>
      </c>
      <c r="F346">
        <v>7.49</v>
      </c>
      <c r="G346">
        <v>0.85</v>
      </c>
      <c r="H346">
        <v>91.19</v>
      </c>
      <c r="I346">
        <v>0.93</v>
      </c>
      <c r="J346" s="9">
        <v>45108</v>
      </c>
      <c r="K346" s="9">
        <v>45473</v>
      </c>
    </row>
    <row r="347" spans="1:11" x14ac:dyDescent="0.25">
      <c r="A347">
        <v>347</v>
      </c>
      <c r="B347" t="s">
        <v>3438</v>
      </c>
      <c r="C347" t="s">
        <v>2295</v>
      </c>
      <c r="D347" t="s">
        <v>3436</v>
      </c>
      <c r="J347" s="9">
        <v>45108</v>
      </c>
      <c r="K347" s="9">
        <v>45473</v>
      </c>
    </row>
    <row r="348" spans="1:11" x14ac:dyDescent="0.25">
      <c r="A348">
        <v>348</v>
      </c>
      <c r="B348" t="s">
        <v>3441</v>
      </c>
      <c r="C348" t="s">
        <v>2299</v>
      </c>
      <c r="D348" t="s">
        <v>3439</v>
      </c>
      <c r="J348" s="9">
        <v>45108</v>
      </c>
      <c r="K348" s="9">
        <v>45473</v>
      </c>
    </row>
    <row r="349" spans="1:11" x14ac:dyDescent="0.25">
      <c r="A349">
        <v>349</v>
      </c>
      <c r="B349" t="s">
        <v>3443</v>
      </c>
      <c r="C349" t="s">
        <v>2303</v>
      </c>
      <c r="D349" t="s">
        <v>2304</v>
      </c>
      <c r="E349">
        <v>52.56</v>
      </c>
      <c r="F349">
        <v>10.72</v>
      </c>
      <c r="G349">
        <v>0.97</v>
      </c>
      <c r="H349">
        <v>77.010000000000005</v>
      </c>
      <c r="I349">
        <v>1.26</v>
      </c>
      <c r="J349" s="9">
        <v>45108</v>
      </c>
      <c r="K349" s="9">
        <v>45473</v>
      </c>
    </row>
    <row r="350" spans="1:11" x14ac:dyDescent="0.25">
      <c r="A350">
        <v>350</v>
      </c>
      <c r="B350" t="s">
        <v>3445</v>
      </c>
      <c r="C350" t="s">
        <v>2307</v>
      </c>
      <c r="D350" t="s">
        <v>2308</v>
      </c>
      <c r="E350">
        <v>40.33</v>
      </c>
      <c r="F350">
        <v>2.5299999999999998</v>
      </c>
      <c r="G350">
        <v>0.84</v>
      </c>
      <c r="H350">
        <v>82.18</v>
      </c>
      <c r="I350">
        <v>1.02</v>
      </c>
      <c r="J350" s="9">
        <v>45108</v>
      </c>
      <c r="K350" s="9">
        <v>45473</v>
      </c>
    </row>
    <row r="351" spans="1:11" x14ac:dyDescent="0.25">
      <c r="A351">
        <v>351</v>
      </c>
      <c r="B351" t="s">
        <v>3447</v>
      </c>
      <c r="C351" t="s">
        <v>2313</v>
      </c>
      <c r="D351" t="s">
        <v>3446</v>
      </c>
      <c r="J351" s="9">
        <v>45108</v>
      </c>
      <c r="K351" s="9">
        <v>45473</v>
      </c>
    </row>
    <row r="352" spans="1:11" x14ac:dyDescent="0.25">
      <c r="A352">
        <v>352</v>
      </c>
      <c r="B352" t="s">
        <v>3450</v>
      </c>
      <c r="C352" t="s">
        <v>2321</v>
      </c>
      <c r="D352" t="s">
        <v>3448</v>
      </c>
      <c r="J352" s="9">
        <v>45108</v>
      </c>
      <c r="K352" s="9">
        <v>45473</v>
      </c>
    </row>
    <row r="353" spans="1:11" x14ac:dyDescent="0.25">
      <c r="A353">
        <v>353</v>
      </c>
      <c r="B353" t="s">
        <v>3452</v>
      </c>
      <c r="C353" t="s">
        <v>2327</v>
      </c>
      <c r="D353" t="s">
        <v>3451</v>
      </c>
      <c r="E353">
        <v>55.32</v>
      </c>
      <c r="F353">
        <v>6.84</v>
      </c>
      <c r="G353">
        <v>0.96</v>
      </c>
      <c r="H353">
        <v>77</v>
      </c>
      <c r="I353">
        <v>1.25</v>
      </c>
      <c r="J353" s="9">
        <v>45108</v>
      </c>
      <c r="K353" s="9">
        <v>45473</v>
      </c>
    </row>
    <row r="354" spans="1:11" x14ac:dyDescent="0.25">
      <c r="A354">
        <v>354</v>
      </c>
      <c r="B354" t="s">
        <v>3454</v>
      </c>
      <c r="C354" t="s">
        <v>2331</v>
      </c>
      <c r="D354" t="s">
        <v>2332</v>
      </c>
      <c r="E354">
        <v>58.08</v>
      </c>
      <c r="F354">
        <v>4.92</v>
      </c>
      <c r="G354">
        <v>1.05</v>
      </c>
      <c r="H354">
        <v>90</v>
      </c>
      <c r="I354">
        <v>1.17</v>
      </c>
      <c r="J354" s="9">
        <v>45108</v>
      </c>
      <c r="K354" s="9">
        <v>45473</v>
      </c>
    </row>
    <row r="355" spans="1:11" x14ac:dyDescent="0.25">
      <c r="A355">
        <v>355</v>
      </c>
      <c r="B355" t="s">
        <v>3457</v>
      </c>
      <c r="C355" t="s">
        <v>2335</v>
      </c>
      <c r="D355" t="s">
        <v>3455</v>
      </c>
      <c r="E355">
        <v>20.55</v>
      </c>
      <c r="F355">
        <v>1.72</v>
      </c>
      <c r="G355">
        <v>0.85</v>
      </c>
      <c r="H355">
        <v>90</v>
      </c>
      <c r="I355">
        <v>0.95</v>
      </c>
      <c r="J355" s="9">
        <v>45108</v>
      </c>
      <c r="K355" s="9">
        <v>45473</v>
      </c>
    </row>
    <row r="356" spans="1:11" x14ac:dyDescent="0.25">
      <c r="A356">
        <v>356</v>
      </c>
      <c r="B356" t="s">
        <v>3459</v>
      </c>
      <c r="C356" t="s">
        <v>2339</v>
      </c>
      <c r="D356" t="s">
        <v>2340</v>
      </c>
      <c r="E356">
        <v>34.54</v>
      </c>
      <c r="F356">
        <v>1.32</v>
      </c>
      <c r="G356">
        <v>0.93</v>
      </c>
      <c r="H356">
        <v>81.92</v>
      </c>
      <c r="I356">
        <v>1.1299999999999999</v>
      </c>
      <c r="J356" s="9">
        <v>45108</v>
      </c>
      <c r="K356" s="9">
        <v>45473</v>
      </c>
    </row>
    <row r="357" spans="1:11" x14ac:dyDescent="0.25">
      <c r="A357">
        <v>357</v>
      </c>
      <c r="B357" t="s">
        <v>3462</v>
      </c>
      <c r="C357" t="s">
        <v>2343</v>
      </c>
      <c r="D357" t="s">
        <v>3460</v>
      </c>
      <c r="E357">
        <v>33.6</v>
      </c>
      <c r="F357">
        <v>0.24</v>
      </c>
      <c r="G357">
        <v>0.95</v>
      </c>
      <c r="H357">
        <v>83</v>
      </c>
      <c r="I357">
        <v>1.1399999999999999</v>
      </c>
      <c r="J357" s="9">
        <v>45108</v>
      </c>
      <c r="K357" s="9">
        <v>45473</v>
      </c>
    </row>
    <row r="358" spans="1:11" x14ac:dyDescent="0.25">
      <c r="A358">
        <v>358</v>
      </c>
      <c r="B358" t="s">
        <v>3464</v>
      </c>
      <c r="C358" t="s">
        <v>2348</v>
      </c>
      <c r="D358" t="s">
        <v>2349</v>
      </c>
      <c r="E358">
        <v>36.08</v>
      </c>
      <c r="F358">
        <v>4.66</v>
      </c>
      <c r="G358">
        <v>0.96</v>
      </c>
      <c r="H358">
        <v>90</v>
      </c>
      <c r="I358">
        <v>1.06</v>
      </c>
      <c r="J358" s="9">
        <v>45108</v>
      </c>
      <c r="K358" s="9">
        <v>45473</v>
      </c>
    </row>
    <row r="359" spans="1:11" x14ac:dyDescent="0.25">
      <c r="C359" t="s">
        <v>2352</v>
      </c>
      <c r="D359" t="s">
        <v>2353</v>
      </c>
      <c r="J359" s="9">
        <v>45108</v>
      </c>
      <c r="K359" s="9">
        <v>45473</v>
      </c>
    </row>
    <row r="360" spans="1:11" x14ac:dyDescent="0.25">
      <c r="C360" t="s">
        <v>2358</v>
      </c>
      <c r="D360" t="s">
        <v>2359</v>
      </c>
      <c r="J360" s="9">
        <v>45108</v>
      </c>
      <c r="K360" s="9">
        <v>45473</v>
      </c>
    </row>
    <row r="361" spans="1:11" x14ac:dyDescent="0.25">
      <c r="A361">
        <v>359</v>
      </c>
      <c r="B361" t="s">
        <v>3467</v>
      </c>
      <c r="C361" t="s">
        <v>2374</v>
      </c>
      <c r="D361" t="s">
        <v>3465</v>
      </c>
      <c r="E361">
        <v>49.73</v>
      </c>
      <c r="F361">
        <v>1.1200000000000001</v>
      </c>
      <c r="G361">
        <v>0.83</v>
      </c>
      <c r="H361">
        <v>90</v>
      </c>
      <c r="I361">
        <v>0.93</v>
      </c>
      <c r="J361" s="9">
        <v>45108</v>
      </c>
      <c r="K361" s="9">
        <v>45473</v>
      </c>
    </row>
    <row r="362" spans="1:11" x14ac:dyDescent="0.25">
      <c r="C362" t="s">
        <v>2378</v>
      </c>
      <c r="D362" t="s">
        <v>2379</v>
      </c>
      <c r="J362" s="9">
        <v>45108</v>
      </c>
      <c r="K362" s="9">
        <v>45473</v>
      </c>
    </row>
    <row r="363" spans="1:11" x14ac:dyDescent="0.25">
      <c r="A363">
        <v>361</v>
      </c>
      <c r="B363" t="s">
        <v>3470</v>
      </c>
      <c r="C363" t="s">
        <v>2382</v>
      </c>
      <c r="D363" t="s">
        <v>3468</v>
      </c>
      <c r="J363" s="9">
        <v>45108</v>
      </c>
      <c r="K363" s="9">
        <v>45473</v>
      </c>
    </row>
    <row r="364" spans="1:11" x14ac:dyDescent="0.25">
      <c r="A364">
        <v>362</v>
      </c>
      <c r="B364" t="s">
        <v>3473</v>
      </c>
      <c r="C364" t="s">
        <v>2386</v>
      </c>
      <c r="D364" t="s">
        <v>3471</v>
      </c>
      <c r="E364">
        <v>51.6</v>
      </c>
      <c r="F364">
        <v>2.52</v>
      </c>
      <c r="G364">
        <v>1.05</v>
      </c>
      <c r="H364">
        <v>90</v>
      </c>
      <c r="I364">
        <v>1.17</v>
      </c>
      <c r="J364" s="9">
        <v>45108</v>
      </c>
      <c r="K364" s="9">
        <v>45473</v>
      </c>
    </row>
    <row r="365" spans="1:11" x14ac:dyDescent="0.25">
      <c r="A365">
        <v>363</v>
      </c>
      <c r="B365" t="s">
        <v>3475</v>
      </c>
      <c r="C365" t="s">
        <v>2390</v>
      </c>
      <c r="D365" t="s">
        <v>2391</v>
      </c>
      <c r="E365">
        <v>49.56</v>
      </c>
      <c r="F365">
        <v>4.2</v>
      </c>
      <c r="G365">
        <v>1.05</v>
      </c>
      <c r="H365">
        <v>90</v>
      </c>
      <c r="I365">
        <v>1.17</v>
      </c>
      <c r="J365" s="9">
        <v>45108</v>
      </c>
      <c r="K365" s="9">
        <v>45473</v>
      </c>
    </row>
    <row r="366" spans="1:11" x14ac:dyDescent="0.25">
      <c r="A366">
        <v>364</v>
      </c>
      <c r="B366" t="s">
        <v>3478</v>
      </c>
      <c r="C366" t="s">
        <v>2394</v>
      </c>
      <c r="D366" t="s">
        <v>3476</v>
      </c>
      <c r="E366">
        <v>40.07</v>
      </c>
      <c r="F366">
        <v>3.59</v>
      </c>
      <c r="G366">
        <v>0.86</v>
      </c>
      <c r="H366">
        <v>82.06</v>
      </c>
      <c r="I366">
        <v>1.05</v>
      </c>
      <c r="J366" s="9">
        <v>45108</v>
      </c>
      <c r="K366" s="9">
        <v>45473</v>
      </c>
    </row>
    <row r="367" spans="1:11" x14ac:dyDescent="0.25">
      <c r="A367">
        <v>365</v>
      </c>
      <c r="B367" t="s">
        <v>3481</v>
      </c>
      <c r="C367" t="s">
        <v>2398</v>
      </c>
      <c r="D367" t="s">
        <v>3479</v>
      </c>
      <c r="J367" s="9">
        <v>45108</v>
      </c>
      <c r="K367" s="9">
        <v>45473</v>
      </c>
    </row>
    <row r="368" spans="1:11" x14ac:dyDescent="0.25">
      <c r="A368">
        <v>366</v>
      </c>
      <c r="B368" t="s">
        <v>3484</v>
      </c>
      <c r="C368" t="s">
        <v>2402</v>
      </c>
      <c r="D368" t="s">
        <v>3482</v>
      </c>
      <c r="E368">
        <v>33.840000000000003</v>
      </c>
      <c r="F368">
        <v>2.08</v>
      </c>
      <c r="G368">
        <v>0.94</v>
      </c>
      <c r="H368">
        <v>83.18</v>
      </c>
      <c r="I368">
        <v>1.1299999999999999</v>
      </c>
      <c r="J368" s="9">
        <v>45108</v>
      </c>
      <c r="K368" s="9">
        <v>45473</v>
      </c>
    </row>
    <row r="369" spans="1:11" x14ac:dyDescent="0.25">
      <c r="A369">
        <v>367</v>
      </c>
      <c r="B369" t="s">
        <v>3486</v>
      </c>
      <c r="C369" t="s">
        <v>2406</v>
      </c>
      <c r="D369" t="s">
        <v>2407</v>
      </c>
      <c r="E369">
        <v>30.2</v>
      </c>
      <c r="F369">
        <v>2.76</v>
      </c>
      <c r="G369">
        <v>0.85</v>
      </c>
      <c r="H369">
        <v>79.599999999999994</v>
      </c>
      <c r="I369">
        <v>1.06</v>
      </c>
      <c r="J369" s="9">
        <v>45108</v>
      </c>
      <c r="K369" s="9">
        <v>45473</v>
      </c>
    </row>
    <row r="370" spans="1:11" x14ac:dyDescent="0.25">
      <c r="A370">
        <v>368</v>
      </c>
      <c r="B370" t="s">
        <v>3488</v>
      </c>
      <c r="C370" t="s">
        <v>2410</v>
      </c>
      <c r="D370" t="s">
        <v>3487</v>
      </c>
      <c r="E370">
        <v>46.38</v>
      </c>
      <c r="F370">
        <v>2.41</v>
      </c>
      <c r="G370">
        <v>0.91</v>
      </c>
      <c r="H370">
        <v>82.9</v>
      </c>
      <c r="I370">
        <v>1.1000000000000001</v>
      </c>
      <c r="J370" s="9">
        <v>45108</v>
      </c>
      <c r="K370" s="9">
        <v>45473</v>
      </c>
    </row>
    <row r="371" spans="1:11" x14ac:dyDescent="0.25">
      <c r="A371">
        <v>369</v>
      </c>
      <c r="B371" t="s">
        <v>3490</v>
      </c>
      <c r="C371" t="s">
        <v>2434</v>
      </c>
      <c r="D371" t="s">
        <v>3489</v>
      </c>
      <c r="E371">
        <v>35.549999999999997</v>
      </c>
      <c r="F371">
        <v>1.25</v>
      </c>
      <c r="G371">
        <v>0.84</v>
      </c>
      <c r="H371">
        <v>84.51</v>
      </c>
      <c r="I371">
        <v>1</v>
      </c>
      <c r="J371" s="9">
        <v>45108</v>
      </c>
      <c r="K371" s="9">
        <v>45473</v>
      </c>
    </row>
    <row r="372" spans="1:11" x14ac:dyDescent="0.25">
      <c r="A372">
        <v>370</v>
      </c>
      <c r="B372" t="s">
        <v>3492</v>
      </c>
      <c r="C372" t="s">
        <v>2438</v>
      </c>
      <c r="D372" t="s">
        <v>2439</v>
      </c>
      <c r="E372">
        <v>38.64</v>
      </c>
      <c r="F372">
        <v>5.0199999999999996</v>
      </c>
      <c r="G372">
        <v>0.93</v>
      </c>
      <c r="H372">
        <v>92.05</v>
      </c>
      <c r="I372">
        <v>1.01</v>
      </c>
      <c r="J372" s="9">
        <v>45108</v>
      </c>
      <c r="K372" s="9">
        <v>45473</v>
      </c>
    </row>
    <row r="373" spans="1:11" x14ac:dyDescent="0.25">
      <c r="A373">
        <v>371</v>
      </c>
      <c r="B373" t="s">
        <v>3494</v>
      </c>
      <c r="C373" t="s">
        <v>2442</v>
      </c>
      <c r="D373" t="s">
        <v>2443</v>
      </c>
      <c r="E373">
        <v>68.83</v>
      </c>
      <c r="F373">
        <v>2.35</v>
      </c>
      <c r="G373">
        <v>0.92</v>
      </c>
      <c r="H373">
        <v>91.84</v>
      </c>
      <c r="I373">
        <v>1</v>
      </c>
      <c r="J373" s="9">
        <v>45108</v>
      </c>
      <c r="K373" s="9">
        <v>45473</v>
      </c>
    </row>
    <row r="374" spans="1:11" x14ac:dyDescent="0.25">
      <c r="A374">
        <v>372</v>
      </c>
      <c r="B374" t="s">
        <v>3495</v>
      </c>
      <c r="C374" t="s">
        <v>2446</v>
      </c>
      <c r="D374" t="s">
        <v>2447</v>
      </c>
      <c r="E374">
        <v>39.950000000000003</v>
      </c>
      <c r="F374">
        <v>3.36</v>
      </c>
      <c r="G374">
        <v>0.76</v>
      </c>
      <c r="H374">
        <v>85.25</v>
      </c>
      <c r="I374">
        <v>0.9</v>
      </c>
      <c r="J374" s="9">
        <v>45108</v>
      </c>
      <c r="K374" s="9">
        <v>45473</v>
      </c>
    </row>
    <row r="375" spans="1:11" x14ac:dyDescent="0.25">
      <c r="A375">
        <v>373</v>
      </c>
      <c r="B375" t="s">
        <v>3497</v>
      </c>
      <c r="C375" t="s">
        <v>2451</v>
      </c>
      <c r="D375" t="s">
        <v>3496</v>
      </c>
      <c r="E375">
        <v>62.28</v>
      </c>
      <c r="F375">
        <v>4.82</v>
      </c>
      <c r="G375">
        <v>1</v>
      </c>
      <c r="H375">
        <v>91.74</v>
      </c>
      <c r="I375">
        <v>1.0900000000000001</v>
      </c>
      <c r="J375" s="9">
        <v>45108</v>
      </c>
      <c r="K375" s="9">
        <v>45473</v>
      </c>
    </row>
    <row r="376" spans="1:11" x14ac:dyDescent="0.25">
      <c r="A376">
        <v>374</v>
      </c>
      <c r="B376" t="s">
        <v>3499</v>
      </c>
      <c r="C376" t="s">
        <v>2455</v>
      </c>
      <c r="D376" t="s">
        <v>2456</v>
      </c>
      <c r="E376">
        <v>38.4</v>
      </c>
      <c r="F376">
        <v>4.4800000000000004</v>
      </c>
      <c r="G376">
        <v>0.89</v>
      </c>
      <c r="H376">
        <v>82.52</v>
      </c>
      <c r="I376">
        <v>1.08</v>
      </c>
      <c r="J376" s="9">
        <v>45108</v>
      </c>
      <c r="K376" s="9">
        <v>45473</v>
      </c>
    </row>
    <row r="377" spans="1:11" x14ac:dyDescent="0.25">
      <c r="A377">
        <v>376</v>
      </c>
      <c r="B377" t="s">
        <v>3500</v>
      </c>
      <c r="C377" t="s">
        <v>2459</v>
      </c>
      <c r="D377" t="s">
        <v>2460</v>
      </c>
      <c r="E377">
        <v>50.36</v>
      </c>
      <c r="F377">
        <v>6.05</v>
      </c>
      <c r="G377">
        <v>0.86</v>
      </c>
      <c r="H377">
        <v>91.15</v>
      </c>
      <c r="I377">
        <v>0.94</v>
      </c>
      <c r="J377" s="9">
        <v>45108</v>
      </c>
      <c r="K377" s="9">
        <v>45473</v>
      </c>
    </row>
    <row r="378" spans="1:11" x14ac:dyDescent="0.25">
      <c r="A378">
        <v>377</v>
      </c>
      <c r="B378" t="s">
        <v>3502</v>
      </c>
      <c r="C378" t="s">
        <v>2463</v>
      </c>
      <c r="D378" t="s">
        <v>2464</v>
      </c>
      <c r="E378">
        <v>41.03</v>
      </c>
      <c r="F378">
        <v>3.31</v>
      </c>
      <c r="G378">
        <v>0.78</v>
      </c>
      <c r="H378">
        <v>84.88</v>
      </c>
      <c r="I378">
        <v>0.92</v>
      </c>
      <c r="J378" s="9">
        <v>45108</v>
      </c>
      <c r="K378" s="9">
        <v>45473</v>
      </c>
    </row>
    <row r="379" spans="1:11" x14ac:dyDescent="0.25">
      <c r="A379">
        <v>378</v>
      </c>
      <c r="B379" t="s">
        <v>3503</v>
      </c>
      <c r="C379" t="s">
        <v>2469</v>
      </c>
      <c r="D379" t="s">
        <v>2470</v>
      </c>
      <c r="E379">
        <v>53.54</v>
      </c>
      <c r="F379">
        <v>7.38</v>
      </c>
      <c r="G379">
        <v>0.82</v>
      </c>
      <c r="H379">
        <v>91.74</v>
      </c>
      <c r="I379">
        <v>0.9</v>
      </c>
      <c r="J379" s="9">
        <v>45108</v>
      </c>
      <c r="K379" s="9">
        <v>45473</v>
      </c>
    </row>
    <row r="380" spans="1:11" x14ac:dyDescent="0.25">
      <c r="A380">
        <v>379</v>
      </c>
      <c r="B380" t="s">
        <v>3505</v>
      </c>
      <c r="C380" t="s">
        <v>2473</v>
      </c>
      <c r="D380" t="s">
        <v>2474</v>
      </c>
      <c r="J380" s="9">
        <v>45108</v>
      </c>
      <c r="K380" s="9">
        <v>45473</v>
      </c>
    </row>
    <row r="381" spans="1:11" x14ac:dyDescent="0.25">
      <c r="A381">
        <v>380</v>
      </c>
      <c r="B381" t="s">
        <v>3507</v>
      </c>
      <c r="C381" t="s">
        <v>2477</v>
      </c>
      <c r="D381" t="s">
        <v>2478</v>
      </c>
      <c r="E381">
        <v>40.18</v>
      </c>
      <c r="F381">
        <v>1.45</v>
      </c>
      <c r="G381">
        <v>0.74</v>
      </c>
      <c r="H381">
        <v>86</v>
      </c>
      <c r="I381">
        <v>0.86</v>
      </c>
      <c r="J381" s="9">
        <v>45108</v>
      </c>
      <c r="K381" s="9">
        <v>45473</v>
      </c>
    </row>
    <row r="382" spans="1:11" x14ac:dyDescent="0.25">
      <c r="A382">
        <v>381</v>
      </c>
      <c r="B382" t="s">
        <v>3509</v>
      </c>
      <c r="C382" t="s">
        <v>2481</v>
      </c>
      <c r="D382" t="s">
        <v>2482</v>
      </c>
      <c r="J382" s="9">
        <v>45108</v>
      </c>
      <c r="K382" s="9">
        <v>45473</v>
      </c>
    </row>
    <row r="383" spans="1:11" x14ac:dyDescent="0.25">
      <c r="A383">
        <v>382</v>
      </c>
      <c r="B383" t="s">
        <v>3511</v>
      </c>
      <c r="C383" t="s">
        <v>2485</v>
      </c>
      <c r="D383" t="s">
        <v>2486</v>
      </c>
      <c r="E383">
        <v>51.16</v>
      </c>
      <c r="F383">
        <v>1.77</v>
      </c>
      <c r="G383">
        <v>0.93</v>
      </c>
      <c r="H383">
        <v>89.99</v>
      </c>
      <c r="I383">
        <v>1.03</v>
      </c>
      <c r="J383" s="9">
        <v>45108</v>
      </c>
      <c r="K383" s="9">
        <v>45473</v>
      </c>
    </row>
    <row r="384" spans="1:11" x14ac:dyDescent="0.25">
      <c r="A384">
        <v>383</v>
      </c>
      <c r="B384" t="s">
        <v>3513</v>
      </c>
      <c r="C384" t="s">
        <v>2489</v>
      </c>
      <c r="D384" t="s">
        <v>2490</v>
      </c>
      <c r="E384">
        <v>47.15</v>
      </c>
      <c r="F384">
        <v>3.03</v>
      </c>
      <c r="G384">
        <v>0.84</v>
      </c>
      <c r="H384">
        <v>91.76</v>
      </c>
      <c r="I384">
        <v>0.91</v>
      </c>
      <c r="J384" s="9">
        <v>45108</v>
      </c>
      <c r="K384" s="9">
        <v>45473</v>
      </c>
    </row>
    <row r="385" spans="1:11" x14ac:dyDescent="0.25">
      <c r="A385">
        <v>384</v>
      </c>
      <c r="B385" t="s">
        <v>3516</v>
      </c>
      <c r="C385" t="s">
        <v>2493</v>
      </c>
      <c r="D385" t="s">
        <v>3514</v>
      </c>
      <c r="E385">
        <v>52.97</v>
      </c>
      <c r="F385">
        <v>4.3099999999999996</v>
      </c>
      <c r="G385">
        <v>0.78</v>
      </c>
      <c r="H385">
        <v>91.63</v>
      </c>
      <c r="I385">
        <v>0.86</v>
      </c>
      <c r="J385" s="9">
        <v>45108</v>
      </c>
      <c r="K385" s="9">
        <v>45473</v>
      </c>
    </row>
    <row r="386" spans="1:11" x14ac:dyDescent="0.25">
      <c r="A386">
        <v>385</v>
      </c>
      <c r="B386" t="s">
        <v>3784</v>
      </c>
      <c r="C386" t="s">
        <v>2497</v>
      </c>
      <c r="D386" t="s">
        <v>3785</v>
      </c>
      <c r="J386" s="9">
        <v>45108</v>
      </c>
      <c r="K386" s="9">
        <v>45473</v>
      </c>
    </row>
    <row r="387" spans="1:11" x14ac:dyDescent="0.25">
      <c r="A387">
        <v>386</v>
      </c>
      <c r="B387" t="s">
        <v>3518</v>
      </c>
      <c r="C387" t="s">
        <v>2501</v>
      </c>
      <c r="D387" t="s">
        <v>2502</v>
      </c>
      <c r="E387">
        <v>61.96</v>
      </c>
      <c r="F387">
        <v>1.02</v>
      </c>
      <c r="G387">
        <v>0.94</v>
      </c>
      <c r="H387">
        <v>87.42</v>
      </c>
      <c r="I387">
        <v>1.08</v>
      </c>
      <c r="J387" s="9">
        <v>45108</v>
      </c>
      <c r="K387" s="9">
        <v>45473</v>
      </c>
    </row>
    <row r="388" spans="1:11" x14ac:dyDescent="0.25">
      <c r="A388">
        <v>387</v>
      </c>
      <c r="B388" t="s">
        <v>3519</v>
      </c>
      <c r="C388" t="s">
        <v>2505</v>
      </c>
      <c r="D388" t="s">
        <v>2506</v>
      </c>
      <c r="E388">
        <v>55.31</v>
      </c>
      <c r="F388">
        <v>7.32</v>
      </c>
      <c r="G388">
        <v>0.98</v>
      </c>
      <c r="H388">
        <v>90.73</v>
      </c>
      <c r="I388">
        <v>1.08</v>
      </c>
      <c r="J388" s="9">
        <v>45108</v>
      </c>
      <c r="K388" s="9">
        <v>45473</v>
      </c>
    </row>
    <row r="389" spans="1:11" x14ac:dyDescent="0.25">
      <c r="A389">
        <v>388</v>
      </c>
      <c r="B389" t="s">
        <v>3520</v>
      </c>
      <c r="C389" t="s">
        <v>2509</v>
      </c>
      <c r="D389" t="s">
        <v>2510</v>
      </c>
      <c r="E389">
        <v>29.05</v>
      </c>
      <c r="F389">
        <v>2.1800000000000002</v>
      </c>
      <c r="G389">
        <v>0.84</v>
      </c>
      <c r="H389">
        <v>81.66</v>
      </c>
      <c r="I389">
        <v>1.03</v>
      </c>
      <c r="J389" s="9">
        <v>45108</v>
      </c>
      <c r="K389" s="9">
        <v>45473</v>
      </c>
    </row>
    <row r="390" spans="1:11" x14ac:dyDescent="0.25">
      <c r="A390">
        <v>389</v>
      </c>
      <c r="B390" t="s">
        <v>3522</v>
      </c>
      <c r="C390" t="s">
        <v>2513</v>
      </c>
      <c r="D390" t="s">
        <v>2514</v>
      </c>
      <c r="E390">
        <v>46.27</v>
      </c>
      <c r="F390">
        <v>1.97</v>
      </c>
      <c r="G390">
        <v>0.92</v>
      </c>
      <c r="H390">
        <v>86.68</v>
      </c>
      <c r="I390">
        <v>1.07</v>
      </c>
      <c r="J390" s="9">
        <v>45108</v>
      </c>
      <c r="K390" s="9">
        <v>45473</v>
      </c>
    </row>
    <row r="391" spans="1:11" x14ac:dyDescent="0.25">
      <c r="A391">
        <v>390</v>
      </c>
      <c r="B391" t="s">
        <v>3524</v>
      </c>
      <c r="C391" t="s">
        <v>2517</v>
      </c>
      <c r="D391" t="s">
        <v>3523</v>
      </c>
      <c r="E391">
        <v>24.97</v>
      </c>
      <c r="F391">
        <v>1.85</v>
      </c>
      <c r="G391">
        <v>0.86</v>
      </c>
      <c r="H391">
        <v>89.47</v>
      </c>
      <c r="I391">
        <v>0.96</v>
      </c>
      <c r="J391" s="9">
        <v>45108</v>
      </c>
      <c r="K391" s="9">
        <v>45473</v>
      </c>
    </row>
    <row r="392" spans="1:11" x14ac:dyDescent="0.25">
      <c r="A392">
        <v>391</v>
      </c>
      <c r="B392" t="s">
        <v>3525</v>
      </c>
      <c r="C392" t="s">
        <v>2521</v>
      </c>
      <c r="D392" t="s">
        <v>2522</v>
      </c>
      <c r="E392">
        <v>61.1</v>
      </c>
      <c r="F392">
        <v>2.86</v>
      </c>
      <c r="G392">
        <v>0.76</v>
      </c>
      <c r="H392">
        <v>88.41</v>
      </c>
      <c r="I392">
        <v>0.86</v>
      </c>
      <c r="J392" s="9">
        <v>45108</v>
      </c>
      <c r="K392" s="9">
        <v>45473</v>
      </c>
    </row>
    <row r="393" spans="1:11" x14ac:dyDescent="0.25">
      <c r="A393">
        <v>392</v>
      </c>
      <c r="B393" t="s">
        <v>3526</v>
      </c>
      <c r="C393" t="s">
        <v>2525</v>
      </c>
      <c r="D393" t="s">
        <v>2526</v>
      </c>
      <c r="E393">
        <v>24.7</v>
      </c>
      <c r="F393">
        <v>1.74</v>
      </c>
      <c r="G393">
        <v>0.92</v>
      </c>
      <c r="H393">
        <v>80.23</v>
      </c>
      <c r="I393">
        <v>1.1499999999999999</v>
      </c>
      <c r="J393" s="9">
        <v>45108</v>
      </c>
      <c r="K393" s="9">
        <v>45473</v>
      </c>
    </row>
    <row r="394" spans="1:11" x14ac:dyDescent="0.25">
      <c r="A394">
        <v>393</v>
      </c>
      <c r="B394" t="s">
        <v>3528</v>
      </c>
      <c r="C394" t="s">
        <v>2529</v>
      </c>
      <c r="D394" t="s">
        <v>2530</v>
      </c>
      <c r="E394">
        <v>55.21</v>
      </c>
      <c r="F394">
        <v>2.99</v>
      </c>
      <c r="G394">
        <v>1.02</v>
      </c>
      <c r="H394">
        <v>88.17</v>
      </c>
      <c r="I394">
        <v>1.1499999999999999</v>
      </c>
      <c r="J394" s="9">
        <v>45108</v>
      </c>
      <c r="K394" s="9">
        <v>45473</v>
      </c>
    </row>
    <row r="395" spans="1:11" x14ac:dyDescent="0.25">
      <c r="A395">
        <v>394</v>
      </c>
      <c r="B395" t="s">
        <v>3531</v>
      </c>
      <c r="C395" t="s">
        <v>2533</v>
      </c>
      <c r="D395" t="s">
        <v>3529</v>
      </c>
      <c r="J395" s="9">
        <v>45108</v>
      </c>
      <c r="K395" s="9">
        <v>45473</v>
      </c>
    </row>
    <row r="396" spans="1:11" x14ac:dyDescent="0.25">
      <c r="A396">
        <v>395</v>
      </c>
      <c r="B396" t="s">
        <v>3534</v>
      </c>
      <c r="C396" t="s">
        <v>2537</v>
      </c>
      <c r="D396" t="s">
        <v>3532</v>
      </c>
      <c r="E396">
        <v>60.51</v>
      </c>
      <c r="F396">
        <v>3.74</v>
      </c>
      <c r="G396">
        <v>0.98</v>
      </c>
      <c r="H396">
        <v>91.18</v>
      </c>
      <c r="I396">
        <v>1.07</v>
      </c>
      <c r="J396" s="9">
        <v>45108</v>
      </c>
      <c r="K396" s="9">
        <v>45473</v>
      </c>
    </row>
    <row r="397" spans="1:11" x14ac:dyDescent="0.25">
      <c r="A397">
        <v>396</v>
      </c>
      <c r="B397" t="s">
        <v>3536</v>
      </c>
      <c r="C397" t="s">
        <v>2545</v>
      </c>
      <c r="D397" t="s">
        <v>3535</v>
      </c>
      <c r="J397" s="9">
        <v>45108</v>
      </c>
      <c r="K397" s="9">
        <v>45473</v>
      </c>
    </row>
    <row r="398" spans="1:11" x14ac:dyDescent="0.25">
      <c r="A398">
        <v>397</v>
      </c>
      <c r="B398" t="s">
        <v>3538</v>
      </c>
      <c r="C398" t="s">
        <v>2549</v>
      </c>
      <c r="D398" t="s">
        <v>3537</v>
      </c>
      <c r="J398" s="9">
        <v>45108</v>
      </c>
      <c r="K398" s="9">
        <v>45473</v>
      </c>
    </row>
    <row r="399" spans="1:11" x14ac:dyDescent="0.25">
      <c r="A399">
        <v>398</v>
      </c>
      <c r="B399" t="s">
        <v>3540</v>
      </c>
      <c r="C399" t="s">
        <v>2553</v>
      </c>
      <c r="D399" t="s">
        <v>2554</v>
      </c>
      <c r="E399">
        <v>39.270000000000003</v>
      </c>
      <c r="F399">
        <v>3.5</v>
      </c>
      <c r="G399">
        <v>0.74</v>
      </c>
      <c r="H399">
        <v>86.03</v>
      </c>
      <c r="I399">
        <v>0.86</v>
      </c>
      <c r="J399" s="9">
        <v>45108</v>
      </c>
      <c r="K399" s="9">
        <v>45473</v>
      </c>
    </row>
    <row r="400" spans="1:11" x14ac:dyDescent="0.25">
      <c r="A400">
        <v>399</v>
      </c>
      <c r="B400" t="s">
        <v>3542</v>
      </c>
      <c r="C400" t="s">
        <v>2557</v>
      </c>
      <c r="D400" t="s">
        <v>2558</v>
      </c>
      <c r="E400">
        <v>34.04</v>
      </c>
      <c r="F400">
        <v>0.51</v>
      </c>
      <c r="G400">
        <v>0.86</v>
      </c>
      <c r="H400">
        <v>79.94</v>
      </c>
      <c r="I400">
        <v>1.08</v>
      </c>
      <c r="J400" s="9">
        <v>45108</v>
      </c>
      <c r="K400" s="9">
        <v>45473</v>
      </c>
    </row>
    <row r="401" spans="1:11" x14ac:dyDescent="0.25">
      <c r="A401">
        <v>400</v>
      </c>
      <c r="B401" t="s">
        <v>3544</v>
      </c>
      <c r="C401" t="s">
        <v>2561</v>
      </c>
      <c r="D401" t="s">
        <v>2562</v>
      </c>
      <c r="E401">
        <v>48.72</v>
      </c>
      <c r="F401">
        <v>6.58</v>
      </c>
      <c r="G401">
        <v>0.95</v>
      </c>
      <c r="H401">
        <v>93</v>
      </c>
      <c r="I401">
        <v>1.02</v>
      </c>
      <c r="J401" s="9">
        <v>45108</v>
      </c>
      <c r="K401" s="9">
        <v>45473</v>
      </c>
    </row>
    <row r="402" spans="1:11" x14ac:dyDescent="0.25">
      <c r="A402">
        <v>401</v>
      </c>
      <c r="B402" t="s">
        <v>3546</v>
      </c>
      <c r="C402" t="s">
        <v>2565</v>
      </c>
      <c r="D402" t="s">
        <v>3545</v>
      </c>
      <c r="J402" s="9">
        <v>45108</v>
      </c>
      <c r="K402" s="9">
        <v>45473</v>
      </c>
    </row>
    <row r="403" spans="1:11" x14ac:dyDescent="0.25">
      <c r="A403">
        <v>402</v>
      </c>
      <c r="B403" t="s">
        <v>3547</v>
      </c>
      <c r="C403" t="s">
        <v>2570</v>
      </c>
      <c r="D403" t="s">
        <v>2571</v>
      </c>
      <c r="E403">
        <v>43.94</v>
      </c>
      <c r="F403">
        <v>2.9</v>
      </c>
      <c r="G403">
        <v>0.91</v>
      </c>
      <c r="H403">
        <v>86.36</v>
      </c>
      <c r="I403">
        <v>1.05</v>
      </c>
      <c r="J403" s="9">
        <v>45108</v>
      </c>
      <c r="K403" s="9">
        <v>45473</v>
      </c>
    </row>
    <row r="404" spans="1:11" x14ac:dyDescent="0.25">
      <c r="A404">
        <v>403</v>
      </c>
      <c r="B404" t="s">
        <v>3550</v>
      </c>
      <c r="C404" t="s">
        <v>2575</v>
      </c>
      <c r="D404" t="s">
        <v>3548</v>
      </c>
      <c r="E404">
        <v>43.4</v>
      </c>
      <c r="F404">
        <v>0.37</v>
      </c>
      <c r="G404">
        <v>0.85</v>
      </c>
      <c r="H404">
        <v>88.33</v>
      </c>
      <c r="I404">
        <v>0.96</v>
      </c>
      <c r="J404" s="9">
        <v>45108</v>
      </c>
      <c r="K404" s="9">
        <v>45473</v>
      </c>
    </row>
    <row r="405" spans="1:11" x14ac:dyDescent="0.25">
      <c r="A405">
        <v>307</v>
      </c>
      <c r="B405" t="s">
        <v>3553</v>
      </c>
      <c r="C405" t="s">
        <v>2579</v>
      </c>
      <c r="D405" t="s">
        <v>3551</v>
      </c>
      <c r="E405">
        <v>57.24</v>
      </c>
      <c r="F405">
        <v>0.36</v>
      </c>
      <c r="G405">
        <v>0.89</v>
      </c>
      <c r="H405">
        <v>88</v>
      </c>
      <c r="I405">
        <v>1.01</v>
      </c>
      <c r="J405" s="9">
        <v>45108</v>
      </c>
      <c r="K405" s="9">
        <v>45473</v>
      </c>
    </row>
    <row r="406" spans="1:11" x14ac:dyDescent="0.25">
      <c r="A406">
        <v>72</v>
      </c>
      <c r="B406" t="s">
        <v>3556</v>
      </c>
      <c r="C406" t="s">
        <v>2583</v>
      </c>
      <c r="D406" t="s">
        <v>3554</v>
      </c>
      <c r="E406">
        <v>46.95</v>
      </c>
      <c r="F406">
        <v>3.72</v>
      </c>
      <c r="G406">
        <v>0.91</v>
      </c>
      <c r="H406">
        <v>87.9</v>
      </c>
      <c r="I406">
        <v>1.03</v>
      </c>
      <c r="J406" s="9">
        <v>45108</v>
      </c>
      <c r="K406" s="9">
        <v>45473</v>
      </c>
    </row>
    <row r="407" spans="1:11" x14ac:dyDescent="0.25">
      <c r="A407">
        <v>233</v>
      </c>
      <c r="B407" t="s">
        <v>3558</v>
      </c>
      <c r="C407" t="s">
        <v>2587</v>
      </c>
      <c r="D407" t="s">
        <v>2588</v>
      </c>
      <c r="E407">
        <v>40.9</v>
      </c>
      <c r="F407">
        <v>2.79</v>
      </c>
      <c r="G407">
        <v>0.82</v>
      </c>
      <c r="H407">
        <v>79.59</v>
      </c>
      <c r="I407">
        <v>1.03</v>
      </c>
      <c r="J407" s="9">
        <v>45108</v>
      </c>
      <c r="K407" s="9">
        <v>45473</v>
      </c>
    </row>
    <row r="408" spans="1:11" x14ac:dyDescent="0.25">
      <c r="A408">
        <v>67</v>
      </c>
      <c r="B408" t="s">
        <v>3560</v>
      </c>
      <c r="C408" t="s">
        <v>2591</v>
      </c>
      <c r="D408" t="s">
        <v>2592</v>
      </c>
      <c r="E408">
        <v>48.27</v>
      </c>
      <c r="F408">
        <v>2.65</v>
      </c>
      <c r="G408">
        <v>0.83</v>
      </c>
      <c r="H408">
        <v>75.17</v>
      </c>
      <c r="I408">
        <v>1.1100000000000001</v>
      </c>
      <c r="J408" s="9">
        <v>45108</v>
      </c>
      <c r="K408" s="9">
        <v>45473</v>
      </c>
    </row>
    <row r="409" spans="1:11" x14ac:dyDescent="0.25">
      <c r="A409">
        <v>238</v>
      </c>
      <c r="B409" t="s">
        <v>3562</v>
      </c>
      <c r="C409" t="s">
        <v>2591</v>
      </c>
      <c r="D409" t="s">
        <v>2592</v>
      </c>
      <c r="E409">
        <v>44.22</v>
      </c>
      <c r="F409">
        <v>2.2400000000000002</v>
      </c>
      <c r="G409">
        <v>0.88</v>
      </c>
      <c r="H409">
        <v>75.52</v>
      </c>
      <c r="I409">
        <v>1.1599999999999999</v>
      </c>
      <c r="J409" s="9">
        <v>45108</v>
      </c>
      <c r="K409" s="9">
        <v>45473</v>
      </c>
    </row>
    <row r="410" spans="1:11" x14ac:dyDescent="0.25">
      <c r="A410">
        <v>375</v>
      </c>
      <c r="B410" t="s">
        <v>3564</v>
      </c>
      <c r="C410" t="s">
        <v>2591</v>
      </c>
      <c r="D410" t="s">
        <v>2592</v>
      </c>
      <c r="E410">
        <v>42.8</v>
      </c>
      <c r="F410">
        <v>3.37</v>
      </c>
      <c r="G410">
        <v>0.84</v>
      </c>
      <c r="H410">
        <v>70.98</v>
      </c>
      <c r="I410">
        <v>1.18</v>
      </c>
      <c r="J410" s="9">
        <v>45108</v>
      </c>
      <c r="K410" s="9">
        <v>45473</v>
      </c>
    </row>
  </sheetData>
  <phoneticPr fontId="8" type="noConversion"/>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6C074-BDB0-4AB8-A335-E492446D7416}">
  <sheetPr codeName="Sheet28">
    <tabColor theme="8" tint="-0.249977111117893"/>
  </sheetPr>
  <dimension ref="A1:D406"/>
  <sheetViews>
    <sheetView workbookViewId="0"/>
  </sheetViews>
  <sheetFormatPr defaultRowHeight="15" x14ac:dyDescent="0.25"/>
  <cols>
    <col min="1" max="1" width="10" customWidth="1"/>
    <col min="2" max="2" width="63.5703125" bestFit="1" customWidth="1"/>
    <col min="3" max="3" width="11.7109375" bestFit="1" customWidth="1"/>
    <col min="4" max="4" width="25.5703125" customWidth="1"/>
  </cols>
  <sheetData>
    <row r="1" spans="1:4" x14ac:dyDescent="0.25">
      <c r="A1" s="2" t="s">
        <v>3845</v>
      </c>
      <c r="B1" s="2" t="s">
        <v>680</v>
      </c>
      <c r="C1" s="2" t="s">
        <v>3786</v>
      </c>
      <c r="D1" s="2" t="s">
        <v>3787</v>
      </c>
    </row>
    <row r="2" spans="1:4" x14ac:dyDescent="0.25">
      <c r="A2" s="234" t="s">
        <v>689</v>
      </c>
      <c r="B2" t="s">
        <v>690</v>
      </c>
      <c r="C2">
        <v>14</v>
      </c>
      <c r="D2">
        <v>4</v>
      </c>
    </row>
    <row r="3" spans="1:4" x14ac:dyDescent="0.25">
      <c r="A3" s="234" t="s">
        <v>695</v>
      </c>
      <c r="B3" t="s">
        <v>95</v>
      </c>
      <c r="C3">
        <v>3</v>
      </c>
      <c r="D3">
        <v>2</v>
      </c>
    </row>
    <row r="4" spans="1:4" x14ac:dyDescent="0.25">
      <c r="A4" s="234" t="s">
        <v>699</v>
      </c>
      <c r="B4" t="s">
        <v>700</v>
      </c>
      <c r="C4">
        <v>3</v>
      </c>
      <c r="D4">
        <v>2</v>
      </c>
    </row>
    <row r="5" spans="1:4" x14ac:dyDescent="0.25">
      <c r="A5" s="234" t="s">
        <v>704</v>
      </c>
      <c r="B5" t="s">
        <v>705</v>
      </c>
      <c r="C5">
        <v>9</v>
      </c>
      <c r="D5">
        <v>3</v>
      </c>
    </row>
    <row r="6" spans="1:4" x14ac:dyDescent="0.25">
      <c r="A6" s="234" t="s">
        <v>709</v>
      </c>
      <c r="B6" t="s">
        <v>710</v>
      </c>
      <c r="C6">
        <v>12</v>
      </c>
      <c r="D6">
        <v>3</v>
      </c>
    </row>
    <row r="7" spans="1:4" x14ac:dyDescent="0.25">
      <c r="A7" s="234" t="s">
        <v>722</v>
      </c>
      <c r="B7" t="s">
        <v>723</v>
      </c>
      <c r="C7">
        <v>2</v>
      </c>
      <c r="D7">
        <v>2</v>
      </c>
    </row>
    <row r="8" spans="1:4" x14ac:dyDescent="0.25">
      <c r="A8" s="234" t="s">
        <v>727</v>
      </c>
      <c r="B8" t="s">
        <v>728</v>
      </c>
      <c r="C8">
        <v>8</v>
      </c>
      <c r="D8">
        <v>3</v>
      </c>
    </row>
    <row r="9" spans="1:4" x14ac:dyDescent="0.25">
      <c r="A9" s="234" t="s">
        <v>732</v>
      </c>
      <c r="B9" t="s">
        <v>733</v>
      </c>
      <c r="C9">
        <v>11</v>
      </c>
      <c r="D9">
        <v>4</v>
      </c>
    </row>
    <row r="10" spans="1:4" x14ac:dyDescent="0.25">
      <c r="A10" s="234" t="s">
        <v>737</v>
      </c>
      <c r="B10" t="s">
        <v>738</v>
      </c>
      <c r="C10">
        <v>12</v>
      </c>
      <c r="D10">
        <v>3</v>
      </c>
    </row>
    <row r="11" spans="1:4" x14ac:dyDescent="0.25">
      <c r="A11" s="234" t="s">
        <v>742</v>
      </c>
      <c r="B11" t="s">
        <v>743</v>
      </c>
      <c r="C11">
        <v>14</v>
      </c>
      <c r="D11">
        <v>4</v>
      </c>
    </row>
    <row r="12" spans="1:4" x14ac:dyDescent="0.25">
      <c r="A12" s="234" t="s">
        <v>746</v>
      </c>
      <c r="B12" t="s">
        <v>747</v>
      </c>
      <c r="C12">
        <v>9</v>
      </c>
      <c r="D12">
        <v>3</v>
      </c>
    </row>
    <row r="13" spans="1:4" x14ac:dyDescent="0.25">
      <c r="A13" s="234" t="s">
        <v>750</v>
      </c>
      <c r="B13" t="s">
        <v>751</v>
      </c>
      <c r="C13">
        <v>1</v>
      </c>
      <c r="D13">
        <v>2</v>
      </c>
    </row>
    <row r="14" spans="1:4" x14ac:dyDescent="0.25">
      <c r="A14" s="234" t="s">
        <v>757</v>
      </c>
      <c r="B14" t="s">
        <v>758</v>
      </c>
      <c r="C14">
        <v>5</v>
      </c>
      <c r="D14">
        <v>2</v>
      </c>
    </row>
    <row r="15" spans="1:4" x14ac:dyDescent="0.25">
      <c r="A15" s="234" t="s">
        <v>762</v>
      </c>
      <c r="B15" t="s">
        <v>763</v>
      </c>
      <c r="C15">
        <v>13</v>
      </c>
      <c r="D15">
        <v>4</v>
      </c>
    </row>
    <row r="16" spans="1:4" x14ac:dyDescent="0.25">
      <c r="A16" s="234" t="s">
        <v>767</v>
      </c>
      <c r="B16" t="s">
        <v>768</v>
      </c>
      <c r="C16">
        <v>4</v>
      </c>
      <c r="D16">
        <v>2</v>
      </c>
    </row>
    <row r="17" spans="1:4" x14ac:dyDescent="0.25">
      <c r="A17" s="234" t="s">
        <v>771</v>
      </c>
      <c r="B17" t="s">
        <v>772</v>
      </c>
      <c r="C17">
        <v>12</v>
      </c>
      <c r="D17">
        <v>3</v>
      </c>
    </row>
    <row r="18" spans="1:4" x14ac:dyDescent="0.25">
      <c r="A18" s="234" t="s">
        <v>776</v>
      </c>
      <c r="B18" t="s">
        <v>777</v>
      </c>
      <c r="C18">
        <v>9</v>
      </c>
      <c r="D18">
        <v>3</v>
      </c>
    </row>
    <row r="19" spans="1:4" x14ac:dyDescent="0.25">
      <c r="A19" s="234" t="s">
        <v>780</v>
      </c>
      <c r="B19" t="s">
        <v>781</v>
      </c>
      <c r="C19">
        <v>13</v>
      </c>
      <c r="D19">
        <v>4</v>
      </c>
    </row>
    <row r="20" spans="1:4" x14ac:dyDescent="0.25">
      <c r="A20" s="234" t="s">
        <v>784</v>
      </c>
      <c r="B20" t="s">
        <v>785</v>
      </c>
      <c r="C20">
        <v>13</v>
      </c>
      <c r="D20">
        <v>4</v>
      </c>
    </row>
    <row r="21" spans="1:4" x14ac:dyDescent="0.25">
      <c r="A21" s="234" t="s">
        <v>789</v>
      </c>
      <c r="B21" t="s">
        <v>790</v>
      </c>
      <c r="C21">
        <v>15</v>
      </c>
      <c r="D21">
        <v>4</v>
      </c>
    </row>
    <row r="22" spans="1:4" x14ac:dyDescent="0.25">
      <c r="A22" s="234" t="s">
        <v>794</v>
      </c>
      <c r="B22" t="s">
        <v>795</v>
      </c>
      <c r="C22">
        <v>16</v>
      </c>
      <c r="D22">
        <v>3</v>
      </c>
    </row>
    <row r="23" spans="1:4" x14ac:dyDescent="0.25">
      <c r="A23" s="234" t="s">
        <v>798</v>
      </c>
      <c r="B23" t="s">
        <v>799</v>
      </c>
      <c r="C23">
        <v>10</v>
      </c>
      <c r="D23">
        <v>3</v>
      </c>
    </row>
    <row r="24" spans="1:4" x14ac:dyDescent="0.25">
      <c r="A24" s="234" t="s">
        <v>802</v>
      </c>
      <c r="B24" t="s">
        <v>803</v>
      </c>
      <c r="C24">
        <v>11</v>
      </c>
      <c r="D24">
        <v>4</v>
      </c>
    </row>
    <row r="25" spans="1:4" x14ac:dyDescent="0.25">
      <c r="A25" s="234" t="s">
        <v>806</v>
      </c>
      <c r="B25" t="s">
        <v>807</v>
      </c>
      <c r="C25">
        <v>8</v>
      </c>
      <c r="D25">
        <v>3</v>
      </c>
    </row>
    <row r="26" spans="1:4" x14ac:dyDescent="0.25">
      <c r="A26" s="234" t="s">
        <v>810</v>
      </c>
      <c r="B26" t="s">
        <v>811</v>
      </c>
      <c r="C26">
        <v>12</v>
      </c>
      <c r="D26">
        <v>3</v>
      </c>
    </row>
    <row r="27" spans="1:4" x14ac:dyDescent="0.25">
      <c r="A27" s="234" t="s">
        <v>815</v>
      </c>
      <c r="B27" t="s">
        <v>816</v>
      </c>
      <c r="C27">
        <v>9</v>
      </c>
      <c r="D27">
        <v>3</v>
      </c>
    </row>
    <row r="28" spans="1:4" x14ac:dyDescent="0.25">
      <c r="A28" s="234" t="s">
        <v>819</v>
      </c>
      <c r="B28" t="s">
        <v>820</v>
      </c>
      <c r="C28">
        <v>16</v>
      </c>
      <c r="D28">
        <v>3</v>
      </c>
    </row>
    <row r="29" spans="1:4" x14ac:dyDescent="0.25">
      <c r="A29" s="234" t="s">
        <v>823</v>
      </c>
      <c r="B29" t="s">
        <v>824</v>
      </c>
      <c r="C29">
        <v>16</v>
      </c>
      <c r="D29">
        <v>3</v>
      </c>
    </row>
    <row r="30" spans="1:4" x14ac:dyDescent="0.25">
      <c r="A30" s="234" t="s">
        <v>833</v>
      </c>
      <c r="B30" t="s">
        <v>834</v>
      </c>
      <c r="C30">
        <v>15</v>
      </c>
      <c r="D30">
        <v>4</v>
      </c>
    </row>
    <row r="31" spans="1:4" x14ac:dyDescent="0.25">
      <c r="A31" s="234" t="s">
        <v>837</v>
      </c>
      <c r="B31" t="s">
        <v>838</v>
      </c>
      <c r="C31">
        <v>15</v>
      </c>
      <c r="D31">
        <v>4</v>
      </c>
    </row>
    <row r="32" spans="1:4" x14ac:dyDescent="0.25">
      <c r="A32" s="234" t="s">
        <v>842</v>
      </c>
      <c r="B32" t="s">
        <v>843</v>
      </c>
      <c r="C32">
        <v>8</v>
      </c>
      <c r="D32">
        <v>3</v>
      </c>
    </row>
    <row r="33" spans="1:4" x14ac:dyDescent="0.25">
      <c r="A33" s="234" t="s">
        <v>846</v>
      </c>
      <c r="B33" t="s">
        <v>847</v>
      </c>
      <c r="C33">
        <v>12</v>
      </c>
      <c r="D33">
        <v>3</v>
      </c>
    </row>
    <row r="34" spans="1:4" x14ac:dyDescent="0.25">
      <c r="A34" s="234" t="s">
        <v>850</v>
      </c>
      <c r="B34" t="s">
        <v>851</v>
      </c>
      <c r="C34">
        <v>8</v>
      </c>
      <c r="D34">
        <v>3</v>
      </c>
    </row>
    <row r="35" spans="1:4" x14ac:dyDescent="0.25">
      <c r="A35" s="234" t="s">
        <v>854</v>
      </c>
      <c r="B35" t="s">
        <v>855</v>
      </c>
      <c r="C35">
        <v>9</v>
      </c>
      <c r="D35">
        <v>3</v>
      </c>
    </row>
    <row r="36" spans="1:4" x14ac:dyDescent="0.25">
      <c r="A36" s="234" t="s">
        <v>858</v>
      </c>
      <c r="B36" t="s">
        <v>859</v>
      </c>
      <c r="C36">
        <v>3</v>
      </c>
      <c r="D36">
        <v>2</v>
      </c>
    </row>
    <row r="37" spans="1:4" x14ac:dyDescent="0.25">
      <c r="A37" s="234" t="s">
        <v>863</v>
      </c>
      <c r="B37" t="s">
        <v>864</v>
      </c>
      <c r="C37">
        <v>12</v>
      </c>
      <c r="D37">
        <v>3</v>
      </c>
    </row>
    <row r="38" spans="1:4" x14ac:dyDescent="0.25">
      <c r="A38" s="234" t="s">
        <v>878</v>
      </c>
      <c r="B38" t="s">
        <v>879</v>
      </c>
      <c r="C38">
        <v>15</v>
      </c>
      <c r="D38">
        <v>4</v>
      </c>
    </row>
    <row r="39" spans="1:4" x14ac:dyDescent="0.25">
      <c r="A39" s="234" t="s">
        <v>882</v>
      </c>
      <c r="B39" t="s">
        <v>883</v>
      </c>
      <c r="C39">
        <v>9</v>
      </c>
      <c r="D39">
        <v>3</v>
      </c>
    </row>
    <row r="40" spans="1:4" x14ac:dyDescent="0.25">
      <c r="A40" s="234" t="s">
        <v>890</v>
      </c>
      <c r="B40" t="s">
        <v>891</v>
      </c>
      <c r="C40">
        <v>3</v>
      </c>
      <c r="D40">
        <v>2</v>
      </c>
    </row>
    <row r="41" spans="1:4" x14ac:dyDescent="0.25">
      <c r="A41" s="234" t="s">
        <v>906</v>
      </c>
      <c r="B41" t="s">
        <v>907</v>
      </c>
      <c r="C41">
        <v>12</v>
      </c>
      <c r="D41">
        <v>3</v>
      </c>
    </row>
    <row r="42" spans="1:4" x14ac:dyDescent="0.25">
      <c r="A42" s="234" t="s">
        <v>933</v>
      </c>
      <c r="B42" t="s">
        <v>934</v>
      </c>
      <c r="C42">
        <v>7</v>
      </c>
      <c r="D42">
        <v>2</v>
      </c>
    </row>
    <row r="43" spans="1:4" x14ac:dyDescent="0.25">
      <c r="A43" s="234" t="s">
        <v>938</v>
      </c>
      <c r="B43" t="s">
        <v>939</v>
      </c>
      <c r="C43">
        <v>9</v>
      </c>
      <c r="D43">
        <v>3</v>
      </c>
    </row>
    <row r="44" spans="1:4" x14ac:dyDescent="0.25">
      <c r="A44" s="234" t="s">
        <v>945</v>
      </c>
      <c r="B44" t="s">
        <v>946</v>
      </c>
      <c r="C44">
        <v>14</v>
      </c>
      <c r="D44">
        <v>4</v>
      </c>
    </row>
    <row r="45" spans="1:4" x14ac:dyDescent="0.25">
      <c r="A45" s="234" t="s">
        <v>949</v>
      </c>
      <c r="B45" t="s">
        <v>950</v>
      </c>
      <c r="C45">
        <v>13</v>
      </c>
      <c r="D45">
        <v>4</v>
      </c>
    </row>
    <row r="46" spans="1:4" x14ac:dyDescent="0.25">
      <c r="A46" s="234" t="s">
        <v>955</v>
      </c>
      <c r="B46" t="s">
        <v>956</v>
      </c>
      <c r="C46">
        <v>3</v>
      </c>
      <c r="D46">
        <v>2</v>
      </c>
    </row>
    <row r="47" spans="1:4" x14ac:dyDescent="0.25">
      <c r="A47" s="234" t="s">
        <v>959</v>
      </c>
      <c r="B47" t="s">
        <v>960</v>
      </c>
      <c r="C47">
        <v>11</v>
      </c>
      <c r="D47">
        <v>4</v>
      </c>
    </row>
    <row r="48" spans="1:4" x14ac:dyDescent="0.25">
      <c r="A48" s="234" t="s">
        <v>967</v>
      </c>
      <c r="B48" t="s">
        <v>968</v>
      </c>
      <c r="C48">
        <v>12</v>
      </c>
      <c r="D48">
        <v>3</v>
      </c>
    </row>
    <row r="49" spans="1:4" x14ac:dyDescent="0.25">
      <c r="A49" s="234" t="s">
        <v>971</v>
      </c>
      <c r="B49" t="s">
        <v>972</v>
      </c>
      <c r="C49">
        <v>6</v>
      </c>
      <c r="D49">
        <v>3</v>
      </c>
    </row>
    <row r="50" spans="1:4" x14ac:dyDescent="0.25">
      <c r="A50" s="234" t="s">
        <v>975</v>
      </c>
      <c r="B50" t="s">
        <v>976</v>
      </c>
      <c r="C50">
        <v>9</v>
      </c>
      <c r="D50">
        <v>3</v>
      </c>
    </row>
    <row r="51" spans="1:4" x14ac:dyDescent="0.25">
      <c r="A51" s="234" t="s">
        <v>979</v>
      </c>
      <c r="B51" t="s">
        <v>980</v>
      </c>
      <c r="C51">
        <v>6</v>
      </c>
      <c r="D51">
        <v>3</v>
      </c>
    </row>
    <row r="52" spans="1:4" x14ac:dyDescent="0.25">
      <c r="A52" s="234" t="s">
        <v>983</v>
      </c>
      <c r="B52" t="s">
        <v>984</v>
      </c>
      <c r="C52">
        <v>16</v>
      </c>
      <c r="D52">
        <v>3</v>
      </c>
    </row>
    <row r="53" spans="1:4" x14ac:dyDescent="0.25">
      <c r="A53" s="234" t="s">
        <v>999</v>
      </c>
      <c r="B53" t="s">
        <v>1000</v>
      </c>
      <c r="C53">
        <v>12</v>
      </c>
      <c r="D53">
        <v>3</v>
      </c>
    </row>
    <row r="54" spans="1:4" x14ac:dyDescent="0.25">
      <c r="A54" s="234" t="s">
        <v>1003</v>
      </c>
      <c r="B54" t="s">
        <v>1004</v>
      </c>
      <c r="C54">
        <v>4</v>
      </c>
      <c r="D54">
        <v>2</v>
      </c>
    </row>
    <row r="55" spans="1:4" x14ac:dyDescent="0.25">
      <c r="A55" s="234" t="s">
        <v>1008</v>
      </c>
      <c r="B55" t="s">
        <v>1009</v>
      </c>
      <c r="C55">
        <v>11</v>
      </c>
      <c r="D55">
        <v>4</v>
      </c>
    </row>
    <row r="56" spans="1:4" x14ac:dyDescent="0.25">
      <c r="A56" s="234" t="s">
        <v>1013</v>
      </c>
      <c r="B56" t="s">
        <v>1014</v>
      </c>
      <c r="C56">
        <v>11</v>
      </c>
      <c r="D56">
        <v>4</v>
      </c>
    </row>
    <row r="57" spans="1:4" x14ac:dyDescent="0.25">
      <c r="A57" s="234" t="s">
        <v>1017</v>
      </c>
      <c r="B57" t="s">
        <v>1018</v>
      </c>
      <c r="C57">
        <v>6</v>
      </c>
      <c r="D57">
        <v>3</v>
      </c>
    </row>
    <row r="58" spans="1:4" x14ac:dyDescent="0.25">
      <c r="A58" s="234" t="s">
        <v>1021</v>
      </c>
      <c r="B58" t="s">
        <v>1022</v>
      </c>
      <c r="C58">
        <v>3</v>
      </c>
      <c r="D58">
        <v>2</v>
      </c>
    </row>
    <row r="59" spans="1:4" x14ac:dyDescent="0.25">
      <c r="A59" s="234" t="s">
        <v>1033</v>
      </c>
      <c r="B59" t="s">
        <v>1034</v>
      </c>
      <c r="C59">
        <v>3</v>
      </c>
      <c r="D59">
        <v>2</v>
      </c>
    </row>
    <row r="60" spans="1:4" x14ac:dyDescent="0.25">
      <c r="A60" s="234" t="s">
        <v>1039</v>
      </c>
      <c r="B60" t="s">
        <v>1040</v>
      </c>
      <c r="C60">
        <v>13</v>
      </c>
      <c r="D60">
        <v>4</v>
      </c>
    </row>
    <row r="61" spans="1:4" x14ac:dyDescent="0.25">
      <c r="A61" s="234" t="s">
        <v>1043</v>
      </c>
      <c r="B61" t="s">
        <v>1044</v>
      </c>
      <c r="C61">
        <v>3</v>
      </c>
      <c r="D61">
        <v>2</v>
      </c>
    </row>
    <row r="62" spans="1:4" x14ac:dyDescent="0.25">
      <c r="A62" s="234" t="s">
        <v>1047</v>
      </c>
      <c r="B62" t="s">
        <v>1048</v>
      </c>
      <c r="C62">
        <v>12</v>
      </c>
      <c r="D62">
        <v>3</v>
      </c>
    </row>
    <row r="63" spans="1:4" x14ac:dyDescent="0.25">
      <c r="A63" s="234" t="s">
        <v>1052</v>
      </c>
      <c r="B63" t="s">
        <v>1053</v>
      </c>
      <c r="C63">
        <v>13</v>
      </c>
      <c r="D63">
        <v>4</v>
      </c>
    </row>
    <row r="64" spans="1:4" x14ac:dyDescent="0.25">
      <c r="A64" s="234" t="s">
        <v>1061</v>
      </c>
      <c r="B64" t="s">
        <v>1062</v>
      </c>
      <c r="C64">
        <v>9</v>
      </c>
      <c r="D64">
        <v>3</v>
      </c>
    </row>
    <row r="65" spans="1:4" x14ac:dyDescent="0.25">
      <c r="A65" s="234" t="s">
        <v>1065</v>
      </c>
      <c r="B65" t="s">
        <v>1066</v>
      </c>
      <c r="C65">
        <v>6</v>
      </c>
      <c r="D65">
        <v>3</v>
      </c>
    </row>
    <row r="66" spans="1:4" x14ac:dyDescent="0.25">
      <c r="A66" s="234" t="s">
        <v>1069</v>
      </c>
      <c r="B66" t="s">
        <v>1070</v>
      </c>
      <c r="C66">
        <v>5</v>
      </c>
      <c r="D66">
        <v>2</v>
      </c>
    </row>
    <row r="67" spans="1:4" x14ac:dyDescent="0.25">
      <c r="A67" s="234" t="s">
        <v>1073</v>
      </c>
      <c r="B67" t="s">
        <v>1074</v>
      </c>
      <c r="C67">
        <v>6</v>
      </c>
      <c r="D67">
        <v>3</v>
      </c>
    </row>
    <row r="68" spans="1:4" x14ac:dyDescent="0.25">
      <c r="A68" s="234" t="s">
        <v>1077</v>
      </c>
      <c r="B68" t="s">
        <v>1078</v>
      </c>
      <c r="C68">
        <v>7</v>
      </c>
      <c r="D68">
        <v>2</v>
      </c>
    </row>
    <row r="69" spans="1:4" x14ac:dyDescent="0.25">
      <c r="A69" s="234" t="s">
        <v>1081</v>
      </c>
      <c r="B69" t="s">
        <v>1082</v>
      </c>
      <c r="C69">
        <v>12</v>
      </c>
      <c r="D69">
        <v>3</v>
      </c>
    </row>
    <row r="70" spans="1:4" x14ac:dyDescent="0.25">
      <c r="A70" s="234" t="s">
        <v>1085</v>
      </c>
      <c r="B70" t="s">
        <v>1086</v>
      </c>
      <c r="C70">
        <v>6</v>
      </c>
      <c r="D70">
        <v>3</v>
      </c>
    </row>
    <row r="71" spans="1:4" x14ac:dyDescent="0.25">
      <c r="A71" s="234" t="s">
        <v>1090</v>
      </c>
      <c r="B71" t="s">
        <v>1091</v>
      </c>
      <c r="C71">
        <v>9</v>
      </c>
      <c r="D71">
        <v>3</v>
      </c>
    </row>
    <row r="72" spans="1:4" x14ac:dyDescent="0.25">
      <c r="A72" s="234" t="s">
        <v>1096</v>
      </c>
      <c r="B72" t="s">
        <v>1097</v>
      </c>
      <c r="C72">
        <v>12</v>
      </c>
      <c r="D72">
        <v>3</v>
      </c>
    </row>
    <row r="73" spans="1:4" x14ac:dyDescent="0.25">
      <c r="A73" s="234" t="s">
        <v>1101</v>
      </c>
      <c r="B73" t="s">
        <v>1102</v>
      </c>
      <c r="C73">
        <v>8</v>
      </c>
      <c r="D73">
        <v>3</v>
      </c>
    </row>
    <row r="74" spans="1:4" x14ac:dyDescent="0.25">
      <c r="A74" s="234" t="s">
        <v>1105</v>
      </c>
      <c r="B74" t="s">
        <v>1106</v>
      </c>
      <c r="C74">
        <v>10</v>
      </c>
      <c r="D74">
        <v>3</v>
      </c>
    </row>
    <row r="75" spans="1:4" x14ac:dyDescent="0.25">
      <c r="A75" s="234" t="s">
        <v>1109</v>
      </c>
      <c r="B75" t="s">
        <v>1110</v>
      </c>
      <c r="C75">
        <v>10</v>
      </c>
      <c r="D75">
        <v>3</v>
      </c>
    </row>
    <row r="76" spans="1:4" x14ac:dyDescent="0.25">
      <c r="A76" s="234" t="s">
        <v>1113</v>
      </c>
      <c r="B76" t="s">
        <v>1114</v>
      </c>
      <c r="C76">
        <v>12</v>
      </c>
      <c r="D76">
        <v>3</v>
      </c>
    </row>
    <row r="77" spans="1:4" x14ac:dyDescent="0.25">
      <c r="A77" s="234" t="s">
        <v>1117</v>
      </c>
      <c r="B77" t="s">
        <v>1118</v>
      </c>
      <c r="C77">
        <v>2</v>
      </c>
      <c r="D77">
        <v>2</v>
      </c>
    </row>
    <row r="78" spans="1:4" x14ac:dyDescent="0.25">
      <c r="A78" s="234" t="s">
        <v>1122</v>
      </c>
      <c r="B78" t="s">
        <v>1123</v>
      </c>
      <c r="C78">
        <v>13</v>
      </c>
      <c r="D78">
        <v>4</v>
      </c>
    </row>
    <row r="79" spans="1:4" x14ac:dyDescent="0.25">
      <c r="A79" s="234" t="s">
        <v>1126</v>
      </c>
      <c r="B79" t="s">
        <v>1127</v>
      </c>
      <c r="C79">
        <v>15</v>
      </c>
      <c r="D79">
        <v>4</v>
      </c>
    </row>
    <row r="80" spans="1:4" x14ac:dyDescent="0.25">
      <c r="A80" s="234" t="s">
        <v>1130</v>
      </c>
      <c r="B80" t="s">
        <v>1131</v>
      </c>
      <c r="C80">
        <v>15</v>
      </c>
      <c r="D80">
        <v>4</v>
      </c>
    </row>
    <row r="81" spans="1:4" x14ac:dyDescent="0.25">
      <c r="A81" s="234" t="s">
        <v>1136</v>
      </c>
      <c r="B81" t="s">
        <v>1137</v>
      </c>
      <c r="C81">
        <v>13</v>
      </c>
      <c r="D81">
        <v>4</v>
      </c>
    </row>
    <row r="82" spans="1:4" x14ac:dyDescent="0.25">
      <c r="A82" s="234" t="s">
        <v>1140</v>
      </c>
      <c r="B82" t="s">
        <v>1141</v>
      </c>
      <c r="C82">
        <v>3</v>
      </c>
      <c r="D82">
        <v>2</v>
      </c>
    </row>
    <row r="83" spans="1:4" x14ac:dyDescent="0.25">
      <c r="A83" s="234" t="s">
        <v>1144</v>
      </c>
      <c r="B83" t="s">
        <v>1145</v>
      </c>
      <c r="C83">
        <v>10</v>
      </c>
      <c r="D83">
        <v>3</v>
      </c>
    </row>
    <row r="84" spans="1:4" x14ac:dyDescent="0.25">
      <c r="A84" s="234" t="s">
        <v>1148</v>
      </c>
      <c r="B84" t="s">
        <v>1149</v>
      </c>
      <c r="C84">
        <v>8</v>
      </c>
      <c r="D84">
        <v>3</v>
      </c>
    </row>
    <row r="85" spans="1:4" x14ac:dyDescent="0.25">
      <c r="A85" s="234" t="s">
        <v>1152</v>
      </c>
      <c r="B85" t="s">
        <v>1153</v>
      </c>
      <c r="C85">
        <v>12</v>
      </c>
      <c r="D85">
        <v>3</v>
      </c>
    </row>
    <row r="86" spans="1:4" x14ac:dyDescent="0.25">
      <c r="A86" s="234" t="s">
        <v>1156</v>
      </c>
      <c r="B86" t="s">
        <v>1157</v>
      </c>
      <c r="C86">
        <v>13</v>
      </c>
      <c r="D86">
        <v>4</v>
      </c>
    </row>
    <row r="87" spans="1:4" x14ac:dyDescent="0.25">
      <c r="A87" s="234" t="s">
        <v>1161</v>
      </c>
      <c r="B87" t="s">
        <v>1162</v>
      </c>
      <c r="C87">
        <v>10</v>
      </c>
      <c r="D87">
        <v>3</v>
      </c>
    </row>
    <row r="88" spans="1:4" x14ac:dyDescent="0.25">
      <c r="A88" s="234" t="s">
        <v>1165</v>
      </c>
      <c r="B88" t="s">
        <v>1166</v>
      </c>
      <c r="C88">
        <v>9</v>
      </c>
      <c r="D88">
        <v>3</v>
      </c>
    </row>
    <row r="89" spans="1:4" x14ac:dyDescent="0.25">
      <c r="A89" s="234" t="s">
        <v>1169</v>
      </c>
      <c r="B89" t="s">
        <v>1170</v>
      </c>
      <c r="C89">
        <v>1</v>
      </c>
      <c r="D89">
        <v>2</v>
      </c>
    </row>
    <row r="90" spans="1:4" x14ac:dyDescent="0.25">
      <c r="A90" s="234" t="s">
        <v>1174</v>
      </c>
      <c r="B90" t="s">
        <v>1175</v>
      </c>
      <c r="C90">
        <v>9</v>
      </c>
      <c r="D90">
        <v>3</v>
      </c>
    </row>
    <row r="91" spans="1:4" x14ac:dyDescent="0.25">
      <c r="A91" s="234" t="s">
        <v>1178</v>
      </c>
      <c r="B91" t="s">
        <v>1179</v>
      </c>
      <c r="C91">
        <v>16</v>
      </c>
      <c r="D91">
        <v>3</v>
      </c>
    </row>
    <row r="92" spans="1:4" x14ac:dyDescent="0.25">
      <c r="A92" s="234" t="s">
        <v>1182</v>
      </c>
      <c r="B92" t="s">
        <v>1183</v>
      </c>
      <c r="C92">
        <v>10</v>
      </c>
      <c r="D92">
        <v>3</v>
      </c>
    </row>
    <row r="93" spans="1:4" x14ac:dyDescent="0.25">
      <c r="A93" s="234" t="s">
        <v>1186</v>
      </c>
      <c r="B93" t="s">
        <v>1187</v>
      </c>
      <c r="C93">
        <v>3</v>
      </c>
      <c r="D93">
        <v>2</v>
      </c>
    </row>
    <row r="94" spans="1:4" x14ac:dyDescent="0.25">
      <c r="A94" s="234" t="s">
        <v>1190</v>
      </c>
      <c r="B94" t="s">
        <v>1191</v>
      </c>
      <c r="C94">
        <v>12</v>
      </c>
      <c r="D94">
        <v>3</v>
      </c>
    </row>
    <row r="95" spans="1:4" x14ac:dyDescent="0.25">
      <c r="A95" s="234" t="s">
        <v>1194</v>
      </c>
      <c r="B95" t="s">
        <v>1195</v>
      </c>
      <c r="C95">
        <v>11</v>
      </c>
      <c r="D95">
        <v>4</v>
      </c>
    </row>
    <row r="96" spans="1:4" x14ac:dyDescent="0.25">
      <c r="A96" s="234" t="s">
        <v>1198</v>
      </c>
      <c r="B96" t="s">
        <v>1199</v>
      </c>
      <c r="C96">
        <v>13</v>
      </c>
      <c r="D96">
        <v>4</v>
      </c>
    </row>
    <row r="97" spans="1:4" x14ac:dyDescent="0.25">
      <c r="A97" s="234" t="s">
        <v>1202</v>
      </c>
      <c r="B97" t="s">
        <v>1203</v>
      </c>
      <c r="C97">
        <v>15</v>
      </c>
      <c r="D97">
        <v>4</v>
      </c>
    </row>
    <row r="98" spans="1:4" x14ac:dyDescent="0.25">
      <c r="A98" s="234" t="s">
        <v>1206</v>
      </c>
      <c r="B98" t="s">
        <v>1207</v>
      </c>
      <c r="C98">
        <v>12</v>
      </c>
      <c r="D98">
        <v>3</v>
      </c>
    </row>
    <row r="99" spans="1:4" x14ac:dyDescent="0.25">
      <c r="A99" s="234" t="s">
        <v>1210</v>
      </c>
      <c r="B99" t="s">
        <v>1211</v>
      </c>
      <c r="C99">
        <v>13</v>
      </c>
      <c r="D99">
        <v>4</v>
      </c>
    </row>
    <row r="100" spans="1:4" x14ac:dyDescent="0.25">
      <c r="A100" s="234" t="s">
        <v>1214</v>
      </c>
      <c r="B100" t="s">
        <v>1215</v>
      </c>
      <c r="C100">
        <v>12</v>
      </c>
      <c r="D100">
        <v>3</v>
      </c>
    </row>
    <row r="101" spans="1:4" x14ac:dyDescent="0.25">
      <c r="A101" s="234" t="s">
        <v>1218</v>
      </c>
      <c r="B101" t="s">
        <v>1219</v>
      </c>
      <c r="C101">
        <v>8</v>
      </c>
      <c r="D101">
        <v>3</v>
      </c>
    </row>
    <row r="102" spans="1:4" x14ac:dyDescent="0.25">
      <c r="A102" s="234" t="s">
        <v>1222</v>
      </c>
      <c r="B102" t="s">
        <v>1223</v>
      </c>
      <c r="C102">
        <v>12</v>
      </c>
      <c r="D102">
        <v>3</v>
      </c>
    </row>
    <row r="103" spans="1:4" x14ac:dyDescent="0.25">
      <c r="A103" s="234" t="s">
        <v>1226</v>
      </c>
      <c r="B103" t="s">
        <v>1227</v>
      </c>
      <c r="C103">
        <v>3</v>
      </c>
      <c r="D103">
        <v>2</v>
      </c>
    </row>
    <row r="104" spans="1:4" x14ac:dyDescent="0.25">
      <c r="A104" s="234" t="s">
        <v>1230</v>
      </c>
      <c r="B104" t="s">
        <v>1231</v>
      </c>
      <c r="C104">
        <v>13</v>
      </c>
      <c r="D104">
        <v>4</v>
      </c>
    </row>
    <row r="105" spans="1:4" x14ac:dyDescent="0.25">
      <c r="A105" s="234" t="s">
        <v>1234</v>
      </c>
      <c r="B105" t="s">
        <v>1235</v>
      </c>
      <c r="C105">
        <v>3</v>
      </c>
      <c r="D105">
        <v>2</v>
      </c>
    </row>
    <row r="106" spans="1:4" x14ac:dyDescent="0.25">
      <c r="A106" s="234" t="s">
        <v>1238</v>
      </c>
      <c r="B106" t="s">
        <v>1239</v>
      </c>
      <c r="C106">
        <v>10</v>
      </c>
      <c r="D106">
        <v>3</v>
      </c>
    </row>
    <row r="107" spans="1:4" x14ac:dyDescent="0.25">
      <c r="A107" s="234" t="s">
        <v>1242</v>
      </c>
      <c r="B107" t="s">
        <v>1243</v>
      </c>
      <c r="C107">
        <v>10</v>
      </c>
      <c r="D107">
        <v>3</v>
      </c>
    </row>
    <row r="108" spans="1:4" x14ac:dyDescent="0.25">
      <c r="A108" s="234" t="s">
        <v>1246</v>
      </c>
      <c r="B108" t="s">
        <v>1247</v>
      </c>
      <c r="C108">
        <v>15</v>
      </c>
      <c r="D108">
        <v>4</v>
      </c>
    </row>
    <row r="109" spans="1:4" x14ac:dyDescent="0.25">
      <c r="A109" s="234" t="s">
        <v>1250</v>
      </c>
      <c r="B109" t="s">
        <v>1251</v>
      </c>
      <c r="C109">
        <v>12</v>
      </c>
      <c r="D109">
        <v>3</v>
      </c>
    </row>
    <row r="110" spans="1:4" x14ac:dyDescent="0.25">
      <c r="A110" s="234" t="s">
        <v>1259</v>
      </c>
      <c r="B110" t="s">
        <v>1260</v>
      </c>
      <c r="C110">
        <v>9</v>
      </c>
      <c r="D110">
        <v>3</v>
      </c>
    </row>
    <row r="111" spans="1:4" x14ac:dyDescent="0.25">
      <c r="A111" s="234" t="s">
        <v>1263</v>
      </c>
      <c r="B111" t="s">
        <v>1264</v>
      </c>
      <c r="C111">
        <v>6</v>
      </c>
      <c r="D111">
        <v>3</v>
      </c>
    </row>
    <row r="112" spans="1:4" x14ac:dyDescent="0.25">
      <c r="A112" s="234" t="s">
        <v>1267</v>
      </c>
      <c r="B112" t="s">
        <v>1268</v>
      </c>
      <c r="C112">
        <v>8</v>
      </c>
      <c r="D112">
        <v>3</v>
      </c>
    </row>
    <row r="113" spans="1:4" x14ac:dyDescent="0.25">
      <c r="A113" s="234" t="s">
        <v>1271</v>
      </c>
      <c r="B113" t="s">
        <v>1272</v>
      </c>
      <c r="C113">
        <v>12</v>
      </c>
      <c r="D113">
        <v>3</v>
      </c>
    </row>
    <row r="114" spans="1:4" x14ac:dyDescent="0.25">
      <c r="A114" s="234" t="s">
        <v>1275</v>
      </c>
      <c r="B114" t="s">
        <v>1276</v>
      </c>
      <c r="C114">
        <v>10</v>
      </c>
      <c r="D114">
        <v>3</v>
      </c>
    </row>
    <row r="115" spans="1:4" x14ac:dyDescent="0.25">
      <c r="A115" s="234" t="s">
        <v>1279</v>
      </c>
      <c r="B115" t="s">
        <v>1280</v>
      </c>
      <c r="C115">
        <v>10</v>
      </c>
      <c r="D115">
        <v>3</v>
      </c>
    </row>
    <row r="116" spans="1:4" x14ac:dyDescent="0.25">
      <c r="A116" s="234" t="s">
        <v>1283</v>
      </c>
      <c r="B116" t="s">
        <v>1284</v>
      </c>
      <c r="C116">
        <v>3</v>
      </c>
      <c r="D116">
        <v>2</v>
      </c>
    </row>
    <row r="117" spans="1:4" x14ac:dyDescent="0.25">
      <c r="A117" s="234" t="s">
        <v>1287</v>
      </c>
      <c r="B117" t="s">
        <v>1288</v>
      </c>
      <c r="C117">
        <v>1</v>
      </c>
      <c r="D117">
        <v>2</v>
      </c>
    </row>
    <row r="118" spans="1:4" x14ac:dyDescent="0.25">
      <c r="A118" s="234" t="s">
        <v>1291</v>
      </c>
      <c r="B118" t="s">
        <v>1292</v>
      </c>
      <c r="C118">
        <v>13</v>
      </c>
      <c r="D118">
        <v>4</v>
      </c>
    </row>
    <row r="119" spans="1:4" x14ac:dyDescent="0.25">
      <c r="A119" s="234" t="s">
        <v>1295</v>
      </c>
      <c r="B119" t="s">
        <v>1296</v>
      </c>
      <c r="C119">
        <v>12</v>
      </c>
      <c r="D119">
        <v>3</v>
      </c>
    </row>
    <row r="120" spans="1:4" x14ac:dyDescent="0.25">
      <c r="A120" s="234" t="s">
        <v>1299</v>
      </c>
      <c r="B120" t="s">
        <v>1300</v>
      </c>
      <c r="C120">
        <v>12</v>
      </c>
      <c r="D120">
        <v>3</v>
      </c>
    </row>
    <row r="121" spans="1:4" x14ac:dyDescent="0.25">
      <c r="A121" s="234" t="s">
        <v>1303</v>
      </c>
      <c r="B121" t="s">
        <v>1304</v>
      </c>
      <c r="C121">
        <v>10</v>
      </c>
      <c r="D121">
        <v>3</v>
      </c>
    </row>
    <row r="122" spans="1:4" x14ac:dyDescent="0.25">
      <c r="A122" s="234" t="s">
        <v>1307</v>
      </c>
      <c r="B122" t="s">
        <v>1308</v>
      </c>
      <c r="C122">
        <v>9</v>
      </c>
      <c r="D122">
        <v>3</v>
      </c>
    </row>
    <row r="123" spans="1:4" x14ac:dyDescent="0.25">
      <c r="A123" s="234" t="s">
        <v>1311</v>
      </c>
      <c r="B123" t="s">
        <v>1312</v>
      </c>
      <c r="C123">
        <v>12</v>
      </c>
      <c r="D123">
        <v>3</v>
      </c>
    </row>
    <row r="124" spans="1:4" x14ac:dyDescent="0.25">
      <c r="A124" s="234" t="s">
        <v>1317</v>
      </c>
      <c r="B124" t="s">
        <v>1318</v>
      </c>
      <c r="C124">
        <v>1</v>
      </c>
      <c r="D124">
        <v>2</v>
      </c>
    </row>
    <row r="125" spans="1:4" x14ac:dyDescent="0.25">
      <c r="A125" s="234" t="s">
        <v>1321</v>
      </c>
      <c r="B125" t="s">
        <v>1322</v>
      </c>
      <c r="C125">
        <v>6</v>
      </c>
      <c r="D125">
        <v>3</v>
      </c>
    </row>
    <row r="126" spans="1:4" x14ac:dyDescent="0.25">
      <c r="A126" s="234" t="s">
        <v>1325</v>
      </c>
      <c r="B126" t="s">
        <v>1326</v>
      </c>
      <c r="C126">
        <v>13</v>
      </c>
      <c r="D126">
        <v>4</v>
      </c>
    </row>
    <row r="127" spans="1:4" x14ac:dyDescent="0.25">
      <c r="A127" s="234" t="s">
        <v>1329</v>
      </c>
      <c r="B127" t="s">
        <v>1330</v>
      </c>
      <c r="C127">
        <v>8</v>
      </c>
      <c r="D127">
        <v>3</v>
      </c>
    </row>
    <row r="128" spans="1:4" x14ac:dyDescent="0.25">
      <c r="A128" s="234" t="s">
        <v>1333</v>
      </c>
      <c r="B128" t="s">
        <v>1334</v>
      </c>
      <c r="C128">
        <v>12</v>
      </c>
      <c r="D128">
        <v>3</v>
      </c>
    </row>
    <row r="129" spans="1:4" x14ac:dyDescent="0.25">
      <c r="A129" s="234" t="s">
        <v>1337</v>
      </c>
      <c r="B129" t="s">
        <v>1338</v>
      </c>
      <c r="C129">
        <v>8</v>
      </c>
      <c r="D129">
        <v>3</v>
      </c>
    </row>
    <row r="130" spans="1:4" x14ac:dyDescent="0.25">
      <c r="A130" s="234" t="s">
        <v>1341</v>
      </c>
      <c r="B130" t="s">
        <v>1342</v>
      </c>
      <c r="C130">
        <v>12</v>
      </c>
      <c r="D130">
        <v>3</v>
      </c>
    </row>
    <row r="131" spans="1:4" x14ac:dyDescent="0.25">
      <c r="A131" s="234" t="s">
        <v>1345</v>
      </c>
      <c r="B131" t="s">
        <v>1346</v>
      </c>
      <c r="C131">
        <v>4</v>
      </c>
      <c r="D131">
        <v>2</v>
      </c>
    </row>
    <row r="132" spans="1:4" x14ac:dyDescent="0.25">
      <c r="A132" s="234" t="s">
        <v>1349</v>
      </c>
      <c r="B132" t="s">
        <v>1350</v>
      </c>
      <c r="C132">
        <v>9</v>
      </c>
      <c r="D132">
        <v>3</v>
      </c>
    </row>
    <row r="133" spans="1:4" x14ac:dyDescent="0.25">
      <c r="A133" s="234" t="s">
        <v>1353</v>
      </c>
      <c r="B133" t="s">
        <v>1354</v>
      </c>
      <c r="C133">
        <v>9</v>
      </c>
      <c r="D133">
        <v>3</v>
      </c>
    </row>
    <row r="134" spans="1:4" x14ac:dyDescent="0.25">
      <c r="A134" s="234" t="s">
        <v>1357</v>
      </c>
      <c r="B134" t="s">
        <v>1358</v>
      </c>
      <c r="C134">
        <v>8</v>
      </c>
      <c r="D134">
        <v>3</v>
      </c>
    </row>
    <row r="135" spans="1:4" x14ac:dyDescent="0.25">
      <c r="A135" s="234" t="s">
        <v>1361</v>
      </c>
      <c r="B135" t="s">
        <v>1362</v>
      </c>
      <c r="C135">
        <v>14</v>
      </c>
      <c r="D135">
        <v>4</v>
      </c>
    </row>
    <row r="136" spans="1:4" x14ac:dyDescent="0.25">
      <c r="A136" s="234" t="s">
        <v>1365</v>
      </c>
      <c r="B136" t="s">
        <v>1366</v>
      </c>
      <c r="C136">
        <v>12</v>
      </c>
      <c r="D136">
        <v>3</v>
      </c>
    </row>
    <row r="137" spans="1:4" x14ac:dyDescent="0.25">
      <c r="A137" s="234" t="s">
        <v>1369</v>
      </c>
      <c r="B137" t="s">
        <v>1370</v>
      </c>
      <c r="C137">
        <v>8</v>
      </c>
      <c r="D137">
        <v>3</v>
      </c>
    </row>
    <row r="138" spans="1:4" x14ac:dyDescent="0.25">
      <c r="A138" s="234" t="s">
        <v>1373</v>
      </c>
      <c r="B138" t="s">
        <v>1374</v>
      </c>
      <c r="C138">
        <v>9</v>
      </c>
      <c r="D138">
        <v>3</v>
      </c>
    </row>
    <row r="139" spans="1:4" x14ac:dyDescent="0.25">
      <c r="A139" s="234" t="s">
        <v>1377</v>
      </c>
      <c r="B139" t="s">
        <v>1378</v>
      </c>
      <c r="C139">
        <v>12</v>
      </c>
      <c r="D139">
        <v>3</v>
      </c>
    </row>
    <row r="140" spans="1:4" x14ac:dyDescent="0.25">
      <c r="A140" s="234" t="s">
        <v>1381</v>
      </c>
      <c r="B140" t="s">
        <v>1382</v>
      </c>
      <c r="C140">
        <v>8</v>
      </c>
      <c r="D140">
        <v>3</v>
      </c>
    </row>
    <row r="141" spans="1:4" x14ac:dyDescent="0.25">
      <c r="A141" s="234" t="s">
        <v>1385</v>
      </c>
      <c r="B141" t="s">
        <v>1386</v>
      </c>
      <c r="C141">
        <v>8</v>
      </c>
      <c r="D141">
        <v>3</v>
      </c>
    </row>
    <row r="142" spans="1:4" x14ac:dyDescent="0.25">
      <c r="A142" s="234" t="s">
        <v>1389</v>
      </c>
      <c r="B142" t="s">
        <v>1390</v>
      </c>
      <c r="C142">
        <v>9</v>
      </c>
      <c r="D142">
        <v>3</v>
      </c>
    </row>
    <row r="143" spans="1:4" x14ac:dyDescent="0.25">
      <c r="A143" s="234" t="s">
        <v>1393</v>
      </c>
      <c r="B143" t="s">
        <v>1394</v>
      </c>
      <c r="C143">
        <v>5</v>
      </c>
      <c r="D143">
        <v>2</v>
      </c>
    </row>
    <row r="144" spans="1:4" x14ac:dyDescent="0.25">
      <c r="A144" s="234" t="s">
        <v>1397</v>
      </c>
      <c r="B144" t="s">
        <v>1398</v>
      </c>
      <c r="C144">
        <v>8</v>
      </c>
      <c r="D144">
        <v>3</v>
      </c>
    </row>
    <row r="145" spans="1:4" x14ac:dyDescent="0.25">
      <c r="A145" s="234" t="s">
        <v>1401</v>
      </c>
      <c r="B145" t="s">
        <v>1402</v>
      </c>
      <c r="C145">
        <v>9</v>
      </c>
      <c r="D145">
        <v>3</v>
      </c>
    </row>
    <row r="146" spans="1:4" x14ac:dyDescent="0.25">
      <c r="A146" s="234" t="s">
        <v>1405</v>
      </c>
      <c r="B146" t="s">
        <v>1406</v>
      </c>
      <c r="C146">
        <v>9</v>
      </c>
      <c r="D146">
        <v>3</v>
      </c>
    </row>
    <row r="147" spans="1:4" x14ac:dyDescent="0.25">
      <c r="A147" s="234" t="s">
        <v>1409</v>
      </c>
      <c r="B147" t="s">
        <v>1410</v>
      </c>
      <c r="C147">
        <v>9</v>
      </c>
      <c r="D147">
        <v>3</v>
      </c>
    </row>
    <row r="148" spans="1:4" x14ac:dyDescent="0.25">
      <c r="A148" s="234" t="s">
        <v>1413</v>
      </c>
      <c r="B148" t="s">
        <v>1414</v>
      </c>
      <c r="C148">
        <v>9</v>
      </c>
      <c r="D148">
        <v>3</v>
      </c>
    </row>
    <row r="149" spans="1:4" x14ac:dyDescent="0.25">
      <c r="A149" s="234" t="s">
        <v>1417</v>
      </c>
      <c r="B149" t="s">
        <v>1418</v>
      </c>
      <c r="C149">
        <v>8</v>
      </c>
      <c r="D149">
        <v>3</v>
      </c>
    </row>
    <row r="150" spans="1:4" x14ac:dyDescent="0.25">
      <c r="A150" s="234" t="s">
        <v>1421</v>
      </c>
      <c r="B150" t="s">
        <v>1422</v>
      </c>
      <c r="C150">
        <v>8</v>
      </c>
      <c r="D150">
        <v>3</v>
      </c>
    </row>
    <row r="151" spans="1:4" x14ac:dyDescent="0.25">
      <c r="A151" s="234" t="s">
        <v>1425</v>
      </c>
      <c r="B151" t="s">
        <v>1426</v>
      </c>
      <c r="C151">
        <v>6</v>
      </c>
      <c r="D151">
        <v>3</v>
      </c>
    </row>
    <row r="152" spans="1:4" x14ac:dyDescent="0.25">
      <c r="A152" s="234" t="s">
        <v>1429</v>
      </c>
      <c r="B152" t="s">
        <v>1430</v>
      </c>
      <c r="C152">
        <v>4</v>
      </c>
      <c r="D152">
        <v>2</v>
      </c>
    </row>
    <row r="153" spans="1:4" x14ac:dyDescent="0.25">
      <c r="A153" s="234" t="s">
        <v>1433</v>
      </c>
      <c r="B153" t="s">
        <v>1434</v>
      </c>
      <c r="C153">
        <v>4</v>
      </c>
      <c r="D153">
        <v>2</v>
      </c>
    </row>
    <row r="154" spans="1:4" x14ac:dyDescent="0.25">
      <c r="A154" s="234" t="s">
        <v>1437</v>
      </c>
      <c r="B154" t="s">
        <v>1438</v>
      </c>
      <c r="C154">
        <v>13</v>
      </c>
      <c r="D154">
        <v>4</v>
      </c>
    </row>
    <row r="155" spans="1:4" x14ac:dyDescent="0.25">
      <c r="A155" s="234" t="s">
        <v>1441</v>
      </c>
      <c r="B155" t="s">
        <v>1442</v>
      </c>
      <c r="C155">
        <v>12</v>
      </c>
      <c r="D155">
        <v>3</v>
      </c>
    </row>
    <row r="156" spans="1:4" x14ac:dyDescent="0.25">
      <c r="A156" s="234" t="s">
        <v>1446</v>
      </c>
      <c r="B156" t="s">
        <v>1447</v>
      </c>
      <c r="C156">
        <v>5</v>
      </c>
      <c r="D156">
        <v>2</v>
      </c>
    </row>
    <row r="157" spans="1:4" x14ac:dyDescent="0.25">
      <c r="A157" s="234" t="s">
        <v>1450</v>
      </c>
      <c r="B157" t="s">
        <v>1451</v>
      </c>
      <c r="C157">
        <v>13</v>
      </c>
      <c r="D157">
        <v>4</v>
      </c>
    </row>
    <row r="158" spans="1:4" x14ac:dyDescent="0.25">
      <c r="A158" s="234" t="s">
        <v>1454</v>
      </c>
      <c r="B158" t="s">
        <v>1455</v>
      </c>
      <c r="C158">
        <v>8</v>
      </c>
      <c r="D158">
        <v>3</v>
      </c>
    </row>
    <row r="159" spans="1:4" x14ac:dyDescent="0.25">
      <c r="A159" s="234" t="s">
        <v>1458</v>
      </c>
      <c r="B159" t="s">
        <v>1459</v>
      </c>
      <c r="C159">
        <v>3</v>
      </c>
      <c r="D159">
        <v>2</v>
      </c>
    </row>
    <row r="160" spans="1:4" x14ac:dyDescent="0.25">
      <c r="A160" s="234" t="s">
        <v>1462</v>
      </c>
      <c r="B160" t="s">
        <v>1463</v>
      </c>
      <c r="C160">
        <v>2</v>
      </c>
      <c r="D160">
        <v>2</v>
      </c>
    </row>
    <row r="161" spans="1:4" x14ac:dyDescent="0.25">
      <c r="A161" s="234" t="s">
        <v>1466</v>
      </c>
      <c r="B161" t="s">
        <v>1467</v>
      </c>
      <c r="C161">
        <v>10</v>
      </c>
      <c r="D161">
        <v>3</v>
      </c>
    </row>
    <row r="162" spans="1:4" x14ac:dyDescent="0.25">
      <c r="A162" s="234" t="s">
        <v>1470</v>
      </c>
      <c r="B162" t="s">
        <v>1471</v>
      </c>
      <c r="C162">
        <v>10</v>
      </c>
      <c r="D162">
        <v>3</v>
      </c>
    </row>
    <row r="163" spans="1:4" x14ac:dyDescent="0.25">
      <c r="A163" s="234" t="s">
        <v>1474</v>
      </c>
      <c r="B163" t="s">
        <v>1475</v>
      </c>
      <c r="C163">
        <v>14</v>
      </c>
      <c r="D163">
        <v>4</v>
      </c>
    </row>
    <row r="164" spans="1:4" x14ac:dyDescent="0.25">
      <c r="A164" s="234" t="s">
        <v>1478</v>
      </c>
      <c r="B164" t="s">
        <v>1479</v>
      </c>
      <c r="C164">
        <v>14</v>
      </c>
      <c r="D164">
        <v>4</v>
      </c>
    </row>
    <row r="165" spans="1:4" x14ac:dyDescent="0.25">
      <c r="A165" s="234" t="s">
        <v>1482</v>
      </c>
      <c r="B165" t="s">
        <v>1483</v>
      </c>
      <c r="C165">
        <v>3</v>
      </c>
      <c r="D165">
        <v>2</v>
      </c>
    </row>
    <row r="166" spans="1:4" x14ac:dyDescent="0.25">
      <c r="A166" s="234" t="s">
        <v>1486</v>
      </c>
      <c r="B166" t="s">
        <v>1487</v>
      </c>
      <c r="C166">
        <v>4</v>
      </c>
      <c r="D166">
        <v>2</v>
      </c>
    </row>
    <row r="167" spans="1:4" x14ac:dyDescent="0.25">
      <c r="A167" s="234" t="s">
        <v>1491</v>
      </c>
      <c r="B167" t="s">
        <v>1492</v>
      </c>
      <c r="C167">
        <v>1</v>
      </c>
      <c r="D167">
        <v>2</v>
      </c>
    </row>
    <row r="168" spans="1:4" x14ac:dyDescent="0.25">
      <c r="A168" s="234" t="s">
        <v>1495</v>
      </c>
      <c r="B168" t="s">
        <v>1496</v>
      </c>
      <c r="C168">
        <v>6</v>
      </c>
      <c r="D168">
        <v>3</v>
      </c>
    </row>
    <row r="169" spans="1:4" x14ac:dyDescent="0.25">
      <c r="A169" s="234" t="s">
        <v>1499</v>
      </c>
      <c r="B169" t="s">
        <v>1500</v>
      </c>
      <c r="C169">
        <v>8</v>
      </c>
      <c r="D169">
        <v>3</v>
      </c>
    </row>
    <row r="170" spans="1:4" x14ac:dyDescent="0.25">
      <c r="A170" s="234" t="s">
        <v>1503</v>
      </c>
      <c r="B170" t="s">
        <v>1504</v>
      </c>
      <c r="C170">
        <v>15</v>
      </c>
      <c r="D170">
        <v>4</v>
      </c>
    </row>
    <row r="171" spans="1:4" x14ac:dyDescent="0.25">
      <c r="A171" s="234" t="s">
        <v>1507</v>
      </c>
      <c r="B171" t="s">
        <v>1508</v>
      </c>
      <c r="C171">
        <v>14</v>
      </c>
      <c r="D171">
        <v>4</v>
      </c>
    </row>
    <row r="172" spans="1:4" x14ac:dyDescent="0.25">
      <c r="A172" s="234" t="s">
        <v>1511</v>
      </c>
      <c r="B172" t="s">
        <v>1512</v>
      </c>
      <c r="C172">
        <v>15</v>
      </c>
      <c r="D172">
        <v>4</v>
      </c>
    </row>
    <row r="173" spans="1:4" x14ac:dyDescent="0.25">
      <c r="A173" s="234" t="s">
        <v>1515</v>
      </c>
      <c r="B173" t="s">
        <v>1516</v>
      </c>
      <c r="C173">
        <v>8</v>
      </c>
      <c r="D173">
        <v>3</v>
      </c>
    </row>
    <row r="174" spans="1:4" x14ac:dyDescent="0.25">
      <c r="A174" s="234" t="s">
        <v>1519</v>
      </c>
      <c r="B174" t="s">
        <v>1520</v>
      </c>
      <c r="C174">
        <v>8</v>
      </c>
      <c r="D174">
        <v>3</v>
      </c>
    </row>
    <row r="175" spans="1:4" x14ac:dyDescent="0.25">
      <c r="A175" s="234" t="s">
        <v>1523</v>
      </c>
      <c r="B175" t="s">
        <v>1524</v>
      </c>
      <c r="C175">
        <v>14</v>
      </c>
      <c r="D175">
        <v>4</v>
      </c>
    </row>
    <row r="176" spans="1:4" x14ac:dyDescent="0.25">
      <c r="A176" s="234" t="s">
        <v>1527</v>
      </c>
      <c r="B176" t="s">
        <v>1528</v>
      </c>
      <c r="C176">
        <v>10</v>
      </c>
      <c r="D176">
        <v>3</v>
      </c>
    </row>
    <row r="177" spans="1:4" x14ac:dyDescent="0.25">
      <c r="A177" s="234" t="s">
        <v>1531</v>
      </c>
      <c r="B177" t="s">
        <v>1532</v>
      </c>
      <c r="C177">
        <v>13</v>
      </c>
      <c r="D177">
        <v>4</v>
      </c>
    </row>
    <row r="178" spans="1:4" x14ac:dyDescent="0.25">
      <c r="A178" s="234" t="s">
        <v>1535</v>
      </c>
      <c r="B178" t="s">
        <v>1536</v>
      </c>
      <c r="C178">
        <v>13</v>
      </c>
      <c r="D178">
        <v>4</v>
      </c>
    </row>
    <row r="179" spans="1:4" x14ac:dyDescent="0.25">
      <c r="A179" s="234" t="s">
        <v>1539</v>
      </c>
      <c r="B179" t="s">
        <v>1540</v>
      </c>
      <c r="C179">
        <v>8</v>
      </c>
      <c r="D179">
        <v>3</v>
      </c>
    </row>
    <row r="180" spans="1:4" x14ac:dyDescent="0.25">
      <c r="A180" s="234" t="s">
        <v>1543</v>
      </c>
      <c r="B180" t="s">
        <v>1544</v>
      </c>
      <c r="C180">
        <v>8</v>
      </c>
      <c r="D180">
        <v>3</v>
      </c>
    </row>
    <row r="181" spans="1:4" x14ac:dyDescent="0.25">
      <c r="A181" s="234" t="s">
        <v>1547</v>
      </c>
      <c r="B181" t="s">
        <v>1548</v>
      </c>
      <c r="C181">
        <v>9</v>
      </c>
      <c r="D181">
        <v>3</v>
      </c>
    </row>
    <row r="182" spans="1:4" x14ac:dyDescent="0.25">
      <c r="A182" s="234" t="s">
        <v>1551</v>
      </c>
      <c r="B182" t="s">
        <v>1552</v>
      </c>
      <c r="C182">
        <v>6</v>
      </c>
      <c r="D182">
        <v>3</v>
      </c>
    </row>
    <row r="183" spans="1:4" x14ac:dyDescent="0.25">
      <c r="A183" s="234" t="s">
        <v>1555</v>
      </c>
      <c r="B183" t="s">
        <v>1556</v>
      </c>
      <c r="C183">
        <v>16</v>
      </c>
      <c r="D183">
        <v>3</v>
      </c>
    </row>
    <row r="184" spans="1:4" x14ac:dyDescent="0.25">
      <c r="A184" s="234" t="s">
        <v>1559</v>
      </c>
      <c r="B184" t="s">
        <v>1560</v>
      </c>
      <c r="C184">
        <v>10</v>
      </c>
      <c r="D184">
        <v>3</v>
      </c>
    </row>
    <row r="185" spans="1:4" x14ac:dyDescent="0.25">
      <c r="A185" s="234" t="s">
        <v>1563</v>
      </c>
      <c r="B185" t="s">
        <v>1564</v>
      </c>
      <c r="C185">
        <v>10</v>
      </c>
      <c r="D185">
        <v>3</v>
      </c>
    </row>
    <row r="186" spans="1:4" x14ac:dyDescent="0.25">
      <c r="A186" s="234" t="s">
        <v>1567</v>
      </c>
      <c r="B186" t="s">
        <v>1568</v>
      </c>
      <c r="C186">
        <v>8</v>
      </c>
      <c r="D186">
        <v>3</v>
      </c>
    </row>
    <row r="187" spans="1:4" x14ac:dyDescent="0.25">
      <c r="A187" s="234" t="s">
        <v>1571</v>
      </c>
      <c r="B187" t="s">
        <v>1572</v>
      </c>
      <c r="C187">
        <v>13</v>
      </c>
      <c r="D187">
        <v>4</v>
      </c>
    </row>
    <row r="188" spans="1:4" x14ac:dyDescent="0.25">
      <c r="A188" s="234" t="s">
        <v>1575</v>
      </c>
      <c r="B188" t="s">
        <v>1576</v>
      </c>
      <c r="C188">
        <v>6</v>
      </c>
      <c r="D188">
        <v>3</v>
      </c>
    </row>
    <row r="189" spans="1:4" x14ac:dyDescent="0.25">
      <c r="A189" s="234" t="s">
        <v>1579</v>
      </c>
      <c r="B189" t="s">
        <v>1580</v>
      </c>
      <c r="C189">
        <v>12</v>
      </c>
      <c r="D189">
        <v>3</v>
      </c>
    </row>
    <row r="190" spans="1:4" x14ac:dyDescent="0.25">
      <c r="A190" s="234" t="s">
        <v>1583</v>
      </c>
      <c r="B190" t="s">
        <v>1584</v>
      </c>
      <c r="C190">
        <v>10</v>
      </c>
      <c r="D190">
        <v>3</v>
      </c>
    </row>
    <row r="191" spans="1:4" x14ac:dyDescent="0.25">
      <c r="A191" s="234" t="s">
        <v>1587</v>
      </c>
      <c r="B191" t="s">
        <v>1588</v>
      </c>
      <c r="C191">
        <v>13</v>
      </c>
      <c r="D191">
        <v>4</v>
      </c>
    </row>
    <row r="192" spans="1:4" x14ac:dyDescent="0.25">
      <c r="A192" s="234" t="s">
        <v>1591</v>
      </c>
      <c r="B192" t="s">
        <v>1592</v>
      </c>
      <c r="C192">
        <v>11</v>
      </c>
      <c r="D192">
        <v>4</v>
      </c>
    </row>
    <row r="193" spans="1:4" x14ac:dyDescent="0.25">
      <c r="A193" s="234" t="s">
        <v>1595</v>
      </c>
      <c r="B193" t="s">
        <v>1596</v>
      </c>
      <c r="C193">
        <v>9</v>
      </c>
      <c r="D193">
        <v>3</v>
      </c>
    </row>
    <row r="194" spans="1:4" x14ac:dyDescent="0.25">
      <c r="A194" s="234" t="s">
        <v>1599</v>
      </c>
      <c r="B194" t="s">
        <v>1600</v>
      </c>
      <c r="C194">
        <v>11</v>
      </c>
      <c r="D194">
        <v>4</v>
      </c>
    </row>
    <row r="195" spans="1:4" x14ac:dyDescent="0.25">
      <c r="A195" s="234" t="s">
        <v>1603</v>
      </c>
      <c r="B195" t="s">
        <v>1604</v>
      </c>
      <c r="C195">
        <v>13</v>
      </c>
      <c r="D195">
        <v>4</v>
      </c>
    </row>
    <row r="196" spans="1:4" x14ac:dyDescent="0.25">
      <c r="A196" s="234" t="s">
        <v>1607</v>
      </c>
      <c r="B196" t="s">
        <v>1608</v>
      </c>
      <c r="C196">
        <v>12</v>
      </c>
      <c r="D196">
        <v>3</v>
      </c>
    </row>
    <row r="197" spans="1:4" x14ac:dyDescent="0.25">
      <c r="A197" s="234" t="s">
        <v>1611</v>
      </c>
      <c r="B197" t="s">
        <v>1612</v>
      </c>
      <c r="C197">
        <v>12</v>
      </c>
      <c r="D197">
        <v>3</v>
      </c>
    </row>
    <row r="198" spans="1:4" x14ac:dyDescent="0.25">
      <c r="A198" s="234" t="s">
        <v>1615</v>
      </c>
      <c r="B198" t="s">
        <v>1616</v>
      </c>
      <c r="C198">
        <v>12</v>
      </c>
      <c r="D198">
        <v>3</v>
      </c>
    </row>
    <row r="199" spans="1:4" x14ac:dyDescent="0.25">
      <c r="A199" s="234" t="s">
        <v>1619</v>
      </c>
      <c r="B199" t="s">
        <v>1620</v>
      </c>
      <c r="C199">
        <v>10</v>
      </c>
      <c r="D199">
        <v>3</v>
      </c>
    </row>
    <row r="200" spans="1:4" x14ac:dyDescent="0.25">
      <c r="A200" s="234" t="s">
        <v>1623</v>
      </c>
      <c r="B200" t="s">
        <v>1624</v>
      </c>
      <c r="C200">
        <v>6</v>
      </c>
      <c r="D200">
        <v>3</v>
      </c>
    </row>
    <row r="201" spans="1:4" x14ac:dyDescent="0.25">
      <c r="A201" s="234" t="s">
        <v>1627</v>
      </c>
      <c r="B201" t="s">
        <v>1628</v>
      </c>
      <c r="C201">
        <v>5</v>
      </c>
      <c r="D201">
        <v>2</v>
      </c>
    </row>
    <row r="202" spans="1:4" x14ac:dyDescent="0.25">
      <c r="A202" s="234" t="s">
        <v>1631</v>
      </c>
      <c r="B202" t="s">
        <v>1632</v>
      </c>
      <c r="C202">
        <v>6</v>
      </c>
      <c r="D202">
        <v>3</v>
      </c>
    </row>
    <row r="203" spans="1:4" x14ac:dyDescent="0.25">
      <c r="A203" s="234" t="s">
        <v>1635</v>
      </c>
      <c r="B203" t="s">
        <v>1636</v>
      </c>
      <c r="C203">
        <v>9</v>
      </c>
      <c r="D203">
        <v>3</v>
      </c>
    </row>
    <row r="204" spans="1:4" x14ac:dyDescent="0.25">
      <c r="A204" s="234" t="s">
        <v>1639</v>
      </c>
      <c r="B204" t="s">
        <v>1640</v>
      </c>
      <c r="C204">
        <v>6</v>
      </c>
      <c r="D204">
        <v>3</v>
      </c>
    </row>
    <row r="205" spans="1:4" x14ac:dyDescent="0.25">
      <c r="A205" s="234" t="s">
        <v>1643</v>
      </c>
      <c r="B205" t="s">
        <v>1644</v>
      </c>
      <c r="C205">
        <v>14</v>
      </c>
      <c r="D205">
        <v>4</v>
      </c>
    </row>
    <row r="206" spans="1:4" x14ac:dyDescent="0.25">
      <c r="A206" s="234" t="s">
        <v>1655</v>
      </c>
      <c r="B206" t="s">
        <v>1656</v>
      </c>
      <c r="C206">
        <v>12</v>
      </c>
      <c r="D206">
        <v>3</v>
      </c>
    </row>
    <row r="207" spans="1:4" x14ac:dyDescent="0.25">
      <c r="A207" s="234" t="s">
        <v>1659</v>
      </c>
      <c r="B207" t="s">
        <v>1660</v>
      </c>
      <c r="C207">
        <v>8</v>
      </c>
      <c r="D207">
        <v>3</v>
      </c>
    </row>
    <row r="208" spans="1:4" x14ac:dyDescent="0.25">
      <c r="A208" s="234" t="s">
        <v>1663</v>
      </c>
      <c r="B208" t="s">
        <v>1664</v>
      </c>
      <c r="C208">
        <v>13</v>
      </c>
      <c r="D208">
        <v>4</v>
      </c>
    </row>
    <row r="209" spans="1:4" x14ac:dyDescent="0.25">
      <c r="A209" s="234" t="s">
        <v>1668</v>
      </c>
      <c r="B209" t="s">
        <v>1669</v>
      </c>
      <c r="C209">
        <v>16</v>
      </c>
      <c r="D209">
        <v>3</v>
      </c>
    </row>
    <row r="210" spans="1:4" x14ac:dyDescent="0.25">
      <c r="A210" s="234" t="s">
        <v>1673</v>
      </c>
      <c r="B210" t="s">
        <v>1674</v>
      </c>
      <c r="C210">
        <v>6</v>
      </c>
      <c r="D210">
        <v>3</v>
      </c>
    </row>
    <row r="211" spans="1:4" x14ac:dyDescent="0.25">
      <c r="A211" s="234" t="s">
        <v>1677</v>
      </c>
      <c r="B211" t="s">
        <v>1678</v>
      </c>
      <c r="C211">
        <v>12</v>
      </c>
      <c r="D211">
        <v>3</v>
      </c>
    </row>
    <row r="212" spans="1:4" x14ac:dyDescent="0.25">
      <c r="A212" s="234" t="s">
        <v>1681</v>
      </c>
      <c r="B212" t="s">
        <v>1682</v>
      </c>
      <c r="C212">
        <v>3</v>
      </c>
      <c r="D212">
        <v>2</v>
      </c>
    </row>
    <row r="213" spans="1:4" x14ac:dyDescent="0.25">
      <c r="A213" s="234" t="s">
        <v>1686</v>
      </c>
      <c r="B213" t="s">
        <v>1687</v>
      </c>
      <c r="C213">
        <v>3</v>
      </c>
      <c r="D213">
        <v>2</v>
      </c>
    </row>
    <row r="214" spans="1:4" x14ac:dyDescent="0.25">
      <c r="A214" s="234" t="s">
        <v>1690</v>
      </c>
      <c r="B214" t="s">
        <v>1691</v>
      </c>
      <c r="C214">
        <v>12</v>
      </c>
      <c r="D214">
        <v>3</v>
      </c>
    </row>
    <row r="215" spans="1:4" x14ac:dyDescent="0.25">
      <c r="A215" s="234" t="s">
        <v>1694</v>
      </c>
      <c r="B215" t="s">
        <v>1695</v>
      </c>
      <c r="C215">
        <v>1</v>
      </c>
      <c r="D215">
        <v>2</v>
      </c>
    </row>
    <row r="216" spans="1:4" x14ac:dyDescent="0.25">
      <c r="A216" s="234" t="s">
        <v>1698</v>
      </c>
      <c r="B216" t="s">
        <v>1699</v>
      </c>
      <c r="C216">
        <v>3</v>
      </c>
      <c r="D216">
        <v>2</v>
      </c>
    </row>
    <row r="217" spans="1:4" x14ac:dyDescent="0.25">
      <c r="A217" s="234" t="s">
        <v>1702</v>
      </c>
      <c r="B217" t="s">
        <v>1703</v>
      </c>
      <c r="C217">
        <v>12</v>
      </c>
      <c r="D217">
        <v>3</v>
      </c>
    </row>
    <row r="218" spans="1:4" x14ac:dyDescent="0.25">
      <c r="A218" s="234" t="s">
        <v>1706</v>
      </c>
      <c r="B218" t="s">
        <v>1707</v>
      </c>
      <c r="C218">
        <v>6</v>
      </c>
      <c r="D218">
        <v>3</v>
      </c>
    </row>
    <row r="219" spans="1:4" x14ac:dyDescent="0.25">
      <c r="A219" s="234" t="s">
        <v>1710</v>
      </c>
      <c r="B219" t="s">
        <v>1711</v>
      </c>
      <c r="C219">
        <v>3</v>
      </c>
      <c r="D219">
        <v>2</v>
      </c>
    </row>
    <row r="220" spans="1:4" x14ac:dyDescent="0.25">
      <c r="A220" s="234" t="s">
        <v>1714</v>
      </c>
      <c r="B220" t="s">
        <v>1715</v>
      </c>
      <c r="C220">
        <v>3</v>
      </c>
      <c r="D220">
        <v>2</v>
      </c>
    </row>
    <row r="221" spans="1:4" x14ac:dyDescent="0.25">
      <c r="A221" s="234" t="s">
        <v>1718</v>
      </c>
      <c r="B221" t="s">
        <v>1719</v>
      </c>
      <c r="C221">
        <v>4</v>
      </c>
      <c r="D221">
        <v>2</v>
      </c>
    </row>
    <row r="222" spans="1:4" x14ac:dyDescent="0.25">
      <c r="A222" s="234" t="s">
        <v>1722</v>
      </c>
      <c r="B222" t="s">
        <v>1723</v>
      </c>
      <c r="C222">
        <v>15</v>
      </c>
      <c r="D222">
        <v>4</v>
      </c>
    </row>
    <row r="223" spans="1:4" x14ac:dyDescent="0.25">
      <c r="A223" s="234" t="s">
        <v>1730</v>
      </c>
      <c r="B223" t="s">
        <v>1731</v>
      </c>
      <c r="C223">
        <v>12</v>
      </c>
      <c r="D223">
        <v>3</v>
      </c>
    </row>
    <row r="224" spans="1:4" x14ac:dyDescent="0.25">
      <c r="A224" s="234" t="s">
        <v>1748</v>
      </c>
      <c r="B224" t="s">
        <v>1749</v>
      </c>
      <c r="C224">
        <v>9</v>
      </c>
      <c r="D224">
        <v>3</v>
      </c>
    </row>
    <row r="225" spans="1:4" x14ac:dyDescent="0.25">
      <c r="A225" s="234" t="s">
        <v>1752</v>
      </c>
      <c r="B225" t="s">
        <v>1753</v>
      </c>
      <c r="C225">
        <v>10</v>
      </c>
      <c r="D225">
        <v>3</v>
      </c>
    </row>
    <row r="226" spans="1:4" x14ac:dyDescent="0.25">
      <c r="A226" s="234" t="s">
        <v>1756</v>
      </c>
      <c r="B226" t="s">
        <v>1757</v>
      </c>
      <c r="C226">
        <v>9</v>
      </c>
      <c r="D226">
        <v>3</v>
      </c>
    </row>
    <row r="227" spans="1:4" x14ac:dyDescent="0.25">
      <c r="A227" s="234" t="s">
        <v>1760</v>
      </c>
      <c r="B227" t="s">
        <v>1761</v>
      </c>
      <c r="C227">
        <v>6</v>
      </c>
      <c r="D227">
        <v>3</v>
      </c>
    </row>
    <row r="228" spans="1:4" x14ac:dyDescent="0.25">
      <c r="A228" s="234" t="s">
        <v>1764</v>
      </c>
      <c r="B228" t="s">
        <v>1765</v>
      </c>
      <c r="C228">
        <v>9</v>
      </c>
      <c r="D228">
        <v>3</v>
      </c>
    </row>
    <row r="229" spans="1:4" x14ac:dyDescent="0.25">
      <c r="A229" s="234" t="s">
        <v>1768</v>
      </c>
      <c r="B229" t="s">
        <v>1769</v>
      </c>
      <c r="C229">
        <v>4</v>
      </c>
      <c r="D229">
        <v>2</v>
      </c>
    </row>
    <row r="230" spans="1:4" x14ac:dyDescent="0.25">
      <c r="A230" s="234" t="s">
        <v>1772</v>
      </c>
      <c r="B230" t="s">
        <v>1773</v>
      </c>
      <c r="C230">
        <v>5</v>
      </c>
      <c r="D230">
        <v>2</v>
      </c>
    </row>
    <row r="231" spans="1:4" x14ac:dyDescent="0.25">
      <c r="A231" s="234" t="s">
        <v>1776</v>
      </c>
      <c r="B231" t="s">
        <v>1777</v>
      </c>
      <c r="C231">
        <v>6</v>
      </c>
      <c r="D231">
        <v>3</v>
      </c>
    </row>
    <row r="232" spans="1:4" x14ac:dyDescent="0.25">
      <c r="A232" s="234" t="s">
        <v>1780</v>
      </c>
      <c r="B232" t="s">
        <v>1781</v>
      </c>
      <c r="C232">
        <v>4</v>
      </c>
      <c r="D232">
        <v>2</v>
      </c>
    </row>
    <row r="233" spans="1:4" x14ac:dyDescent="0.25">
      <c r="A233" s="234" t="s">
        <v>1784</v>
      </c>
      <c r="B233" t="s">
        <v>1785</v>
      </c>
      <c r="C233">
        <v>15</v>
      </c>
      <c r="D233">
        <v>4</v>
      </c>
    </row>
    <row r="234" spans="1:4" x14ac:dyDescent="0.25">
      <c r="A234" s="234" t="s">
        <v>1788</v>
      </c>
      <c r="B234" t="s">
        <v>1789</v>
      </c>
      <c r="C234">
        <v>2</v>
      </c>
      <c r="D234">
        <v>2</v>
      </c>
    </row>
    <row r="235" spans="1:4" x14ac:dyDescent="0.25">
      <c r="A235" s="234" t="s">
        <v>1792</v>
      </c>
      <c r="B235" t="s">
        <v>1793</v>
      </c>
      <c r="C235">
        <v>11</v>
      </c>
      <c r="D235">
        <v>4</v>
      </c>
    </row>
    <row r="236" spans="1:4" x14ac:dyDescent="0.25">
      <c r="A236" s="234" t="s">
        <v>1807</v>
      </c>
      <c r="B236" t="s">
        <v>1808</v>
      </c>
      <c r="C236">
        <v>12</v>
      </c>
      <c r="D236">
        <v>3</v>
      </c>
    </row>
    <row r="237" spans="1:4" x14ac:dyDescent="0.25">
      <c r="A237" s="234" t="s">
        <v>1811</v>
      </c>
      <c r="B237" t="s">
        <v>1812</v>
      </c>
      <c r="C237">
        <v>6</v>
      </c>
      <c r="D237">
        <v>3</v>
      </c>
    </row>
    <row r="238" spans="1:4" x14ac:dyDescent="0.25">
      <c r="A238" s="234" t="s">
        <v>1815</v>
      </c>
      <c r="B238" t="s">
        <v>1816</v>
      </c>
      <c r="C238">
        <v>5</v>
      </c>
      <c r="D238">
        <v>2</v>
      </c>
    </row>
    <row r="239" spans="1:4" x14ac:dyDescent="0.25">
      <c r="A239" s="234" t="s">
        <v>1819</v>
      </c>
      <c r="B239" t="s">
        <v>1820</v>
      </c>
      <c r="C239">
        <v>10</v>
      </c>
      <c r="D239">
        <v>3</v>
      </c>
    </row>
    <row r="240" spans="1:4" x14ac:dyDescent="0.25">
      <c r="A240" s="234" t="s">
        <v>1823</v>
      </c>
      <c r="B240" t="s">
        <v>1824</v>
      </c>
      <c r="C240">
        <v>3</v>
      </c>
      <c r="D240">
        <v>2</v>
      </c>
    </row>
    <row r="241" spans="1:4" x14ac:dyDescent="0.25">
      <c r="A241" s="234" t="s">
        <v>1827</v>
      </c>
      <c r="B241" t="s">
        <v>1828</v>
      </c>
      <c r="C241">
        <v>2</v>
      </c>
      <c r="D241">
        <v>2</v>
      </c>
    </row>
    <row r="242" spans="1:4" x14ac:dyDescent="0.25">
      <c r="A242" s="234" t="s">
        <v>1831</v>
      </c>
      <c r="B242" t="s">
        <v>1832</v>
      </c>
      <c r="C242">
        <v>16</v>
      </c>
      <c r="D242">
        <v>3</v>
      </c>
    </row>
    <row r="243" spans="1:4" x14ac:dyDescent="0.25">
      <c r="A243" s="234" t="s">
        <v>1839</v>
      </c>
      <c r="B243" t="s">
        <v>1840</v>
      </c>
      <c r="C243">
        <v>8</v>
      </c>
      <c r="D243">
        <v>3</v>
      </c>
    </row>
    <row r="244" spans="1:4" x14ac:dyDescent="0.25">
      <c r="A244" s="234" t="s">
        <v>1843</v>
      </c>
      <c r="B244" t="s">
        <v>1844</v>
      </c>
      <c r="C244">
        <v>12</v>
      </c>
      <c r="D244">
        <v>3</v>
      </c>
    </row>
    <row r="245" spans="1:4" x14ac:dyDescent="0.25">
      <c r="A245" s="234" t="s">
        <v>1847</v>
      </c>
      <c r="B245" t="s">
        <v>1848</v>
      </c>
      <c r="C245">
        <v>7</v>
      </c>
      <c r="D245">
        <v>2</v>
      </c>
    </row>
    <row r="246" spans="1:4" x14ac:dyDescent="0.25">
      <c r="A246" s="234" t="s">
        <v>1851</v>
      </c>
      <c r="B246" t="s">
        <v>1852</v>
      </c>
      <c r="C246">
        <v>13</v>
      </c>
      <c r="D246">
        <v>4</v>
      </c>
    </row>
    <row r="247" spans="1:4" x14ac:dyDescent="0.25">
      <c r="A247" s="234" t="s">
        <v>1855</v>
      </c>
      <c r="B247" t="s">
        <v>1856</v>
      </c>
      <c r="C247">
        <v>11</v>
      </c>
      <c r="D247">
        <v>4</v>
      </c>
    </row>
    <row r="248" spans="1:4" x14ac:dyDescent="0.25">
      <c r="A248" s="234" t="s">
        <v>1862</v>
      </c>
      <c r="B248" t="s">
        <v>1863</v>
      </c>
      <c r="C248">
        <v>7</v>
      </c>
      <c r="D248">
        <v>2</v>
      </c>
    </row>
    <row r="249" spans="1:4" x14ac:dyDescent="0.25">
      <c r="A249" s="234" t="s">
        <v>1866</v>
      </c>
      <c r="B249" t="s">
        <v>1867</v>
      </c>
      <c r="C249">
        <v>10</v>
      </c>
      <c r="D249">
        <v>3</v>
      </c>
    </row>
    <row r="250" spans="1:4" x14ac:dyDescent="0.25">
      <c r="A250" s="234" t="s">
        <v>1870</v>
      </c>
      <c r="B250" t="s">
        <v>1871</v>
      </c>
      <c r="C250">
        <v>8</v>
      </c>
      <c r="D250">
        <v>3</v>
      </c>
    </row>
    <row r="251" spans="1:4" x14ac:dyDescent="0.25">
      <c r="A251" s="234" t="s">
        <v>1874</v>
      </c>
      <c r="B251" t="s">
        <v>1875</v>
      </c>
      <c r="C251">
        <v>12</v>
      </c>
      <c r="D251">
        <v>3</v>
      </c>
    </row>
    <row r="252" spans="1:4" x14ac:dyDescent="0.25">
      <c r="A252" s="234" t="s">
        <v>1878</v>
      </c>
      <c r="B252" t="s">
        <v>1879</v>
      </c>
      <c r="C252">
        <v>9</v>
      </c>
      <c r="D252">
        <v>3</v>
      </c>
    </row>
    <row r="253" spans="1:4" x14ac:dyDescent="0.25">
      <c r="A253" s="234" t="s">
        <v>1882</v>
      </c>
      <c r="B253" t="s">
        <v>1883</v>
      </c>
      <c r="C253">
        <v>10</v>
      </c>
      <c r="D253">
        <v>3</v>
      </c>
    </row>
    <row r="254" spans="1:4" x14ac:dyDescent="0.25">
      <c r="A254" s="234" t="s">
        <v>1886</v>
      </c>
      <c r="B254" t="s">
        <v>1887</v>
      </c>
      <c r="C254">
        <v>6</v>
      </c>
      <c r="D254">
        <v>3</v>
      </c>
    </row>
    <row r="255" spans="1:4" x14ac:dyDescent="0.25">
      <c r="A255" s="234" t="s">
        <v>1890</v>
      </c>
      <c r="B255" t="s">
        <v>1891</v>
      </c>
      <c r="C255">
        <v>10</v>
      </c>
      <c r="D255">
        <v>3</v>
      </c>
    </row>
    <row r="256" spans="1:4" x14ac:dyDescent="0.25">
      <c r="A256" s="234" t="s">
        <v>1894</v>
      </c>
      <c r="B256" t="s">
        <v>1895</v>
      </c>
      <c r="C256">
        <v>14</v>
      </c>
      <c r="D256">
        <v>4</v>
      </c>
    </row>
    <row r="257" spans="1:4" x14ac:dyDescent="0.25">
      <c r="A257" s="234" t="s">
        <v>1898</v>
      </c>
      <c r="B257" t="s">
        <v>1899</v>
      </c>
      <c r="C257">
        <v>4</v>
      </c>
      <c r="D257">
        <v>2</v>
      </c>
    </row>
    <row r="258" spans="1:4" x14ac:dyDescent="0.25">
      <c r="A258" s="234" t="s">
        <v>1902</v>
      </c>
      <c r="B258" t="s">
        <v>1903</v>
      </c>
      <c r="C258">
        <v>11</v>
      </c>
      <c r="D258">
        <v>4</v>
      </c>
    </row>
    <row r="259" spans="1:4" x14ac:dyDescent="0.25">
      <c r="A259" s="234" t="s">
        <v>1906</v>
      </c>
      <c r="B259" t="s">
        <v>1907</v>
      </c>
      <c r="C259">
        <v>8</v>
      </c>
      <c r="D259">
        <v>3</v>
      </c>
    </row>
    <row r="260" spans="1:4" x14ac:dyDescent="0.25">
      <c r="A260" s="234" t="s">
        <v>1910</v>
      </c>
      <c r="B260" t="s">
        <v>1911</v>
      </c>
      <c r="C260">
        <v>8</v>
      </c>
      <c r="D260">
        <v>3</v>
      </c>
    </row>
    <row r="261" spans="1:4" x14ac:dyDescent="0.25">
      <c r="A261" s="234" t="s">
        <v>1918</v>
      </c>
      <c r="B261" t="s">
        <v>1919</v>
      </c>
      <c r="C261">
        <v>9</v>
      </c>
      <c r="D261">
        <v>3</v>
      </c>
    </row>
    <row r="262" spans="1:4" x14ac:dyDescent="0.25">
      <c r="A262" s="234" t="s">
        <v>1922</v>
      </c>
      <c r="B262" t="s">
        <v>1923</v>
      </c>
      <c r="C262">
        <v>4</v>
      </c>
      <c r="D262">
        <v>2</v>
      </c>
    </row>
    <row r="263" spans="1:4" x14ac:dyDescent="0.25">
      <c r="A263" s="234" t="s">
        <v>1926</v>
      </c>
      <c r="B263" t="s">
        <v>1927</v>
      </c>
      <c r="C263">
        <v>12</v>
      </c>
      <c r="D263">
        <v>3</v>
      </c>
    </row>
    <row r="264" spans="1:4" x14ac:dyDescent="0.25">
      <c r="A264" s="234" t="s">
        <v>1930</v>
      </c>
      <c r="B264" t="s">
        <v>1931</v>
      </c>
      <c r="C264">
        <v>2</v>
      </c>
      <c r="D264">
        <v>2</v>
      </c>
    </row>
    <row r="265" spans="1:4" x14ac:dyDescent="0.25">
      <c r="A265" s="234" t="s">
        <v>1934</v>
      </c>
      <c r="B265" t="s">
        <v>1935</v>
      </c>
      <c r="C265">
        <v>14</v>
      </c>
      <c r="D265">
        <v>4</v>
      </c>
    </row>
    <row r="266" spans="1:4" x14ac:dyDescent="0.25">
      <c r="A266" s="234" t="s">
        <v>1938</v>
      </c>
      <c r="B266" t="s">
        <v>1939</v>
      </c>
      <c r="C266">
        <v>9</v>
      </c>
      <c r="D266">
        <v>3</v>
      </c>
    </row>
    <row r="267" spans="1:4" x14ac:dyDescent="0.25">
      <c r="A267" s="234" t="s">
        <v>1942</v>
      </c>
      <c r="B267" t="s">
        <v>1943</v>
      </c>
      <c r="C267">
        <v>9</v>
      </c>
      <c r="D267">
        <v>3</v>
      </c>
    </row>
    <row r="268" spans="1:4" x14ac:dyDescent="0.25">
      <c r="A268" s="234" t="s">
        <v>1946</v>
      </c>
      <c r="B268" t="s">
        <v>1947</v>
      </c>
      <c r="C268">
        <v>5</v>
      </c>
      <c r="D268">
        <v>2</v>
      </c>
    </row>
    <row r="269" spans="1:4" x14ac:dyDescent="0.25">
      <c r="A269" s="234" t="s">
        <v>1950</v>
      </c>
      <c r="B269" t="s">
        <v>1951</v>
      </c>
      <c r="C269">
        <v>12</v>
      </c>
      <c r="D269">
        <v>3</v>
      </c>
    </row>
    <row r="270" spans="1:4" x14ac:dyDescent="0.25">
      <c r="A270" s="234" t="s">
        <v>1954</v>
      </c>
      <c r="B270" t="s">
        <v>1955</v>
      </c>
      <c r="C270">
        <v>11</v>
      </c>
      <c r="D270">
        <v>4</v>
      </c>
    </row>
    <row r="271" spans="1:4" x14ac:dyDescent="0.25">
      <c r="A271" s="234" t="s">
        <v>1970</v>
      </c>
      <c r="B271" t="s">
        <v>1971</v>
      </c>
      <c r="C271">
        <v>12</v>
      </c>
      <c r="D271">
        <v>3</v>
      </c>
    </row>
    <row r="272" spans="1:4" x14ac:dyDescent="0.25">
      <c r="A272" s="234" t="s">
        <v>1974</v>
      </c>
      <c r="B272" t="s">
        <v>1975</v>
      </c>
      <c r="C272">
        <v>9</v>
      </c>
      <c r="D272">
        <v>3</v>
      </c>
    </row>
    <row r="273" spans="1:4" x14ac:dyDescent="0.25">
      <c r="A273" s="234" t="s">
        <v>1978</v>
      </c>
      <c r="B273" t="s">
        <v>1979</v>
      </c>
      <c r="C273">
        <v>6</v>
      </c>
      <c r="D273">
        <v>3</v>
      </c>
    </row>
    <row r="274" spans="1:4" x14ac:dyDescent="0.25">
      <c r="A274" s="234" t="s">
        <v>1982</v>
      </c>
      <c r="B274" t="s">
        <v>1983</v>
      </c>
      <c r="C274">
        <v>13</v>
      </c>
      <c r="D274">
        <v>4</v>
      </c>
    </row>
    <row r="275" spans="1:4" x14ac:dyDescent="0.25">
      <c r="A275" s="234" t="s">
        <v>1986</v>
      </c>
      <c r="B275" t="s">
        <v>1987</v>
      </c>
      <c r="C275">
        <v>10</v>
      </c>
      <c r="D275">
        <v>3</v>
      </c>
    </row>
    <row r="276" spans="1:4" x14ac:dyDescent="0.25">
      <c r="A276" s="234" t="s">
        <v>1990</v>
      </c>
      <c r="B276" t="s">
        <v>1991</v>
      </c>
      <c r="C276">
        <v>14</v>
      </c>
      <c r="D276">
        <v>4</v>
      </c>
    </row>
    <row r="277" spans="1:4" x14ac:dyDescent="0.25">
      <c r="A277" s="234" t="s">
        <v>1994</v>
      </c>
      <c r="B277" t="s">
        <v>1995</v>
      </c>
      <c r="C277">
        <v>10</v>
      </c>
      <c r="D277">
        <v>3</v>
      </c>
    </row>
    <row r="278" spans="1:4" x14ac:dyDescent="0.25">
      <c r="A278" s="234" t="s">
        <v>1998</v>
      </c>
      <c r="B278" t="s">
        <v>1999</v>
      </c>
      <c r="C278">
        <v>10</v>
      </c>
      <c r="D278">
        <v>3</v>
      </c>
    </row>
    <row r="279" spans="1:4" x14ac:dyDescent="0.25">
      <c r="A279" s="234" t="s">
        <v>2002</v>
      </c>
      <c r="B279" t="s">
        <v>2003</v>
      </c>
      <c r="C279">
        <v>10</v>
      </c>
      <c r="D279">
        <v>3</v>
      </c>
    </row>
    <row r="280" spans="1:4" x14ac:dyDescent="0.25">
      <c r="A280" s="234" t="s">
        <v>2006</v>
      </c>
      <c r="B280" t="s">
        <v>2007</v>
      </c>
      <c r="C280">
        <v>11</v>
      </c>
      <c r="D280">
        <v>4</v>
      </c>
    </row>
    <row r="281" spans="1:4" x14ac:dyDescent="0.25">
      <c r="A281" s="234" t="s">
        <v>2011</v>
      </c>
      <c r="B281" t="s">
        <v>2012</v>
      </c>
      <c r="C281">
        <v>11</v>
      </c>
      <c r="D281">
        <v>4</v>
      </c>
    </row>
    <row r="282" spans="1:4" x14ac:dyDescent="0.25">
      <c r="A282" s="234" t="s">
        <v>2015</v>
      </c>
      <c r="B282" t="s">
        <v>2016</v>
      </c>
      <c r="C282">
        <v>10</v>
      </c>
      <c r="D282">
        <v>3</v>
      </c>
    </row>
    <row r="283" spans="1:4" x14ac:dyDescent="0.25">
      <c r="A283" s="234" t="s">
        <v>2019</v>
      </c>
      <c r="B283" t="s">
        <v>2020</v>
      </c>
      <c r="C283">
        <v>3</v>
      </c>
      <c r="D283">
        <v>2</v>
      </c>
    </row>
    <row r="284" spans="1:4" x14ac:dyDescent="0.25">
      <c r="A284" s="234" t="s">
        <v>2023</v>
      </c>
      <c r="B284" t="s">
        <v>2024</v>
      </c>
      <c r="C284">
        <v>13</v>
      </c>
      <c r="D284">
        <v>4</v>
      </c>
    </row>
    <row r="285" spans="1:4" x14ac:dyDescent="0.25">
      <c r="A285" s="234" t="s">
        <v>2027</v>
      </c>
      <c r="B285" t="s">
        <v>2028</v>
      </c>
      <c r="C285">
        <v>10</v>
      </c>
      <c r="D285">
        <v>3</v>
      </c>
    </row>
    <row r="286" spans="1:4" x14ac:dyDescent="0.25">
      <c r="A286" s="234" t="s">
        <v>2031</v>
      </c>
      <c r="B286" t="s">
        <v>2032</v>
      </c>
      <c r="C286">
        <v>10</v>
      </c>
      <c r="D286">
        <v>3</v>
      </c>
    </row>
    <row r="287" spans="1:4" x14ac:dyDescent="0.25">
      <c r="A287" s="234" t="s">
        <v>2037</v>
      </c>
      <c r="B287" t="s">
        <v>2038</v>
      </c>
      <c r="C287">
        <v>12</v>
      </c>
      <c r="D287">
        <v>3</v>
      </c>
    </row>
    <row r="288" spans="1:4" x14ac:dyDescent="0.25">
      <c r="A288" s="234" t="s">
        <v>2041</v>
      </c>
      <c r="B288" t="s">
        <v>2042</v>
      </c>
      <c r="C288">
        <v>12</v>
      </c>
      <c r="D288">
        <v>3</v>
      </c>
    </row>
    <row r="289" spans="1:4" x14ac:dyDescent="0.25">
      <c r="A289" s="234" t="s">
        <v>2045</v>
      </c>
      <c r="B289" t="s">
        <v>2046</v>
      </c>
      <c r="C289">
        <v>12</v>
      </c>
      <c r="D289">
        <v>3</v>
      </c>
    </row>
    <row r="290" spans="1:4" x14ac:dyDescent="0.25">
      <c r="A290" s="234" t="s">
        <v>2049</v>
      </c>
      <c r="B290" t="s">
        <v>2050</v>
      </c>
      <c r="C290">
        <v>12</v>
      </c>
      <c r="D290">
        <v>3</v>
      </c>
    </row>
    <row r="291" spans="1:4" x14ac:dyDescent="0.25">
      <c r="A291" s="234" t="s">
        <v>2053</v>
      </c>
      <c r="B291" t="s">
        <v>2054</v>
      </c>
      <c r="C291">
        <v>10</v>
      </c>
      <c r="D291">
        <v>3</v>
      </c>
    </row>
    <row r="292" spans="1:4" x14ac:dyDescent="0.25">
      <c r="A292" s="234" t="s">
        <v>2057</v>
      </c>
      <c r="B292" t="s">
        <v>2058</v>
      </c>
      <c r="C292">
        <v>10</v>
      </c>
      <c r="D292">
        <v>3</v>
      </c>
    </row>
    <row r="293" spans="1:4" x14ac:dyDescent="0.25">
      <c r="A293" s="234" t="s">
        <v>2061</v>
      </c>
      <c r="B293" t="s">
        <v>2062</v>
      </c>
      <c r="C293">
        <v>2</v>
      </c>
      <c r="D293">
        <v>2</v>
      </c>
    </row>
    <row r="294" spans="1:4" x14ac:dyDescent="0.25">
      <c r="A294" s="234" t="s">
        <v>2065</v>
      </c>
      <c r="B294" t="s">
        <v>2066</v>
      </c>
      <c r="C294">
        <v>14</v>
      </c>
      <c r="D294">
        <v>4</v>
      </c>
    </row>
    <row r="295" spans="1:4" x14ac:dyDescent="0.25">
      <c r="A295" s="234" t="s">
        <v>2069</v>
      </c>
      <c r="B295" t="s">
        <v>2070</v>
      </c>
      <c r="C295">
        <v>11</v>
      </c>
      <c r="D295">
        <v>4</v>
      </c>
    </row>
    <row r="296" spans="1:4" x14ac:dyDescent="0.25">
      <c r="A296" s="234" t="s">
        <v>2073</v>
      </c>
      <c r="B296" t="s">
        <v>2074</v>
      </c>
      <c r="C296">
        <v>9</v>
      </c>
      <c r="D296">
        <v>3</v>
      </c>
    </row>
    <row r="297" spans="1:4" x14ac:dyDescent="0.25">
      <c r="A297" s="234" t="s">
        <v>2077</v>
      </c>
      <c r="B297" t="s">
        <v>2078</v>
      </c>
      <c r="C297">
        <v>10</v>
      </c>
      <c r="D297">
        <v>3</v>
      </c>
    </row>
    <row r="298" spans="1:4" x14ac:dyDescent="0.25">
      <c r="A298" s="234" t="s">
        <v>2081</v>
      </c>
      <c r="B298" t="s">
        <v>2082</v>
      </c>
      <c r="C298">
        <v>9</v>
      </c>
      <c r="D298">
        <v>3</v>
      </c>
    </row>
    <row r="299" spans="1:4" x14ac:dyDescent="0.25">
      <c r="A299" s="234" t="s">
        <v>2085</v>
      </c>
      <c r="B299" t="s">
        <v>2086</v>
      </c>
      <c r="C299">
        <v>16</v>
      </c>
      <c r="D299">
        <v>3</v>
      </c>
    </row>
    <row r="300" spans="1:4" x14ac:dyDescent="0.25">
      <c r="A300" s="234" t="s">
        <v>2089</v>
      </c>
      <c r="B300" t="s">
        <v>2090</v>
      </c>
      <c r="C300">
        <v>12</v>
      </c>
      <c r="D300">
        <v>3</v>
      </c>
    </row>
    <row r="301" spans="1:4" x14ac:dyDescent="0.25">
      <c r="A301" s="234" t="s">
        <v>2093</v>
      </c>
      <c r="B301" t="s">
        <v>2094</v>
      </c>
      <c r="C301">
        <v>12</v>
      </c>
      <c r="D301">
        <v>3</v>
      </c>
    </row>
    <row r="302" spans="1:4" x14ac:dyDescent="0.25">
      <c r="A302" s="234" t="s">
        <v>2109</v>
      </c>
      <c r="B302" t="s">
        <v>2110</v>
      </c>
      <c r="C302">
        <v>12</v>
      </c>
      <c r="D302">
        <v>3</v>
      </c>
    </row>
    <row r="303" spans="1:4" x14ac:dyDescent="0.25">
      <c r="A303" s="234" t="s">
        <v>2113</v>
      </c>
      <c r="B303" t="s">
        <v>2114</v>
      </c>
      <c r="C303">
        <v>10</v>
      </c>
      <c r="D303">
        <v>3</v>
      </c>
    </row>
    <row r="304" spans="1:4" x14ac:dyDescent="0.25">
      <c r="A304" s="234" t="s">
        <v>2117</v>
      </c>
      <c r="B304" t="s">
        <v>2118</v>
      </c>
      <c r="C304">
        <v>14</v>
      </c>
      <c r="D304">
        <v>4</v>
      </c>
    </row>
    <row r="305" spans="1:4" x14ac:dyDescent="0.25">
      <c r="A305" s="234" t="s">
        <v>2121</v>
      </c>
      <c r="B305" t="s">
        <v>2122</v>
      </c>
      <c r="C305">
        <v>3</v>
      </c>
      <c r="D305">
        <v>2</v>
      </c>
    </row>
    <row r="306" spans="1:4" x14ac:dyDescent="0.25">
      <c r="A306" s="234" t="s">
        <v>2125</v>
      </c>
      <c r="B306" t="s">
        <v>2126</v>
      </c>
      <c r="C306">
        <v>6</v>
      </c>
      <c r="D306">
        <v>3</v>
      </c>
    </row>
    <row r="307" spans="1:4" x14ac:dyDescent="0.25">
      <c r="A307" s="234" t="s">
        <v>2129</v>
      </c>
      <c r="B307" t="s">
        <v>2130</v>
      </c>
      <c r="C307">
        <v>6</v>
      </c>
      <c r="D307">
        <v>3</v>
      </c>
    </row>
    <row r="308" spans="1:4" x14ac:dyDescent="0.25">
      <c r="A308" s="234" t="s">
        <v>2133</v>
      </c>
      <c r="B308" t="s">
        <v>2134</v>
      </c>
      <c r="C308">
        <v>7</v>
      </c>
      <c r="D308">
        <v>2</v>
      </c>
    </row>
    <row r="309" spans="1:4" x14ac:dyDescent="0.25">
      <c r="A309" s="234" t="s">
        <v>2137</v>
      </c>
      <c r="B309" t="s">
        <v>2138</v>
      </c>
      <c r="C309">
        <v>7</v>
      </c>
      <c r="D309">
        <v>2</v>
      </c>
    </row>
    <row r="310" spans="1:4" x14ac:dyDescent="0.25">
      <c r="A310" s="234" t="s">
        <v>2141</v>
      </c>
      <c r="B310" t="s">
        <v>2142</v>
      </c>
      <c r="C310">
        <v>9</v>
      </c>
      <c r="D310">
        <v>3</v>
      </c>
    </row>
    <row r="311" spans="1:4" x14ac:dyDescent="0.25">
      <c r="A311" s="234" t="s">
        <v>2145</v>
      </c>
      <c r="B311" t="s">
        <v>2146</v>
      </c>
      <c r="C311">
        <v>3</v>
      </c>
      <c r="D311">
        <v>2</v>
      </c>
    </row>
    <row r="312" spans="1:4" x14ac:dyDescent="0.25">
      <c r="A312" s="234" t="s">
        <v>2154</v>
      </c>
      <c r="B312" t="s">
        <v>2155</v>
      </c>
      <c r="C312">
        <v>9</v>
      </c>
      <c r="D312">
        <v>3</v>
      </c>
    </row>
    <row r="313" spans="1:4" x14ac:dyDescent="0.25">
      <c r="A313" s="234" t="s">
        <v>2158</v>
      </c>
      <c r="B313" t="s">
        <v>2159</v>
      </c>
      <c r="C313">
        <v>10</v>
      </c>
      <c r="D313">
        <v>3</v>
      </c>
    </row>
    <row r="314" spans="1:4" x14ac:dyDescent="0.25">
      <c r="A314" s="234" t="s">
        <v>2162</v>
      </c>
      <c r="B314" t="s">
        <v>2163</v>
      </c>
      <c r="C314">
        <v>9</v>
      </c>
      <c r="D314">
        <v>3</v>
      </c>
    </row>
    <row r="315" spans="1:4" x14ac:dyDescent="0.25">
      <c r="A315" s="234" t="s">
        <v>2168</v>
      </c>
      <c r="B315" t="s">
        <v>2169</v>
      </c>
      <c r="C315">
        <v>10</v>
      </c>
      <c r="D315">
        <v>3</v>
      </c>
    </row>
    <row r="316" spans="1:4" x14ac:dyDescent="0.25">
      <c r="A316" s="234" t="s">
        <v>2172</v>
      </c>
      <c r="B316" t="s">
        <v>2173</v>
      </c>
      <c r="C316">
        <v>4</v>
      </c>
      <c r="D316">
        <v>2</v>
      </c>
    </row>
    <row r="317" spans="1:4" x14ac:dyDescent="0.25">
      <c r="A317" s="234" t="s">
        <v>2178</v>
      </c>
      <c r="B317" t="s">
        <v>2179</v>
      </c>
      <c r="C317">
        <v>4</v>
      </c>
      <c r="D317">
        <v>2</v>
      </c>
    </row>
    <row r="318" spans="1:4" x14ac:dyDescent="0.25">
      <c r="A318" s="234" t="s">
        <v>3788</v>
      </c>
      <c r="B318" t="s">
        <v>3789</v>
      </c>
      <c r="C318">
        <v>6</v>
      </c>
      <c r="D318">
        <v>3</v>
      </c>
    </row>
    <row r="319" spans="1:4" x14ac:dyDescent="0.25">
      <c r="A319" s="234" t="s">
        <v>2184</v>
      </c>
      <c r="B319" t="s">
        <v>2185</v>
      </c>
      <c r="C319">
        <v>11</v>
      </c>
      <c r="D319">
        <v>4</v>
      </c>
    </row>
    <row r="320" spans="1:4" x14ac:dyDescent="0.25">
      <c r="A320" s="234" t="s">
        <v>2188</v>
      </c>
      <c r="B320" t="s">
        <v>2189</v>
      </c>
      <c r="C320">
        <v>3</v>
      </c>
      <c r="D320">
        <v>2</v>
      </c>
    </row>
    <row r="321" spans="1:4" x14ac:dyDescent="0.25">
      <c r="A321" s="234" t="s">
        <v>2195</v>
      </c>
      <c r="B321" t="s">
        <v>2196</v>
      </c>
      <c r="C321">
        <v>5</v>
      </c>
      <c r="D321">
        <v>2</v>
      </c>
    </row>
    <row r="322" spans="1:4" x14ac:dyDescent="0.25">
      <c r="A322" s="234" t="s">
        <v>2199</v>
      </c>
      <c r="B322" t="s">
        <v>2200</v>
      </c>
      <c r="C322">
        <v>13</v>
      </c>
      <c r="D322">
        <v>4</v>
      </c>
    </row>
    <row r="323" spans="1:4" x14ac:dyDescent="0.25">
      <c r="A323" s="234" t="s">
        <v>2203</v>
      </c>
      <c r="B323" t="s">
        <v>2204</v>
      </c>
      <c r="C323">
        <v>8</v>
      </c>
      <c r="D323">
        <v>3</v>
      </c>
    </row>
    <row r="324" spans="1:4" x14ac:dyDescent="0.25">
      <c r="A324" s="234" t="s">
        <v>2207</v>
      </c>
      <c r="B324" t="s">
        <v>2208</v>
      </c>
      <c r="C324">
        <v>6</v>
      </c>
      <c r="D324">
        <v>3</v>
      </c>
    </row>
    <row r="325" spans="1:4" x14ac:dyDescent="0.25">
      <c r="A325" s="234" t="s">
        <v>2211</v>
      </c>
      <c r="B325" t="s">
        <v>2212</v>
      </c>
      <c r="C325">
        <v>4</v>
      </c>
      <c r="D325">
        <v>2</v>
      </c>
    </row>
    <row r="326" spans="1:4" x14ac:dyDescent="0.25">
      <c r="A326" s="234" t="s">
        <v>2215</v>
      </c>
      <c r="B326" t="s">
        <v>2216</v>
      </c>
      <c r="C326">
        <v>3</v>
      </c>
      <c r="D326">
        <v>2</v>
      </c>
    </row>
    <row r="327" spans="1:4" x14ac:dyDescent="0.25">
      <c r="A327" s="234" t="s">
        <v>2219</v>
      </c>
      <c r="B327" t="s">
        <v>2220</v>
      </c>
      <c r="C327">
        <v>7</v>
      </c>
      <c r="D327">
        <v>2</v>
      </c>
    </row>
    <row r="328" spans="1:4" x14ac:dyDescent="0.25">
      <c r="A328" s="234" t="s">
        <v>2223</v>
      </c>
      <c r="B328" t="s">
        <v>2224</v>
      </c>
      <c r="C328">
        <v>9</v>
      </c>
      <c r="D328">
        <v>3</v>
      </c>
    </row>
    <row r="329" spans="1:4" x14ac:dyDescent="0.25">
      <c r="A329" s="234" t="s">
        <v>2227</v>
      </c>
      <c r="B329" t="s">
        <v>2228</v>
      </c>
      <c r="C329">
        <v>8</v>
      </c>
      <c r="D329">
        <v>3</v>
      </c>
    </row>
    <row r="330" spans="1:4" x14ac:dyDescent="0.25">
      <c r="A330" s="234" t="s">
        <v>2233</v>
      </c>
      <c r="B330" t="s">
        <v>2234</v>
      </c>
      <c r="C330">
        <v>5</v>
      </c>
      <c r="D330">
        <v>2</v>
      </c>
    </row>
    <row r="331" spans="1:4" x14ac:dyDescent="0.25">
      <c r="A331" s="234" t="s">
        <v>2237</v>
      </c>
      <c r="B331" t="s">
        <v>2238</v>
      </c>
      <c r="C331">
        <v>6</v>
      </c>
      <c r="D331">
        <v>3</v>
      </c>
    </row>
    <row r="332" spans="1:4" x14ac:dyDescent="0.25">
      <c r="A332" s="234" t="s">
        <v>2241</v>
      </c>
      <c r="B332" t="s">
        <v>2242</v>
      </c>
      <c r="C332">
        <v>9</v>
      </c>
      <c r="D332">
        <v>3</v>
      </c>
    </row>
    <row r="333" spans="1:4" x14ac:dyDescent="0.25">
      <c r="A333" s="234" t="s">
        <v>2245</v>
      </c>
      <c r="B333" t="s">
        <v>2246</v>
      </c>
      <c r="C333">
        <v>2</v>
      </c>
      <c r="D333">
        <v>2</v>
      </c>
    </row>
    <row r="334" spans="1:4" x14ac:dyDescent="0.25">
      <c r="A334" s="234" t="s">
        <v>2249</v>
      </c>
      <c r="B334" t="s">
        <v>2250</v>
      </c>
      <c r="C334">
        <v>3</v>
      </c>
      <c r="D334">
        <v>2</v>
      </c>
    </row>
    <row r="335" spans="1:4" x14ac:dyDescent="0.25">
      <c r="A335" s="234" t="s">
        <v>2253</v>
      </c>
      <c r="B335" t="s">
        <v>2254</v>
      </c>
      <c r="C335">
        <v>6</v>
      </c>
      <c r="D335">
        <v>3</v>
      </c>
    </row>
    <row r="336" spans="1:4" x14ac:dyDescent="0.25">
      <c r="A336" s="234" t="s">
        <v>2257</v>
      </c>
      <c r="B336" t="s">
        <v>2258</v>
      </c>
      <c r="C336">
        <v>13</v>
      </c>
      <c r="D336">
        <v>4</v>
      </c>
    </row>
    <row r="337" spans="1:4" x14ac:dyDescent="0.25">
      <c r="A337" s="234" t="s">
        <v>2261</v>
      </c>
      <c r="B337" t="s">
        <v>2262</v>
      </c>
      <c r="C337">
        <v>11</v>
      </c>
      <c r="D337">
        <v>4</v>
      </c>
    </row>
    <row r="338" spans="1:4" x14ac:dyDescent="0.25">
      <c r="A338" s="234" t="s">
        <v>2265</v>
      </c>
      <c r="B338" t="s">
        <v>2266</v>
      </c>
      <c r="C338">
        <v>9</v>
      </c>
      <c r="D338">
        <v>3</v>
      </c>
    </row>
    <row r="339" spans="1:4" x14ac:dyDescent="0.25">
      <c r="A339" s="234" t="s">
        <v>2269</v>
      </c>
      <c r="B339" t="s">
        <v>2270</v>
      </c>
      <c r="C339">
        <v>6</v>
      </c>
      <c r="D339">
        <v>3</v>
      </c>
    </row>
    <row r="340" spans="1:4" x14ac:dyDescent="0.25">
      <c r="A340" s="234" t="s">
        <v>2273</v>
      </c>
      <c r="B340" t="s">
        <v>2274</v>
      </c>
      <c r="C340">
        <v>3</v>
      </c>
      <c r="D340">
        <v>2</v>
      </c>
    </row>
    <row r="341" spans="1:4" x14ac:dyDescent="0.25">
      <c r="A341" s="234" t="s">
        <v>2277</v>
      </c>
      <c r="B341" t="s">
        <v>2278</v>
      </c>
      <c r="C341">
        <v>2</v>
      </c>
      <c r="D341">
        <v>2</v>
      </c>
    </row>
    <row r="342" spans="1:4" x14ac:dyDescent="0.25">
      <c r="A342" s="234" t="s">
        <v>2281</v>
      </c>
      <c r="B342" t="s">
        <v>2282</v>
      </c>
      <c r="C342">
        <v>3</v>
      </c>
      <c r="D342">
        <v>2</v>
      </c>
    </row>
    <row r="343" spans="1:4" x14ac:dyDescent="0.25">
      <c r="A343" s="234" t="s">
        <v>2285</v>
      </c>
      <c r="B343" t="s">
        <v>2286</v>
      </c>
      <c r="C343">
        <v>6</v>
      </c>
      <c r="D343">
        <v>3</v>
      </c>
    </row>
    <row r="344" spans="1:4" x14ac:dyDescent="0.25">
      <c r="A344" s="234" t="s">
        <v>2289</v>
      </c>
      <c r="B344" t="s">
        <v>2290</v>
      </c>
      <c r="C344">
        <v>11</v>
      </c>
      <c r="D344">
        <v>4</v>
      </c>
    </row>
    <row r="345" spans="1:4" x14ac:dyDescent="0.25">
      <c r="A345" s="234" t="s">
        <v>2295</v>
      </c>
      <c r="B345" t="s">
        <v>2296</v>
      </c>
      <c r="C345">
        <v>8</v>
      </c>
      <c r="D345">
        <v>3</v>
      </c>
    </row>
    <row r="346" spans="1:4" x14ac:dyDescent="0.25">
      <c r="A346" s="234" t="s">
        <v>2299</v>
      </c>
      <c r="B346" t="s">
        <v>2300</v>
      </c>
      <c r="C346">
        <v>9</v>
      </c>
      <c r="D346">
        <v>3</v>
      </c>
    </row>
    <row r="347" spans="1:4" x14ac:dyDescent="0.25">
      <c r="A347" s="234" t="s">
        <v>2303</v>
      </c>
      <c r="B347" t="s">
        <v>2304</v>
      </c>
      <c r="C347">
        <v>16</v>
      </c>
      <c r="D347">
        <v>3</v>
      </c>
    </row>
    <row r="348" spans="1:4" x14ac:dyDescent="0.25">
      <c r="A348" s="234" t="s">
        <v>2307</v>
      </c>
      <c r="B348" t="s">
        <v>2308</v>
      </c>
      <c r="C348">
        <v>12</v>
      </c>
      <c r="D348">
        <v>3</v>
      </c>
    </row>
    <row r="349" spans="1:4" x14ac:dyDescent="0.25">
      <c r="A349" s="234" t="s">
        <v>2313</v>
      </c>
      <c r="B349" t="s">
        <v>2314</v>
      </c>
      <c r="C349">
        <v>9</v>
      </c>
      <c r="D349">
        <v>3</v>
      </c>
    </row>
    <row r="350" spans="1:4" x14ac:dyDescent="0.25">
      <c r="A350" s="234" t="s">
        <v>2321</v>
      </c>
      <c r="B350" t="s">
        <v>2322</v>
      </c>
      <c r="C350">
        <v>9</v>
      </c>
      <c r="D350">
        <v>3</v>
      </c>
    </row>
    <row r="351" spans="1:4" x14ac:dyDescent="0.25">
      <c r="A351" s="234" t="s">
        <v>2327</v>
      </c>
      <c r="B351" t="s">
        <v>2328</v>
      </c>
      <c r="C351">
        <v>12</v>
      </c>
      <c r="D351">
        <v>3</v>
      </c>
    </row>
    <row r="352" spans="1:4" x14ac:dyDescent="0.25">
      <c r="A352" s="234" t="s">
        <v>2331</v>
      </c>
      <c r="B352" t="s">
        <v>2332</v>
      </c>
      <c r="C352">
        <v>9</v>
      </c>
      <c r="D352">
        <v>3</v>
      </c>
    </row>
    <row r="353" spans="1:4" x14ac:dyDescent="0.25">
      <c r="A353" s="234" t="s">
        <v>2335</v>
      </c>
      <c r="B353" t="s">
        <v>2336</v>
      </c>
      <c r="C353">
        <v>4</v>
      </c>
      <c r="D353">
        <v>2</v>
      </c>
    </row>
    <row r="354" spans="1:4" x14ac:dyDescent="0.25">
      <c r="A354" s="234" t="s">
        <v>2339</v>
      </c>
      <c r="B354" t="s">
        <v>2340</v>
      </c>
      <c r="C354">
        <v>4</v>
      </c>
      <c r="D354">
        <v>2</v>
      </c>
    </row>
    <row r="355" spans="1:4" x14ac:dyDescent="0.25">
      <c r="A355" s="234" t="s">
        <v>2343</v>
      </c>
      <c r="B355" t="s">
        <v>2344</v>
      </c>
      <c r="C355">
        <v>16</v>
      </c>
      <c r="D355">
        <v>3</v>
      </c>
    </row>
    <row r="356" spans="1:4" x14ac:dyDescent="0.25">
      <c r="A356" s="234" t="s">
        <v>2348</v>
      </c>
      <c r="B356" t="s">
        <v>2349</v>
      </c>
      <c r="C356">
        <v>7</v>
      </c>
      <c r="D356">
        <v>2</v>
      </c>
    </row>
    <row r="357" spans="1:4" x14ac:dyDescent="0.25">
      <c r="A357" s="234" t="s">
        <v>2352</v>
      </c>
      <c r="B357" t="s">
        <v>2353</v>
      </c>
      <c r="C357">
        <v>2</v>
      </c>
      <c r="D357">
        <v>2</v>
      </c>
    </row>
    <row r="358" spans="1:4" x14ac:dyDescent="0.25">
      <c r="A358" s="234" t="s">
        <v>2358</v>
      </c>
      <c r="B358" t="s">
        <v>2359</v>
      </c>
      <c r="C358">
        <v>16</v>
      </c>
      <c r="D358">
        <v>3</v>
      </c>
    </row>
    <row r="359" spans="1:4" x14ac:dyDescent="0.25">
      <c r="A359" s="234" t="s">
        <v>2374</v>
      </c>
      <c r="B359" t="s">
        <v>2375</v>
      </c>
      <c r="C359">
        <v>16</v>
      </c>
      <c r="D359">
        <v>3</v>
      </c>
    </row>
    <row r="360" spans="1:4" x14ac:dyDescent="0.25">
      <c r="A360" s="234" t="s">
        <v>2378</v>
      </c>
      <c r="B360" t="s">
        <v>2379</v>
      </c>
      <c r="C360">
        <v>11</v>
      </c>
      <c r="D360">
        <v>4</v>
      </c>
    </row>
    <row r="361" spans="1:4" x14ac:dyDescent="0.25">
      <c r="A361" s="234" t="s">
        <v>2382</v>
      </c>
      <c r="B361" t="s">
        <v>2383</v>
      </c>
      <c r="C361">
        <v>9</v>
      </c>
      <c r="D361">
        <v>3</v>
      </c>
    </row>
    <row r="362" spans="1:4" x14ac:dyDescent="0.25">
      <c r="A362" s="234" t="s">
        <v>2386</v>
      </c>
      <c r="B362" t="s">
        <v>2387</v>
      </c>
      <c r="C362">
        <v>6</v>
      </c>
      <c r="D362">
        <v>3</v>
      </c>
    </row>
    <row r="363" spans="1:4" x14ac:dyDescent="0.25">
      <c r="A363" s="234" t="s">
        <v>2390</v>
      </c>
      <c r="B363" t="s">
        <v>2391</v>
      </c>
      <c r="C363">
        <v>8</v>
      </c>
      <c r="D363">
        <v>3</v>
      </c>
    </row>
    <row r="364" spans="1:4" x14ac:dyDescent="0.25">
      <c r="A364" s="234" t="s">
        <v>2394</v>
      </c>
      <c r="B364" t="s">
        <v>2395</v>
      </c>
      <c r="C364">
        <v>12</v>
      </c>
      <c r="D364">
        <v>3</v>
      </c>
    </row>
    <row r="365" spans="1:4" x14ac:dyDescent="0.25">
      <c r="A365" s="234" t="s">
        <v>2398</v>
      </c>
      <c r="B365" t="s">
        <v>2399</v>
      </c>
      <c r="C365">
        <v>9</v>
      </c>
      <c r="D365">
        <v>3</v>
      </c>
    </row>
    <row r="366" spans="1:4" x14ac:dyDescent="0.25">
      <c r="A366" s="234" t="s">
        <v>2402</v>
      </c>
      <c r="B366" t="s">
        <v>2403</v>
      </c>
      <c r="C366">
        <v>16</v>
      </c>
      <c r="D366">
        <v>3</v>
      </c>
    </row>
    <row r="367" spans="1:4" x14ac:dyDescent="0.25">
      <c r="A367" s="234" t="s">
        <v>2406</v>
      </c>
      <c r="B367" t="s">
        <v>2407</v>
      </c>
      <c r="C367">
        <v>13</v>
      </c>
      <c r="D367">
        <v>4</v>
      </c>
    </row>
    <row r="368" spans="1:4" x14ac:dyDescent="0.25">
      <c r="A368" s="234" t="s">
        <v>2410</v>
      </c>
      <c r="B368" t="s">
        <v>2411</v>
      </c>
      <c r="C368">
        <v>12</v>
      </c>
      <c r="D368">
        <v>3</v>
      </c>
    </row>
    <row r="369" spans="1:4" x14ac:dyDescent="0.25">
      <c r="A369" s="234" t="s">
        <v>2434</v>
      </c>
      <c r="B369" t="s">
        <v>2435</v>
      </c>
      <c r="C369">
        <v>12</v>
      </c>
      <c r="D369">
        <v>3</v>
      </c>
    </row>
    <row r="370" spans="1:4" x14ac:dyDescent="0.25">
      <c r="A370" s="234" t="s">
        <v>2438</v>
      </c>
      <c r="B370" t="s">
        <v>2439</v>
      </c>
      <c r="C370">
        <v>8</v>
      </c>
      <c r="D370">
        <v>3</v>
      </c>
    </row>
    <row r="371" spans="1:4" x14ac:dyDescent="0.25">
      <c r="A371" s="234" t="s">
        <v>2442</v>
      </c>
      <c r="B371" t="s">
        <v>2443</v>
      </c>
      <c r="C371">
        <v>14</v>
      </c>
      <c r="D371">
        <v>4</v>
      </c>
    </row>
    <row r="372" spans="1:4" x14ac:dyDescent="0.25">
      <c r="A372" s="234" t="s">
        <v>2446</v>
      </c>
      <c r="B372" t="s">
        <v>2447</v>
      </c>
      <c r="C372">
        <v>2</v>
      </c>
      <c r="D372">
        <v>2</v>
      </c>
    </row>
    <row r="373" spans="1:4" x14ac:dyDescent="0.25">
      <c r="A373" s="234" t="s">
        <v>2451</v>
      </c>
      <c r="B373" t="s">
        <v>2452</v>
      </c>
      <c r="C373">
        <v>10</v>
      </c>
      <c r="D373">
        <v>3</v>
      </c>
    </row>
    <row r="374" spans="1:4" x14ac:dyDescent="0.25">
      <c r="A374" s="234" t="s">
        <v>2455</v>
      </c>
      <c r="B374" t="s">
        <v>2456</v>
      </c>
      <c r="C374">
        <v>12</v>
      </c>
      <c r="D374">
        <v>3</v>
      </c>
    </row>
    <row r="375" spans="1:4" x14ac:dyDescent="0.25">
      <c r="A375" s="234" t="s">
        <v>2459</v>
      </c>
      <c r="B375" t="s">
        <v>2460</v>
      </c>
      <c r="C375">
        <v>10</v>
      </c>
      <c r="D375">
        <v>3</v>
      </c>
    </row>
    <row r="376" spans="1:4" x14ac:dyDescent="0.25">
      <c r="A376" s="234" t="s">
        <v>2463</v>
      </c>
      <c r="B376" t="s">
        <v>2464</v>
      </c>
      <c r="C376">
        <v>12</v>
      </c>
      <c r="D376">
        <v>3</v>
      </c>
    </row>
    <row r="377" spans="1:4" x14ac:dyDescent="0.25">
      <c r="A377" s="234" t="s">
        <v>2469</v>
      </c>
      <c r="B377" t="s">
        <v>2470</v>
      </c>
      <c r="C377">
        <v>10</v>
      </c>
      <c r="D377">
        <v>3</v>
      </c>
    </row>
    <row r="378" spans="1:4" x14ac:dyDescent="0.25">
      <c r="A378" s="234" t="s">
        <v>2473</v>
      </c>
      <c r="B378" t="s">
        <v>2474</v>
      </c>
      <c r="C378">
        <v>9</v>
      </c>
      <c r="D378">
        <v>3</v>
      </c>
    </row>
    <row r="379" spans="1:4" x14ac:dyDescent="0.25">
      <c r="A379" s="234" t="s">
        <v>2477</v>
      </c>
      <c r="B379" t="s">
        <v>2478</v>
      </c>
      <c r="C379">
        <v>2</v>
      </c>
      <c r="D379">
        <v>2</v>
      </c>
    </row>
    <row r="380" spans="1:4" x14ac:dyDescent="0.25">
      <c r="A380" s="234" t="s">
        <v>2481</v>
      </c>
      <c r="B380" t="s">
        <v>2482</v>
      </c>
      <c r="C380">
        <v>9</v>
      </c>
      <c r="D380">
        <v>3</v>
      </c>
    </row>
    <row r="381" spans="1:4" x14ac:dyDescent="0.25">
      <c r="A381" s="234" t="s">
        <v>2485</v>
      </c>
      <c r="B381" t="s">
        <v>2486</v>
      </c>
      <c r="C381">
        <v>13</v>
      </c>
      <c r="D381">
        <v>4</v>
      </c>
    </row>
    <row r="382" spans="1:4" x14ac:dyDescent="0.25">
      <c r="A382" s="234" t="s">
        <v>2489</v>
      </c>
      <c r="B382" t="s">
        <v>2490</v>
      </c>
      <c r="C382">
        <v>9</v>
      </c>
      <c r="D382">
        <v>3</v>
      </c>
    </row>
    <row r="383" spans="1:4" x14ac:dyDescent="0.25">
      <c r="A383" s="234" t="s">
        <v>2493</v>
      </c>
      <c r="B383" t="s">
        <v>2494</v>
      </c>
      <c r="C383">
        <v>9</v>
      </c>
      <c r="D383">
        <v>3</v>
      </c>
    </row>
    <row r="384" spans="1:4" x14ac:dyDescent="0.25">
      <c r="A384" s="234" t="s">
        <v>2497</v>
      </c>
      <c r="B384" t="s">
        <v>2498</v>
      </c>
      <c r="C384">
        <v>8</v>
      </c>
      <c r="D384">
        <v>3</v>
      </c>
    </row>
    <row r="385" spans="1:4" x14ac:dyDescent="0.25">
      <c r="A385" s="234" t="s">
        <v>2501</v>
      </c>
      <c r="B385" t="s">
        <v>2502</v>
      </c>
      <c r="C385">
        <v>14</v>
      </c>
      <c r="D385">
        <v>4</v>
      </c>
    </row>
    <row r="386" spans="1:4" x14ac:dyDescent="0.25">
      <c r="A386" s="234" t="s">
        <v>2505</v>
      </c>
      <c r="B386" t="s">
        <v>2506</v>
      </c>
      <c r="C386">
        <v>14</v>
      </c>
      <c r="D386">
        <v>4</v>
      </c>
    </row>
    <row r="387" spans="1:4" x14ac:dyDescent="0.25">
      <c r="A387" s="234" t="s">
        <v>2509</v>
      </c>
      <c r="B387" t="s">
        <v>2510</v>
      </c>
      <c r="C387">
        <v>9</v>
      </c>
      <c r="D387">
        <v>3</v>
      </c>
    </row>
    <row r="388" spans="1:4" x14ac:dyDescent="0.25">
      <c r="A388" s="234" t="s">
        <v>2513</v>
      </c>
      <c r="B388" t="s">
        <v>2514</v>
      </c>
      <c r="C388">
        <v>13</v>
      </c>
      <c r="D388">
        <v>4</v>
      </c>
    </row>
    <row r="389" spans="1:4" x14ac:dyDescent="0.25">
      <c r="A389" s="234" t="s">
        <v>2517</v>
      </c>
      <c r="B389" t="s">
        <v>2518</v>
      </c>
      <c r="C389">
        <v>3</v>
      </c>
      <c r="D389">
        <v>2</v>
      </c>
    </row>
    <row r="390" spans="1:4" x14ac:dyDescent="0.25">
      <c r="A390" s="234" t="s">
        <v>2521</v>
      </c>
      <c r="B390" t="s">
        <v>2522</v>
      </c>
      <c r="C390">
        <v>13</v>
      </c>
      <c r="D390">
        <v>4</v>
      </c>
    </row>
    <row r="391" spans="1:4" x14ac:dyDescent="0.25">
      <c r="A391" s="234" t="s">
        <v>2525</v>
      </c>
      <c r="B391" t="s">
        <v>2526</v>
      </c>
      <c r="C391">
        <v>12</v>
      </c>
      <c r="D391">
        <v>3</v>
      </c>
    </row>
    <row r="392" spans="1:4" x14ac:dyDescent="0.25">
      <c r="A392" s="234" t="s">
        <v>2529</v>
      </c>
      <c r="B392" t="s">
        <v>2530</v>
      </c>
      <c r="C392">
        <v>10</v>
      </c>
      <c r="D392">
        <v>3</v>
      </c>
    </row>
    <row r="393" spans="1:4" x14ac:dyDescent="0.25">
      <c r="A393" s="234" t="s">
        <v>2533</v>
      </c>
      <c r="B393" t="s">
        <v>2534</v>
      </c>
      <c r="C393">
        <v>3</v>
      </c>
      <c r="D393">
        <v>2</v>
      </c>
    </row>
    <row r="394" spans="1:4" x14ac:dyDescent="0.25">
      <c r="A394" s="234" t="s">
        <v>2537</v>
      </c>
      <c r="B394" t="s">
        <v>2538</v>
      </c>
      <c r="C394">
        <v>10</v>
      </c>
      <c r="D394">
        <v>3</v>
      </c>
    </row>
    <row r="395" spans="1:4" x14ac:dyDescent="0.25">
      <c r="A395" s="234" t="s">
        <v>2545</v>
      </c>
      <c r="B395" t="s">
        <v>2546</v>
      </c>
      <c r="C395">
        <v>6</v>
      </c>
      <c r="D395">
        <v>3</v>
      </c>
    </row>
    <row r="396" spans="1:4" x14ac:dyDescent="0.25">
      <c r="A396" s="234" t="s">
        <v>2549</v>
      </c>
      <c r="B396" t="s">
        <v>2550</v>
      </c>
      <c r="C396">
        <v>9</v>
      </c>
      <c r="D396">
        <v>3</v>
      </c>
    </row>
    <row r="397" spans="1:4" x14ac:dyDescent="0.25">
      <c r="A397" s="234" t="s">
        <v>2553</v>
      </c>
      <c r="B397" t="s">
        <v>2554</v>
      </c>
      <c r="C397">
        <v>2</v>
      </c>
      <c r="D397">
        <v>2</v>
      </c>
    </row>
    <row r="398" spans="1:4" x14ac:dyDescent="0.25">
      <c r="A398" s="234" t="s">
        <v>2557</v>
      </c>
      <c r="B398" t="s">
        <v>2558</v>
      </c>
      <c r="C398">
        <v>12</v>
      </c>
      <c r="D398">
        <v>3</v>
      </c>
    </row>
    <row r="399" spans="1:4" x14ac:dyDescent="0.25">
      <c r="A399" s="234" t="s">
        <v>2561</v>
      </c>
      <c r="B399" t="s">
        <v>2562</v>
      </c>
      <c r="C399">
        <v>8</v>
      </c>
      <c r="D399">
        <v>3</v>
      </c>
    </row>
    <row r="400" spans="1:4" x14ac:dyDescent="0.25">
      <c r="A400" s="234" t="s">
        <v>2565</v>
      </c>
      <c r="B400" t="s">
        <v>2566</v>
      </c>
      <c r="C400">
        <v>16</v>
      </c>
      <c r="D400">
        <v>3</v>
      </c>
    </row>
    <row r="401" spans="1:4" x14ac:dyDescent="0.25">
      <c r="A401" s="234" t="s">
        <v>2570</v>
      </c>
      <c r="B401" t="s">
        <v>2571</v>
      </c>
      <c r="C401">
        <v>11</v>
      </c>
      <c r="D401">
        <v>4</v>
      </c>
    </row>
    <row r="402" spans="1:4" x14ac:dyDescent="0.25">
      <c r="A402" s="234" t="s">
        <v>2575</v>
      </c>
      <c r="B402" t="s">
        <v>2576</v>
      </c>
      <c r="C402">
        <v>10</v>
      </c>
      <c r="D402">
        <v>3</v>
      </c>
    </row>
    <row r="403" spans="1:4" x14ac:dyDescent="0.25">
      <c r="A403" s="234" t="s">
        <v>2579</v>
      </c>
      <c r="B403" t="s">
        <v>2580</v>
      </c>
      <c r="C403">
        <v>14</v>
      </c>
      <c r="D403">
        <v>4</v>
      </c>
    </row>
    <row r="404" spans="1:4" x14ac:dyDescent="0.25">
      <c r="A404" s="234" t="s">
        <v>2583</v>
      </c>
      <c r="B404" t="s">
        <v>2584</v>
      </c>
      <c r="C404">
        <v>13</v>
      </c>
      <c r="D404">
        <v>4</v>
      </c>
    </row>
    <row r="405" spans="1:4" x14ac:dyDescent="0.25">
      <c r="A405" s="234" t="s">
        <v>2587</v>
      </c>
      <c r="B405" t="s">
        <v>2588</v>
      </c>
      <c r="C405">
        <v>12</v>
      </c>
      <c r="D405">
        <v>3</v>
      </c>
    </row>
    <row r="406" spans="1:4" x14ac:dyDescent="0.25">
      <c r="A406" s="234" t="s">
        <v>2591</v>
      </c>
      <c r="B406" t="s">
        <v>2592</v>
      </c>
      <c r="C406">
        <v>9</v>
      </c>
      <c r="D406">
        <v>3</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07B0-C307-49E6-A8E2-6DF0D825F367}">
  <sheetPr codeName="Sheet2">
    <tabColor theme="9" tint="0.79998168889431442"/>
  </sheetPr>
  <dimension ref="A1:BP56"/>
  <sheetViews>
    <sheetView workbookViewId="0">
      <selection activeCell="C25" sqref="C25"/>
    </sheetView>
  </sheetViews>
  <sheetFormatPr defaultColWidth="0" defaultRowHeight="15" zeroHeight="1" x14ac:dyDescent="0.25"/>
  <cols>
    <col min="1" max="1" width="66.5703125" customWidth="1"/>
    <col min="2" max="2" width="52.85546875" customWidth="1"/>
    <col min="3" max="3" width="15.28515625" customWidth="1"/>
    <col min="4" max="4" width="15.85546875" customWidth="1"/>
    <col min="5" max="5" width="30.28515625" customWidth="1"/>
    <col min="6" max="6" width="86.140625" customWidth="1"/>
    <col min="7" max="7" width="46.5703125" style="83" customWidth="1"/>
    <col min="8" max="8" width="24.7109375" hidden="1" customWidth="1"/>
    <col min="9" max="44" width="9.140625" hidden="1" customWidth="1"/>
    <col min="45" max="68" width="0" hidden="1" customWidth="1"/>
    <col min="69" max="16384" width="9.140625" hidden="1"/>
  </cols>
  <sheetData>
    <row r="1" spans="1:49" ht="51" customHeight="1" thickBot="1" x14ac:dyDescent="0.8">
      <c r="A1" s="172" t="s">
        <v>3827</v>
      </c>
      <c r="B1" s="173"/>
      <c r="C1" s="173"/>
      <c r="D1" s="173"/>
      <c r="E1" s="17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row>
    <row r="2" spans="1:49" ht="18.75" x14ac:dyDescent="0.3">
      <c r="A2" s="90" t="s">
        <v>75</v>
      </c>
      <c r="B2" s="169" t="s">
        <v>76</v>
      </c>
      <c r="C2" s="83"/>
      <c r="D2" s="83"/>
      <c r="E2" s="278" t="s">
        <v>3810</v>
      </c>
      <c r="F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row>
    <row r="3" spans="1:49" x14ac:dyDescent="0.25">
      <c r="A3" s="91" t="s">
        <v>79</v>
      </c>
      <c r="B3" s="170">
        <v>45474</v>
      </c>
      <c r="C3" s="83"/>
      <c r="D3" s="83"/>
      <c r="E3" s="148" t="s">
        <v>3811</v>
      </c>
      <c r="F3" s="107" t="s">
        <v>3813</v>
      </c>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row>
    <row r="4" spans="1:49" x14ac:dyDescent="0.25">
      <c r="A4" s="91" t="s">
        <v>82</v>
      </c>
      <c r="B4" s="170">
        <v>45838</v>
      </c>
      <c r="C4" s="83"/>
      <c r="D4" s="83"/>
      <c r="E4" s="148" t="s">
        <v>77</v>
      </c>
      <c r="F4" s="107" t="s">
        <v>78</v>
      </c>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row>
    <row r="5" spans="1:49" ht="15.75" thickBot="1" x14ac:dyDescent="0.3">
      <c r="A5" s="92" t="s">
        <v>84</v>
      </c>
      <c r="B5" s="171">
        <f>_xlfn.DAYS(B4,B3)+1</f>
        <v>365</v>
      </c>
      <c r="C5" s="83"/>
      <c r="D5" s="83"/>
      <c r="E5" s="148" t="s">
        <v>80</v>
      </c>
      <c r="F5" s="311" t="s">
        <v>81</v>
      </c>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row>
    <row r="6" spans="1:49" x14ac:dyDescent="0.25">
      <c r="A6" s="83" t="s">
        <v>87</v>
      </c>
      <c r="B6" s="83"/>
      <c r="C6" s="83"/>
      <c r="D6" s="83"/>
      <c r="E6" s="148" t="s">
        <v>83</v>
      </c>
      <c r="F6" s="164" t="s">
        <v>3809</v>
      </c>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row>
    <row r="7" spans="1:49" ht="30" x14ac:dyDescent="0.25">
      <c r="A7" s="403" t="s">
        <v>89</v>
      </c>
      <c r="B7" s="83"/>
      <c r="C7" s="83"/>
      <c r="D7" s="83"/>
      <c r="E7" s="405" t="s">
        <v>85</v>
      </c>
      <c r="F7" s="185" t="s">
        <v>3841</v>
      </c>
      <c r="H7" s="83"/>
      <c r="I7" s="83"/>
      <c r="J7" s="83"/>
      <c r="K7" s="83"/>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row>
    <row r="8" spans="1:49" x14ac:dyDescent="0.25">
      <c r="A8" s="403" t="s">
        <v>91</v>
      </c>
      <c r="B8" s="83"/>
      <c r="C8" s="83"/>
      <c r="D8" s="83"/>
      <c r="E8" s="406"/>
      <c r="F8" s="406" t="s">
        <v>3819</v>
      </c>
      <c r="H8" s="83"/>
      <c r="I8" s="83"/>
      <c r="J8" s="83"/>
      <c r="K8" s="83"/>
      <c r="L8" s="83"/>
      <c r="M8" s="83"/>
      <c r="N8" s="83"/>
      <c r="O8" s="83"/>
      <c r="P8" s="83"/>
      <c r="Q8" s="83"/>
      <c r="R8" s="83"/>
      <c r="S8" s="83"/>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row>
    <row r="9" spans="1:49" ht="15.75" thickBot="1" x14ac:dyDescent="0.3">
      <c r="B9" s="83"/>
      <c r="C9" s="83"/>
      <c r="D9" s="83"/>
      <c r="E9" s="148" t="s">
        <v>86</v>
      </c>
      <c r="F9" s="164" t="s">
        <v>3808</v>
      </c>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row>
    <row r="10" spans="1:49" ht="30.75" thickBot="1" x14ac:dyDescent="0.3">
      <c r="A10" s="22" t="s">
        <v>3814</v>
      </c>
      <c r="B10" s="23"/>
      <c r="C10" s="83"/>
      <c r="D10" s="83"/>
      <c r="E10" s="407" t="s">
        <v>88</v>
      </c>
      <c r="F10" s="185" t="s">
        <v>3842</v>
      </c>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row>
    <row r="11" spans="1:49" ht="15.75" thickBot="1" x14ac:dyDescent="0.3">
      <c r="A11" s="150" t="s">
        <v>94</v>
      </c>
      <c r="B11" s="362"/>
      <c r="C11" s="83"/>
      <c r="D11" s="83"/>
      <c r="E11" s="408"/>
      <c r="F11" s="408" t="s">
        <v>3820</v>
      </c>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row>
    <row r="12" spans="1:49" x14ac:dyDescent="0.25">
      <c r="A12" s="150" t="s">
        <v>98</v>
      </c>
      <c r="B12" s="247" t="str" cm="1">
        <f t="array" ref="B12">IFERROR(INDEX(CW_ORG_ID_LIST, MATCH(B11, CW_SUPPLIER_NAME_LIST, 0)), "")</f>
        <v/>
      </c>
      <c r="C12" s="83"/>
      <c r="D12" s="83"/>
      <c r="E12" s="146"/>
      <c r="F12" s="146" t="s">
        <v>3821</v>
      </c>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row>
    <row r="13" spans="1:49" x14ac:dyDescent="0.25">
      <c r="A13" s="150" t="s">
        <v>101</v>
      </c>
      <c r="B13" s="300">
        <f>COUNTIF(F31:F48,"Yes")</f>
        <v>0</v>
      </c>
      <c r="C13" s="83"/>
      <c r="D13" s="83"/>
      <c r="E13" s="409" t="s">
        <v>92</v>
      </c>
      <c r="F13" s="185" t="s">
        <v>3822</v>
      </c>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row>
    <row r="14" spans="1:49" ht="18" customHeight="1" x14ac:dyDescent="0.25">
      <c r="A14" s="150" t="s">
        <v>102</v>
      </c>
      <c r="B14" s="7"/>
      <c r="C14" s="83"/>
      <c r="D14" s="83"/>
      <c r="E14" s="146"/>
      <c r="F14" s="146" t="s">
        <v>3823</v>
      </c>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row>
    <row r="15" spans="1:49" ht="18" customHeight="1" x14ac:dyDescent="0.25">
      <c r="A15" s="150" t="s">
        <v>103</v>
      </c>
      <c r="B15" s="7"/>
      <c r="C15" s="83"/>
      <c r="D15" s="83"/>
      <c r="E15" s="148" t="s">
        <v>90</v>
      </c>
      <c r="F15" s="107" t="s">
        <v>3812</v>
      </c>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row>
    <row r="16" spans="1:49" ht="30" customHeight="1" x14ac:dyDescent="0.25">
      <c r="A16" s="150" t="s">
        <v>104</v>
      </c>
      <c r="B16" s="7"/>
      <c r="C16" s="83"/>
      <c r="D16" s="83"/>
      <c r="E16" s="148" t="s">
        <v>93</v>
      </c>
      <c r="F16" s="106" t="s">
        <v>3818</v>
      </c>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row>
    <row r="17" spans="1:49" ht="18" customHeight="1" x14ac:dyDescent="0.25">
      <c r="A17" s="150" t="s">
        <v>105</v>
      </c>
      <c r="B17" s="7"/>
      <c r="C17" s="83"/>
      <c r="D17" s="83"/>
      <c r="E17" s="148" t="s">
        <v>96</v>
      </c>
      <c r="F17" s="107" t="s">
        <v>97</v>
      </c>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row>
    <row r="18" spans="1:49" ht="18" customHeight="1" x14ac:dyDescent="0.25">
      <c r="A18" s="150" t="s">
        <v>106</v>
      </c>
      <c r="B18" s="7"/>
      <c r="C18" s="83"/>
      <c r="D18" s="83"/>
      <c r="E18" s="107" t="s">
        <v>99</v>
      </c>
      <c r="F18" s="107" t="s">
        <v>100</v>
      </c>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row>
    <row r="19" spans="1:49" ht="18" customHeight="1" thickBot="1" x14ac:dyDescent="0.3">
      <c r="A19" s="151" t="s">
        <v>107</v>
      </c>
      <c r="B19" s="8"/>
      <c r="C19" s="83"/>
      <c r="D19" s="83"/>
      <c r="E19" s="83"/>
      <c r="F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row>
    <row r="20" spans="1:49" ht="15.75" thickBot="1" x14ac:dyDescent="0.3">
      <c r="A20" s="83"/>
      <c r="B20" s="227"/>
      <c r="C20" s="83"/>
      <c r="D20" s="83"/>
      <c r="E20" s="83"/>
      <c r="F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row>
    <row r="21" spans="1:49" ht="15.75" thickBot="1" x14ac:dyDescent="0.3">
      <c r="A21" s="149" t="s">
        <v>108</v>
      </c>
      <c r="B21" s="363" t="s">
        <v>109</v>
      </c>
      <c r="C21" s="83"/>
      <c r="D21" s="83"/>
      <c r="E21" s="83"/>
      <c r="F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row>
    <row r="22" spans="1:49" x14ac:dyDescent="0.25">
      <c r="A22" s="22" t="s">
        <v>110</v>
      </c>
      <c r="B22" s="235"/>
      <c r="C22" s="83"/>
      <c r="D22" s="83"/>
      <c r="E22" s="83"/>
      <c r="F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row>
    <row r="23" spans="1:49" ht="18" customHeight="1" x14ac:dyDescent="0.25">
      <c r="A23" s="236" t="s">
        <v>111</v>
      </c>
      <c r="B23" s="237" t="s">
        <v>112</v>
      </c>
      <c r="C23" s="83"/>
      <c r="D23" s="83"/>
      <c r="E23" s="83"/>
      <c r="F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row>
    <row r="24" spans="1:49" ht="18" customHeight="1" x14ac:dyDescent="0.25">
      <c r="A24" s="236" t="s">
        <v>113</v>
      </c>
      <c r="B24" s="237" t="s">
        <v>112</v>
      </c>
      <c r="C24" s="83"/>
      <c r="D24" s="83"/>
      <c r="E24" s="83"/>
      <c r="F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row>
    <row r="25" spans="1:49" ht="18" customHeight="1" x14ac:dyDescent="0.25">
      <c r="A25" s="236" t="s">
        <v>114</v>
      </c>
      <c r="B25" s="237" t="s">
        <v>112</v>
      </c>
      <c r="C25" s="83"/>
      <c r="D25" s="83"/>
      <c r="E25" s="83"/>
      <c r="F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row>
    <row r="26" spans="1:49" ht="18" customHeight="1" x14ac:dyDescent="0.25">
      <c r="A26" s="236" t="s">
        <v>115</v>
      </c>
      <c r="B26" s="237" t="s">
        <v>112</v>
      </c>
      <c r="C26" s="83"/>
      <c r="D26" s="83"/>
      <c r="E26" s="83"/>
      <c r="F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row>
    <row r="27" spans="1:49" ht="18" customHeight="1" thickBot="1" x14ac:dyDescent="0.3">
      <c r="A27" s="238" t="s">
        <v>116</v>
      </c>
      <c r="B27" s="239" t="s">
        <v>112</v>
      </c>
      <c r="C27" s="83"/>
      <c r="D27" s="83"/>
      <c r="E27" s="83"/>
      <c r="F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row>
    <row r="28" spans="1:49" x14ac:dyDescent="0.25">
      <c r="B28" s="83"/>
      <c r="C28" s="83"/>
      <c r="D28" s="83"/>
      <c r="E28" s="83"/>
      <c r="F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row>
    <row r="29" spans="1:49" ht="21.75" thickBot="1" x14ac:dyDescent="0.4">
      <c r="A29" s="87" t="s">
        <v>117</v>
      </c>
      <c r="B29" s="83"/>
      <c r="C29" s="83"/>
      <c r="D29" s="83"/>
      <c r="E29" s="83"/>
      <c r="F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row>
    <row r="30" spans="1:49" ht="64.900000000000006" customHeight="1" x14ac:dyDescent="0.25">
      <c r="A30" s="222" t="s">
        <v>61</v>
      </c>
      <c r="B30" s="223" t="s">
        <v>118</v>
      </c>
      <c r="C30" s="223" t="s">
        <v>119</v>
      </c>
      <c r="D30" s="223" t="s">
        <v>120</v>
      </c>
      <c r="E30" s="223" t="s">
        <v>121</v>
      </c>
      <c r="F30" s="224" t="s">
        <v>122</v>
      </c>
    </row>
    <row r="31" spans="1:49" x14ac:dyDescent="0.25">
      <c r="A31" s="225" t="str" cm="1">
        <f t="array" ref="A31">IFERROR(INDEX(CW_PWSID_LIST, SMALL(IF(CW_ORG_ID_LIST=ORG_ID_REF, ROW(CW_ORG_ID_LIST)-MIN(ROW(CW_ORG_ID_LIST))+1), ROW(1:1))), "")</f>
        <v/>
      </c>
      <c r="B31" s="27" t="str" cm="1">
        <f t="array" ref="B31">IFERROR(INDEX(CW_PWS_NAME_LIST, MATCH(A31, CW_PWSID_LIST, 0)), "")</f>
        <v/>
      </c>
      <c r="C31" s="27" t="str" cm="1">
        <f t="array" ref="C31">IFERROR(INDEX(CW_COUNTY_LIST, MATCH(A31, CW_PWSID_LIST, 0)), "")</f>
        <v/>
      </c>
      <c r="D31" s="226" t="str" cm="1">
        <f t="array" ref="D31">IF(B31="", "", IFERROR(INDEX(POP_VALUES, MATCH(A31, POP_PWSID_LIST, 0)), 0))</f>
        <v/>
      </c>
      <c r="E31" s="27" t="str">
        <f>IF(A31 = "", "", IFERROR(INDEX(Crosswalk_API!$J$2:$J$527, MATCH(A31, CW_PWSID_LIST, 0)), ""))</f>
        <v/>
      </c>
      <c r="F31" s="364" t="str" cm="1">
        <f t="array" ref="F31">IFERROR(INDEX(WS_INCLUDE_API, MATCH(A31, CW_PWSID_LIST, 0)), "")</f>
        <v/>
      </c>
    </row>
    <row r="32" spans="1:49" x14ac:dyDescent="0.25">
      <c r="A32" s="225" t="str" cm="1">
        <f t="array" ref="A32">IFERROR(INDEX(CW_PWSID_LIST, SMALL(IF(CW_ORG_ID_LIST=ORG_ID_REF, ROW(CW_ORG_ID_LIST)-MIN(ROW(CW_ORG_ID_LIST))+1), ROW(2:2))), "")</f>
        <v/>
      </c>
      <c r="B32" s="27" t="str" cm="1">
        <f t="array" ref="B32">IFERROR(INDEX(CW_PWS_NAME_LIST, MATCH(A32, CW_PWSID_LIST, 0)), "")</f>
        <v/>
      </c>
      <c r="C32" s="27" t="str" cm="1">
        <f t="array" ref="C32">IFERROR(INDEX(CW_COUNTY_LIST, MATCH(A32, CW_PWSID_LIST, 0)), "")</f>
        <v/>
      </c>
      <c r="D32" s="226" t="str" cm="1">
        <f t="array" ref="D32">IF(B32="", "", IFERROR(INDEX(POP_VALUES, MATCH(A32, POP_PWSID_LIST, 0)), 0))</f>
        <v/>
      </c>
      <c r="E32" s="27" t="str">
        <f>IF(A32 = "", "", IFERROR(INDEX(Crosswalk_API!$J$2:$J$527, MATCH(A32, CW_PWSID_LIST, 0)), ""))</f>
        <v/>
      </c>
      <c r="F32" s="364" t="str" cm="1">
        <f t="array" ref="F32">IFERROR(INDEX(WS_INCLUDE_API, MATCH(A32, CW_PWSID_LIST, 0)), "")</f>
        <v/>
      </c>
    </row>
    <row r="33" spans="1:6" x14ac:dyDescent="0.25">
      <c r="A33" s="225" t="str" cm="1">
        <f t="array" ref="A33">IFERROR(INDEX(CW_PWSID_LIST, SMALL(IF(CW_ORG_ID_LIST=ORG_ID_REF, ROW(CW_ORG_ID_LIST)-MIN(ROW(CW_ORG_ID_LIST))+1), ROW(3:3))), "")</f>
        <v/>
      </c>
      <c r="B33" s="27" t="str" cm="1">
        <f t="array" ref="B33">IFERROR(INDEX(CW_PWS_NAME_LIST, MATCH(A33, CW_PWSID_LIST, 0)), "")</f>
        <v/>
      </c>
      <c r="C33" s="27" t="str" cm="1">
        <f t="array" ref="C33">IFERROR(INDEX(CW_COUNTY_LIST, MATCH(A33, CW_PWSID_LIST, 0)), "")</f>
        <v/>
      </c>
      <c r="D33" s="226" t="str" cm="1">
        <f t="array" ref="D33">IF(B33="", "", IFERROR(INDEX(POP_VALUES, MATCH(A33, POP_PWSID_LIST, 0)), 0))</f>
        <v/>
      </c>
      <c r="E33" s="27" t="str">
        <f>IF(A33 = "", "", IFERROR(INDEX(Crosswalk_API!$J$2:$J$527, MATCH(A33, CW_PWSID_LIST, 0)), ""))</f>
        <v/>
      </c>
      <c r="F33" s="364" t="str" cm="1">
        <f t="array" ref="F33">IFERROR(INDEX(WS_INCLUDE_API, MATCH(A33, CW_PWSID_LIST, 0)), "")</f>
        <v/>
      </c>
    </row>
    <row r="34" spans="1:6" x14ac:dyDescent="0.25">
      <c r="A34" s="225" t="str" cm="1">
        <f t="array" ref="A34">IFERROR(INDEX(CW_PWSID_LIST, SMALL(IF(CW_ORG_ID_LIST=ORG_ID_REF, ROW(CW_ORG_ID_LIST)-MIN(ROW(CW_ORG_ID_LIST))+1), ROW(4:4))), "")</f>
        <v/>
      </c>
      <c r="B34" s="27" t="str" cm="1">
        <f t="array" ref="B34">IFERROR(INDEX(CW_PWS_NAME_LIST, MATCH(A34, CW_PWSID_LIST, 0)), "")</f>
        <v/>
      </c>
      <c r="C34" s="27" t="str" cm="1">
        <f t="array" ref="C34">IFERROR(INDEX(CW_COUNTY_LIST, MATCH(A34, CW_PWSID_LIST, 0)), "")</f>
        <v/>
      </c>
      <c r="D34" s="226" t="str" cm="1">
        <f t="array" ref="D34">IF(B34="", "", IFERROR(INDEX(POP_VALUES, MATCH(A34, POP_PWSID_LIST, 0)), 0))</f>
        <v/>
      </c>
      <c r="E34" s="27" t="str">
        <f>IF(A34 = "", "", IFERROR(INDEX(Crosswalk_API!$J$2:$J$527, MATCH(A34, CW_PWSID_LIST, 0)), ""))</f>
        <v/>
      </c>
      <c r="F34" s="364" t="str" cm="1">
        <f t="array" ref="F34">IFERROR(INDEX(WS_INCLUDE_API, MATCH(A34, CW_PWSID_LIST, 0)), "")</f>
        <v/>
      </c>
    </row>
    <row r="35" spans="1:6" x14ac:dyDescent="0.25">
      <c r="A35" s="225" t="str" cm="1">
        <f t="array" ref="A35">IFERROR(INDEX(CW_PWSID_LIST, SMALL(IF(CW_ORG_ID_LIST=ORG_ID_REF, ROW(CW_ORG_ID_LIST)-MIN(ROW(CW_ORG_ID_LIST))+1), ROW(5:5))), "")</f>
        <v/>
      </c>
      <c r="B35" s="27" t="str" cm="1">
        <f t="array" ref="B35">IFERROR(INDEX(CW_PWS_NAME_LIST, MATCH(A35, CW_PWSID_LIST, 0)), "")</f>
        <v/>
      </c>
      <c r="C35" s="27" t="str" cm="1">
        <f t="array" ref="C35">IFERROR(INDEX(CW_COUNTY_LIST, MATCH(A35, CW_PWSID_LIST, 0)), "")</f>
        <v/>
      </c>
      <c r="D35" s="226" t="str" cm="1">
        <f t="array" ref="D35">IF(B35="", "", IFERROR(INDEX(POP_VALUES, MATCH(A35, POP_PWSID_LIST, 0)), 0))</f>
        <v/>
      </c>
      <c r="E35" s="27" t="str">
        <f>IF(A35 = "", "", IFERROR(INDEX(Crosswalk_API!$J$2:$J$527, MATCH(A35, CW_PWSID_LIST, 0)), ""))</f>
        <v/>
      </c>
      <c r="F35" s="364" t="str" cm="1">
        <f t="array" ref="F35">IFERROR(INDEX(WS_INCLUDE_API, MATCH(A35, CW_PWSID_LIST, 0)), "")</f>
        <v/>
      </c>
    </row>
    <row r="36" spans="1:6" x14ac:dyDescent="0.25">
      <c r="A36" s="225" t="str" cm="1">
        <f t="array" ref="A36">IFERROR(INDEX(CW_PWSID_LIST, SMALL(IF(CW_ORG_ID_LIST=ORG_ID_REF, ROW(CW_ORG_ID_LIST)-MIN(ROW(CW_ORG_ID_LIST))+1), ROW(6:6))), "")</f>
        <v/>
      </c>
      <c r="B36" s="27" t="str" cm="1">
        <f t="array" ref="B36">IFERROR(INDEX(CW_PWS_NAME_LIST, MATCH(A36, CW_PWSID_LIST, 0)), "")</f>
        <v/>
      </c>
      <c r="C36" s="27" t="str" cm="1">
        <f t="array" ref="C36">IFERROR(INDEX(CW_COUNTY_LIST, MATCH(A36, CW_PWSID_LIST, 0)), "")</f>
        <v/>
      </c>
      <c r="D36" s="226" t="str" cm="1">
        <f t="array" ref="D36">IF(B36="", "", IFERROR(INDEX(POP_VALUES, MATCH(A36, POP_PWSID_LIST, 0)), 0))</f>
        <v/>
      </c>
      <c r="E36" s="27" t="str">
        <f>IF(A36 = "", "", IFERROR(INDEX(Crosswalk_API!$J$2:$J$527, MATCH(A36, CW_PWSID_LIST, 0)), ""))</f>
        <v/>
      </c>
      <c r="F36" s="364" t="str" cm="1">
        <f t="array" ref="F36">IFERROR(INDEX(WS_INCLUDE_API, MATCH(A36, CW_PWSID_LIST, 0)), "")</f>
        <v/>
      </c>
    </row>
    <row r="37" spans="1:6" x14ac:dyDescent="0.25">
      <c r="A37" s="225" t="str" cm="1">
        <f t="array" ref="A37">IFERROR(INDEX(CW_PWSID_LIST, SMALL(IF(CW_ORG_ID_LIST=ORG_ID_REF, ROW(CW_ORG_ID_LIST)-MIN(ROW(CW_ORG_ID_LIST))+1), ROW(7:7))), "")</f>
        <v/>
      </c>
      <c r="B37" s="27" t="str" cm="1">
        <f t="array" ref="B37">IFERROR(INDEX(CW_PWS_NAME_LIST, MATCH(A37, CW_PWSID_LIST, 0)), "")</f>
        <v/>
      </c>
      <c r="C37" s="27" t="str" cm="1">
        <f t="array" ref="C37">IFERROR(INDEX(CW_COUNTY_LIST, MATCH(A37, CW_PWSID_LIST, 0)), "")</f>
        <v/>
      </c>
      <c r="D37" s="226" t="str" cm="1">
        <f t="array" ref="D37">IF(B37="", "", IFERROR(INDEX(POP_VALUES, MATCH(A37, POP_PWSID_LIST, 0)), 0))</f>
        <v/>
      </c>
      <c r="E37" s="27" t="str">
        <f>IF(A37 = "", "", IFERROR(INDEX(Crosswalk_API!$J$2:$J$527, MATCH(A37, CW_PWSID_LIST, 0)), ""))</f>
        <v/>
      </c>
      <c r="F37" s="364" t="str" cm="1">
        <f t="array" ref="F37">IFERROR(INDEX(WS_INCLUDE_API, MATCH(A37, CW_PWSID_LIST, 0)), "")</f>
        <v/>
      </c>
    </row>
    <row r="38" spans="1:6" x14ac:dyDescent="0.25">
      <c r="A38" s="225" t="str" cm="1">
        <f t="array" ref="A38">IFERROR(INDEX(CW_PWSID_LIST, SMALL(IF(CW_ORG_ID_LIST=ORG_ID_REF, ROW(CW_ORG_ID_LIST)-MIN(ROW(CW_ORG_ID_LIST))+1), ROW(8:8))), "")</f>
        <v/>
      </c>
      <c r="B38" s="27" t="str" cm="1">
        <f t="array" ref="B38">IFERROR(INDEX(CW_PWS_NAME_LIST, MATCH(A38, CW_PWSID_LIST, 0)), "")</f>
        <v/>
      </c>
      <c r="C38" s="27" t="str" cm="1">
        <f t="array" ref="C38">IFERROR(INDEX(CW_COUNTY_LIST, MATCH(A38, CW_PWSID_LIST, 0)), "")</f>
        <v/>
      </c>
      <c r="D38" s="226" t="str" cm="1">
        <f t="array" ref="D38">IF(B38="", "", IFERROR(INDEX(POP_VALUES, MATCH(A38, POP_PWSID_LIST, 0)), 0))</f>
        <v/>
      </c>
      <c r="E38" s="27" t="str">
        <f>IF(A38 = "", "", IFERROR(INDEX(Crosswalk_API!$J$2:$J$527, MATCH(A38, CW_PWSID_LIST, 0)), ""))</f>
        <v/>
      </c>
      <c r="F38" s="364" t="str" cm="1">
        <f t="array" ref="F38">IFERROR(INDEX(WS_INCLUDE_API, MATCH(A38, CW_PWSID_LIST, 0)), "")</f>
        <v/>
      </c>
    </row>
    <row r="39" spans="1:6" x14ac:dyDescent="0.25">
      <c r="A39" s="225" t="str" cm="1">
        <f t="array" ref="A39">IFERROR(INDEX(CW_PWSID_LIST, SMALL(IF(CW_ORG_ID_LIST=ORG_ID_REF, ROW(CW_ORG_ID_LIST)-MIN(ROW(CW_ORG_ID_LIST))+1), ROW(9:9))), "")</f>
        <v/>
      </c>
      <c r="B39" s="27" t="str" cm="1">
        <f t="array" ref="B39">IFERROR(INDEX(CW_PWS_NAME_LIST, MATCH(A39, CW_PWSID_LIST, 0)), "")</f>
        <v/>
      </c>
      <c r="C39" s="27" t="str" cm="1">
        <f t="array" ref="C39">IFERROR(INDEX(CW_COUNTY_LIST, MATCH(A39, CW_PWSID_LIST, 0)), "")</f>
        <v/>
      </c>
      <c r="D39" s="226" t="str" cm="1">
        <f t="array" ref="D39">IF(B39="", "", IFERROR(INDEX(POP_VALUES, MATCH(A39, POP_PWSID_LIST, 0)), 0))</f>
        <v/>
      </c>
      <c r="E39" s="27" t="str">
        <f>IF(A39 = "", "", IFERROR(INDEX(Crosswalk_API!$J$2:$J$527, MATCH(A39, CW_PWSID_LIST, 0)), ""))</f>
        <v/>
      </c>
      <c r="F39" s="364" t="str" cm="1">
        <f t="array" ref="F39">IFERROR(INDEX(WS_INCLUDE_API, MATCH(A39, CW_PWSID_LIST, 0)), "")</f>
        <v/>
      </c>
    </row>
    <row r="40" spans="1:6" x14ac:dyDescent="0.25">
      <c r="A40" s="225" t="str" cm="1">
        <f t="array" ref="A40">IFERROR(INDEX(CW_PWSID_LIST, SMALL(IF(CW_ORG_ID_LIST=ORG_ID_REF, ROW(CW_ORG_ID_LIST)-MIN(ROW(CW_ORG_ID_LIST))+1), ROW(10:10))), "")</f>
        <v/>
      </c>
      <c r="B40" s="27" t="str" cm="1">
        <f t="array" ref="B40">IFERROR(INDEX(CW_PWS_NAME_LIST, MATCH(A40, CW_PWSID_LIST, 0)), "")</f>
        <v/>
      </c>
      <c r="C40" s="27" t="str" cm="1">
        <f t="array" ref="C40">IFERROR(INDEX(CW_COUNTY_LIST, MATCH(A40, CW_PWSID_LIST, 0)), "")</f>
        <v/>
      </c>
      <c r="D40" s="226" t="str" cm="1">
        <f t="array" ref="D40">IF(B40="", "", IFERROR(INDEX(POP_VALUES, MATCH(A40, POP_PWSID_LIST, 0)), 0))</f>
        <v/>
      </c>
      <c r="E40" s="27" t="str">
        <f>IF(A40 = "", "", IFERROR(INDEX(Crosswalk_API!$J$2:$J$527, MATCH(A40, CW_PWSID_LIST, 0)), ""))</f>
        <v/>
      </c>
      <c r="F40" s="364" t="str" cm="1">
        <f t="array" ref="F40">IFERROR(INDEX(WS_INCLUDE_API, MATCH(A40, CW_PWSID_LIST, 0)), "")</f>
        <v/>
      </c>
    </row>
    <row r="41" spans="1:6" x14ac:dyDescent="0.25">
      <c r="A41" s="225" t="str" cm="1">
        <f t="array" ref="A41">IFERROR(INDEX(CW_PWSID_LIST, SMALL(IF(CW_ORG_ID_LIST=ORG_ID_REF, ROW(CW_ORG_ID_LIST)-MIN(ROW(CW_ORG_ID_LIST))+1), ROW(11:11))), "")</f>
        <v/>
      </c>
      <c r="B41" s="27" t="str" cm="1">
        <f t="array" ref="B41">IFERROR(INDEX(CW_PWS_NAME_LIST, MATCH(A41, CW_PWSID_LIST, 0)), "")</f>
        <v/>
      </c>
      <c r="C41" s="27" t="str" cm="1">
        <f t="array" ref="C41">IFERROR(INDEX(CW_COUNTY_LIST, MATCH(A41, CW_PWSID_LIST, 0)), "")</f>
        <v/>
      </c>
      <c r="D41" s="226" t="str" cm="1">
        <f t="array" ref="D41">IF(B41="", "", IFERROR(INDEX(POP_VALUES, MATCH(A41, POP_PWSID_LIST, 0)), 0))</f>
        <v/>
      </c>
      <c r="E41" s="27" t="str">
        <f>IF(A41 = "", "", IFERROR(INDEX(Crosswalk_API!$J$2:$J$527, MATCH(A41, CW_PWSID_LIST, 0)), ""))</f>
        <v/>
      </c>
      <c r="F41" s="364" t="str" cm="1">
        <f t="array" ref="F41">IFERROR(INDEX(WS_INCLUDE_API, MATCH(A41, CW_PWSID_LIST, 0)), "")</f>
        <v/>
      </c>
    </row>
    <row r="42" spans="1:6" x14ac:dyDescent="0.25">
      <c r="A42" s="225" t="str" cm="1">
        <f t="array" ref="A42">IFERROR(INDEX(CW_PWSID_LIST, SMALL(IF(CW_ORG_ID_LIST=ORG_ID_REF, ROW(CW_ORG_ID_LIST)-MIN(ROW(CW_ORG_ID_LIST))+1), ROW(12:12))), "")</f>
        <v/>
      </c>
      <c r="B42" s="27" t="str" cm="1">
        <f t="array" ref="B42">IFERROR(INDEX(CW_PWS_NAME_LIST, MATCH(A42, CW_PWSID_LIST, 0)), "")</f>
        <v/>
      </c>
      <c r="C42" s="27" t="str" cm="1">
        <f t="array" ref="C42">IFERROR(INDEX(CW_COUNTY_LIST, MATCH(A42, CW_PWSID_LIST, 0)), "")</f>
        <v/>
      </c>
      <c r="D42" s="226" t="str" cm="1">
        <f t="array" ref="D42">IF(B42="", "", IFERROR(INDEX(POP_VALUES, MATCH(A42, POP_PWSID_LIST, 0)), 0))</f>
        <v/>
      </c>
      <c r="E42" s="27" t="str">
        <f>IF(A42 = "", "", IFERROR(INDEX(Crosswalk_API!$J$2:$J$527, MATCH(A42, CW_PWSID_LIST, 0)), ""))</f>
        <v/>
      </c>
      <c r="F42" s="364" t="str" cm="1">
        <f t="array" ref="F42">IFERROR(INDEX(WS_INCLUDE_API, MATCH(A42, CW_PWSID_LIST, 0)), "")</f>
        <v/>
      </c>
    </row>
    <row r="43" spans="1:6" x14ac:dyDescent="0.25">
      <c r="A43" s="225" t="str" cm="1">
        <f t="array" ref="A43">IFERROR(INDEX(CW_PWSID_LIST, SMALL(IF(CW_ORG_ID_LIST=ORG_ID_REF, ROW(CW_ORG_ID_LIST)-MIN(ROW(CW_ORG_ID_LIST))+1), ROW(13:13))), "")</f>
        <v/>
      </c>
      <c r="B43" s="27" t="str" cm="1">
        <f t="array" ref="B43">IFERROR(INDEX(CW_PWS_NAME_LIST, MATCH(A43, CW_PWSID_LIST, 0)), "")</f>
        <v/>
      </c>
      <c r="C43" s="27" t="str" cm="1">
        <f t="array" ref="C43">IFERROR(INDEX(CW_COUNTY_LIST, MATCH(A43, CW_PWSID_LIST, 0)), "")</f>
        <v/>
      </c>
      <c r="D43" s="226" t="str" cm="1">
        <f t="array" ref="D43">IF(B43="", "", IFERROR(INDEX(POP_VALUES, MATCH(A43, POP_PWSID_LIST, 0)), 0))</f>
        <v/>
      </c>
      <c r="E43" s="27" t="str">
        <f>IF(A43 = "", "", IFERROR(INDEX(Crosswalk_API!$J$2:$J$527, MATCH(A43, CW_PWSID_LIST, 0)), ""))</f>
        <v/>
      </c>
      <c r="F43" s="364" t="str" cm="1">
        <f t="array" ref="F43">IFERROR(INDEX(WS_INCLUDE_API, MATCH(A43, CW_PWSID_LIST, 0)), "")</f>
        <v/>
      </c>
    </row>
    <row r="44" spans="1:6" x14ac:dyDescent="0.25">
      <c r="A44" s="225" t="str" cm="1">
        <f t="array" ref="A44">IFERROR(INDEX(CW_PWSID_LIST, SMALL(IF(CW_ORG_ID_LIST=ORG_ID_REF, ROW(CW_ORG_ID_LIST)-MIN(ROW(CW_ORG_ID_LIST))+1), ROW(14:14))), "")</f>
        <v/>
      </c>
      <c r="B44" s="27" t="str" cm="1">
        <f t="array" ref="B44">IFERROR(INDEX(CW_PWS_NAME_LIST, MATCH(A44, CW_PWSID_LIST, 0)), "")</f>
        <v/>
      </c>
      <c r="C44" s="27" t="str" cm="1">
        <f t="array" ref="C44">IFERROR(INDEX(CW_COUNTY_LIST, MATCH(A44, CW_PWSID_LIST, 0)), "")</f>
        <v/>
      </c>
      <c r="D44" s="226" t="str" cm="1">
        <f t="array" ref="D44">IF(B44="", "", IFERROR(INDEX(POP_VALUES, MATCH(A44, POP_PWSID_LIST, 0)), 0))</f>
        <v/>
      </c>
      <c r="E44" s="27" t="str">
        <f>IF(A44 = "", "", IFERROR(INDEX(Crosswalk_API!$J$2:$J$527, MATCH(A44, CW_PWSID_LIST, 0)), ""))</f>
        <v/>
      </c>
      <c r="F44" s="364" t="str" cm="1">
        <f t="array" ref="F44">IFERROR(INDEX(WS_INCLUDE_API, MATCH(A44, CW_PWSID_LIST, 0)), "")</f>
        <v/>
      </c>
    </row>
    <row r="45" spans="1:6" x14ac:dyDescent="0.25">
      <c r="A45" s="225" t="str" cm="1">
        <f t="array" ref="A45">IFERROR(INDEX(CW_PWSID_LIST, SMALL(IF(CW_ORG_ID_LIST=ORG_ID_REF, ROW(CW_ORG_ID_LIST)-MIN(ROW(CW_ORG_ID_LIST))+1), ROW(15:15))), "")</f>
        <v/>
      </c>
      <c r="B45" s="27" t="str" cm="1">
        <f t="array" ref="B45">IFERROR(INDEX(CW_PWS_NAME_LIST, MATCH(A45, CW_PWSID_LIST, 0)), "")</f>
        <v/>
      </c>
      <c r="C45" s="27" t="str" cm="1">
        <f t="array" ref="C45">IFERROR(INDEX(CW_COUNTY_LIST, MATCH(A45, CW_PWSID_LIST, 0)), "")</f>
        <v/>
      </c>
      <c r="D45" s="226" t="str" cm="1">
        <f t="array" ref="D45">IF(B45="", "", IFERROR(INDEX(POP_VALUES, MATCH(A45, POP_PWSID_LIST, 0)), 0))</f>
        <v/>
      </c>
      <c r="E45" s="27" t="str">
        <f>IF(A45 = "", "", IFERROR(INDEX(Crosswalk_API!$J$2:$J$527, MATCH(A45, CW_PWSID_LIST, 0)), ""))</f>
        <v/>
      </c>
      <c r="F45" s="364" t="str" cm="1">
        <f t="array" ref="F45">IFERROR(INDEX(WS_INCLUDE_API, MATCH(A45, CW_PWSID_LIST, 0)), "")</f>
        <v/>
      </c>
    </row>
    <row r="46" spans="1:6" x14ac:dyDescent="0.25">
      <c r="A46" s="225" t="str" cm="1">
        <f t="array" ref="A46">IFERROR(INDEX(CW_PWSID_LIST, SMALL(IF(CW_ORG_ID_LIST=ORG_ID_REF, ROW(CW_ORG_ID_LIST)-MIN(ROW(CW_ORG_ID_LIST))+1), ROW(16:16))), "")</f>
        <v/>
      </c>
      <c r="B46" s="27" t="str" cm="1">
        <f t="array" ref="B46">IFERROR(INDEX(CW_PWS_NAME_LIST, MATCH(A46, CW_PWSID_LIST, 0)), "")</f>
        <v/>
      </c>
      <c r="C46" s="27" t="str" cm="1">
        <f t="array" ref="C46">IFERROR(INDEX(CW_COUNTY_LIST, MATCH(A46, CW_PWSID_LIST, 0)), "")</f>
        <v/>
      </c>
      <c r="D46" s="226" t="str" cm="1">
        <f t="array" ref="D46">IF(B46="", "", IFERROR(INDEX(POP_VALUES, MATCH(A46, POP_PWSID_LIST, 0)), 0))</f>
        <v/>
      </c>
      <c r="E46" s="27" t="str">
        <f>IF(A46 = "", "", IFERROR(INDEX(Crosswalk_API!$J$2:$J$527, MATCH(A46, CW_PWSID_LIST, 0)), ""))</f>
        <v/>
      </c>
      <c r="F46" s="364" t="str" cm="1">
        <f t="array" ref="F46">IFERROR(INDEX(WS_INCLUDE_API, MATCH(A46, CW_PWSID_LIST, 0)), "")</f>
        <v/>
      </c>
    </row>
    <row r="47" spans="1:6" x14ac:dyDescent="0.25">
      <c r="A47" s="225" t="str" cm="1">
        <f t="array" ref="A47">IFERROR(INDEX(CW_PWSID_LIST, SMALL(IF(CW_ORG_ID_LIST=ORG_ID_REF, ROW(CW_ORG_ID_LIST)-MIN(ROW(CW_ORG_ID_LIST))+1), ROW(17:17))), "")</f>
        <v/>
      </c>
      <c r="B47" s="27" t="str" cm="1">
        <f t="array" ref="B47">IFERROR(INDEX(CW_PWS_NAME_LIST, MATCH(A47, CW_PWSID_LIST, 0)), "")</f>
        <v/>
      </c>
      <c r="C47" s="27" t="str" cm="1">
        <f t="array" ref="C47">IFERROR(INDEX(CW_COUNTY_LIST, MATCH(A47, CW_PWSID_LIST, 0)), "")</f>
        <v/>
      </c>
      <c r="D47" s="226" t="str" cm="1">
        <f t="array" ref="D47">IF(B47="", "", IFERROR(INDEX(POP_VALUES, MATCH(A47, POP_PWSID_LIST, 0)), 0))</f>
        <v/>
      </c>
      <c r="E47" s="27" t="str">
        <f>IF(A47 = "", "", IFERROR(INDEX(Crosswalk_API!$J$2:$J$527, MATCH(A47, CW_PWSID_LIST, 0)), ""))</f>
        <v/>
      </c>
      <c r="F47" s="364" t="str" cm="1">
        <f t="array" ref="F47">IFERROR(INDEX(WS_INCLUDE_API, MATCH(A47, CW_PWSID_LIST, 0)), "")</f>
        <v/>
      </c>
    </row>
    <row r="48" spans="1:6" x14ac:dyDescent="0.25">
      <c r="A48" s="225" t="str" cm="1">
        <f t="array" ref="A48">IFERROR(INDEX(CW_PWSID_LIST, SMALL(IF(CW_ORG_ID_LIST=ORG_ID_REF, ROW(CW_ORG_ID_LIST)-MIN(ROW(CW_ORG_ID_LIST))+1), ROW(18:18))), "")</f>
        <v/>
      </c>
      <c r="B48" s="27" t="str" cm="1">
        <f t="array" ref="B48">IFERROR(INDEX(CW_PWS_NAME_LIST, MATCH(A48, CW_PWSID_LIST, 0)), "")</f>
        <v/>
      </c>
      <c r="C48" s="27" t="str" cm="1">
        <f t="array" ref="C48">IFERROR(INDEX(CW_COUNTY_LIST, MATCH(A48, CW_PWSID_LIST, 0)), "")</f>
        <v/>
      </c>
      <c r="D48" s="226" t="str" cm="1">
        <f t="array" ref="D48">IF(B48="", "", IFERROR(INDEX(POP_VALUES, MATCH(A48, POP_PWSID_LIST, 0)), 0))</f>
        <v/>
      </c>
      <c r="E48" s="27" t="str">
        <f>IF(A48 = "", "", IFERROR(INDEX(Crosswalk_API!$J$2:$J$527, MATCH(A48, CW_PWSID_LIST, 0)), ""))</f>
        <v/>
      </c>
      <c r="F48" s="364" t="str" cm="1">
        <f t="array" ref="F48">IFERROR(INDEX(WS_INCLUDE_API, MATCH(A48, CW_PWSID_LIST, 0)), "")</f>
        <v/>
      </c>
    </row>
    <row r="49" spans="1:8" x14ac:dyDescent="0.25">
      <c r="A49" s="83"/>
      <c r="B49" s="83"/>
      <c r="C49" s="83"/>
      <c r="D49" s="83"/>
      <c r="E49" s="83"/>
      <c r="H49" s="83"/>
    </row>
    <row r="50" spans="1:8" x14ac:dyDescent="0.25">
      <c r="A50" s="83"/>
      <c r="B50" s="83"/>
      <c r="C50" s="83"/>
      <c r="D50" s="83"/>
      <c r="F50" s="83"/>
      <c r="H50" s="83"/>
    </row>
    <row r="51" spans="1:8" x14ac:dyDescent="0.25">
      <c r="A51" s="83"/>
      <c r="B51" s="83"/>
      <c r="C51" s="83"/>
      <c r="D51" s="83"/>
      <c r="E51" s="83"/>
      <c r="F51" s="83"/>
      <c r="H51" s="83"/>
    </row>
    <row r="52" spans="1:8" x14ac:dyDescent="0.25">
      <c r="A52" s="83"/>
      <c r="B52" s="83"/>
      <c r="C52" s="83"/>
      <c r="D52" s="83"/>
      <c r="E52" s="83"/>
      <c r="F52" s="83"/>
      <c r="H52" s="83"/>
    </row>
    <row r="53" spans="1:8" x14ac:dyDescent="0.25">
      <c r="A53" s="83"/>
      <c r="B53" s="83"/>
      <c r="C53" s="83"/>
      <c r="D53" s="83"/>
      <c r="E53" s="83"/>
      <c r="F53" s="83"/>
      <c r="H53" s="83"/>
    </row>
    <row r="54" spans="1:8" x14ac:dyDescent="0.25">
      <c r="A54" s="83"/>
      <c r="B54" s="83"/>
      <c r="C54" s="83"/>
      <c r="D54" s="83"/>
      <c r="E54" s="83"/>
      <c r="F54" s="83"/>
      <c r="H54" s="83"/>
    </row>
    <row r="55" spans="1:8" hidden="1" x14ac:dyDescent="0.25">
      <c r="E55" s="83"/>
      <c r="F55" s="83"/>
    </row>
    <row r="56" spans="1:8" hidden="1" x14ac:dyDescent="0.25">
      <c r="E56" s="83"/>
      <c r="F56" s="83"/>
    </row>
  </sheetData>
  <sheetProtection algorithmName="SHA-512" hashValue="rBI8IqvK1Bt+uojQhea2vWlKmwxMeFJumSO2/Rn5TDO//m80oy58+TSqqeTVDB2N8q31u+PKDUCCNymdyVauDw==" saltValue="UoGzt3CK3GURqX9w2nKVwA==" spinCount="100000" sheet="1" objects="1" scenarios="1"/>
  <protectedRanges>
    <protectedRange sqref="B11 B14:B19 B21 B23:B27 F31:F48" name="Landing Page"/>
  </protectedRanges>
  <conditionalFormatting sqref="A22:B27">
    <cfRule type="expression" dxfId="46" priority="1">
      <formula>$B$25="Yes"</formula>
    </cfRule>
  </conditionalFormatting>
  <conditionalFormatting sqref="D31:D48">
    <cfRule type="cellIs" dxfId="45" priority="4" operator="lessThan">
      <formula>0.00000000001</formula>
    </cfRule>
  </conditionalFormatting>
  <conditionalFormatting sqref="E31:E48">
    <cfRule type="cellIs" dxfId="44" priority="5" operator="lessThan">
      <formula>12</formula>
    </cfRule>
  </conditionalFormatting>
  <dataValidations count="4">
    <dataValidation allowBlank="1" showErrorMessage="1" error="Not a valid supplier name." promptTitle="URWS Name" prompt="Type or select urban retail water supplier name from the dropdown list. If your supplier is not on the list, please contact the State Water Board at the provided email in the README. " sqref="B12:B13" xr:uid="{F3867C91-8454-4D55-8B92-663FB1374EEA}"/>
    <dataValidation type="list" allowBlank="1" showInputMessage="1" showErrorMessage="1" sqref="B21" xr:uid="{31778BFF-77D0-4B1F-A6E0-82181F575F22}">
      <formula1>"Yes,No"</formula1>
    </dataValidation>
    <dataValidation type="list" allowBlank="1" showInputMessage="1" showErrorMessage="1" error="Not a valid supplier name." promptTitle="URWS Name" prompt="Type or select urban retail water supplier name from the dropdown list. If your supplier is not on the list, please contact the State Water Board at the provided email in the README. " sqref="B11" xr:uid="{90EA2F62-B0BD-41DC-862E-5F4B7C1A5CBA}">
      <formula1>CW_SUPPLIER_NAME_LIST</formula1>
    </dataValidation>
    <dataValidation type="list" allowBlank="1" showInputMessage="1" showErrorMessage="1" sqref="F31:F48" xr:uid="{5A2D0EF0-4444-43B1-AEE3-7391BA71720C}">
      <formula1>"No,Yes"</formula1>
    </dataValidation>
  </dataValidations>
  <hyperlinks>
    <hyperlink ref="E4" location="README!A1" display="README!A1" xr:uid="{15EF365E-DE93-4146-9AFC-FBA163C43F32}"/>
    <hyperlink ref="E6" location="'Indoor required certification'!A1" display="Indoor required certification" xr:uid="{893DD119-D9FB-42D9-99E7-A9E85B1D14B1}"/>
    <hyperlink ref="E7" location="'Res-Indoor Variances'!A1" display="Residential Indoor Variances" xr:uid="{432D399E-9A10-48B0-AA21-81785E4A4AD8}"/>
    <hyperlink ref="E9" location="'Outdoor required certification'!A1" display="Outdoor required certification" xr:uid="{57F51FD3-A3B8-48CB-8A0B-8F64AD9F4567}"/>
    <hyperlink ref="E5" location="'Preliminary Budget'!A1" display="Preliminary Budget Calculation" xr:uid="{C547CB8D-70C8-48F6-936C-E02EE448EDCE}"/>
    <hyperlink ref="E10" location="'Res-Outdoor Variances'!A1" display="Residential Outdoor Variances" xr:uid="{B7B6875D-801C-4EDD-9724-BD7BD64DFBB5}"/>
    <hyperlink ref="E15" location="'Residential Agriculture 1%'!A1" display="Residential Agriculture 1%" xr:uid="{128A1F1D-B4C4-4415-8FCF-1A91C850003E}"/>
    <hyperlink ref="E17" location="'Alternative Data or Methodology'!A1" display="Alternative Data or Methodology" xr:uid="{1A0A0AB3-6424-40CB-AD6D-58DEFA3FC71A}"/>
    <hyperlink ref="E16" location="'Residential Outdoor Components'!A1" display="Residential Outdoor Components" xr:uid="{EE460B56-15EC-4D85-A028-12672EA6DC6D}"/>
    <hyperlink ref="E13" location="'Emergency and Hi TDS Variances'!A1" display="Emergency and High TDS Variances" xr:uid="{7872F2FC-B341-4474-BE35-E845CE9A4546}"/>
    <hyperlink ref="E3" location="'Abbreviations and Color Key'!A1" display="Abbreviations and Color Key" xr:uid="{D91D2575-E1FC-4386-AACD-E89EFED3C54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DF172-A591-4A4E-AD3B-2A5359BDCC71}">
  <sheetPr codeName="Sheet32">
    <tabColor theme="8" tint="0.39997558519241921"/>
  </sheetPr>
  <dimension ref="A1:X6313"/>
  <sheetViews>
    <sheetView workbookViewId="0"/>
  </sheetViews>
  <sheetFormatPr defaultRowHeight="15" x14ac:dyDescent="0.25"/>
  <cols>
    <col min="1" max="1" width="9.7109375" bestFit="1" customWidth="1"/>
    <col min="2" max="2" width="61.7109375" bestFit="1" customWidth="1"/>
    <col min="3" max="3" width="10.28515625" bestFit="1" customWidth="1"/>
    <col min="4" max="4" width="42.7109375" bestFit="1" customWidth="1"/>
    <col min="5" max="5" width="32.7109375" bestFit="1" customWidth="1"/>
    <col min="6" max="6" width="31.140625" bestFit="1" customWidth="1"/>
    <col min="7" max="7" width="32.28515625" bestFit="1" customWidth="1"/>
    <col min="8" max="8" width="31.5703125" bestFit="1" customWidth="1"/>
    <col min="9" max="9" width="33.85546875" bestFit="1" customWidth="1"/>
    <col min="10" max="10" width="43.5703125" bestFit="1" customWidth="1"/>
    <col min="11" max="11" width="17.7109375" bestFit="1" customWidth="1"/>
    <col min="12" max="12" width="13.28515625" bestFit="1" customWidth="1"/>
    <col min="13" max="13" width="19.42578125" bestFit="1" customWidth="1"/>
    <col min="14" max="14" width="57.7109375" bestFit="1" customWidth="1"/>
    <col min="15" max="15" width="61.28515625" bestFit="1" customWidth="1"/>
    <col min="16" max="16" width="73" bestFit="1" customWidth="1"/>
    <col min="17" max="17" width="62.140625" bestFit="1" customWidth="1"/>
    <col min="18" max="19" width="65.7109375" bestFit="1" customWidth="1"/>
    <col min="20" max="20" width="16.85546875" bestFit="1" customWidth="1"/>
    <col min="21" max="21" width="15.28515625" bestFit="1" customWidth="1"/>
    <col min="22" max="22" width="28.85546875" bestFit="1" customWidth="1"/>
    <col min="23" max="23" width="26.7109375" bestFit="1" customWidth="1"/>
    <col min="24" max="24" width="10.5703125" bestFit="1" customWidth="1"/>
  </cols>
  <sheetData>
    <row r="1" spans="1:24" x14ac:dyDescent="0.25">
      <c r="A1" t="s">
        <v>679</v>
      </c>
      <c r="B1" t="s">
        <v>680</v>
      </c>
      <c r="C1" t="s">
        <v>61</v>
      </c>
      <c r="D1" t="s">
        <v>681</v>
      </c>
      <c r="E1" t="s">
        <v>3790</v>
      </c>
      <c r="F1" t="s">
        <v>3791</v>
      </c>
      <c r="G1" t="s">
        <v>3792</v>
      </c>
      <c r="H1" t="s">
        <v>3793</v>
      </c>
      <c r="I1" t="s">
        <v>3794</v>
      </c>
      <c r="J1" t="s">
        <v>3795</v>
      </c>
      <c r="K1" t="s">
        <v>3796</v>
      </c>
      <c r="L1" t="s">
        <v>3797</v>
      </c>
      <c r="M1" t="s">
        <v>3798</v>
      </c>
      <c r="N1" t="s">
        <v>3799</v>
      </c>
      <c r="O1" t="s">
        <v>3800</v>
      </c>
      <c r="P1" t="s">
        <v>3801</v>
      </c>
      <c r="Q1" t="s">
        <v>3802</v>
      </c>
      <c r="R1" t="s">
        <v>3803</v>
      </c>
      <c r="S1" s="213" t="s">
        <v>3804</v>
      </c>
      <c r="T1" t="s">
        <v>2608</v>
      </c>
      <c r="U1" t="s">
        <v>2609</v>
      </c>
      <c r="V1" t="s">
        <v>3805</v>
      </c>
      <c r="W1" t="s">
        <v>3806</v>
      </c>
      <c r="X1" t="s">
        <v>685</v>
      </c>
    </row>
    <row r="2" spans="1:24" x14ac:dyDescent="0.25">
      <c r="A2" t="s">
        <v>689</v>
      </c>
      <c r="B2" t="s">
        <v>690</v>
      </c>
      <c r="C2" t="s">
        <v>691</v>
      </c>
      <c r="D2" t="s">
        <v>692</v>
      </c>
      <c r="E2" s="9">
        <v>45108</v>
      </c>
      <c r="F2" s="9">
        <v>45138</v>
      </c>
      <c r="G2">
        <v>68759152</v>
      </c>
      <c r="H2">
        <v>5722200</v>
      </c>
      <c r="I2">
        <v>22258946.600000001</v>
      </c>
      <c r="J2">
        <v>2810236</v>
      </c>
      <c r="K2">
        <v>9850412</v>
      </c>
      <c r="L2">
        <v>1126114</v>
      </c>
      <c r="M2">
        <v>0</v>
      </c>
      <c r="T2" s="9">
        <v>45108</v>
      </c>
      <c r="U2" s="9">
        <v>45473</v>
      </c>
      <c r="V2">
        <f>SUM(POTABLE_NONPOTABLE_API[[#This Row],[RESIDENTIAL_SINGLEFAMILY_GAL]:[OTHER_GAL]])</f>
        <v>110527060.59999999</v>
      </c>
      <c r="W2">
        <f>SUM(POTABLE_NONPOTABLE_API[[#This Row],[NONPOTABLE_DEMAND_RESIDENTIAL_RECYCLED_WATER_GAL]:[NONPOTABLE_DEMAND_NONRESIDENTIAL_METERED_IRRIGATION_GAL]])</f>
        <v>0</v>
      </c>
      <c r="X2" t="str">
        <f>IFERROR(INDEX(Crosswalk_API!$H$2:$H$527, MATCH(POTABLE_NONPOTABLE_API[[#This Row],[PWSID]], CW_PWSID_LIST, 0)), "")</f>
        <v>No</v>
      </c>
    </row>
    <row r="3" spans="1:24" x14ac:dyDescent="0.25">
      <c r="A3" t="s">
        <v>689</v>
      </c>
      <c r="B3" t="s">
        <v>690</v>
      </c>
      <c r="C3" t="s">
        <v>691</v>
      </c>
      <c r="D3" t="s">
        <v>692</v>
      </c>
      <c r="E3" s="9">
        <v>45139</v>
      </c>
      <c r="F3" s="9">
        <v>45169</v>
      </c>
      <c r="G3">
        <v>86233208.640000001</v>
      </c>
      <c r="H3">
        <v>7706376.1499999994</v>
      </c>
      <c r="I3">
        <v>28384880.609999999</v>
      </c>
      <c r="J3">
        <v>2606808</v>
      </c>
      <c r="K3">
        <v>32585.100000000002</v>
      </c>
      <c r="L3">
        <v>2013759.18</v>
      </c>
      <c r="M3">
        <v>0</v>
      </c>
      <c r="T3" s="9">
        <v>45108</v>
      </c>
      <c r="U3" s="9">
        <v>45473</v>
      </c>
      <c r="V3">
        <f>SUM(POTABLE_NONPOTABLE_API[[#This Row],[RESIDENTIAL_SINGLEFAMILY_GAL]:[OTHER_GAL]])</f>
        <v>126977617.68000001</v>
      </c>
      <c r="W3">
        <f>SUM(POTABLE_NONPOTABLE_API[[#This Row],[NONPOTABLE_DEMAND_RESIDENTIAL_RECYCLED_WATER_GAL]:[NONPOTABLE_DEMAND_NONRESIDENTIAL_METERED_IRRIGATION_GAL]])</f>
        <v>0</v>
      </c>
      <c r="X3" t="str">
        <f>IFERROR(INDEX(Crosswalk_API!$H$2:$H$527, MATCH(POTABLE_NONPOTABLE_API[[#This Row],[PWSID]], CW_PWSID_LIST, 0)), "")</f>
        <v>No</v>
      </c>
    </row>
    <row r="4" spans="1:24" x14ac:dyDescent="0.25">
      <c r="A4" t="s">
        <v>689</v>
      </c>
      <c r="B4" t="s">
        <v>690</v>
      </c>
      <c r="C4" t="s">
        <v>691</v>
      </c>
      <c r="D4" t="s">
        <v>692</v>
      </c>
      <c r="E4" s="9">
        <v>45170</v>
      </c>
      <c r="F4" s="9">
        <v>45199</v>
      </c>
      <c r="G4">
        <v>61963826.159999996</v>
      </c>
      <c r="H4">
        <v>4548879.96</v>
      </c>
      <c r="I4">
        <v>17426511.48</v>
      </c>
      <c r="J4">
        <v>2098480.44</v>
      </c>
      <c r="K4">
        <v>19551.059999999998</v>
      </c>
      <c r="L4">
        <v>638667.96</v>
      </c>
      <c r="M4">
        <v>0</v>
      </c>
      <c r="T4" s="9">
        <v>45108</v>
      </c>
      <c r="U4" s="9">
        <v>45473</v>
      </c>
      <c r="V4">
        <f>SUM(POTABLE_NONPOTABLE_API[[#This Row],[RESIDENTIAL_SINGLEFAMILY_GAL]:[OTHER_GAL]])</f>
        <v>86695917.059999987</v>
      </c>
      <c r="W4">
        <f>SUM(POTABLE_NONPOTABLE_API[[#This Row],[NONPOTABLE_DEMAND_RESIDENTIAL_RECYCLED_WATER_GAL]:[NONPOTABLE_DEMAND_NONRESIDENTIAL_METERED_IRRIGATION_GAL]])</f>
        <v>0</v>
      </c>
      <c r="X4" t="str">
        <f>IFERROR(INDEX(Crosswalk_API!$H$2:$H$527, MATCH(POTABLE_NONPOTABLE_API[[#This Row],[PWSID]], CW_PWSID_LIST, 0)), "")</f>
        <v>No</v>
      </c>
    </row>
    <row r="5" spans="1:24" x14ac:dyDescent="0.25">
      <c r="A5" t="s">
        <v>689</v>
      </c>
      <c r="B5" t="s">
        <v>690</v>
      </c>
      <c r="C5" t="s">
        <v>691</v>
      </c>
      <c r="D5" t="s">
        <v>692</v>
      </c>
      <c r="E5" s="9">
        <v>45200</v>
      </c>
      <c r="F5" s="9">
        <v>45230</v>
      </c>
      <c r="G5">
        <v>70734301.016000003</v>
      </c>
      <c r="H5">
        <v>6637465.3960000006</v>
      </c>
      <c r="I5">
        <v>25945435.568</v>
      </c>
      <c r="J5">
        <v>36395722.008000001</v>
      </c>
      <c r="K5">
        <v>10450286.439999999</v>
      </c>
      <c r="L5">
        <v>8620551.2479999997</v>
      </c>
      <c r="M5">
        <v>0</v>
      </c>
      <c r="T5" s="9">
        <v>45108</v>
      </c>
      <c r="U5" s="9">
        <v>45473</v>
      </c>
      <c r="V5">
        <f>SUM(POTABLE_NONPOTABLE_API[[#This Row],[RESIDENTIAL_SINGLEFAMILY_GAL]:[OTHER_GAL]])</f>
        <v>158783761.676</v>
      </c>
      <c r="W5">
        <f>SUM(POTABLE_NONPOTABLE_API[[#This Row],[NONPOTABLE_DEMAND_RESIDENTIAL_RECYCLED_WATER_GAL]:[NONPOTABLE_DEMAND_NONRESIDENTIAL_METERED_IRRIGATION_GAL]])</f>
        <v>0</v>
      </c>
      <c r="X5" t="str">
        <f>IFERROR(INDEX(Crosswalk_API!$H$2:$H$527, MATCH(POTABLE_NONPOTABLE_API[[#This Row],[PWSID]], CW_PWSID_LIST, 0)), "")</f>
        <v>No</v>
      </c>
    </row>
    <row r="6" spans="1:24" x14ac:dyDescent="0.25">
      <c r="A6" t="s">
        <v>689</v>
      </c>
      <c r="B6" t="s">
        <v>690</v>
      </c>
      <c r="C6" t="s">
        <v>691</v>
      </c>
      <c r="D6" t="s">
        <v>692</v>
      </c>
      <c r="E6" s="9">
        <v>45231</v>
      </c>
      <c r="F6" s="9">
        <v>45260</v>
      </c>
      <c r="G6">
        <v>58913860.800000004</v>
      </c>
      <c r="H6">
        <v>5692616.9699999997</v>
      </c>
      <c r="I6">
        <v>14989146</v>
      </c>
      <c r="J6">
        <v>1762853.9100000001</v>
      </c>
      <c r="K6">
        <v>16292.550000000001</v>
      </c>
      <c r="L6">
        <v>2287474.02</v>
      </c>
      <c r="M6">
        <v>0</v>
      </c>
      <c r="T6" s="9">
        <v>45108</v>
      </c>
      <c r="U6" s="9">
        <v>45473</v>
      </c>
      <c r="V6">
        <f>SUM(POTABLE_NONPOTABLE_API[[#This Row],[RESIDENTIAL_SINGLEFAMILY_GAL]:[OTHER_GAL]])</f>
        <v>83662244.25</v>
      </c>
      <c r="W6">
        <f>SUM(POTABLE_NONPOTABLE_API[[#This Row],[NONPOTABLE_DEMAND_RESIDENTIAL_RECYCLED_WATER_GAL]:[NONPOTABLE_DEMAND_NONRESIDENTIAL_METERED_IRRIGATION_GAL]])</f>
        <v>0</v>
      </c>
      <c r="X6" t="str">
        <f>IFERROR(INDEX(Crosswalk_API!$H$2:$H$527, MATCH(POTABLE_NONPOTABLE_API[[#This Row],[PWSID]], CW_PWSID_LIST, 0)), "")</f>
        <v>No</v>
      </c>
    </row>
    <row r="7" spans="1:24" x14ac:dyDescent="0.25">
      <c r="A7" t="s">
        <v>689</v>
      </c>
      <c r="B7" t="s">
        <v>690</v>
      </c>
      <c r="C7" t="s">
        <v>691</v>
      </c>
      <c r="D7" t="s">
        <v>692</v>
      </c>
      <c r="E7" s="9">
        <v>45261</v>
      </c>
      <c r="F7" s="9">
        <v>45291</v>
      </c>
      <c r="G7">
        <v>48672363.870000005</v>
      </c>
      <c r="H7">
        <v>6269373.2399999993</v>
      </c>
      <c r="I7">
        <v>12708189</v>
      </c>
      <c r="J7">
        <v>736423.25999999989</v>
      </c>
      <c r="K7">
        <v>13034.04</v>
      </c>
      <c r="L7">
        <v>1717234.7699999998</v>
      </c>
      <c r="M7">
        <v>0</v>
      </c>
      <c r="T7" s="9">
        <v>45108</v>
      </c>
      <c r="U7" s="9">
        <v>45473</v>
      </c>
      <c r="V7">
        <f>SUM(POTABLE_NONPOTABLE_API[[#This Row],[RESIDENTIAL_SINGLEFAMILY_GAL]:[OTHER_GAL]])</f>
        <v>70116618.180000022</v>
      </c>
      <c r="W7">
        <f>SUM(POTABLE_NONPOTABLE_API[[#This Row],[NONPOTABLE_DEMAND_RESIDENTIAL_RECYCLED_WATER_GAL]:[NONPOTABLE_DEMAND_NONRESIDENTIAL_METERED_IRRIGATION_GAL]])</f>
        <v>0</v>
      </c>
      <c r="X7" t="str">
        <f>IFERROR(INDEX(Crosswalk_API!$H$2:$H$527, MATCH(POTABLE_NONPOTABLE_API[[#This Row],[PWSID]], CW_PWSID_LIST, 0)), "")</f>
        <v>No</v>
      </c>
    </row>
    <row r="8" spans="1:24" x14ac:dyDescent="0.25">
      <c r="A8" t="s">
        <v>689</v>
      </c>
      <c r="B8" t="s">
        <v>690</v>
      </c>
      <c r="C8" t="s">
        <v>691</v>
      </c>
      <c r="D8" t="s">
        <v>692</v>
      </c>
      <c r="E8" s="9">
        <v>45292</v>
      </c>
      <c r="F8" s="9">
        <v>45322</v>
      </c>
      <c r="G8">
        <v>48704948.969999999</v>
      </c>
      <c r="H8">
        <v>4532587.41</v>
      </c>
      <c r="I8">
        <v>13685742</v>
      </c>
      <c r="J8">
        <v>1322955.0599999998</v>
      </c>
      <c r="K8">
        <v>13034.04</v>
      </c>
      <c r="L8">
        <v>335626.53</v>
      </c>
      <c r="M8">
        <v>0</v>
      </c>
      <c r="T8" s="9">
        <v>45108</v>
      </c>
      <c r="U8" s="9">
        <v>45473</v>
      </c>
      <c r="V8">
        <f>SUM(POTABLE_NONPOTABLE_API[[#This Row],[RESIDENTIAL_SINGLEFAMILY_GAL]:[OTHER_GAL]])</f>
        <v>68594894.010000005</v>
      </c>
      <c r="W8">
        <f>SUM(POTABLE_NONPOTABLE_API[[#This Row],[NONPOTABLE_DEMAND_RESIDENTIAL_RECYCLED_WATER_GAL]:[NONPOTABLE_DEMAND_NONRESIDENTIAL_METERED_IRRIGATION_GAL]])</f>
        <v>0</v>
      </c>
      <c r="X8" t="str">
        <f>IFERROR(INDEX(Crosswalk_API!$H$2:$H$527, MATCH(POTABLE_NONPOTABLE_API[[#This Row],[PWSID]], CW_PWSID_LIST, 0)), "")</f>
        <v>No</v>
      </c>
    </row>
    <row r="9" spans="1:24" x14ac:dyDescent="0.25">
      <c r="A9" t="s">
        <v>689</v>
      </c>
      <c r="B9" t="s">
        <v>690</v>
      </c>
      <c r="C9" t="s">
        <v>691</v>
      </c>
      <c r="D9" t="s">
        <v>692</v>
      </c>
      <c r="E9" s="9">
        <v>45323</v>
      </c>
      <c r="F9" s="9">
        <v>45351</v>
      </c>
      <c r="G9">
        <v>44755634.850000001</v>
      </c>
      <c r="H9">
        <v>3473571.66</v>
      </c>
      <c r="I9">
        <v>20476476.84</v>
      </c>
      <c r="J9">
        <v>169442.52000000002</v>
      </c>
      <c r="K9">
        <v>10189360.77</v>
      </c>
      <c r="L9">
        <v>224837.18999999997</v>
      </c>
      <c r="M9">
        <v>0</v>
      </c>
      <c r="T9" s="9">
        <v>45108</v>
      </c>
      <c r="U9" s="9">
        <v>45473</v>
      </c>
      <c r="V9">
        <f>SUM(POTABLE_NONPOTABLE_API[[#This Row],[RESIDENTIAL_SINGLEFAMILY_GAL]:[OTHER_GAL]])</f>
        <v>79289323.829999998</v>
      </c>
      <c r="W9">
        <f>SUM(POTABLE_NONPOTABLE_API[[#This Row],[NONPOTABLE_DEMAND_RESIDENTIAL_RECYCLED_WATER_GAL]:[NONPOTABLE_DEMAND_NONRESIDENTIAL_METERED_IRRIGATION_GAL]])</f>
        <v>0</v>
      </c>
      <c r="X9" t="str">
        <f>IFERROR(INDEX(Crosswalk_API!$H$2:$H$527, MATCH(POTABLE_NONPOTABLE_API[[#This Row],[PWSID]], CW_PWSID_LIST, 0)), "")</f>
        <v>No</v>
      </c>
    </row>
    <row r="10" spans="1:24" x14ac:dyDescent="0.25">
      <c r="A10" t="s">
        <v>689</v>
      </c>
      <c r="B10" t="s">
        <v>690</v>
      </c>
      <c r="C10" t="s">
        <v>691</v>
      </c>
      <c r="D10" t="s">
        <v>692</v>
      </c>
      <c r="E10" s="9">
        <v>45352</v>
      </c>
      <c r="F10" s="9">
        <v>45382</v>
      </c>
      <c r="G10">
        <v>46052521.830000006</v>
      </c>
      <c r="H10">
        <v>5106085.17</v>
      </c>
      <c r="I10">
        <v>24764676</v>
      </c>
      <c r="J10">
        <v>175959.54</v>
      </c>
      <c r="K10">
        <v>5132153.25</v>
      </c>
      <c r="L10">
        <v>61911.69</v>
      </c>
      <c r="M10">
        <v>0</v>
      </c>
      <c r="T10" s="9">
        <v>45108</v>
      </c>
      <c r="U10" s="9">
        <v>45473</v>
      </c>
      <c r="V10">
        <f>SUM(POTABLE_NONPOTABLE_API[[#This Row],[RESIDENTIAL_SINGLEFAMILY_GAL]:[OTHER_GAL]])</f>
        <v>81293307.480000004</v>
      </c>
      <c r="W10">
        <f>SUM(POTABLE_NONPOTABLE_API[[#This Row],[NONPOTABLE_DEMAND_RESIDENTIAL_RECYCLED_WATER_GAL]:[NONPOTABLE_DEMAND_NONRESIDENTIAL_METERED_IRRIGATION_GAL]])</f>
        <v>0</v>
      </c>
      <c r="X10" t="str">
        <f>IFERROR(INDEX(Crosswalk_API!$H$2:$H$527, MATCH(POTABLE_NONPOTABLE_API[[#This Row],[PWSID]], CW_PWSID_LIST, 0)), "")</f>
        <v>No</v>
      </c>
    </row>
    <row r="11" spans="1:24" x14ac:dyDescent="0.25">
      <c r="A11" t="s">
        <v>689</v>
      </c>
      <c r="B11" t="s">
        <v>690</v>
      </c>
      <c r="C11" t="s">
        <v>691</v>
      </c>
      <c r="D11" t="s">
        <v>692</v>
      </c>
      <c r="E11" s="9">
        <v>45383</v>
      </c>
      <c r="F11" s="9">
        <v>45412</v>
      </c>
      <c r="G11">
        <v>64533700</v>
      </c>
      <c r="H11">
        <v>6944432</v>
      </c>
      <c r="I11">
        <v>14313989.800000001</v>
      </c>
      <c r="J11">
        <v>1700952</v>
      </c>
      <c r="K11">
        <v>14520176</v>
      </c>
      <c r="L11">
        <v>727804</v>
      </c>
      <c r="M11">
        <v>0</v>
      </c>
      <c r="T11" s="9">
        <v>45108</v>
      </c>
      <c r="U11" s="9">
        <v>45473</v>
      </c>
      <c r="V11">
        <f>SUM(POTABLE_NONPOTABLE_API[[#This Row],[RESIDENTIAL_SINGLEFAMILY_GAL]:[OTHER_GAL]])</f>
        <v>102741053.8</v>
      </c>
      <c r="W11">
        <f>SUM(POTABLE_NONPOTABLE_API[[#This Row],[NONPOTABLE_DEMAND_RESIDENTIAL_RECYCLED_WATER_GAL]:[NONPOTABLE_DEMAND_NONRESIDENTIAL_METERED_IRRIGATION_GAL]])</f>
        <v>0</v>
      </c>
      <c r="X11" t="str">
        <f>IFERROR(INDEX(Crosswalk_API!$H$2:$H$527, MATCH(POTABLE_NONPOTABLE_API[[#This Row],[PWSID]], CW_PWSID_LIST, 0)), "")</f>
        <v>No</v>
      </c>
    </row>
    <row r="12" spans="1:24" x14ac:dyDescent="0.25">
      <c r="A12" t="s">
        <v>689</v>
      </c>
      <c r="B12" t="s">
        <v>690</v>
      </c>
      <c r="C12" t="s">
        <v>691</v>
      </c>
      <c r="D12" t="s">
        <v>692</v>
      </c>
      <c r="E12" s="9">
        <v>45413</v>
      </c>
      <c r="F12" s="9">
        <v>45443</v>
      </c>
      <c r="G12">
        <v>66176308</v>
      </c>
      <c r="H12">
        <v>4492488</v>
      </c>
      <c r="I12">
        <v>58655990</v>
      </c>
      <c r="J12">
        <v>2242504</v>
      </c>
      <c r="K12">
        <v>12006896</v>
      </c>
      <c r="L12">
        <v>254320</v>
      </c>
      <c r="M12">
        <v>0</v>
      </c>
      <c r="T12" s="9">
        <v>45108</v>
      </c>
      <c r="U12" s="9">
        <v>45473</v>
      </c>
      <c r="V12">
        <f>SUM(POTABLE_NONPOTABLE_API[[#This Row],[RESIDENTIAL_SINGLEFAMILY_GAL]:[OTHER_GAL]])</f>
        <v>143828506</v>
      </c>
      <c r="W12">
        <f>SUM(POTABLE_NONPOTABLE_API[[#This Row],[NONPOTABLE_DEMAND_RESIDENTIAL_RECYCLED_WATER_GAL]:[NONPOTABLE_DEMAND_NONRESIDENTIAL_METERED_IRRIGATION_GAL]])</f>
        <v>0</v>
      </c>
      <c r="X12" t="str">
        <f>IFERROR(INDEX(Crosswalk_API!$H$2:$H$527, MATCH(POTABLE_NONPOTABLE_API[[#This Row],[PWSID]], CW_PWSID_LIST, 0)), "")</f>
        <v>No</v>
      </c>
    </row>
    <row r="13" spans="1:24" x14ac:dyDescent="0.25">
      <c r="A13" t="s">
        <v>689</v>
      </c>
      <c r="B13" t="s">
        <v>690</v>
      </c>
      <c r="C13" t="s">
        <v>691</v>
      </c>
      <c r="D13" t="s">
        <v>692</v>
      </c>
      <c r="E13" s="9">
        <v>45444</v>
      </c>
      <c r="F13" s="9">
        <v>45473</v>
      </c>
      <c r="G13">
        <v>82160320</v>
      </c>
      <c r="H13">
        <v>8014072</v>
      </c>
      <c r="I13">
        <v>21652356</v>
      </c>
      <c r="J13">
        <v>3451272</v>
      </c>
      <c r="K13">
        <v>13737020</v>
      </c>
      <c r="L13">
        <v>330616</v>
      </c>
      <c r="M13">
        <v>0</v>
      </c>
      <c r="T13" s="9">
        <v>45108</v>
      </c>
      <c r="U13" s="9">
        <v>45473</v>
      </c>
      <c r="V13">
        <f>SUM(POTABLE_NONPOTABLE_API[[#This Row],[RESIDENTIAL_SINGLEFAMILY_GAL]:[OTHER_GAL]])</f>
        <v>129345656</v>
      </c>
      <c r="W13">
        <f>SUM(POTABLE_NONPOTABLE_API[[#This Row],[NONPOTABLE_DEMAND_RESIDENTIAL_RECYCLED_WATER_GAL]:[NONPOTABLE_DEMAND_NONRESIDENTIAL_METERED_IRRIGATION_GAL]])</f>
        <v>0</v>
      </c>
      <c r="X13" t="str">
        <f>IFERROR(INDEX(Crosswalk_API!$H$2:$H$527, MATCH(POTABLE_NONPOTABLE_API[[#This Row],[PWSID]], CW_PWSID_LIST, 0)), "")</f>
        <v>No</v>
      </c>
    </row>
    <row r="14" spans="1:24" x14ac:dyDescent="0.25">
      <c r="A14" t="s">
        <v>695</v>
      </c>
      <c r="B14" t="s">
        <v>95</v>
      </c>
      <c r="C14" t="s">
        <v>696</v>
      </c>
      <c r="D14" t="s">
        <v>697</v>
      </c>
      <c r="E14" s="9">
        <v>45108</v>
      </c>
      <c r="F14" s="9">
        <v>45138</v>
      </c>
      <c r="G14">
        <v>541810000</v>
      </c>
      <c r="H14">
        <v>231310000</v>
      </c>
      <c r="I14">
        <v>156600000</v>
      </c>
      <c r="J14">
        <v>98870000</v>
      </c>
      <c r="K14">
        <v>100960000</v>
      </c>
      <c r="L14">
        <v>100240000</v>
      </c>
      <c r="M14">
        <v>0</v>
      </c>
      <c r="T14" s="9">
        <v>45108</v>
      </c>
      <c r="U14" s="9">
        <v>45473</v>
      </c>
      <c r="V14">
        <f>SUM(POTABLE_NONPOTABLE_API[[#This Row],[RESIDENTIAL_SINGLEFAMILY_GAL]:[OTHER_GAL]])</f>
        <v>1229790000</v>
      </c>
      <c r="W14">
        <f>SUM(POTABLE_NONPOTABLE_API[[#This Row],[NONPOTABLE_DEMAND_RESIDENTIAL_RECYCLED_WATER_GAL]:[NONPOTABLE_DEMAND_NONRESIDENTIAL_METERED_IRRIGATION_GAL]])</f>
        <v>0</v>
      </c>
      <c r="X14" t="str">
        <f>IFERROR(INDEX(Crosswalk_API!$H$2:$H$527, MATCH(POTABLE_NONPOTABLE_API[[#This Row],[PWSID]], CW_PWSID_LIST, 0)), "")</f>
        <v>No</v>
      </c>
    </row>
    <row r="15" spans="1:24" x14ac:dyDescent="0.25">
      <c r="A15" t="s">
        <v>695</v>
      </c>
      <c r="B15" t="s">
        <v>95</v>
      </c>
      <c r="C15" t="s">
        <v>696</v>
      </c>
      <c r="D15" t="s">
        <v>697</v>
      </c>
      <c r="E15" s="9">
        <v>45139</v>
      </c>
      <c r="F15" s="9">
        <v>45169</v>
      </c>
      <c r="G15">
        <v>496210000</v>
      </c>
      <c r="H15">
        <v>334580000</v>
      </c>
      <c r="I15">
        <v>201310000</v>
      </c>
      <c r="J15">
        <v>120320000</v>
      </c>
      <c r="K15">
        <v>53790000</v>
      </c>
      <c r="L15">
        <v>109360000</v>
      </c>
      <c r="M15">
        <v>0</v>
      </c>
      <c r="T15" s="9">
        <v>45108</v>
      </c>
      <c r="U15" s="9">
        <v>45473</v>
      </c>
      <c r="V15">
        <f>SUM(POTABLE_NONPOTABLE_API[[#This Row],[RESIDENTIAL_SINGLEFAMILY_GAL]:[OTHER_GAL]])</f>
        <v>1315570000</v>
      </c>
      <c r="W15">
        <f>SUM(POTABLE_NONPOTABLE_API[[#This Row],[NONPOTABLE_DEMAND_RESIDENTIAL_RECYCLED_WATER_GAL]:[NONPOTABLE_DEMAND_NONRESIDENTIAL_METERED_IRRIGATION_GAL]])</f>
        <v>0</v>
      </c>
      <c r="X15" t="str">
        <f>IFERROR(INDEX(Crosswalk_API!$H$2:$H$527, MATCH(POTABLE_NONPOTABLE_API[[#This Row],[PWSID]], CW_PWSID_LIST, 0)), "")</f>
        <v>No</v>
      </c>
    </row>
    <row r="16" spans="1:24" x14ac:dyDescent="0.25">
      <c r="A16" t="s">
        <v>695</v>
      </c>
      <c r="B16" t="s">
        <v>95</v>
      </c>
      <c r="C16" t="s">
        <v>696</v>
      </c>
      <c r="D16" t="s">
        <v>697</v>
      </c>
      <c r="E16" s="9">
        <v>45170</v>
      </c>
      <c r="F16" s="9">
        <v>45199</v>
      </c>
      <c r="G16">
        <v>569920000</v>
      </c>
      <c r="H16">
        <v>241130000</v>
      </c>
      <c r="I16">
        <v>172890000</v>
      </c>
      <c r="J16">
        <v>126880000</v>
      </c>
      <c r="K16">
        <v>95790000</v>
      </c>
      <c r="L16">
        <v>102270000</v>
      </c>
      <c r="M16">
        <v>0</v>
      </c>
      <c r="T16" s="9">
        <v>45108</v>
      </c>
      <c r="U16" s="9">
        <v>45473</v>
      </c>
      <c r="V16">
        <f>SUM(POTABLE_NONPOTABLE_API[[#This Row],[RESIDENTIAL_SINGLEFAMILY_GAL]:[OTHER_GAL]])</f>
        <v>1308880000</v>
      </c>
      <c r="W16">
        <f>SUM(POTABLE_NONPOTABLE_API[[#This Row],[NONPOTABLE_DEMAND_RESIDENTIAL_RECYCLED_WATER_GAL]:[NONPOTABLE_DEMAND_NONRESIDENTIAL_METERED_IRRIGATION_GAL]])</f>
        <v>0</v>
      </c>
      <c r="X16" t="str">
        <f>IFERROR(INDEX(Crosswalk_API!$H$2:$H$527, MATCH(POTABLE_NONPOTABLE_API[[#This Row],[PWSID]], CW_PWSID_LIST, 0)), "")</f>
        <v>No</v>
      </c>
    </row>
    <row r="17" spans="1:24" x14ac:dyDescent="0.25">
      <c r="A17" t="s">
        <v>695</v>
      </c>
      <c r="B17" t="s">
        <v>95</v>
      </c>
      <c r="C17" t="s">
        <v>696</v>
      </c>
      <c r="D17" t="s">
        <v>697</v>
      </c>
      <c r="E17" s="9">
        <v>45200</v>
      </c>
      <c r="F17" s="9">
        <v>45230</v>
      </c>
      <c r="G17">
        <v>522830000.00000006</v>
      </c>
      <c r="H17">
        <v>354840000</v>
      </c>
      <c r="I17">
        <v>192710000</v>
      </c>
      <c r="J17">
        <v>121550000</v>
      </c>
      <c r="K17">
        <v>53080000</v>
      </c>
      <c r="L17">
        <v>93370000</v>
      </c>
      <c r="M17">
        <v>0</v>
      </c>
      <c r="T17" s="9">
        <v>45108</v>
      </c>
      <c r="U17" s="9">
        <v>45473</v>
      </c>
      <c r="V17">
        <f>SUM(POTABLE_NONPOTABLE_API[[#This Row],[RESIDENTIAL_SINGLEFAMILY_GAL]:[OTHER_GAL]])</f>
        <v>1338380000</v>
      </c>
      <c r="W17">
        <f>SUM(POTABLE_NONPOTABLE_API[[#This Row],[NONPOTABLE_DEMAND_RESIDENTIAL_RECYCLED_WATER_GAL]:[NONPOTABLE_DEMAND_NONRESIDENTIAL_METERED_IRRIGATION_GAL]])</f>
        <v>0</v>
      </c>
      <c r="X17" t="str">
        <f>IFERROR(INDEX(Crosswalk_API!$H$2:$H$527, MATCH(POTABLE_NONPOTABLE_API[[#This Row],[PWSID]], CW_PWSID_LIST, 0)), "")</f>
        <v>No</v>
      </c>
    </row>
    <row r="18" spans="1:24" x14ac:dyDescent="0.25">
      <c r="A18" t="s">
        <v>695</v>
      </c>
      <c r="B18" t="s">
        <v>95</v>
      </c>
      <c r="C18" t="s">
        <v>696</v>
      </c>
      <c r="D18" t="s">
        <v>697</v>
      </c>
      <c r="E18" s="9">
        <v>45231</v>
      </c>
      <c r="F18" s="9">
        <v>45260</v>
      </c>
      <c r="G18">
        <v>493880000</v>
      </c>
      <c r="H18">
        <v>197050000</v>
      </c>
      <c r="I18">
        <v>142100000</v>
      </c>
      <c r="J18">
        <v>96420000</v>
      </c>
      <c r="K18">
        <v>89170000</v>
      </c>
      <c r="L18">
        <v>21650000</v>
      </c>
      <c r="M18">
        <v>0</v>
      </c>
      <c r="T18" s="9">
        <v>45108</v>
      </c>
      <c r="U18" s="9">
        <v>45473</v>
      </c>
      <c r="V18">
        <f>SUM(POTABLE_NONPOTABLE_API[[#This Row],[RESIDENTIAL_SINGLEFAMILY_GAL]:[OTHER_GAL]])</f>
        <v>1040270000</v>
      </c>
      <c r="W18">
        <f>SUM(POTABLE_NONPOTABLE_API[[#This Row],[NONPOTABLE_DEMAND_RESIDENTIAL_RECYCLED_WATER_GAL]:[NONPOTABLE_DEMAND_NONRESIDENTIAL_METERED_IRRIGATION_GAL]])</f>
        <v>0</v>
      </c>
      <c r="X18" t="str">
        <f>IFERROR(INDEX(Crosswalk_API!$H$2:$H$527, MATCH(POTABLE_NONPOTABLE_API[[#This Row],[PWSID]], CW_PWSID_LIST, 0)), "")</f>
        <v>No</v>
      </c>
    </row>
    <row r="19" spans="1:24" x14ac:dyDescent="0.25">
      <c r="A19" t="s">
        <v>695</v>
      </c>
      <c r="B19" t="s">
        <v>95</v>
      </c>
      <c r="C19" t="s">
        <v>696</v>
      </c>
      <c r="D19" t="s">
        <v>697</v>
      </c>
      <c r="E19" s="9">
        <v>45261</v>
      </c>
      <c r="F19" s="9">
        <v>45291</v>
      </c>
      <c r="G19">
        <v>410020000</v>
      </c>
      <c r="H19">
        <v>283610000</v>
      </c>
      <c r="I19">
        <v>150710000</v>
      </c>
      <c r="J19">
        <v>66709999.999999993</v>
      </c>
      <c r="K19">
        <v>49160000</v>
      </c>
      <c r="L19">
        <v>51190000</v>
      </c>
      <c r="M19">
        <v>0</v>
      </c>
      <c r="T19" s="9">
        <v>45108</v>
      </c>
      <c r="U19" s="9">
        <v>45473</v>
      </c>
      <c r="V19">
        <f>SUM(POTABLE_NONPOTABLE_API[[#This Row],[RESIDENTIAL_SINGLEFAMILY_GAL]:[OTHER_GAL]])</f>
        <v>1011400000</v>
      </c>
      <c r="W19">
        <f>SUM(POTABLE_NONPOTABLE_API[[#This Row],[NONPOTABLE_DEMAND_RESIDENTIAL_RECYCLED_WATER_GAL]:[NONPOTABLE_DEMAND_NONRESIDENTIAL_METERED_IRRIGATION_GAL]])</f>
        <v>0</v>
      </c>
      <c r="X19" t="str">
        <f>IFERROR(INDEX(Crosswalk_API!$H$2:$H$527, MATCH(POTABLE_NONPOTABLE_API[[#This Row],[PWSID]], CW_PWSID_LIST, 0)), "")</f>
        <v>No</v>
      </c>
    </row>
    <row r="20" spans="1:24" x14ac:dyDescent="0.25">
      <c r="A20" t="s">
        <v>695</v>
      </c>
      <c r="B20" t="s">
        <v>95</v>
      </c>
      <c r="C20" t="s">
        <v>696</v>
      </c>
      <c r="D20" t="s">
        <v>697</v>
      </c>
      <c r="E20" s="9">
        <v>45292</v>
      </c>
      <c r="F20" s="9">
        <v>45322</v>
      </c>
      <c r="G20">
        <v>376550000</v>
      </c>
      <c r="H20">
        <v>155730000</v>
      </c>
      <c r="I20">
        <v>122020000</v>
      </c>
      <c r="J20">
        <v>44770000</v>
      </c>
      <c r="K20">
        <v>61830000</v>
      </c>
      <c r="L20">
        <v>74580000</v>
      </c>
      <c r="M20">
        <v>0</v>
      </c>
      <c r="T20" s="9">
        <v>45108</v>
      </c>
      <c r="U20" s="9">
        <v>45473</v>
      </c>
      <c r="V20">
        <f>SUM(POTABLE_NONPOTABLE_API[[#This Row],[RESIDENTIAL_SINGLEFAMILY_GAL]:[OTHER_GAL]])</f>
        <v>835480000</v>
      </c>
      <c r="W20">
        <f>SUM(POTABLE_NONPOTABLE_API[[#This Row],[NONPOTABLE_DEMAND_RESIDENTIAL_RECYCLED_WATER_GAL]:[NONPOTABLE_DEMAND_NONRESIDENTIAL_METERED_IRRIGATION_GAL]])</f>
        <v>0</v>
      </c>
      <c r="X20" t="str">
        <f>IFERROR(INDEX(Crosswalk_API!$H$2:$H$527, MATCH(POTABLE_NONPOTABLE_API[[#This Row],[PWSID]], CW_PWSID_LIST, 0)), "")</f>
        <v>No</v>
      </c>
    </row>
    <row r="21" spans="1:24" x14ac:dyDescent="0.25">
      <c r="A21" t="s">
        <v>695</v>
      </c>
      <c r="B21" t="s">
        <v>95</v>
      </c>
      <c r="C21" t="s">
        <v>696</v>
      </c>
      <c r="D21" t="s">
        <v>697</v>
      </c>
      <c r="E21" s="9">
        <v>45323</v>
      </c>
      <c r="F21" s="9">
        <v>45351</v>
      </c>
      <c r="G21">
        <v>372220000</v>
      </c>
      <c r="H21">
        <v>231430000</v>
      </c>
      <c r="I21">
        <v>121610000</v>
      </c>
      <c r="J21">
        <v>21570000</v>
      </c>
      <c r="K21">
        <v>46640000</v>
      </c>
      <c r="L21">
        <v>89940000</v>
      </c>
      <c r="M21">
        <v>0</v>
      </c>
      <c r="T21" s="9">
        <v>45108</v>
      </c>
      <c r="U21" s="9">
        <v>45473</v>
      </c>
      <c r="V21">
        <f>SUM(POTABLE_NONPOTABLE_API[[#This Row],[RESIDENTIAL_SINGLEFAMILY_GAL]:[OTHER_GAL]])</f>
        <v>883410000</v>
      </c>
      <c r="W21">
        <f>SUM(POTABLE_NONPOTABLE_API[[#This Row],[NONPOTABLE_DEMAND_RESIDENTIAL_RECYCLED_WATER_GAL]:[NONPOTABLE_DEMAND_NONRESIDENTIAL_METERED_IRRIGATION_GAL]])</f>
        <v>0</v>
      </c>
      <c r="X21" t="str">
        <f>IFERROR(INDEX(Crosswalk_API!$H$2:$H$527, MATCH(POTABLE_NONPOTABLE_API[[#This Row],[PWSID]], CW_PWSID_LIST, 0)), "")</f>
        <v>No</v>
      </c>
    </row>
    <row r="22" spans="1:24" x14ac:dyDescent="0.25">
      <c r="A22" t="s">
        <v>695</v>
      </c>
      <c r="B22" t="s">
        <v>95</v>
      </c>
      <c r="C22" t="s">
        <v>696</v>
      </c>
      <c r="D22" t="s">
        <v>697</v>
      </c>
      <c r="E22" s="9">
        <v>45352</v>
      </c>
      <c r="F22" s="9">
        <v>45382</v>
      </c>
      <c r="G22">
        <v>299930000</v>
      </c>
      <c r="H22">
        <v>135830000</v>
      </c>
      <c r="I22">
        <v>119270000</v>
      </c>
      <c r="J22">
        <v>17030000</v>
      </c>
      <c r="K22">
        <v>88510000</v>
      </c>
      <c r="L22">
        <v>98970000</v>
      </c>
      <c r="M22">
        <v>0</v>
      </c>
      <c r="T22" s="9">
        <v>45108</v>
      </c>
      <c r="U22" s="9">
        <v>45473</v>
      </c>
      <c r="V22">
        <f>SUM(POTABLE_NONPOTABLE_API[[#This Row],[RESIDENTIAL_SINGLEFAMILY_GAL]:[OTHER_GAL]])</f>
        <v>759540000</v>
      </c>
      <c r="W22">
        <f>SUM(POTABLE_NONPOTABLE_API[[#This Row],[NONPOTABLE_DEMAND_RESIDENTIAL_RECYCLED_WATER_GAL]:[NONPOTABLE_DEMAND_NONRESIDENTIAL_METERED_IRRIGATION_GAL]])</f>
        <v>0</v>
      </c>
      <c r="X22" t="str">
        <f>IFERROR(INDEX(Crosswalk_API!$H$2:$H$527, MATCH(POTABLE_NONPOTABLE_API[[#This Row],[PWSID]], CW_PWSID_LIST, 0)), "")</f>
        <v>No</v>
      </c>
    </row>
    <row r="23" spans="1:24" x14ac:dyDescent="0.25">
      <c r="A23" t="s">
        <v>695</v>
      </c>
      <c r="B23" t="s">
        <v>95</v>
      </c>
      <c r="C23" t="s">
        <v>696</v>
      </c>
      <c r="D23" t="s">
        <v>697</v>
      </c>
      <c r="E23" s="9">
        <v>45383</v>
      </c>
      <c r="F23" s="9">
        <v>45412</v>
      </c>
      <c r="G23">
        <v>357200000</v>
      </c>
      <c r="H23">
        <v>245740000</v>
      </c>
      <c r="I23">
        <v>132270000.00000001</v>
      </c>
      <c r="J23">
        <v>24000000</v>
      </c>
      <c r="K23">
        <v>29820000</v>
      </c>
      <c r="L23">
        <v>103750000</v>
      </c>
      <c r="M23">
        <v>0</v>
      </c>
      <c r="T23" s="9">
        <v>45108</v>
      </c>
      <c r="U23" s="9">
        <v>45473</v>
      </c>
      <c r="V23">
        <f>SUM(POTABLE_NONPOTABLE_API[[#This Row],[RESIDENTIAL_SINGLEFAMILY_GAL]:[OTHER_GAL]])</f>
        <v>892780000</v>
      </c>
      <c r="W23">
        <f>SUM(POTABLE_NONPOTABLE_API[[#This Row],[NONPOTABLE_DEMAND_RESIDENTIAL_RECYCLED_WATER_GAL]:[NONPOTABLE_DEMAND_NONRESIDENTIAL_METERED_IRRIGATION_GAL]])</f>
        <v>0</v>
      </c>
      <c r="X23" t="str">
        <f>IFERROR(INDEX(Crosswalk_API!$H$2:$H$527, MATCH(POTABLE_NONPOTABLE_API[[#This Row],[PWSID]], CW_PWSID_LIST, 0)), "")</f>
        <v>No</v>
      </c>
    </row>
    <row r="24" spans="1:24" x14ac:dyDescent="0.25">
      <c r="A24" t="s">
        <v>695</v>
      </c>
      <c r="B24" t="s">
        <v>95</v>
      </c>
      <c r="C24" t="s">
        <v>696</v>
      </c>
      <c r="D24" t="s">
        <v>697</v>
      </c>
      <c r="E24" s="9">
        <v>45413</v>
      </c>
      <c r="F24" s="9">
        <v>45443</v>
      </c>
      <c r="G24">
        <v>372220000</v>
      </c>
      <c r="H24">
        <v>191220000</v>
      </c>
      <c r="I24">
        <v>118070000</v>
      </c>
      <c r="J24">
        <v>45900000</v>
      </c>
      <c r="K24">
        <v>101430000</v>
      </c>
      <c r="L24">
        <v>96450000</v>
      </c>
      <c r="M24">
        <v>0</v>
      </c>
      <c r="T24" s="9">
        <v>45108</v>
      </c>
      <c r="U24" s="9">
        <v>45473</v>
      </c>
      <c r="V24">
        <f>SUM(POTABLE_NONPOTABLE_API[[#This Row],[RESIDENTIAL_SINGLEFAMILY_GAL]:[OTHER_GAL]])</f>
        <v>925290000</v>
      </c>
      <c r="W24">
        <f>SUM(POTABLE_NONPOTABLE_API[[#This Row],[NONPOTABLE_DEMAND_RESIDENTIAL_RECYCLED_WATER_GAL]:[NONPOTABLE_DEMAND_NONRESIDENTIAL_METERED_IRRIGATION_GAL]])</f>
        <v>0</v>
      </c>
      <c r="X24" t="str">
        <f>IFERROR(INDEX(Crosswalk_API!$H$2:$H$527, MATCH(POTABLE_NONPOTABLE_API[[#This Row],[PWSID]], CW_PWSID_LIST, 0)), "")</f>
        <v>No</v>
      </c>
    </row>
    <row r="25" spans="1:24" x14ac:dyDescent="0.25">
      <c r="A25" t="s">
        <v>695</v>
      </c>
      <c r="B25" t="s">
        <v>95</v>
      </c>
      <c r="C25" t="s">
        <v>696</v>
      </c>
      <c r="D25" t="s">
        <v>697</v>
      </c>
      <c r="E25" s="9">
        <v>45444</v>
      </c>
      <c r="F25" s="9">
        <v>45473</v>
      </c>
      <c r="G25">
        <v>437460000</v>
      </c>
      <c r="H25">
        <v>333670000</v>
      </c>
      <c r="I25">
        <v>183820000</v>
      </c>
      <c r="J25">
        <v>90670000</v>
      </c>
      <c r="K25">
        <v>88560000</v>
      </c>
      <c r="L25">
        <v>93680000</v>
      </c>
      <c r="M25">
        <v>0</v>
      </c>
      <c r="T25" s="9">
        <v>45108</v>
      </c>
      <c r="U25" s="9">
        <v>45473</v>
      </c>
      <c r="V25">
        <f>SUM(POTABLE_NONPOTABLE_API[[#This Row],[RESIDENTIAL_SINGLEFAMILY_GAL]:[OTHER_GAL]])</f>
        <v>1227860000</v>
      </c>
      <c r="W25">
        <f>SUM(POTABLE_NONPOTABLE_API[[#This Row],[NONPOTABLE_DEMAND_RESIDENTIAL_RECYCLED_WATER_GAL]:[NONPOTABLE_DEMAND_NONRESIDENTIAL_METERED_IRRIGATION_GAL]])</f>
        <v>0</v>
      </c>
      <c r="X25" t="str">
        <f>IFERROR(INDEX(Crosswalk_API!$H$2:$H$527, MATCH(POTABLE_NONPOTABLE_API[[#This Row],[PWSID]], CW_PWSID_LIST, 0)), "")</f>
        <v>No</v>
      </c>
    </row>
    <row r="26" spans="1:24" x14ac:dyDescent="0.25">
      <c r="A26" t="s">
        <v>699</v>
      </c>
      <c r="B26" t="s">
        <v>700</v>
      </c>
      <c r="C26" t="s">
        <v>701</v>
      </c>
      <c r="D26" t="s">
        <v>702</v>
      </c>
      <c r="E26" s="9">
        <v>45108</v>
      </c>
      <c r="F26" s="9">
        <v>45138</v>
      </c>
      <c r="G26">
        <v>69192565.843999997</v>
      </c>
      <c r="H26">
        <v>23352687.335999999</v>
      </c>
      <c r="I26">
        <v>8651221.3800000008</v>
      </c>
      <c r="J26">
        <v>11891782.644000001</v>
      </c>
      <c r="K26">
        <v>0</v>
      </c>
      <c r="L26">
        <v>0</v>
      </c>
      <c r="M26">
        <v>0</v>
      </c>
      <c r="N26">
        <v>0</v>
      </c>
      <c r="O26">
        <v>0</v>
      </c>
      <c r="P26">
        <v>0</v>
      </c>
      <c r="Q26">
        <v>0</v>
      </c>
      <c r="R26">
        <v>8526000</v>
      </c>
      <c r="S26">
        <v>0</v>
      </c>
      <c r="T26" s="9">
        <v>45108</v>
      </c>
      <c r="U26" s="9">
        <v>45473</v>
      </c>
      <c r="V26">
        <f>SUM(POTABLE_NONPOTABLE_API[[#This Row],[RESIDENTIAL_SINGLEFAMILY_GAL]:[OTHER_GAL]])</f>
        <v>113088257.204</v>
      </c>
      <c r="W26">
        <f>SUM(POTABLE_NONPOTABLE_API[[#This Row],[NONPOTABLE_DEMAND_RESIDENTIAL_RECYCLED_WATER_GAL]:[NONPOTABLE_DEMAND_NONRESIDENTIAL_METERED_IRRIGATION_GAL]])</f>
        <v>8526000</v>
      </c>
      <c r="X26" t="str">
        <f>IFERROR(INDEX(Crosswalk_API!$H$2:$H$527, MATCH(POTABLE_NONPOTABLE_API[[#This Row],[PWSID]], CW_PWSID_LIST, 0)), "")</f>
        <v>No</v>
      </c>
    </row>
    <row r="27" spans="1:24" x14ac:dyDescent="0.25">
      <c r="A27" t="s">
        <v>699</v>
      </c>
      <c r="B27" t="s">
        <v>700</v>
      </c>
      <c r="C27" t="s">
        <v>701</v>
      </c>
      <c r="D27" t="s">
        <v>702</v>
      </c>
      <c r="E27" s="9">
        <v>45139</v>
      </c>
      <c r="F27" s="9">
        <v>45169</v>
      </c>
      <c r="G27">
        <v>75241314.316</v>
      </c>
      <c r="H27">
        <v>23610017.223999999</v>
      </c>
      <c r="I27">
        <v>10056063.036</v>
      </c>
      <c r="J27">
        <v>15212385.472000001</v>
      </c>
      <c r="K27">
        <v>0</v>
      </c>
      <c r="L27">
        <v>0</v>
      </c>
      <c r="M27">
        <v>0</v>
      </c>
      <c r="N27">
        <v>0</v>
      </c>
      <c r="O27">
        <v>0</v>
      </c>
      <c r="P27">
        <v>0</v>
      </c>
      <c r="Q27">
        <v>0</v>
      </c>
      <c r="R27">
        <v>4234722.3720000004</v>
      </c>
      <c r="S27">
        <v>0</v>
      </c>
      <c r="T27" s="9">
        <v>45108</v>
      </c>
      <c r="U27" s="9">
        <v>45473</v>
      </c>
      <c r="V27">
        <f>SUM(POTABLE_NONPOTABLE_API[[#This Row],[RESIDENTIAL_SINGLEFAMILY_GAL]:[OTHER_GAL]])</f>
        <v>124119780.04799999</v>
      </c>
      <c r="W27">
        <f>SUM(POTABLE_NONPOTABLE_API[[#This Row],[NONPOTABLE_DEMAND_RESIDENTIAL_RECYCLED_WATER_GAL]:[NONPOTABLE_DEMAND_NONRESIDENTIAL_METERED_IRRIGATION_GAL]])</f>
        <v>4234722.3720000004</v>
      </c>
      <c r="X27" t="str">
        <f>IFERROR(INDEX(Crosswalk_API!$H$2:$H$527, MATCH(POTABLE_NONPOTABLE_API[[#This Row],[PWSID]], CW_PWSID_LIST, 0)), "")</f>
        <v>No</v>
      </c>
    </row>
    <row r="28" spans="1:24" x14ac:dyDescent="0.25">
      <c r="A28" t="s">
        <v>699</v>
      </c>
      <c r="B28" t="s">
        <v>700</v>
      </c>
      <c r="C28" t="s">
        <v>701</v>
      </c>
      <c r="D28" t="s">
        <v>702</v>
      </c>
      <c r="E28" s="9">
        <v>45170</v>
      </c>
      <c r="F28" s="9">
        <v>45199</v>
      </c>
      <c r="G28">
        <v>69309261.956</v>
      </c>
      <c r="H28">
        <v>24521144.560000002</v>
      </c>
      <c r="I28">
        <v>10722577.368000001</v>
      </c>
      <c r="J28">
        <v>14590006.208000001</v>
      </c>
      <c r="K28">
        <v>0</v>
      </c>
      <c r="L28">
        <v>0</v>
      </c>
      <c r="M28">
        <v>0</v>
      </c>
      <c r="N28">
        <v>0</v>
      </c>
      <c r="O28">
        <v>0</v>
      </c>
      <c r="P28">
        <v>0</v>
      </c>
      <c r="Q28">
        <v>0</v>
      </c>
      <c r="R28">
        <v>527376.66</v>
      </c>
      <c r="S28">
        <v>0</v>
      </c>
      <c r="T28" s="9">
        <v>45108</v>
      </c>
      <c r="U28" s="9">
        <v>45473</v>
      </c>
      <c r="V28">
        <f>SUM(POTABLE_NONPOTABLE_API[[#This Row],[RESIDENTIAL_SINGLEFAMILY_GAL]:[OTHER_GAL]])</f>
        <v>119142990.09200001</v>
      </c>
      <c r="W28">
        <f>SUM(POTABLE_NONPOTABLE_API[[#This Row],[NONPOTABLE_DEMAND_RESIDENTIAL_RECYCLED_WATER_GAL]:[NONPOTABLE_DEMAND_NONRESIDENTIAL_METERED_IRRIGATION_GAL]])</f>
        <v>527376.66</v>
      </c>
      <c r="X28" t="str">
        <f>IFERROR(INDEX(Crosswalk_API!$H$2:$H$527, MATCH(POTABLE_NONPOTABLE_API[[#This Row],[PWSID]], CW_PWSID_LIST, 0)), "")</f>
        <v>No</v>
      </c>
    </row>
    <row r="29" spans="1:24" x14ac:dyDescent="0.25">
      <c r="A29" t="s">
        <v>699</v>
      </c>
      <c r="B29" t="s">
        <v>700</v>
      </c>
      <c r="C29" t="s">
        <v>701</v>
      </c>
      <c r="D29" t="s">
        <v>702</v>
      </c>
      <c r="E29" s="9">
        <v>45200</v>
      </c>
      <c r="F29" s="9">
        <v>45230</v>
      </c>
      <c r="G29">
        <v>65468014.936000004</v>
      </c>
      <c r="H29">
        <v>23774588.664000001</v>
      </c>
      <c r="I29">
        <v>10141340.964</v>
      </c>
      <c r="J29">
        <v>12255335.916000001</v>
      </c>
      <c r="K29">
        <v>0</v>
      </c>
      <c r="L29">
        <v>0</v>
      </c>
      <c r="M29">
        <v>0</v>
      </c>
      <c r="N29">
        <v>0</v>
      </c>
      <c r="O29">
        <v>0</v>
      </c>
      <c r="P29">
        <v>0</v>
      </c>
      <c r="Q29">
        <v>0</v>
      </c>
      <c r="R29">
        <v>683719.52800000005</v>
      </c>
      <c r="S29">
        <v>0</v>
      </c>
      <c r="T29" s="9">
        <v>45108</v>
      </c>
      <c r="U29" s="9">
        <v>45473</v>
      </c>
      <c r="V29">
        <f>SUM(POTABLE_NONPOTABLE_API[[#This Row],[RESIDENTIAL_SINGLEFAMILY_GAL]:[OTHER_GAL]])</f>
        <v>111639280.48000002</v>
      </c>
      <c r="W29">
        <f>SUM(POTABLE_NONPOTABLE_API[[#This Row],[NONPOTABLE_DEMAND_RESIDENTIAL_RECYCLED_WATER_GAL]:[NONPOTABLE_DEMAND_NONRESIDENTIAL_METERED_IRRIGATION_GAL]])</f>
        <v>683719.52800000005</v>
      </c>
      <c r="X29" t="str">
        <f>IFERROR(INDEX(Crosswalk_API!$H$2:$H$527, MATCH(POTABLE_NONPOTABLE_API[[#This Row],[PWSID]], CW_PWSID_LIST, 0)), "")</f>
        <v>No</v>
      </c>
    </row>
    <row r="30" spans="1:24" x14ac:dyDescent="0.25">
      <c r="A30" t="s">
        <v>699</v>
      </c>
      <c r="B30" t="s">
        <v>700</v>
      </c>
      <c r="C30" t="s">
        <v>701</v>
      </c>
      <c r="D30" t="s">
        <v>702</v>
      </c>
      <c r="E30" s="9">
        <v>45231</v>
      </c>
      <c r="F30" s="9">
        <v>45260</v>
      </c>
      <c r="G30">
        <v>60723869.152000003</v>
      </c>
      <c r="H30">
        <v>23234495.120000001</v>
      </c>
      <c r="I30">
        <v>9733652.6239999998</v>
      </c>
      <c r="J30">
        <v>9021507.120000001</v>
      </c>
      <c r="K30">
        <v>0</v>
      </c>
      <c r="L30">
        <v>0</v>
      </c>
      <c r="M30">
        <v>0</v>
      </c>
      <c r="N30">
        <v>0</v>
      </c>
      <c r="O30">
        <v>0</v>
      </c>
      <c r="P30">
        <v>0</v>
      </c>
      <c r="Q30">
        <v>0</v>
      </c>
      <c r="R30">
        <v>1156000</v>
      </c>
      <c r="T30" s="9">
        <v>45108</v>
      </c>
      <c r="U30" s="9">
        <v>45473</v>
      </c>
      <c r="V30">
        <f>SUM(POTABLE_NONPOTABLE_API[[#This Row],[RESIDENTIAL_SINGLEFAMILY_GAL]:[OTHER_GAL]])</f>
        <v>102713524.016</v>
      </c>
      <c r="W30">
        <f>SUM(POTABLE_NONPOTABLE_API[[#This Row],[NONPOTABLE_DEMAND_RESIDENTIAL_RECYCLED_WATER_GAL]:[NONPOTABLE_DEMAND_NONRESIDENTIAL_METERED_IRRIGATION_GAL]])</f>
        <v>1156000</v>
      </c>
      <c r="X30" t="str">
        <f>IFERROR(INDEX(Crosswalk_API!$H$2:$H$527, MATCH(POTABLE_NONPOTABLE_API[[#This Row],[PWSID]], CW_PWSID_LIST, 0)), "")</f>
        <v>No</v>
      </c>
    </row>
    <row r="31" spans="1:24" x14ac:dyDescent="0.25">
      <c r="A31" t="s">
        <v>699</v>
      </c>
      <c r="B31" t="s">
        <v>700</v>
      </c>
      <c r="C31" t="s">
        <v>701</v>
      </c>
      <c r="D31" t="s">
        <v>702</v>
      </c>
      <c r="E31" s="9">
        <v>45261</v>
      </c>
      <c r="F31" s="9">
        <v>45291</v>
      </c>
      <c r="G31">
        <v>55183047.987999998</v>
      </c>
      <c r="H31">
        <v>20441268.952</v>
      </c>
      <c r="I31">
        <v>7558317.4079999998</v>
      </c>
      <c r="J31">
        <v>5435345.8320000004</v>
      </c>
      <c r="K31">
        <v>0</v>
      </c>
      <c r="L31">
        <v>0</v>
      </c>
      <c r="M31">
        <v>0</v>
      </c>
      <c r="N31">
        <v>0</v>
      </c>
      <c r="O31">
        <v>0</v>
      </c>
      <c r="P31">
        <v>0</v>
      </c>
      <c r="Q31">
        <v>0</v>
      </c>
      <c r="R31">
        <v>766753.3</v>
      </c>
      <c r="S31">
        <v>0</v>
      </c>
      <c r="T31" s="9">
        <v>45108</v>
      </c>
      <c r="U31" s="9">
        <v>45473</v>
      </c>
      <c r="V31">
        <f>SUM(POTABLE_NONPOTABLE_API[[#This Row],[RESIDENTIAL_SINGLEFAMILY_GAL]:[OTHER_GAL]])</f>
        <v>88617980.179999992</v>
      </c>
      <c r="W31">
        <f>SUM(POTABLE_NONPOTABLE_API[[#This Row],[NONPOTABLE_DEMAND_RESIDENTIAL_RECYCLED_WATER_GAL]:[NONPOTABLE_DEMAND_NONRESIDENTIAL_METERED_IRRIGATION_GAL]])</f>
        <v>766753.3</v>
      </c>
      <c r="X31" t="str">
        <f>IFERROR(INDEX(Crosswalk_API!$H$2:$H$527, MATCH(POTABLE_NONPOTABLE_API[[#This Row],[PWSID]], CW_PWSID_LIST, 0)), "")</f>
        <v>No</v>
      </c>
    </row>
    <row r="32" spans="1:24" x14ac:dyDescent="0.25">
      <c r="A32" t="s">
        <v>699</v>
      </c>
      <c r="B32" t="s">
        <v>700</v>
      </c>
      <c r="C32" t="s">
        <v>701</v>
      </c>
      <c r="D32" t="s">
        <v>702</v>
      </c>
      <c r="E32" s="9">
        <v>45292</v>
      </c>
      <c r="F32" s="9">
        <v>45322</v>
      </c>
      <c r="G32">
        <v>52069655.564000003</v>
      </c>
      <c r="H32">
        <v>20133071.528000001</v>
      </c>
      <c r="I32">
        <v>6564156.2999999998</v>
      </c>
      <c r="J32">
        <v>2300259.9</v>
      </c>
      <c r="K32">
        <v>0</v>
      </c>
      <c r="L32">
        <v>0</v>
      </c>
      <c r="M32">
        <v>0</v>
      </c>
      <c r="N32">
        <v>0</v>
      </c>
      <c r="O32">
        <v>0</v>
      </c>
      <c r="P32">
        <v>0</v>
      </c>
      <c r="Q32">
        <v>0</v>
      </c>
      <c r="R32">
        <v>581236.40399999998</v>
      </c>
      <c r="S32">
        <v>0</v>
      </c>
      <c r="T32" s="9">
        <v>45108</v>
      </c>
      <c r="U32" s="9">
        <v>45473</v>
      </c>
      <c r="V32">
        <f>SUM(POTABLE_NONPOTABLE_API[[#This Row],[RESIDENTIAL_SINGLEFAMILY_GAL]:[OTHER_GAL]])</f>
        <v>81067143.292000011</v>
      </c>
      <c r="W32">
        <f>SUM(POTABLE_NONPOTABLE_API[[#This Row],[NONPOTABLE_DEMAND_RESIDENTIAL_RECYCLED_WATER_GAL]:[NONPOTABLE_DEMAND_NONRESIDENTIAL_METERED_IRRIGATION_GAL]])</f>
        <v>581236.40399999998</v>
      </c>
      <c r="X32" t="str">
        <f>IFERROR(INDEX(Crosswalk_API!$H$2:$H$527, MATCH(POTABLE_NONPOTABLE_API[[#This Row],[PWSID]], CW_PWSID_LIST, 0)), "")</f>
        <v>No</v>
      </c>
    </row>
    <row r="33" spans="1:24" x14ac:dyDescent="0.25">
      <c r="A33" t="s">
        <v>699</v>
      </c>
      <c r="B33" t="s">
        <v>700</v>
      </c>
      <c r="C33" t="s">
        <v>701</v>
      </c>
      <c r="D33" t="s">
        <v>702</v>
      </c>
      <c r="E33" s="9">
        <v>45323</v>
      </c>
      <c r="F33" s="9">
        <v>45351</v>
      </c>
      <c r="G33">
        <v>51601375.012000002</v>
      </c>
      <c r="H33">
        <v>21111523.544</v>
      </c>
      <c r="I33">
        <v>6346473.1680000005</v>
      </c>
      <c r="J33">
        <v>1230545.54</v>
      </c>
      <c r="K33">
        <v>0</v>
      </c>
      <c r="L33">
        <v>0</v>
      </c>
      <c r="M33">
        <v>0</v>
      </c>
      <c r="N33">
        <v>0</v>
      </c>
      <c r="O33">
        <v>0</v>
      </c>
      <c r="P33">
        <v>0</v>
      </c>
      <c r="Q33">
        <v>0</v>
      </c>
      <c r="R33">
        <v>88270.135999999999</v>
      </c>
      <c r="S33">
        <v>0</v>
      </c>
      <c r="T33" s="9">
        <v>45108</v>
      </c>
      <c r="U33" s="9">
        <v>45473</v>
      </c>
      <c r="V33">
        <f>SUM(POTABLE_NONPOTABLE_API[[#This Row],[RESIDENTIAL_SINGLEFAMILY_GAL]:[OTHER_GAL]])</f>
        <v>80289917.263999999</v>
      </c>
      <c r="W33">
        <f>SUM(POTABLE_NONPOTABLE_API[[#This Row],[NONPOTABLE_DEMAND_RESIDENTIAL_RECYCLED_WATER_GAL]:[NONPOTABLE_DEMAND_NONRESIDENTIAL_METERED_IRRIGATION_GAL]])</f>
        <v>88270.135999999999</v>
      </c>
      <c r="X33" t="str">
        <f>IFERROR(INDEX(Crosswalk_API!$H$2:$H$527, MATCH(POTABLE_NONPOTABLE_API[[#This Row],[PWSID]], CW_PWSID_LIST, 0)), "")</f>
        <v>No</v>
      </c>
    </row>
    <row r="34" spans="1:24" x14ac:dyDescent="0.25">
      <c r="A34" t="s">
        <v>699</v>
      </c>
      <c r="B34" t="s">
        <v>700</v>
      </c>
      <c r="C34" t="s">
        <v>701</v>
      </c>
      <c r="D34" t="s">
        <v>702</v>
      </c>
      <c r="E34" s="9">
        <v>45352</v>
      </c>
      <c r="F34" s="9">
        <v>45382</v>
      </c>
      <c r="G34">
        <v>47334486.403999999</v>
      </c>
      <c r="H34">
        <v>18782089.616</v>
      </c>
      <c r="I34">
        <v>5469008.1720000003</v>
      </c>
      <c r="J34">
        <v>1147511.7679999999</v>
      </c>
      <c r="K34">
        <v>0</v>
      </c>
      <c r="L34">
        <v>0</v>
      </c>
      <c r="M34">
        <v>0</v>
      </c>
      <c r="N34">
        <v>0</v>
      </c>
      <c r="O34">
        <v>0</v>
      </c>
      <c r="P34">
        <v>0</v>
      </c>
      <c r="Q34">
        <v>0</v>
      </c>
      <c r="R34">
        <v>503438.99600000004</v>
      </c>
      <c r="S34">
        <v>0</v>
      </c>
      <c r="T34" s="9">
        <v>45108</v>
      </c>
      <c r="U34" s="9">
        <v>45473</v>
      </c>
      <c r="V34">
        <f>SUM(POTABLE_NONPOTABLE_API[[#This Row],[RESIDENTIAL_SINGLEFAMILY_GAL]:[OTHER_GAL]])</f>
        <v>72733095.960000008</v>
      </c>
      <c r="W34">
        <f>SUM(POTABLE_NONPOTABLE_API[[#This Row],[NONPOTABLE_DEMAND_RESIDENTIAL_RECYCLED_WATER_GAL]:[NONPOTABLE_DEMAND_NONRESIDENTIAL_METERED_IRRIGATION_GAL]])</f>
        <v>503438.99600000004</v>
      </c>
      <c r="X34" t="str">
        <f>IFERROR(INDEX(Crosswalk_API!$H$2:$H$527, MATCH(POTABLE_NONPOTABLE_API[[#This Row],[PWSID]], CW_PWSID_LIST, 0)), "")</f>
        <v>No</v>
      </c>
    </row>
    <row r="35" spans="1:24" x14ac:dyDescent="0.25">
      <c r="A35" t="s">
        <v>699</v>
      </c>
      <c r="B35" t="s">
        <v>700</v>
      </c>
      <c r="C35" t="s">
        <v>701</v>
      </c>
      <c r="D35" t="s">
        <v>702</v>
      </c>
      <c r="E35" s="9">
        <v>45383</v>
      </c>
      <c r="F35" s="9">
        <v>45412</v>
      </c>
      <c r="G35">
        <v>54508305.083999999</v>
      </c>
      <c r="H35">
        <v>20107637.760000002</v>
      </c>
      <c r="I35">
        <v>6985309.5760000004</v>
      </c>
      <c r="J35">
        <v>3218867.7560000001</v>
      </c>
      <c r="K35">
        <v>0</v>
      </c>
      <c r="L35">
        <v>0</v>
      </c>
      <c r="M35">
        <v>0</v>
      </c>
      <c r="N35">
        <v>0</v>
      </c>
      <c r="O35">
        <v>0</v>
      </c>
      <c r="P35">
        <v>0</v>
      </c>
      <c r="Q35">
        <v>0</v>
      </c>
      <c r="R35">
        <v>877464.99600000004</v>
      </c>
      <c r="S35">
        <v>0</v>
      </c>
      <c r="T35" s="9">
        <v>45108</v>
      </c>
      <c r="U35" s="9">
        <v>45473</v>
      </c>
      <c r="V35">
        <f>SUM(POTABLE_NONPOTABLE_API[[#This Row],[RESIDENTIAL_SINGLEFAMILY_GAL]:[OTHER_GAL]])</f>
        <v>84820120.175999999</v>
      </c>
      <c r="W35">
        <f>SUM(POTABLE_NONPOTABLE_API[[#This Row],[NONPOTABLE_DEMAND_RESIDENTIAL_RECYCLED_WATER_GAL]:[NONPOTABLE_DEMAND_NONRESIDENTIAL_METERED_IRRIGATION_GAL]])</f>
        <v>877464.99600000004</v>
      </c>
      <c r="X35" t="str">
        <f>IFERROR(INDEX(Crosswalk_API!$H$2:$H$527, MATCH(POTABLE_NONPOTABLE_API[[#This Row],[PWSID]], CW_PWSID_LIST, 0)), "")</f>
        <v>No</v>
      </c>
    </row>
    <row r="36" spans="1:24" x14ac:dyDescent="0.25">
      <c r="A36" t="s">
        <v>699</v>
      </c>
      <c r="B36" t="s">
        <v>700</v>
      </c>
      <c r="C36" t="s">
        <v>701</v>
      </c>
      <c r="D36" t="s">
        <v>702</v>
      </c>
      <c r="E36" s="9">
        <v>45413</v>
      </c>
      <c r="F36" s="9">
        <v>45443</v>
      </c>
      <c r="G36">
        <v>57764575.440000005</v>
      </c>
      <c r="H36">
        <v>20810058.588</v>
      </c>
      <c r="I36">
        <v>8035574.5839999998</v>
      </c>
      <c r="J36">
        <v>6378639.4040000001</v>
      </c>
      <c r="K36">
        <v>0</v>
      </c>
      <c r="L36">
        <v>0</v>
      </c>
      <c r="M36">
        <v>0</v>
      </c>
      <c r="N36">
        <v>0</v>
      </c>
      <c r="O36">
        <v>0</v>
      </c>
      <c r="P36">
        <v>0</v>
      </c>
      <c r="Q36">
        <v>0</v>
      </c>
      <c r="R36">
        <v>1428779.32</v>
      </c>
      <c r="S36">
        <v>0</v>
      </c>
      <c r="T36" s="9">
        <v>45108</v>
      </c>
      <c r="U36" s="9">
        <v>45473</v>
      </c>
      <c r="V36">
        <f>SUM(POTABLE_NONPOTABLE_API[[#This Row],[RESIDENTIAL_SINGLEFAMILY_GAL]:[OTHER_GAL]])</f>
        <v>92988848.016000003</v>
      </c>
      <c r="W36">
        <f>SUM(POTABLE_NONPOTABLE_API[[#This Row],[NONPOTABLE_DEMAND_RESIDENTIAL_RECYCLED_WATER_GAL]:[NONPOTABLE_DEMAND_NONRESIDENTIAL_METERED_IRRIGATION_GAL]])</f>
        <v>1428779.32</v>
      </c>
      <c r="X36" t="str">
        <f>IFERROR(INDEX(Crosswalk_API!$H$2:$H$527, MATCH(POTABLE_NONPOTABLE_API[[#This Row],[PWSID]], CW_PWSID_LIST, 0)), "")</f>
        <v>No</v>
      </c>
    </row>
    <row r="37" spans="1:24" x14ac:dyDescent="0.25">
      <c r="A37" t="s">
        <v>699</v>
      </c>
      <c r="B37" t="s">
        <v>700</v>
      </c>
      <c r="C37" t="s">
        <v>701</v>
      </c>
      <c r="D37" t="s">
        <v>702</v>
      </c>
      <c r="E37" s="9">
        <v>45444</v>
      </c>
      <c r="F37" s="9">
        <v>45473</v>
      </c>
      <c r="G37">
        <v>71694799.784000009</v>
      </c>
      <c r="H37">
        <v>25280417.34</v>
      </c>
      <c r="I37">
        <v>9689517.5559999999</v>
      </c>
      <c r="J37">
        <v>11033018.948000001</v>
      </c>
      <c r="K37">
        <v>0</v>
      </c>
      <c r="L37">
        <v>0</v>
      </c>
      <c r="M37">
        <v>0</v>
      </c>
      <c r="N37">
        <v>0</v>
      </c>
      <c r="O37">
        <v>0</v>
      </c>
      <c r="P37">
        <v>0</v>
      </c>
      <c r="Q37">
        <v>0</v>
      </c>
      <c r="R37">
        <v>1968872.8640000001</v>
      </c>
      <c r="S37">
        <v>0</v>
      </c>
      <c r="T37" s="9">
        <v>45108</v>
      </c>
      <c r="U37" s="9">
        <v>45473</v>
      </c>
      <c r="V37">
        <f>SUM(POTABLE_NONPOTABLE_API[[#This Row],[RESIDENTIAL_SINGLEFAMILY_GAL]:[OTHER_GAL]])</f>
        <v>117697753.62800001</v>
      </c>
      <c r="W37">
        <f>SUM(POTABLE_NONPOTABLE_API[[#This Row],[NONPOTABLE_DEMAND_RESIDENTIAL_RECYCLED_WATER_GAL]:[NONPOTABLE_DEMAND_NONRESIDENTIAL_METERED_IRRIGATION_GAL]])</f>
        <v>1968872.8640000001</v>
      </c>
      <c r="X37" t="str">
        <f>IFERROR(INDEX(Crosswalk_API!$H$2:$H$527, MATCH(POTABLE_NONPOTABLE_API[[#This Row],[PWSID]], CW_PWSID_LIST, 0)), "")</f>
        <v>No</v>
      </c>
    </row>
    <row r="38" spans="1:24" x14ac:dyDescent="0.25">
      <c r="A38" t="s">
        <v>704</v>
      </c>
      <c r="B38" t="s">
        <v>705</v>
      </c>
      <c r="C38" t="s">
        <v>706</v>
      </c>
      <c r="D38" t="s">
        <v>707</v>
      </c>
      <c r="E38" s="9">
        <v>45108</v>
      </c>
      <c r="F38" s="9">
        <v>45138</v>
      </c>
      <c r="G38">
        <v>65655027.936000004</v>
      </c>
      <c r="H38">
        <v>73838716.816</v>
      </c>
      <c r="I38">
        <v>42048750.972000003</v>
      </c>
      <c r="J38">
        <v>3348280.7519999999</v>
      </c>
      <c r="K38">
        <v>1665163.7520000001</v>
      </c>
      <c r="L38">
        <v>87522.084000000003</v>
      </c>
      <c r="M38">
        <v>0</v>
      </c>
      <c r="N38">
        <v>0</v>
      </c>
      <c r="O38">
        <v>0</v>
      </c>
      <c r="P38">
        <v>0</v>
      </c>
      <c r="Q38">
        <v>0</v>
      </c>
      <c r="R38">
        <v>0</v>
      </c>
      <c r="S38">
        <v>0</v>
      </c>
      <c r="T38" s="9">
        <v>45108</v>
      </c>
      <c r="U38" s="9">
        <v>45473</v>
      </c>
      <c r="V38">
        <f>SUM(POTABLE_NONPOTABLE_API[[#This Row],[RESIDENTIAL_SINGLEFAMILY_GAL]:[OTHER_GAL]])</f>
        <v>186643462.31200001</v>
      </c>
      <c r="W38">
        <f>SUM(POTABLE_NONPOTABLE_API[[#This Row],[NONPOTABLE_DEMAND_RESIDENTIAL_RECYCLED_WATER_GAL]:[NONPOTABLE_DEMAND_NONRESIDENTIAL_METERED_IRRIGATION_GAL]])</f>
        <v>0</v>
      </c>
      <c r="X38" t="str">
        <f>IFERROR(INDEX(Crosswalk_API!$H$2:$H$527, MATCH(POTABLE_NONPOTABLE_API[[#This Row],[PWSID]], CW_PWSID_LIST, 0)), "")</f>
        <v>No</v>
      </c>
    </row>
    <row r="39" spans="1:24" x14ac:dyDescent="0.25">
      <c r="A39" t="s">
        <v>704</v>
      </c>
      <c r="B39" t="s">
        <v>705</v>
      </c>
      <c r="C39" t="s">
        <v>706</v>
      </c>
      <c r="D39" t="s">
        <v>707</v>
      </c>
      <c r="E39" s="9">
        <v>45139</v>
      </c>
      <c r="F39" s="9">
        <v>45169</v>
      </c>
      <c r="G39">
        <v>98012017.19600001</v>
      </c>
      <c r="H39">
        <v>114595581.984</v>
      </c>
      <c r="I39">
        <v>48771494.296000004</v>
      </c>
      <c r="J39">
        <v>26337414.816</v>
      </c>
      <c r="K39">
        <v>0</v>
      </c>
      <c r="L39">
        <v>0</v>
      </c>
      <c r="M39">
        <v>0</v>
      </c>
      <c r="T39" s="9">
        <v>45108</v>
      </c>
      <c r="U39" s="9">
        <v>45473</v>
      </c>
      <c r="V39">
        <f>SUM(POTABLE_NONPOTABLE_API[[#This Row],[RESIDENTIAL_SINGLEFAMILY_GAL]:[OTHER_GAL]])</f>
        <v>287716508.292</v>
      </c>
      <c r="W39">
        <f>SUM(POTABLE_NONPOTABLE_API[[#This Row],[NONPOTABLE_DEMAND_RESIDENTIAL_RECYCLED_WATER_GAL]:[NONPOTABLE_DEMAND_NONRESIDENTIAL_METERED_IRRIGATION_GAL]])</f>
        <v>0</v>
      </c>
      <c r="X39" t="str">
        <f>IFERROR(INDEX(Crosswalk_API!$H$2:$H$527, MATCH(POTABLE_NONPOTABLE_API[[#This Row],[PWSID]], CW_PWSID_LIST, 0)), "")</f>
        <v>No</v>
      </c>
    </row>
    <row r="40" spans="1:24" x14ac:dyDescent="0.25">
      <c r="A40" t="s">
        <v>704</v>
      </c>
      <c r="B40" t="s">
        <v>705</v>
      </c>
      <c r="C40" t="s">
        <v>706</v>
      </c>
      <c r="D40" t="s">
        <v>707</v>
      </c>
      <c r="E40" s="9">
        <v>45170</v>
      </c>
      <c r="F40" s="9">
        <v>45199</v>
      </c>
      <c r="G40">
        <v>74822405.195999995</v>
      </c>
      <c r="H40">
        <v>81637906.96800001</v>
      </c>
      <c r="I40">
        <v>48525385.188000001</v>
      </c>
      <c r="J40">
        <v>3984124.952</v>
      </c>
      <c r="K40">
        <v>1775875.4480000001</v>
      </c>
      <c r="L40">
        <v>109215.592</v>
      </c>
      <c r="M40">
        <v>0</v>
      </c>
      <c r="T40" s="9">
        <v>45108</v>
      </c>
      <c r="U40" s="9">
        <v>45473</v>
      </c>
      <c r="V40">
        <f>SUM(POTABLE_NONPOTABLE_API[[#This Row],[RESIDENTIAL_SINGLEFAMILY_GAL]:[OTHER_GAL]])</f>
        <v>210854913.34400001</v>
      </c>
      <c r="W40">
        <f>SUM(POTABLE_NONPOTABLE_API[[#This Row],[NONPOTABLE_DEMAND_RESIDENTIAL_RECYCLED_WATER_GAL]:[NONPOTABLE_DEMAND_NONRESIDENTIAL_METERED_IRRIGATION_GAL]])</f>
        <v>0</v>
      </c>
      <c r="X40" t="str">
        <f>IFERROR(INDEX(Crosswalk_API!$H$2:$H$527, MATCH(POTABLE_NONPOTABLE_API[[#This Row],[PWSID]], CW_PWSID_LIST, 0)), "")</f>
        <v>No</v>
      </c>
    </row>
    <row r="41" spans="1:24" x14ac:dyDescent="0.25">
      <c r="A41" t="s">
        <v>704</v>
      </c>
      <c r="B41" t="s">
        <v>705</v>
      </c>
      <c r="C41" t="s">
        <v>706</v>
      </c>
      <c r="D41" t="s">
        <v>707</v>
      </c>
      <c r="E41" s="9">
        <v>45200</v>
      </c>
      <c r="F41" s="9">
        <v>45230</v>
      </c>
      <c r="G41">
        <v>95648920.928000003</v>
      </c>
      <c r="H41">
        <v>118546044.596</v>
      </c>
      <c r="I41">
        <v>51659723.068000004</v>
      </c>
      <c r="J41">
        <v>20480915.708000001</v>
      </c>
      <c r="K41">
        <v>0</v>
      </c>
      <c r="L41">
        <v>0</v>
      </c>
      <c r="M41">
        <v>0</v>
      </c>
      <c r="N41">
        <v>0</v>
      </c>
      <c r="O41">
        <v>0</v>
      </c>
      <c r="P41">
        <v>0</v>
      </c>
      <c r="Q41">
        <v>0</v>
      </c>
      <c r="R41">
        <v>0</v>
      </c>
      <c r="S41">
        <v>6534982.2719999999</v>
      </c>
      <c r="T41" s="9">
        <v>45108</v>
      </c>
      <c r="U41" s="9">
        <v>45473</v>
      </c>
      <c r="V41">
        <f>SUM(POTABLE_NONPOTABLE_API[[#This Row],[RESIDENTIAL_SINGLEFAMILY_GAL]:[OTHER_GAL]])</f>
        <v>286335604.30000001</v>
      </c>
      <c r="W41">
        <f>SUM(POTABLE_NONPOTABLE_API[[#This Row],[NONPOTABLE_DEMAND_RESIDENTIAL_RECYCLED_WATER_GAL]:[NONPOTABLE_DEMAND_NONRESIDENTIAL_METERED_IRRIGATION_GAL]])</f>
        <v>6534982.2719999999</v>
      </c>
      <c r="X41" t="str">
        <f>IFERROR(INDEX(Crosswalk_API!$H$2:$H$527, MATCH(POTABLE_NONPOTABLE_API[[#This Row],[PWSID]], CW_PWSID_LIST, 0)), "")</f>
        <v>No</v>
      </c>
    </row>
    <row r="42" spans="1:24" x14ac:dyDescent="0.25">
      <c r="A42" t="s">
        <v>704</v>
      </c>
      <c r="B42" t="s">
        <v>705</v>
      </c>
      <c r="C42" t="s">
        <v>706</v>
      </c>
      <c r="D42" t="s">
        <v>707</v>
      </c>
      <c r="E42" s="9">
        <v>45231</v>
      </c>
      <c r="F42" s="9">
        <v>45260</v>
      </c>
      <c r="G42">
        <v>62902944.627999999</v>
      </c>
      <c r="H42">
        <v>74170103.851999998</v>
      </c>
      <c r="I42">
        <v>39296667.664000005</v>
      </c>
      <c r="J42">
        <v>3246545.68</v>
      </c>
      <c r="K42">
        <v>1569413.0960000001</v>
      </c>
      <c r="L42">
        <v>115200.008</v>
      </c>
      <c r="M42">
        <v>0</v>
      </c>
      <c r="N42">
        <v>0</v>
      </c>
      <c r="O42">
        <v>0</v>
      </c>
      <c r="P42">
        <v>0</v>
      </c>
      <c r="Q42">
        <v>0</v>
      </c>
      <c r="R42">
        <v>0</v>
      </c>
      <c r="S42">
        <v>3657226.2280000001</v>
      </c>
      <c r="T42" s="9">
        <v>45108</v>
      </c>
      <c r="U42" s="9">
        <v>45473</v>
      </c>
      <c r="V42">
        <f>SUM(POTABLE_NONPOTABLE_API[[#This Row],[RESIDENTIAL_SINGLEFAMILY_GAL]:[OTHER_GAL]])</f>
        <v>181300874.92799997</v>
      </c>
      <c r="W42">
        <f>SUM(POTABLE_NONPOTABLE_API[[#This Row],[NONPOTABLE_DEMAND_RESIDENTIAL_RECYCLED_WATER_GAL]:[NONPOTABLE_DEMAND_NONRESIDENTIAL_METERED_IRRIGATION_GAL]])</f>
        <v>3657226.2280000001</v>
      </c>
      <c r="X42" t="str">
        <f>IFERROR(INDEX(Crosswalk_API!$H$2:$H$527, MATCH(POTABLE_NONPOTABLE_API[[#This Row],[PWSID]], CW_PWSID_LIST, 0)), "")</f>
        <v>No</v>
      </c>
    </row>
    <row r="43" spans="1:24" x14ac:dyDescent="0.25">
      <c r="A43" t="s">
        <v>704</v>
      </c>
      <c r="B43" t="s">
        <v>705</v>
      </c>
      <c r="C43" t="s">
        <v>706</v>
      </c>
      <c r="D43" t="s">
        <v>707</v>
      </c>
      <c r="E43" s="9">
        <v>45261</v>
      </c>
      <c r="F43" s="9">
        <v>45291</v>
      </c>
      <c r="G43">
        <v>89196224.376000002</v>
      </c>
      <c r="H43">
        <v>113749535.17200001</v>
      </c>
      <c r="I43">
        <v>8440270.716</v>
      </c>
      <c r="J43">
        <v>13309341.184</v>
      </c>
      <c r="K43">
        <v>0</v>
      </c>
      <c r="L43">
        <v>748.05200000000002</v>
      </c>
      <c r="M43">
        <v>0</v>
      </c>
      <c r="N43">
        <v>0</v>
      </c>
      <c r="O43">
        <v>0</v>
      </c>
      <c r="Q43">
        <v>0</v>
      </c>
      <c r="R43">
        <v>0</v>
      </c>
      <c r="S43">
        <v>2272581.9760000003</v>
      </c>
      <c r="T43" s="9">
        <v>45108</v>
      </c>
      <c r="U43" s="9">
        <v>45473</v>
      </c>
      <c r="V43">
        <f>SUM(POTABLE_NONPOTABLE_API[[#This Row],[RESIDENTIAL_SINGLEFAMILY_GAL]:[OTHER_GAL]])</f>
        <v>224696119.5</v>
      </c>
      <c r="W43">
        <f>SUM(POTABLE_NONPOTABLE_API[[#This Row],[NONPOTABLE_DEMAND_RESIDENTIAL_RECYCLED_WATER_GAL]:[NONPOTABLE_DEMAND_NONRESIDENTIAL_METERED_IRRIGATION_GAL]])</f>
        <v>2272581.9760000003</v>
      </c>
      <c r="X43" t="str">
        <f>IFERROR(INDEX(Crosswalk_API!$H$2:$H$527, MATCH(POTABLE_NONPOTABLE_API[[#This Row],[PWSID]], CW_PWSID_LIST, 0)), "")</f>
        <v>No</v>
      </c>
    </row>
    <row r="44" spans="1:24" x14ac:dyDescent="0.25">
      <c r="A44" t="s">
        <v>704</v>
      </c>
      <c r="B44" t="s">
        <v>705</v>
      </c>
      <c r="C44" t="s">
        <v>706</v>
      </c>
      <c r="D44" t="s">
        <v>707</v>
      </c>
      <c r="E44" s="9">
        <v>45292</v>
      </c>
      <c r="F44" s="9">
        <v>45322</v>
      </c>
      <c r="G44">
        <v>59725967.784000002</v>
      </c>
      <c r="H44">
        <v>75173989.636000007</v>
      </c>
      <c r="I44">
        <v>35488334.932000004</v>
      </c>
      <c r="J44">
        <v>2770784.608</v>
      </c>
      <c r="K44">
        <v>1454961.1400000001</v>
      </c>
      <c r="L44">
        <v>261818.2</v>
      </c>
      <c r="M44">
        <v>0</v>
      </c>
      <c r="N44">
        <v>0</v>
      </c>
      <c r="O44">
        <v>0</v>
      </c>
      <c r="Q44">
        <v>0</v>
      </c>
      <c r="R44">
        <v>0</v>
      </c>
      <c r="S44">
        <v>610410.43200000003</v>
      </c>
      <c r="T44" s="9">
        <v>45108</v>
      </c>
      <c r="U44" s="9">
        <v>45473</v>
      </c>
      <c r="V44">
        <f>SUM(POTABLE_NONPOTABLE_API[[#This Row],[RESIDENTIAL_SINGLEFAMILY_GAL]:[OTHER_GAL]])</f>
        <v>174875856.30000001</v>
      </c>
      <c r="W44">
        <f>SUM(POTABLE_NONPOTABLE_API[[#This Row],[NONPOTABLE_DEMAND_RESIDENTIAL_RECYCLED_WATER_GAL]:[NONPOTABLE_DEMAND_NONRESIDENTIAL_METERED_IRRIGATION_GAL]])</f>
        <v>610410.43200000003</v>
      </c>
      <c r="X44" t="str">
        <f>IFERROR(INDEX(Crosswalk_API!$H$2:$H$527, MATCH(POTABLE_NONPOTABLE_API[[#This Row],[PWSID]], CW_PWSID_LIST, 0)), "")</f>
        <v>No</v>
      </c>
    </row>
    <row r="45" spans="1:24" x14ac:dyDescent="0.25">
      <c r="A45" t="s">
        <v>704</v>
      </c>
      <c r="B45" t="s">
        <v>705</v>
      </c>
      <c r="C45" t="s">
        <v>706</v>
      </c>
      <c r="D45" t="s">
        <v>707</v>
      </c>
      <c r="E45" s="9">
        <v>45323</v>
      </c>
      <c r="F45" s="9">
        <v>45351</v>
      </c>
      <c r="G45">
        <v>75464233.812000006</v>
      </c>
      <c r="H45">
        <v>107385856.808</v>
      </c>
      <c r="I45">
        <v>37746703.920000002</v>
      </c>
      <c r="J45">
        <v>4613984.7360000005</v>
      </c>
      <c r="K45">
        <v>0</v>
      </c>
      <c r="L45">
        <v>2244.1559999999999</v>
      </c>
      <c r="M45">
        <v>0</v>
      </c>
      <c r="N45">
        <v>0</v>
      </c>
      <c r="O45">
        <v>0</v>
      </c>
      <c r="P45">
        <v>0</v>
      </c>
      <c r="Q45">
        <v>0</v>
      </c>
      <c r="R45">
        <v>0</v>
      </c>
      <c r="S45">
        <v>421901.32800000004</v>
      </c>
      <c r="T45" s="9">
        <v>45108</v>
      </c>
      <c r="U45" s="9">
        <v>45473</v>
      </c>
      <c r="V45">
        <f>SUM(POTABLE_NONPOTABLE_API[[#This Row],[RESIDENTIAL_SINGLEFAMILY_GAL]:[OTHER_GAL]])</f>
        <v>225213023.43200001</v>
      </c>
      <c r="W45">
        <f>SUM(POTABLE_NONPOTABLE_API[[#This Row],[NONPOTABLE_DEMAND_RESIDENTIAL_RECYCLED_WATER_GAL]:[NONPOTABLE_DEMAND_NONRESIDENTIAL_METERED_IRRIGATION_GAL]])</f>
        <v>421901.32800000004</v>
      </c>
      <c r="X45" t="str">
        <f>IFERROR(INDEX(Crosswalk_API!$H$2:$H$527, MATCH(POTABLE_NONPOTABLE_API[[#This Row],[PWSID]], CW_PWSID_LIST, 0)), "")</f>
        <v>No</v>
      </c>
    </row>
    <row r="46" spans="1:24" x14ac:dyDescent="0.25">
      <c r="A46" t="s">
        <v>704</v>
      </c>
      <c r="B46" t="s">
        <v>705</v>
      </c>
      <c r="C46" t="s">
        <v>706</v>
      </c>
      <c r="D46" t="s">
        <v>707</v>
      </c>
      <c r="E46" s="9">
        <v>45352</v>
      </c>
      <c r="F46" s="9">
        <v>45382</v>
      </c>
      <c r="G46">
        <v>49941447.623999998</v>
      </c>
      <c r="H46">
        <v>71663381.600000009</v>
      </c>
      <c r="I46">
        <v>29611638.420000002</v>
      </c>
      <c r="J46">
        <v>1400353.344</v>
      </c>
      <c r="K46">
        <v>1321059.8319999999</v>
      </c>
      <c r="L46">
        <v>218431.18400000001</v>
      </c>
      <c r="M46">
        <v>0</v>
      </c>
      <c r="N46">
        <v>0</v>
      </c>
      <c r="O46">
        <v>0</v>
      </c>
      <c r="P46">
        <v>0</v>
      </c>
      <c r="Q46">
        <v>0</v>
      </c>
      <c r="R46">
        <v>0</v>
      </c>
      <c r="S46">
        <v>570763.67599999998</v>
      </c>
      <c r="T46" s="9">
        <v>45108</v>
      </c>
      <c r="U46" s="9">
        <v>45473</v>
      </c>
      <c r="V46">
        <f>SUM(POTABLE_NONPOTABLE_API[[#This Row],[RESIDENTIAL_SINGLEFAMILY_GAL]:[OTHER_GAL]])</f>
        <v>154156312.00399998</v>
      </c>
      <c r="W46">
        <f>SUM(POTABLE_NONPOTABLE_API[[#This Row],[NONPOTABLE_DEMAND_RESIDENTIAL_RECYCLED_WATER_GAL]:[NONPOTABLE_DEMAND_NONRESIDENTIAL_METERED_IRRIGATION_GAL]])</f>
        <v>570763.67599999998</v>
      </c>
      <c r="X46" t="str">
        <f>IFERROR(INDEX(Crosswalk_API!$H$2:$H$527, MATCH(POTABLE_NONPOTABLE_API[[#This Row],[PWSID]], CW_PWSID_LIST, 0)), "")</f>
        <v>No</v>
      </c>
    </row>
    <row r="47" spans="1:24" x14ac:dyDescent="0.25">
      <c r="A47" t="s">
        <v>704</v>
      </c>
      <c r="B47" t="s">
        <v>705</v>
      </c>
      <c r="C47" t="s">
        <v>706</v>
      </c>
      <c r="D47" t="s">
        <v>707</v>
      </c>
      <c r="E47" s="9">
        <v>45383</v>
      </c>
      <c r="F47" s="9">
        <v>45412</v>
      </c>
      <c r="G47">
        <v>65723848.719999999</v>
      </c>
      <c r="H47">
        <v>98964287.392000005</v>
      </c>
      <c r="I47">
        <v>32600106.16</v>
      </c>
      <c r="J47">
        <v>4109049.6359999999</v>
      </c>
      <c r="K47">
        <v>0</v>
      </c>
      <c r="L47">
        <v>2244.1559999999999</v>
      </c>
      <c r="M47">
        <v>0</v>
      </c>
      <c r="N47">
        <v>0</v>
      </c>
      <c r="O47">
        <v>0</v>
      </c>
      <c r="P47">
        <v>0</v>
      </c>
      <c r="Q47">
        <v>0</v>
      </c>
      <c r="R47">
        <v>0</v>
      </c>
      <c r="S47">
        <v>3763449.6120000002</v>
      </c>
      <c r="T47" s="9">
        <v>45108</v>
      </c>
      <c r="U47" s="9">
        <v>45473</v>
      </c>
      <c r="V47">
        <f>SUM(POTABLE_NONPOTABLE_API[[#This Row],[RESIDENTIAL_SINGLEFAMILY_GAL]:[OTHER_GAL]])</f>
        <v>201399536.06399998</v>
      </c>
      <c r="W47">
        <f>SUM(POTABLE_NONPOTABLE_API[[#This Row],[NONPOTABLE_DEMAND_RESIDENTIAL_RECYCLED_WATER_GAL]:[NONPOTABLE_DEMAND_NONRESIDENTIAL_METERED_IRRIGATION_GAL]])</f>
        <v>3763449.6120000002</v>
      </c>
      <c r="X47" t="str">
        <f>IFERROR(INDEX(Crosswalk_API!$H$2:$H$527, MATCH(POTABLE_NONPOTABLE_API[[#This Row],[PWSID]], CW_PWSID_LIST, 0)), "")</f>
        <v>No</v>
      </c>
    </row>
    <row r="48" spans="1:24" x14ac:dyDescent="0.25">
      <c r="A48" t="s">
        <v>704</v>
      </c>
      <c r="B48" t="s">
        <v>705</v>
      </c>
      <c r="C48" t="s">
        <v>706</v>
      </c>
      <c r="D48" t="s">
        <v>707</v>
      </c>
      <c r="E48" s="9">
        <v>45413</v>
      </c>
      <c r="F48" s="9">
        <v>45443</v>
      </c>
      <c r="G48">
        <v>51727795.800000004</v>
      </c>
      <c r="H48">
        <v>70940763.368000001</v>
      </c>
      <c r="I48">
        <v>34087233.535999998</v>
      </c>
      <c r="J48">
        <v>1688353.3640000001</v>
      </c>
      <c r="K48">
        <v>1132550.7280000001</v>
      </c>
      <c r="L48">
        <v>222171.44400000002</v>
      </c>
      <c r="M48">
        <v>0</v>
      </c>
      <c r="N48">
        <v>0</v>
      </c>
      <c r="O48">
        <v>0</v>
      </c>
      <c r="P48">
        <v>0</v>
      </c>
      <c r="Q48">
        <v>0</v>
      </c>
      <c r="R48">
        <v>0</v>
      </c>
      <c r="S48">
        <v>7571034.2920000004</v>
      </c>
      <c r="T48" s="9">
        <v>45108</v>
      </c>
      <c r="U48" s="9">
        <v>45473</v>
      </c>
      <c r="V48">
        <f>SUM(POTABLE_NONPOTABLE_API[[#This Row],[RESIDENTIAL_SINGLEFAMILY_GAL]:[OTHER_GAL]])</f>
        <v>159798868.24000001</v>
      </c>
      <c r="W48">
        <f>SUM(POTABLE_NONPOTABLE_API[[#This Row],[NONPOTABLE_DEMAND_RESIDENTIAL_RECYCLED_WATER_GAL]:[NONPOTABLE_DEMAND_NONRESIDENTIAL_METERED_IRRIGATION_GAL]])</f>
        <v>7571034.2920000004</v>
      </c>
      <c r="X48" t="str">
        <f>IFERROR(INDEX(Crosswalk_API!$H$2:$H$527, MATCH(POTABLE_NONPOTABLE_API[[#This Row],[PWSID]], CW_PWSID_LIST, 0)), "")</f>
        <v>No</v>
      </c>
    </row>
    <row r="49" spans="1:24" x14ac:dyDescent="0.25">
      <c r="A49" t="s">
        <v>704</v>
      </c>
      <c r="B49" t="s">
        <v>705</v>
      </c>
      <c r="C49" t="s">
        <v>706</v>
      </c>
      <c r="D49" t="s">
        <v>707</v>
      </c>
      <c r="E49" s="9">
        <v>45444</v>
      </c>
      <c r="F49" s="9">
        <v>45473</v>
      </c>
      <c r="G49">
        <v>84612161.719999999</v>
      </c>
      <c r="H49">
        <v>109923997.244</v>
      </c>
      <c r="I49">
        <v>41924574.340000004</v>
      </c>
      <c r="J49">
        <v>14714182.84</v>
      </c>
      <c r="K49">
        <v>0</v>
      </c>
      <c r="L49">
        <v>7480.52</v>
      </c>
      <c r="M49">
        <v>0</v>
      </c>
      <c r="N49">
        <v>0</v>
      </c>
      <c r="O49">
        <v>0</v>
      </c>
      <c r="Q49">
        <v>0</v>
      </c>
      <c r="R49">
        <v>0</v>
      </c>
      <c r="S49">
        <v>10594660.476</v>
      </c>
      <c r="T49" s="9">
        <v>45108</v>
      </c>
      <c r="U49" s="9">
        <v>45473</v>
      </c>
      <c r="V49">
        <f>SUM(POTABLE_NONPOTABLE_API[[#This Row],[RESIDENTIAL_SINGLEFAMILY_GAL]:[OTHER_GAL]])</f>
        <v>251182396.664</v>
      </c>
      <c r="W49">
        <f>SUM(POTABLE_NONPOTABLE_API[[#This Row],[NONPOTABLE_DEMAND_RESIDENTIAL_RECYCLED_WATER_GAL]:[NONPOTABLE_DEMAND_NONRESIDENTIAL_METERED_IRRIGATION_GAL]])</f>
        <v>10594660.476</v>
      </c>
      <c r="X49" t="str">
        <f>IFERROR(INDEX(Crosswalk_API!$H$2:$H$527, MATCH(POTABLE_NONPOTABLE_API[[#This Row],[PWSID]], CW_PWSID_LIST, 0)), "")</f>
        <v>No</v>
      </c>
    </row>
    <row r="50" spans="1:24" x14ac:dyDescent="0.25">
      <c r="A50" t="s">
        <v>709</v>
      </c>
      <c r="B50" t="s">
        <v>710</v>
      </c>
      <c r="C50" t="s">
        <v>711</v>
      </c>
      <c r="D50" t="s">
        <v>712</v>
      </c>
      <c r="E50" s="9">
        <v>45108</v>
      </c>
      <c r="F50" s="9">
        <v>45138</v>
      </c>
      <c r="G50">
        <v>23907741.920000002</v>
      </c>
      <c r="H50">
        <v>516903.93200000003</v>
      </c>
      <c r="I50">
        <v>22313643.107999999</v>
      </c>
      <c r="J50">
        <v>31418.184000000001</v>
      </c>
      <c r="K50">
        <v>0</v>
      </c>
      <c r="L50">
        <v>2771532.66</v>
      </c>
      <c r="M50">
        <v>0</v>
      </c>
      <c r="T50" s="9">
        <v>45108</v>
      </c>
      <c r="U50" s="9">
        <v>45473</v>
      </c>
      <c r="V50">
        <f>SUM(POTABLE_NONPOTABLE_API[[#This Row],[RESIDENTIAL_SINGLEFAMILY_GAL]:[OTHER_GAL]])</f>
        <v>49541239.804000005</v>
      </c>
      <c r="W50">
        <f>SUM(POTABLE_NONPOTABLE_API[[#This Row],[NONPOTABLE_DEMAND_RESIDENTIAL_RECYCLED_WATER_GAL]:[NONPOTABLE_DEMAND_NONRESIDENTIAL_METERED_IRRIGATION_GAL]])</f>
        <v>0</v>
      </c>
      <c r="X50" t="str">
        <f>IFERROR(INDEX(Crosswalk_API!$H$2:$H$527, MATCH(POTABLE_NONPOTABLE_API[[#This Row],[PWSID]], CW_PWSID_LIST, 0)), "")</f>
        <v>No</v>
      </c>
    </row>
    <row r="51" spans="1:24" x14ac:dyDescent="0.25">
      <c r="A51" t="s">
        <v>709</v>
      </c>
      <c r="B51" t="s">
        <v>710</v>
      </c>
      <c r="C51" t="s">
        <v>711</v>
      </c>
      <c r="D51" t="s">
        <v>712</v>
      </c>
      <c r="E51" s="9">
        <v>45139</v>
      </c>
      <c r="F51" s="9">
        <v>45169</v>
      </c>
      <c r="G51">
        <v>26198277.144000001</v>
      </c>
      <c r="H51">
        <v>504935.10000000003</v>
      </c>
      <c r="I51">
        <v>23150713.296</v>
      </c>
      <c r="J51">
        <v>43387.016000000003</v>
      </c>
      <c r="K51">
        <v>0</v>
      </c>
      <c r="L51">
        <v>470524.70799999998</v>
      </c>
      <c r="M51">
        <v>0</v>
      </c>
      <c r="T51" s="9">
        <v>45108</v>
      </c>
      <c r="U51" s="9">
        <v>45473</v>
      </c>
      <c r="V51">
        <f>SUM(POTABLE_NONPOTABLE_API[[#This Row],[RESIDENTIAL_SINGLEFAMILY_GAL]:[OTHER_GAL]])</f>
        <v>50367837.264000006</v>
      </c>
      <c r="W51">
        <f>SUM(POTABLE_NONPOTABLE_API[[#This Row],[NONPOTABLE_DEMAND_RESIDENTIAL_RECYCLED_WATER_GAL]:[NONPOTABLE_DEMAND_NONRESIDENTIAL_METERED_IRRIGATION_GAL]])</f>
        <v>0</v>
      </c>
      <c r="X51" t="str">
        <f>IFERROR(INDEX(Crosswalk_API!$H$2:$H$527, MATCH(POTABLE_NONPOTABLE_API[[#This Row],[PWSID]], CW_PWSID_LIST, 0)), "")</f>
        <v>No</v>
      </c>
    </row>
    <row r="52" spans="1:24" x14ac:dyDescent="0.25">
      <c r="A52" t="s">
        <v>709</v>
      </c>
      <c r="B52" t="s">
        <v>710</v>
      </c>
      <c r="C52" t="s">
        <v>711</v>
      </c>
      <c r="D52" t="s">
        <v>712</v>
      </c>
      <c r="E52" s="9">
        <v>45170</v>
      </c>
      <c r="F52" s="9">
        <v>45199</v>
      </c>
      <c r="G52">
        <v>26339658.971999999</v>
      </c>
      <c r="H52">
        <v>551314.32400000002</v>
      </c>
      <c r="I52">
        <v>22741528.852000002</v>
      </c>
      <c r="J52">
        <v>29174.028000000002</v>
      </c>
      <c r="K52">
        <v>0</v>
      </c>
      <c r="L52">
        <v>68820.784</v>
      </c>
      <c r="M52">
        <v>0</v>
      </c>
      <c r="T52" s="9">
        <v>45108</v>
      </c>
      <c r="U52" s="9">
        <v>45473</v>
      </c>
      <c r="V52">
        <f>SUM(POTABLE_NONPOTABLE_API[[#This Row],[RESIDENTIAL_SINGLEFAMILY_GAL]:[OTHER_GAL]])</f>
        <v>49730496.960000001</v>
      </c>
      <c r="W52">
        <f>SUM(POTABLE_NONPOTABLE_API[[#This Row],[NONPOTABLE_DEMAND_RESIDENTIAL_RECYCLED_WATER_GAL]:[NONPOTABLE_DEMAND_NONRESIDENTIAL_METERED_IRRIGATION_GAL]])</f>
        <v>0</v>
      </c>
      <c r="X52" t="str">
        <f>IFERROR(INDEX(Crosswalk_API!$H$2:$H$527, MATCH(POTABLE_NONPOTABLE_API[[#This Row],[PWSID]], CW_PWSID_LIST, 0)), "")</f>
        <v>No</v>
      </c>
    </row>
    <row r="53" spans="1:24" x14ac:dyDescent="0.25">
      <c r="A53" t="s">
        <v>709</v>
      </c>
      <c r="B53" t="s">
        <v>710</v>
      </c>
      <c r="C53" t="s">
        <v>711</v>
      </c>
      <c r="D53" t="s">
        <v>712</v>
      </c>
      <c r="E53" s="9">
        <v>45200</v>
      </c>
      <c r="F53" s="9">
        <v>45230</v>
      </c>
      <c r="G53">
        <v>19174068.864</v>
      </c>
      <c r="H53">
        <v>434618.212</v>
      </c>
      <c r="I53">
        <v>20632022.212000001</v>
      </c>
      <c r="J53">
        <v>32914.288</v>
      </c>
      <c r="K53">
        <v>0</v>
      </c>
      <c r="L53">
        <v>0</v>
      </c>
      <c r="M53">
        <v>0</v>
      </c>
      <c r="T53" s="9">
        <v>45108</v>
      </c>
      <c r="U53" s="9">
        <v>45473</v>
      </c>
      <c r="V53">
        <f>SUM(POTABLE_NONPOTABLE_API[[#This Row],[RESIDENTIAL_SINGLEFAMILY_GAL]:[OTHER_GAL]])</f>
        <v>40273623.576000005</v>
      </c>
      <c r="W53">
        <f>SUM(POTABLE_NONPOTABLE_API[[#This Row],[NONPOTABLE_DEMAND_RESIDENTIAL_RECYCLED_WATER_GAL]:[NONPOTABLE_DEMAND_NONRESIDENTIAL_METERED_IRRIGATION_GAL]])</f>
        <v>0</v>
      </c>
      <c r="X53" t="str">
        <f>IFERROR(INDEX(Crosswalk_API!$H$2:$H$527, MATCH(POTABLE_NONPOTABLE_API[[#This Row],[PWSID]], CW_PWSID_LIST, 0)), "")</f>
        <v>No</v>
      </c>
    </row>
    <row r="54" spans="1:24" x14ac:dyDescent="0.25">
      <c r="A54" t="s">
        <v>709</v>
      </c>
      <c r="B54" t="s">
        <v>710</v>
      </c>
      <c r="C54" t="s">
        <v>711</v>
      </c>
      <c r="D54" t="s">
        <v>712</v>
      </c>
      <c r="E54" s="9">
        <v>45231</v>
      </c>
      <c r="F54" s="9">
        <v>45260</v>
      </c>
      <c r="G54">
        <v>16057684.232000001</v>
      </c>
      <c r="H54">
        <v>486981.85200000001</v>
      </c>
      <c r="I54">
        <v>20545248.18</v>
      </c>
      <c r="J54">
        <v>38898.703999999998</v>
      </c>
      <c r="K54">
        <v>0</v>
      </c>
      <c r="L54">
        <v>33662.340000000004</v>
      </c>
      <c r="M54">
        <v>0</v>
      </c>
      <c r="T54" s="9">
        <v>45108</v>
      </c>
      <c r="U54" s="9">
        <v>45473</v>
      </c>
      <c r="V54">
        <f>SUM(POTABLE_NONPOTABLE_API[[#This Row],[RESIDENTIAL_SINGLEFAMILY_GAL]:[OTHER_GAL]])</f>
        <v>37162475.308000006</v>
      </c>
      <c r="W54">
        <f>SUM(POTABLE_NONPOTABLE_API[[#This Row],[NONPOTABLE_DEMAND_RESIDENTIAL_RECYCLED_WATER_GAL]:[NONPOTABLE_DEMAND_NONRESIDENTIAL_METERED_IRRIGATION_GAL]])</f>
        <v>0</v>
      </c>
      <c r="X54" t="str">
        <f>IFERROR(INDEX(Crosswalk_API!$H$2:$H$527, MATCH(POTABLE_NONPOTABLE_API[[#This Row],[PWSID]], CW_PWSID_LIST, 0)), "")</f>
        <v>No</v>
      </c>
    </row>
    <row r="55" spans="1:24" x14ac:dyDescent="0.25">
      <c r="A55" t="s">
        <v>709</v>
      </c>
      <c r="B55" t="s">
        <v>710</v>
      </c>
      <c r="C55" t="s">
        <v>711</v>
      </c>
      <c r="D55" t="s">
        <v>712</v>
      </c>
      <c r="E55" s="9">
        <v>45261</v>
      </c>
      <c r="F55" s="9">
        <v>45291</v>
      </c>
      <c r="G55">
        <v>10658992.948000001</v>
      </c>
      <c r="H55">
        <v>394971.45600000001</v>
      </c>
      <c r="I55">
        <v>18142505.155999999</v>
      </c>
      <c r="J55">
        <v>13464.936</v>
      </c>
      <c r="K55">
        <v>0</v>
      </c>
      <c r="L55">
        <v>0</v>
      </c>
      <c r="M55">
        <v>0</v>
      </c>
      <c r="T55" s="9">
        <v>45108</v>
      </c>
      <c r="U55" s="9">
        <v>45473</v>
      </c>
      <c r="V55">
        <f>SUM(POTABLE_NONPOTABLE_API[[#This Row],[RESIDENTIAL_SINGLEFAMILY_GAL]:[OTHER_GAL]])</f>
        <v>29209934.496000003</v>
      </c>
      <c r="W55">
        <f>SUM(POTABLE_NONPOTABLE_API[[#This Row],[NONPOTABLE_DEMAND_RESIDENTIAL_RECYCLED_WATER_GAL]:[NONPOTABLE_DEMAND_NONRESIDENTIAL_METERED_IRRIGATION_GAL]])</f>
        <v>0</v>
      </c>
      <c r="X55" t="str">
        <f>IFERROR(INDEX(Crosswalk_API!$H$2:$H$527, MATCH(POTABLE_NONPOTABLE_API[[#This Row],[PWSID]], CW_PWSID_LIST, 0)), "")</f>
        <v>No</v>
      </c>
    </row>
    <row r="56" spans="1:24" x14ac:dyDescent="0.25">
      <c r="A56" t="s">
        <v>709</v>
      </c>
      <c r="B56" t="s">
        <v>710</v>
      </c>
      <c r="C56" t="s">
        <v>711</v>
      </c>
      <c r="D56" t="s">
        <v>712</v>
      </c>
      <c r="E56" s="9">
        <v>45292</v>
      </c>
      <c r="F56" s="9">
        <v>45322</v>
      </c>
      <c r="G56">
        <v>9066390.2400000002</v>
      </c>
      <c r="H56">
        <v>359064.96</v>
      </c>
      <c r="I56">
        <v>18767876.628000002</v>
      </c>
      <c r="J56">
        <v>5984.4160000000002</v>
      </c>
      <c r="K56">
        <v>0</v>
      </c>
      <c r="L56">
        <v>0</v>
      </c>
      <c r="M56">
        <v>0</v>
      </c>
      <c r="T56" s="9">
        <v>45108</v>
      </c>
      <c r="U56" s="9">
        <v>45473</v>
      </c>
      <c r="V56">
        <f>SUM(POTABLE_NONPOTABLE_API[[#This Row],[RESIDENTIAL_SINGLEFAMILY_GAL]:[OTHER_GAL]])</f>
        <v>28199316.244000003</v>
      </c>
      <c r="W56">
        <f>SUM(POTABLE_NONPOTABLE_API[[#This Row],[NONPOTABLE_DEMAND_RESIDENTIAL_RECYCLED_WATER_GAL]:[NONPOTABLE_DEMAND_NONRESIDENTIAL_METERED_IRRIGATION_GAL]])</f>
        <v>0</v>
      </c>
      <c r="X56" t="str">
        <f>IFERROR(INDEX(Crosswalk_API!$H$2:$H$527, MATCH(POTABLE_NONPOTABLE_API[[#This Row],[PWSID]], CW_PWSID_LIST, 0)), "")</f>
        <v>No</v>
      </c>
    </row>
    <row r="57" spans="1:24" x14ac:dyDescent="0.25">
      <c r="A57" t="s">
        <v>709</v>
      </c>
      <c r="B57" t="s">
        <v>710</v>
      </c>
      <c r="C57" t="s">
        <v>711</v>
      </c>
      <c r="D57" t="s">
        <v>712</v>
      </c>
      <c r="E57" s="9">
        <v>45323</v>
      </c>
      <c r="F57" s="9">
        <v>45351</v>
      </c>
      <c r="G57">
        <v>8232312.2599999998</v>
      </c>
      <c r="H57">
        <v>365049.37599999999</v>
      </c>
      <c r="I57">
        <v>18233019.447999999</v>
      </c>
      <c r="J57">
        <v>14212.988000000001</v>
      </c>
      <c r="K57">
        <v>0</v>
      </c>
      <c r="L57">
        <v>0</v>
      </c>
      <c r="M57">
        <v>0</v>
      </c>
      <c r="T57" s="9">
        <v>45108</v>
      </c>
      <c r="U57" s="9">
        <v>45473</v>
      </c>
      <c r="V57">
        <f>SUM(POTABLE_NONPOTABLE_API[[#This Row],[RESIDENTIAL_SINGLEFAMILY_GAL]:[OTHER_GAL]])</f>
        <v>26844594.072000001</v>
      </c>
      <c r="W57">
        <f>SUM(POTABLE_NONPOTABLE_API[[#This Row],[NONPOTABLE_DEMAND_RESIDENTIAL_RECYCLED_WATER_GAL]:[NONPOTABLE_DEMAND_NONRESIDENTIAL_METERED_IRRIGATION_GAL]])</f>
        <v>0</v>
      </c>
      <c r="X57" t="str">
        <f>IFERROR(INDEX(Crosswalk_API!$H$2:$H$527, MATCH(POTABLE_NONPOTABLE_API[[#This Row],[PWSID]], CW_PWSID_LIST, 0)), "")</f>
        <v>No</v>
      </c>
    </row>
    <row r="58" spans="1:24" x14ac:dyDescent="0.25">
      <c r="A58" t="s">
        <v>709</v>
      </c>
      <c r="B58" t="s">
        <v>710</v>
      </c>
      <c r="C58" t="s">
        <v>711</v>
      </c>
      <c r="D58" t="s">
        <v>712</v>
      </c>
      <c r="E58" s="9">
        <v>45352</v>
      </c>
      <c r="F58" s="9">
        <v>45382</v>
      </c>
      <c r="G58">
        <v>7569538.1880000001</v>
      </c>
      <c r="H58">
        <v>323158.46400000004</v>
      </c>
      <c r="I58">
        <v>17644302.524</v>
      </c>
      <c r="J58">
        <v>6732.4679999999998</v>
      </c>
      <c r="K58">
        <v>0</v>
      </c>
      <c r="L58">
        <v>0</v>
      </c>
      <c r="M58">
        <v>0</v>
      </c>
      <c r="T58" s="9">
        <v>45108</v>
      </c>
      <c r="U58" s="9">
        <v>45473</v>
      </c>
      <c r="V58">
        <f>SUM(POTABLE_NONPOTABLE_API[[#This Row],[RESIDENTIAL_SINGLEFAMILY_GAL]:[OTHER_GAL]])</f>
        <v>25543731.643999998</v>
      </c>
      <c r="W58">
        <f>SUM(POTABLE_NONPOTABLE_API[[#This Row],[NONPOTABLE_DEMAND_RESIDENTIAL_RECYCLED_WATER_GAL]:[NONPOTABLE_DEMAND_NONRESIDENTIAL_METERED_IRRIGATION_GAL]])</f>
        <v>0</v>
      </c>
      <c r="X58" t="str">
        <f>IFERROR(INDEX(Crosswalk_API!$H$2:$H$527, MATCH(POTABLE_NONPOTABLE_API[[#This Row],[PWSID]], CW_PWSID_LIST, 0)), "")</f>
        <v>No</v>
      </c>
    </row>
    <row r="59" spans="1:24" x14ac:dyDescent="0.25">
      <c r="A59" t="s">
        <v>709</v>
      </c>
      <c r="B59" t="s">
        <v>710</v>
      </c>
      <c r="C59" t="s">
        <v>711</v>
      </c>
      <c r="D59" t="s">
        <v>712</v>
      </c>
      <c r="E59" s="9">
        <v>45383</v>
      </c>
      <c r="F59" s="9">
        <v>45412</v>
      </c>
      <c r="G59">
        <v>8759688.9199999999</v>
      </c>
      <c r="H59">
        <v>374774.05200000003</v>
      </c>
      <c r="I59">
        <v>18935440.276000001</v>
      </c>
      <c r="J59">
        <v>5984.4160000000002</v>
      </c>
      <c r="K59">
        <v>0</v>
      </c>
      <c r="L59">
        <v>0</v>
      </c>
      <c r="M59">
        <v>0</v>
      </c>
      <c r="T59" s="9">
        <v>45108</v>
      </c>
      <c r="U59" s="9">
        <v>45473</v>
      </c>
      <c r="V59">
        <f>SUM(POTABLE_NONPOTABLE_API[[#This Row],[RESIDENTIAL_SINGLEFAMILY_GAL]:[OTHER_GAL]])</f>
        <v>28075887.664000001</v>
      </c>
      <c r="W59">
        <f>SUM(POTABLE_NONPOTABLE_API[[#This Row],[NONPOTABLE_DEMAND_RESIDENTIAL_RECYCLED_WATER_GAL]:[NONPOTABLE_DEMAND_NONRESIDENTIAL_METERED_IRRIGATION_GAL]])</f>
        <v>0</v>
      </c>
      <c r="X59" t="str">
        <f>IFERROR(INDEX(Crosswalk_API!$H$2:$H$527, MATCH(POTABLE_NONPOTABLE_API[[#This Row],[PWSID]], CW_PWSID_LIST, 0)), "")</f>
        <v>No</v>
      </c>
    </row>
    <row r="60" spans="1:24" x14ac:dyDescent="0.25">
      <c r="A60" t="s">
        <v>709</v>
      </c>
      <c r="B60" t="s">
        <v>710</v>
      </c>
      <c r="C60" t="s">
        <v>711</v>
      </c>
      <c r="D60" t="s">
        <v>712</v>
      </c>
      <c r="E60" s="9">
        <v>45413</v>
      </c>
      <c r="F60" s="9">
        <v>45443</v>
      </c>
      <c r="G60">
        <v>11066681.288000001</v>
      </c>
      <c r="H60">
        <v>371033.79200000002</v>
      </c>
      <c r="I60">
        <v>21420469.02</v>
      </c>
      <c r="J60">
        <v>5984.4160000000002</v>
      </c>
      <c r="K60">
        <v>0</v>
      </c>
      <c r="L60">
        <v>225717.21048000001</v>
      </c>
      <c r="M60">
        <v>0</v>
      </c>
      <c r="T60" s="9">
        <v>45108</v>
      </c>
      <c r="U60" s="9">
        <v>45473</v>
      </c>
      <c r="V60">
        <f>SUM(POTABLE_NONPOTABLE_API[[#This Row],[RESIDENTIAL_SINGLEFAMILY_GAL]:[OTHER_GAL]])</f>
        <v>33089885.726480003</v>
      </c>
      <c r="W60">
        <f>SUM(POTABLE_NONPOTABLE_API[[#This Row],[NONPOTABLE_DEMAND_RESIDENTIAL_RECYCLED_WATER_GAL]:[NONPOTABLE_DEMAND_NONRESIDENTIAL_METERED_IRRIGATION_GAL]])</f>
        <v>0</v>
      </c>
      <c r="X60" t="str">
        <f>IFERROR(INDEX(Crosswalk_API!$H$2:$H$527, MATCH(POTABLE_NONPOTABLE_API[[#This Row],[PWSID]], CW_PWSID_LIST, 0)), "")</f>
        <v>No</v>
      </c>
    </row>
    <row r="61" spans="1:24" x14ac:dyDescent="0.25">
      <c r="A61" t="s">
        <v>709</v>
      </c>
      <c r="B61" t="s">
        <v>710</v>
      </c>
      <c r="C61" t="s">
        <v>711</v>
      </c>
      <c r="D61" t="s">
        <v>712</v>
      </c>
      <c r="E61" s="9">
        <v>45444</v>
      </c>
      <c r="F61" s="9">
        <v>45473</v>
      </c>
      <c r="G61">
        <v>20727024.816</v>
      </c>
      <c r="H61">
        <v>518400.03600000002</v>
      </c>
      <c r="I61">
        <v>23549425.012000002</v>
      </c>
      <c r="J61">
        <v>8976.6239999999998</v>
      </c>
      <c r="K61">
        <v>0</v>
      </c>
      <c r="L61">
        <v>93506.5</v>
      </c>
      <c r="M61">
        <v>0</v>
      </c>
      <c r="T61" s="9">
        <v>45108</v>
      </c>
      <c r="U61" s="9">
        <v>45473</v>
      </c>
      <c r="V61">
        <f>SUM(POTABLE_NONPOTABLE_API[[#This Row],[RESIDENTIAL_SINGLEFAMILY_GAL]:[OTHER_GAL]])</f>
        <v>44897332.987999998</v>
      </c>
      <c r="W61">
        <f>SUM(POTABLE_NONPOTABLE_API[[#This Row],[NONPOTABLE_DEMAND_RESIDENTIAL_RECYCLED_WATER_GAL]:[NONPOTABLE_DEMAND_NONRESIDENTIAL_METERED_IRRIGATION_GAL]])</f>
        <v>0</v>
      </c>
      <c r="X61" t="str">
        <f>IFERROR(INDEX(Crosswalk_API!$H$2:$H$527, MATCH(POTABLE_NONPOTABLE_API[[#This Row],[PWSID]], CW_PWSID_LIST, 0)), "")</f>
        <v>No</v>
      </c>
    </row>
    <row r="62" spans="1:24" x14ac:dyDescent="0.25">
      <c r="A62" t="s">
        <v>709</v>
      </c>
      <c r="B62" t="s">
        <v>710</v>
      </c>
      <c r="C62" t="s">
        <v>714</v>
      </c>
      <c r="D62" t="s">
        <v>715</v>
      </c>
      <c r="E62" s="9">
        <v>45108</v>
      </c>
      <c r="F62" s="9">
        <v>45138</v>
      </c>
      <c r="G62">
        <v>17783440.196000002</v>
      </c>
      <c r="H62">
        <v>1172197.4839999999</v>
      </c>
      <c r="I62">
        <v>10658244.896</v>
      </c>
      <c r="J62">
        <v>1106368.9080000001</v>
      </c>
      <c r="K62">
        <v>0</v>
      </c>
      <c r="L62">
        <v>0</v>
      </c>
      <c r="M62">
        <v>0</v>
      </c>
      <c r="N62">
        <v>0</v>
      </c>
      <c r="O62">
        <v>0</v>
      </c>
      <c r="P62">
        <v>7168084</v>
      </c>
      <c r="Q62">
        <v>0</v>
      </c>
      <c r="R62">
        <v>0</v>
      </c>
      <c r="S62">
        <v>0</v>
      </c>
      <c r="T62" s="9">
        <v>45108</v>
      </c>
      <c r="U62" s="9">
        <v>45473</v>
      </c>
      <c r="V62">
        <f>SUM(POTABLE_NONPOTABLE_API[[#This Row],[RESIDENTIAL_SINGLEFAMILY_GAL]:[OTHER_GAL]])</f>
        <v>30720251.484000005</v>
      </c>
      <c r="W62">
        <f>SUM(POTABLE_NONPOTABLE_API[[#This Row],[NONPOTABLE_DEMAND_RESIDENTIAL_RECYCLED_WATER_GAL]:[NONPOTABLE_DEMAND_NONRESIDENTIAL_METERED_IRRIGATION_GAL]])</f>
        <v>7168084</v>
      </c>
      <c r="X62" t="str">
        <f>IFERROR(INDEX(Crosswalk_API!$H$2:$H$527, MATCH(POTABLE_NONPOTABLE_API[[#This Row],[PWSID]], CW_PWSID_LIST, 0)), "")</f>
        <v>No</v>
      </c>
    </row>
    <row r="63" spans="1:24" x14ac:dyDescent="0.25">
      <c r="A63" t="s">
        <v>709</v>
      </c>
      <c r="B63" t="s">
        <v>710</v>
      </c>
      <c r="C63" t="s">
        <v>714</v>
      </c>
      <c r="D63" t="s">
        <v>715</v>
      </c>
      <c r="E63" s="9">
        <v>45139</v>
      </c>
      <c r="F63" s="9">
        <v>45169</v>
      </c>
      <c r="G63">
        <v>27852220.116</v>
      </c>
      <c r="H63">
        <v>1223813.0719999999</v>
      </c>
      <c r="I63">
        <v>10776437.112</v>
      </c>
      <c r="J63">
        <v>1352478.0160000001</v>
      </c>
      <c r="K63">
        <v>0</v>
      </c>
      <c r="L63">
        <v>2595.74044</v>
      </c>
      <c r="M63">
        <v>0</v>
      </c>
      <c r="N63">
        <v>0</v>
      </c>
      <c r="O63">
        <v>0</v>
      </c>
      <c r="P63">
        <v>7643064</v>
      </c>
      <c r="Q63">
        <v>0</v>
      </c>
      <c r="R63">
        <v>0</v>
      </c>
      <c r="S63">
        <v>0</v>
      </c>
      <c r="T63" s="9">
        <v>45108</v>
      </c>
      <c r="U63" s="9">
        <v>45473</v>
      </c>
      <c r="V63">
        <f>SUM(POTABLE_NONPOTABLE_API[[#This Row],[RESIDENTIAL_SINGLEFAMILY_GAL]:[OTHER_GAL]])</f>
        <v>41207544.056440003</v>
      </c>
      <c r="W63">
        <f>SUM(POTABLE_NONPOTABLE_API[[#This Row],[NONPOTABLE_DEMAND_RESIDENTIAL_RECYCLED_WATER_GAL]:[NONPOTABLE_DEMAND_NONRESIDENTIAL_METERED_IRRIGATION_GAL]])</f>
        <v>7643064</v>
      </c>
      <c r="X63" t="str">
        <f>IFERROR(INDEX(Crosswalk_API!$H$2:$H$527, MATCH(POTABLE_NONPOTABLE_API[[#This Row],[PWSID]], CW_PWSID_LIST, 0)), "")</f>
        <v>No</v>
      </c>
    </row>
    <row r="64" spans="1:24" x14ac:dyDescent="0.25">
      <c r="A64" t="s">
        <v>709</v>
      </c>
      <c r="B64" t="s">
        <v>710</v>
      </c>
      <c r="C64" t="s">
        <v>714</v>
      </c>
      <c r="D64" t="s">
        <v>715</v>
      </c>
      <c r="E64" s="9">
        <v>45170</v>
      </c>
      <c r="F64" s="9">
        <v>45199</v>
      </c>
      <c r="G64">
        <v>18605549.344000001</v>
      </c>
      <c r="H64">
        <v>1169205.2760000001</v>
      </c>
      <c r="I64">
        <v>12382504.756000001</v>
      </c>
      <c r="J64">
        <v>1156488.392</v>
      </c>
      <c r="K64">
        <v>0</v>
      </c>
      <c r="L64">
        <v>44135.067999999999</v>
      </c>
      <c r="M64">
        <v>0</v>
      </c>
      <c r="N64">
        <v>0</v>
      </c>
      <c r="O64">
        <v>0</v>
      </c>
      <c r="P64">
        <v>14369506</v>
      </c>
      <c r="Q64">
        <v>0</v>
      </c>
      <c r="R64">
        <v>0</v>
      </c>
      <c r="S64">
        <v>0</v>
      </c>
      <c r="T64" s="9">
        <v>45108</v>
      </c>
      <c r="U64" s="9">
        <v>45473</v>
      </c>
      <c r="V64">
        <f>SUM(POTABLE_NONPOTABLE_API[[#This Row],[RESIDENTIAL_SINGLEFAMILY_GAL]:[OTHER_GAL]])</f>
        <v>33357882.836000003</v>
      </c>
      <c r="W64">
        <f>SUM(POTABLE_NONPOTABLE_API[[#This Row],[NONPOTABLE_DEMAND_RESIDENTIAL_RECYCLED_WATER_GAL]:[NONPOTABLE_DEMAND_NONRESIDENTIAL_METERED_IRRIGATION_GAL]])</f>
        <v>14369506</v>
      </c>
      <c r="X64" t="str">
        <f>IFERROR(INDEX(Crosswalk_API!$H$2:$H$527, MATCH(POTABLE_NONPOTABLE_API[[#This Row],[PWSID]], CW_PWSID_LIST, 0)), "")</f>
        <v>No</v>
      </c>
    </row>
    <row r="65" spans="1:24" x14ac:dyDescent="0.25">
      <c r="A65" t="s">
        <v>709</v>
      </c>
      <c r="B65" t="s">
        <v>710</v>
      </c>
      <c r="C65" t="s">
        <v>714</v>
      </c>
      <c r="D65" t="s">
        <v>715</v>
      </c>
      <c r="E65" s="9">
        <v>45200</v>
      </c>
      <c r="F65" s="9">
        <v>45230</v>
      </c>
      <c r="G65">
        <v>14326691.904000001</v>
      </c>
      <c r="H65">
        <v>1083927.348</v>
      </c>
      <c r="I65">
        <v>7413195.3200000003</v>
      </c>
      <c r="J65">
        <v>1024831.24</v>
      </c>
      <c r="K65">
        <v>0</v>
      </c>
      <c r="L65">
        <v>0</v>
      </c>
      <c r="M65">
        <v>0</v>
      </c>
      <c r="N65">
        <v>0</v>
      </c>
      <c r="O65">
        <v>0</v>
      </c>
      <c r="P65">
        <v>5736412</v>
      </c>
      <c r="Q65">
        <v>0</v>
      </c>
      <c r="R65">
        <v>0</v>
      </c>
      <c r="S65">
        <v>0</v>
      </c>
      <c r="T65" s="9">
        <v>45108</v>
      </c>
      <c r="U65" s="9">
        <v>45473</v>
      </c>
      <c r="V65">
        <f>SUM(POTABLE_NONPOTABLE_API[[#This Row],[RESIDENTIAL_SINGLEFAMILY_GAL]:[OTHER_GAL]])</f>
        <v>23848645.811999999</v>
      </c>
      <c r="W65">
        <f>SUM(POTABLE_NONPOTABLE_API[[#This Row],[NONPOTABLE_DEMAND_RESIDENTIAL_RECYCLED_WATER_GAL]:[NONPOTABLE_DEMAND_NONRESIDENTIAL_METERED_IRRIGATION_GAL]])</f>
        <v>5736412</v>
      </c>
      <c r="X65" t="str">
        <f>IFERROR(INDEX(Crosswalk_API!$H$2:$H$527, MATCH(POTABLE_NONPOTABLE_API[[#This Row],[PWSID]], CW_PWSID_LIST, 0)), "")</f>
        <v>No</v>
      </c>
    </row>
    <row r="66" spans="1:24" x14ac:dyDescent="0.25">
      <c r="A66" t="s">
        <v>709</v>
      </c>
      <c r="B66" t="s">
        <v>710</v>
      </c>
      <c r="C66" t="s">
        <v>714</v>
      </c>
      <c r="D66" t="s">
        <v>715</v>
      </c>
      <c r="E66" s="9">
        <v>45231</v>
      </c>
      <c r="F66" s="9">
        <v>45260</v>
      </c>
      <c r="G66">
        <v>11022546.220000001</v>
      </c>
      <c r="H66">
        <v>1140031.2480000001</v>
      </c>
      <c r="I66">
        <v>6802036.8360000001</v>
      </c>
      <c r="J66">
        <v>1199875.4080000001</v>
      </c>
      <c r="K66">
        <v>0</v>
      </c>
      <c r="L66">
        <v>381506.52</v>
      </c>
      <c r="M66">
        <v>0</v>
      </c>
      <c r="N66">
        <v>0</v>
      </c>
      <c r="O66">
        <v>0</v>
      </c>
      <c r="P66">
        <v>7037782</v>
      </c>
      <c r="Q66">
        <v>0</v>
      </c>
      <c r="R66">
        <v>0</v>
      </c>
      <c r="S66">
        <v>0</v>
      </c>
      <c r="T66" s="9">
        <v>45108</v>
      </c>
      <c r="U66" s="9">
        <v>45473</v>
      </c>
      <c r="V66">
        <f>SUM(POTABLE_NONPOTABLE_API[[#This Row],[RESIDENTIAL_SINGLEFAMILY_GAL]:[OTHER_GAL]])</f>
        <v>20545996.232000001</v>
      </c>
      <c r="W66">
        <f>SUM(POTABLE_NONPOTABLE_API[[#This Row],[NONPOTABLE_DEMAND_RESIDENTIAL_RECYCLED_WATER_GAL]:[NONPOTABLE_DEMAND_NONRESIDENTIAL_METERED_IRRIGATION_GAL]])</f>
        <v>7037782</v>
      </c>
      <c r="X66" t="str">
        <f>IFERROR(INDEX(Crosswalk_API!$H$2:$H$527, MATCH(POTABLE_NONPOTABLE_API[[#This Row],[PWSID]], CW_PWSID_LIST, 0)), "")</f>
        <v>No</v>
      </c>
    </row>
    <row r="67" spans="1:24" x14ac:dyDescent="0.25">
      <c r="A67" t="s">
        <v>709</v>
      </c>
      <c r="B67" t="s">
        <v>710</v>
      </c>
      <c r="C67" t="s">
        <v>714</v>
      </c>
      <c r="D67" t="s">
        <v>715</v>
      </c>
      <c r="E67" s="9">
        <v>45261</v>
      </c>
      <c r="F67" s="9">
        <v>45291</v>
      </c>
      <c r="G67">
        <v>7217205.6960000005</v>
      </c>
      <c r="H67">
        <v>733839.01199999999</v>
      </c>
      <c r="I67">
        <v>5066556.1960000005</v>
      </c>
      <c r="J67">
        <v>783958.49600000004</v>
      </c>
      <c r="K67">
        <v>0</v>
      </c>
      <c r="L67">
        <v>0</v>
      </c>
      <c r="M67">
        <v>0</v>
      </c>
      <c r="N67">
        <v>0</v>
      </c>
      <c r="O67">
        <v>0</v>
      </c>
      <c r="P67">
        <v>2317304</v>
      </c>
      <c r="Q67">
        <v>0</v>
      </c>
      <c r="R67">
        <v>0</v>
      </c>
      <c r="S67">
        <v>0</v>
      </c>
      <c r="T67" s="9">
        <v>45108</v>
      </c>
      <c r="U67" s="9">
        <v>45473</v>
      </c>
      <c r="V67">
        <f>SUM(POTABLE_NONPOTABLE_API[[#This Row],[RESIDENTIAL_SINGLEFAMILY_GAL]:[OTHER_GAL]])</f>
        <v>13801559.4</v>
      </c>
      <c r="W67">
        <f>SUM(POTABLE_NONPOTABLE_API[[#This Row],[NONPOTABLE_DEMAND_RESIDENTIAL_RECYCLED_WATER_GAL]:[NONPOTABLE_DEMAND_NONRESIDENTIAL_METERED_IRRIGATION_GAL]])</f>
        <v>2317304</v>
      </c>
      <c r="X67" t="str">
        <f>IFERROR(INDEX(Crosswalk_API!$H$2:$H$527, MATCH(POTABLE_NONPOTABLE_API[[#This Row],[PWSID]], CW_PWSID_LIST, 0)), "")</f>
        <v>No</v>
      </c>
    </row>
    <row r="68" spans="1:24" x14ac:dyDescent="0.25">
      <c r="A68" t="s">
        <v>709</v>
      </c>
      <c r="B68" t="s">
        <v>710</v>
      </c>
      <c r="C68" t="s">
        <v>714</v>
      </c>
      <c r="D68" t="s">
        <v>715</v>
      </c>
      <c r="E68" s="9">
        <v>45292</v>
      </c>
      <c r="F68" s="9">
        <v>45322</v>
      </c>
      <c r="G68">
        <v>6456436.8119999999</v>
      </c>
      <c r="H68">
        <v>778722.13199999998</v>
      </c>
      <c r="I68">
        <v>4992499.0480000004</v>
      </c>
      <c r="J68">
        <v>691948.1</v>
      </c>
      <c r="K68">
        <v>0</v>
      </c>
      <c r="L68">
        <v>0</v>
      </c>
      <c r="M68">
        <v>0</v>
      </c>
      <c r="N68">
        <v>0</v>
      </c>
      <c r="O68">
        <v>0</v>
      </c>
      <c r="P68">
        <v>3042639</v>
      </c>
      <c r="Q68">
        <v>0</v>
      </c>
      <c r="R68">
        <v>0</v>
      </c>
      <c r="S68">
        <v>0</v>
      </c>
      <c r="T68" s="9">
        <v>45108</v>
      </c>
      <c r="U68" s="9">
        <v>45473</v>
      </c>
      <c r="V68">
        <f>SUM(POTABLE_NONPOTABLE_API[[#This Row],[RESIDENTIAL_SINGLEFAMILY_GAL]:[OTHER_GAL]])</f>
        <v>12919606.092</v>
      </c>
      <c r="W68">
        <f>SUM(POTABLE_NONPOTABLE_API[[#This Row],[NONPOTABLE_DEMAND_RESIDENTIAL_RECYCLED_WATER_GAL]:[NONPOTABLE_DEMAND_NONRESIDENTIAL_METERED_IRRIGATION_GAL]])</f>
        <v>3042639</v>
      </c>
      <c r="X68" t="str">
        <f>IFERROR(INDEX(Crosswalk_API!$H$2:$H$527, MATCH(POTABLE_NONPOTABLE_API[[#This Row],[PWSID]], CW_PWSID_LIST, 0)), "")</f>
        <v>No</v>
      </c>
    </row>
    <row r="69" spans="1:24" x14ac:dyDescent="0.25">
      <c r="A69" t="s">
        <v>709</v>
      </c>
      <c r="B69" t="s">
        <v>710</v>
      </c>
      <c r="C69" t="s">
        <v>714</v>
      </c>
      <c r="D69" t="s">
        <v>715</v>
      </c>
      <c r="E69" s="9">
        <v>45323</v>
      </c>
      <c r="F69" s="9">
        <v>45351</v>
      </c>
      <c r="G69">
        <v>5902878.3320000004</v>
      </c>
      <c r="H69">
        <v>699428.62</v>
      </c>
      <c r="I69">
        <v>4536187.3279999997</v>
      </c>
      <c r="J69">
        <v>215438.976</v>
      </c>
      <c r="K69">
        <v>0</v>
      </c>
      <c r="L69">
        <v>0</v>
      </c>
      <c r="M69">
        <v>0</v>
      </c>
      <c r="N69">
        <v>0</v>
      </c>
      <c r="O69">
        <v>0</v>
      </c>
      <c r="P69">
        <v>1408708</v>
      </c>
      <c r="Q69">
        <v>0</v>
      </c>
      <c r="R69">
        <v>0</v>
      </c>
      <c r="S69">
        <v>0</v>
      </c>
      <c r="T69" s="9">
        <v>45108</v>
      </c>
      <c r="U69" s="9">
        <v>45473</v>
      </c>
      <c r="V69">
        <f>SUM(POTABLE_NONPOTABLE_API[[#This Row],[RESIDENTIAL_SINGLEFAMILY_GAL]:[OTHER_GAL]])</f>
        <v>11353933.256000001</v>
      </c>
      <c r="W69">
        <f>SUM(POTABLE_NONPOTABLE_API[[#This Row],[NONPOTABLE_DEMAND_RESIDENTIAL_RECYCLED_WATER_GAL]:[NONPOTABLE_DEMAND_NONRESIDENTIAL_METERED_IRRIGATION_GAL]])</f>
        <v>1408708</v>
      </c>
      <c r="X69" t="str">
        <f>IFERROR(INDEX(Crosswalk_API!$H$2:$H$527, MATCH(POTABLE_NONPOTABLE_API[[#This Row],[PWSID]], CW_PWSID_LIST, 0)), "")</f>
        <v>No</v>
      </c>
    </row>
    <row r="70" spans="1:24" x14ac:dyDescent="0.25">
      <c r="A70" t="s">
        <v>709</v>
      </c>
      <c r="B70" t="s">
        <v>710</v>
      </c>
      <c r="C70" t="s">
        <v>714</v>
      </c>
      <c r="D70" t="s">
        <v>715</v>
      </c>
      <c r="E70" s="9">
        <v>45352</v>
      </c>
      <c r="F70" s="9">
        <v>45382</v>
      </c>
      <c r="G70">
        <v>5389714.6600000001</v>
      </c>
      <c r="H70">
        <v>672498.74800000002</v>
      </c>
      <c r="I70">
        <v>4897496.4440000001</v>
      </c>
      <c r="J70">
        <v>127168.84</v>
      </c>
      <c r="K70">
        <v>0</v>
      </c>
      <c r="L70">
        <v>0</v>
      </c>
      <c r="M70">
        <v>0</v>
      </c>
      <c r="N70">
        <v>0</v>
      </c>
      <c r="O70">
        <v>0</v>
      </c>
      <c r="P70">
        <v>1297481</v>
      </c>
      <c r="Q70">
        <v>0</v>
      </c>
      <c r="R70">
        <v>0</v>
      </c>
      <c r="S70">
        <v>0</v>
      </c>
      <c r="T70" s="9">
        <v>45108</v>
      </c>
      <c r="U70" s="9">
        <v>45473</v>
      </c>
      <c r="V70">
        <f>SUM(POTABLE_NONPOTABLE_API[[#This Row],[RESIDENTIAL_SINGLEFAMILY_GAL]:[OTHER_GAL]])</f>
        <v>11086878.692</v>
      </c>
      <c r="W70">
        <f>SUM(POTABLE_NONPOTABLE_API[[#This Row],[NONPOTABLE_DEMAND_RESIDENTIAL_RECYCLED_WATER_GAL]:[NONPOTABLE_DEMAND_NONRESIDENTIAL_METERED_IRRIGATION_GAL]])</f>
        <v>1297481</v>
      </c>
      <c r="X70" t="str">
        <f>IFERROR(INDEX(Crosswalk_API!$H$2:$H$527, MATCH(POTABLE_NONPOTABLE_API[[#This Row],[PWSID]], CW_PWSID_LIST, 0)), "")</f>
        <v>No</v>
      </c>
    </row>
    <row r="71" spans="1:24" x14ac:dyDescent="0.25">
      <c r="A71" t="s">
        <v>709</v>
      </c>
      <c r="B71" t="s">
        <v>710</v>
      </c>
      <c r="C71" t="s">
        <v>714</v>
      </c>
      <c r="D71" t="s">
        <v>715</v>
      </c>
      <c r="E71" s="9">
        <v>45383</v>
      </c>
      <c r="F71" s="9">
        <v>45412</v>
      </c>
      <c r="G71">
        <v>6077922.5</v>
      </c>
      <c r="H71">
        <v>711397.45200000005</v>
      </c>
      <c r="I71">
        <v>4653631.4920000006</v>
      </c>
      <c r="J71">
        <v>166067.54399999999</v>
      </c>
      <c r="K71">
        <v>0</v>
      </c>
      <c r="L71">
        <v>0</v>
      </c>
      <c r="M71">
        <v>0</v>
      </c>
      <c r="N71">
        <v>0</v>
      </c>
      <c r="O71">
        <v>0</v>
      </c>
      <c r="P71">
        <v>1510063</v>
      </c>
      <c r="Q71">
        <v>0</v>
      </c>
      <c r="R71">
        <v>0</v>
      </c>
      <c r="S71">
        <v>0</v>
      </c>
      <c r="T71" s="9">
        <v>45108</v>
      </c>
      <c r="U71" s="9">
        <v>45473</v>
      </c>
      <c r="V71">
        <f>SUM(POTABLE_NONPOTABLE_API[[#This Row],[RESIDENTIAL_SINGLEFAMILY_GAL]:[OTHER_GAL]])</f>
        <v>11609018.988</v>
      </c>
      <c r="W71">
        <f>SUM(POTABLE_NONPOTABLE_API[[#This Row],[NONPOTABLE_DEMAND_RESIDENTIAL_RECYCLED_WATER_GAL]:[NONPOTABLE_DEMAND_NONRESIDENTIAL_METERED_IRRIGATION_GAL]])</f>
        <v>1510063</v>
      </c>
      <c r="X71" t="str">
        <f>IFERROR(INDEX(Crosswalk_API!$H$2:$H$527, MATCH(POTABLE_NONPOTABLE_API[[#This Row],[PWSID]], CW_PWSID_LIST, 0)), "")</f>
        <v>No</v>
      </c>
    </row>
    <row r="72" spans="1:24" x14ac:dyDescent="0.25">
      <c r="A72" t="s">
        <v>709</v>
      </c>
      <c r="B72" t="s">
        <v>710</v>
      </c>
      <c r="C72" t="s">
        <v>714</v>
      </c>
      <c r="D72" t="s">
        <v>715</v>
      </c>
      <c r="E72" s="9">
        <v>45413</v>
      </c>
      <c r="F72" s="9">
        <v>45443</v>
      </c>
      <c r="G72">
        <v>7303979.7280000001</v>
      </c>
      <c r="H72">
        <v>727854.59600000002</v>
      </c>
      <c r="I72">
        <v>5462275.7039999999</v>
      </c>
      <c r="J72">
        <v>397963.66399999999</v>
      </c>
      <c r="K72">
        <v>0</v>
      </c>
      <c r="L72">
        <v>1702715.9623999998</v>
      </c>
      <c r="M72">
        <v>0</v>
      </c>
      <c r="N72">
        <v>0</v>
      </c>
      <c r="O72">
        <v>0</v>
      </c>
      <c r="P72">
        <v>3207199</v>
      </c>
      <c r="Q72">
        <v>0</v>
      </c>
      <c r="R72">
        <v>0</v>
      </c>
      <c r="S72">
        <v>0</v>
      </c>
      <c r="T72" s="9">
        <v>45108</v>
      </c>
      <c r="U72" s="9">
        <v>45473</v>
      </c>
      <c r="V72">
        <f>SUM(POTABLE_NONPOTABLE_API[[#This Row],[RESIDENTIAL_SINGLEFAMILY_GAL]:[OTHER_GAL]])</f>
        <v>15594789.654400002</v>
      </c>
      <c r="W72">
        <f>SUM(POTABLE_NONPOTABLE_API[[#This Row],[NONPOTABLE_DEMAND_RESIDENTIAL_RECYCLED_WATER_GAL]:[NONPOTABLE_DEMAND_NONRESIDENTIAL_METERED_IRRIGATION_GAL]])</f>
        <v>3207199</v>
      </c>
      <c r="X72" t="str">
        <f>IFERROR(INDEX(Crosswalk_API!$H$2:$H$527, MATCH(POTABLE_NONPOTABLE_API[[#This Row],[PWSID]], CW_PWSID_LIST, 0)), "")</f>
        <v>No</v>
      </c>
    </row>
    <row r="73" spans="1:24" x14ac:dyDescent="0.25">
      <c r="A73" t="s">
        <v>709</v>
      </c>
      <c r="B73" t="s">
        <v>710</v>
      </c>
      <c r="C73" t="s">
        <v>714</v>
      </c>
      <c r="D73" t="s">
        <v>715</v>
      </c>
      <c r="E73" s="9">
        <v>45444</v>
      </c>
      <c r="F73" s="9">
        <v>45473</v>
      </c>
      <c r="G73">
        <v>15148801.052000001</v>
      </c>
      <c r="H73">
        <v>1087667.608</v>
      </c>
      <c r="I73">
        <v>9851844.8399999999</v>
      </c>
      <c r="J73">
        <v>697932.51600000006</v>
      </c>
      <c r="K73">
        <v>0</v>
      </c>
      <c r="L73">
        <v>246109.10800000001</v>
      </c>
      <c r="M73">
        <v>0</v>
      </c>
      <c r="N73">
        <v>0</v>
      </c>
      <c r="O73">
        <v>0</v>
      </c>
      <c r="P73">
        <v>4821010</v>
      </c>
      <c r="Q73">
        <v>0</v>
      </c>
      <c r="R73">
        <v>0</v>
      </c>
      <c r="S73">
        <v>0</v>
      </c>
      <c r="T73" s="9">
        <v>45108</v>
      </c>
      <c r="U73" s="9">
        <v>45473</v>
      </c>
      <c r="V73">
        <f>SUM(POTABLE_NONPOTABLE_API[[#This Row],[RESIDENTIAL_SINGLEFAMILY_GAL]:[OTHER_GAL]])</f>
        <v>27032355.123999998</v>
      </c>
      <c r="W73">
        <f>SUM(POTABLE_NONPOTABLE_API[[#This Row],[NONPOTABLE_DEMAND_RESIDENTIAL_RECYCLED_WATER_GAL]:[NONPOTABLE_DEMAND_NONRESIDENTIAL_METERED_IRRIGATION_GAL]])</f>
        <v>4821010</v>
      </c>
      <c r="X73" t="str">
        <f>IFERROR(INDEX(Crosswalk_API!$H$2:$H$527, MATCH(POTABLE_NONPOTABLE_API[[#This Row],[PWSID]], CW_PWSID_LIST, 0)), "")</f>
        <v>No</v>
      </c>
    </row>
    <row r="74" spans="1:24" x14ac:dyDescent="0.25">
      <c r="A74" t="s">
        <v>709</v>
      </c>
      <c r="B74" t="s">
        <v>710</v>
      </c>
      <c r="C74" t="s">
        <v>716</v>
      </c>
      <c r="D74" t="s">
        <v>717</v>
      </c>
      <c r="E74" s="9">
        <v>45108</v>
      </c>
      <c r="F74" s="9">
        <v>45138</v>
      </c>
      <c r="G74">
        <v>15285694.568</v>
      </c>
      <c r="H74">
        <v>35906.495999999999</v>
      </c>
      <c r="I74">
        <v>1823002.7240000002</v>
      </c>
      <c r="J74">
        <v>9724.6759999999995</v>
      </c>
      <c r="K74">
        <v>0</v>
      </c>
      <c r="L74">
        <v>0</v>
      </c>
      <c r="M74">
        <v>0</v>
      </c>
      <c r="T74" s="9">
        <v>45108</v>
      </c>
      <c r="U74" s="9">
        <v>45473</v>
      </c>
      <c r="V74">
        <f>SUM(POTABLE_NONPOTABLE_API[[#This Row],[RESIDENTIAL_SINGLEFAMILY_GAL]:[OTHER_GAL]])</f>
        <v>17154328.463999998</v>
      </c>
      <c r="W74">
        <f>SUM(POTABLE_NONPOTABLE_API[[#This Row],[NONPOTABLE_DEMAND_RESIDENTIAL_RECYCLED_WATER_GAL]:[NONPOTABLE_DEMAND_NONRESIDENTIAL_METERED_IRRIGATION_GAL]])</f>
        <v>0</v>
      </c>
      <c r="X74" t="str">
        <f>IFERROR(INDEX(Crosswalk_API!$H$2:$H$527, MATCH(POTABLE_NONPOTABLE_API[[#This Row],[PWSID]], CW_PWSID_LIST, 0)), "")</f>
        <v>No</v>
      </c>
    </row>
    <row r="75" spans="1:24" x14ac:dyDescent="0.25">
      <c r="A75" t="s">
        <v>709</v>
      </c>
      <c r="B75" t="s">
        <v>710</v>
      </c>
      <c r="C75" t="s">
        <v>716</v>
      </c>
      <c r="D75" t="s">
        <v>717</v>
      </c>
      <c r="E75" s="9">
        <v>45139</v>
      </c>
      <c r="F75" s="9">
        <v>45169</v>
      </c>
      <c r="G75">
        <v>15465975.1</v>
      </c>
      <c r="H75">
        <v>47875.328000000001</v>
      </c>
      <c r="I75">
        <v>1963636.5</v>
      </c>
      <c r="J75">
        <v>12716.884</v>
      </c>
      <c r="K75">
        <v>0</v>
      </c>
      <c r="L75">
        <v>0</v>
      </c>
      <c r="M75">
        <v>0</v>
      </c>
      <c r="T75" s="9">
        <v>45108</v>
      </c>
      <c r="U75" s="9">
        <v>45473</v>
      </c>
      <c r="V75">
        <f>SUM(POTABLE_NONPOTABLE_API[[#This Row],[RESIDENTIAL_SINGLEFAMILY_GAL]:[OTHER_GAL]])</f>
        <v>17490203.811999999</v>
      </c>
      <c r="W75">
        <f>SUM(POTABLE_NONPOTABLE_API[[#This Row],[NONPOTABLE_DEMAND_RESIDENTIAL_RECYCLED_WATER_GAL]:[NONPOTABLE_DEMAND_NONRESIDENTIAL_METERED_IRRIGATION_GAL]])</f>
        <v>0</v>
      </c>
      <c r="X75" t="str">
        <f>IFERROR(INDEX(Crosswalk_API!$H$2:$H$527, MATCH(POTABLE_NONPOTABLE_API[[#This Row],[PWSID]], CW_PWSID_LIST, 0)), "")</f>
        <v>No</v>
      </c>
    </row>
    <row r="76" spans="1:24" x14ac:dyDescent="0.25">
      <c r="A76" t="s">
        <v>709</v>
      </c>
      <c r="B76" t="s">
        <v>710</v>
      </c>
      <c r="C76" t="s">
        <v>716</v>
      </c>
      <c r="D76" t="s">
        <v>717</v>
      </c>
      <c r="E76" s="9">
        <v>45170</v>
      </c>
      <c r="F76" s="9">
        <v>45199</v>
      </c>
      <c r="G76">
        <v>12080291.748</v>
      </c>
      <c r="H76">
        <v>46379.224000000002</v>
      </c>
      <c r="I76">
        <v>1412322.176</v>
      </c>
      <c r="J76">
        <v>8976.6239999999998</v>
      </c>
      <c r="K76">
        <v>0</v>
      </c>
      <c r="L76">
        <v>0</v>
      </c>
      <c r="M76">
        <v>0</v>
      </c>
      <c r="T76" s="9">
        <v>45108</v>
      </c>
      <c r="U76" s="9">
        <v>45473</v>
      </c>
      <c r="V76">
        <f>SUM(POTABLE_NONPOTABLE_API[[#This Row],[RESIDENTIAL_SINGLEFAMILY_GAL]:[OTHER_GAL]])</f>
        <v>13547969.771999998</v>
      </c>
      <c r="W76">
        <f>SUM(POTABLE_NONPOTABLE_API[[#This Row],[NONPOTABLE_DEMAND_RESIDENTIAL_RECYCLED_WATER_GAL]:[NONPOTABLE_DEMAND_NONRESIDENTIAL_METERED_IRRIGATION_GAL]])</f>
        <v>0</v>
      </c>
      <c r="X76" t="str">
        <f>IFERROR(INDEX(Crosswalk_API!$H$2:$H$527, MATCH(POTABLE_NONPOTABLE_API[[#This Row],[PWSID]], CW_PWSID_LIST, 0)), "")</f>
        <v>No</v>
      </c>
    </row>
    <row r="77" spans="1:24" x14ac:dyDescent="0.25">
      <c r="A77" t="s">
        <v>709</v>
      </c>
      <c r="B77" t="s">
        <v>710</v>
      </c>
      <c r="C77" t="s">
        <v>716</v>
      </c>
      <c r="D77" t="s">
        <v>717</v>
      </c>
      <c r="E77" s="9">
        <v>45200</v>
      </c>
      <c r="F77" s="9">
        <v>45230</v>
      </c>
      <c r="G77">
        <v>10207917.592</v>
      </c>
      <c r="H77">
        <v>35158.444000000003</v>
      </c>
      <c r="I77">
        <v>1175189.692</v>
      </c>
      <c r="J77">
        <v>8976.6239999999998</v>
      </c>
      <c r="K77">
        <v>0</v>
      </c>
      <c r="L77">
        <v>0</v>
      </c>
      <c r="M77">
        <v>0</v>
      </c>
      <c r="T77" s="9">
        <v>45108</v>
      </c>
      <c r="U77" s="9">
        <v>45473</v>
      </c>
      <c r="V77">
        <f>SUM(POTABLE_NONPOTABLE_API[[#This Row],[RESIDENTIAL_SINGLEFAMILY_GAL]:[OTHER_GAL]])</f>
        <v>11427242.352</v>
      </c>
      <c r="W77">
        <f>SUM(POTABLE_NONPOTABLE_API[[#This Row],[NONPOTABLE_DEMAND_RESIDENTIAL_RECYCLED_WATER_GAL]:[NONPOTABLE_DEMAND_NONRESIDENTIAL_METERED_IRRIGATION_GAL]])</f>
        <v>0</v>
      </c>
      <c r="X77" t="str">
        <f>IFERROR(INDEX(Crosswalk_API!$H$2:$H$527, MATCH(POTABLE_NONPOTABLE_API[[#This Row],[PWSID]], CW_PWSID_LIST, 0)), "")</f>
        <v>No</v>
      </c>
    </row>
    <row r="78" spans="1:24" x14ac:dyDescent="0.25">
      <c r="A78" t="s">
        <v>709</v>
      </c>
      <c r="B78" t="s">
        <v>710</v>
      </c>
      <c r="C78" t="s">
        <v>716</v>
      </c>
      <c r="D78" t="s">
        <v>717</v>
      </c>
      <c r="E78" s="9">
        <v>45231</v>
      </c>
      <c r="F78" s="9">
        <v>45260</v>
      </c>
      <c r="G78">
        <v>9637901.9680000003</v>
      </c>
      <c r="H78">
        <v>35158.444000000003</v>
      </c>
      <c r="I78">
        <v>1139283.196</v>
      </c>
      <c r="J78">
        <v>9724.6759999999995</v>
      </c>
      <c r="K78">
        <v>0</v>
      </c>
      <c r="L78">
        <v>0</v>
      </c>
      <c r="M78">
        <v>0</v>
      </c>
      <c r="T78" s="9">
        <v>45108</v>
      </c>
      <c r="U78" s="9">
        <v>45473</v>
      </c>
      <c r="V78">
        <f>SUM(POTABLE_NONPOTABLE_API[[#This Row],[RESIDENTIAL_SINGLEFAMILY_GAL]:[OTHER_GAL]])</f>
        <v>10822068.284000002</v>
      </c>
      <c r="W78">
        <f>SUM(POTABLE_NONPOTABLE_API[[#This Row],[NONPOTABLE_DEMAND_RESIDENTIAL_RECYCLED_WATER_GAL]:[NONPOTABLE_DEMAND_NONRESIDENTIAL_METERED_IRRIGATION_GAL]])</f>
        <v>0</v>
      </c>
      <c r="X78" t="str">
        <f>IFERROR(INDEX(Crosswalk_API!$H$2:$H$527, MATCH(POTABLE_NONPOTABLE_API[[#This Row],[PWSID]], CW_PWSID_LIST, 0)), "")</f>
        <v>No</v>
      </c>
    </row>
    <row r="79" spans="1:24" x14ac:dyDescent="0.25">
      <c r="A79" t="s">
        <v>709</v>
      </c>
      <c r="B79" t="s">
        <v>710</v>
      </c>
      <c r="C79" t="s">
        <v>716</v>
      </c>
      <c r="D79" t="s">
        <v>717</v>
      </c>
      <c r="E79" s="9">
        <v>45261</v>
      </c>
      <c r="F79" s="9">
        <v>45291</v>
      </c>
      <c r="G79">
        <v>7202244.6560000004</v>
      </c>
      <c r="H79">
        <v>35158.444000000003</v>
      </c>
      <c r="I79">
        <v>825101.35600000003</v>
      </c>
      <c r="J79">
        <v>8976.6239999999998</v>
      </c>
      <c r="K79">
        <v>0</v>
      </c>
      <c r="L79">
        <v>0</v>
      </c>
      <c r="M79">
        <v>0</v>
      </c>
      <c r="T79" s="9">
        <v>45108</v>
      </c>
      <c r="U79" s="9">
        <v>45473</v>
      </c>
      <c r="V79">
        <f>SUM(POTABLE_NONPOTABLE_API[[#This Row],[RESIDENTIAL_SINGLEFAMILY_GAL]:[OTHER_GAL]])</f>
        <v>8071481.0800000001</v>
      </c>
      <c r="W79">
        <f>SUM(POTABLE_NONPOTABLE_API[[#This Row],[NONPOTABLE_DEMAND_RESIDENTIAL_RECYCLED_WATER_GAL]:[NONPOTABLE_DEMAND_NONRESIDENTIAL_METERED_IRRIGATION_GAL]])</f>
        <v>0</v>
      </c>
      <c r="X79" t="str">
        <f>IFERROR(INDEX(Crosswalk_API!$H$2:$H$527, MATCH(POTABLE_NONPOTABLE_API[[#This Row],[PWSID]], CW_PWSID_LIST, 0)), "")</f>
        <v>No</v>
      </c>
    </row>
    <row r="80" spans="1:24" x14ac:dyDescent="0.25">
      <c r="A80" t="s">
        <v>709</v>
      </c>
      <c r="B80" t="s">
        <v>710</v>
      </c>
      <c r="C80" t="s">
        <v>716</v>
      </c>
      <c r="D80" t="s">
        <v>717</v>
      </c>
      <c r="E80" s="9">
        <v>45292</v>
      </c>
      <c r="F80" s="9">
        <v>45322</v>
      </c>
      <c r="G80">
        <v>8720790.216</v>
      </c>
      <c r="H80">
        <v>40394.808000000005</v>
      </c>
      <c r="I80">
        <v>1027823.448</v>
      </c>
      <c r="J80">
        <v>9724.6759999999995</v>
      </c>
      <c r="K80">
        <v>0</v>
      </c>
      <c r="L80">
        <v>0</v>
      </c>
      <c r="M80">
        <v>0</v>
      </c>
      <c r="T80" s="9">
        <v>45108</v>
      </c>
      <c r="U80" s="9">
        <v>45473</v>
      </c>
      <c r="V80">
        <f>SUM(POTABLE_NONPOTABLE_API[[#This Row],[RESIDENTIAL_SINGLEFAMILY_GAL]:[OTHER_GAL]])</f>
        <v>9798733.1480000019</v>
      </c>
      <c r="W80">
        <f>SUM(POTABLE_NONPOTABLE_API[[#This Row],[NONPOTABLE_DEMAND_RESIDENTIAL_RECYCLED_WATER_GAL]:[NONPOTABLE_DEMAND_NONRESIDENTIAL_METERED_IRRIGATION_GAL]])</f>
        <v>0</v>
      </c>
      <c r="X80" t="str">
        <f>IFERROR(INDEX(Crosswalk_API!$H$2:$H$527, MATCH(POTABLE_NONPOTABLE_API[[#This Row],[PWSID]], CW_PWSID_LIST, 0)), "")</f>
        <v>No</v>
      </c>
    </row>
    <row r="81" spans="1:24" x14ac:dyDescent="0.25">
      <c r="A81" t="s">
        <v>709</v>
      </c>
      <c r="B81" t="s">
        <v>710</v>
      </c>
      <c r="C81" t="s">
        <v>716</v>
      </c>
      <c r="D81" t="s">
        <v>717</v>
      </c>
      <c r="E81" s="9">
        <v>45323</v>
      </c>
      <c r="F81" s="9">
        <v>45351</v>
      </c>
      <c r="G81">
        <v>6880582.2960000001</v>
      </c>
      <c r="H81">
        <v>34410.392</v>
      </c>
      <c r="I81">
        <v>856519.54</v>
      </c>
      <c r="J81">
        <v>8976.6239999999998</v>
      </c>
      <c r="K81">
        <v>0</v>
      </c>
      <c r="L81">
        <v>0</v>
      </c>
      <c r="M81">
        <v>0</v>
      </c>
      <c r="T81" s="9">
        <v>45108</v>
      </c>
      <c r="U81" s="9">
        <v>45473</v>
      </c>
      <c r="V81">
        <f>SUM(POTABLE_NONPOTABLE_API[[#This Row],[RESIDENTIAL_SINGLEFAMILY_GAL]:[OTHER_GAL]])</f>
        <v>7780488.852</v>
      </c>
      <c r="W81">
        <f>SUM(POTABLE_NONPOTABLE_API[[#This Row],[NONPOTABLE_DEMAND_RESIDENTIAL_RECYCLED_WATER_GAL]:[NONPOTABLE_DEMAND_NONRESIDENTIAL_METERED_IRRIGATION_GAL]])</f>
        <v>0</v>
      </c>
      <c r="X81" t="str">
        <f>IFERROR(INDEX(Crosswalk_API!$H$2:$H$527, MATCH(POTABLE_NONPOTABLE_API[[#This Row],[PWSID]], CW_PWSID_LIST, 0)), "")</f>
        <v>No</v>
      </c>
    </row>
    <row r="82" spans="1:24" x14ac:dyDescent="0.25">
      <c r="A82" t="s">
        <v>709</v>
      </c>
      <c r="B82" t="s">
        <v>710</v>
      </c>
      <c r="C82" t="s">
        <v>716</v>
      </c>
      <c r="D82" t="s">
        <v>717</v>
      </c>
      <c r="E82" s="9">
        <v>45352</v>
      </c>
      <c r="F82" s="9">
        <v>45382</v>
      </c>
      <c r="G82">
        <v>6754161.5080000004</v>
      </c>
      <c r="H82">
        <v>38898.703999999998</v>
      </c>
      <c r="I82">
        <v>948529.93599999999</v>
      </c>
      <c r="J82">
        <v>11968.832</v>
      </c>
      <c r="K82">
        <v>0</v>
      </c>
      <c r="L82">
        <v>0</v>
      </c>
      <c r="M82">
        <v>0</v>
      </c>
      <c r="T82" s="9">
        <v>45108</v>
      </c>
      <c r="U82" s="9">
        <v>45473</v>
      </c>
      <c r="V82">
        <f>SUM(POTABLE_NONPOTABLE_API[[#This Row],[RESIDENTIAL_SINGLEFAMILY_GAL]:[OTHER_GAL]])</f>
        <v>7753558.9800000004</v>
      </c>
      <c r="W82">
        <f>SUM(POTABLE_NONPOTABLE_API[[#This Row],[NONPOTABLE_DEMAND_RESIDENTIAL_RECYCLED_WATER_GAL]:[NONPOTABLE_DEMAND_NONRESIDENTIAL_METERED_IRRIGATION_GAL]])</f>
        <v>0</v>
      </c>
      <c r="X82" t="str">
        <f>IFERROR(INDEX(Crosswalk_API!$H$2:$H$527, MATCH(POTABLE_NONPOTABLE_API[[#This Row],[PWSID]], CW_PWSID_LIST, 0)), "")</f>
        <v>No</v>
      </c>
    </row>
    <row r="83" spans="1:24" x14ac:dyDescent="0.25">
      <c r="A83" t="s">
        <v>709</v>
      </c>
      <c r="B83" t="s">
        <v>710</v>
      </c>
      <c r="C83" t="s">
        <v>716</v>
      </c>
      <c r="D83" t="s">
        <v>717</v>
      </c>
      <c r="E83" s="9">
        <v>45383</v>
      </c>
      <c r="F83" s="9">
        <v>45412</v>
      </c>
      <c r="G83">
        <v>7295751.1560000004</v>
      </c>
      <c r="H83">
        <v>32166.236000000001</v>
      </c>
      <c r="I83">
        <v>883449.41200000001</v>
      </c>
      <c r="J83">
        <v>12716.884</v>
      </c>
      <c r="K83">
        <v>0</v>
      </c>
      <c r="L83">
        <v>0</v>
      </c>
      <c r="M83">
        <v>0</v>
      </c>
      <c r="T83" s="9">
        <v>45108</v>
      </c>
      <c r="U83" s="9">
        <v>45473</v>
      </c>
      <c r="V83">
        <f>SUM(POTABLE_NONPOTABLE_API[[#This Row],[RESIDENTIAL_SINGLEFAMILY_GAL]:[OTHER_GAL]])</f>
        <v>8224083.6879999992</v>
      </c>
      <c r="W83">
        <f>SUM(POTABLE_NONPOTABLE_API[[#This Row],[NONPOTABLE_DEMAND_RESIDENTIAL_RECYCLED_WATER_GAL]:[NONPOTABLE_DEMAND_NONRESIDENTIAL_METERED_IRRIGATION_GAL]])</f>
        <v>0</v>
      </c>
      <c r="X83" t="str">
        <f>IFERROR(INDEX(Crosswalk_API!$H$2:$H$527, MATCH(POTABLE_NONPOTABLE_API[[#This Row],[PWSID]], CW_PWSID_LIST, 0)), "")</f>
        <v>No</v>
      </c>
    </row>
    <row r="84" spans="1:24" x14ac:dyDescent="0.25">
      <c r="A84" t="s">
        <v>709</v>
      </c>
      <c r="B84" t="s">
        <v>710</v>
      </c>
      <c r="C84" t="s">
        <v>716</v>
      </c>
      <c r="D84" t="s">
        <v>717</v>
      </c>
      <c r="E84" s="9">
        <v>45413</v>
      </c>
      <c r="F84" s="9">
        <v>45443</v>
      </c>
      <c r="G84">
        <v>9598255.2119999994</v>
      </c>
      <c r="H84">
        <v>26181.82</v>
      </c>
      <c r="I84">
        <v>1119833.844</v>
      </c>
      <c r="J84">
        <v>16457.144</v>
      </c>
      <c r="K84">
        <v>0</v>
      </c>
      <c r="L84">
        <v>737130.44079999998</v>
      </c>
      <c r="M84">
        <v>0</v>
      </c>
      <c r="N84">
        <v>0</v>
      </c>
      <c r="O84">
        <v>0</v>
      </c>
      <c r="P84">
        <v>6732.4679999999998</v>
      </c>
      <c r="Q84">
        <v>0</v>
      </c>
      <c r="R84">
        <v>0</v>
      </c>
      <c r="S84">
        <v>0</v>
      </c>
      <c r="T84" s="9">
        <v>45108</v>
      </c>
      <c r="U84" s="9">
        <v>45473</v>
      </c>
      <c r="V84">
        <f>SUM(POTABLE_NONPOTABLE_API[[#This Row],[RESIDENTIAL_SINGLEFAMILY_GAL]:[OTHER_GAL]])</f>
        <v>11497858.4608</v>
      </c>
      <c r="W84">
        <f>SUM(POTABLE_NONPOTABLE_API[[#This Row],[NONPOTABLE_DEMAND_RESIDENTIAL_RECYCLED_WATER_GAL]:[NONPOTABLE_DEMAND_NONRESIDENTIAL_METERED_IRRIGATION_GAL]])</f>
        <v>6732.4679999999998</v>
      </c>
      <c r="X84" t="str">
        <f>IFERROR(INDEX(Crosswalk_API!$H$2:$H$527, MATCH(POTABLE_NONPOTABLE_API[[#This Row],[PWSID]], CW_PWSID_LIST, 0)), "")</f>
        <v>No</v>
      </c>
    </row>
    <row r="85" spans="1:24" x14ac:dyDescent="0.25">
      <c r="A85" t="s">
        <v>709</v>
      </c>
      <c r="B85" t="s">
        <v>710</v>
      </c>
      <c r="C85" t="s">
        <v>716</v>
      </c>
      <c r="D85" t="s">
        <v>717</v>
      </c>
      <c r="E85" s="9">
        <v>45444</v>
      </c>
      <c r="F85" s="9">
        <v>45473</v>
      </c>
      <c r="G85">
        <v>13791086.672</v>
      </c>
      <c r="H85">
        <v>29922.080000000002</v>
      </c>
      <c r="I85">
        <v>1488623.48</v>
      </c>
      <c r="J85">
        <v>10472.728000000001</v>
      </c>
      <c r="K85">
        <v>0</v>
      </c>
      <c r="L85">
        <v>3096.9352799999997</v>
      </c>
      <c r="M85">
        <v>0</v>
      </c>
      <c r="N85">
        <v>0</v>
      </c>
      <c r="O85">
        <v>0</v>
      </c>
      <c r="P85">
        <v>8228.5720000000001</v>
      </c>
      <c r="Q85">
        <v>0</v>
      </c>
      <c r="R85">
        <v>0</v>
      </c>
      <c r="S85">
        <v>0</v>
      </c>
      <c r="T85" s="9">
        <v>45108</v>
      </c>
      <c r="U85" s="9">
        <v>45473</v>
      </c>
      <c r="V85">
        <f>SUM(POTABLE_NONPOTABLE_API[[#This Row],[RESIDENTIAL_SINGLEFAMILY_GAL]:[OTHER_GAL]])</f>
        <v>15323201.895280002</v>
      </c>
      <c r="W85">
        <f>SUM(POTABLE_NONPOTABLE_API[[#This Row],[NONPOTABLE_DEMAND_RESIDENTIAL_RECYCLED_WATER_GAL]:[NONPOTABLE_DEMAND_NONRESIDENTIAL_METERED_IRRIGATION_GAL]])</f>
        <v>8228.5720000000001</v>
      </c>
      <c r="X85" t="str">
        <f>IFERROR(INDEX(Crosswalk_API!$H$2:$H$527, MATCH(POTABLE_NONPOTABLE_API[[#This Row],[PWSID]], CW_PWSID_LIST, 0)), "")</f>
        <v>No</v>
      </c>
    </row>
    <row r="86" spans="1:24" x14ac:dyDescent="0.25">
      <c r="A86" t="s">
        <v>709</v>
      </c>
      <c r="B86" t="s">
        <v>710</v>
      </c>
      <c r="C86" t="s">
        <v>718</v>
      </c>
      <c r="D86" t="s">
        <v>719</v>
      </c>
      <c r="E86" s="9">
        <v>45108</v>
      </c>
      <c r="F86" s="9">
        <v>45138</v>
      </c>
      <c r="G86">
        <v>371033.79200000002</v>
      </c>
      <c r="H86">
        <v>0</v>
      </c>
      <c r="I86">
        <v>0</v>
      </c>
      <c r="J86">
        <v>0</v>
      </c>
      <c r="K86">
        <v>0</v>
      </c>
      <c r="L86">
        <v>371033.79200000002</v>
      </c>
      <c r="M86">
        <v>0</v>
      </c>
      <c r="T86" s="9">
        <v>45108</v>
      </c>
      <c r="U86" s="9">
        <v>45473</v>
      </c>
      <c r="V86">
        <f>SUM(POTABLE_NONPOTABLE_API[[#This Row],[RESIDENTIAL_SINGLEFAMILY_GAL]:[OTHER_GAL]])</f>
        <v>742067.58400000003</v>
      </c>
      <c r="W86">
        <f>SUM(POTABLE_NONPOTABLE_API[[#This Row],[NONPOTABLE_DEMAND_RESIDENTIAL_RECYCLED_WATER_GAL]:[NONPOTABLE_DEMAND_NONRESIDENTIAL_METERED_IRRIGATION_GAL]])</f>
        <v>0</v>
      </c>
      <c r="X86" t="str">
        <f>IFERROR(INDEX(Crosswalk_API!$H$2:$H$527, MATCH(POTABLE_NONPOTABLE_API[[#This Row],[PWSID]], CW_PWSID_LIST, 0)), "")</f>
        <v>No</v>
      </c>
    </row>
    <row r="87" spans="1:24" x14ac:dyDescent="0.25">
      <c r="A87" t="s">
        <v>709</v>
      </c>
      <c r="B87" t="s">
        <v>710</v>
      </c>
      <c r="C87" t="s">
        <v>718</v>
      </c>
      <c r="D87" t="s">
        <v>719</v>
      </c>
      <c r="E87" s="9">
        <v>45139</v>
      </c>
      <c r="F87" s="9">
        <v>45169</v>
      </c>
      <c r="G87">
        <v>844550.70799999998</v>
      </c>
      <c r="H87">
        <v>0</v>
      </c>
      <c r="I87">
        <v>0</v>
      </c>
      <c r="J87">
        <v>0</v>
      </c>
      <c r="K87">
        <v>0</v>
      </c>
      <c r="L87">
        <v>0</v>
      </c>
      <c r="M87">
        <v>0</v>
      </c>
      <c r="T87" s="9">
        <v>45108</v>
      </c>
      <c r="U87" s="9">
        <v>45473</v>
      </c>
      <c r="V87">
        <f>SUM(POTABLE_NONPOTABLE_API[[#This Row],[RESIDENTIAL_SINGLEFAMILY_GAL]:[OTHER_GAL]])</f>
        <v>844550.70799999998</v>
      </c>
      <c r="W87">
        <f>SUM(POTABLE_NONPOTABLE_API[[#This Row],[NONPOTABLE_DEMAND_RESIDENTIAL_RECYCLED_WATER_GAL]:[NONPOTABLE_DEMAND_NONRESIDENTIAL_METERED_IRRIGATION_GAL]])</f>
        <v>0</v>
      </c>
      <c r="X87" t="str">
        <f>IFERROR(INDEX(Crosswalk_API!$H$2:$H$527, MATCH(POTABLE_NONPOTABLE_API[[#This Row],[PWSID]], CW_PWSID_LIST, 0)), "")</f>
        <v>No</v>
      </c>
    </row>
    <row r="88" spans="1:24" x14ac:dyDescent="0.25">
      <c r="A88" t="s">
        <v>709</v>
      </c>
      <c r="B88" t="s">
        <v>710</v>
      </c>
      <c r="C88" t="s">
        <v>718</v>
      </c>
      <c r="D88" t="s">
        <v>719</v>
      </c>
      <c r="E88" s="9">
        <v>45170</v>
      </c>
      <c r="F88" s="9">
        <v>45199</v>
      </c>
      <c r="G88">
        <v>594701.34</v>
      </c>
      <c r="H88">
        <v>0</v>
      </c>
      <c r="I88">
        <v>0</v>
      </c>
      <c r="J88">
        <v>0</v>
      </c>
      <c r="K88">
        <v>0</v>
      </c>
      <c r="L88">
        <v>0</v>
      </c>
      <c r="M88">
        <v>0</v>
      </c>
      <c r="T88" s="9">
        <v>45108</v>
      </c>
      <c r="U88" s="9">
        <v>45473</v>
      </c>
      <c r="V88">
        <f>SUM(POTABLE_NONPOTABLE_API[[#This Row],[RESIDENTIAL_SINGLEFAMILY_GAL]:[OTHER_GAL]])</f>
        <v>594701.34</v>
      </c>
      <c r="W88">
        <f>SUM(POTABLE_NONPOTABLE_API[[#This Row],[NONPOTABLE_DEMAND_RESIDENTIAL_RECYCLED_WATER_GAL]:[NONPOTABLE_DEMAND_NONRESIDENTIAL_METERED_IRRIGATION_GAL]])</f>
        <v>0</v>
      </c>
      <c r="X88" t="str">
        <f>IFERROR(INDEX(Crosswalk_API!$H$2:$H$527, MATCH(POTABLE_NONPOTABLE_API[[#This Row],[PWSID]], CW_PWSID_LIST, 0)), "")</f>
        <v>No</v>
      </c>
    </row>
    <row r="89" spans="1:24" x14ac:dyDescent="0.25">
      <c r="A89" t="s">
        <v>709</v>
      </c>
      <c r="B89" t="s">
        <v>710</v>
      </c>
      <c r="C89" t="s">
        <v>718</v>
      </c>
      <c r="D89" t="s">
        <v>719</v>
      </c>
      <c r="E89" s="9">
        <v>45200</v>
      </c>
      <c r="F89" s="9">
        <v>45230</v>
      </c>
      <c r="G89">
        <v>494462.37200000003</v>
      </c>
      <c r="H89">
        <v>0</v>
      </c>
      <c r="I89">
        <v>0</v>
      </c>
      <c r="J89">
        <v>0</v>
      </c>
      <c r="K89">
        <v>0</v>
      </c>
      <c r="L89">
        <v>0</v>
      </c>
      <c r="M89">
        <v>0</v>
      </c>
      <c r="T89" s="9">
        <v>45108</v>
      </c>
      <c r="U89" s="9">
        <v>45473</v>
      </c>
      <c r="V89">
        <f>SUM(POTABLE_NONPOTABLE_API[[#This Row],[RESIDENTIAL_SINGLEFAMILY_GAL]:[OTHER_GAL]])</f>
        <v>494462.37200000003</v>
      </c>
      <c r="W89">
        <f>SUM(POTABLE_NONPOTABLE_API[[#This Row],[NONPOTABLE_DEMAND_RESIDENTIAL_RECYCLED_WATER_GAL]:[NONPOTABLE_DEMAND_NONRESIDENTIAL_METERED_IRRIGATION_GAL]])</f>
        <v>0</v>
      </c>
      <c r="X89" t="str">
        <f>IFERROR(INDEX(Crosswalk_API!$H$2:$H$527, MATCH(POTABLE_NONPOTABLE_API[[#This Row],[PWSID]], CW_PWSID_LIST, 0)), "")</f>
        <v>No</v>
      </c>
    </row>
    <row r="90" spans="1:24" x14ac:dyDescent="0.25">
      <c r="A90" t="s">
        <v>709</v>
      </c>
      <c r="B90" t="s">
        <v>710</v>
      </c>
      <c r="C90" t="s">
        <v>718</v>
      </c>
      <c r="D90" t="s">
        <v>719</v>
      </c>
      <c r="E90" s="9">
        <v>45231</v>
      </c>
      <c r="F90" s="9">
        <v>45260</v>
      </c>
      <c r="G90">
        <v>311937.68400000001</v>
      </c>
      <c r="H90">
        <v>0</v>
      </c>
      <c r="I90">
        <v>0</v>
      </c>
      <c r="J90">
        <v>0</v>
      </c>
      <c r="K90">
        <v>0</v>
      </c>
      <c r="L90">
        <v>0</v>
      </c>
      <c r="M90">
        <v>0</v>
      </c>
      <c r="T90" s="9">
        <v>45108</v>
      </c>
      <c r="U90" s="9">
        <v>45473</v>
      </c>
      <c r="V90">
        <f>SUM(POTABLE_NONPOTABLE_API[[#This Row],[RESIDENTIAL_SINGLEFAMILY_GAL]:[OTHER_GAL]])</f>
        <v>311937.68400000001</v>
      </c>
      <c r="W90">
        <f>SUM(POTABLE_NONPOTABLE_API[[#This Row],[NONPOTABLE_DEMAND_RESIDENTIAL_RECYCLED_WATER_GAL]:[NONPOTABLE_DEMAND_NONRESIDENTIAL_METERED_IRRIGATION_GAL]])</f>
        <v>0</v>
      </c>
      <c r="X90" t="str">
        <f>IFERROR(INDEX(Crosswalk_API!$H$2:$H$527, MATCH(POTABLE_NONPOTABLE_API[[#This Row],[PWSID]], CW_PWSID_LIST, 0)), "")</f>
        <v>No</v>
      </c>
    </row>
    <row r="91" spans="1:24" x14ac:dyDescent="0.25">
      <c r="A91" t="s">
        <v>709</v>
      </c>
      <c r="B91" t="s">
        <v>710</v>
      </c>
      <c r="C91" t="s">
        <v>718</v>
      </c>
      <c r="D91" t="s">
        <v>719</v>
      </c>
      <c r="E91" s="9">
        <v>45261</v>
      </c>
      <c r="F91" s="9">
        <v>45291</v>
      </c>
      <c r="G91">
        <v>202722.092</v>
      </c>
      <c r="H91">
        <v>0</v>
      </c>
      <c r="I91">
        <v>0</v>
      </c>
      <c r="J91">
        <v>0</v>
      </c>
      <c r="K91">
        <v>0</v>
      </c>
      <c r="L91">
        <v>0</v>
      </c>
      <c r="M91">
        <v>0</v>
      </c>
      <c r="T91" s="9">
        <v>45108</v>
      </c>
      <c r="U91" s="9">
        <v>45473</v>
      </c>
      <c r="V91">
        <f>SUM(POTABLE_NONPOTABLE_API[[#This Row],[RESIDENTIAL_SINGLEFAMILY_GAL]:[OTHER_GAL]])</f>
        <v>202722.092</v>
      </c>
      <c r="W91">
        <f>SUM(POTABLE_NONPOTABLE_API[[#This Row],[NONPOTABLE_DEMAND_RESIDENTIAL_RECYCLED_WATER_GAL]:[NONPOTABLE_DEMAND_NONRESIDENTIAL_METERED_IRRIGATION_GAL]])</f>
        <v>0</v>
      </c>
      <c r="X91" t="str">
        <f>IFERROR(INDEX(Crosswalk_API!$H$2:$H$527, MATCH(POTABLE_NONPOTABLE_API[[#This Row],[PWSID]], CW_PWSID_LIST, 0)), "")</f>
        <v>No</v>
      </c>
    </row>
    <row r="92" spans="1:24" x14ac:dyDescent="0.25">
      <c r="A92" t="s">
        <v>709</v>
      </c>
      <c r="B92" t="s">
        <v>710</v>
      </c>
      <c r="C92" t="s">
        <v>718</v>
      </c>
      <c r="D92" t="s">
        <v>719</v>
      </c>
      <c r="E92" s="9">
        <v>45292</v>
      </c>
      <c r="F92" s="9">
        <v>45322</v>
      </c>
      <c r="G92">
        <v>240124.69200000001</v>
      </c>
      <c r="H92">
        <v>0</v>
      </c>
      <c r="I92">
        <v>0</v>
      </c>
      <c r="J92">
        <v>0</v>
      </c>
      <c r="K92">
        <v>0</v>
      </c>
      <c r="L92">
        <v>0</v>
      </c>
      <c r="M92">
        <v>0</v>
      </c>
      <c r="T92" s="9">
        <v>45108</v>
      </c>
      <c r="U92" s="9">
        <v>45473</v>
      </c>
      <c r="V92">
        <f>SUM(POTABLE_NONPOTABLE_API[[#This Row],[RESIDENTIAL_SINGLEFAMILY_GAL]:[OTHER_GAL]])</f>
        <v>240124.69200000001</v>
      </c>
      <c r="W92">
        <f>SUM(POTABLE_NONPOTABLE_API[[#This Row],[NONPOTABLE_DEMAND_RESIDENTIAL_RECYCLED_WATER_GAL]:[NONPOTABLE_DEMAND_NONRESIDENTIAL_METERED_IRRIGATION_GAL]])</f>
        <v>0</v>
      </c>
      <c r="X92" t="str">
        <f>IFERROR(INDEX(Crosswalk_API!$H$2:$H$527, MATCH(POTABLE_NONPOTABLE_API[[#This Row],[PWSID]], CW_PWSID_LIST, 0)), "")</f>
        <v>No</v>
      </c>
    </row>
    <row r="93" spans="1:24" x14ac:dyDescent="0.25">
      <c r="A93" t="s">
        <v>709</v>
      </c>
      <c r="B93" t="s">
        <v>710</v>
      </c>
      <c r="C93" t="s">
        <v>718</v>
      </c>
      <c r="D93" t="s">
        <v>719</v>
      </c>
      <c r="E93" s="9">
        <v>45323</v>
      </c>
      <c r="F93" s="9">
        <v>45351</v>
      </c>
      <c r="G93">
        <v>201225.98800000001</v>
      </c>
      <c r="H93">
        <v>0</v>
      </c>
      <c r="I93">
        <v>0</v>
      </c>
      <c r="J93">
        <v>0</v>
      </c>
      <c r="K93">
        <v>0</v>
      </c>
      <c r="L93">
        <v>0</v>
      </c>
      <c r="M93">
        <v>0</v>
      </c>
      <c r="T93" s="9">
        <v>45108</v>
      </c>
      <c r="U93" s="9">
        <v>45473</v>
      </c>
      <c r="V93">
        <f>SUM(POTABLE_NONPOTABLE_API[[#This Row],[RESIDENTIAL_SINGLEFAMILY_GAL]:[OTHER_GAL]])</f>
        <v>201225.98800000001</v>
      </c>
      <c r="W93">
        <f>SUM(POTABLE_NONPOTABLE_API[[#This Row],[NONPOTABLE_DEMAND_RESIDENTIAL_RECYCLED_WATER_GAL]:[NONPOTABLE_DEMAND_NONRESIDENTIAL_METERED_IRRIGATION_GAL]])</f>
        <v>0</v>
      </c>
      <c r="X93" t="str">
        <f>IFERROR(INDEX(Crosswalk_API!$H$2:$H$527, MATCH(POTABLE_NONPOTABLE_API[[#This Row],[PWSID]], CW_PWSID_LIST, 0)), "")</f>
        <v>No</v>
      </c>
    </row>
    <row r="94" spans="1:24" x14ac:dyDescent="0.25">
      <c r="A94" t="s">
        <v>709</v>
      </c>
      <c r="B94" t="s">
        <v>710</v>
      </c>
      <c r="C94" t="s">
        <v>718</v>
      </c>
      <c r="D94" t="s">
        <v>719</v>
      </c>
      <c r="E94" s="9">
        <v>45352</v>
      </c>
      <c r="F94" s="9">
        <v>45382</v>
      </c>
      <c r="G94">
        <v>197485.728</v>
      </c>
      <c r="H94">
        <v>0</v>
      </c>
      <c r="I94">
        <v>0</v>
      </c>
      <c r="J94">
        <v>0</v>
      </c>
      <c r="K94">
        <v>0</v>
      </c>
      <c r="L94">
        <v>0</v>
      </c>
      <c r="M94">
        <v>0</v>
      </c>
      <c r="T94" s="9">
        <v>45108</v>
      </c>
      <c r="U94" s="9">
        <v>45473</v>
      </c>
      <c r="V94">
        <f>SUM(POTABLE_NONPOTABLE_API[[#This Row],[RESIDENTIAL_SINGLEFAMILY_GAL]:[OTHER_GAL]])</f>
        <v>197485.728</v>
      </c>
      <c r="W94">
        <f>SUM(POTABLE_NONPOTABLE_API[[#This Row],[NONPOTABLE_DEMAND_RESIDENTIAL_RECYCLED_WATER_GAL]:[NONPOTABLE_DEMAND_NONRESIDENTIAL_METERED_IRRIGATION_GAL]])</f>
        <v>0</v>
      </c>
      <c r="X94" t="str">
        <f>IFERROR(INDEX(Crosswalk_API!$H$2:$H$527, MATCH(POTABLE_NONPOTABLE_API[[#This Row],[PWSID]], CW_PWSID_LIST, 0)), "")</f>
        <v>No</v>
      </c>
    </row>
    <row r="95" spans="1:24" x14ac:dyDescent="0.25">
      <c r="A95" t="s">
        <v>709</v>
      </c>
      <c r="B95" t="s">
        <v>710</v>
      </c>
      <c r="C95" t="s">
        <v>718</v>
      </c>
      <c r="D95" t="s">
        <v>719</v>
      </c>
      <c r="E95" s="9">
        <v>45383</v>
      </c>
      <c r="F95" s="9">
        <v>45412</v>
      </c>
      <c r="G95">
        <v>183272.74</v>
      </c>
      <c r="H95">
        <v>0</v>
      </c>
      <c r="I95">
        <v>0</v>
      </c>
      <c r="J95">
        <v>0</v>
      </c>
      <c r="K95">
        <v>0</v>
      </c>
      <c r="L95">
        <v>0</v>
      </c>
      <c r="M95">
        <v>0</v>
      </c>
      <c r="T95" s="9">
        <v>45108</v>
      </c>
      <c r="U95" s="9">
        <v>45473</v>
      </c>
      <c r="V95">
        <f>SUM(POTABLE_NONPOTABLE_API[[#This Row],[RESIDENTIAL_SINGLEFAMILY_GAL]:[OTHER_GAL]])</f>
        <v>183272.74</v>
      </c>
      <c r="W95">
        <f>SUM(POTABLE_NONPOTABLE_API[[#This Row],[NONPOTABLE_DEMAND_RESIDENTIAL_RECYCLED_WATER_GAL]:[NONPOTABLE_DEMAND_NONRESIDENTIAL_METERED_IRRIGATION_GAL]])</f>
        <v>0</v>
      </c>
      <c r="X95" t="str">
        <f>IFERROR(INDEX(Crosswalk_API!$H$2:$H$527, MATCH(POTABLE_NONPOTABLE_API[[#This Row],[PWSID]], CW_PWSID_LIST, 0)), "")</f>
        <v>No</v>
      </c>
    </row>
    <row r="96" spans="1:24" x14ac:dyDescent="0.25">
      <c r="A96" t="s">
        <v>709</v>
      </c>
      <c r="B96" t="s">
        <v>710</v>
      </c>
      <c r="C96" t="s">
        <v>718</v>
      </c>
      <c r="D96" t="s">
        <v>719</v>
      </c>
      <c r="E96" s="9">
        <v>45413</v>
      </c>
      <c r="F96" s="9">
        <v>45443</v>
      </c>
      <c r="G96">
        <v>236384.432</v>
      </c>
      <c r="H96">
        <v>0</v>
      </c>
      <c r="I96">
        <v>0</v>
      </c>
      <c r="J96">
        <v>0</v>
      </c>
      <c r="K96">
        <v>0</v>
      </c>
      <c r="L96">
        <v>0</v>
      </c>
      <c r="M96">
        <v>0</v>
      </c>
      <c r="T96" s="9">
        <v>45108</v>
      </c>
      <c r="U96" s="9">
        <v>45473</v>
      </c>
      <c r="V96">
        <f>SUM(POTABLE_NONPOTABLE_API[[#This Row],[RESIDENTIAL_SINGLEFAMILY_GAL]:[OTHER_GAL]])</f>
        <v>236384.432</v>
      </c>
      <c r="W96">
        <f>SUM(POTABLE_NONPOTABLE_API[[#This Row],[NONPOTABLE_DEMAND_RESIDENTIAL_RECYCLED_WATER_GAL]:[NONPOTABLE_DEMAND_NONRESIDENTIAL_METERED_IRRIGATION_GAL]])</f>
        <v>0</v>
      </c>
      <c r="X96" t="str">
        <f>IFERROR(INDEX(Crosswalk_API!$H$2:$H$527, MATCH(POTABLE_NONPOTABLE_API[[#This Row],[PWSID]], CW_PWSID_LIST, 0)), "")</f>
        <v>No</v>
      </c>
    </row>
    <row r="97" spans="1:24" x14ac:dyDescent="0.25">
      <c r="A97" t="s">
        <v>709</v>
      </c>
      <c r="B97" t="s">
        <v>710</v>
      </c>
      <c r="C97" t="s">
        <v>718</v>
      </c>
      <c r="D97" t="s">
        <v>719</v>
      </c>
      <c r="E97" s="9">
        <v>45444</v>
      </c>
      <c r="F97" s="9">
        <v>45473</v>
      </c>
      <c r="G97">
        <v>730846.804</v>
      </c>
      <c r="H97">
        <v>0</v>
      </c>
      <c r="I97">
        <v>0</v>
      </c>
      <c r="J97">
        <v>0</v>
      </c>
      <c r="K97">
        <v>0</v>
      </c>
      <c r="L97">
        <v>0</v>
      </c>
      <c r="M97">
        <v>0</v>
      </c>
      <c r="T97" s="9">
        <v>45108</v>
      </c>
      <c r="U97" s="9">
        <v>45473</v>
      </c>
      <c r="V97">
        <f>SUM(POTABLE_NONPOTABLE_API[[#This Row],[RESIDENTIAL_SINGLEFAMILY_GAL]:[OTHER_GAL]])</f>
        <v>730846.804</v>
      </c>
      <c r="W97">
        <f>SUM(POTABLE_NONPOTABLE_API[[#This Row],[NONPOTABLE_DEMAND_RESIDENTIAL_RECYCLED_WATER_GAL]:[NONPOTABLE_DEMAND_NONRESIDENTIAL_METERED_IRRIGATION_GAL]])</f>
        <v>0</v>
      </c>
      <c r="X97" t="str">
        <f>IFERROR(INDEX(Crosswalk_API!$H$2:$H$527, MATCH(POTABLE_NONPOTABLE_API[[#This Row],[PWSID]], CW_PWSID_LIST, 0)), "")</f>
        <v>No</v>
      </c>
    </row>
    <row r="98" spans="1:24" x14ac:dyDescent="0.25">
      <c r="A98" t="s">
        <v>709</v>
      </c>
      <c r="B98" t="s">
        <v>710</v>
      </c>
      <c r="C98" t="s">
        <v>720</v>
      </c>
      <c r="D98" t="s">
        <v>721</v>
      </c>
      <c r="E98" s="9">
        <v>45108</v>
      </c>
      <c r="F98" s="9">
        <v>45138</v>
      </c>
      <c r="G98">
        <v>6588842.0159999998</v>
      </c>
      <c r="H98">
        <v>20945.456000000002</v>
      </c>
      <c r="I98">
        <v>70316.888000000006</v>
      </c>
      <c r="J98">
        <v>0</v>
      </c>
      <c r="K98">
        <v>0</v>
      </c>
      <c r="L98">
        <v>0</v>
      </c>
      <c r="M98">
        <v>0</v>
      </c>
      <c r="T98" s="9">
        <v>45108</v>
      </c>
      <c r="U98" s="9">
        <v>45473</v>
      </c>
      <c r="V98">
        <f>SUM(POTABLE_NONPOTABLE_API[[#This Row],[RESIDENTIAL_SINGLEFAMILY_GAL]:[OTHER_GAL]])</f>
        <v>6680104.3600000003</v>
      </c>
      <c r="W98">
        <f>SUM(POTABLE_NONPOTABLE_API[[#This Row],[NONPOTABLE_DEMAND_RESIDENTIAL_RECYCLED_WATER_GAL]:[NONPOTABLE_DEMAND_NONRESIDENTIAL_METERED_IRRIGATION_GAL]])</f>
        <v>0</v>
      </c>
      <c r="X98" t="str">
        <f>IFERROR(INDEX(Crosswalk_API!$H$2:$H$527, MATCH(POTABLE_NONPOTABLE_API[[#This Row],[PWSID]], CW_PWSID_LIST, 0)), "")</f>
        <v>No</v>
      </c>
    </row>
    <row r="99" spans="1:24" x14ac:dyDescent="0.25">
      <c r="A99" t="s">
        <v>709</v>
      </c>
      <c r="B99" t="s">
        <v>710</v>
      </c>
      <c r="C99" t="s">
        <v>720</v>
      </c>
      <c r="D99" t="s">
        <v>721</v>
      </c>
      <c r="E99" s="9">
        <v>45139</v>
      </c>
      <c r="F99" s="9">
        <v>45169</v>
      </c>
      <c r="G99">
        <v>7413943.3720000004</v>
      </c>
      <c r="H99">
        <v>65828.576000000001</v>
      </c>
      <c r="I99">
        <v>72561.044000000009</v>
      </c>
      <c r="J99">
        <v>0</v>
      </c>
      <c r="K99">
        <v>0</v>
      </c>
      <c r="L99">
        <v>0</v>
      </c>
      <c r="M99">
        <v>0</v>
      </c>
      <c r="T99" s="9">
        <v>45108</v>
      </c>
      <c r="U99" s="9">
        <v>45473</v>
      </c>
      <c r="V99">
        <f>SUM(POTABLE_NONPOTABLE_API[[#This Row],[RESIDENTIAL_SINGLEFAMILY_GAL]:[OTHER_GAL]])</f>
        <v>7552332.9920000006</v>
      </c>
      <c r="W99">
        <f>SUM(POTABLE_NONPOTABLE_API[[#This Row],[NONPOTABLE_DEMAND_RESIDENTIAL_RECYCLED_WATER_GAL]:[NONPOTABLE_DEMAND_NONRESIDENTIAL_METERED_IRRIGATION_GAL]])</f>
        <v>0</v>
      </c>
      <c r="X99" t="str">
        <f>IFERROR(INDEX(Crosswalk_API!$H$2:$H$527, MATCH(POTABLE_NONPOTABLE_API[[#This Row],[PWSID]], CW_PWSID_LIST, 0)), "")</f>
        <v>No</v>
      </c>
    </row>
    <row r="100" spans="1:24" x14ac:dyDescent="0.25">
      <c r="A100" t="s">
        <v>709</v>
      </c>
      <c r="B100" t="s">
        <v>710</v>
      </c>
      <c r="C100" t="s">
        <v>720</v>
      </c>
      <c r="D100" t="s">
        <v>721</v>
      </c>
      <c r="E100" s="9">
        <v>45170</v>
      </c>
      <c r="F100" s="9">
        <v>45199</v>
      </c>
      <c r="G100">
        <v>7357091.4199999999</v>
      </c>
      <c r="H100">
        <v>29174.028000000002</v>
      </c>
      <c r="I100">
        <v>86025.98</v>
      </c>
      <c r="J100">
        <v>0</v>
      </c>
      <c r="K100">
        <v>0</v>
      </c>
      <c r="L100">
        <v>0</v>
      </c>
      <c r="M100">
        <v>0</v>
      </c>
      <c r="T100" s="9">
        <v>45108</v>
      </c>
      <c r="U100" s="9">
        <v>45473</v>
      </c>
      <c r="V100">
        <f>SUM(POTABLE_NONPOTABLE_API[[#This Row],[RESIDENTIAL_SINGLEFAMILY_GAL]:[OTHER_GAL]])</f>
        <v>7472291.4280000003</v>
      </c>
      <c r="W100">
        <f>SUM(POTABLE_NONPOTABLE_API[[#This Row],[NONPOTABLE_DEMAND_RESIDENTIAL_RECYCLED_WATER_GAL]:[NONPOTABLE_DEMAND_NONRESIDENTIAL_METERED_IRRIGATION_GAL]])</f>
        <v>0</v>
      </c>
      <c r="X100" t="str">
        <f>IFERROR(INDEX(Crosswalk_API!$H$2:$H$527, MATCH(POTABLE_NONPOTABLE_API[[#This Row],[PWSID]], CW_PWSID_LIST, 0)), "")</f>
        <v>No</v>
      </c>
    </row>
    <row r="101" spans="1:24" x14ac:dyDescent="0.25">
      <c r="A101" t="s">
        <v>709</v>
      </c>
      <c r="B101" t="s">
        <v>710</v>
      </c>
      <c r="C101" t="s">
        <v>720</v>
      </c>
      <c r="D101" t="s">
        <v>721</v>
      </c>
      <c r="E101" s="9">
        <v>45200</v>
      </c>
      <c r="F101" s="9">
        <v>45230</v>
      </c>
      <c r="G101">
        <v>5512395.1880000001</v>
      </c>
      <c r="H101">
        <v>29922.080000000002</v>
      </c>
      <c r="I101">
        <v>71064.94</v>
      </c>
      <c r="J101">
        <v>0</v>
      </c>
      <c r="K101">
        <v>0</v>
      </c>
      <c r="L101">
        <v>0</v>
      </c>
      <c r="M101">
        <v>0</v>
      </c>
      <c r="T101" s="9">
        <v>45108</v>
      </c>
      <c r="U101" s="9">
        <v>45473</v>
      </c>
      <c r="V101">
        <f>SUM(POTABLE_NONPOTABLE_API[[#This Row],[RESIDENTIAL_SINGLEFAMILY_GAL]:[OTHER_GAL]])</f>
        <v>5613382.2080000006</v>
      </c>
      <c r="W101">
        <f>SUM(POTABLE_NONPOTABLE_API[[#This Row],[NONPOTABLE_DEMAND_RESIDENTIAL_RECYCLED_WATER_GAL]:[NONPOTABLE_DEMAND_NONRESIDENTIAL_METERED_IRRIGATION_GAL]])</f>
        <v>0</v>
      </c>
      <c r="X101" t="str">
        <f>IFERROR(INDEX(Crosswalk_API!$H$2:$H$527, MATCH(POTABLE_NONPOTABLE_API[[#This Row],[PWSID]], CW_PWSID_LIST, 0)), "")</f>
        <v>No</v>
      </c>
    </row>
    <row r="102" spans="1:24" x14ac:dyDescent="0.25">
      <c r="A102" t="s">
        <v>709</v>
      </c>
      <c r="B102" t="s">
        <v>710</v>
      </c>
      <c r="C102" t="s">
        <v>720</v>
      </c>
      <c r="D102" t="s">
        <v>721</v>
      </c>
      <c r="E102" s="9">
        <v>45231</v>
      </c>
      <c r="F102" s="9">
        <v>45260</v>
      </c>
      <c r="G102">
        <v>4351747.6268799994</v>
      </c>
      <c r="H102">
        <v>25433.768</v>
      </c>
      <c r="I102">
        <v>51615.588000000003</v>
      </c>
      <c r="J102">
        <v>0</v>
      </c>
      <c r="K102">
        <v>0</v>
      </c>
      <c r="L102">
        <v>0</v>
      </c>
      <c r="M102">
        <v>0</v>
      </c>
      <c r="T102" s="9">
        <v>45108</v>
      </c>
      <c r="U102" s="9">
        <v>45473</v>
      </c>
      <c r="V102">
        <f>SUM(POTABLE_NONPOTABLE_API[[#This Row],[RESIDENTIAL_SINGLEFAMILY_GAL]:[OTHER_GAL]])</f>
        <v>4428796.98288</v>
      </c>
      <c r="W102">
        <f>SUM(POTABLE_NONPOTABLE_API[[#This Row],[NONPOTABLE_DEMAND_RESIDENTIAL_RECYCLED_WATER_GAL]:[NONPOTABLE_DEMAND_NONRESIDENTIAL_METERED_IRRIGATION_GAL]])</f>
        <v>0</v>
      </c>
      <c r="X102" t="str">
        <f>IFERROR(INDEX(Crosswalk_API!$H$2:$H$527, MATCH(POTABLE_NONPOTABLE_API[[#This Row],[PWSID]], CW_PWSID_LIST, 0)), "")</f>
        <v>No</v>
      </c>
    </row>
    <row r="103" spans="1:24" x14ac:dyDescent="0.25">
      <c r="A103" t="s">
        <v>709</v>
      </c>
      <c r="B103" t="s">
        <v>710</v>
      </c>
      <c r="C103" t="s">
        <v>720</v>
      </c>
      <c r="D103" t="s">
        <v>721</v>
      </c>
      <c r="E103" s="9">
        <v>45261</v>
      </c>
      <c r="F103" s="9">
        <v>45291</v>
      </c>
      <c r="G103">
        <v>3627304.148</v>
      </c>
      <c r="H103">
        <v>32914.288</v>
      </c>
      <c r="I103">
        <v>53859.743999999999</v>
      </c>
      <c r="J103">
        <v>0</v>
      </c>
      <c r="K103">
        <v>0</v>
      </c>
      <c r="L103">
        <v>0</v>
      </c>
      <c r="M103">
        <v>0</v>
      </c>
      <c r="T103" s="9">
        <v>45108</v>
      </c>
      <c r="U103" s="9">
        <v>45473</v>
      </c>
      <c r="V103">
        <f>SUM(POTABLE_NONPOTABLE_API[[#This Row],[RESIDENTIAL_SINGLEFAMILY_GAL]:[OTHER_GAL]])</f>
        <v>3714078.18</v>
      </c>
      <c r="W103">
        <f>SUM(POTABLE_NONPOTABLE_API[[#This Row],[NONPOTABLE_DEMAND_RESIDENTIAL_RECYCLED_WATER_GAL]:[NONPOTABLE_DEMAND_NONRESIDENTIAL_METERED_IRRIGATION_GAL]])</f>
        <v>0</v>
      </c>
      <c r="X103" t="str">
        <f>IFERROR(INDEX(Crosswalk_API!$H$2:$H$527, MATCH(POTABLE_NONPOTABLE_API[[#This Row],[PWSID]], CW_PWSID_LIST, 0)), "")</f>
        <v>No</v>
      </c>
    </row>
    <row r="104" spans="1:24" x14ac:dyDescent="0.25">
      <c r="A104" t="s">
        <v>709</v>
      </c>
      <c r="B104" t="s">
        <v>710</v>
      </c>
      <c r="C104" t="s">
        <v>720</v>
      </c>
      <c r="D104" t="s">
        <v>721</v>
      </c>
      <c r="E104" s="9">
        <v>45292</v>
      </c>
      <c r="F104" s="9">
        <v>45322</v>
      </c>
      <c r="G104">
        <v>3239065.16</v>
      </c>
      <c r="H104">
        <v>55355.847999999998</v>
      </c>
      <c r="I104">
        <v>62088.315999999999</v>
      </c>
      <c r="J104">
        <v>0</v>
      </c>
      <c r="K104">
        <v>0</v>
      </c>
      <c r="L104">
        <v>0</v>
      </c>
      <c r="M104">
        <v>0</v>
      </c>
      <c r="T104" s="9">
        <v>45108</v>
      </c>
      <c r="U104" s="9">
        <v>45473</v>
      </c>
      <c r="V104">
        <f>SUM(POTABLE_NONPOTABLE_API[[#This Row],[RESIDENTIAL_SINGLEFAMILY_GAL]:[OTHER_GAL]])</f>
        <v>3356509.3240000005</v>
      </c>
      <c r="W104">
        <f>SUM(POTABLE_NONPOTABLE_API[[#This Row],[NONPOTABLE_DEMAND_RESIDENTIAL_RECYCLED_WATER_GAL]:[NONPOTABLE_DEMAND_NONRESIDENTIAL_METERED_IRRIGATION_GAL]])</f>
        <v>0</v>
      </c>
      <c r="X104" t="str">
        <f>IFERROR(INDEX(Crosswalk_API!$H$2:$H$527, MATCH(POTABLE_NONPOTABLE_API[[#This Row],[PWSID]], CW_PWSID_LIST, 0)), "")</f>
        <v>No</v>
      </c>
    </row>
    <row r="105" spans="1:24" x14ac:dyDescent="0.25">
      <c r="A105" t="s">
        <v>709</v>
      </c>
      <c r="B105" t="s">
        <v>710</v>
      </c>
      <c r="C105" t="s">
        <v>720</v>
      </c>
      <c r="D105" t="s">
        <v>721</v>
      </c>
      <c r="E105" s="9">
        <v>45323</v>
      </c>
      <c r="F105" s="9">
        <v>45351</v>
      </c>
      <c r="G105">
        <v>3087958.656</v>
      </c>
      <c r="H105">
        <v>21693.508000000002</v>
      </c>
      <c r="I105">
        <v>57600.004000000001</v>
      </c>
      <c r="J105">
        <v>0</v>
      </c>
      <c r="K105">
        <v>0</v>
      </c>
      <c r="L105">
        <v>0</v>
      </c>
      <c r="M105">
        <v>0</v>
      </c>
      <c r="T105" s="9">
        <v>45108</v>
      </c>
      <c r="U105" s="9">
        <v>45473</v>
      </c>
      <c r="V105">
        <f>SUM(POTABLE_NONPOTABLE_API[[#This Row],[RESIDENTIAL_SINGLEFAMILY_GAL]:[OTHER_GAL]])</f>
        <v>3167252.1680000001</v>
      </c>
      <c r="W105">
        <f>SUM(POTABLE_NONPOTABLE_API[[#This Row],[NONPOTABLE_DEMAND_RESIDENTIAL_RECYCLED_WATER_GAL]:[NONPOTABLE_DEMAND_NONRESIDENTIAL_METERED_IRRIGATION_GAL]])</f>
        <v>0</v>
      </c>
      <c r="X105" t="str">
        <f>IFERROR(INDEX(Crosswalk_API!$H$2:$H$527, MATCH(POTABLE_NONPOTABLE_API[[#This Row],[PWSID]], CW_PWSID_LIST, 0)), "")</f>
        <v>No</v>
      </c>
    </row>
    <row r="106" spans="1:24" x14ac:dyDescent="0.25">
      <c r="A106" t="s">
        <v>709</v>
      </c>
      <c r="B106" t="s">
        <v>710</v>
      </c>
      <c r="C106" t="s">
        <v>720</v>
      </c>
      <c r="D106" t="s">
        <v>721</v>
      </c>
      <c r="E106" s="9">
        <v>45352</v>
      </c>
      <c r="F106" s="9">
        <v>45382</v>
      </c>
      <c r="G106">
        <v>2391522.2439999999</v>
      </c>
      <c r="H106">
        <v>9724.6759999999995</v>
      </c>
      <c r="I106">
        <v>50119.484000000004</v>
      </c>
      <c r="J106">
        <v>0</v>
      </c>
      <c r="K106">
        <v>0</v>
      </c>
      <c r="L106">
        <v>0</v>
      </c>
      <c r="M106">
        <v>0</v>
      </c>
      <c r="T106" s="9">
        <v>45108</v>
      </c>
      <c r="U106" s="9">
        <v>45473</v>
      </c>
      <c r="V106">
        <f>SUM(POTABLE_NONPOTABLE_API[[#This Row],[RESIDENTIAL_SINGLEFAMILY_GAL]:[OTHER_GAL]])</f>
        <v>2451366.4040000001</v>
      </c>
      <c r="W106">
        <f>SUM(POTABLE_NONPOTABLE_API[[#This Row],[NONPOTABLE_DEMAND_RESIDENTIAL_RECYCLED_WATER_GAL]:[NONPOTABLE_DEMAND_NONRESIDENTIAL_METERED_IRRIGATION_GAL]])</f>
        <v>0</v>
      </c>
      <c r="X106" t="str">
        <f>IFERROR(INDEX(Crosswalk_API!$H$2:$H$527, MATCH(POTABLE_NONPOTABLE_API[[#This Row],[PWSID]], CW_PWSID_LIST, 0)), "")</f>
        <v>No</v>
      </c>
    </row>
    <row r="107" spans="1:24" x14ac:dyDescent="0.25">
      <c r="A107" t="s">
        <v>709</v>
      </c>
      <c r="B107" t="s">
        <v>710</v>
      </c>
      <c r="C107" t="s">
        <v>720</v>
      </c>
      <c r="D107" t="s">
        <v>721</v>
      </c>
      <c r="E107" s="9">
        <v>45383</v>
      </c>
      <c r="F107" s="9">
        <v>45412</v>
      </c>
      <c r="G107">
        <v>2708696.2919999999</v>
      </c>
      <c r="H107">
        <v>8976.6239999999998</v>
      </c>
      <c r="I107">
        <v>55355.847999999998</v>
      </c>
      <c r="J107">
        <v>0</v>
      </c>
      <c r="K107">
        <v>0</v>
      </c>
      <c r="L107">
        <v>0</v>
      </c>
      <c r="M107">
        <v>0</v>
      </c>
      <c r="T107" s="9">
        <v>45108</v>
      </c>
      <c r="U107" s="9">
        <v>45473</v>
      </c>
      <c r="V107">
        <f>SUM(POTABLE_NONPOTABLE_API[[#This Row],[RESIDENTIAL_SINGLEFAMILY_GAL]:[OTHER_GAL]])</f>
        <v>2773028.7639999995</v>
      </c>
      <c r="W107">
        <f>SUM(POTABLE_NONPOTABLE_API[[#This Row],[NONPOTABLE_DEMAND_RESIDENTIAL_RECYCLED_WATER_GAL]:[NONPOTABLE_DEMAND_NONRESIDENTIAL_METERED_IRRIGATION_GAL]])</f>
        <v>0</v>
      </c>
      <c r="X107" t="str">
        <f>IFERROR(INDEX(Crosswalk_API!$H$2:$H$527, MATCH(POTABLE_NONPOTABLE_API[[#This Row],[PWSID]], CW_PWSID_LIST, 0)), "")</f>
        <v>No</v>
      </c>
    </row>
    <row r="108" spans="1:24" x14ac:dyDescent="0.25">
      <c r="A108" t="s">
        <v>709</v>
      </c>
      <c r="B108" t="s">
        <v>710</v>
      </c>
      <c r="C108" t="s">
        <v>720</v>
      </c>
      <c r="D108" t="s">
        <v>721</v>
      </c>
      <c r="E108" s="9">
        <v>45413</v>
      </c>
      <c r="F108" s="9">
        <v>45443</v>
      </c>
      <c r="G108">
        <v>3154535.284</v>
      </c>
      <c r="H108">
        <v>9724.6759999999995</v>
      </c>
      <c r="I108">
        <v>44883.12</v>
      </c>
      <c r="J108">
        <v>0</v>
      </c>
      <c r="K108">
        <v>0</v>
      </c>
      <c r="L108">
        <v>0</v>
      </c>
      <c r="M108">
        <v>0</v>
      </c>
      <c r="T108" s="9">
        <v>45108</v>
      </c>
      <c r="U108" s="9">
        <v>45473</v>
      </c>
      <c r="V108">
        <f>SUM(POTABLE_NONPOTABLE_API[[#This Row],[RESIDENTIAL_SINGLEFAMILY_GAL]:[OTHER_GAL]])</f>
        <v>3209143.08</v>
      </c>
      <c r="W108">
        <f>SUM(POTABLE_NONPOTABLE_API[[#This Row],[NONPOTABLE_DEMAND_RESIDENTIAL_RECYCLED_WATER_GAL]:[NONPOTABLE_DEMAND_NONRESIDENTIAL_METERED_IRRIGATION_GAL]])</f>
        <v>0</v>
      </c>
      <c r="X108" t="str">
        <f>IFERROR(INDEX(Crosswalk_API!$H$2:$H$527, MATCH(POTABLE_NONPOTABLE_API[[#This Row],[PWSID]], CW_PWSID_LIST, 0)), "")</f>
        <v>No</v>
      </c>
    </row>
    <row r="109" spans="1:24" x14ac:dyDescent="0.25">
      <c r="A109" t="s">
        <v>709</v>
      </c>
      <c r="B109" t="s">
        <v>710</v>
      </c>
      <c r="C109" t="s">
        <v>720</v>
      </c>
      <c r="D109" t="s">
        <v>721</v>
      </c>
      <c r="E109" s="9">
        <v>45444</v>
      </c>
      <c r="F109" s="9">
        <v>45473</v>
      </c>
      <c r="G109">
        <v>5481725.0559999999</v>
      </c>
      <c r="H109">
        <v>11968.832</v>
      </c>
      <c r="I109">
        <v>72561.044000000009</v>
      </c>
      <c r="J109">
        <v>0</v>
      </c>
      <c r="K109">
        <v>0</v>
      </c>
      <c r="L109">
        <v>0</v>
      </c>
      <c r="M109">
        <v>0</v>
      </c>
      <c r="T109" s="9">
        <v>45108</v>
      </c>
      <c r="U109" s="9">
        <v>45473</v>
      </c>
      <c r="V109">
        <f>SUM(POTABLE_NONPOTABLE_API[[#This Row],[RESIDENTIAL_SINGLEFAMILY_GAL]:[OTHER_GAL]])</f>
        <v>5566254.932</v>
      </c>
      <c r="W109">
        <f>SUM(POTABLE_NONPOTABLE_API[[#This Row],[NONPOTABLE_DEMAND_RESIDENTIAL_RECYCLED_WATER_GAL]:[NONPOTABLE_DEMAND_NONRESIDENTIAL_METERED_IRRIGATION_GAL]])</f>
        <v>0</v>
      </c>
      <c r="X109" t="str">
        <f>IFERROR(INDEX(Crosswalk_API!$H$2:$H$527, MATCH(POTABLE_NONPOTABLE_API[[#This Row],[PWSID]], CW_PWSID_LIST, 0)), "")</f>
        <v>No</v>
      </c>
    </row>
    <row r="110" spans="1:24" x14ac:dyDescent="0.25">
      <c r="A110" t="s">
        <v>722</v>
      </c>
      <c r="B110" t="s">
        <v>723</v>
      </c>
      <c r="C110" t="s">
        <v>724</v>
      </c>
      <c r="D110" t="s">
        <v>725</v>
      </c>
      <c r="E110" s="9">
        <v>45108</v>
      </c>
      <c r="F110" s="9">
        <v>45138</v>
      </c>
      <c r="G110">
        <v>34373699</v>
      </c>
      <c r="H110">
        <v>745107</v>
      </c>
      <c r="I110">
        <v>21812352</v>
      </c>
      <c r="J110">
        <v>4971125</v>
      </c>
      <c r="K110">
        <v>0</v>
      </c>
      <c r="L110">
        <v>0</v>
      </c>
      <c r="M110">
        <v>0</v>
      </c>
      <c r="N110">
        <v>264792</v>
      </c>
      <c r="O110">
        <v>0</v>
      </c>
      <c r="P110">
        <v>0</v>
      </c>
      <c r="Q110">
        <v>12120004</v>
      </c>
      <c r="R110">
        <v>348637</v>
      </c>
      <c r="S110">
        <v>0</v>
      </c>
      <c r="T110" s="9">
        <v>45108</v>
      </c>
      <c r="U110" s="9">
        <v>45473</v>
      </c>
      <c r="V110">
        <f>SUM(POTABLE_NONPOTABLE_API[[#This Row],[RESIDENTIAL_SINGLEFAMILY_GAL]:[OTHER_GAL]])</f>
        <v>61902283</v>
      </c>
      <c r="W110">
        <f>SUM(POTABLE_NONPOTABLE_API[[#This Row],[NONPOTABLE_DEMAND_RESIDENTIAL_RECYCLED_WATER_GAL]:[NONPOTABLE_DEMAND_NONRESIDENTIAL_METERED_IRRIGATION_GAL]])</f>
        <v>12733433</v>
      </c>
      <c r="X110" t="str">
        <f>IFERROR(INDEX(Crosswalk_API!$H$2:$H$527, MATCH(POTABLE_NONPOTABLE_API[[#This Row],[PWSID]], CW_PWSID_LIST, 0)), "")</f>
        <v>No</v>
      </c>
    </row>
    <row r="111" spans="1:24" x14ac:dyDescent="0.25">
      <c r="A111" t="s">
        <v>722</v>
      </c>
      <c r="B111" t="s">
        <v>723</v>
      </c>
      <c r="C111" t="s">
        <v>724</v>
      </c>
      <c r="D111" t="s">
        <v>725</v>
      </c>
      <c r="E111" s="9">
        <v>45139</v>
      </c>
      <c r="F111" s="9">
        <v>45169</v>
      </c>
      <c r="G111">
        <v>37642896</v>
      </c>
      <c r="H111">
        <v>6134420</v>
      </c>
      <c r="I111">
        <v>26161805</v>
      </c>
      <c r="J111">
        <v>5143188</v>
      </c>
      <c r="K111">
        <v>0</v>
      </c>
      <c r="L111">
        <v>0</v>
      </c>
      <c r="M111">
        <v>0</v>
      </c>
      <c r="N111">
        <v>312664</v>
      </c>
      <c r="O111">
        <v>0</v>
      </c>
      <c r="Q111">
        <v>12456655</v>
      </c>
      <c r="R111">
        <v>81457</v>
      </c>
      <c r="T111" s="9">
        <v>45108</v>
      </c>
      <c r="U111" s="9">
        <v>45473</v>
      </c>
      <c r="V111">
        <f>SUM(POTABLE_NONPOTABLE_API[[#This Row],[RESIDENTIAL_SINGLEFAMILY_GAL]:[OTHER_GAL]])</f>
        <v>75082309</v>
      </c>
      <c r="W111">
        <f>SUM(POTABLE_NONPOTABLE_API[[#This Row],[NONPOTABLE_DEMAND_RESIDENTIAL_RECYCLED_WATER_GAL]:[NONPOTABLE_DEMAND_NONRESIDENTIAL_METERED_IRRIGATION_GAL]])</f>
        <v>12850776</v>
      </c>
      <c r="X111" t="str">
        <f>IFERROR(INDEX(Crosswalk_API!$H$2:$H$527, MATCH(POTABLE_NONPOTABLE_API[[#This Row],[PWSID]], CW_PWSID_LIST, 0)), "")</f>
        <v>No</v>
      </c>
    </row>
    <row r="112" spans="1:24" x14ac:dyDescent="0.25">
      <c r="A112" t="s">
        <v>722</v>
      </c>
      <c r="B112" t="s">
        <v>723</v>
      </c>
      <c r="C112" t="s">
        <v>724</v>
      </c>
      <c r="D112" t="s">
        <v>725</v>
      </c>
      <c r="E112" s="9">
        <v>45170</v>
      </c>
      <c r="F112" s="9">
        <v>45199</v>
      </c>
      <c r="G112">
        <v>36920979</v>
      </c>
      <c r="H112">
        <v>6638639</v>
      </c>
      <c r="I112">
        <v>26069789</v>
      </c>
      <c r="J112">
        <v>2877941</v>
      </c>
      <c r="K112">
        <v>0</v>
      </c>
      <c r="L112">
        <v>591747</v>
      </c>
      <c r="M112">
        <v>0</v>
      </c>
      <c r="N112">
        <v>319396</v>
      </c>
      <c r="O112">
        <v>0</v>
      </c>
      <c r="P112">
        <v>0</v>
      </c>
      <c r="Q112">
        <v>14388998</v>
      </c>
      <c r="R112">
        <v>3258</v>
      </c>
      <c r="S112">
        <v>0</v>
      </c>
      <c r="T112" s="9">
        <v>45108</v>
      </c>
      <c r="U112" s="9">
        <v>45473</v>
      </c>
      <c r="V112">
        <f>SUM(POTABLE_NONPOTABLE_API[[#This Row],[RESIDENTIAL_SINGLEFAMILY_GAL]:[OTHER_GAL]])</f>
        <v>73099095</v>
      </c>
      <c r="W112">
        <f>SUM(POTABLE_NONPOTABLE_API[[#This Row],[NONPOTABLE_DEMAND_RESIDENTIAL_RECYCLED_WATER_GAL]:[NONPOTABLE_DEMAND_NONRESIDENTIAL_METERED_IRRIGATION_GAL]])</f>
        <v>14711652</v>
      </c>
      <c r="X112" t="str">
        <f>IFERROR(INDEX(Crosswalk_API!$H$2:$H$527, MATCH(POTABLE_NONPOTABLE_API[[#This Row],[PWSID]], CW_PWSID_LIST, 0)), "")</f>
        <v>No</v>
      </c>
    </row>
    <row r="113" spans="1:24" x14ac:dyDescent="0.25">
      <c r="A113" t="s">
        <v>722</v>
      </c>
      <c r="B113" t="s">
        <v>723</v>
      </c>
      <c r="C113" t="s">
        <v>724</v>
      </c>
      <c r="D113" t="s">
        <v>725</v>
      </c>
      <c r="E113" s="9">
        <v>45200</v>
      </c>
      <c r="F113" s="9">
        <v>45230</v>
      </c>
      <c r="G113">
        <v>33455032</v>
      </c>
      <c r="H113">
        <v>6159855</v>
      </c>
      <c r="I113">
        <v>31126945</v>
      </c>
      <c r="J113">
        <v>0</v>
      </c>
      <c r="K113">
        <v>0</v>
      </c>
      <c r="L113">
        <v>0</v>
      </c>
      <c r="M113">
        <v>0</v>
      </c>
      <c r="N113">
        <v>273768</v>
      </c>
      <c r="O113">
        <v>0</v>
      </c>
      <c r="P113">
        <v>0</v>
      </c>
      <c r="Q113">
        <v>8904671</v>
      </c>
      <c r="R113">
        <v>0</v>
      </c>
      <c r="S113">
        <v>0</v>
      </c>
      <c r="T113" s="9">
        <v>45108</v>
      </c>
      <c r="U113" s="9">
        <v>45473</v>
      </c>
      <c r="V113">
        <f>SUM(POTABLE_NONPOTABLE_API[[#This Row],[RESIDENTIAL_SINGLEFAMILY_GAL]:[OTHER_GAL]])</f>
        <v>70741832</v>
      </c>
      <c r="W113">
        <f>SUM(POTABLE_NONPOTABLE_API[[#This Row],[NONPOTABLE_DEMAND_RESIDENTIAL_RECYCLED_WATER_GAL]:[NONPOTABLE_DEMAND_NONRESIDENTIAL_METERED_IRRIGATION_GAL]])</f>
        <v>9178439</v>
      </c>
      <c r="X113" t="str">
        <f>IFERROR(INDEX(Crosswalk_API!$H$2:$H$527, MATCH(POTABLE_NONPOTABLE_API[[#This Row],[PWSID]], CW_PWSID_LIST, 0)), "")</f>
        <v>No</v>
      </c>
    </row>
    <row r="114" spans="1:24" x14ac:dyDescent="0.25">
      <c r="A114" t="s">
        <v>722</v>
      </c>
      <c r="B114" t="s">
        <v>723</v>
      </c>
      <c r="C114" t="s">
        <v>724</v>
      </c>
      <c r="D114" t="s">
        <v>725</v>
      </c>
      <c r="E114" s="9">
        <v>45231</v>
      </c>
      <c r="F114" s="9">
        <v>45260</v>
      </c>
      <c r="G114">
        <v>30778330</v>
      </c>
      <c r="H114">
        <v>5550154</v>
      </c>
      <c r="I114">
        <v>23564402</v>
      </c>
      <c r="J114">
        <v>0</v>
      </c>
      <c r="K114">
        <v>0</v>
      </c>
      <c r="L114">
        <v>0</v>
      </c>
      <c r="M114">
        <v>0</v>
      </c>
      <c r="N114">
        <v>222156</v>
      </c>
      <c r="O114">
        <v>0</v>
      </c>
      <c r="P114">
        <v>0</v>
      </c>
      <c r="Q114">
        <v>6982047</v>
      </c>
      <c r="R114">
        <v>400769</v>
      </c>
      <c r="S114">
        <v>0</v>
      </c>
      <c r="T114" s="9">
        <v>45108</v>
      </c>
      <c r="U114" s="9">
        <v>45473</v>
      </c>
      <c r="V114">
        <f>SUM(POTABLE_NONPOTABLE_API[[#This Row],[RESIDENTIAL_SINGLEFAMILY_GAL]:[OTHER_GAL]])</f>
        <v>59892886</v>
      </c>
      <c r="W114">
        <f>SUM(POTABLE_NONPOTABLE_API[[#This Row],[NONPOTABLE_DEMAND_RESIDENTIAL_RECYCLED_WATER_GAL]:[NONPOTABLE_DEMAND_NONRESIDENTIAL_METERED_IRRIGATION_GAL]])</f>
        <v>7604972</v>
      </c>
      <c r="X114" t="str">
        <f>IFERROR(INDEX(Crosswalk_API!$H$2:$H$527, MATCH(POTABLE_NONPOTABLE_API[[#This Row],[PWSID]], CW_PWSID_LIST, 0)), "")</f>
        <v>No</v>
      </c>
    </row>
    <row r="115" spans="1:24" x14ac:dyDescent="0.25">
      <c r="A115" t="s">
        <v>722</v>
      </c>
      <c r="B115" t="s">
        <v>723</v>
      </c>
      <c r="C115" t="s">
        <v>724</v>
      </c>
      <c r="D115" t="s">
        <v>725</v>
      </c>
      <c r="E115" s="9">
        <v>45261</v>
      </c>
      <c r="F115" s="9">
        <v>45291</v>
      </c>
      <c r="G115">
        <v>33182724</v>
      </c>
      <c r="H115">
        <v>5622720</v>
      </c>
      <c r="I115">
        <v>22574666</v>
      </c>
      <c r="J115">
        <v>0</v>
      </c>
      <c r="K115">
        <v>0</v>
      </c>
      <c r="L115">
        <v>0</v>
      </c>
      <c r="M115">
        <v>0</v>
      </c>
      <c r="N115">
        <v>150348</v>
      </c>
      <c r="O115">
        <v>0</v>
      </c>
      <c r="P115">
        <v>0</v>
      </c>
      <c r="Q115">
        <v>3097902</v>
      </c>
      <c r="R115">
        <v>993778</v>
      </c>
      <c r="S115">
        <v>0</v>
      </c>
      <c r="T115" s="9">
        <v>45108</v>
      </c>
      <c r="U115" s="9">
        <v>45473</v>
      </c>
      <c r="V115">
        <f>SUM(POTABLE_NONPOTABLE_API[[#This Row],[RESIDENTIAL_SINGLEFAMILY_GAL]:[OTHER_GAL]])</f>
        <v>61380110</v>
      </c>
      <c r="W115">
        <f>SUM(POTABLE_NONPOTABLE_API[[#This Row],[NONPOTABLE_DEMAND_RESIDENTIAL_RECYCLED_WATER_GAL]:[NONPOTABLE_DEMAND_NONRESIDENTIAL_METERED_IRRIGATION_GAL]])</f>
        <v>4242028</v>
      </c>
      <c r="X115" t="str">
        <f>IFERROR(INDEX(Crosswalk_API!$H$2:$H$527, MATCH(POTABLE_NONPOTABLE_API[[#This Row],[PWSID]], CW_PWSID_LIST, 0)), "")</f>
        <v>No</v>
      </c>
    </row>
    <row r="116" spans="1:24" x14ac:dyDescent="0.25">
      <c r="A116" t="s">
        <v>722</v>
      </c>
      <c r="B116" t="s">
        <v>723</v>
      </c>
      <c r="C116" t="s">
        <v>724</v>
      </c>
      <c r="D116" t="s">
        <v>725</v>
      </c>
      <c r="E116" s="9">
        <v>45292</v>
      </c>
      <c r="F116" s="9">
        <v>45322</v>
      </c>
      <c r="G116">
        <v>24414992</v>
      </c>
      <c r="H116">
        <v>4617273</v>
      </c>
      <c r="I116">
        <v>15082302</v>
      </c>
      <c r="J116">
        <v>1190227</v>
      </c>
      <c r="K116">
        <v>0</v>
      </c>
      <c r="L116">
        <v>0</v>
      </c>
      <c r="M116">
        <v>0</v>
      </c>
      <c r="N116">
        <v>1496</v>
      </c>
      <c r="O116">
        <v>0</v>
      </c>
      <c r="P116">
        <v>0</v>
      </c>
      <c r="Q116">
        <v>1882219</v>
      </c>
      <c r="R116">
        <v>22808</v>
      </c>
      <c r="S116">
        <v>0</v>
      </c>
      <c r="T116" s="9">
        <v>45108</v>
      </c>
      <c r="U116" s="9">
        <v>45473</v>
      </c>
      <c r="V116">
        <f>SUM(POTABLE_NONPOTABLE_API[[#This Row],[RESIDENTIAL_SINGLEFAMILY_GAL]:[OTHER_GAL]])</f>
        <v>45304794</v>
      </c>
      <c r="W116">
        <f>SUM(POTABLE_NONPOTABLE_API[[#This Row],[NONPOTABLE_DEMAND_RESIDENTIAL_RECYCLED_WATER_GAL]:[NONPOTABLE_DEMAND_NONRESIDENTIAL_METERED_IRRIGATION_GAL]])</f>
        <v>1906523</v>
      </c>
      <c r="X116" t="str">
        <f>IFERROR(INDEX(Crosswalk_API!$H$2:$H$527, MATCH(POTABLE_NONPOTABLE_API[[#This Row],[PWSID]], CW_PWSID_LIST, 0)), "")</f>
        <v>No</v>
      </c>
    </row>
    <row r="117" spans="1:24" x14ac:dyDescent="0.25">
      <c r="A117" t="s">
        <v>722</v>
      </c>
      <c r="B117" t="s">
        <v>723</v>
      </c>
      <c r="C117" t="s">
        <v>724</v>
      </c>
      <c r="D117" t="s">
        <v>725</v>
      </c>
      <c r="E117" s="9">
        <v>45323</v>
      </c>
      <c r="F117" s="9">
        <v>45351</v>
      </c>
      <c r="G117">
        <v>23420767</v>
      </c>
      <c r="H117">
        <v>4628495</v>
      </c>
      <c r="I117">
        <v>18112249</v>
      </c>
      <c r="J117">
        <v>749596</v>
      </c>
      <c r="K117">
        <v>0</v>
      </c>
      <c r="L117">
        <v>0</v>
      </c>
      <c r="M117">
        <v>0</v>
      </c>
      <c r="N117">
        <v>1496</v>
      </c>
      <c r="O117">
        <v>0</v>
      </c>
      <c r="P117">
        <v>0</v>
      </c>
      <c r="Q117">
        <v>2105902</v>
      </c>
      <c r="R117">
        <v>2992</v>
      </c>
      <c r="S117">
        <v>0</v>
      </c>
      <c r="T117" s="9">
        <v>45108</v>
      </c>
      <c r="U117" s="9">
        <v>45473</v>
      </c>
      <c r="V117">
        <f>SUM(POTABLE_NONPOTABLE_API[[#This Row],[RESIDENTIAL_SINGLEFAMILY_GAL]:[OTHER_GAL]])</f>
        <v>46911107</v>
      </c>
      <c r="W117">
        <f>SUM(POTABLE_NONPOTABLE_API[[#This Row],[NONPOTABLE_DEMAND_RESIDENTIAL_RECYCLED_WATER_GAL]:[NONPOTABLE_DEMAND_NONRESIDENTIAL_METERED_IRRIGATION_GAL]])</f>
        <v>2110390</v>
      </c>
      <c r="X117" t="str">
        <f>IFERROR(INDEX(Crosswalk_API!$H$2:$H$527, MATCH(POTABLE_NONPOTABLE_API[[#This Row],[PWSID]], CW_PWSID_LIST, 0)), "")</f>
        <v>No</v>
      </c>
    </row>
    <row r="118" spans="1:24" x14ac:dyDescent="0.25">
      <c r="A118" t="s">
        <v>722</v>
      </c>
      <c r="B118" t="s">
        <v>723</v>
      </c>
      <c r="C118" t="s">
        <v>724</v>
      </c>
      <c r="D118" t="s">
        <v>725</v>
      </c>
      <c r="E118" s="9">
        <v>45352</v>
      </c>
      <c r="F118" s="9">
        <v>45382</v>
      </c>
      <c r="G118">
        <v>21616350</v>
      </c>
      <c r="H118">
        <v>4451195</v>
      </c>
      <c r="I118">
        <v>18303015</v>
      </c>
      <c r="J118">
        <v>725657</v>
      </c>
      <c r="K118">
        <v>0</v>
      </c>
      <c r="L118">
        <v>0</v>
      </c>
      <c r="M118">
        <v>0</v>
      </c>
      <c r="N118">
        <v>748</v>
      </c>
      <c r="O118">
        <v>0</v>
      </c>
      <c r="P118">
        <v>0</v>
      </c>
      <c r="Q118">
        <v>1789455</v>
      </c>
      <c r="R118">
        <v>2992</v>
      </c>
      <c r="S118">
        <v>0</v>
      </c>
      <c r="T118" s="9">
        <v>45108</v>
      </c>
      <c r="U118" s="9">
        <v>45473</v>
      </c>
      <c r="V118">
        <f>SUM(POTABLE_NONPOTABLE_API[[#This Row],[RESIDENTIAL_SINGLEFAMILY_GAL]:[OTHER_GAL]])</f>
        <v>45096217</v>
      </c>
      <c r="W118">
        <f>SUM(POTABLE_NONPOTABLE_API[[#This Row],[NONPOTABLE_DEMAND_RESIDENTIAL_RECYCLED_WATER_GAL]:[NONPOTABLE_DEMAND_NONRESIDENTIAL_METERED_IRRIGATION_GAL]])</f>
        <v>1793195</v>
      </c>
      <c r="X118" t="str">
        <f>IFERROR(INDEX(Crosswalk_API!$H$2:$H$527, MATCH(POTABLE_NONPOTABLE_API[[#This Row],[PWSID]], CW_PWSID_LIST, 0)), "")</f>
        <v>No</v>
      </c>
    </row>
    <row r="119" spans="1:24" x14ac:dyDescent="0.25">
      <c r="A119" t="s">
        <v>722</v>
      </c>
      <c r="B119" t="s">
        <v>723</v>
      </c>
      <c r="C119" t="s">
        <v>724</v>
      </c>
      <c r="D119" t="s">
        <v>725</v>
      </c>
      <c r="E119" s="9">
        <v>45383</v>
      </c>
      <c r="F119" s="9">
        <v>45412</v>
      </c>
      <c r="G119">
        <v>24014010</v>
      </c>
      <c r="H119">
        <v>4867886</v>
      </c>
      <c r="I119">
        <v>15788651</v>
      </c>
      <c r="J119">
        <v>783261</v>
      </c>
      <c r="K119">
        <v>0</v>
      </c>
      <c r="L119">
        <v>0</v>
      </c>
      <c r="M119">
        <v>0</v>
      </c>
      <c r="N119">
        <v>224</v>
      </c>
      <c r="O119">
        <v>0</v>
      </c>
      <c r="P119">
        <v>0</v>
      </c>
      <c r="Q119">
        <v>1818631</v>
      </c>
      <c r="R119">
        <v>11220</v>
      </c>
      <c r="T119" s="9">
        <v>45108</v>
      </c>
      <c r="U119" s="9">
        <v>45473</v>
      </c>
      <c r="V119">
        <f>SUM(POTABLE_NONPOTABLE_API[[#This Row],[RESIDENTIAL_SINGLEFAMILY_GAL]:[OTHER_GAL]])</f>
        <v>45453808</v>
      </c>
      <c r="W119">
        <f>SUM(POTABLE_NONPOTABLE_API[[#This Row],[NONPOTABLE_DEMAND_RESIDENTIAL_RECYCLED_WATER_GAL]:[NONPOTABLE_DEMAND_NONRESIDENTIAL_METERED_IRRIGATION_GAL]])</f>
        <v>1830075</v>
      </c>
      <c r="X119" t="str">
        <f>IFERROR(INDEX(Crosswalk_API!$H$2:$H$527, MATCH(POTABLE_NONPOTABLE_API[[#This Row],[PWSID]], CW_PWSID_LIST, 0)), "")</f>
        <v>No</v>
      </c>
    </row>
    <row r="120" spans="1:24" x14ac:dyDescent="0.25">
      <c r="A120" t="s">
        <v>722</v>
      </c>
      <c r="B120" t="s">
        <v>723</v>
      </c>
      <c r="C120" t="s">
        <v>724</v>
      </c>
      <c r="D120" t="s">
        <v>725</v>
      </c>
      <c r="E120" s="9">
        <v>45413</v>
      </c>
      <c r="F120" s="9">
        <v>45443</v>
      </c>
      <c r="G120">
        <v>26925615</v>
      </c>
      <c r="H120">
        <v>5117004</v>
      </c>
      <c r="I120">
        <v>20758279</v>
      </c>
      <c r="J120">
        <v>1960770</v>
      </c>
      <c r="K120">
        <v>0</v>
      </c>
      <c r="L120">
        <v>0</v>
      </c>
      <c r="M120">
        <v>0</v>
      </c>
      <c r="N120">
        <v>28424</v>
      </c>
      <c r="O120">
        <v>0</v>
      </c>
      <c r="P120">
        <v>0</v>
      </c>
      <c r="Q120">
        <v>3806333</v>
      </c>
      <c r="R120">
        <v>32164</v>
      </c>
      <c r="S120">
        <v>0</v>
      </c>
      <c r="T120" s="9">
        <v>45108</v>
      </c>
      <c r="U120" s="9">
        <v>45473</v>
      </c>
      <c r="V120">
        <f>SUM(POTABLE_NONPOTABLE_API[[#This Row],[RESIDENTIAL_SINGLEFAMILY_GAL]:[OTHER_GAL]])</f>
        <v>54761668</v>
      </c>
      <c r="W120">
        <f>SUM(POTABLE_NONPOTABLE_API[[#This Row],[NONPOTABLE_DEMAND_RESIDENTIAL_RECYCLED_WATER_GAL]:[NONPOTABLE_DEMAND_NONRESIDENTIAL_METERED_IRRIGATION_GAL]])</f>
        <v>3866921</v>
      </c>
      <c r="X120" t="str">
        <f>IFERROR(INDEX(Crosswalk_API!$H$2:$H$527, MATCH(POTABLE_NONPOTABLE_API[[#This Row],[PWSID]], CW_PWSID_LIST, 0)), "")</f>
        <v>No</v>
      </c>
    </row>
    <row r="121" spans="1:24" x14ac:dyDescent="0.25">
      <c r="A121" t="s">
        <v>722</v>
      </c>
      <c r="B121" t="s">
        <v>723</v>
      </c>
      <c r="C121" t="s">
        <v>724</v>
      </c>
      <c r="D121" t="s">
        <v>725</v>
      </c>
      <c r="E121" s="9">
        <v>45444</v>
      </c>
      <c r="F121" s="9">
        <v>45473</v>
      </c>
      <c r="G121">
        <v>34631793</v>
      </c>
      <c r="H121">
        <v>6043899</v>
      </c>
      <c r="I121">
        <v>25936627</v>
      </c>
      <c r="J121">
        <v>5286075</v>
      </c>
      <c r="K121">
        <v>0</v>
      </c>
      <c r="L121">
        <v>0</v>
      </c>
      <c r="M121">
        <v>0</v>
      </c>
      <c r="N121">
        <v>90508</v>
      </c>
      <c r="O121">
        <v>0</v>
      </c>
      <c r="P121">
        <v>0</v>
      </c>
      <c r="Q121">
        <v>10293856</v>
      </c>
      <c r="R121">
        <v>32912</v>
      </c>
      <c r="S121">
        <v>32912</v>
      </c>
      <c r="T121" s="9">
        <v>45108</v>
      </c>
      <c r="U121" s="9">
        <v>45473</v>
      </c>
      <c r="V121">
        <f>SUM(POTABLE_NONPOTABLE_API[[#This Row],[RESIDENTIAL_SINGLEFAMILY_GAL]:[OTHER_GAL]])</f>
        <v>71898394</v>
      </c>
      <c r="W121">
        <f>SUM(POTABLE_NONPOTABLE_API[[#This Row],[NONPOTABLE_DEMAND_RESIDENTIAL_RECYCLED_WATER_GAL]:[NONPOTABLE_DEMAND_NONRESIDENTIAL_METERED_IRRIGATION_GAL]])</f>
        <v>10450188</v>
      </c>
      <c r="X121" t="str">
        <f>IFERROR(INDEX(Crosswalk_API!$H$2:$H$527, MATCH(POTABLE_NONPOTABLE_API[[#This Row],[PWSID]], CW_PWSID_LIST, 0)), "")</f>
        <v>No</v>
      </c>
    </row>
    <row r="122" spans="1:24" x14ac:dyDescent="0.25">
      <c r="A122" t="s">
        <v>727</v>
      </c>
      <c r="B122" t="s">
        <v>728</v>
      </c>
      <c r="C122" t="s">
        <v>729</v>
      </c>
      <c r="D122" t="s">
        <v>730</v>
      </c>
      <c r="E122" s="9">
        <v>45108</v>
      </c>
      <c r="F122" s="9">
        <v>45138</v>
      </c>
      <c r="G122">
        <v>587379012.60000002</v>
      </c>
      <c r="H122">
        <v>317411459.10000002</v>
      </c>
      <c r="I122">
        <v>640851161.70000005</v>
      </c>
      <c r="J122">
        <v>15217241.700000001</v>
      </c>
      <c r="K122">
        <v>0</v>
      </c>
      <c r="L122">
        <v>23852293.199999999</v>
      </c>
      <c r="M122">
        <v>0</v>
      </c>
      <c r="N122">
        <v>0</v>
      </c>
      <c r="O122">
        <v>0</v>
      </c>
      <c r="P122">
        <v>0</v>
      </c>
      <c r="Q122">
        <v>2411297.4</v>
      </c>
      <c r="R122">
        <v>0</v>
      </c>
      <c r="S122">
        <v>30770109.930000003</v>
      </c>
      <c r="T122" s="9">
        <v>45108</v>
      </c>
      <c r="U122" s="9">
        <v>45473</v>
      </c>
      <c r="V122">
        <f>SUM(POTABLE_NONPOTABLE_API[[#This Row],[RESIDENTIAL_SINGLEFAMILY_GAL]:[OTHER_GAL]])</f>
        <v>1584711168.3000002</v>
      </c>
      <c r="W122">
        <f>SUM(POTABLE_NONPOTABLE_API[[#This Row],[NONPOTABLE_DEMAND_RESIDENTIAL_RECYCLED_WATER_GAL]:[NONPOTABLE_DEMAND_NONRESIDENTIAL_METERED_IRRIGATION_GAL]])</f>
        <v>33181407.330000002</v>
      </c>
      <c r="X122" t="str">
        <f>IFERROR(INDEX(Crosswalk_API!$H$2:$H$527, MATCH(POTABLE_NONPOTABLE_API[[#This Row],[PWSID]], CW_PWSID_LIST, 0)), "")</f>
        <v>No</v>
      </c>
    </row>
    <row r="123" spans="1:24" x14ac:dyDescent="0.25">
      <c r="A123" t="s">
        <v>727</v>
      </c>
      <c r="B123" t="s">
        <v>728</v>
      </c>
      <c r="C123" t="s">
        <v>729</v>
      </c>
      <c r="D123" t="s">
        <v>730</v>
      </c>
      <c r="E123" s="9">
        <v>45139</v>
      </c>
      <c r="F123" s="9">
        <v>45169</v>
      </c>
      <c r="G123">
        <v>581676620.10000002</v>
      </c>
      <c r="H123">
        <v>320767724.39999998</v>
      </c>
      <c r="I123">
        <v>630293589.29999995</v>
      </c>
      <c r="J123">
        <v>15380167.200000001</v>
      </c>
      <c r="K123">
        <v>0</v>
      </c>
      <c r="L123">
        <v>24341069.699999999</v>
      </c>
      <c r="M123">
        <v>0</v>
      </c>
      <c r="N123">
        <v>0</v>
      </c>
      <c r="O123">
        <v>0</v>
      </c>
      <c r="P123">
        <v>0</v>
      </c>
      <c r="Q123">
        <v>2574222.9</v>
      </c>
      <c r="R123">
        <v>0</v>
      </c>
      <c r="S123">
        <v>24947152.560000002</v>
      </c>
      <c r="T123" s="9">
        <v>45108</v>
      </c>
      <c r="U123" s="9">
        <v>45473</v>
      </c>
      <c r="V123">
        <f>SUM(POTABLE_NONPOTABLE_API[[#This Row],[RESIDENTIAL_SINGLEFAMILY_GAL]:[OTHER_GAL]])</f>
        <v>1572459170.7</v>
      </c>
      <c r="W123">
        <f>SUM(POTABLE_NONPOTABLE_API[[#This Row],[NONPOTABLE_DEMAND_RESIDENTIAL_RECYCLED_WATER_GAL]:[NONPOTABLE_DEMAND_NONRESIDENTIAL_METERED_IRRIGATION_GAL]])</f>
        <v>27521375.460000001</v>
      </c>
      <c r="X123" t="str">
        <f>IFERROR(INDEX(Crosswalk_API!$H$2:$H$527, MATCH(POTABLE_NONPOTABLE_API[[#This Row],[PWSID]], CW_PWSID_LIST, 0)), "")</f>
        <v>No</v>
      </c>
    </row>
    <row r="124" spans="1:24" x14ac:dyDescent="0.25">
      <c r="A124" t="s">
        <v>727</v>
      </c>
      <c r="B124" t="s">
        <v>728</v>
      </c>
      <c r="C124" t="s">
        <v>729</v>
      </c>
      <c r="D124" t="s">
        <v>730</v>
      </c>
      <c r="E124" s="9">
        <v>45170</v>
      </c>
      <c r="F124" s="9">
        <v>45199</v>
      </c>
      <c r="G124">
        <v>537067618.20000005</v>
      </c>
      <c r="H124">
        <v>305387557.19999999</v>
      </c>
      <c r="I124">
        <v>586434044.70000005</v>
      </c>
      <c r="J124">
        <v>14435199.299999999</v>
      </c>
      <c r="K124">
        <v>0</v>
      </c>
      <c r="L124">
        <v>21603921.300000001</v>
      </c>
      <c r="M124">
        <v>0</v>
      </c>
      <c r="N124">
        <v>0</v>
      </c>
      <c r="O124">
        <v>0</v>
      </c>
      <c r="P124">
        <v>0</v>
      </c>
      <c r="Q124">
        <v>1498914.5999999999</v>
      </c>
      <c r="R124">
        <v>0</v>
      </c>
      <c r="S124">
        <v>17912029.469999999</v>
      </c>
      <c r="T124" s="9">
        <v>45108</v>
      </c>
      <c r="U124" s="9">
        <v>45473</v>
      </c>
      <c r="V124">
        <f>SUM(POTABLE_NONPOTABLE_API[[#This Row],[RESIDENTIAL_SINGLEFAMILY_GAL]:[OTHER_GAL]])</f>
        <v>1464928340.7</v>
      </c>
      <c r="W124">
        <f>SUM(POTABLE_NONPOTABLE_API[[#This Row],[NONPOTABLE_DEMAND_RESIDENTIAL_RECYCLED_WATER_GAL]:[NONPOTABLE_DEMAND_NONRESIDENTIAL_METERED_IRRIGATION_GAL]])</f>
        <v>19410944.07</v>
      </c>
      <c r="X124" t="str">
        <f>IFERROR(INDEX(Crosswalk_API!$H$2:$H$527, MATCH(POTABLE_NONPOTABLE_API[[#This Row],[PWSID]], CW_PWSID_LIST, 0)), "")</f>
        <v>No</v>
      </c>
    </row>
    <row r="125" spans="1:24" x14ac:dyDescent="0.25">
      <c r="A125" t="s">
        <v>727</v>
      </c>
      <c r="B125" t="s">
        <v>728</v>
      </c>
      <c r="C125" t="s">
        <v>729</v>
      </c>
      <c r="D125" t="s">
        <v>730</v>
      </c>
      <c r="E125" s="9">
        <v>45200</v>
      </c>
      <c r="F125" s="9">
        <v>45230</v>
      </c>
      <c r="G125">
        <v>528302226.30000001</v>
      </c>
      <c r="H125">
        <v>307505588.69999999</v>
      </c>
      <c r="I125">
        <v>581318184</v>
      </c>
      <c r="J125">
        <v>14370029.1</v>
      </c>
      <c r="K125">
        <v>0</v>
      </c>
      <c r="L125">
        <v>20984804.400000002</v>
      </c>
      <c r="M125">
        <v>0</v>
      </c>
      <c r="N125">
        <v>0</v>
      </c>
      <c r="O125">
        <v>0</v>
      </c>
      <c r="P125">
        <v>0</v>
      </c>
      <c r="Q125">
        <v>944967.9</v>
      </c>
      <c r="R125">
        <v>0</v>
      </c>
      <c r="S125">
        <v>16549972.289999999</v>
      </c>
      <c r="T125" s="9">
        <v>45108</v>
      </c>
      <c r="U125" s="9">
        <v>45473</v>
      </c>
      <c r="V125">
        <f>SUM(POTABLE_NONPOTABLE_API[[#This Row],[RESIDENTIAL_SINGLEFAMILY_GAL]:[OTHER_GAL]])</f>
        <v>1452480832.5</v>
      </c>
      <c r="W125">
        <f>SUM(POTABLE_NONPOTABLE_API[[#This Row],[NONPOTABLE_DEMAND_RESIDENTIAL_RECYCLED_WATER_GAL]:[NONPOTABLE_DEMAND_NONRESIDENTIAL_METERED_IRRIGATION_GAL]])</f>
        <v>17494940.189999998</v>
      </c>
      <c r="X125" t="str">
        <f>IFERROR(INDEX(Crosswalk_API!$H$2:$H$527, MATCH(POTABLE_NONPOTABLE_API[[#This Row],[PWSID]], CW_PWSID_LIST, 0)), "")</f>
        <v>No</v>
      </c>
    </row>
    <row r="126" spans="1:24" x14ac:dyDescent="0.25">
      <c r="A126" t="s">
        <v>727</v>
      </c>
      <c r="B126" t="s">
        <v>728</v>
      </c>
      <c r="C126" t="s">
        <v>729</v>
      </c>
      <c r="D126" t="s">
        <v>730</v>
      </c>
      <c r="E126" s="9">
        <v>45231</v>
      </c>
      <c r="F126" s="9">
        <v>45260</v>
      </c>
      <c r="G126">
        <v>495130594.5</v>
      </c>
      <c r="H126">
        <v>297697473.60000002</v>
      </c>
      <c r="I126">
        <v>538305852</v>
      </c>
      <c r="J126">
        <v>12512678.4</v>
      </c>
      <c r="K126">
        <v>0</v>
      </c>
      <c r="L126">
        <v>20952219.300000001</v>
      </c>
      <c r="M126">
        <v>0</v>
      </c>
      <c r="N126">
        <v>0</v>
      </c>
      <c r="O126">
        <v>0</v>
      </c>
      <c r="Q126">
        <v>782042.4</v>
      </c>
      <c r="R126">
        <v>0</v>
      </c>
      <c r="S126">
        <v>10573864.950000001</v>
      </c>
      <c r="T126" s="9">
        <v>45108</v>
      </c>
      <c r="U126" s="9">
        <v>45473</v>
      </c>
      <c r="V126">
        <f>SUM(POTABLE_NONPOTABLE_API[[#This Row],[RESIDENTIAL_SINGLEFAMILY_GAL]:[OTHER_GAL]])</f>
        <v>1364598817.8</v>
      </c>
      <c r="W126">
        <f>SUM(POTABLE_NONPOTABLE_API[[#This Row],[NONPOTABLE_DEMAND_RESIDENTIAL_RECYCLED_WATER_GAL]:[NONPOTABLE_DEMAND_NONRESIDENTIAL_METERED_IRRIGATION_GAL]])</f>
        <v>11355907.350000001</v>
      </c>
      <c r="X126" t="str">
        <f>IFERROR(INDEX(Crosswalk_API!$H$2:$H$527, MATCH(POTABLE_NONPOTABLE_API[[#This Row],[PWSID]], CW_PWSID_LIST, 0)), "")</f>
        <v>No</v>
      </c>
    </row>
    <row r="127" spans="1:24" x14ac:dyDescent="0.25">
      <c r="A127" t="s">
        <v>727</v>
      </c>
      <c r="B127" t="s">
        <v>728</v>
      </c>
      <c r="C127" t="s">
        <v>729</v>
      </c>
      <c r="D127" t="s">
        <v>730</v>
      </c>
      <c r="E127" s="9">
        <v>45261</v>
      </c>
      <c r="F127" s="9">
        <v>45291</v>
      </c>
      <c r="G127">
        <v>429601958.40000004</v>
      </c>
      <c r="H127">
        <v>282512817</v>
      </c>
      <c r="I127">
        <v>458602697.40000004</v>
      </c>
      <c r="J127">
        <v>9482264.0999999996</v>
      </c>
      <c r="K127">
        <v>0</v>
      </c>
      <c r="L127">
        <v>20821878.899999999</v>
      </c>
      <c r="M127">
        <v>0</v>
      </c>
      <c r="N127">
        <v>0</v>
      </c>
      <c r="O127">
        <v>0</v>
      </c>
      <c r="Q127">
        <v>1042723.2000000001</v>
      </c>
      <c r="R127">
        <v>0</v>
      </c>
      <c r="S127">
        <v>4076396.01</v>
      </c>
      <c r="T127" s="9">
        <v>45108</v>
      </c>
      <c r="U127" s="9">
        <v>45473</v>
      </c>
      <c r="V127">
        <f>SUM(POTABLE_NONPOTABLE_API[[#This Row],[RESIDENTIAL_SINGLEFAMILY_GAL]:[OTHER_GAL]])</f>
        <v>1201021615.8000002</v>
      </c>
      <c r="W127">
        <f>SUM(POTABLE_NONPOTABLE_API[[#This Row],[NONPOTABLE_DEMAND_RESIDENTIAL_RECYCLED_WATER_GAL]:[NONPOTABLE_DEMAND_NONRESIDENTIAL_METERED_IRRIGATION_GAL]])</f>
        <v>5119119.21</v>
      </c>
      <c r="X127" t="str">
        <f>IFERROR(INDEX(Crosswalk_API!$H$2:$H$527, MATCH(POTABLE_NONPOTABLE_API[[#This Row],[PWSID]], CW_PWSID_LIST, 0)), "")</f>
        <v>No</v>
      </c>
    </row>
    <row r="128" spans="1:24" x14ac:dyDescent="0.25">
      <c r="A128" t="s">
        <v>727</v>
      </c>
      <c r="B128" t="s">
        <v>728</v>
      </c>
      <c r="C128" t="s">
        <v>729</v>
      </c>
      <c r="D128" t="s">
        <v>730</v>
      </c>
      <c r="E128" s="9">
        <v>45292</v>
      </c>
      <c r="F128" s="9">
        <v>45322</v>
      </c>
      <c r="G128">
        <v>410604845.09999996</v>
      </c>
      <c r="H128">
        <v>287270241.60000002</v>
      </c>
      <c r="I128">
        <v>370329661.5</v>
      </c>
      <c r="J128">
        <v>43403353.199999996</v>
      </c>
      <c r="K128">
        <v>0</v>
      </c>
      <c r="L128">
        <v>18736432.5</v>
      </c>
      <c r="M128">
        <v>0</v>
      </c>
      <c r="N128">
        <v>0</v>
      </c>
      <c r="O128">
        <v>0</v>
      </c>
      <c r="Q128">
        <v>944967.9</v>
      </c>
      <c r="R128">
        <v>0</v>
      </c>
      <c r="S128">
        <v>944967.9</v>
      </c>
      <c r="T128" s="9">
        <v>45108</v>
      </c>
      <c r="U128" s="9">
        <v>45473</v>
      </c>
      <c r="V128">
        <f>SUM(POTABLE_NONPOTABLE_API[[#This Row],[RESIDENTIAL_SINGLEFAMILY_GAL]:[OTHER_GAL]])</f>
        <v>1130344533.9000001</v>
      </c>
      <c r="W128">
        <f>SUM(POTABLE_NONPOTABLE_API[[#This Row],[NONPOTABLE_DEMAND_RESIDENTIAL_RECYCLED_WATER_GAL]:[NONPOTABLE_DEMAND_NONRESIDENTIAL_METERED_IRRIGATION_GAL]])</f>
        <v>1889935.8</v>
      </c>
      <c r="X128" t="str">
        <f>IFERROR(INDEX(Crosswalk_API!$H$2:$H$527, MATCH(POTABLE_NONPOTABLE_API[[#This Row],[PWSID]], CW_PWSID_LIST, 0)), "")</f>
        <v>No</v>
      </c>
    </row>
    <row r="129" spans="1:24" x14ac:dyDescent="0.25">
      <c r="A129" t="s">
        <v>727</v>
      </c>
      <c r="B129" t="s">
        <v>728</v>
      </c>
      <c r="C129" t="s">
        <v>729</v>
      </c>
      <c r="D129" t="s">
        <v>730</v>
      </c>
      <c r="E129" s="9">
        <v>45323</v>
      </c>
      <c r="F129" s="9">
        <v>45351</v>
      </c>
      <c r="G129">
        <v>318389012.10000002</v>
      </c>
      <c r="H129">
        <v>233863262.70000002</v>
      </c>
      <c r="I129">
        <v>301444760.10000002</v>
      </c>
      <c r="J129">
        <v>25970324.699999999</v>
      </c>
      <c r="K129">
        <v>0</v>
      </c>
      <c r="L129">
        <v>14956560.9</v>
      </c>
      <c r="M129">
        <v>0</v>
      </c>
      <c r="N129">
        <v>0</v>
      </c>
      <c r="O129">
        <v>0</v>
      </c>
      <c r="P129">
        <v>0</v>
      </c>
      <c r="Q129">
        <v>423606.3</v>
      </c>
      <c r="R129">
        <v>0</v>
      </c>
      <c r="S129">
        <v>391021.2</v>
      </c>
      <c r="T129" s="9">
        <v>45108</v>
      </c>
      <c r="U129" s="9">
        <v>45473</v>
      </c>
      <c r="V129">
        <f>SUM(POTABLE_NONPOTABLE_API[[#This Row],[RESIDENTIAL_SINGLEFAMILY_GAL]:[OTHER_GAL]])</f>
        <v>894623920.50000012</v>
      </c>
      <c r="W129">
        <f>SUM(POTABLE_NONPOTABLE_API[[#This Row],[NONPOTABLE_DEMAND_RESIDENTIAL_RECYCLED_WATER_GAL]:[NONPOTABLE_DEMAND_NONRESIDENTIAL_METERED_IRRIGATION_GAL]])</f>
        <v>814627.5</v>
      </c>
      <c r="X129" t="str">
        <f>IFERROR(INDEX(Crosswalk_API!$H$2:$H$527, MATCH(POTABLE_NONPOTABLE_API[[#This Row],[PWSID]], CW_PWSID_LIST, 0)), "")</f>
        <v>No</v>
      </c>
    </row>
    <row r="130" spans="1:24" x14ac:dyDescent="0.25">
      <c r="A130" t="s">
        <v>727</v>
      </c>
      <c r="B130" t="s">
        <v>728</v>
      </c>
      <c r="C130" t="s">
        <v>729</v>
      </c>
      <c r="D130" t="s">
        <v>730</v>
      </c>
      <c r="E130" s="9">
        <v>45352</v>
      </c>
      <c r="F130" s="9">
        <v>45382</v>
      </c>
      <c r="G130">
        <v>367201491.90000004</v>
      </c>
      <c r="H130">
        <v>269413606.80000001</v>
      </c>
      <c r="I130">
        <v>367201491.90000004</v>
      </c>
      <c r="J130">
        <v>39036949.799999997</v>
      </c>
      <c r="K130">
        <v>0</v>
      </c>
      <c r="L130">
        <v>18312826.199999999</v>
      </c>
      <c r="M130">
        <v>0</v>
      </c>
      <c r="N130">
        <v>0</v>
      </c>
      <c r="O130">
        <v>0</v>
      </c>
      <c r="P130">
        <v>0</v>
      </c>
      <c r="Q130">
        <v>325851</v>
      </c>
      <c r="R130">
        <v>0</v>
      </c>
      <c r="S130">
        <v>1075308.3</v>
      </c>
      <c r="T130" s="9">
        <v>45108</v>
      </c>
      <c r="U130" s="9">
        <v>45473</v>
      </c>
      <c r="V130">
        <f>SUM(POTABLE_NONPOTABLE_API[[#This Row],[RESIDENTIAL_SINGLEFAMILY_GAL]:[OTHER_GAL]])</f>
        <v>1061166366.6000001</v>
      </c>
      <c r="W130">
        <f>SUM(POTABLE_NONPOTABLE_API[[#This Row],[NONPOTABLE_DEMAND_RESIDENTIAL_RECYCLED_WATER_GAL]:[NONPOTABLE_DEMAND_NONRESIDENTIAL_METERED_IRRIGATION_GAL]])</f>
        <v>1401159.3</v>
      </c>
      <c r="X130" t="str">
        <f>IFERROR(INDEX(Crosswalk_API!$H$2:$H$527, MATCH(POTABLE_NONPOTABLE_API[[#This Row],[PWSID]], CW_PWSID_LIST, 0)), "")</f>
        <v>No</v>
      </c>
    </row>
    <row r="131" spans="1:24" x14ac:dyDescent="0.25">
      <c r="A131" t="s">
        <v>727</v>
      </c>
      <c r="B131" t="s">
        <v>728</v>
      </c>
      <c r="C131" t="s">
        <v>729</v>
      </c>
      <c r="D131" t="s">
        <v>730</v>
      </c>
      <c r="E131" s="9">
        <v>45383</v>
      </c>
      <c r="F131" s="9">
        <v>45412</v>
      </c>
      <c r="G131">
        <v>416633088.59999996</v>
      </c>
      <c r="H131">
        <v>271629393.60000002</v>
      </c>
      <c r="I131">
        <v>394670731.19999999</v>
      </c>
      <c r="J131">
        <v>63573530.100000001</v>
      </c>
      <c r="K131">
        <v>0</v>
      </c>
      <c r="L131">
        <v>17954390.100000001</v>
      </c>
      <c r="M131">
        <v>0</v>
      </c>
      <c r="N131">
        <v>0</v>
      </c>
      <c r="O131">
        <v>0</v>
      </c>
      <c r="P131">
        <v>0</v>
      </c>
      <c r="Q131">
        <v>325851</v>
      </c>
      <c r="R131">
        <v>0</v>
      </c>
      <c r="S131">
        <v>3356265.3000000003</v>
      </c>
      <c r="T131" s="9">
        <v>45108</v>
      </c>
      <c r="U131" s="9">
        <v>45473</v>
      </c>
      <c r="V131">
        <f>SUM(POTABLE_NONPOTABLE_API[[#This Row],[RESIDENTIAL_SINGLEFAMILY_GAL]:[OTHER_GAL]])</f>
        <v>1164461133.5999999</v>
      </c>
      <c r="W131">
        <f>SUM(POTABLE_NONPOTABLE_API[[#This Row],[NONPOTABLE_DEMAND_RESIDENTIAL_RECYCLED_WATER_GAL]:[NONPOTABLE_DEMAND_NONRESIDENTIAL_METERED_IRRIGATION_GAL]])</f>
        <v>3682116.3000000003</v>
      </c>
      <c r="X131" t="str">
        <f>IFERROR(INDEX(Crosswalk_API!$H$2:$H$527, MATCH(POTABLE_NONPOTABLE_API[[#This Row],[PWSID]], CW_PWSID_LIST, 0)), "")</f>
        <v>No</v>
      </c>
    </row>
    <row r="132" spans="1:24" x14ac:dyDescent="0.25">
      <c r="A132" t="s">
        <v>727</v>
      </c>
      <c r="B132" t="s">
        <v>728</v>
      </c>
      <c r="C132" t="s">
        <v>729</v>
      </c>
      <c r="D132" t="s">
        <v>730</v>
      </c>
      <c r="E132" s="9">
        <v>45413</v>
      </c>
      <c r="F132" s="9">
        <v>45443</v>
      </c>
      <c r="G132">
        <v>502494827.09999996</v>
      </c>
      <c r="H132">
        <v>296524410</v>
      </c>
      <c r="I132">
        <v>451042954.19999999</v>
      </c>
      <c r="J132">
        <v>91629301.200000003</v>
      </c>
      <c r="K132">
        <v>0</v>
      </c>
      <c r="L132">
        <v>20333102.399999999</v>
      </c>
      <c r="M132">
        <v>0</v>
      </c>
      <c r="N132">
        <v>0</v>
      </c>
      <c r="O132">
        <v>0</v>
      </c>
      <c r="P132">
        <v>0</v>
      </c>
      <c r="Q132">
        <v>521361.60000000003</v>
      </c>
      <c r="R132">
        <v>0</v>
      </c>
      <c r="S132">
        <v>7103551.7999999998</v>
      </c>
      <c r="T132" s="9">
        <v>45108</v>
      </c>
      <c r="U132" s="9">
        <v>45473</v>
      </c>
      <c r="V132">
        <f>SUM(POTABLE_NONPOTABLE_API[[#This Row],[RESIDENTIAL_SINGLEFAMILY_GAL]:[OTHER_GAL]])</f>
        <v>1362024594.9000001</v>
      </c>
      <c r="W132">
        <f>SUM(POTABLE_NONPOTABLE_API[[#This Row],[NONPOTABLE_DEMAND_RESIDENTIAL_RECYCLED_WATER_GAL]:[NONPOTABLE_DEMAND_NONRESIDENTIAL_METERED_IRRIGATION_GAL]])</f>
        <v>7624913.3999999994</v>
      </c>
      <c r="X132" t="str">
        <f>IFERROR(INDEX(Crosswalk_API!$H$2:$H$527, MATCH(POTABLE_NONPOTABLE_API[[#This Row],[PWSID]], CW_PWSID_LIST, 0)), "")</f>
        <v>No</v>
      </c>
    </row>
    <row r="133" spans="1:24" x14ac:dyDescent="0.25">
      <c r="A133" t="s">
        <v>727</v>
      </c>
      <c r="B133" t="s">
        <v>728</v>
      </c>
      <c r="C133" t="s">
        <v>729</v>
      </c>
      <c r="D133" t="s">
        <v>730</v>
      </c>
      <c r="E133" s="9">
        <v>45444</v>
      </c>
      <c r="F133" s="9">
        <v>45473</v>
      </c>
      <c r="G133">
        <v>558182763</v>
      </c>
      <c r="H133">
        <v>301184079.30000001</v>
      </c>
      <c r="I133">
        <v>483497713.80000001</v>
      </c>
      <c r="J133">
        <v>133012378.2</v>
      </c>
      <c r="K133">
        <v>0</v>
      </c>
      <c r="L133">
        <v>21962357.400000002</v>
      </c>
      <c r="M133">
        <v>0</v>
      </c>
      <c r="N133">
        <v>0</v>
      </c>
      <c r="O133">
        <v>0</v>
      </c>
      <c r="P133">
        <v>0</v>
      </c>
      <c r="Q133">
        <v>1238233.8</v>
      </c>
      <c r="R133">
        <v>0</v>
      </c>
      <c r="S133">
        <v>10101381</v>
      </c>
      <c r="T133" s="9">
        <v>45108</v>
      </c>
      <c r="U133" s="9">
        <v>45473</v>
      </c>
      <c r="V133">
        <f>SUM(POTABLE_NONPOTABLE_API[[#This Row],[RESIDENTIAL_SINGLEFAMILY_GAL]:[OTHER_GAL]])</f>
        <v>1497839291.7</v>
      </c>
      <c r="W133">
        <f>SUM(POTABLE_NONPOTABLE_API[[#This Row],[NONPOTABLE_DEMAND_RESIDENTIAL_RECYCLED_WATER_GAL]:[NONPOTABLE_DEMAND_NONRESIDENTIAL_METERED_IRRIGATION_GAL]])</f>
        <v>11339614.800000001</v>
      </c>
      <c r="X133" t="str">
        <f>IFERROR(INDEX(Crosswalk_API!$H$2:$H$527, MATCH(POTABLE_NONPOTABLE_API[[#This Row],[PWSID]], CW_PWSID_LIST, 0)), "")</f>
        <v>No</v>
      </c>
    </row>
    <row r="134" spans="1:24" x14ac:dyDescent="0.25">
      <c r="A134" t="s">
        <v>732</v>
      </c>
      <c r="B134" t="s">
        <v>733</v>
      </c>
      <c r="C134" t="s">
        <v>734</v>
      </c>
      <c r="D134" t="s">
        <v>735</v>
      </c>
      <c r="E134" s="9">
        <v>45108</v>
      </c>
      <c r="F134" s="9">
        <v>45138</v>
      </c>
      <c r="G134">
        <v>59508000</v>
      </c>
      <c r="H134">
        <v>12916000</v>
      </c>
      <c r="I134">
        <v>14836000</v>
      </c>
      <c r="J134">
        <v>30839000</v>
      </c>
      <c r="K134">
        <v>838000</v>
      </c>
      <c r="L134">
        <v>0</v>
      </c>
      <c r="M134">
        <v>0</v>
      </c>
      <c r="T134" s="9">
        <v>45108</v>
      </c>
      <c r="U134" s="9">
        <v>45473</v>
      </c>
      <c r="V134">
        <f>SUM(POTABLE_NONPOTABLE_API[[#This Row],[RESIDENTIAL_SINGLEFAMILY_GAL]:[OTHER_GAL]])</f>
        <v>118937000</v>
      </c>
      <c r="W134">
        <f>SUM(POTABLE_NONPOTABLE_API[[#This Row],[NONPOTABLE_DEMAND_RESIDENTIAL_RECYCLED_WATER_GAL]:[NONPOTABLE_DEMAND_NONRESIDENTIAL_METERED_IRRIGATION_GAL]])</f>
        <v>0</v>
      </c>
      <c r="X134" t="str">
        <f>IFERROR(INDEX(Crosswalk_API!$H$2:$H$527, MATCH(POTABLE_NONPOTABLE_API[[#This Row],[PWSID]], CW_PWSID_LIST, 0)), "")</f>
        <v>No</v>
      </c>
    </row>
    <row r="135" spans="1:24" x14ac:dyDescent="0.25">
      <c r="A135" t="s">
        <v>732</v>
      </c>
      <c r="B135" t="s">
        <v>733</v>
      </c>
      <c r="C135" t="s">
        <v>734</v>
      </c>
      <c r="D135" t="s">
        <v>735</v>
      </c>
      <c r="E135" s="9">
        <v>45139</v>
      </c>
      <c r="F135" s="9">
        <v>45169</v>
      </c>
      <c r="G135">
        <v>59335000</v>
      </c>
      <c r="H135">
        <v>14080000</v>
      </c>
      <c r="I135">
        <v>19350000</v>
      </c>
      <c r="J135">
        <v>19081000</v>
      </c>
      <c r="K135">
        <v>907000</v>
      </c>
      <c r="L135">
        <v>1026999.9999999999</v>
      </c>
      <c r="M135">
        <v>0</v>
      </c>
      <c r="T135" s="9">
        <v>45108</v>
      </c>
      <c r="U135" s="9">
        <v>45473</v>
      </c>
      <c r="V135">
        <f>SUM(POTABLE_NONPOTABLE_API[[#This Row],[RESIDENTIAL_SINGLEFAMILY_GAL]:[OTHER_GAL]])</f>
        <v>113780000</v>
      </c>
      <c r="W135">
        <f>SUM(POTABLE_NONPOTABLE_API[[#This Row],[NONPOTABLE_DEMAND_RESIDENTIAL_RECYCLED_WATER_GAL]:[NONPOTABLE_DEMAND_NONRESIDENTIAL_METERED_IRRIGATION_GAL]])</f>
        <v>0</v>
      </c>
      <c r="X135" t="str">
        <f>IFERROR(INDEX(Crosswalk_API!$H$2:$H$527, MATCH(POTABLE_NONPOTABLE_API[[#This Row],[PWSID]], CW_PWSID_LIST, 0)), "")</f>
        <v>No</v>
      </c>
    </row>
    <row r="136" spans="1:24" x14ac:dyDescent="0.25">
      <c r="A136" t="s">
        <v>732</v>
      </c>
      <c r="B136" t="s">
        <v>733</v>
      </c>
      <c r="C136" t="s">
        <v>734</v>
      </c>
      <c r="D136" t="s">
        <v>735</v>
      </c>
      <c r="E136" s="9">
        <v>45170</v>
      </c>
      <c r="F136" s="9">
        <v>45199</v>
      </c>
      <c r="G136">
        <v>46074000</v>
      </c>
      <c r="H136">
        <v>12715000</v>
      </c>
      <c r="I136">
        <v>12345000</v>
      </c>
      <c r="J136">
        <v>20581000</v>
      </c>
      <c r="K136">
        <v>733000</v>
      </c>
      <c r="L136">
        <v>0</v>
      </c>
      <c r="M136">
        <v>0</v>
      </c>
      <c r="T136" s="9">
        <v>45108</v>
      </c>
      <c r="U136" s="9">
        <v>45473</v>
      </c>
      <c r="V136">
        <f>SUM(POTABLE_NONPOTABLE_API[[#This Row],[RESIDENTIAL_SINGLEFAMILY_GAL]:[OTHER_GAL]])</f>
        <v>92448000</v>
      </c>
      <c r="W136">
        <f>SUM(POTABLE_NONPOTABLE_API[[#This Row],[NONPOTABLE_DEMAND_RESIDENTIAL_RECYCLED_WATER_GAL]:[NONPOTABLE_DEMAND_NONRESIDENTIAL_METERED_IRRIGATION_GAL]])</f>
        <v>0</v>
      </c>
      <c r="X136" t="str">
        <f>IFERROR(INDEX(Crosswalk_API!$H$2:$H$527, MATCH(POTABLE_NONPOTABLE_API[[#This Row],[PWSID]], CW_PWSID_LIST, 0)), "")</f>
        <v>No</v>
      </c>
    </row>
    <row r="137" spans="1:24" x14ac:dyDescent="0.25">
      <c r="A137" t="s">
        <v>732</v>
      </c>
      <c r="B137" t="s">
        <v>733</v>
      </c>
      <c r="C137" t="s">
        <v>734</v>
      </c>
      <c r="D137" t="s">
        <v>735</v>
      </c>
      <c r="E137" s="9">
        <v>45200</v>
      </c>
      <c r="F137" s="9">
        <v>45230</v>
      </c>
      <c r="G137">
        <v>34333000</v>
      </c>
      <c r="H137">
        <v>9337000</v>
      </c>
      <c r="I137">
        <v>13195000</v>
      </c>
      <c r="J137">
        <v>13577000</v>
      </c>
      <c r="K137">
        <v>769000</v>
      </c>
      <c r="L137">
        <v>0</v>
      </c>
      <c r="M137">
        <v>0</v>
      </c>
      <c r="T137" s="9">
        <v>45108</v>
      </c>
      <c r="U137" s="9">
        <v>45473</v>
      </c>
      <c r="V137">
        <f>SUM(POTABLE_NONPOTABLE_API[[#This Row],[RESIDENTIAL_SINGLEFAMILY_GAL]:[OTHER_GAL]])</f>
        <v>71211000</v>
      </c>
      <c r="W137">
        <f>SUM(POTABLE_NONPOTABLE_API[[#This Row],[NONPOTABLE_DEMAND_RESIDENTIAL_RECYCLED_WATER_GAL]:[NONPOTABLE_DEMAND_NONRESIDENTIAL_METERED_IRRIGATION_GAL]])</f>
        <v>0</v>
      </c>
      <c r="X137" t="str">
        <f>IFERROR(INDEX(Crosswalk_API!$H$2:$H$527, MATCH(POTABLE_NONPOTABLE_API[[#This Row],[PWSID]], CW_PWSID_LIST, 0)), "")</f>
        <v>No</v>
      </c>
    </row>
    <row r="138" spans="1:24" x14ac:dyDescent="0.25">
      <c r="A138" t="s">
        <v>732</v>
      </c>
      <c r="B138" t="s">
        <v>733</v>
      </c>
      <c r="C138" t="s">
        <v>734</v>
      </c>
      <c r="D138" t="s">
        <v>735</v>
      </c>
      <c r="E138" s="9">
        <v>45231</v>
      </c>
      <c r="F138" s="9">
        <v>45260</v>
      </c>
      <c r="G138">
        <v>23582000</v>
      </c>
      <c r="H138">
        <v>6895000</v>
      </c>
      <c r="I138">
        <v>9297000</v>
      </c>
      <c r="J138">
        <v>8836000</v>
      </c>
      <c r="K138">
        <v>534000</v>
      </c>
      <c r="L138">
        <v>0</v>
      </c>
      <c r="M138">
        <v>0</v>
      </c>
      <c r="T138" s="9">
        <v>45108</v>
      </c>
      <c r="U138" s="9">
        <v>45473</v>
      </c>
      <c r="V138">
        <f>SUM(POTABLE_NONPOTABLE_API[[#This Row],[RESIDENTIAL_SINGLEFAMILY_GAL]:[OTHER_GAL]])</f>
        <v>49144000</v>
      </c>
      <c r="W138">
        <f>SUM(POTABLE_NONPOTABLE_API[[#This Row],[NONPOTABLE_DEMAND_RESIDENTIAL_RECYCLED_WATER_GAL]:[NONPOTABLE_DEMAND_NONRESIDENTIAL_METERED_IRRIGATION_GAL]])</f>
        <v>0</v>
      </c>
      <c r="X138" t="str">
        <f>IFERROR(INDEX(Crosswalk_API!$H$2:$H$527, MATCH(POTABLE_NONPOTABLE_API[[#This Row],[PWSID]], CW_PWSID_LIST, 0)), "")</f>
        <v>No</v>
      </c>
    </row>
    <row r="139" spans="1:24" x14ac:dyDescent="0.25">
      <c r="A139" t="s">
        <v>732</v>
      </c>
      <c r="B139" t="s">
        <v>733</v>
      </c>
      <c r="C139" t="s">
        <v>734</v>
      </c>
      <c r="D139" t="s">
        <v>735</v>
      </c>
      <c r="E139" s="9">
        <v>45261</v>
      </c>
      <c r="F139" s="9">
        <v>45291</v>
      </c>
      <c r="G139">
        <v>19998000</v>
      </c>
      <c r="H139">
        <v>6370000</v>
      </c>
      <c r="I139">
        <v>7919000</v>
      </c>
      <c r="J139">
        <v>5486000</v>
      </c>
      <c r="K139">
        <v>586000</v>
      </c>
      <c r="L139">
        <v>0</v>
      </c>
      <c r="M139">
        <v>0</v>
      </c>
      <c r="T139" s="9">
        <v>45108</v>
      </c>
      <c r="U139" s="9">
        <v>45473</v>
      </c>
      <c r="V139">
        <f>SUM(POTABLE_NONPOTABLE_API[[#This Row],[RESIDENTIAL_SINGLEFAMILY_GAL]:[OTHER_GAL]])</f>
        <v>40359000</v>
      </c>
      <c r="W139">
        <f>SUM(POTABLE_NONPOTABLE_API[[#This Row],[NONPOTABLE_DEMAND_RESIDENTIAL_RECYCLED_WATER_GAL]:[NONPOTABLE_DEMAND_NONRESIDENTIAL_METERED_IRRIGATION_GAL]])</f>
        <v>0</v>
      </c>
      <c r="X139" t="str">
        <f>IFERROR(INDEX(Crosswalk_API!$H$2:$H$527, MATCH(POTABLE_NONPOTABLE_API[[#This Row],[PWSID]], CW_PWSID_LIST, 0)), "")</f>
        <v>No</v>
      </c>
    </row>
    <row r="140" spans="1:24" x14ac:dyDescent="0.25">
      <c r="A140" t="s">
        <v>732</v>
      </c>
      <c r="B140" t="s">
        <v>733</v>
      </c>
      <c r="C140" t="s">
        <v>734</v>
      </c>
      <c r="D140" t="s">
        <v>735</v>
      </c>
      <c r="E140" s="9">
        <v>45292</v>
      </c>
      <c r="F140" s="9">
        <v>45322</v>
      </c>
      <c r="G140">
        <v>19998000</v>
      </c>
      <c r="H140">
        <v>6370000</v>
      </c>
      <c r="I140">
        <v>7918000</v>
      </c>
      <c r="J140">
        <v>5105000</v>
      </c>
      <c r="K140">
        <v>586000</v>
      </c>
      <c r="L140">
        <v>0</v>
      </c>
      <c r="M140">
        <v>0</v>
      </c>
      <c r="T140" s="9">
        <v>45108</v>
      </c>
      <c r="U140" s="9">
        <v>45473</v>
      </c>
      <c r="V140">
        <f>SUM(POTABLE_NONPOTABLE_API[[#This Row],[RESIDENTIAL_SINGLEFAMILY_GAL]:[OTHER_GAL]])</f>
        <v>39977000</v>
      </c>
      <c r="W140">
        <f>SUM(POTABLE_NONPOTABLE_API[[#This Row],[NONPOTABLE_DEMAND_RESIDENTIAL_RECYCLED_WATER_GAL]:[NONPOTABLE_DEMAND_NONRESIDENTIAL_METERED_IRRIGATION_GAL]])</f>
        <v>0</v>
      </c>
      <c r="X140" t="str">
        <f>IFERROR(INDEX(Crosswalk_API!$H$2:$H$527, MATCH(POTABLE_NONPOTABLE_API[[#This Row],[PWSID]], CW_PWSID_LIST, 0)), "")</f>
        <v>No</v>
      </c>
    </row>
    <row r="141" spans="1:24" x14ac:dyDescent="0.25">
      <c r="A141" t="s">
        <v>732</v>
      </c>
      <c r="B141" t="s">
        <v>733</v>
      </c>
      <c r="C141" t="s">
        <v>734</v>
      </c>
      <c r="D141" t="s">
        <v>735</v>
      </c>
      <c r="E141" s="9">
        <v>45323</v>
      </c>
      <c r="F141" s="9">
        <v>45351</v>
      </c>
      <c r="G141">
        <v>15548000</v>
      </c>
      <c r="H141">
        <v>4887000</v>
      </c>
      <c r="I141">
        <v>6804000</v>
      </c>
      <c r="J141">
        <v>8526000</v>
      </c>
      <c r="K141">
        <v>440000</v>
      </c>
      <c r="L141">
        <v>0</v>
      </c>
      <c r="M141">
        <v>0</v>
      </c>
      <c r="T141" s="9">
        <v>45108</v>
      </c>
      <c r="U141" s="9">
        <v>45473</v>
      </c>
      <c r="V141">
        <f>SUM(POTABLE_NONPOTABLE_API[[#This Row],[RESIDENTIAL_SINGLEFAMILY_GAL]:[OTHER_GAL]])</f>
        <v>36205000</v>
      </c>
      <c r="W141">
        <f>SUM(POTABLE_NONPOTABLE_API[[#This Row],[NONPOTABLE_DEMAND_RESIDENTIAL_RECYCLED_WATER_GAL]:[NONPOTABLE_DEMAND_NONRESIDENTIAL_METERED_IRRIGATION_GAL]])</f>
        <v>0</v>
      </c>
      <c r="X141" t="str">
        <f>IFERROR(INDEX(Crosswalk_API!$H$2:$H$527, MATCH(POTABLE_NONPOTABLE_API[[#This Row],[PWSID]], CW_PWSID_LIST, 0)), "")</f>
        <v>No</v>
      </c>
    </row>
    <row r="142" spans="1:24" x14ac:dyDescent="0.25">
      <c r="A142" t="s">
        <v>732</v>
      </c>
      <c r="B142" t="s">
        <v>733</v>
      </c>
      <c r="C142" t="s">
        <v>734</v>
      </c>
      <c r="D142" t="s">
        <v>735</v>
      </c>
      <c r="E142" s="9">
        <v>45352</v>
      </c>
      <c r="F142" s="9">
        <v>45382</v>
      </c>
      <c r="G142">
        <v>17405000</v>
      </c>
      <c r="H142">
        <v>5555000</v>
      </c>
      <c r="I142">
        <v>5852000</v>
      </c>
      <c r="J142">
        <v>602000</v>
      </c>
      <c r="K142">
        <v>418000</v>
      </c>
      <c r="L142">
        <v>9105000</v>
      </c>
      <c r="M142">
        <v>0</v>
      </c>
      <c r="T142" s="9">
        <v>45108</v>
      </c>
      <c r="U142" s="9">
        <v>45473</v>
      </c>
      <c r="V142">
        <f>SUM(POTABLE_NONPOTABLE_API[[#This Row],[RESIDENTIAL_SINGLEFAMILY_GAL]:[OTHER_GAL]])</f>
        <v>38937000</v>
      </c>
      <c r="W142">
        <f>SUM(POTABLE_NONPOTABLE_API[[#This Row],[NONPOTABLE_DEMAND_RESIDENTIAL_RECYCLED_WATER_GAL]:[NONPOTABLE_DEMAND_NONRESIDENTIAL_METERED_IRRIGATION_GAL]])</f>
        <v>0</v>
      </c>
      <c r="X142" t="str">
        <f>IFERROR(INDEX(Crosswalk_API!$H$2:$H$527, MATCH(POTABLE_NONPOTABLE_API[[#This Row],[PWSID]], CW_PWSID_LIST, 0)), "")</f>
        <v>No</v>
      </c>
    </row>
    <row r="143" spans="1:24" x14ac:dyDescent="0.25">
      <c r="A143" t="s">
        <v>732</v>
      </c>
      <c r="B143" t="s">
        <v>733</v>
      </c>
      <c r="C143" t="s">
        <v>734</v>
      </c>
      <c r="D143" t="s">
        <v>735</v>
      </c>
      <c r="E143" s="9">
        <v>45383</v>
      </c>
      <c r="F143" s="9">
        <v>45412</v>
      </c>
      <c r="G143">
        <v>23067000</v>
      </c>
      <c r="H143">
        <v>6458000</v>
      </c>
      <c r="I143">
        <v>8090000</v>
      </c>
      <c r="J143">
        <v>123000</v>
      </c>
      <c r="K143">
        <v>559000</v>
      </c>
      <c r="L143">
        <v>9072000</v>
      </c>
      <c r="M143">
        <v>0</v>
      </c>
      <c r="T143" s="9">
        <v>45108</v>
      </c>
      <c r="U143" s="9">
        <v>45473</v>
      </c>
      <c r="V143">
        <f>SUM(POTABLE_NONPOTABLE_API[[#This Row],[RESIDENTIAL_SINGLEFAMILY_GAL]:[OTHER_GAL]])</f>
        <v>47369000</v>
      </c>
      <c r="W143">
        <f>SUM(POTABLE_NONPOTABLE_API[[#This Row],[NONPOTABLE_DEMAND_RESIDENTIAL_RECYCLED_WATER_GAL]:[NONPOTABLE_DEMAND_NONRESIDENTIAL_METERED_IRRIGATION_GAL]])</f>
        <v>0</v>
      </c>
      <c r="X143" t="str">
        <f>IFERROR(INDEX(Crosswalk_API!$H$2:$H$527, MATCH(POTABLE_NONPOTABLE_API[[#This Row],[PWSID]], CW_PWSID_LIST, 0)), "")</f>
        <v>No</v>
      </c>
    </row>
    <row r="144" spans="1:24" x14ac:dyDescent="0.25">
      <c r="A144" t="s">
        <v>732</v>
      </c>
      <c r="B144" t="s">
        <v>733</v>
      </c>
      <c r="C144" t="s">
        <v>734</v>
      </c>
      <c r="D144" t="s">
        <v>735</v>
      </c>
      <c r="E144" s="9">
        <v>45413</v>
      </c>
      <c r="F144" s="9">
        <v>45443</v>
      </c>
      <c r="G144">
        <v>45163000</v>
      </c>
      <c r="H144">
        <v>10382000</v>
      </c>
      <c r="I144">
        <v>10612000</v>
      </c>
      <c r="J144">
        <v>579000</v>
      </c>
      <c r="K144">
        <v>672000</v>
      </c>
      <c r="L144">
        <v>4854000</v>
      </c>
      <c r="M144">
        <v>0</v>
      </c>
      <c r="T144" s="9">
        <v>45108</v>
      </c>
      <c r="U144" s="9">
        <v>45473</v>
      </c>
      <c r="V144">
        <f>SUM(POTABLE_NONPOTABLE_API[[#This Row],[RESIDENTIAL_SINGLEFAMILY_GAL]:[OTHER_GAL]])</f>
        <v>72262000</v>
      </c>
      <c r="W144">
        <f>SUM(POTABLE_NONPOTABLE_API[[#This Row],[NONPOTABLE_DEMAND_RESIDENTIAL_RECYCLED_WATER_GAL]:[NONPOTABLE_DEMAND_NONRESIDENTIAL_METERED_IRRIGATION_GAL]])</f>
        <v>0</v>
      </c>
      <c r="X144" t="str">
        <f>IFERROR(INDEX(Crosswalk_API!$H$2:$H$527, MATCH(POTABLE_NONPOTABLE_API[[#This Row],[PWSID]], CW_PWSID_LIST, 0)), "")</f>
        <v>No</v>
      </c>
    </row>
    <row r="145" spans="1:24" x14ac:dyDescent="0.25">
      <c r="A145" t="s">
        <v>732</v>
      </c>
      <c r="B145" t="s">
        <v>733</v>
      </c>
      <c r="C145" t="s">
        <v>734</v>
      </c>
      <c r="D145" t="s">
        <v>735</v>
      </c>
      <c r="E145" s="9">
        <v>45444</v>
      </c>
      <c r="F145" s="9">
        <v>45473</v>
      </c>
      <c r="G145">
        <v>45153000</v>
      </c>
      <c r="H145">
        <v>10382000</v>
      </c>
      <c r="I145">
        <v>10612000</v>
      </c>
      <c r="J145">
        <v>28544000</v>
      </c>
      <c r="K145">
        <v>672000</v>
      </c>
      <c r="L145">
        <v>4854000</v>
      </c>
      <c r="M145">
        <v>0</v>
      </c>
      <c r="T145" s="9">
        <v>45108</v>
      </c>
      <c r="U145" s="9">
        <v>45473</v>
      </c>
      <c r="V145">
        <f>SUM(POTABLE_NONPOTABLE_API[[#This Row],[RESIDENTIAL_SINGLEFAMILY_GAL]:[OTHER_GAL]])</f>
        <v>100217000</v>
      </c>
      <c r="W145">
        <f>SUM(POTABLE_NONPOTABLE_API[[#This Row],[NONPOTABLE_DEMAND_RESIDENTIAL_RECYCLED_WATER_GAL]:[NONPOTABLE_DEMAND_NONRESIDENTIAL_METERED_IRRIGATION_GAL]])</f>
        <v>0</v>
      </c>
      <c r="X145" t="str">
        <f>IFERROR(INDEX(Crosswalk_API!$H$2:$H$527, MATCH(POTABLE_NONPOTABLE_API[[#This Row],[PWSID]], CW_PWSID_LIST, 0)), "")</f>
        <v>No</v>
      </c>
    </row>
    <row r="146" spans="1:24" x14ac:dyDescent="0.25">
      <c r="A146" t="s">
        <v>737</v>
      </c>
      <c r="B146" t="s">
        <v>738</v>
      </c>
      <c r="C146" t="s">
        <v>739</v>
      </c>
      <c r="D146" t="s">
        <v>740</v>
      </c>
      <c r="E146" s="9">
        <v>45108</v>
      </c>
      <c r="F146" s="9">
        <v>45138</v>
      </c>
      <c r="G146">
        <v>110327945.324</v>
      </c>
      <c r="H146">
        <v>39498641.704000004</v>
      </c>
      <c r="I146">
        <v>20075471.524</v>
      </c>
      <c r="J146">
        <v>0</v>
      </c>
      <c r="K146">
        <v>6649434.2280000001</v>
      </c>
      <c r="L146">
        <v>0</v>
      </c>
      <c r="M146">
        <v>0</v>
      </c>
      <c r="T146" s="9">
        <v>45108</v>
      </c>
      <c r="U146" s="9">
        <v>45473</v>
      </c>
      <c r="V146">
        <f>SUM(POTABLE_NONPOTABLE_API[[#This Row],[RESIDENTIAL_SINGLEFAMILY_GAL]:[OTHER_GAL]])</f>
        <v>176551492.77999997</v>
      </c>
      <c r="W146">
        <f>SUM(POTABLE_NONPOTABLE_API[[#This Row],[NONPOTABLE_DEMAND_RESIDENTIAL_RECYCLED_WATER_GAL]:[NONPOTABLE_DEMAND_NONRESIDENTIAL_METERED_IRRIGATION_GAL]])</f>
        <v>0</v>
      </c>
      <c r="X146" t="str">
        <f>IFERROR(INDEX(Crosswalk_API!$H$2:$H$527, MATCH(POTABLE_NONPOTABLE_API[[#This Row],[PWSID]], CW_PWSID_LIST, 0)), "")</f>
        <v>No</v>
      </c>
    </row>
    <row r="147" spans="1:24" x14ac:dyDescent="0.25">
      <c r="A147" t="s">
        <v>737</v>
      </c>
      <c r="B147" t="s">
        <v>738</v>
      </c>
      <c r="C147" t="s">
        <v>739</v>
      </c>
      <c r="D147" t="s">
        <v>740</v>
      </c>
      <c r="E147" s="9">
        <v>45139</v>
      </c>
      <c r="F147" s="9">
        <v>45169</v>
      </c>
      <c r="G147">
        <v>320205154.704</v>
      </c>
      <c r="H147">
        <v>47463151.348000005</v>
      </c>
      <c r="I147">
        <v>38205259.796000004</v>
      </c>
      <c r="J147">
        <v>0</v>
      </c>
      <c r="K147">
        <v>6998026.46</v>
      </c>
      <c r="L147">
        <v>0</v>
      </c>
      <c r="M147">
        <v>0</v>
      </c>
      <c r="T147" s="9">
        <v>45108</v>
      </c>
      <c r="U147" s="9">
        <v>45473</v>
      </c>
      <c r="V147">
        <f>SUM(POTABLE_NONPOTABLE_API[[#This Row],[RESIDENTIAL_SINGLEFAMILY_GAL]:[OTHER_GAL]])</f>
        <v>412871592.30799997</v>
      </c>
      <c r="W147">
        <f>SUM(POTABLE_NONPOTABLE_API[[#This Row],[NONPOTABLE_DEMAND_RESIDENTIAL_RECYCLED_WATER_GAL]:[NONPOTABLE_DEMAND_NONRESIDENTIAL_METERED_IRRIGATION_GAL]])</f>
        <v>0</v>
      </c>
      <c r="X147" t="str">
        <f>IFERROR(INDEX(Crosswalk_API!$H$2:$H$527, MATCH(POTABLE_NONPOTABLE_API[[#This Row],[PWSID]], CW_PWSID_LIST, 0)), "")</f>
        <v>No</v>
      </c>
    </row>
    <row r="148" spans="1:24" x14ac:dyDescent="0.25">
      <c r="A148" t="s">
        <v>737</v>
      </c>
      <c r="B148" t="s">
        <v>738</v>
      </c>
      <c r="C148" t="s">
        <v>739</v>
      </c>
      <c r="D148" t="s">
        <v>740</v>
      </c>
      <c r="E148" s="9">
        <v>45170</v>
      </c>
      <c r="F148" s="9">
        <v>45199</v>
      </c>
      <c r="G148">
        <v>315294193.324</v>
      </c>
      <c r="H148">
        <v>49214341.079999998</v>
      </c>
      <c r="I148">
        <v>37668906.512000002</v>
      </c>
      <c r="J148">
        <v>0</v>
      </c>
      <c r="K148">
        <v>7523907.0159999998</v>
      </c>
      <c r="L148">
        <v>0</v>
      </c>
      <c r="M148">
        <v>0</v>
      </c>
      <c r="T148" s="9">
        <v>45108</v>
      </c>
      <c r="U148" s="9">
        <v>45473</v>
      </c>
      <c r="V148">
        <f>SUM(POTABLE_NONPOTABLE_API[[#This Row],[RESIDENTIAL_SINGLEFAMILY_GAL]:[OTHER_GAL]])</f>
        <v>409701347.93199998</v>
      </c>
      <c r="W148">
        <f>SUM(POTABLE_NONPOTABLE_API[[#This Row],[NONPOTABLE_DEMAND_RESIDENTIAL_RECYCLED_WATER_GAL]:[NONPOTABLE_DEMAND_NONRESIDENTIAL_METERED_IRRIGATION_GAL]])</f>
        <v>0</v>
      </c>
      <c r="X148" t="str">
        <f>IFERROR(INDEX(Crosswalk_API!$H$2:$H$527, MATCH(POTABLE_NONPOTABLE_API[[#This Row],[PWSID]], CW_PWSID_LIST, 0)), "")</f>
        <v>No</v>
      </c>
    </row>
    <row r="149" spans="1:24" x14ac:dyDescent="0.25">
      <c r="A149" t="s">
        <v>737</v>
      </c>
      <c r="B149" t="s">
        <v>738</v>
      </c>
      <c r="C149" t="s">
        <v>739</v>
      </c>
      <c r="D149" t="s">
        <v>740</v>
      </c>
      <c r="E149" s="9">
        <v>45200</v>
      </c>
      <c r="F149" s="9">
        <v>45230</v>
      </c>
      <c r="G149">
        <v>278171364.77200001</v>
      </c>
      <c r="H149">
        <v>47552169.535999998</v>
      </c>
      <c r="I149">
        <v>34640043.964000002</v>
      </c>
      <c r="J149">
        <v>0</v>
      </c>
      <c r="K149">
        <v>6638213.4479999999</v>
      </c>
      <c r="L149">
        <v>0</v>
      </c>
      <c r="M149">
        <v>0</v>
      </c>
      <c r="T149" s="9">
        <v>45108</v>
      </c>
      <c r="U149" s="9">
        <v>45473</v>
      </c>
      <c r="V149">
        <f>SUM(POTABLE_NONPOTABLE_API[[#This Row],[RESIDENTIAL_SINGLEFAMILY_GAL]:[OTHER_GAL]])</f>
        <v>367001791.72000003</v>
      </c>
      <c r="W149">
        <f>SUM(POTABLE_NONPOTABLE_API[[#This Row],[NONPOTABLE_DEMAND_RESIDENTIAL_RECYCLED_WATER_GAL]:[NONPOTABLE_DEMAND_NONRESIDENTIAL_METERED_IRRIGATION_GAL]])</f>
        <v>0</v>
      </c>
      <c r="X149" t="str">
        <f>IFERROR(INDEX(Crosswalk_API!$H$2:$H$527, MATCH(POTABLE_NONPOTABLE_API[[#This Row],[PWSID]], CW_PWSID_LIST, 0)), "")</f>
        <v>No</v>
      </c>
    </row>
    <row r="150" spans="1:24" x14ac:dyDescent="0.25">
      <c r="A150" t="s">
        <v>737</v>
      </c>
      <c r="B150" t="s">
        <v>738</v>
      </c>
      <c r="C150" t="s">
        <v>739</v>
      </c>
      <c r="D150" t="s">
        <v>740</v>
      </c>
      <c r="E150" s="9">
        <v>45231</v>
      </c>
      <c r="F150" s="9">
        <v>45260</v>
      </c>
      <c r="G150">
        <v>255856973.61200002</v>
      </c>
      <c r="H150">
        <v>45878029.160000004</v>
      </c>
      <c r="I150">
        <v>36268553.167999998</v>
      </c>
      <c r="J150">
        <v>0</v>
      </c>
      <c r="K150">
        <v>7247127.7760000005</v>
      </c>
      <c r="L150">
        <v>0</v>
      </c>
      <c r="M150">
        <v>0</v>
      </c>
      <c r="T150" s="9">
        <v>45108</v>
      </c>
      <c r="U150" s="9">
        <v>45473</v>
      </c>
      <c r="V150">
        <f>SUM(POTABLE_NONPOTABLE_API[[#This Row],[RESIDENTIAL_SINGLEFAMILY_GAL]:[OTHER_GAL]])</f>
        <v>345250683.71600002</v>
      </c>
      <c r="W150">
        <f>SUM(POTABLE_NONPOTABLE_API[[#This Row],[NONPOTABLE_DEMAND_RESIDENTIAL_RECYCLED_WATER_GAL]:[NONPOTABLE_DEMAND_NONRESIDENTIAL_METERED_IRRIGATION_GAL]])</f>
        <v>0</v>
      </c>
      <c r="X150" t="str">
        <f>IFERROR(INDEX(Crosswalk_API!$H$2:$H$527, MATCH(POTABLE_NONPOTABLE_API[[#This Row],[PWSID]], CW_PWSID_LIST, 0)), "")</f>
        <v>No</v>
      </c>
    </row>
    <row r="151" spans="1:24" x14ac:dyDescent="0.25">
      <c r="A151" t="s">
        <v>737</v>
      </c>
      <c r="B151" t="s">
        <v>738</v>
      </c>
      <c r="C151" t="s">
        <v>739</v>
      </c>
      <c r="D151" t="s">
        <v>740</v>
      </c>
      <c r="E151" s="9">
        <v>45261</v>
      </c>
      <c r="F151" s="9">
        <v>45291</v>
      </c>
      <c r="G151">
        <v>273648000000</v>
      </c>
      <c r="H151">
        <v>53048000000</v>
      </c>
      <c r="I151">
        <v>42463000000</v>
      </c>
      <c r="J151">
        <v>0</v>
      </c>
      <c r="K151">
        <v>4670000000</v>
      </c>
      <c r="L151">
        <v>0</v>
      </c>
      <c r="M151">
        <v>0</v>
      </c>
      <c r="T151" s="9">
        <v>45108</v>
      </c>
      <c r="U151" s="9">
        <v>45473</v>
      </c>
      <c r="V151">
        <f>SUM(POTABLE_NONPOTABLE_API[[#This Row],[RESIDENTIAL_SINGLEFAMILY_GAL]:[OTHER_GAL]])</f>
        <v>373829000000</v>
      </c>
      <c r="W151">
        <f>SUM(POTABLE_NONPOTABLE_API[[#This Row],[NONPOTABLE_DEMAND_RESIDENTIAL_RECYCLED_WATER_GAL]:[NONPOTABLE_DEMAND_NONRESIDENTIAL_METERED_IRRIGATION_GAL]])</f>
        <v>0</v>
      </c>
      <c r="X151" t="str">
        <f>IFERROR(INDEX(Crosswalk_API!$H$2:$H$527, MATCH(POTABLE_NONPOTABLE_API[[#This Row],[PWSID]], CW_PWSID_LIST, 0)), "")</f>
        <v>No</v>
      </c>
    </row>
    <row r="152" spans="1:24" x14ac:dyDescent="0.25">
      <c r="A152" t="s">
        <v>737</v>
      </c>
      <c r="B152" t="s">
        <v>738</v>
      </c>
      <c r="C152" t="s">
        <v>739</v>
      </c>
      <c r="D152" t="s">
        <v>740</v>
      </c>
      <c r="E152" s="9">
        <v>45292</v>
      </c>
      <c r="F152" s="9">
        <v>45322</v>
      </c>
      <c r="G152">
        <v>189875046.95199999</v>
      </c>
      <c r="H152">
        <v>37422049.351999998</v>
      </c>
      <c r="I152">
        <v>24612406.903999999</v>
      </c>
      <c r="J152">
        <v>0</v>
      </c>
      <c r="K152">
        <v>5666493.9000000004</v>
      </c>
      <c r="L152">
        <v>0</v>
      </c>
      <c r="M152">
        <v>0</v>
      </c>
      <c r="T152" s="9">
        <v>45108</v>
      </c>
      <c r="U152" s="9">
        <v>45473</v>
      </c>
      <c r="V152">
        <f>SUM(POTABLE_NONPOTABLE_API[[#This Row],[RESIDENTIAL_SINGLEFAMILY_GAL]:[OTHER_GAL]])</f>
        <v>257575997.10800001</v>
      </c>
      <c r="W152">
        <f>SUM(POTABLE_NONPOTABLE_API[[#This Row],[NONPOTABLE_DEMAND_RESIDENTIAL_RECYCLED_WATER_GAL]:[NONPOTABLE_DEMAND_NONRESIDENTIAL_METERED_IRRIGATION_GAL]])</f>
        <v>0</v>
      </c>
      <c r="X152" t="str">
        <f>IFERROR(INDEX(Crosswalk_API!$H$2:$H$527, MATCH(POTABLE_NONPOTABLE_API[[#This Row],[PWSID]], CW_PWSID_LIST, 0)), "")</f>
        <v>No</v>
      </c>
    </row>
    <row r="153" spans="1:24" x14ac:dyDescent="0.25">
      <c r="A153" t="s">
        <v>737</v>
      </c>
      <c r="B153" t="s">
        <v>738</v>
      </c>
      <c r="C153" t="s">
        <v>739</v>
      </c>
      <c r="D153" t="s">
        <v>740</v>
      </c>
      <c r="E153" s="9">
        <v>45323</v>
      </c>
      <c r="F153" s="9">
        <v>45351</v>
      </c>
      <c r="G153">
        <v>113855010.50400001</v>
      </c>
      <c r="H153">
        <v>35082142.696000002</v>
      </c>
      <c r="I153">
        <v>18785081.824000001</v>
      </c>
      <c r="J153">
        <v>0</v>
      </c>
      <c r="K153">
        <v>5953745.8679999998</v>
      </c>
      <c r="L153">
        <v>0</v>
      </c>
      <c r="M153">
        <v>0</v>
      </c>
      <c r="T153" s="9">
        <v>45108</v>
      </c>
      <c r="U153" s="9">
        <v>45473</v>
      </c>
      <c r="V153">
        <f>SUM(POTABLE_NONPOTABLE_API[[#This Row],[RESIDENTIAL_SINGLEFAMILY_GAL]:[OTHER_GAL]])</f>
        <v>173675980.89200002</v>
      </c>
      <c r="W153">
        <f>SUM(POTABLE_NONPOTABLE_API[[#This Row],[NONPOTABLE_DEMAND_RESIDENTIAL_RECYCLED_WATER_GAL]:[NONPOTABLE_DEMAND_NONRESIDENTIAL_METERED_IRRIGATION_GAL]])</f>
        <v>0</v>
      </c>
      <c r="X153" t="str">
        <f>IFERROR(INDEX(Crosswalk_API!$H$2:$H$527, MATCH(POTABLE_NONPOTABLE_API[[#This Row],[PWSID]], CW_PWSID_LIST, 0)), "")</f>
        <v>No</v>
      </c>
    </row>
    <row r="154" spans="1:24" x14ac:dyDescent="0.25">
      <c r="A154" t="s">
        <v>737</v>
      </c>
      <c r="B154" t="s">
        <v>738</v>
      </c>
      <c r="C154" t="s">
        <v>739</v>
      </c>
      <c r="D154" t="s">
        <v>740</v>
      </c>
      <c r="E154" s="9">
        <v>45352</v>
      </c>
      <c r="F154" s="9">
        <v>45382</v>
      </c>
      <c r="G154">
        <v>160789289.088</v>
      </c>
      <c r="H154">
        <v>35578849.223999999</v>
      </c>
      <c r="I154">
        <v>20831752.096000001</v>
      </c>
      <c r="J154">
        <v>0</v>
      </c>
      <c r="K154">
        <v>6451200.4479999999</v>
      </c>
      <c r="L154">
        <v>0</v>
      </c>
      <c r="M154">
        <v>0</v>
      </c>
      <c r="T154" s="9">
        <v>45108</v>
      </c>
      <c r="U154" s="9">
        <v>45473</v>
      </c>
      <c r="V154">
        <f>SUM(POTABLE_NONPOTABLE_API[[#This Row],[RESIDENTIAL_SINGLEFAMILY_GAL]:[OTHER_GAL]])</f>
        <v>223651090.85600001</v>
      </c>
      <c r="W154">
        <f>SUM(POTABLE_NONPOTABLE_API[[#This Row],[NONPOTABLE_DEMAND_RESIDENTIAL_RECYCLED_WATER_GAL]:[NONPOTABLE_DEMAND_NONRESIDENTIAL_METERED_IRRIGATION_GAL]])</f>
        <v>0</v>
      </c>
      <c r="X154" t="str">
        <f>IFERROR(INDEX(Crosswalk_API!$H$2:$H$527, MATCH(POTABLE_NONPOTABLE_API[[#This Row],[PWSID]], CW_PWSID_LIST, 0)), "")</f>
        <v>No</v>
      </c>
    </row>
    <row r="155" spans="1:24" x14ac:dyDescent="0.25">
      <c r="A155" t="s">
        <v>737</v>
      </c>
      <c r="B155" t="s">
        <v>738</v>
      </c>
      <c r="C155" t="s">
        <v>739</v>
      </c>
      <c r="D155" t="s">
        <v>740</v>
      </c>
      <c r="E155" s="9">
        <v>45383</v>
      </c>
      <c r="F155" s="9">
        <v>45412</v>
      </c>
      <c r="G155">
        <v>178479222.78400001</v>
      </c>
      <c r="H155">
        <v>31919378.84</v>
      </c>
      <c r="I155">
        <v>22792396.388</v>
      </c>
      <c r="J155">
        <v>0</v>
      </c>
      <c r="K155">
        <v>5661257.5360000003</v>
      </c>
      <c r="L155">
        <v>0</v>
      </c>
      <c r="M155">
        <v>0</v>
      </c>
      <c r="T155" s="9">
        <v>45108</v>
      </c>
      <c r="U155" s="9">
        <v>45473</v>
      </c>
      <c r="V155">
        <f>SUM(POTABLE_NONPOTABLE_API[[#This Row],[RESIDENTIAL_SINGLEFAMILY_GAL]:[OTHER_GAL]])</f>
        <v>238852255.54800004</v>
      </c>
      <c r="W155">
        <f>SUM(POTABLE_NONPOTABLE_API[[#This Row],[NONPOTABLE_DEMAND_RESIDENTIAL_RECYCLED_WATER_GAL]:[NONPOTABLE_DEMAND_NONRESIDENTIAL_METERED_IRRIGATION_GAL]])</f>
        <v>0</v>
      </c>
      <c r="X155" t="str">
        <f>IFERROR(INDEX(Crosswalk_API!$H$2:$H$527, MATCH(POTABLE_NONPOTABLE_API[[#This Row],[PWSID]], CW_PWSID_LIST, 0)), "")</f>
        <v>No</v>
      </c>
    </row>
    <row r="156" spans="1:24" x14ac:dyDescent="0.25">
      <c r="A156" t="s">
        <v>737</v>
      </c>
      <c r="B156" t="s">
        <v>738</v>
      </c>
      <c r="C156" t="s">
        <v>739</v>
      </c>
      <c r="D156" t="s">
        <v>740</v>
      </c>
      <c r="E156" s="9">
        <v>45413</v>
      </c>
      <c r="F156" s="9">
        <v>45443</v>
      </c>
      <c r="G156">
        <v>224814311.71600002</v>
      </c>
      <c r="H156">
        <v>36449581.752000004</v>
      </c>
      <c r="I156">
        <v>27245549.944000002</v>
      </c>
      <c r="J156">
        <v>0</v>
      </c>
      <c r="K156">
        <v>6220052.3799999999</v>
      </c>
      <c r="L156">
        <v>0</v>
      </c>
      <c r="M156">
        <v>0</v>
      </c>
      <c r="T156" s="9">
        <v>45108</v>
      </c>
      <c r="U156" s="9">
        <v>45473</v>
      </c>
      <c r="V156">
        <f>SUM(POTABLE_NONPOTABLE_API[[#This Row],[RESIDENTIAL_SINGLEFAMILY_GAL]:[OTHER_GAL]])</f>
        <v>294729495.792</v>
      </c>
      <c r="W156">
        <f>SUM(POTABLE_NONPOTABLE_API[[#This Row],[NONPOTABLE_DEMAND_RESIDENTIAL_RECYCLED_WATER_GAL]:[NONPOTABLE_DEMAND_NONRESIDENTIAL_METERED_IRRIGATION_GAL]])</f>
        <v>0</v>
      </c>
      <c r="X156" t="str">
        <f>IFERROR(INDEX(Crosswalk_API!$H$2:$H$527, MATCH(POTABLE_NONPOTABLE_API[[#This Row],[PWSID]], CW_PWSID_LIST, 0)), "")</f>
        <v>No</v>
      </c>
    </row>
    <row r="157" spans="1:24" x14ac:dyDescent="0.25">
      <c r="A157" t="s">
        <v>737</v>
      </c>
      <c r="B157" t="s">
        <v>738</v>
      </c>
      <c r="C157" t="s">
        <v>739</v>
      </c>
      <c r="D157" t="s">
        <v>740</v>
      </c>
      <c r="E157" s="9">
        <v>45444</v>
      </c>
      <c r="F157" s="9">
        <v>45473</v>
      </c>
      <c r="G157">
        <v>282343250.77600002</v>
      </c>
      <c r="H157">
        <v>39928023.552000001</v>
      </c>
      <c r="I157">
        <v>30023815.072000001</v>
      </c>
      <c r="J157">
        <v>0</v>
      </c>
      <c r="K157">
        <v>5238608.1560000004</v>
      </c>
      <c r="L157">
        <v>0</v>
      </c>
      <c r="M157">
        <v>0</v>
      </c>
      <c r="T157" s="9">
        <v>45108</v>
      </c>
      <c r="U157" s="9">
        <v>45473</v>
      </c>
      <c r="V157">
        <f>SUM(POTABLE_NONPOTABLE_API[[#This Row],[RESIDENTIAL_SINGLEFAMILY_GAL]:[OTHER_GAL]])</f>
        <v>357533697.55600005</v>
      </c>
      <c r="W157">
        <f>SUM(POTABLE_NONPOTABLE_API[[#This Row],[NONPOTABLE_DEMAND_RESIDENTIAL_RECYCLED_WATER_GAL]:[NONPOTABLE_DEMAND_NONRESIDENTIAL_METERED_IRRIGATION_GAL]])</f>
        <v>0</v>
      </c>
      <c r="X157" t="str">
        <f>IFERROR(INDEX(Crosswalk_API!$H$2:$H$527, MATCH(POTABLE_NONPOTABLE_API[[#This Row],[PWSID]], CW_PWSID_LIST, 0)), "")</f>
        <v>No</v>
      </c>
    </row>
    <row r="158" spans="1:24" x14ac:dyDescent="0.25">
      <c r="A158" t="s">
        <v>742</v>
      </c>
      <c r="B158" t="s">
        <v>743</v>
      </c>
      <c r="C158" t="s">
        <v>744</v>
      </c>
      <c r="D158" t="s">
        <v>745</v>
      </c>
      <c r="E158" s="9">
        <v>45108</v>
      </c>
      <c r="F158" s="9">
        <v>45138</v>
      </c>
      <c r="G158">
        <v>212787220.01999998</v>
      </c>
      <c r="H158">
        <v>0</v>
      </c>
      <c r="I158">
        <v>80811048</v>
      </c>
      <c r="J158">
        <v>31881261.84</v>
      </c>
      <c r="K158">
        <v>61911.69</v>
      </c>
      <c r="L158">
        <v>159666.99</v>
      </c>
      <c r="M158">
        <v>0</v>
      </c>
      <c r="N158">
        <v>0</v>
      </c>
      <c r="O158">
        <v>0</v>
      </c>
      <c r="P158">
        <v>0</v>
      </c>
      <c r="Q158">
        <v>0</v>
      </c>
      <c r="R158">
        <v>0</v>
      </c>
      <c r="S158">
        <v>71719805.099999994</v>
      </c>
      <c r="T158" s="9">
        <v>45108</v>
      </c>
      <c r="U158" s="9">
        <v>45473</v>
      </c>
      <c r="V158">
        <f>SUM(POTABLE_NONPOTABLE_API[[#This Row],[RESIDENTIAL_SINGLEFAMILY_GAL]:[OTHER_GAL]])</f>
        <v>325701108.53999996</v>
      </c>
      <c r="W158">
        <f>SUM(POTABLE_NONPOTABLE_API[[#This Row],[NONPOTABLE_DEMAND_RESIDENTIAL_RECYCLED_WATER_GAL]:[NONPOTABLE_DEMAND_NONRESIDENTIAL_METERED_IRRIGATION_GAL]])</f>
        <v>71719805.099999994</v>
      </c>
      <c r="X158" t="str">
        <f>IFERROR(INDEX(Crosswalk_API!$H$2:$H$527, MATCH(POTABLE_NONPOTABLE_API[[#This Row],[PWSID]], CW_PWSID_LIST, 0)), "")</f>
        <v>No</v>
      </c>
    </row>
    <row r="159" spans="1:24" x14ac:dyDescent="0.25">
      <c r="A159" t="s">
        <v>742</v>
      </c>
      <c r="B159" t="s">
        <v>743</v>
      </c>
      <c r="C159" t="s">
        <v>744</v>
      </c>
      <c r="D159" t="s">
        <v>745</v>
      </c>
      <c r="E159" s="9">
        <v>45139</v>
      </c>
      <c r="F159" s="9">
        <v>45169</v>
      </c>
      <c r="G159">
        <v>205458831.03</v>
      </c>
      <c r="H159">
        <v>0</v>
      </c>
      <c r="I159">
        <v>77425456.109999999</v>
      </c>
      <c r="J159">
        <v>26674162.859999999</v>
      </c>
      <c r="K159">
        <v>71687.22</v>
      </c>
      <c r="L159">
        <v>586531.80000000005</v>
      </c>
      <c r="M159">
        <v>0</v>
      </c>
      <c r="N159">
        <v>0</v>
      </c>
      <c r="O159">
        <v>0</v>
      </c>
      <c r="P159">
        <v>0</v>
      </c>
      <c r="Q159">
        <v>0</v>
      </c>
      <c r="R159">
        <v>0</v>
      </c>
      <c r="S159">
        <v>54055422.389999993</v>
      </c>
      <c r="T159" s="9">
        <v>45108</v>
      </c>
      <c r="U159" s="9">
        <v>45473</v>
      </c>
      <c r="V159">
        <f>SUM(POTABLE_NONPOTABLE_API[[#This Row],[RESIDENTIAL_SINGLEFAMILY_GAL]:[OTHER_GAL]])</f>
        <v>310216669.02000004</v>
      </c>
      <c r="W159">
        <f>SUM(POTABLE_NONPOTABLE_API[[#This Row],[NONPOTABLE_DEMAND_RESIDENTIAL_RECYCLED_WATER_GAL]:[NONPOTABLE_DEMAND_NONRESIDENTIAL_METERED_IRRIGATION_GAL]])</f>
        <v>54055422.389999993</v>
      </c>
      <c r="X159" t="str">
        <f>IFERROR(INDEX(Crosswalk_API!$H$2:$H$527, MATCH(POTABLE_NONPOTABLE_API[[#This Row],[PWSID]], CW_PWSID_LIST, 0)), "")</f>
        <v>No</v>
      </c>
    </row>
    <row r="160" spans="1:24" x14ac:dyDescent="0.25">
      <c r="A160" t="s">
        <v>742</v>
      </c>
      <c r="B160" t="s">
        <v>743</v>
      </c>
      <c r="C160" t="s">
        <v>744</v>
      </c>
      <c r="D160" t="s">
        <v>745</v>
      </c>
      <c r="E160" s="9">
        <v>45170</v>
      </c>
      <c r="F160" s="9">
        <v>45199</v>
      </c>
      <c r="G160">
        <v>181925871.80999997</v>
      </c>
      <c r="H160">
        <v>0</v>
      </c>
      <c r="I160">
        <v>68327696.189999998</v>
      </c>
      <c r="J160">
        <v>17217966.84</v>
      </c>
      <c r="K160">
        <v>71687.22</v>
      </c>
      <c r="L160">
        <v>3832007.76</v>
      </c>
      <c r="M160">
        <v>0</v>
      </c>
      <c r="N160">
        <v>0</v>
      </c>
      <c r="O160">
        <v>0</v>
      </c>
      <c r="P160">
        <v>0</v>
      </c>
      <c r="Q160">
        <v>0</v>
      </c>
      <c r="R160">
        <v>0</v>
      </c>
      <c r="S160">
        <v>49141589.310000002</v>
      </c>
      <c r="T160" s="9">
        <v>45108</v>
      </c>
      <c r="U160" s="9">
        <v>45473</v>
      </c>
      <c r="V160">
        <f>SUM(POTABLE_NONPOTABLE_API[[#This Row],[RESIDENTIAL_SINGLEFAMILY_GAL]:[OTHER_GAL]])</f>
        <v>271375229.81999999</v>
      </c>
      <c r="W160">
        <f>SUM(POTABLE_NONPOTABLE_API[[#This Row],[NONPOTABLE_DEMAND_RESIDENTIAL_RECYCLED_WATER_GAL]:[NONPOTABLE_DEMAND_NONRESIDENTIAL_METERED_IRRIGATION_GAL]])</f>
        <v>49141589.310000002</v>
      </c>
      <c r="X160" t="str">
        <f>IFERROR(INDEX(Crosswalk_API!$H$2:$H$527, MATCH(POTABLE_NONPOTABLE_API[[#This Row],[PWSID]], CW_PWSID_LIST, 0)), "")</f>
        <v>No</v>
      </c>
    </row>
    <row r="161" spans="1:24" x14ac:dyDescent="0.25">
      <c r="A161" t="s">
        <v>742</v>
      </c>
      <c r="B161" t="s">
        <v>743</v>
      </c>
      <c r="C161" t="s">
        <v>744</v>
      </c>
      <c r="D161" t="s">
        <v>745</v>
      </c>
      <c r="E161" s="9">
        <v>45200</v>
      </c>
      <c r="F161" s="9">
        <v>45230</v>
      </c>
      <c r="G161">
        <v>171231441.99000001</v>
      </c>
      <c r="H161">
        <v>0</v>
      </c>
      <c r="I161">
        <v>65137614.899999999</v>
      </c>
      <c r="J161">
        <v>15425786.340000002</v>
      </c>
      <c r="K161">
        <v>45619.140000000007</v>
      </c>
      <c r="L161">
        <v>3379074.8699999996</v>
      </c>
      <c r="M161">
        <v>0</v>
      </c>
      <c r="N161">
        <v>0</v>
      </c>
      <c r="O161">
        <v>0</v>
      </c>
      <c r="P161">
        <v>0</v>
      </c>
      <c r="Q161">
        <v>0</v>
      </c>
      <c r="R161">
        <v>0</v>
      </c>
      <c r="S161">
        <v>47046367.379999995</v>
      </c>
      <c r="T161" s="9">
        <v>45108</v>
      </c>
      <c r="U161" s="9">
        <v>45473</v>
      </c>
      <c r="V161">
        <f>SUM(POTABLE_NONPOTABLE_API[[#This Row],[RESIDENTIAL_SINGLEFAMILY_GAL]:[OTHER_GAL]])</f>
        <v>255219537.24000001</v>
      </c>
      <c r="W161">
        <f>SUM(POTABLE_NONPOTABLE_API[[#This Row],[NONPOTABLE_DEMAND_RESIDENTIAL_RECYCLED_WATER_GAL]:[NONPOTABLE_DEMAND_NONRESIDENTIAL_METERED_IRRIGATION_GAL]])</f>
        <v>47046367.379999995</v>
      </c>
      <c r="X161" t="str">
        <f>IFERROR(INDEX(Crosswalk_API!$H$2:$H$527, MATCH(POTABLE_NONPOTABLE_API[[#This Row],[PWSID]], CW_PWSID_LIST, 0)), "")</f>
        <v>No</v>
      </c>
    </row>
    <row r="162" spans="1:24" x14ac:dyDescent="0.25">
      <c r="A162" t="s">
        <v>742</v>
      </c>
      <c r="B162" t="s">
        <v>743</v>
      </c>
      <c r="C162" t="s">
        <v>744</v>
      </c>
      <c r="D162" t="s">
        <v>745</v>
      </c>
      <c r="E162" s="9">
        <v>45231</v>
      </c>
      <c r="F162" s="9">
        <v>45260</v>
      </c>
      <c r="G162">
        <v>142986677.31</v>
      </c>
      <c r="H162">
        <v>0</v>
      </c>
      <c r="I162">
        <v>53110454.490000002</v>
      </c>
      <c r="J162">
        <v>7647722.9699999997</v>
      </c>
      <c r="K162">
        <v>42360.630000000005</v>
      </c>
      <c r="L162">
        <v>407313.75</v>
      </c>
      <c r="M162">
        <v>0</v>
      </c>
      <c r="N162">
        <v>0</v>
      </c>
      <c r="O162">
        <v>0</v>
      </c>
      <c r="P162">
        <v>0</v>
      </c>
      <c r="Q162">
        <v>0</v>
      </c>
      <c r="R162">
        <v>0</v>
      </c>
      <c r="S162">
        <v>18182485.800000001</v>
      </c>
      <c r="T162" s="9">
        <v>45108</v>
      </c>
      <c r="U162" s="9">
        <v>45473</v>
      </c>
      <c r="V162">
        <f>SUM(POTABLE_NONPOTABLE_API[[#This Row],[RESIDENTIAL_SINGLEFAMILY_GAL]:[OTHER_GAL]])</f>
        <v>204194529.15000001</v>
      </c>
      <c r="W162">
        <f>SUM(POTABLE_NONPOTABLE_API[[#This Row],[NONPOTABLE_DEMAND_RESIDENTIAL_RECYCLED_WATER_GAL]:[NONPOTABLE_DEMAND_NONRESIDENTIAL_METERED_IRRIGATION_GAL]])</f>
        <v>18182485.800000001</v>
      </c>
      <c r="X162" t="str">
        <f>IFERROR(INDEX(Crosswalk_API!$H$2:$H$527, MATCH(POTABLE_NONPOTABLE_API[[#This Row],[PWSID]], CW_PWSID_LIST, 0)), "")</f>
        <v>No</v>
      </c>
    </row>
    <row r="163" spans="1:24" x14ac:dyDescent="0.25">
      <c r="A163" t="s">
        <v>742</v>
      </c>
      <c r="B163" t="s">
        <v>743</v>
      </c>
      <c r="C163" t="s">
        <v>744</v>
      </c>
      <c r="D163" t="s">
        <v>745</v>
      </c>
      <c r="E163" s="9">
        <v>45261</v>
      </c>
      <c r="F163" s="9">
        <v>45291</v>
      </c>
      <c r="G163">
        <v>131839314.60000001</v>
      </c>
      <c r="H163">
        <v>0</v>
      </c>
      <c r="I163">
        <v>47105020.560000002</v>
      </c>
      <c r="J163">
        <v>5673065.9100000001</v>
      </c>
      <c r="K163">
        <v>32585.100000000002</v>
      </c>
      <c r="L163">
        <v>397538.22</v>
      </c>
      <c r="M163">
        <v>0</v>
      </c>
      <c r="N163">
        <v>0</v>
      </c>
      <c r="O163">
        <v>0</v>
      </c>
      <c r="P163">
        <v>0</v>
      </c>
      <c r="Q163">
        <v>0</v>
      </c>
      <c r="R163">
        <v>0</v>
      </c>
      <c r="S163">
        <v>10762858.530000001</v>
      </c>
      <c r="T163" s="9">
        <v>45108</v>
      </c>
      <c r="U163" s="9">
        <v>45473</v>
      </c>
      <c r="V163">
        <f>SUM(POTABLE_NONPOTABLE_API[[#This Row],[RESIDENTIAL_SINGLEFAMILY_GAL]:[OTHER_GAL]])</f>
        <v>185047524.39000002</v>
      </c>
      <c r="W163">
        <f>SUM(POTABLE_NONPOTABLE_API[[#This Row],[NONPOTABLE_DEMAND_RESIDENTIAL_RECYCLED_WATER_GAL]:[NONPOTABLE_DEMAND_NONRESIDENTIAL_METERED_IRRIGATION_GAL]])</f>
        <v>10762858.530000001</v>
      </c>
      <c r="X163" t="str">
        <f>IFERROR(INDEX(Crosswalk_API!$H$2:$H$527, MATCH(POTABLE_NONPOTABLE_API[[#This Row],[PWSID]], CW_PWSID_LIST, 0)), "")</f>
        <v>No</v>
      </c>
    </row>
    <row r="164" spans="1:24" x14ac:dyDescent="0.25">
      <c r="A164" t="s">
        <v>742</v>
      </c>
      <c r="B164" t="s">
        <v>743</v>
      </c>
      <c r="C164" t="s">
        <v>744</v>
      </c>
      <c r="D164" t="s">
        <v>745</v>
      </c>
      <c r="E164" s="9">
        <v>45292</v>
      </c>
      <c r="F164" s="9">
        <v>45322</v>
      </c>
      <c r="G164">
        <v>141390007.41</v>
      </c>
      <c r="H164">
        <v>14278790.82</v>
      </c>
      <c r="I164">
        <v>29368950.629999999</v>
      </c>
      <c r="J164">
        <v>9296529.0300000012</v>
      </c>
      <c r="K164">
        <v>84721.260000000009</v>
      </c>
      <c r="L164">
        <v>733164.75</v>
      </c>
      <c r="M164">
        <v>0</v>
      </c>
      <c r="N164">
        <v>0</v>
      </c>
      <c r="O164">
        <v>0</v>
      </c>
      <c r="P164">
        <v>0</v>
      </c>
      <c r="Q164">
        <v>0</v>
      </c>
      <c r="R164">
        <v>0</v>
      </c>
      <c r="S164">
        <v>7744044</v>
      </c>
      <c r="T164" s="9">
        <v>45108</v>
      </c>
      <c r="U164" s="9">
        <v>45473</v>
      </c>
      <c r="V164">
        <f>SUM(POTABLE_NONPOTABLE_API[[#This Row],[RESIDENTIAL_SINGLEFAMILY_GAL]:[OTHER_GAL]])</f>
        <v>195152163.89999998</v>
      </c>
      <c r="W164">
        <f>SUM(POTABLE_NONPOTABLE_API[[#This Row],[NONPOTABLE_DEMAND_RESIDENTIAL_RECYCLED_WATER_GAL]:[NONPOTABLE_DEMAND_NONRESIDENTIAL_METERED_IRRIGATION_GAL]])</f>
        <v>7744044</v>
      </c>
      <c r="X164" t="str">
        <f>IFERROR(INDEX(Crosswalk_API!$H$2:$H$527, MATCH(POTABLE_NONPOTABLE_API[[#This Row],[PWSID]], CW_PWSID_LIST, 0)), "")</f>
        <v>No</v>
      </c>
    </row>
    <row r="165" spans="1:24" x14ac:dyDescent="0.25">
      <c r="A165" t="s">
        <v>742</v>
      </c>
      <c r="B165" t="s">
        <v>743</v>
      </c>
      <c r="C165" t="s">
        <v>744</v>
      </c>
      <c r="D165" t="s">
        <v>745</v>
      </c>
      <c r="E165" s="9">
        <v>45323</v>
      </c>
      <c r="F165" s="9">
        <v>45351</v>
      </c>
      <c r="G165">
        <v>112992092.75999999</v>
      </c>
      <c r="H165">
        <v>23891395.319999997</v>
      </c>
      <c r="I165">
        <v>20561198.100000001</v>
      </c>
      <c r="J165">
        <v>1456553.97</v>
      </c>
      <c r="K165">
        <v>58653.18</v>
      </c>
      <c r="L165">
        <v>195510.6</v>
      </c>
      <c r="M165">
        <v>0</v>
      </c>
      <c r="N165">
        <v>0</v>
      </c>
      <c r="O165">
        <v>0</v>
      </c>
      <c r="P165">
        <v>0</v>
      </c>
      <c r="Q165">
        <v>0</v>
      </c>
      <c r="R165">
        <v>0</v>
      </c>
      <c r="S165">
        <v>6224108</v>
      </c>
      <c r="T165" s="9">
        <v>45108</v>
      </c>
      <c r="U165" s="9">
        <v>45473</v>
      </c>
      <c r="V165">
        <f>SUM(POTABLE_NONPOTABLE_API[[#This Row],[RESIDENTIAL_SINGLEFAMILY_GAL]:[OTHER_GAL]])</f>
        <v>159155403.92999998</v>
      </c>
      <c r="W165">
        <f>SUM(POTABLE_NONPOTABLE_API[[#This Row],[NONPOTABLE_DEMAND_RESIDENTIAL_RECYCLED_WATER_GAL]:[NONPOTABLE_DEMAND_NONRESIDENTIAL_METERED_IRRIGATION_GAL]])</f>
        <v>6224108</v>
      </c>
      <c r="X165" t="str">
        <f>IFERROR(INDEX(Crosswalk_API!$H$2:$H$527, MATCH(POTABLE_NONPOTABLE_API[[#This Row],[PWSID]], CW_PWSID_LIST, 0)), "")</f>
        <v>No</v>
      </c>
    </row>
    <row r="166" spans="1:24" x14ac:dyDescent="0.25">
      <c r="A166" t="s">
        <v>742</v>
      </c>
      <c r="B166" t="s">
        <v>743</v>
      </c>
      <c r="C166" t="s">
        <v>744</v>
      </c>
      <c r="D166" t="s">
        <v>745</v>
      </c>
      <c r="E166" s="9">
        <v>45352</v>
      </c>
      <c r="F166" s="9">
        <v>45382</v>
      </c>
      <c r="G166">
        <v>107175652.41000001</v>
      </c>
      <c r="H166">
        <v>10801960.65</v>
      </c>
      <c r="I166">
        <v>34351212.420000002</v>
      </c>
      <c r="J166">
        <v>2870747.31</v>
      </c>
      <c r="K166">
        <v>0</v>
      </c>
      <c r="L166">
        <v>2424331.44</v>
      </c>
      <c r="M166">
        <v>0</v>
      </c>
      <c r="N166">
        <v>0</v>
      </c>
      <c r="O166">
        <v>0</v>
      </c>
      <c r="P166">
        <v>0</v>
      </c>
      <c r="Q166">
        <v>0</v>
      </c>
      <c r="R166">
        <v>0</v>
      </c>
      <c r="S166">
        <v>25567388</v>
      </c>
      <c r="T166" s="9">
        <v>45108</v>
      </c>
      <c r="U166" s="9">
        <v>45473</v>
      </c>
      <c r="V166">
        <f>SUM(POTABLE_NONPOTABLE_API[[#This Row],[RESIDENTIAL_SINGLEFAMILY_GAL]:[OTHER_GAL]])</f>
        <v>157623904.23000002</v>
      </c>
      <c r="W166">
        <f>SUM(POTABLE_NONPOTABLE_API[[#This Row],[NONPOTABLE_DEMAND_RESIDENTIAL_RECYCLED_WATER_GAL]:[NONPOTABLE_DEMAND_NONRESIDENTIAL_METERED_IRRIGATION_GAL]])</f>
        <v>25567388</v>
      </c>
      <c r="X166" t="str">
        <f>IFERROR(INDEX(Crosswalk_API!$H$2:$H$527, MATCH(POTABLE_NONPOTABLE_API[[#This Row],[PWSID]], CW_PWSID_LIST, 0)), "")</f>
        <v>No</v>
      </c>
    </row>
    <row r="167" spans="1:24" x14ac:dyDescent="0.25">
      <c r="A167" t="s">
        <v>742</v>
      </c>
      <c r="B167" t="s">
        <v>743</v>
      </c>
      <c r="C167" t="s">
        <v>744</v>
      </c>
      <c r="D167" t="s">
        <v>745</v>
      </c>
      <c r="E167" s="9">
        <v>45383</v>
      </c>
      <c r="F167" s="9">
        <v>45412</v>
      </c>
      <c r="G167">
        <v>107139808.8</v>
      </c>
      <c r="H167">
        <v>23832742.140000001</v>
      </c>
      <c r="I167">
        <v>31796540.579999998</v>
      </c>
      <c r="J167">
        <v>1570601.82</v>
      </c>
      <c r="K167">
        <v>52136.160000000003</v>
      </c>
      <c r="L167">
        <v>609341.37</v>
      </c>
      <c r="M167">
        <v>0</v>
      </c>
      <c r="N167">
        <v>0</v>
      </c>
      <c r="O167">
        <v>0</v>
      </c>
      <c r="P167">
        <v>0</v>
      </c>
      <c r="Q167">
        <v>0</v>
      </c>
      <c r="R167">
        <v>0</v>
      </c>
      <c r="S167">
        <v>25548688</v>
      </c>
      <c r="T167" s="9">
        <v>45108</v>
      </c>
      <c r="U167" s="9">
        <v>45473</v>
      </c>
      <c r="V167">
        <f>SUM(POTABLE_NONPOTABLE_API[[#This Row],[RESIDENTIAL_SINGLEFAMILY_GAL]:[OTHER_GAL]])</f>
        <v>165001170.86999997</v>
      </c>
      <c r="W167">
        <f>SUM(POTABLE_NONPOTABLE_API[[#This Row],[NONPOTABLE_DEMAND_RESIDENTIAL_RECYCLED_WATER_GAL]:[NONPOTABLE_DEMAND_NONRESIDENTIAL_METERED_IRRIGATION_GAL]])</f>
        <v>25548688</v>
      </c>
      <c r="X167" t="str">
        <f>IFERROR(INDEX(Crosswalk_API!$H$2:$H$527, MATCH(POTABLE_NONPOTABLE_API[[#This Row],[PWSID]], CW_PWSID_LIST, 0)), "")</f>
        <v>No</v>
      </c>
    </row>
    <row r="168" spans="1:24" x14ac:dyDescent="0.25">
      <c r="A168" t="s">
        <v>742</v>
      </c>
      <c r="B168" t="s">
        <v>743</v>
      </c>
      <c r="C168" t="s">
        <v>744</v>
      </c>
      <c r="D168" t="s">
        <v>745</v>
      </c>
      <c r="E168" s="9">
        <v>45413</v>
      </c>
      <c r="F168" s="9">
        <v>45443</v>
      </c>
      <c r="G168">
        <v>133589134.47000001</v>
      </c>
      <c r="H168">
        <v>10541279.85</v>
      </c>
      <c r="I168">
        <v>25791106.650000002</v>
      </c>
      <c r="J168">
        <v>9889577.8499999996</v>
      </c>
      <c r="K168">
        <v>0</v>
      </c>
      <c r="L168">
        <v>195510.6</v>
      </c>
      <c r="M168">
        <v>0</v>
      </c>
      <c r="N168">
        <v>0</v>
      </c>
      <c r="O168">
        <v>0</v>
      </c>
      <c r="P168">
        <v>0</v>
      </c>
      <c r="Q168">
        <v>0</v>
      </c>
      <c r="R168">
        <v>0</v>
      </c>
      <c r="S168">
        <v>53350352</v>
      </c>
      <c r="T168" s="9">
        <v>45108</v>
      </c>
      <c r="U168" s="9">
        <v>45473</v>
      </c>
      <c r="V168">
        <f>SUM(POTABLE_NONPOTABLE_API[[#This Row],[RESIDENTIAL_SINGLEFAMILY_GAL]:[OTHER_GAL]])</f>
        <v>180006609.42000002</v>
      </c>
      <c r="W168">
        <f>SUM(POTABLE_NONPOTABLE_API[[#This Row],[NONPOTABLE_DEMAND_RESIDENTIAL_RECYCLED_WATER_GAL]:[NONPOTABLE_DEMAND_NONRESIDENTIAL_METERED_IRRIGATION_GAL]])</f>
        <v>53350352</v>
      </c>
      <c r="X168" t="str">
        <f>IFERROR(INDEX(Crosswalk_API!$H$2:$H$527, MATCH(POTABLE_NONPOTABLE_API[[#This Row],[PWSID]], CW_PWSID_LIST, 0)), "")</f>
        <v>No</v>
      </c>
    </row>
    <row r="169" spans="1:24" x14ac:dyDescent="0.25">
      <c r="A169" t="s">
        <v>742</v>
      </c>
      <c r="B169" t="s">
        <v>743</v>
      </c>
      <c r="C169" t="s">
        <v>744</v>
      </c>
      <c r="D169" t="s">
        <v>745</v>
      </c>
      <c r="E169" s="9">
        <v>45444</v>
      </c>
      <c r="F169" s="9">
        <v>45473</v>
      </c>
      <c r="G169">
        <v>169973657.13</v>
      </c>
      <c r="H169">
        <v>29600304.84</v>
      </c>
      <c r="I169">
        <v>56525372.969999999</v>
      </c>
      <c r="J169">
        <v>5532949.9800000004</v>
      </c>
      <c r="K169">
        <v>87979.77</v>
      </c>
      <c r="L169">
        <v>26068.080000000002</v>
      </c>
      <c r="M169">
        <v>0</v>
      </c>
      <c r="N169">
        <v>0</v>
      </c>
      <c r="O169">
        <v>0</v>
      </c>
      <c r="P169">
        <v>0</v>
      </c>
      <c r="Q169">
        <v>0</v>
      </c>
      <c r="R169">
        <v>0</v>
      </c>
      <c r="S169">
        <v>60558080</v>
      </c>
      <c r="T169" s="9">
        <v>45108</v>
      </c>
      <c r="U169" s="9">
        <v>45473</v>
      </c>
      <c r="V169">
        <f>SUM(POTABLE_NONPOTABLE_API[[#This Row],[RESIDENTIAL_SINGLEFAMILY_GAL]:[OTHER_GAL]])</f>
        <v>261746332.77000001</v>
      </c>
      <c r="W169">
        <f>SUM(POTABLE_NONPOTABLE_API[[#This Row],[NONPOTABLE_DEMAND_RESIDENTIAL_RECYCLED_WATER_GAL]:[NONPOTABLE_DEMAND_NONRESIDENTIAL_METERED_IRRIGATION_GAL]])</f>
        <v>60558080</v>
      </c>
      <c r="X169" t="str">
        <f>IFERROR(INDEX(Crosswalk_API!$H$2:$H$527, MATCH(POTABLE_NONPOTABLE_API[[#This Row],[PWSID]], CW_PWSID_LIST, 0)), "")</f>
        <v>No</v>
      </c>
    </row>
    <row r="170" spans="1:24" x14ac:dyDescent="0.25">
      <c r="A170" t="s">
        <v>746</v>
      </c>
      <c r="B170" t="s">
        <v>747</v>
      </c>
      <c r="C170" t="s">
        <v>748</v>
      </c>
      <c r="D170" t="s">
        <v>749</v>
      </c>
      <c r="E170" s="9">
        <v>45108</v>
      </c>
      <c r="F170" s="9">
        <v>45138</v>
      </c>
      <c r="G170">
        <v>179477872.204</v>
      </c>
      <c r="H170">
        <v>31804178.832000002</v>
      </c>
      <c r="I170">
        <v>100945877.14</v>
      </c>
      <c r="J170">
        <v>3473953.4879999999</v>
      </c>
      <c r="K170">
        <v>0</v>
      </c>
      <c r="L170">
        <v>30773363.175999999</v>
      </c>
      <c r="M170">
        <v>0</v>
      </c>
      <c r="T170" s="9">
        <v>45108</v>
      </c>
      <c r="U170" s="9">
        <v>45473</v>
      </c>
      <c r="V170">
        <f>SUM(POTABLE_NONPOTABLE_API[[#This Row],[RESIDENTIAL_SINGLEFAMILY_GAL]:[OTHER_GAL]])</f>
        <v>346475244.83999997</v>
      </c>
      <c r="W170">
        <f>SUM(POTABLE_NONPOTABLE_API[[#This Row],[NONPOTABLE_DEMAND_RESIDENTIAL_RECYCLED_WATER_GAL]:[NONPOTABLE_DEMAND_NONRESIDENTIAL_METERED_IRRIGATION_GAL]])</f>
        <v>0</v>
      </c>
      <c r="X170" t="str">
        <f>IFERROR(INDEX(Crosswalk_API!$H$2:$H$527, MATCH(POTABLE_NONPOTABLE_API[[#This Row],[PWSID]], CW_PWSID_LIST, 0)), "")</f>
        <v>No</v>
      </c>
    </row>
    <row r="171" spans="1:24" x14ac:dyDescent="0.25">
      <c r="A171" t="s">
        <v>746</v>
      </c>
      <c r="B171" t="s">
        <v>747</v>
      </c>
      <c r="C171" t="s">
        <v>748</v>
      </c>
      <c r="D171" t="s">
        <v>749</v>
      </c>
      <c r="E171" s="9">
        <v>45139</v>
      </c>
      <c r="F171" s="9">
        <v>45169</v>
      </c>
      <c r="G171">
        <v>191957623.72</v>
      </c>
      <c r="H171">
        <v>65998383.804000005</v>
      </c>
      <c r="I171">
        <v>24434370.528000001</v>
      </c>
      <c r="J171">
        <v>2255376.7800000003</v>
      </c>
      <c r="K171">
        <v>0</v>
      </c>
      <c r="L171">
        <v>16533445.304</v>
      </c>
      <c r="M171">
        <v>0</v>
      </c>
      <c r="T171" s="9">
        <v>45108</v>
      </c>
      <c r="U171" s="9">
        <v>45473</v>
      </c>
      <c r="V171">
        <f>SUM(POTABLE_NONPOTABLE_API[[#This Row],[RESIDENTIAL_SINGLEFAMILY_GAL]:[OTHER_GAL]])</f>
        <v>301179200.13599998</v>
      </c>
      <c r="W171">
        <f>SUM(POTABLE_NONPOTABLE_API[[#This Row],[NONPOTABLE_DEMAND_RESIDENTIAL_RECYCLED_WATER_GAL]:[NONPOTABLE_DEMAND_NONRESIDENTIAL_METERED_IRRIGATION_GAL]])</f>
        <v>0</v>
      </c>
      <c r="X171" t="str">
        <f>IFERROR(INDEX(Crosswalk_API!$H$2:$H$527, MATCH(POTABLE_NONPOTABLE_API[[#This Row],[PWSID]], CW_PWSID_LIST, 0)), "")</f>
        <v>No</v>
      </c>
    </row>
    <row r="172" spans="1:24" x14ac:dyDescent="0.25">
      <c r="A172" t="s">
        <v>746</v>
      </c>
      <c r="B172" t="s">
        <v>747</v>
      </c>
      <c r="C172" t="s">
        <v>748</v>
      </c>
      <c r="D172" t="s">
        <v>749</v>
      </c>
      <c r="E172" s="9">
        <v>45170</v>
      </c>
      <c r="F172" s="9">
        <v>45199</v>
      </c>
      <c r="G172">
        <v>264502958.62800002</v>
      </c>
      <c r="H172">
        <v>40873561.280000001</v>
      </c>
      <c r="I172">
        <v>114261950.79200001</v>
      </c>
      <c r="J172">
        <v>6767626.4440000001</v>
      </c>
      <c r="K172">
        <v>0</v>
      </c>
      <c r="L172">
        <v>39313872.859999999</v>
      </c>
      <c r="M172">
        <v>0</v>
      </c>
      <c r="T172" s="9">
        <v>45108</v>
      </c>
      <c r="U172" s="9">
        <v>45473</v>
      </c>
      <c r="V172">
        <f>SUM(POTABLE_NONPOTABLE_API[[#This Row],[RESIDENTIAL_SINGLEFAMILY_GAL]:[OTHER_GAL]])</f>
        <v>465719970.00400001</v>
      </c>
      <c r="W172">
        <f>SUM(POTABLE_NONPOTABLE_API[[#This Row],[NONPOTABLE_DEMAND_RESIDENTIAL_RECYCLED_WATER_GAL]:[NONPOTABLE_DEMAND_NONRESIDENTIAL_METERED_IRRIGATION_GAL]])</f>
        <v>0</v>
      </c>
      <c r="X172" t="str">
        <f>IFERROR(INDEX(Crosswalk_API!$H$2:$H$527, MATCH(POTABLE_NONPOTABLE_API[[#This Row],[PWSID]], CW_PWSID_LIST, 0)), "")</f>
        <v>No</v>
      </c>
    </row>
    <row r="173" spans="1:24" x14ac:dyDescent="0.25">
      <c r="A173" t="s">
        <v>746</v>
      </c>
      <c r="B173" t="s">
        <v>747</v>
      </c>
      <c r="C173" t="s">
        <v>748</v>
      </c>
      <c r="D173" t="s">
        <v>749</v>
      </c>
      <c r="E173" s="9">
        <v>45200</v>
      </c>
      <c r="F173" s="9">
        <v>45230</v>
      </c>
      <c r="G173">
        <v>194910184.96400002</v>
      </c>
      <c r="H173">
        <v>70815090.631999999</v>
      </c>
      <c r="I173">
        <v>27718318.808000002</v>
      </c>
      <c r="J173">
        <v>2185807.9440000001</v>
      </c>
      <c r="K173">
        <v>0</v>
      </c>
      <c r="L173">
        <v>18167190.872000001</v>
      </c>
      <c r="M173">
        <v>0</v>
      </c>
      <c r="T173" s="9">
        <v>45108</v>
      </c>
      <c r="U173" s="9">
        <v>45473</v>
      </c>
      <c r="V173">
        <f>SUM(POTABLE_NONPOTABLE_API[[#This Row],[RESIDENTIAL_SINGLEFAMILY_GAL]:[OTHER_GAL]])</f>
        <v>313796593.22000003</v>
      </c>
      <c r="W173">
        <f>SUM(POTABLE_NONPOTABLE_API[[#This Row],[NONPOTABLE_DEMAND_RESIDENTIAL_RECYCLED_WATER_GAL]:[NONPOTABLE_DEMAND_NONRESIDENTIAL_METERED_IRRIGATION_GAL]])</f>
        <v>0</v>
      </c>
      <c r="X173" t="str">
        <f>IFERROR(INDEX(Crosswalk_API!$H$2:$H$527, MATCH(POTABLE_NONPOTABLE_API[[#This Row],[PWSID]], CW_PWSID_LIST, 0)), "")</f>
        <v>No</v>
      </c>
    </row>
    <row r="174" spans="1:24" x14ac:dyDescent="0.25">
      <c r="A174" t="s">
        <v>746</v>
      </c>
      <c r="B174" t="s">
        <v>747</v>
      </c>
      <c r="C174" t="s">
        <v>748</v>
      </c>
      <c r="D174" t="s">
        <v>749</v>
      </c>
      <c r="E174" s="9">
        <v>45231</v>
      </c>
      <c r="F174" s="9">
        <v>45260</v>
      </c>
      <c r="G174">
        <v>201333707.48800001</v>
      </c>
      <c r="H174">
        <v>31528147.644000001</v>
      </c>
      <c r="I174">
        <v>95523248.192000002</v>
      </c>
      <c r="J174">
        <v>4231730.1639999999</v>
      </c>
      <c r="K174">
        <v>0</v>
      </c>
      <c r="L174">
        <v>31346371.008000001</v>
      </c>
      <c r="M174">
        <v>0</v>
      </c>
      <c r="T174" s="9">
        <v>45108</v>
      </c>
      <c r="U174" s="9">
        <v>45473</v>
      </c>
      <c r="V174">
        <f>SUM(POTABLE_NONPOTABLE_API[[#This Row],[RESIDENTIAL_SINGLEFAMILY_GAL]:[OTHER_GAL]])</f>
        <v>363963204.49599999</v>
      </c>
      <c r="W174">
        <f>SUM(POTABLE_NONPOTABLE_API[[#This Row],[NONPOTABLE_DEMAND_RESIDENTIAL_RECYCLED_WATER_GAL]:[NONPOTABLE_DEMAND_NONRESIDENTIAL_METERED_IRRIGATION_GAL]])</f>
        <v>0</v>
      </c>
      <c r="X174" t="str">
        <f>IFERROR(INDEX(Crosswalk_API!$H$2:$H$527, MATCH(POTABLE_NONPOTABLE_API[[#This Row],[PWSID]], CW_PWSID_LIST, 0)), "")</f>
        <v>No</v>
      </c>
    </row>
    <row r="175" spans="1:24" x14ac:dyDescent="0.25">
      <c r="A175" t="s">
        <v>746</v>
      </c>
      <c r="B175" t="s">
        <v>747</v>
      </c>
      <c r="C175" t="s">
        <v>748</v>
      </c>
      <c r="D175" t="s">
        <v>749</v>
      </c>
      <c r="E175" s="9">
        <v>45261</v>
      </c>
      <c r="F175" s="9">
        <v>45291</v>
      </c>
      <c r="G175">
        <v>165118266.01199999</v>
      </c>
      <c r="H175">
        <v>67462321.568000004</v>
      </c>
      <c r="I175">
        <v>26427929.107999999</v>
      </c>
      <c r="J175">
        <v>1929226.108</v>
      </c>
      <c r="K175">
        <v>0</v>
      </c>
      <c r="L175">
        <v>12244863.188000001</v>
      </c>
      <c r="M175">
        <v>0</v>
      </c>
      <c r="T175" s="9">
        <v>45108</v>
      </c>
      <c r="U175" s="9">
        <v>45473</v>
      </c>
      <c r="V175">
        <f>SUM(POTABLE_NONPOTABLE_API[[#This Row],[RESIDENTIAL_SINGLEFAMILY_GAL]:[OTHER_GAL]])</f>
        <v>273182605.98400003</v>
      </c>
      <c r="W175">
        <f>SUM(POTABLE_NONPOTABLE_API[[#This Row],[NONPOTABLE_DEMAND_RESIDENTIAL_RECYCLED_WATER_GAL]:[NONPOTABLE_DEMAND_NONRESIDENTIAL_METERED_IRRIGATION_GAL]])</f>
        <v>0</v>
      </c>
      <c r="X175" t="str">
        <f>IFERROR(INDEX(Crosswalk_API!$H$2:$H$527, MATCH(POTABLE_NONPOTABLE_API[[#This Row],[PWSID]], CW_PWSID_LIST, 0)), "")</f>
        <v>No</v>
      </c>
    </row>
    <row r="176" spans="1:24" x14ac:dyDescent="0.25">
      <c r="A176" t="s">
        <v>746</v>
      </c>
      <c r="B176" t="s">
        <v>747</v>
      </c>
      <c r="C176" t="s">
        <v>748</v>
      </c>
      <c r="D176" t="s">
        <v>749</v>
      </c>
      <c r="E176" s="9">
        <v>45292</v>
      </c>
      <c r="F176" s="9">
        <v>45322</v>
      </c>
      <c r="G176">
        <v>164561715.324</v>
      </c>
      <c r="H176">
        <v>30722495.640000001</v>
      </c>
      <c r="I176">
        <v>73920254.483999997</v>
      </c>
      <c r="J176">
        <v>3001932.676</v>
      </c>
      <c r="K176">
        <v>0</v>
      </c>
      <c r="L176">
        <v>22064541.791999999</v>
      </c>
      <c r="M176">
        <v>0</v>
      </c>
      <c r="T176" s="9">
        <v>45108</v>
      </c>
      <c r="U176" s="9">
        <v>45473</v>
      </c>
      <c r="V176">
        <f>SUM(POTABLE_NONPOTABLE_API[[#This Row],[RESIDENTIAL_SINGLEFAMILY_GAL]:[OTHER_GAL]])</f>
        <v>294270939.91599995</v>
      </c>
      <c r="W176">
        <f>SUM(POTABLE_NONPOTABLE_API[[#This Row],[NONPOTABLE_DEMAND_RESIDENTIAL_RECYCLED_WATER_GAL]:[NONPOTABLE_DEMAND_NONRESIDENTIAL_METERED_IRRIGATION_GAL]])</f>
        <v>0</v>
      </c>
      <c r="X176" t="str">
        <f>IFERROR(INDEX(Crosswalk_API!$H$2:$H$527, MATCH(POTABLE_NONPOTABLE_API[[#This Row],[PWSID]], CW_PWSID_LIST, 0)), "")</f>
        <v>No</v>
      </c>
    </row>
    <row r="177" spans="1:24" x14ac:dyDescent="0.25">
      <c r="A177" t="s">
        <v>746</v>
      </c>
      <c r="B177" t="s">
        <v>747</v>
      </c>
      <c r="C177" t="s">
        <v>748</v>
      </c>
      <c r="D177" t="s">
        <v>749</v>
      </c>
      <c r="E177" s="9">
        <v>45323</v>
      </c>
      <c r="F177" s="9">
        <v>45351</v>
      </c>
      <c r="G177">
        <v>118002210.79200001</v>
      </c>
      <c r="H177">
        <v>59354933.991999999</v>
      </c>
      <c r="I177">
        <v>26314973.256000001</v>
      </c>
      <c r="J177">
        <v>1170701.3800000001</v>
      </c>
      <c r="K177">
        <v>0</v>
      </c>
      <c r="L177">
        <v>6718255.0120000001</v>
      </c>
      <c r="M177">
        <v>0</v>
      </c>
      <c r="T177" s="9">
        <v>45108</v>
      </c>
      <c r="U177" s="9">
        <v>45473</v>
      </c>
      <c r="V177">
        <f>SUM(POTABLE_NONPOTABLE_API[[#This Row],[RESIDENTIAL_SINGLEFAMILY_GAL]:[OTHER_GAL]])</f>
        <v>211561074.43200001</v>
      </c>
      <c r="W177">
        <f>SUM(POTABLE_NONPOTABLE_API[[#This Row],[NONPOTABLE_DEMAND_RESIDENTIAL_RECYCLED_WATER_GAL]:[NONPOTABLE_DEMAND_NONRESIDENTIAL_METERED_IRRIGATION_GAL]])</f>
        <v>0</v>
      </c>
      <c r="X177" t="str">
        <f>IFERROR(INDEX(Crosswalk_API!$H$2:$H$527, MATCH(POTABLE_NONPOTABLE_API[[#This Row],[PWSID]], CW_PWSID_LIST, 0)), "")</f>
        <v>No</v>
      </c>
    </row>
    <row r="178" spans="1:24" x14ac:dyDescent="0.25">
      <c r="A178" t="s">
        <v>746</v>
      </c>
      <c r="B178" t="s">
        <v>747</v>
      </c>
      <c r="C178" t="s">
        <v>748</v>
      </c>
      <c r="D178" t="s">
        <v>749</v>
      </c>
      <c r="E178" s="9">
        <v>45352</v>
      </c>
      <c r="F178" s="9">
        <v>45382</v>
      </c>
      <c r="G178">
        <v>103122708.46000001</v>
      </c>
      <c r="H178">
        <v>27180469.420000002</v>
      </c>
      <c r="I178">
        <v>56811557.192000002</v>
      </c>
      <c r="J178">
        <v>3262254.7719999999</v>
      </c>
      <c r="K178">
        <v>0</v>
      </c>
      <c r="L178">
        <v>11840915.108000001</v>
      </c>
      <c r="M178">
        <v>0</v>
      </c>
      <c r="T178" s="9">
        <v>45108</v>
      </c>
      <c r="U178" s="9">
        <v>45473</v>
      </c>
      <c r="V178">
        <f>SUM(POTABLE_NONPOTABLE_API[[#This Row],[RESIDENTIAL_SINGLEFAMILY_GAL]:[OTHER_GAL]])</f>
        <v>202217904.95200005</v>
      </c>
      <c r="W178">
        <f>SUM(POTABLE_NONPOTABLE_API[[#This Row],[NONPOTABLE_DEMAND_RESIDENTIAL_RECYCLED_WATER_GAL]:[NONPOTABLE_DEMAND_NONRESIDENTIAL_METERED_IRRIGATION_GAL]])</f>
        <v>0</v>
      </c>
      <c r="X178" t="str">
        <f>IFERROR(INDEX(Crosswalk_API!$H$2:$H$527, MATCH(POTABLE_NONPOTABLE_API[[#This Row],[PWSID]], CW_PWSID_LIST, 0)), "")</f>
        <v>No</v>
      </c>
    </row>
    <row r="179" spans="1:24" x14ac:dyDescent="0.25">
      <c r="A179" t="s">
        <v>746</v>
      </c>
      <c r="B179" t="s">
        <v>747</v>
      </c>
      <c r="C179" t="s">
        <v>748</v>
      </c>
      <c r="D179" t="s">
        <v>749</v>
      </c>
      <c r="E179" s="9">
        <v>45383</v>
      </c>
      <c r="F179" s="9">
        <v>45412</v>
      </c>
      <c r="G179">
        <v>97038053.491999999</v>
      </c>
      <c r="H179">
        <v>55357344.104000002</v>
      </c>
      <c r="I179">
        <v>24322910.780000001</v>
      </c>
      <c r="J179">
        <v>843054.60400000005</v>
      </c>
      <c r="K179">
        <v>0</v>
      </c>
      <c r="L179">
        <v>2885236.5640000002</v>
      </c>
      <c r="M179">
        <v>0</v>
      </c>
      <c r="T179" s="9">
        <v>45108</v>
      </c>
      <c r="U179" s="9">
        <v>45473</v>
      </c>
      <c r="V179">
        <f>SUM(POTABLE_NONPOTABLE_API[[#This Row],[RESIDENTIAL_SINGLEFAMILY_GAL]:[OTHER_GAL]])</f>
        <v>180446599.54400003</v>
      </c>
      <c r="W179">
        <f>SUM(POTABLE_NONPOTABLE_API[[#This Row],[NONPOTABLE_DEMAND_RESIDENTIAL_RECYCLED_WATER_GAL]:[NONPOTABLE_DEMAND_NONRESIDENTIAL_METERED_IRRIGATION_GAL]])</f>
        <v>0</v>
      </c>
      <c r="X179" t="str">
        <f>IFERROR(INDEX(Crosswalk_API!$H$2:$H$527, MATCH(POTABLE_NONPOTABLE_API[[#This Row],[PWSID]], CW_PWSID_LIST, 0)), "")</f>
        <v>No</v>
      </c>
    </row>
    <row r="180" spans="1:24" x14ac:dyDescent="0.25">
      <c r="A180" t="s">
        <v>746</v>
      </c>
      <c r="B180" t="s">
        <v>747</v>
      </c>
      <c r="C180" t="s">
        <v>748</v>
      </c>
      <c r="D180" t="s">
        <v>749</v>
      </c>
      <c r="E180" s="9">
        <v>45413</v>
      </c>
      <c r="F180" s="9">
        <v>45443</v>
      </c>
      <c r="G180">
        <v>129932144.088</v>
      </c>
      <c r="H180">
        <v>30518277.444000002</v>
      </c>
      <c r="I180">
        <v>99220121.175999999</v>
      </c>
      <c r="J180">
        <v>2871023.5759999999</v>
      </c>
      <c r="K180">
        <v>0</v>
      </c>
      <c r="L180">
        <v>15694130.960000001</v>
      </c>
      <c r="M180">
        <v>0</v>
      </c>
      <c r="T180" s="9">
        <v>45108</v>
      </c>
      <c r="U180" s="9">
        <v>45473</v>
      </c>
      <c r="V180">
        <f>SUM(POTABLE_NONPOTABLE_API[[#This Row],[RESIDENTIAL_SINGLEFAMILY_GAL]:[OTHER_GAL]])</f>
        <v>278235697.24400002</v>
      </c>
      <c r="W180">
        <f>SUM(POTABLE_NONPOTABLE_API[[#This Row],[NONPOTABLE_DEMAND_RESIDENTIAL_RECYCLED_WATER_GAL]:[NONPOTABLE_DEMAND_NONRESIDENTIAL_METERED_IRRIGATION_GAL]])</f>
        <v>0</v>
      </c>
      <c r="X180" t="str">
        <f>IFERROR(INDEX(Crosswalk_API!$H$2:$H$527, MATCH(POTABLE_NONPOTABLE_API[[#This Row],[PWSID]], CW_PWSID_LIST, 0)), "")</f>
        <v>No</v>
      </c>
    </row>
    <row r="181" spans="1:24" x14ac:dyDescent="0.25">
      <c r="A181" t="s">
        <v>746</v>
      </c>
      <c r="B181" t="s">
        <v>747</v>
      </c>
      <c r="C181" t="s">
        <v>748</v>
      </c>
      <c r="D181" t="s">
        <v>749</v>
      </c>
      <c r="E181" s="9">
        <v>45444</v>
      </c>
      <c r="F181" s="9">
        <v>45473</v>
      </c>
      <c r="G181">
        <v>151812665.088</v>
      </c>
      <c r="H181">
        <v>64206051.212000005</v>
      </c>
      <c r="I181">
        <v>24384999.096000001</v>
      </c>
      <c r="J181">
        <v>1544727.3800000001</v>
      </c>
      <c r="K181">
        <v>0</v>
      </c>
      <c r="L181">
        <v>11499055.344000001</v>
      </c>
      <c r="M181">
        <v>0</v>
      </c>
      <c r="T181" s="9">
        <v>45108</v>
      </c>
      <c r="U181" s="9">
        <v>45473</v>
      </c>
      <c r="V181">
        <f>SUM(POTABLE_NONPOTABLE_API[[#This Row],[RESIDENTIAL_SINGLEFAMILY_GAL]:[OTHER_GAL]])</f>
        <v>253447498.12000003</v>
      </c>
      <c r="W181">
        <f>SUM(POTABLE_NONPOTABLE_API[[#This Row],[NONPOTABLE_DEMAND_RESIDENTIAL_RECYCLED_WATER_GAL]:[NONPOTABLE_DEMAND_NONRESIDENTIAL_METERED_IRRIGATION_GAL]])</f>
        <v>0</v>
      </c>
      <c r="X181" t="str">
        <f>IFERROR(INDEX(Crosswalk_API!$H$2:$H$527, MATCH(POTABLE_NONPOTABLE_API[[#This Row],[PWSID]], CW_PWSID_LIST, 0)), "")</f>
        <v>No</v>
      </c>
    </row>
    <row r="182" spans="1:24" x14ac:dyDescent="0.25">
      <c r="A182" t="s">
        <v>750</v>
      </c>
      <c r="B182" t="s">
        <v>751</v>
      </c>
      <c r="C182" t="s">
        <v>752</v>
      </c>
      <c r="D182" t="s">
        <v>753</v>
      </c>
      <c r="E182" s="9">
        <v>45108</v>
      </c>
      <c r="F182" s="9">
        <v>45138</v>
      </c>
      <c r="G182">
        <v>17888000</v>
      </c>
      <c r="H182">
        <v>5636000</v>
      </c>
      <c r="I182">
        <v>9794000</v>
      </c>
      <c r="J182">
        <v>0</v>
      </c>
      <c r="K182">
        <v>1818000</v>
      </c>
      <c r="L182">
        <v>0</v>
      </c>
      <c r="M182">
        <v>0</v>
      </c>
      <c r="T182" s="9">
        <v>45108</v>
      </c>
      <c r="U182" s="9">
        <v>45473</v>
      </c>
      <c r="V182">
        <f>SUM(POTABLE_NONPOTABLE_API[[#This Row],[RESIDENTIAL_SINGLEFAMILY_GAL]:[OTHER_GAL]])</f>
        <v>35136000</v>
      </c>
      <c r="W182">
        <f>SUM(POTABLE_NONPOTABLE_API[[#This Row],[NONPOTABLE_DEMAND_RESIDENTIAL_RECYCLED_WATER_GAL]:[NONPOTABLE_DEMAND_NONRESIDENTIAL_METERED_IRRIGATION_GAL]])</f>
        <v>0</v>
      </c>
      <c r="X182" t="str">
        <f>IFERROR(INDEX(Crosswalk_API!$H$2:$H$527, MATCH(POTABLE_NONPOTABLE_API[[#This Row],[PWSID]], CW_PWSID_LIST, 0)), "")</f>
        <v>No</v>
      </c>
    </row>
    <row r="183" spans="1:24" x14ac:dyDescent="0.25">
      <c r="A183" t="s">
        <v>750</v>
      </c>
      <c r="B183" t="s">
        <v>751</v>
      </c>
      <c r="C183" t="s">
        <v>752</v>
      </c>
      <c r="D183" t="s">
        <v>753</v>
      </c>
      <c r="E183" s="9">
        <v>45139</v>
      </c>
      <c r="F183" s="9">
        <v>45169</v>
      </c>
      <c r="G183">
        <v>20806000</v>
      </c>
      <c r="H183">
        <v>7087000</v>
      </c>
      <c r="I183">
        <v>12180000</v>
      </c>
      <c r="J183">
        <v>0</v>
      </c>
      <c r="K183">
        <v>1891000</v>
      </c>
      <c r="L183">
        <v>0</v>
      </c>
      <c r="M183">
        <v>0</v>
      </c>
      <c r="T183" s="9">
        <v>45108</v>
      </c>
      <c r="U183" s="9">
        <v>45473</v>
      </c>
      <c r="V183">
        <f>SUM(POTABLE_NONPOTABLE_API[[#This Row],[RESIDENTIAL_SINGLEFAMILY_GAL]:[OTHER_GAL]])</f>
        <v>41964000</v>
      </c>
      <c r="W183">
        <f>SUM(POTABLE_NONPOTABLE_API[[#This Row],[NONPOTABLE_DEMAND_RESIDENTIAL_RECYCLED_WATER_GAL]:[NONPOTABLE_DEMAND_NONRESIDENTIAL_METERED_IRRIGATION_GAL]])</f>
        <v>0</v>
      </c>
      <c r="X183" t="str">
        <f>IFERROR(INDEX(Crosswalk_API!$H$2:$H$527, MATCH(POTABLE_NONPOTABLE_API[[#This Row],[PWSID]], CW_PWSID_LIST, 0)), "")</f>
        <v>No</v>
      </c>
    </row>
    <row r="184" spans="1:24" x14ac:dyDescent="0.25">
      <c r="A184" t="s">
        <v>750</v>
      </c>
      <c r="B184" t="s">
        <v>751</v>
      </c>
      <c r="C184" t="s">
        <v>752</v>
      </c>
      <c r="D184" t="s">
        <v>753</v>
      </c>
      <c r="E184" s="9">
        <v>45170</v>
      </c>
      <c r="F184" s="9">
        <v>45199</v>
      </c>
      <c r="G184">
        <v>18517000</v>
      </c>
      <c r="H184">
        <v>7719000</v>
      </c>
      <c r="I184">
        <v>17452000</v>
      </c>
      <c r="J184">
        <v>0</v>
      </c>
      <c r="K184">
        <v>1765000</v>
      </c>
      <c r="L184">
        <v>0</v>
      </c>
      <c r="M184">
        <v>0</v>
      </c>
      <c r="T184" s="9">
        <v>45108</v>
      </c>
      <c r="U184" s="9">
        <v>45473</v>
      </c>
      <c r="V184">
        <f>SUM(POTABLE_NONPOTABLE_API[[#This Row],[RESIDENTIAL_SINGLEFAMILY_GAL]:[OTHER_GAL]])</f>
        <v>45453000</v>
      </c>
      <c r="W184">
        <f>SUM(POTABLE_NONPOTABLE_API[[#This Row],[NONPOTABLE_DEMAND_RESIDENTIAL_RECYCLED_WATER_GAL]:[NONPOTABLE_DEMAND_NONRESIDENTIAL_METERED_IRRIGATION_GAL]])</f>
        <v>0</v>
      </c>
      <c r="X184" t="str">
        <f>IFERROR(INDEX(Crosswalk_API!$H$2:$H$527, MATCH(POTABLE_NONPOTABLE_API[[#This Row],[PWSID]], CW_PWSID_LIST, 0)), "")</f>
        <v>No</v>
      </c>
    </row>
    <row r="185" spans="1:24" x14ac:dyDescent="0.25">
      <c r="A185" t="s">
        <v>750</v>
      </c>
      <c r="B185" t="s">
        <v>751</v>
      </c>
      <c r="C185" t="s">
        <v>752</v>
      </c>
      <c r="D185" t="s">
        <v>753</v>
      </c>
      <c r="E185" s="9">
        <v>45200</v>
      </c>
      <c r="F185" s="9">
        <v>45230</v>
      </c>
      <c r="G185">
        <v>18702000</v>
      </c>
      <c r="H185">
        <v>7223000</v>
      </c>
      <c r="I185">
        <v>12366000</v>
      </c>
      <c r="J185">
        <v>0</v>
      </c>
      <c r="K185">
        <v>1925000</v>
      </c>
      <c r="L185">
        <v>0</v>
      </c>
      <c r="M185">
        <v>0</v>
      </c>
      <c r="T185" s="9">
        <v>45108</v>
      </c>
      <c r="U185" s="9">
        <v>45473</v>
      </c>
      <c r="V185">
        <f>SUM(POTABLE_NONPOTABLE_API[[#This Row],[RESIDENTIAL_SINGLEFAMILY_GAL]:[OTHER_GAL]])</f>
        <v>40216000</v>
      </c>
      <c r="W185">
        <f>SUM(POTABLE_NONPOTABLE_API[[#This Row],[NONPOTABLE_DEMAND_RESIDENTIAL_RECYCLED_WATER_GAL]:[NONPOTABLE_DEMAND_NONRESIDENTIAL_METERED_IRRIGATION_GAL]])</f>
        <v>0</v>
      </c>
      <c r="X185" t="str">
        <f>IFERROR(INDEX(Crosswalk_API!$H$2:$H$527, MATCH(POTABLE_NONPOTABLE_API[[#This Row],[PWSID]], CW_PWSID_LIST, 0)), "")</f>
        <v>No</v>
      </c>
    </row>
    <row r="186" spans="1:24" x14ac:dyDescent="0.25">
      <c r="A186" t="s">
        <v>750</v>
      </c>
      <c r="B186" t="s">
        <v>751</v>
      </c>
      <c r="C186" t="s">
        <v>752</v>
      </c>
      <c r="D186" t="s">
        <v>753</v>
      </c>
      <c r="E186" s="9">
        <v>45231</v>
      </c>
      <c r="F186" s="9">
        <v>45260</v>
      </c>
      <c r="G186">
        <v>16778000</v>
      </c>
      <c r="H186">
        <v>6374000</v>
      </c>
      <c r="I186">
        <v>8830000</v>
      </c>
      <c r="J186">
        <v>0</v>
      </c>
      <c r="K186">
        <v>1797000</v>
      </c>
      <c r="L186">
        <v>0</v>
      </c>
      <c r="M186">
        <v>0</v>
      </c>
      <c r="T186" s="9">
        <v>45108</v>
      </c>
      <c r="U186" s="9">
        <v>45473</v>
      </c>
      <c r="V186">
        <f>SUM(POTABLE_NONPOTABLE_API[[#This Row],[RESIDENTIAL_SINGLEFAMILY_GAL]:[OTHER_GAL]])</f>
        <v>33779000</v>
      </c>
      <c r="W186">
        <f>SUM(POTABLE_NONPOTABLE_API[[#This Row],[NONPOTABLE_DEMAND_RESIDENTIAL_RECYCLED_WATER_GAL]:[NONPOTABLE_DEMAND_NONRESIDENTIAL_METERED_IRRIGATION_GAL]])</f>
        <v>0</v>
      </c>
      <c r="X186" t="str">
        <f>IFERROR(INDEX(Crosswalk_API!$H$2:$H$527, MATCH(POTABLE_NONPOTABLE_API[[#This Row],[PWSID]], CW_PWSID_LIST, 0)), "")</f>
        <v>No</v>
      </c>
    </row>
    <row r="187" spans="1:24" x14ac:dyDescent="0.25">
      <c r="A187" t="s">
        <v>750</v>
      </c>
      <c r="B187" t="s">
        <v>751</v>
      </c>
      <c r="C187" t="s">
        <v>752</v>
      </c>
      <c r="D187" t="s">
        <v>753</v>
      </c>
      <c r="E187" s="9">
        <v>45261</v>
      </c>
      <c r="F187" s="9">
        <v>45291</v>
      </c>
      <c r="G187">
        <v>23412000</v>
      </c>
      <c r="H187">
        <v>6595000</v>
      </c>
      <c r="I187">
        <v>8167000</v>
      </c>
      <c r="J187">
        <v>0</v>
      </c>
      <c r="K187">
        <v>1711000</v>
      </c>
      <c r="L187">
        <v>0</v>
      </c>
      <c r="M187">
        <v>0</v>
      </c>
      <c r="T187" s="9">
        <v>45108</v>
      </c>
      <c r="U187" s="9">
        <v>45473</v>
      </c>
      <c r="V187">
        <f>SUM(POTABLE_NONPOTABLE_API[[#This Row],[RESIDENTIAL_SINGLEFAMILY_GAL]:[OTHER_GAL]])</f>
        <v>39885000</v>
      </c>
      <c r="W187">
        <f>SUM(POTABLE_NONPOTABLE_API[[#This Row],[NONPOTABLE_DEMAND_RESIDENTIAL_RECYCLED_WATER_GAL]:[NONPOTABLE_DEMAND_NONRESIDENTIAL_METERED_IRRIGATION_GAL]])</f>
        <v>0</v>
      </c>
      <c r="X187" t="str">
        <f>IFERROR(INDEX(Crosswalk_API!$H$2:$H$527, MATCH(POTABLE_NONPOTABLE_API[[#This Row],[PWSID]], CW_PWSID_LIST, 0)), "")</f>
        <v>No</v>
      </c>
    </row>
    <row r="188" spans="1:24" x14ac:dyDescent="0.25">
      <c r="A188" t="s">
        <v>750</v>
      </c>
      <c r="B188" t="s">
        <v>751</v>
      </c>
      <c r="C188" t="s">
        <v>752</v>
      </c>
      <c r="D188" t="s">
        <v>753</v>
      </c>
      <c r="E188" s="9">
        <v>45292</v>
      </c>
      <c r="F188" s="9">
        <v>45322</v>
      </c>
      <c r="G188">
        <v>17464000</v>
      </c>
      <c r="H188">
        <v>6732000</v>
      </c>
      <c r="I188">
        <v>7876000</v>
      </c>
      <c r="J188">
        <v>0</v>
      </c>
      <c r="K188">
        <v>1819000</v>
      </c>
      <c r="L188">
        <v>0</v>
      </c>
      <c r="M188">
        <v>0</v>
      </c>
      <c r="T188" s="9">
        <v>45108</v>
      </c>
      <c r="U188" s="9">
        <v>45473</v>
      </c>
      <c r="V188">
        <f>SUM(POTABLE_NONPOTABLE_API[[#This Row],[RESIDENTIAL_SINGLEFAMILY_GAL]:[OTHER_GAL]])</f>
        <v>33891000</v>
      </c>
      <c r="W188">
        <f>SUM(POTABLE_NONPOTABLE_API[[#This Row],[NONPOTABLE_DEMAND_RESIDENTIAL_RECYCLED_WATER_GAL]:[NONPOTABLE_DEMAND_NONRESIDENTIAL_METERED_IRRIGATION_GAL]])</f>
        <v>0</v>
      </c>
      <c r="X188" t="str">
        <f>IFERROR(INDEX(Crosswalk_API!$H$2:$H$527, MATCH(POTABLE_NONPOTABLE_API[[#This Row],[PWSID]], CW_PWSID_LIST, 0)), "")</f>
        <v>No</v>
      </c>
    </row>
    <row r="189" spans="1:24" x14ac:dyDescent="0.25">
      <c r="A189" t="s">
        <v>750</v>
      </c>
      <c r="B189" t="s">
        <v>751</v>
      </c>
      <c r="C189" t="s">
        <v>752</v>
      </c>
      <c r="D189" t="s">
        <v>753</v>
      </c>
      <c r="E189" s="9">
        <v>45323</v>
      </c>
      <c r="F189" s="9">
        <v>45351</v>
      </c>
      <c r="G189">
        <v>15057000</v>
      </c>
      <c r="H189">
        <v>6570000</v>
      </c>
      <c r="I189">
        <v>8924000</v>
      </c>
      <c r="J189">
        <v>0</v>
      </c>
      <c r="K189">
        <v>1631000</v>
      </c>
      <c r="L189">
        <v>0</v>
      </c>
      <c r="M189">
        <v>0</v>
      </c>
      <c r="T189" s="9">
        <v>45108</v>
      </c>
      <c r="U189" s="9">
        <v>45473</v>
      </c>
      <c r="V189">
        <f>SUM(POTABLE_NONPOTABLE_API[[#This Row],[RESIDENTIAL_SINGLEFAMILY_GAL]:[OTHER_GAL]])</f>
        <v>32182000</v>
      </c>
      <c r="W189">
        <f>SUM(POTABLE_NONPOTABLE_API[[#This Row],[NONPOTABLE_DEMAND_RESIDENTIAL_RECYCLED_WATER_GAL]:[NONPOTABLE_DEMAND_NONRESIDENTIAL_METERED_IRRIGATION_GAL]])</f>
        <v>0</v>
      </c>
      <c r="X189" t="str">
        <f>IFERROR(INDEX(Crosswalk_API!$H$2:$H$527, MATCH(POTABLE_NONPOTABLE_API[[#This Row],[PWSID]], CW_PWSID_LIST, 0)), "")</f>
        <v>No</v>
      </c>
    </row>
    <row r="190" spans="1:24" x14ac:dyDescent="0.25">
      <c r="A190" t="s">
        <v>750</v>
      </c>
      <c r="B190" t="s">
        <v>751</v>
      </c>
      <c r="C190" t="s">
        <v>752</v>
      </c>
      <c r="D190" t="s">
        <v>753</v>
      </c>
      <c r="E190" s="9">
        <v>45352</v>
      </c>
      <c r="F190" s="9">
        <v>45382</v>
      </c>
      <c r="G190">
        <v>12271000</v>
      </c>
      <c r="H190">
        <v>5067000</v>
      </c>
      <c r="I190">
        <v>3765000</v>
      </c>
      <c r="J190">
        <v>0</v>
      </c>
      <c r="K190">
        <v>1243000</v>
      </c>
      <c r="L190">
        <v>0</v>
      </c>
      <c r="M190">
        <v>0</v>
      </c>
      <c r="T190" s="9">
        <v>45108</v>
      </c>
      <c r="U190" s="9">
        <v>45473</v>
      </c>
      <c r="V190">
        <f>SUM(POTABLE_NONPOTABLE_API[[#This Row],[RESIDENTIAL_SINGLEFAMILY_GAL]:[OTHER_GAL]])</f>
        <v>22346000</v>
      </c>
      <c r="W190">
        <f>SUM(POTABLE_NONPOTABLE_API[[#This Row],[NONPOTABLE_DEMAND_RESIDENTIAL_RECYCLED_WATER_GAL]:[NONPOTABLE_DEMAND_NONRESIDENTIAL_METERED_IRRIGATION_GAL]])</f>
        <v>0</v>
      </c>
      <c r="X190" t="str">
        <f>IFERROR(INDEX(Crosswalk_API!$H$2:$H$527, MATCH(POTABLE_NONPOTABLE_API[[#This Row],[PWSID]], CW_PWSID_LIST, 0)), "")</f>
        <v>No</v>
      </c>
    </row>
    <row r="191" spans="1:24" x14ac:dyDescent="0.25">
      <c r="A191" t="s">
        <v>750</v>
      </c>
      <c r="B191" t="s">
        <v>751</v>
      </c>
      <c r="C191" t="s">
        <v>752</v>
      </c>
      <c r="D191" t="s">
        <v>753</v>
      </c>
      <c r="E191" s="9">
        <v>45383</v>
      </c>
      <c r="F191" s="9">
        <v>45412</v>
      </c>
      <c r="G191">
        <v>20986000</v>
      </c>
      <c r="H191">
        <v>8202999.9999999991</v>
      </c>
      <c r="I191">
        <v>16324000.000000002</v>
      </c>
      <c r="J191">
        <v>0</v>
      </c>
      <c r="K191">
        <v>2297000</v>
      </c>
      <c r="L191">
        <v>0</v>
      </c>
      <c r="M191">
        <v>0</v>
      </c>
      <c r="T191" s="9">
        <v>45108</v>
      </c>
      <c r="U191" s="9">
        <v>45473</v>
      </c>
      <c r="V191">
        <f>SUM(POTABLE_NONPOTABLE_API[[#This Row],[RESIDENTIAL_SINGLEFAMILY_GAL]:[OTHER_GAL]])</f>
        <v>47810000</v>
      </c>
      <c r="W191">
        <f>SUM(POTABLE_NONPOTABLE_API[[#This Row],[NONPOTABLE_DEMAND_RESIDENTIAL_RECYCLED_WATER_GAL]:[NONPOTABLE_DEMAND_NONRESIDENTIAL_METERED_IRRIGATION_GAL]])</f>
        <v>0</v>
      </c>
      <c r="X191" t="str">
        <f>IFERROR(INDEX(Crosswalk_API!$H$2:$H$527, MATCH(POTABLE_NONPOTABLE_API[[#This Row],[PWSID]], CW_PWSID_LIST, 0)), "")</f>
        <v>No</v>
      </c>
    </row>
    <row r="192" spans="1:24" x14ac:dyDescent="0.25">
      <c r="A192" t="s">
        <v>750</v>
      </c>
      <c r="B192" t="s">
        <v>751</v>
      </c>
      <c r="C192" t="s">
        <v>752</v>
      </c>
      <c r="D192" t="s">
        <v>753</v>
      </c>
      <c r="E192" s="9">
        <v>45413</v>
      </c>
      <c r="F192" s="9">
        <v>45443</v>
      </c>
      <c r="G192">
        <v>14622000</v>
      </c>
      <c r="H192">
        <v>6811000</v>
      </c>
      <c r="I192">
        <v>8600000</v>
      </c>
      <c r="J192">
        <v>0</v>
      </c>
      <c r="K192">
        <v>1680000</v>
      </c>
      <c r="L192">
        <v>0</v>
      </c>
      <c r="M192">
        <v>0</v>
      </c>
      <c r="T192" s="9">
        <v>45108</v>
      </c>
      <c r="U192" s="9">
        <v>45473</v>
      </c>
      <c r="V192">
        <f>SUM(POTABLE_NONPOTABLE_API[[#This Row],[RESIDENTIAL_SINGLEFAMILY_GAL]:[OTHER_GAL]])</f>
        <v>31713000</v>
      </c>
      <c r="W192">
        <f>SUM(POTABLE_NONPOTABLE_API[[#This Row],[NONPOTABLE_DEMAND_RESIDENTIAL_RECYCLED_WATER_GAL]:[NONPOTABLE_DEMAND_NONRESIDENTIAL_METERED_IRRIGATION_GAL]])</f>
        <v>0</v>
      </c>
      <c r="X192" t="str">
        <f>IFERROR(INDEX(Crosswalk_API!$H$2:$H$527, MATCH(POTABLE_NONPOTABLE_API[[#This Row],[PWSID]], CW_PWSID_LIST, 0)), "")</f>
        <v>No</v>
      </c>
    </row>
    <row r="193" spans="1:24" x14ac:dyDescent="0.25">
      <c r="A193" t="s">
        <v>750</v>
      </c>
      <c r="B193" t="s">
        <v>751</v>
      </c>
      <c r="C193" t="s">
        <v>752</v>
      </c>
      <c r="D193" t="s">
        <v>753</v>
      </c>
      <c r="E193" s="9">
        <v>45444</v>
      </c>
      <c r="F193" s="9">
        <v>45473</v>
      </c>
      <c r="G193">
        <v>18129000</v>
      </c>
      <c r="H193">
        <v>5958000</v>
      </c>
      <c r="I193">
        <v>9927000</v>
      </c>
      <c r="J193">
        <v>0</v>
      </c>
      <c r="K193">
        <v>1678000</v>
      </c>
      <c r="L193">
        <v>0</v>
      </c>
      <c r="M193">
        <v>0</v>
      </c>
      <c r="T193" s="9">
        <v>45108</v>
      </c>
      <c r="U193" s="9">
        <v>45473</v>
      </c>
      <c r="V193">
        <f>SUM(POTABLE_NONPOTABLE_API[[#This Row],[RESIDENTIAL_SINGLEFAMILY_GAL]:[OTHER_GAL]])</f>
        <v>35692000</v>
      </c>
      <c r="W193">
        <f>SUM(POTABLE_NONPOTABLE_API[[#This Row],[NONPOTABLE_DEMAND_RESIDENTIAL_RECYCLED_WATER_GAL]:[NONPOTABLE_DEMAND_NONRESIDENTIAL_METERED_IRRIGATION_GAL]])</f>
        <v>0</v>
      </c>
      <c r="X193" t="str">
        <f>IFERROR(INDEX(Crosswalk_API!$H$2:$H$527, MATCH(POTABLE_NONPOTABLE_API[[#This Row],[PWSID]], CW_PWSID_LIST, 0)), "")</f>
        <v>No</v>
      </c>
    </row>
    <row r="194" spans="1:24" x14ac:dyDescent="0.25">
      <c r="A194" t="s">
        <v>750</v>
      </c>
      <c r="B194" t="s">
        <v>751</v>
      </c>
      <c r="C194" t="s">
        <v>755</v>
      </c>
      <c r="D194" t="s">
        <v>756</v>
      </c>
      <c r="E194" s="9">
        <v>45108</v>
      </c>
      <c r="F194" s="9">
        <v>45138</v>
      </c>
      <c r="G194">
        <v>1545000</v>
      </c>
      <c r="H194">
        <v>0</v>
      </c>
      <c r="I194">
        <v>88000</v>
      </c>
      <c r="J194">
        <v>0</v>
      </c>
      <c r="K194">
        <v>0</v>
      </c>
      <c r="L194">
        <v>0</v>
      </c>
      <c r="M194">
        <v>0</v>
      </c>
      <c r="T194" s="9">
        <v>45108</v>
      </c>
      <c r="U194" s="9">
        <v>45473</v>
      </c>
      <c r="V194">
        <f>SUM(POTABLE_NONPOTABLE_API[[#This Row],[RESIDENTIAL_SINGLEFAMILY_GAL]:[OTHER_GAL]])</f>
        <v>1633000</v>
      </c>
      <c r="W194">
        <f>SUM(POTABLE_NONPOTABLE_API[[#This Row],[NONPOTABLE_DEMAND_RESIDENTIAL_RECYCLED_WATER_GAL]:[NONPOTABLE_DEMAND_NONRESIDENTIAL_METERED_IRRIGATION_GAL]])</f>
        <v>0</v>
      </c>
      <c r="X194" t="str">
        <f>IFERROR(INDEX(Crosswalk_API!$H$2:$H$527, MATCH(POTABLE_NONPOTABLE_API[[#This Row],[PWSID]], CW_PWSID_LIST, 0)), "")</f>
        <v>No</v>
      </c>
    </row>
    <row r="195" spans="1:24" x14ac:dyDescent="0.25">
      <c r="A195" t="s">
        <v>750</v>
      </c>
      <c r="B195" t="s">
        <v>751</v>
      </c>
      <c r="C195" t="s">
        <v>755</v>
      </c>
      <c r="D195" t="s">
        <v>756</v>
      </c>
      <c r="E195" s="9">
        <v>45139</v>
      </c>
      <c r="F195" s="9">
        <v>45169</v>
      </c>
      <c r="G195">
        <v>1821000</v>
      </c>
      <c r="H195">
        <v>0</v>
      </c>
      <c r="I195">
        <v>31000</v>
      </c>
      <c r="J195">
        <v>0</v>
      </c>
      <c r="K195">
        <v>0</v>
      </c>
      <c r="L195">
        <v>0</v>
      </c>
      <c r="M195">
        <v>0</v>
      </c>
      <c r="T195" s="9">
        <v>45108</v>
      </c>
      <c r="U195" s="9">
        <v>45473</v>
      </c>
      <c r="V195">
        <f>SUM(POTABLE_NONPOTABLE_API[[#This Row],[RESIDENTIAL_SINGLEFAMILY_GAL]:[OTHER_GAL]])</f>
        <v>1852000</v>
      </c>
      <c r="W195">
        <f>SUM(POTABLE_NONPOTABLE_API[[#This Row],[NONPOTABLE_DEMAND_RESIDENTIAL_RECYCLED_WATER_GAL]:[NONPOTABLE_DEMAND_NONRESIDENTIAL_METERED_IRRIGATION_GAL]])</f>
        <v>0</v>
      </c>
      <c r="X195" t="str">
        <f>IFERROR(INDEX(Crosswalk_API!$H$2:$H$527, MATCH(POTABLE_NONPOTABLE_API[[#This Row],[PWSID]], CW_PWSID_LIST, 0)), "")</f>
        <v>No</v>
      </c>
    </row>
    <row r="196" spans="1:24" x14ac:dyDescent="0.25">
      <c r="A196" t="s">
        <v>750</v>
      </c>
      <c r="B196" t="s">
        <v>751</v>
      </c>
      <c r="C196" t="s">
        <v>755</v>
      </c>
      <c r="D196" t="s">
        <v>756</v>
      </c>
      <c r="E196" s="9">
        <v>45170</v>
      </c>
      <c r="F196" s="9">
        <v>45199</v>
      </c>
      <c r="G196">
        <v>2271000</v>
      </c>
      <c r="H196">
        <v>0</v>
      </c>
      <c r="I196">
        <v>61000</v>
      </c>
      <c r="J196">
        <v>0</v>
      </c>
      <c r="K196">
        <v>0</v>
      </c>
      <c r="L196">
        <v>0</v>
      </c>
      <c r="M196">
        <v>0</v>
      </c>
      <c r="T196" s="9">
        <v>45108</v>
      </c>
      <c r="U196" s="9">
        <v>45473</v>
      </c>
      <c r="V196">
        <f>SUM(POTABLE_NONPOTABLE_API[[#This Row],[RESIDENTIAL_SINGLEFAMILY_GAL]:[OTHER_GAL]])</f>
        <v>2332000</v>
      </c>
      <c r="W196">
        <f>SUM(POTABLE_NONPOTABLE_API[[#This Row],[NONPOTABLE_DEMAND_RESIDENTIAL_RECYCLED_WATER_GAL]:[NONPOTABLE_DEMAND_NONRESIDENTIAL_METERED_IRRIGATION_GAL]])</f>
        <v>0</v>
      </c>
      <c r="X196" t="str">
        <f>IFERROR(INDEX(Crosswalk_API!$H$2:$H$527, MATCH(POTABLE_NONPOTABLE_API[[#This Row],[PWSID]], CW_PWSID_LIST, 0)), "")</f>
        <v>No</v>
      </c>
    </row>
    <row r="197" spans="1:24" x14ac:dyDescent="0.25">
      <c r="A197" t="s">
        <v>750</v>
      </c>
      <c r="B197" t="s">
        <v>751</v>
      </c>
      <c r="C197" t="s">
        <v>755</v>
      </c>
      <c r="D197" t="s">
        <v>756</v>
      </c>
      <c r="E197" s="9">
        <v>45200</v>
      </c>
      <c r="F197" s="9">
        <v>45230</v>
      </c>
      <c r="G197">
        <v>1759000</v>
      </c>
      <c r="H197">
        <v>0</v>
      </c>
      <c r="I197">
        <v>52000</v>
      </c>
      <c r="J197">
        <v>0</v>
      </c>
      <c r="K197">
        <v>0</v>
      </c>
      <c r="L197">
        <v>0</v>
      </c>
      <c r="M197">
        <v>0</v>
      </c>
      <c r="T197" s="9">
        <v>45108</v>
      </c>
      <c r="U197" s="9">
        <v>45473</v>
      </c>
      <c r="V197">
        <f>SUM(POTABLE_NONPOTABLE_API[[#This Row],[RESIDENTIAL_SINGLEFAMILY_GAL]:[OTHER_GAL]])</f>
        <v>1811000</v>
      </c>
      <c r="W197">
        <f>SUM(POTABLE_NONPOTABLE_API[[#This Row],[NONPOTABLE_DEMAND_RESIDENTIAL_RECYCLED_WATER_GAL]:[NONPOTABLE_DEMAND_NONRESIDENTIAL_METERED_IRRIGATION_GAL]])</f>
        <v>0</v>
      </c>
      <c r="X197" t="str">
        <f>IFERROR(INDEX(Crosswalk_API!$H$2:$H$527, MATCH(POTABLE_NONPOTABLE_API[[#This Row],[PWSID]], CW_PWSID_LIST, 0)), "")</f>
        <v>No</v>
      </c>
    </row>
    <row r="198" spans="1:24" x14ac:dyDescent="0.25">
      <c r="A198" t="s">
        <v>750</v>
      </c>
      <c r="B198" t="s">
        <v>751</v>
      </c>
      <c r="C198" t="s">
        <v>755</v>
      </c>
      <c r="D198" t="s">
        <v>756</v>
      </c>
      <c r="E198" s="9">
        <v>45231</v>
      </c>
      <c r="F198" s="9">
        <v>45260</v>
      </c>
      <c r="G198">
        <v>1284000</v>
      </c>
      <c r="H198">
        <v>0</v>
      </c>
      <c r="I198">
        <v>62000</v>
      </c>
      <c r="J198">
        <v>0</v>
      </c>
      <c r="K198">
        <v>0</v>
      </c>
      <c r="L198">
        <v>0</v>
      </c>
      <c r="M198">
        <v>0</v>
      </c>
      <c r="T198" s="9">
        <v>45108</v>
      </c>
      <c r="U198" s="9">
        <v>45473</v>
      </c>
      <c r="V198">
        <f>SUM(POTABLE_NONPOTABLE_API[[#This Row],[RESIDENTIAL_SINGLEFAMILY_GAL]:[OTHER_GAL]])</f>
        <v>1346000</v>
      </c>
      <c r="W198">
        <f>SUM(POTABLE_NONPOTABLE_API[[#This Row],[NONPOTABLE_DEMAND_RESIDENTIAL_RECYCLED_WATER_GAL]:[NONPOTABLE_DEMAND_NONRESIDENTIAL_METERED_IRRIGATION_GAL]])</f>
        <v>0</v>
      </c>
      <c r="X198" t="str">
        <f>IFERROR(INDEX(Crosswalk_API!$H$2:$H$527, MATCH(POTABLE_NONPOTABLE_API[[#This Row],[PWSID]], CW_PWSID_LIST, 0)), "")</f>
        <v>No</v>
      </c>
    </row>
    <row r="199" spans="1:24" x14ac:dyDescent="0.25">
      <c r="A199" t="s">
        <v>750</v>
      </c>
      <c r="B199" t="s">
        <v>751</v>
      </c>
      <c r="C199" t="s">
        <v>755</v>
      </c>
      <c r="D199" t="s">
        <v>756</v>
      </c>
      <c r="E199" s="9">
        <v>45261</v>
      </c>
      <c r="F199" s="9">
        <v>45291</v>
      </c>
      <c r="G199">
        <v>1119000</v>
      </c>
      <c r="H199">
        <v>0</v>
      </c>
      <c r="I199">
        <v>40000</v>
      </c>
      <c r="J199">
        <v>0</v>
      </c>
      <c r="K199">
        <v>0</v>
      </c>
      <c r="L199">
        <v>0</v>
      </c>
      <c r="M199">
        <v>0</v>
      </c>
      <c r="T199" s="9">
        <v>45108</v>
      </c>
      <c r="U199" s="9">
        <v>45473</v>
      </c>
      <c r="V199">
        <f>SUM(POTABLE_NONPOTABLE_API[[#This Row],[RESIDENTIAL_SINGLEFAMILY_GAL]:[OTHER_GAL]])</f>
        <v>1159000</v>
      </c>
      <c r="W199">
        <f>SUM(POTABLE_NONPOTABLE_API[[#This Row],[NONPOTABLE_DEMAND_RESIDENTIAL_RECYCLED_WATER_GAL]:[NONPOTABLE_DEMAND_NONRESIDENTIAL_METERED_IRRIGATION_GAL]])</f>
        <v>0</v>
      </c>
      <c r="X199" t="str">
        <f>IFERROR(INDEX(Crosswalk_API!$H$2:$H$527, MATCH(POTABLE_NONPOTABLE_API[[#This Row],[PWSID]], CW_PWSID_LIST, 0)), "")</f>
        <v>No</v>
      </c>
    </row>
    <row r="200" spans="1:24" x14ac:dyDescent="0.25">
      <c r="A200" t="s">
        <v>750</v>
      </c>
      <c r="B200" t="s">
        <v>751</v>
      </c>
      <c r="C200" t="s">
        <v>755</v>
      </c>
      <c r="D200" t="s">
        <v>756</v>
      </c>
      <c r="E200" s="9">
        <v>45292</v>
      </c>
      <c r="F200" s="9">
        <v>45322</v>
      </c>
      <c r="G200">
        <v>1277000</v>
      </c>
      <c r="H200">
        <v>0</v>
      </c>
      <c r="I200">
        <v>62000</v>
      </c>
      <c r="J200">
        <v>0</v>
      </c>
      <c r="K200">
        <v>0</v>
      </c>
      <c r="L200">
        <v>0</v>
      </c>
      <c r="M200">
        <v>0</v>
      </c>
      <c r="T200" s="9">
        <v>45108</v>
      </c>
      <c r="U200" s="9">
        <v>45473</v>
      </c>
      <c r="V200">
        <f>SUM(POTABLE_NONPOTABLE_API[[#This Row],[RESIDENTIAL_SINGLEFAMILY_GAL]:[OTHER_GAL]])</f>
        <v>1339000</v>
      </c>
      <c r="W200">
        <f>SUM(POTABLE_NONPOTABLE_API[[#This Row],[NONPOTABLE_DEMAND_RESIDENTIAL_RECYCLED_WATER_GAL]:[NONPOTABLE_DEMAND_NONRESIDENTIAL_METERED_IRRIGATION_GAL]])</f>
        <v>0</v>
      </c>
      <c r="X200" t="str">
        <f>IFERROR(INDEX(Crosswalk_API!$H$2:$H$527, MATCH(POTABLE_NONPOTABLE_API[[#This Row],[PWSID]], CW_PWSID_LIST, 0)), "")</f>
        <v>No</v>
      </c>
    </row>
    <row r="201" spans="1:24" x14ac:dyDescent="0.25">
      <c r="A201" t="s">
        <v>750</v>
      </c>
      <c r="B201" t="s">
        <v>751</v>
      </c>
      <c r="C201" t="s">
        <v>755</v>
      </c>
      <c r="D201" t="s">
        <v>756</v>
      </c>
      <c r="E201" s="9">
        <v>45323</v>
      </c>
      <c r="F201" s="9">
        <v>45351</v>
      </c>
      <c r="G201">
        <v>955000</v>
      </c>
      <c r="H201">
        <v>0</v>
      </c>
      <c r="I201">
        <v>46000</v>
      </c>
      <c r="J201">
        <v>0</v>
      </c>
      <c r="K201">
        <v>0</v>
      </c>
      <c r="L201">
        <v>0</v>
      </c>
      <c r="M201">
        <v>0</v>
      </c>
      <c r="T201" s="9">
        <v>45108</v>
      </c>
      <c r="U201" s="9">
        <v>45473</v>
      </c>
      <c r="V201">
        <f>SUM(POTABLE_NONPOTABLE_API[[#This Row],[RESIDENTIAL_SINGLEFAMILY_GAL]:[OTHER_GAL]])</f>
        <v>1001000</v>
      </c>
      <c r="W201">
        <f>SUM(POTABLE_NONPOTABLE_API[[#This Row],[NONPOTABLE_DEMAND_RESIDENTIAL_RECYCLED_WATER_GAL]:[NONPOTABLE_DEMAND_NONRESIDENTIAL_METERED_IRRIGATION_GAL]])</f>
        <v>0</v>
      </c>
      <c r="X201" t="str">
        <f>IFERROR(INDEX(Crosswalk_API!$H$2:$H$527, MATCH(POTABLE_NONPOTABLE_API[[#This Row],[PWSID]], CW_PWSID_LIST, 0)), "")</f>
        <v>No</v>
      </c>
    </row>
    <row r="202" spans="1:24" x14ac:dyDescent="0.25">
      <c r="A202" t="s">
        <v>750</v>
      </c>
      <c r="B202" t="s">
        <v>751</v>
      </c>
      <c r="C202" t="s">
        <v>755</v>
      </c>
      <c r="D202" t="s">
        <v>756</v>
      </c>
      <c r="E202" s="9">
        <v>45352</v>
      </c>
      <c r="F202" s="9">
        <v>45382</v>
      </c>
      <c r="G202">
        <v>1244000</v>
      </c>
      <c r="H202">
        <v>0</v>
      </c>
      <c r="I202">
        <v>55000</v>
      </c>
      <c r="J202">
        <v>0</v>
      </c>
      <c r="K202">
        <v>0</v>
      </c>
      <c r="L202">
        <v>0</v>
      </c>
      <c r="M202">
        <v>0</v>
      </c>
      <c r="T202" s="9">
        <v>45108</v>
      </c>
      <c r="U202" s="9">
        <v>45473</v>
      </c>
      <c r="V202">
        <f>SUM(POTABLE_NONPOTABLE_API[[#This Row],[RESIDENTIAL_SINGLEFAMILY_GAL]:[OTHER_GAL]])</f>
        <v>1299000</v>
      </c>
      <c r="W202">
        <f>SUM(POTABLE_NONPOTABLE_API[[#This Row],[NONPOTABLE_DEMAND_RESIDENTIAL_RECYCLED_WATER_GAL]:[NONPOTABLE_DEMAND_NONRESIDENTIAL_METERED_IRRIGATION_GAL]])</f>
        <v>0</v>
      </c>
      <c r="X202" t="str">
        <f>IFERROR(INDEX(Crosswalk_API!$H$2:$H$527, MATCH(POTABLE_NONPOTABLE_API[[#This Row],[PWSID]], CW_PWSID_LIST, 0)), "")</f>
        <v>No</v>
      </c>
    </row>
    <row r="203" spans="1:24" x14ac:dyDescent="0.25">
      <c r="A203" t="s">
        <v>750</v>
      </c>
      <c r="B203" t="s">
        <v>751</v>
      </c>
      <c r="C203" t="s">
        <v>755</v>
      </c>
      <c r="D203" t="s">
        <v>756</v>
      </c>
      <c r="E203" s="9">
        <v>45383</v>
      </c>
      <c r="F203" s="9">
        <v>45412</v>
      </c>
      <c r="G203">
        <v>1117000</v>
      </c>
      <c r="H203">
        <v>0</v>
      </c>
      <c r="I203">
        <v>43000</v>
      </c>
      <c r="J203">
        <v>0</v>
      </c>
      <c r="K203">
        <v>0</v>
      </c>
      <c r="L203">
        <v>0</v>
      </c>
      <c r="M203">
        <v>0</v>
      </c>
      <c r="T203" s="9">
        <v>45108</v>
      </c>
      <c r="U203" s="9">
        <v>45473</v>
      </c>
      <c r="V203">
        <f>SUM(POTABLE_NONPOTABLE_API[[#This Row],[RESIDENTIAL_SINGLEFAMILY_GAL]:[OTHER_GAL]])</f>
        <v>1160000</v>
      </c>
      <c r="W203">
        <f>SUM(POTABLE_NONPOTABLE_API[[#This Row],[NONPOTABLE_DEMAND_RESIDENTIAL_RECYCLED_WATER_GAL]:[NONPOTABLE_DEMAND_NONRESIDENTIAL_METERED_IRRIGATION_GAL]])</f>
        <v>0</v>
      </c>
      <c r="X203" t="str">
        <f>IFERROR(INDEX(Crosswalk_API!$H$2:$H$527, MATCH(POTABLE_NONPOTABLE_API[[#This Row],[PWSID]], CW_PWSID_LIST, 0)), "")</f>
        <v>No</v>
      </c>
    </row>
    <row r="204" spans="1:24" x14ac:dyDescent="0.25">
      <c r="A204" t="s">
        <v>750</v>
      </c>
      <c r="B204" t="s">
        <v>751</v>
      </c>
      <c r="C204" t="s">
        <v>755</v>
      </c>
      <c r="D204" t="s">
        <v>756</v>
      </c>
      <c r="E204" s="9">
        <v>45413</v>
      </c>
      <c r="F204" s="9">
        <v>45443</v>
      </c>
      <c r="G204">
        <v>1342000</v>
      </c>
      <c r="H204">
        <v>0</v>
      </c>
      <c r="I204">
        <v>62000</v>
      </c>
      <c r="J204">
        <v>0</v>
      </c>
      <c r="K204">
        <v>0</v>
      </c>
      <c r="L204">
        <v>0</v>
      </c>
      <c r="M204">
        <v>0</v>
      </c>
      <c r="T204" s="9">
        <v>45108</v>
      </c>
      <c r="U204" s="9">
        <v>45473</v>
      </c>
      <c r="V204">
        <f>SUM(POTABLE_NONPOTABLE_API[[#This Row],[RESIDENTIAL_SINGLEFAMILY_GAL]:[OTHER_GAL]])</f>
        <v>1404000</v>
      </c>
      <c r="W204">
        <f>SUM(POTABLE_NONPOTABLE_API[[#This Row],[NONPOTABLE_DEMAND_RESIDENTIAL_RECYCLED_WATER_GAL]:[NONPOTABLE_DEMAND_NONRESIDENTIAL_METERED_IRRIGATION_GAL]])</f>
        <v>0</v>
      </c>
      <c r="X204" t="str">
        <f>IFERROR(INDEX(Crosswalk_API!$H$2:$H$527, MATCH(POTABLE_NONPOTABLE_API[[#This Row],[PWSID]], CW_PWSID_LIST, 0)), "")</f>
        <v>No</v>
      </c>
    </row>
    <row r="205" spans="1:24" x14ac:dyDescent="0.25">
      <c r="A205" t="s">
        <v>750</v>
      </c>
      <c r="B205" t="s">
        <v>751</v>
      </c>
      <c r="C205" t="s">
        <v>755</v>
      </c>
      <c r="D205" t="s">
        <v>756</v>
      </c>
      <c r="E205" s="9">
        <v>45444</v>
      </c>
      <c r="F205" s="9">
        <v>45473</v>
      </c>
      <c r="G205">
        <v>1486000</v>
      </c>
      <c r="H205">
        <v>0</v>
      </c>
      <c r="I205">
        <v>60000</v>
      </c>
      <c r="J205">
        <v>0</v>
      </c>
      <c r="K205">
        <v>0</v>
      </c>
      <c r="L205">
        <v>0</v>
      </c>
      <c r="M205">
        <v>0</v>
      </c>
      <c r="T205" s="9">
        <v>45108</v>
      </c>
      <c r="U205" s="9">
        <v>45473</v>
      </c>
      <c r="V205">
        <f>SUM(POTABLE_NONPOTABLE_API[[#This Row],[RESIDENTIAL_SINGLEFAMILY_GAL]:[OTHER_GAL]])</f>
        <v>1546000</v>
      </c>
      <c r="W205">
        <f>SUM(POTABLE_NONPOTABLE_API[[#This Row],[NONPOTABLE_DEMAND_RESIDENTIAL_RECYCLED_WATER_GAL]:[NONPOTABLE_DEMAND_NONRESIDENTIAL_METERED_IRRIGATION_GAL]])</f>
        <v>0</v>
      </c>
      <c r="X205" t="str">
        <f>IFERROR(INDEX(Crosswalk_API!$H$2:$H$527, MATCH(POTABLE_NONPOTABLE_API[[#This Row],[PWSID]], CW_PWSID_LIST, 0)), "")</f>
        <v>No</v>
      </c>
    </row>
    <row r="206" spans="1:24" x14ac:dyDescent="0.25">
      <c r="A206" t="s">
        <v>757</v>
      </c>
      <c r="B206" t="s">
        <v>758</v>
      </c>
      <c r="C206" t="s">
        <v>759</v>
      </c>
      <c r="D206" t="s">
        <v>760</v>
      </c>
      <c r="E206" s="9">
        <v>45108</v>
      </c>
      <c r="F206" s="9">
        <v>45138</v>
      </c>
      <c r="G206">
        <v>44707658.947023362</v>
      </c>
      <c r="H206">
        <v>7666108.4381634295</v>
      </c>
      <c r="I206">
        <v>9769200.132521851</v>
      </c>
      <c r="J206">
        <v>5698700.0770328697</v>
      </c>
      <c r="K206">
        <v>0</v>
      </c>
      <c r="L206">
        <v>0</v>
      </c>
      <c r="M206">
        <v>0</v>
      </c>
      <c r="T206" s="9">
        <v>45108</v>
      </c>
      <c r="U206" s="9">
        <v>45473</v>
      </c>
      <c r="V206">
        <f>SUM(POTABLE_NONPOTABLE_API[[#This Row],[RESIDENTIAL_SINGLEFAMILY_GAL]:[OTHER_GAL]])</f>
        <v>67841667.594741508</v>
      </c>
      <c r="W206">
        <f>SUM(POTABLE_NONPOTABLE_API[[#This Row],[NONPOTABLE_DEMAND_RESIDENTIAL_RECYCLED_WATER_GAL]:[NONPOTABLE_DEMAND_NONRESIDENTIAL_METERED_IRRIGATION_GAL]])</f>
        <v>0</v>
      </c>
      <c r="X206" t="str">
        <f>IFERROR(INDEX(Crosswalk_API!$H$2:$H$527, MATCH(POTABLE_NONPOTABLE_API[[#This Row],[PWSID]], CW_PWSID_LIST, 0)), "")</f>
        <v>No</v>
      </c>
    </row>
    <row r="207" spans="1:24" x14ac:dyDescent="0.25">
      <c r="A207" t="s">
        <v>757</v>
      </c>
      <c r="B207" t="s">
        <v>758</v>
      </c>
      <c r="C207" t="s">
        <v>759</v>
      </c>
      <c r="D207" t="s">
        <v>760</v>
      </c>
      <c r="E207" s="9">
        <v>45139</v>
      </c>
      <c r="F207" s="9">
        <v>45169</v>
      </c>
      <c r="G207">
        <v>42967306.7051</v>
      </c>
      <c r="H207">
        <v>7367686.8857000005</v>
      </c>
      <c r="I207">
        <v>9388910.7215999998</v>
      </c>
      <c r="J207">
        <v>5476864.5876000002</v>
      </c>
      <c r="K207">
        <v>0</v>
      </c>
      <c r="L207">
        <v>0</v>
      </c>
      <c r="M207">
        <v>0</v>
      </c>
      <c r="T207" s="9">
        <v>45108</v>
      </c>
      <c r="U207" s="9">
        <v>45473</v>
      </c>
      <c r="V207">
        <f>SUM(POTABLE_NONPOTABLE_API[[#This Row],[RESIDENTIAL_SINGLEFAMILY_GAL]:[OTHER_GAL]])</f>
        <v>65200768.899999999</v>
      </c>
      <c r="W207">
        <f>SUM(POTABLE_NONPOTABLE_API[[#This Row],[NONPOTABLE_DEMAND_RESIDENTIAL_RECYCLED_WATER_GAL]:[NONPOTABLE_DEMAND_NONRESIDENTIAL_METERED_IRRIGATION_GAL]])</f>
        <v>0</v>
      </c>
      <c r="X207" t="str">
        <f>IFERROR(INDEX(Crosswalk_API!$H$2:$H$527, MATCH(POTABLE_NONPOTABLE_API[[#This Row],[PWSID]], CW_PWSID_LIST, 0)), "")</f>
        <v>No</v>
      </c>
    </row>
    <row r="208" spans="1:24" x14ac:dyDescent="0.25">
      <c r="A208" t="s">
        <v>757</v>
      </c>
      <c r="B208" t="s">
        <v>758</v>
      </c>
      <c r="C208" t="s">
        <v>759</v>
      </c>
      <c r="D208" t="s">
        <v>760</v>
      </c>
      <c r="E208" s="9">
        <v>45170</v>
      </c>
      <c r="F208" s="9">
        <v>45199</v>
      </c>
      <c r="G208">
        <v>42331124.908822201</v>
      </c>
      <c r="H208">
        <v>7258599.5653261198</v>
      </c>
      <c r="I208">
        <v>9249896.7931729201</v>
      </c>
      <c r="J208">
        <v>5395773.1282647001</v>
      </c>
      <c r="K208">
        <v>0</v>
      </c>
      <c r="L208">
        <v>0</v>
      </c>
      <c r="M208">
        <v>0</v>
      </c>
      <c r="T208" s="9">
        <v>45108</v>
      </c>
      <c r="U208" s="9">
        <v>45473</v>
      </c>
      <c r="V208">
        <f>SUM(POTABLE_NONPOTABLE_API[[#This Row],[RESIDENTIAL_SINGLEFAMILY_GAL]:[OTHER_GAL]])</f>
        <v>64235394.395585939</v>
      </c>
      <c r="W208">
        <f>SUM(POTABLE_NONPOTABLE_API[[#This Row],[NONPOTABLE_DEMAND_RESIDENTIAL_RECYCLED_WATER_GAL]:[NONPOTABLE_DEMAND_NONRESIDENTIAL_METERED_IRRIGATION_GAL]])</f>
        <v>0</v>
      </c>
      <c r="X208" t="str">
        <f>IFERROR(INDEX(Crosswalk_API!$H$2:$H$527, MATCH(POTABLE_NONPOTABLE_API[[#This Row],[PWSID]], CW_PWSID_LIST, 0)), "")</f>
        <v>No</v>
      </c>
    </row>
    <row r="209" spans="1:24" x14ac:dyDescent="0.25">
      <c r="A209" t="s">
        <v>757</v>
      </c>
      <c r="B209" t="s">
        <v>758</v>
      </c>
      <c r="C209" t="s">
        <v>759</v>
      </c>
      <c r="D209" t="s">
        <v>760</v>
      </c>
      <c r="E209" s="9">
        <v>45200</v>
      </c>
      <c r="F209" s="9">
        <v>45230</v>
      </c>
      <c r="G209">
        <v>38590583.840597667</v>
      </c>
      <c r="H209">
        <v>6617201.7787980903</v>
      </c>
      <c r="I209">
        <v>8432540.3203745093</v>
      </c>
      <c r="J209">
        <v>4918981.8549095104</v>
      </c>
      <c r="K209">
        <v>0</v>
      </c>
      <c r="L209">
        <v>0</v>
      </c>
      <c r="M209">
        <v>0</v>
      </c>
      <c r="T209" s="9">
        <v>45108</v>
      </c>
      <c r="U209" s="9">
        <v>45473</v>
      </c>
      <c r="V209">
        <f>SUM(POTABLE_NONPOTABLE_API[[#This Row],[RESIDENTIAL_SINGLEFAMILY_GAL]:[OTHER_GAL]])</f>
        <v>58559307.794679776</v>
      </c>
      <c r="W209">
        <f>SUM(POTABLE_NONPOTABLE_API[[#This Row],[NONPOTABLE_DEMAND_RESIDENTIAL_RECYCLED_WATER_GAL]:[NONPOTABLE_DEMAND_NONRESIDENTIAL_METERED_IRRIGATION_GAL]])</f>
        <v>0</v>
      </c>
      <c r="X209" t="str">
        <f>IFERROR(INDEX(Crosswalk_API!$H$2:$H$527, MATCH(POTABLE_NONPOTABLE_API[[#This Row],[PWSID]], CW_PWSID_LIST, 0)), "")</f>
        <v>No</v>
      </c>
    </row>
    <row r="210" spans="1:24" x14ac:dyDescent="0.25">
      <c r="A210" t="s">
        <v>757</v>
      </c>
      <c r="B210" t="s">
        <v>758</v>
      </c>
      <c r="C210" t="s">
        <v>759</v>
      </c>
      <c r="D210" t="s">
        <v>760</v>
      </c>
      <c r="E210" s="9">
        <v>45231</v>
      </c>
      <c r="F210" s="9">
        <v>45260</v>
      </c>
      <c r="G210">
        <v>35288279.352149822</v>
      </c>
      <c r="H210">
        <v>6050949.2636469295</v>
      </c>
      <c r="I210">
        <v>7710944.19651582</v>
      </c>
      <c r="J210">
        <v>4498050.7818439798</v>
      </c>
      <c r="K210">
        <v>0</v>
      </c>
      <c r="L210">
        <v>0</v>
      </c>
      <c r="M210">
        <v>0</v>
      </c>
      <c r="T210" s="9">
        <v>45108</v>
      </c>
      <c r="U210" s="9">
        <v>45473</v>
      </c>
      <c r="V210">
        <f>SUM(POTABLE_NONPOTABLE_API[[#This Row],[RESIDENTIAL_SINGLEFAMILY_GAL]:[OTHER_GAL]])</f>
        <v>53548223.594156556</v>
      </c>
      <c r="W210">
        <f>SUM(POTABLE_NONPOTABLE_API[[#This Row],[NONPOTABLE_DEMAND_RESIDENTIAL_RECYCLED_WATER_GAL]:[NONPOTABLE_DEMAND_NONRESIDENTIAL_METERED_IRRIGATION_GAL]])</f>
        <v>0</v>
      </c>
      <c r="X210" t="str">
        <f>IFERROR(INDEX(Crosswalk_API!$H$2:$H$527, MATCH(POTABLE_NONPOTABLE_API[[#This Row],[PWSID]], CW_PWSID_LIST, 0)), "")</f>
        <v>No</v>
      </c>
    </row>
    <row r="211" spans="1:24" x14ac:dyDescent="0.25">
      <c r="A211" t="s">
        <v>757</v>
      </c>
      <c r="B211" t="s">
        <v>758</v>
      </c>
      <c r="C211" t="s">
        <v>759</v>
      </c>
      <c r="D211" t="s">
        <v>760</v>
      </c>
      <c r="E211" s="9">
        <v>45261</v>
      </c>
      <c r="F211" s="9">
        <v>45291</v>
      </c>
      <c r="G211">
        <v>33479436.907680687</v>
      </c>
      <c r="H211">
        <v>5740783.5642403504</v>
      </c>
      <c r="I211">
        <v>7315688.7908665203</v>
      </c>
      <c r="J211">
        <v>4267485.1280054701</v>
      </c>
      <c r="K211">
        <v>0</v>
      </c>
      <c r="L211">
        <v>0</v>
      </c>
      <c r="M211">
        <v>0</v>
      </c>
      <c r="T211" s="9">
        <v>45108</v>
      </c>
      <c r="U211" s="9">
        <v>45473</v>
      </c>
      <c r="V211">
        <f>SUM(POTABLE_NONPOTABLE_API[[#This Row],[RESIDENTIAL_SINGLEFAMILY_GAL]:[OTHER_GAL]])</f>
        <v>50803394.390793018</v>
      </c>
      <c r="W211">
        <f>SUM(POTABLE_NONPOTABLE_API[[#This Row],[NONPOTABLE_DEMAND_RESIDENTIAL_RECYCLED_WATER_GAL]:[NONPOTABLE_DEMAND_NONRESIDENTIAL_METERED_IRRIGATION_GAL]])</f>
        <v>0</v>
      </c>
      <c r="X211" t="str">
        <f>IFERROR(INDEX(Crosswalk_API!$H$2:$H$527, MATCH(POTABLE_NONPOTABLE_API[[#This Row],[PWSID]], CW_PWSID_LIST, 0)), "")</f>
        <v>No</v>
      </c>
    </row>
    <row r="212" spans="1:24" x14ac:dyDescent="0.25">
      <c r="A212" t="s">
        <v>757</v>
      </c>
      <c r="B212" t="s">
        <v>758</v>
      </c>
      <c r="C212" t="s">
        <v>759</v>
      </c>
      <c r="D212" t="s">
        <v>760</v>
      </c>
      <c r="E212" s="9">
        <v>45292</v>
      </c>
      <c r="F212" s="9">
        <v>45322</v>
      </c>
      <c r="G212">
        <v>26300025</v>
      </c>
      <c r="H212">
        <v>4509716</v>
      </c>
      <c r="I212">
        <v>5746894</v>
      </c>
      <c r="J212">
        <v>3352355</v>
      </c>
      <c r="K212">
        <v>0</v>
      </c>
      <c r="L212">
        <v>0</v>
      </c>
      <c r="M212">
        <v>0</v>
      </c>
      <c r="T212" s="9">
        <v>45108</v>
      </c>
      <c r="U212" s="9">
        <v>45473</v>
      </c>
      <c r="V212">
        <f>SUM(POTABLE_NONPOTABLE_API[[#This Row],[RESIDENTIAL_SINGLEFAMILY_GAL]:[OTHER_GAL]])</f>
        <v>39908990</v>
      </c>
      <c r="W212">
        <f>SUM(POTABLE_NONPOTABLE_API[[#This Row],[NONPOTABLE_DEMAND_RESIDENTIAL_RECYCLED_WATER_GAL]:[NONPOTABLE_DEMAND_NONRESIDENTIAL_METERED_IRRIGATION_GAL]])</f>
        <v>0</v>
      </c>
      <c r="X212" t="str">
        <f>IFERROR(INDEX(Crosswalk_API!$H$2:$H$527, MATCH(POTABLE_NONPOTABLE_API[[#This Row],[PWSID]], CW_PWSID_LIST, 0)), "")</f>
        <v>No</v>
      </c>
    </row>
    <row r="213" spans="1:24" x14ac:dyDescent="0.25">
      <c r="A213" t="s">
        <v>757</v>
      </c>
      <c r="B213" t="s">
        <v>758</v>
      </c>
      <c r="C213" t="s">
        <v>759</v>
      </c>
      <c r="D213" t="s">
        <v>760</v>
      </c>
      <c r="E213" s="9">
        <v>45323</v>
      </c>
      <c r="F213" s="9">
        <v>45351</v>
      </c>
      <c r="G213">
        <v>26030400</v>
      </c>
      <c r="H213">
        <v>4732800</v>
      </c>
      <c r="I213">
        <v>5797680</v>
      </c>
      <c r="J213">
        <v>2879120</v>
      </c>
      <c r="K213">
        <v>0</v>
      </c>
      <c r="L213">
        <v>0</v>
      </c>
      <c r="M213">
        <v>0</v>
      </c>
      <c r="T213" s="9">
        <v>45108</v>
      </c>
      <c r="U213" s="9">
        <v>45473</v>
      </c>
      <c r="V213">
        <f>SUM(POTABLE_NONPOTABLE_API[[#This Row],[RESIDENTIAL_SINGLEFAMILY_GAL]:[OTHER_GAL]])</f>
        <v>39440000</v>
      </c>
      <c r="W213">
        <f>SUM(POTABLE_NONPOTABLE_API[[#This Row],[NONPOTABLE_DEMAND_RESIDENTIAL_RECYCLED_WATER_GAL]:[NONPOTABLE_DEMAND_NONRESIDENTIAL_METERED_IRRIGATION_GAL]])</f>
        <v>0</v>
      </c>
      <c r="X213" t="str">
        <f>IFERROR(INDEX(Crosswalk_API!$H$2:$H$527, MATCH(POTABLE_NONPOTABLE_API[[#This Row],[PWSID]], CW_PWSID_LIST, 0)), "")</f>
        <v>No</v>
      </c>
    </row>
    <row r="214" spans="1:24" x14ac:dyDescent="0.25">
      <c r="A214" t="s">
        <v>757</v>
      </c>
      <c r="B214" t="s">
        <v>758</v>
      </c>
      <c r="C214" t="s">
        <v>759</v>
      </c>
      <c r="D214" t="s">
        <v>760</v>
      </c>
      <c r="E214" s="9">
        <v>45352</v>
      </c>
      <c r="F214" s="9">
        <v>45382</v>
      </c>
      <c r="G214">
        <v>29693400</v>
      </c>
      <c r="H214">
        <v>539880</v>
      </c>
      <c r="I214">
        <v>6613530</v>
      </c>
      <c r="J214">
        <v>3284270</v>
      </c>
      <c r="K214">
        <v>0</v>
      </c>
      <c r="L214">
        <v>0</v>
      </c>
      <c r="M214">
        <v>0</v>
      </c>
      <c r="T214" s="9">
        <v>45108</v>
      </c>
      <c r="U214" s="9">
        <v>45473</v>
      </c>
      <c r="V214">
        <f>SUM(POTABLE_NONPOTABLE_API[[#This Row],[RESIDENTIAL_SINGLEFAMILY_GAL]:[OTHER_GAL]])</f>
        <v>40131080</v>
      </c>
      <c r="W214">
        <f>SUM(POTABLE_NONPOTABLE_API[[#This Row],[NONPOTABLE_DEMAND_RESIDENTIAL_RECYCLED_WATER_GAL]:[NONPOTABLE_DEMAND_NONRESIDENTIAL_METERED_IRRIGATION_GAL]])</f>
        <v>0</v>
      </c>
      <c r="X214" t="str">
        <f>IFERROR(INDEX(Crosswalk_API!$H$2:$H$527, MATCH(POTABLE_NONPOTABLE_API[[#This Row],[PWSID]], CW_PWSID_LIST, 0)), "")</f>
        <v>No</v>
      </c>
    </row>
    <row r="215" spans="1:24" x14ac:dyDescent="0.25">
      <c r="A215" t="s">
        <v>757</v>
      </c>
      <c r="B215" t="s">
        <v>758</v>
      </c>
      <c r="C215" t="s">
        <v>759</v>
      </c>
      <c r="D215" t="s">
        <v>760</v>
      </c>
      <c r="E215" s="9">
        <v>45383</v>
      </c>
      <c r="F215" s="9">
        <v>45412</v>
      </c>
      <c r="G215">
        <v>32560440</v>
      </c>
      <c r="H215">
        <v>5920080</v>
      </c>
      <c r="I215">
        <v>7252098</v>
      </c>
      <c r="J215">
        <v>3601382</v>
      </c>
      <c r="K215">
        <v>0</v>
      </c>
      <c r="L215">
        <v>0</v>
      </c>
      <c r="M215">
        <v>0</v>
      </c>
      <c r="T215" s="9">
        <v>45108</v>
      </c>
      <c r="U215" s="9">
        <v>45473</v>
      </c>
      <c r="V215">
        <f>SUM(POTABLE_NONPOTABLE_API[[#This Row],[RESIDENTIAL_SINGLEFAMILY_GAL]:[OTHER_GAL]])</f>
        <v>49334000</v>
      </c>
      <c r="W215">
        <f>SUM(POTABLE_NONPOTABLE_API[[#This Row],[NONPOTABLE_DEMAND_RESIDENTIAL_RECYCLED_WATER_GAL]:[NONPOTABLE_DEMAND_NONRESIDENTIAL_METERED_IRRIGATION_GAL]])</f>
        <v>0</v>
      </c>
      <c r="X215" t="str">
        <f>IFERROR(INDEX(Crosswalk_API!$H$2:$H$527, MATCH(POTABLE_NONPOTABLE_API[[#This Row],[PWSID]], CW_PWSID_LIST, 0)), "")</f>
        <v>No</v>
      </c>
    </row>
    <row r="216" spans="1:24" x14ac:dyDescent="0.25">
      <c r="A216" t="s">
        <v>757</v>
      </c>
      <c r="B216" t="s">
        <v>758</v>
      </c>
      <c r="C216" t="s">
        <v>759</v>
      </c>
      <c r="D216" t="s">
        <v>760</v>
      </c>
      <c r="E216" s="9">
        <v>45413</v>
      </c>
      <c r="F216" s="9">
        <v>45443</v>
      </c>
      <c r="G216">
        <v>42001080</v>
      </c>
      <c r="H216">
        <v>7636560</v>
      </c>
      <c r="I216">
        <v>9354786</v>
      </c>
      <c r="J216">
        <v>4645574</v>
      </c>
      <c r="K216">
        <v>0</v>
      </c>
      <c r="L216">
        <v>0</v>
      </c>
      <c r="M216">
        <v>0</v>
      </c>
      <c r="T216" s="9">
        <v>45108</v>
      </c>
      <c r="U216" s="9">
        <v>45473</v>
      </c>
      <c r="V216">
        <f>SUM(POTABLE_NONPOTABLE_API[[#This Row],[RESIDENTIAL_SINGLEFAMILY_GAL]:[OTHER_GAL]])</f>
        <v>63638000</v>
      </c>
      <c r="W216">
        <f>SUM(POTABLE_NONPOTABLE_API[[#This Row],[NONPOTABLE_DEMAND_RESIDENTIAL_RECYCLED_WATER_GAL]:[NONPOTABLE_DEMAND_NONRESIDENTIAL_METERED_IRRIGATION_GAL]])</f>
        <v>0</v>
      </c>
      <c r="X216" t="str">
        <f>IFERROR(INDEX(Crosswalk_API!$H$2:$H$527, MATCH(POTABLE_NONPOTABLE_API[[#This Row],[PWSID]], CW_PWSID_LIST, 0)), "")</f>
        <v>No</v>
      </c>
    </row>
    <row r="217" spans="1:24" x14ac:dyDescent="0.25">
      <c r="A217" t="s">
        <v>757</v>
      </c>
      <c r="B217" t="s">
        <v>758</v>
      </c>
      <c r="C217" t="s">
        <v>759</v>
      </c>
      <c r="D217" t="s">
        <v>760</v>
      </c>
      <c r="E217" s="9">
        <v>45444</v>
      </c>
      <c r="F217" s="9">
        <v>45473</v>
      </c>
      <c r="G217">
        <v>46080540</v>
      </c>
      <c r="H217">
        <v>8378280</v>
      </c>
      <c r="I217">
        <v>10263393</v>
      </c>
      <c r="J217">
        <v>5096787</v>
      </c>
      <c r="K217">
        <v>0</v>
      </c>
      <c r="L217">
        <v>0</v>
      </c>
      <c r="M217">
        <v>0</v>
      </c>
      <c r="T217" s="9">
        <v>45108</v>
      </c>
      <c r="U217" s="9">
        <v>45473</v>
      </c>
      <c r="V217">
        <f>SUM(POTABLE_NONPOTABLE_API[[#This Row],[RESIDENTIAL_SINGLEFAMILY_GAL]:[OTHER_GAL]])</f>
        <v>69819000</v>
      </c>
      <c r="W217">
        <f>SUM(POTABLE_NONPOTABLE_API[[#This Row],[NONPOTABLE_DEMAND_RESIDENTIAL_RECYCLED_WATER_GAL]:[NONPOTABLE_DEMAND_NONRESIDENTIAL_METERED_IRRIGATION_GAL]])</f>
        <v>0</v>
      </c>
      <c r="X217" t="str">
        <f>IFERROR(INDEX(Crosswalk_API!$H$2:$H$527, MATCH(POTABLE_NONPOTABLE_API[[#This Row],[PWSID]], CW_PWSID_LIST, 0)), "")</f>
        <v>No</v>
      </c>
    </row>
    <row r="218" spans="1:24" x14ac:dyDescent="0.25">
      <c r="A218" t="s">
        <v>762</v>
      </c>
      <c r="B218" t="s">
        <v>763</v>
      </c>
      <c r="C218" t="s">
        <v>764</v>
      </c>
      <c r="D218" t="s">
        <v>765</v>
      </c>
      <c r="E218" s="9">
        <v>45108</v>
      </c>
      <c r="F218" s="9">
        <v>45138</v>
      </c>
      <c r="G218">
        <v>59357540</v>
      </c>
      <c r="H218">
        <v>6992304</v>
      </c>
      <c r="I218">
        <v>8816676</v>
      </c>
      <c r="J218">
        <v>3707088</v>
      </c>
      <c r="K218">
        <v>770440</v>
      </c>
      <c r="L218">
        <v>992596</v>
      </c>
      <c r="M218">
        <v>0</v>
      </c>
      <c r="T218" s="9">
        <v>45108</v>
      </c>
      <c r="U218" s="9">
        <v>45473</v>
      </c>
      <c r="V218">
        <f>SUM(POTABLE_NONPOTABLE_API[[#This Row],[RESIDENTIAL_SINGLEFAMILY_GAL]:[OTHER_GAL]])</f>
        <v>80636644</v>
      </c>
      <c r="W218">
        <f>SUM(POTABLE_NONPOTABLE_API[[#This Row],[NONPOTABLE_DEMAND_RESIDENTIAL_RECYCLED_WATER_GAL]:[NONPOTABLE_DEMAND_NONRESIDENTIAL_METERED_IRRIGATION_GAL]])</f>
        <v>0</v>
      </c>
      <c r="X218" t="str">
        <f>IFERROR(INDEX(Crosswalk_API!$H$2:$H$527, MATCH(POTABLE_NONPOTABLE_API[[#This Row],[PWSID]], CW_PWSID_LIST, 0)), "")</f>
        <v>No</v>
      </c>
    </row>
    <row r="219" spans="1:24" x14ac:dyDescent="0.25">
      <c r="A219" t="s">
        <v>762</v>
      </c>
      <c r="B219" t="s">
        <v>763</v>
      </c>
      <c r="C219" t="s">
        <v>764</v>
      </c>
      <c r="D219" t="s">
        <v>765</v>
      </c>
      <c r="E219" s="9">
        <v>45139</v>
      </c>
      <c r="F219" s="9">
        <v>45169</v>
      </c>
      <c r="G219">
        <v>56577972</v>
      </c>
      <c r="H219">
        <v>8380592</v>
      </c>
      <c r="I219">
        <v>9543732</v>
      </c>
      <c r="J219">
        <v>3973376</v>
      </c>
      <c r="K219">
        <v>647768</v>
      </c>
      <c r="L219">
        <v>527340</v>
      </c>
      <c r="M219">
        <v>0</v>
      </c>
      <c r="T219" s="9">
        <v>45108</v>
      </c>
      <c r="U219" s="9">
        <v>45473</v>
      </c>
      <c r="V219">
        <f>SUM(POTABLE_NONPOTABLE_API[[#This Row],[RESIDENTIAL_SINGLEFAMILY_GAL]:[OTHER_GAL]])</f>
        <v>79650780</v>
      </c>
      <c r="W219">
        <f>SUM(POTABLE_NONPOTABLE_API[[#This Row],[NONPOTABLE_DEMAND_RESIDENTIAL_RECYCLED_WATER_GAL]:[NONPOTABLE_DEMAND_NONRESIDENTIAL_METERED_IRRIGATION_GAL]])</f>
        <v>0</v>
      </c>
      <c r="X219" t="str">
        <f>IFERROR(INDEX(Crosswalk_API!$H$2:$H$527, MATCH(POTABLE_NONPOTABLE_API[[#This Row],[PWSID]], CW_PWSID_LIST, 0)), "")</f>
        <v>No</v>
      </c>
    </row>
    <row r="220" spans="1:24" x14ac:dyDescent="0.25">
      <c r="A220" t="s">
        <v>762</v>
      </c>
      <c r="B220" t="s">
        <v>763</v>
      </c>
      <c r="C220" t="s">
        <v>764</v>
      </c>
      <c r="D220" t="s">
        <v>765</v>
      </c>
      <c r="E220" s="9">
        <v>45170</v>
      </c>
      <c r="F220" s="9">
        <v>45199</v>
      </c>
      <c r="G220">
        <v>48447960</v>
      </c>
      <c r="H220">
        <v>6230092</v>
      </c>
      <c r="I220">
        <v>7531612</v>
      </c>
      <c r="J220">
        <v>4238916</v>
      </c>
      <c r="K220">
        <v>400180</v>
      </c>
      <c r="L220">
        <v>457028</v>
      </c>
      <c r="M220">
        <v>0</v>
      </c>
      <c r="T220" s="9">
        <v>45108</v>
      </c>
      <c r="U220" s="9">
        <v>45473</v>
      </c>
      <c r="V220">
        <f>SUM(POTABLE_NONPOTABLE_API[[#This Row],[RESIDENTIAL_SINGLEFAMILY_GAL]:[OTHER_GAL]])</f>
        <v>67305788</v>
      </c>
      <c r="W220">
        <f>SUM(POTABLE_NONPOTABLE_API[[#This Row],[NONPOTABLE_DEMAND_RESIDENTIAL_RECYCLED_WATER_GAL]:[NONPOTABLE_DEMAND_NONRESIDENTIAL_METERED_IRRIGATION_GAL]])</f>
        <v>0</v>
      </c>
      <c r="X220" t="str">
        <f>IFERROR(INDEX(Crosswalk_API!$H$2:$H$527, MATCH(POTABLE_NONPOTABLE_API[[#This Row],[PWSID]], CW_PWSID_LIST, 0)), "")</f>
        <v>No</v>
      </c>
    </row>
    <row r="221" spans="1:24" x14ac:dyDescent="0.25">
      <c r="A221" t="s">
        <v>762</v>
      </c>
      <c r="B221" t="s">
        <v>763</v>
      </c>
      <c r="C221" t="s">
        <v>764</v>
      </c>
      <c r="D221" t="s">
        <v>765</v>
      </c>
      <c r="E221" s="9">
        <v>45200</v>
      </c>
      <c r="F221" s="9">
        <v>45230</v>
      </c>
      <c r="G221">
        <v>48872076</v>
      </c>
      <c r="H221">
        <v>7001280</v>
      </c>
      <c r="I221">
        <v>7723100</v>
      </c>
      <c r="J221">
        <v>5089392</v>
      </c>
      <c r="K221">
        <v>427856</v>
      </c>
      <c r="L221">
        <v>587180</v>
      </c>
      <c r="M221">
        <v>0</v>
      </c>
      <c r="T221" s="9">
        <v>45108</v>
      </c>
      <c r="U221" s="9">
        <v>45473</v>
      </c>
      <c r="V221">
        <f>SUM(POTABLE_NONPOTABLE_API[[#This Row],[RESIDENTIAL_SINGLEFAMILY_GAL]:[OTHER_GAL]])</f>
        <v>69700884</v>
      </c>
      <c r="W221">
        <f>SUM(POTABLE_NONPOTABLE_API[[#This Row],[NONPOTABLE_DEMAND_RESIDENTIAL_RECYCLED_WATER_GAL]:[NONPOTABLE_DEMAND_NONRESIDENTIAL_METERED_IRRIGATION_GAL]])</f>
        <v>0</v>
      </c>
      <c r="X221" t="str">
        <f>IFERROR(INDEX(Crosswalk_API!$H$2:$H$527, MATCH(POTABLE_NONPOTABLE_API[[#This Row],[PWSID]], CW_PWSID_LIST, 0)), "")</f>
        <v>No</v>
      </c>
    </row>
    <row r="222" spans="1:24" x14ac:dyDescent="0.25">
      <c r="A222" t="s">
        <v>762</v>
      </c>
      <c r="B222" t="s">
        <v>763</v>
      </c>
      <c r="C222" t="s">
        <v>764</v>
      </c>
      <c r="D222" t="s">
        <v>765</v>
      </c>
      <c r="E222" s="9">
        <v>45231</v>
      </c>
      <c r="F222" s="9">
        <v>45260</v>
      </c>
      <c r="G222">
        <v>36701368</v>
      </c>
      <c r="H222">
        <v>6101436</v>
      </c>
      <c r="I222">
        <v>6135844</v>
      </c>
      <c r="J222">
        <v>1314236</v>
      </c>
      <c r="K222">
        <v>231132</v>
      </c>
      <c r="L222">
        <v>369512</v>
      </c>
      <c r="M222">
        <v>0</v>
      </c>
      <c r="T222" s="9">
        <v>45108</v>
      </c>
      <c r="U222" s="9">
        <v>45473</v>
      </c>
      <c r="V222">
        <f>SUM(POTABLE_NONPOTABLE_API[[#This Row],[RESIDENTIAL_SINGLEFAMILY_GAL]:[OTHER_GAL]])</f>
        <v>50853528</v>
      </c>
      <c r="W222">
        <f>SUM(POTABLE_NONPOTABLE_API[[#This Row],[NONPOTABLE_DEMAND_RESIDENTIAL_RECYCLED_WATER_GAL]:[NONPOTABLE_DEMAND_NONRESIDENTIAL_METERED_IRRIGATION_GAL]])</f>
        <v>0</v>
      </c>
      <c r="X222" t="str">
        <f>IFERROR(INDEX(Crosswalk_API!$H$2:$H$527, MATCH(POTABLE_NONPOTABLE_API[[#This Row],[PWSID]], CW_PWSID_LIST, 0)), "")</f>
        <v>No</v>
      </c>
    </row>
    <row r="223" spans="1:24" x14ac:dyDescent="0.25">
      <c r="A223" t="s">
        <v>762</v>
      </c>
      <c r="B223" t="s">
        <v>763</v>
      </c>
      <c r="C223" t="s">
        <v>764</v>
      </c>
      <c r="D223" t="s">
        <v>765</v>
      </c>
      <c r="E223" s="9">
        <v>45261</v>
      </c>
      <c r="F223" s="9">
        <v>45291</v>
      </c>
      <c r="G223">
        <v>32982312</v>
      </c>
      <c r="H223">
        <v>5687044</v>
      </c>
      <c r="I223">
        <v>5203088</v>
      </c>
      <c r="J223">
        <v>2512532</v>
      </c>
      <c r="K223">
        <v>352308</v>
      </c>
      <c r="L223">
        <v>347820</v>
      </c>
      <c r="M223">
        <v>0</v>
      </c>
      <c r="T223" s="9">
        <v>45108</v>
      </c>
      <c r="U223" s="9">
        <v>45473</v>
      </c>
      <c r="V223">
        <f>SUM(POTABLE_NONPOTABLE_API[[#This Row],[RESIDENTIAL_SINGLEFAMILY_GAL]:[OTHER_GAL]])</f>
        <v>47085104</v>
      </c>
      <c r="W223">
        <f>SUM(POTABLE_NONPOTABLE_API[[#This Row],[NONPOTABLE_DEMAND_RESIDENTIAL_RECYCLED_WATER_GAL]:[NONPOTABLE_DEMAND_NONRESIDENTIAL_METERED_IRRIGATION_GAL]])</f>
        <v>0</v>
      </c>
      <c r="X223" t="str">
        <f>IFERROR(INDEX(Crosswalk_API!$H$2:$H$527, MATCH(POTABLE_NONPOTABLE_API[[#This Row],[PWSID]], CW_PWSID_LIST, 0)), "")</f>
        <v>No</v>
      </c>
    </row>
    <row r="224" spans="1:24" x14ac:dyDescent="0.25">
      <c r="A224" t="s">
        <v>762</v>
      </c>
      <c r="B224" t="s">
        <v>763</v>
      </c>
      <c r="C224" t="s">
        <v>764</v>
      </c>
      <c r="D224" t="s">
        <v>765</v>
      </c>
      <c r="E224" s="9">
        <v>45292</v>
      </c>
      <c r="F224" s="9">
        <v>45322</v>
      </c>
      <c r="G224">
        <v>33036916</v>
      </c>
      <c r="H224">
        <v>6794832</v>
      </c>
      <c r="I224">
        <v>4431900</v>
      </c>
      <c r="J224">
        <v>1005312</v>
      </c>
      <c r="K224">
        <v>184008</v>
      </c>
      <c r="L224">
        <v>290972</v>
      </c>
      <c r="M224">
        <v>0</v>
      </c>
      <c r="T224" s="9">
        <v>45108</v>
      </c>
      <c r="U224" s="9">
        <v>45473</v>
      </c>
      <c r="V224">
        <f>SUM(POTABLE_NONPOTABLE_API[[#This Row],[RESIDENTIAL_SINGLEFAMILY_GAL]:[OTHER_GAL]])</f>
        <v>45743940</v>
      </c>
      <c r="W224">
        <f>SUM(POTABLE_NONPOTABLE_API[[#This Row],[NONPOTABLE_DEMAND_RESIDENTIAL_RECYCLED_WATER_GAL]:[NONPOTABLE_DEMAND_NONRESIDENTIAL_METERED_IRRIGATION_GAL]])</f>
        <v>0</v>
      </c>
      <c r="X224" t="str">
        <f>IFERROR(INDEX(Crosswalk_API!$H$2:$H$527, MATCH(POTABLE_NONPOTABLE_API[[#This Row],[PWSID]], CW_PWSID_LIST, 0)), "")</f>
        <v>No</v>
      </c>
    </row>
    <row r="225" spans="1:24" x14ac:dyDescent="0.25">
      <c r="A225" t="s">
        <v>762</v>
      </c>
      <c r="B225" t="s">
        <v>763</v>
      </c>
      <c r="C225" t="s">
        <v>764</v>
      </c>
      <c r="D225" t="s">
        <v>765</v>
      </c>
      <c r="E225" s="9">
        <v>45323</v>
      </c>
      <c r="F225" s="9">
        <v>45351</v>
      </c>
      <c r="G225">
        <v>27742572</v>
      </c>
      <c r="H225">
        <v>5410284</v>
      </c>
      <c r="I225">
        <v>3869404</v>
      </c>
      <c r="J225">
        <v>439824</v>
      </c>
      <c r="K225">
        <v>100980</v>
      </c>
      <c r="L225">
        <v>317900</v>
      </c>
      <c r="M225">
        <v>0</v>
      </c>
      <c r="T225" s="9">
        <v>45108</v>
      </c>
      <c r="U225" s="9">
        <v>45473</v>
      </c>
      <c r="V225">
        <f>SUM(POTABLE_NONPOTABLE_API[[#This Row],[RESIDENTIAL_SINGLEFAMILY_GAL]:[OTHER_GAL]])</f>
        <v>37880964</v>
      </c>
      <c r="W225">
        <f>SUM(POTABLE_NONPOTABLE_API[[#This Row],[NONPOTABLE_DEMAND_RESIDENTIAL_RECYCLED_WATER_GAL]:[NONPOTABLE_DEMAND_NONRESIDENTIAL_METERED_IRRIGATION_GAL]])</f>
        <v>0</v>
      </c>
      <c r="X225" t="str">
        <f>IFERROR(INDEX(Crosswalk_API!$H$2:$H$527, MATCH(POTABLE_NONPOTABLE_API[[#This Row],[PWSID]], CW_PWSID_LIST, 0)), "")</f>
        <v>No</v>
      </c>
    </row>
    <row r="226" spans="1:24" x14ac:dyDescent="0.25">
      <c r="A226" t="s">
        <v>762</v>
      </c>
      <c r="B226" t="s">
        <v>763</v>
      </c>
      <c r="C226" t="s">
        <v>764</v>
      </c>
      <c r="D226" t="s">
        <v>765</v>
      </c>
      <c r="E226" s="9">
        <v>45352</v>
      </c>
      <c r="F226" s="9">
        <v>45382</v>
      </c>
      <c r="G226">
        <v>32174472</v>
      </c>
      <c r="H226">
        <v>9403108</v>
      </c>
      <c r="I226">
        <v>4906880</v>
      </c>
      <c r="J226">
        <v>460768</v>
      </c>
      <c r="K226">
        <v>182512</v>
      </c>
      <c r="L226">
        <v>22440</v>
      </c>
      <c r="M226">
        <v>0</v>
      </c>
      <c r="T226" s="9">
        <v>45108</v>
      </c>
      <c r="U226" s="9">
        <v>45473</v>
      </c>
      <c r="V226">
        <f>SUM(POTABLE_NONPOTABLE_API[[#This Row],[RESIDENTIAL_SINGLEFAMILY_GAL]:[OTHER_GAL]])</f>
        <v>47150180</v>
      </c>
      <c r="W226">
        <f>SUM(POTABLE_NONPOTABLE_API[[#This Row],[NONPOTABLE_DEMAND_RESIDENTIAL_RECYCLED_WATER_GAL]:[NONPOTABLE_DEMAND_NONRESIDENTIAL_METERED_IRRIGATION_GAL]])</f>
        <v>0</v>
      </c>
      <c r="X226" t="str">
        <f>IFERROR(INDEX(Crosswalk_API!$H$2:$H$527, MATCH(POTABLE_NONPOTABLE_API[[#This Row],[PWSID]], CW_PWSID_LIST, 0)), "")</f>
        <v>No</v>
      </c>
    </row>
    <row r="227" spans="1:24" x14ac:dyDescent="0.25">
      <c r="A227" t="s">
        <v>762</v>
      </c>
      <c r="B227" t="s">
        <v>763</v>
      </c>
      <c r="C227" t="s">
        <v>764</v>
      </c>
      <c r="D227" t="s">
        <v>765</v>
      </c>
      <c r="E227" s="9">
        <v>45383</v>
      </c>
      <c r="F227" s="9">
        <v>45412</v>
      </c>
      <c r="G227">
        <v>35253988</v>
      </c>
      <c r="H227">
        <v>5652636</v>
      </c>
      <c r="I227">
        <v>5073684</v>
      </c>
      <c r="J227">
        <v>629816</v>
      </c>
      <c r="K227">
        <v>494428</v>
      </c>
      <c r="L227">
        <v>297704</v>
      </c>
      <c r="M227">
        <v>0</v>
      </c>
      <c r="T227" s="9">
        <v>45108</v>
      </c>
      <c r="U227" s="9">
        <v>45473</v>
      </c>
      <c r="V227">
        <f>SUM(POTABLE_NONPOTABLE_API[[#This Row],[RESIDENTIAL_SINGLEFAMILY_GAL]:[OTHER_GAL]])</f>
        <v>47402256</v>
      </c>
      <c r="W227">
        <f>SUM(POTABLE_NONPOTABLE_API[[#This Row],[NONPOTABLE_DEMAND_RESIDENTIAL_RECYCLED_WATER_GAL]:[NONPOTABLE_DEMAND_NONRESIDENTIAL_METERED_IRRIGATION_GAL]])</f>
        <v>0</v>
      </c>
      <c r="X227" t="str">
        <f>IFERROR(INDEX(Crosswalk_API!$H$2:$H$527, MATCH(POTABLE_NONPOTABLE_API[[#This Row],[PWSID]], CW_PWSID_LIST, 0)), "")</f>
        <v>No</v>
      </c>
    </row>
    <row r="228" spans="1:24" x14ac:dyDescent="0.25">
      <c r="A228" t="s">
        <v>762</v>
      </c>
      <c r="B228" t="s">
        <v>763</v>
      </c>
      <c r="C228" t="s">
        <v>764</v>
      </c>
      <c r="D228" t="s">
        <v>765</v>
      </c>
      <c r="E228" s="9">
        <v>45413</v>
      </c>
      <c r="F228" s="9">
        <v>45443</v>
      </c>
      <c r="G228">
        <v>45899524</v>
      </c>
      <c r="H228">
        <v>6835224</v>
      </c>
      <c r="I228">
        <v>6402880</v>
      </c>
      <c r="J228">
        <v>2315060</v>
      </c>
      <c r="K228">
        <v>1150424</v>
      </c>
      <c r="L228">
        <v>124168</v>
      </c>
      <c r="M228">
        <v>0</v>
      </c>
      <c r="T228" s="9">
        <v>45108</v>
      </c>
      <c r="U228" s="9">
        <v>45473</v>
      </c>
      <c r="V228">
        <f>SUM(POTABLE_NONPOTABLE_API[[#This Row],[RESIDENTIAL_SINGLEFAMILY_GAL]:[OTHER_GAL]])</f>
        <v>62727280</v>
      </c>
      <c r="W228">
        <f>SUM(POTABLE_NONPOTABLE_API[[#This Row],[NONPOTABLE_DEMAND_RESIDENTIAL_RECYCLED_WATER_GAL]:[NONPOTABLE_DEMAND_NONRESIDENTIAL_METERED_IRRIGATION_GAL]])</f>
        <v>0</v>
      </c>
      <c r="X228" t="str">
        <f>IFERROR(INDEX(Crosswalk_API!$H$2:$H$527, MATCH(POTABLE_NONPOTABLE_API[[#This Row],[PWSID]], CW_PWSID_LIST, 0)), "")</f>
        <v>No</v>
      </c>
    </row>
    <row r="229" spans="1:24" x14ac:dyDescent="0.25">
      <c r="A229" t="s">
        <v>762</v>
      </c>
      <c r="B229" t="s">
        <v>763</v>
      </c>
      <c r="C229" t="s">
        <v>764</v>
      </c>
      <c r="D229" t="s">
        <v>765</v>
      </c>
      <c r="E229" s="9">
        <v>45444</v>
      </c>
      <c r="F229" s="9">
        <v>45473</v>
      </c>
      <c r="G229">
        <v>56284008</v>
      </c>
      <c r="H229">
        <v>7812112</v>
      </c>
      <c r="I229">
        <v>8969268</v>
      </c>
      <c r="J229">
        <v>6842704</v>
      </c>
      <c r="K229">
        <v>670956</v>
      </c>
      <c r="L229">
        <v>443564</v>
      </c>
      <c r="M229">
        <v>0</v>
      </c>
      <c r="T229" s="9">
        <v>45108</v>
      </c>
      <c r="U229" s="9">
        <v>45473</v>
      </c>
      <c r="V229">
        <f>SUM(POTABLE_NONPOTABLE_API[[#This Row],[RESIDENTIAL_SINGLEFAMILY_GAL]:[OTHER_GAL]])</f>
        <v>81022612</v>
      </c>
      <c r="W229">
        <f>SUM(POTABLE_NONPOTABLE_API[[#This Row],[NONPOTABLE_DEMAND_RESIDENTIAL_RECYCLED_WATER_GAL]:[NONPOTABLE_DEMAND_NONRESIDENTIAL_METERED_IRRIGATION_GAL]])</f>
        <v>0</v>
      </c>
      <c r="X229" t="str">
        <f>IFERROR(INDEX(Crosswalk_API!$H$2:$H$527, MATCH(POTABLE_NONPOTABLE_API[[#This Row],[PWSID]], CW_PWSID_LIST, 0)), "")</f>
        <v>No</v>
      </c>
    </row>
    <row r="230" spans="1:24" x14ac:dyDescent="0.25">
      <c r="A230" t="s">
        <v>767</v>
      </c>
      <c r="B230" t="s">
        <v>768</v>
      </c>
      <c r="C230" t="s">
        <v>769</v>
      </c>
      <c r="D230" t="s">
        <v>770</v>
      </c>
      <c r="E230" s="9">
        <v>45108</v>
      </c>
      <c r="F230" s="9">
        <v>45138</v>
      </c>
      <c r="G230">
        <v>122900000</v>
      </c>
      <c r="H230">
        <v>12800000</v>
      </c>
      <c r="I230">
        <v>12600000</v>
      </c>
      <c r="J230">
        <v>15300000</v>
      </c>
      <c r="K230">
        <v>10000</v>
      </c>
      <c r="L230">
        <v>0</v>
      </c>
      <c r="M230">
        <v>0</v>
      </c>
      <c r="T230" s="9">
        <v>45108</v>
      </c>
      <c r="U230" s="9">
        <v>45473</v>
      </c>
      <c r="V230">
        <f>SUM(POTABLE_NONPOTABLE_API[[#This Row],[RESIDENTIAL_SINGLEFAMILY_GAL]:[OTHER_GAL]])</f>
        <v>163610000</v>
      </c>
      <c r="W230">
        <f>SUM(POTABLE_NONPOTABLE_API[[#This Row],[NONPOTABLE_DEMAND_RESIDENTIAL_RECYCLED_WATER_GAL]:[NONPOTABLE_DEMAND_NONRESIDENTIAL_METERED_IRRIGATION_GAL]])</f>
        <v>0</v>
      </c>
      <c r="X230" t="str">
        <f>IFERROR(INDEX(Crosswalk_API!$H$2:$H$527, MATCH(POTABLE_NONPOTABLE_API[[#This Row],[PWSID]], CW_PWSID_LIST, 0)), "")</f>
        <v>No</v>
      </c>
    </row>
    <row r="231" spans="1:24" x14ac:dyDescent="0.25">
      <c r="A231" t="s">
        <v>767</v>
      </c>
      <c r="B231" t="s">
        <v>768</v>
      </c>
      <c r="C231" t="s">
        <v>769</v>
      </c>
      <c r="D231" t="s">
        <v>770</v>
      </c>
      <c r="E231" s="9">
        <v>45139</v>
      </c>
      <c r="F231" s="9">
        <v>45169</v>
      </c>
      <c r="G231">
        <v>128780000</v>
      </c>
      <c r="H231">
        <v>12900000</v>
      </c>
      <c r="I231">
        <v>12690000</v>
      </c>
      <c r="J231">
        <v>17490000</v>
      </c>
      <c r="K231">
        <v>120000</v>
      </c>
      <c r="L231">
        <v>0</v>
      </c>
      <c r="M231">
        <v>0</v>
      </c>
      <c r="T231" s="9">
        <v>45108</v>
      </c>
      <c r="U231" s="9">
        <v>45473</v>
      </c>
      <c r="V231">
        <f>SUM(POTABLE_NONPOTABLE_API[[#This Row],[RESIDENTIAL_SINGLEFAMILY_GAL]:[OTHER_GAL]])</f>
        <v>171980000</v>
      </c>
      <c r="W231">
        <f>SUM(POTABLE_NONPOTABLE_API[[#This Row],[NONPOTABLE_DEMAND_RESIDENTIAL_RECYCLED_WATER_GAL]:[NONPOTABLE_DEMAND_NONRESIDENTIAL_METERED_IRRIGATION_GAL]])</f>
        <v>0</v>
      </c>
      <c r="X231" t="str">
        <f>IFERROR(INDEX(Crosswalk_API!$H$2:$H$527, MATCH(POTABLE_NONPOTABLE_API[[#This Row],[PWSID]], CW_PWSID_LIST, 0)), "")</f>
        <v>No</v>
      </c>
    </row>
    <row r="232" spans="1:24" x14ac:dyDescent="0.25">
      <c r="A232" t="s">
        <v>767</v>
      </c>
      <c r="B232" t="s">
        <v>768</v>
      </c>
      <c r="C232" t="s">
        <v>769</v>
      </c>
      <c r="D232" t="s">
        <v>770</v>
      </c>
      <c r="E232" s="9">
        <v>45170</v>
      </c>
      <c r="F232" s="9">
        <v>45199</v>
      </c>
      <c r="G232">
        <v>131030000</v>
      </c>
      <c r="H232">
        <v>14433000</v>
      </c>
      <c r="I232">
        <v>12898000</v>
      </c>
      <c r="J232">
        <v>16945000</v>
      </c>
      <c r="K232">
        <v>95000</v>
      </c>
      <c r="L232">
        <v>0</v>
      </c>
      <c r="M232">
        <v>0</v>
      </c>
      <c r="T232" s="9">
        <v>45108</v>
      </c>
      <c r="U232" s="9">
        <v>45473</v>
      </c>
      <c r="V232">
        <f>SUM(POTABLE_NONPOTABLE_API[[#This Row],[RESIDENTIAL_SINGLEFAMILY_GAL]:[OTHER_GAL]])</f>
        <v>175401000</v>
      </c>
      <c r="W232">
        <f>SUM(POTABLE_NONPOTABLE_API[[#This Row],[NONPOTABLE_DEMAND_RESIDENTIAL_RECYCLED_WATER_GAL]:[NONPOTABLE_DEMAND_NONRESIDENTIAL_METERED_IRRIGATION_GAL]])</f>
        <v>0</v>
      </c>
      <c r="X232" t="str">
        <f>IFERROR(INDEX(Crosswalk_API!$H$2:$H$527, MATCH(POTABLE_NONPOTABLE_API[[#This Row],[PWSID]], CW_PWSID_LIST, 0)), "")</f>
        <v>No</v>
      </c>
    </row>
    <row r="233" spans="1:24" x14ac:dyDescent="0.25">
      <c r="A233" t="s">
        <v>767</v>
      </c>
      <c r="B233" t="s">
        <v>768</v>
      </c>
      <c r="C233" t="s">
        <v>769</v>
      </c>
      <c r="D233" t="s">
        <v>770</v>
      </c>
      <c r="E233" s="9">
        <v>45200</v>
      </c>
      <c r="F233" s="9">
        <v>45230</v>
      </c>
      <c r="G233">
        <v>116757000</v>
      </c>
      <c r="H233">
        <v>13797000</v>
      </c>
      <c r="I233">
        <v>12436000</v>
      </c>
      <c r="J233">
        <v>14176000</v>
      </c>
      <c r="K233">
        <v>99000</v>
      </c>
      <c r="L233">
        <v>0</v>
      </c>
      <c r="M233">
        <v>0</v>
      </c>
      <c r="T233" s="9">
        <v>45108</v>
      </c>
      <c r="U233" s="9">
        <v>45473</v>
      </c>
      <c r="V233">
        <f>SUM(POTABLE_NONPOTABLE_API[[#This Row],[RESIDENTIAL_SINGLEFAMILY_GAL]:[OTHER_GAL]])</f>
        <v>157265000</v>
      </c>
      <c r="W233">
        <f>SUM(POTABLE_NONPOTABLE_API[[#This Row],[NONPOTABLE_DEMAND_RESIDENTIAL_RECYCLED_WATER_GAL]:[NONPOTABLE_DEMAND_NONRESIDENTIAL_METERED_IRRIGATION_GAL]])</f>
        <v>0</v>
      </c>
      <c r="X233" t="str">
        <f>IFERROR(INDEX(Crosswalk_API!$H$2:$H$527, MATCH(POTABLE_NONPOTABLE_API[[#This Row],[PWSID]], CW_PWSID_LIST, 0)), "")</f>
        <v>No</v>
      </c>
    </row>
    <row r="234" spans="1:24" x14ac:dyDescent="0.25">
      <c r="A234" t="s">
        <v>767</v>
      </c>
      <c r="B234" t="s">
        <v>768</v>
      </c>
      <c r="C234" t="s">
        <v>769</v>
      </c>
      <c r="D234" t="s">
        <v>770</v>
      </c>
      <c r="E234" s="9">
        <v>45231</v>
      </c>
      <c r="F234" s="9">
        <v>45260</v>
      </c>
      <c r="G234">
        <v>100096000</v>
      </c>
      <c r="H234">
        <v>12775000</v>
      </c>
      <c r="I234">
        <v>11721000</v>
      </c>
      <c r="J234">
        <v>11789000</v>
      </c>
      <c r="K234">
        <v>110000</v>
      </c>
      <c r="L234">
        <v>0</v>
      </c>
      <c r="M234">
        <v>0</v>
      </c>
      <c r="T234" s="9">
        <v>45108</v>
      </c>
      <c r="U234" s="9">
        <v>45473</v>
      </c>
      <c r="V234">
        <f>SUM(POTABLE_NONPOTABLE_API[[#This Row],[RESIDENTIAL_SINGLEFAMILY_GAL]:[OTHER_GAL]])</f>
        <v>136491000</v>
      </c>
      <c r="W234">
        <f>SUM(POTABLE_NONPOTABLE_API[[#This Row],[NONPOTABLE_DEMAND_RESIDENTIAL_RECYCLED_WATER_GAL]:[NONPOTABLE_DEMAND_NONRESIDENTIAL_METERED_IRRIGATION_GAL]])</f>
        <v>0</v>
      </c>
      <c r="X234" t="str">
        <f>IFERROR(INDEX(Crosswalk_API!$H$2:$H$527, MATCH(POTABLE_NONPOTABLE_API[[#This Row],[PWSID]], CW_PWSID_LIST, 0)), "")</f>
        <v>No</v>
      </c>
    </row>
    <row r="235" spans="1:24" x14ac:dyDescent="0.25">
      <c r="A235" t="s">
        <v>767</v>
      </c>
      <c r="B235" t="s">
        <v>768</v>
      </c>
      <c r="C235" t="s">
        <v>769</v>
      </c>
      <c r="D235" t="s">
        <v>770</v>
      </c>
      <c r="E235" s="9">
        <v>45261</v>
      </c>
      <c r="F235" s="9">
        <v>45291</v>
      </c>
      <c r="G235">
        <v>73709000</v>
      </c>
      <c r="H235">
        <v>11862000</v>
      </c>
      <c r="I235">
        <v>11220000</v>
      </c>
      <c r="J235">
        <v>4956000</v>
      </c>
      <c r="K235">
        <v>157000</v>
      </c>
      <c r="L235">
        <v>0</v>
      </c>
      <c r="M235">
        <v>0</v>
      </c>
      <c r="T235" s="9">
        <v>45108</v>
      </c>
      <c r="U235" s="9">
        <v>45473</v>
      </c>
      <c r="V235">
        <f>SUM(POTABLE_NONPOTABLE_API[[#This Row],[RESIDENTIAL_SINGLEFAMILY_GAL]:[OTHER_GAL]])</f>
        <v>101904000</v>
      </c>
      <c r="W235">
        <f>SUM(POTABLE_NONPOTABLE_API[[#This Row],[NONPOTABLE_DEMAND_RESIDENTIAL_RECYCLED_WATER_GAL]:[NONPOTABLE_DEMAND_NONRESIDENTIAL_METERED_IRRIGATION_GAL]])</f>
        <v>0</v>
      </c>
      <c r="X235" t="str">
        <f>IFERROR(INDEX(Crosswalk_API!$H$2:$H$527, MATCH(POTABLE_NONPOTABLE_API[[#This Row],[PWSID]], CW_PWSID_LIST, 0)), "")</f>
        <v>No</v>
      </c>
    </row>
    <row r="236" spans="1:24" x14ac:dyDescent="0.25">
      <c r="A236" t="s">
        <v>767</v>
      </c>
      <c r="B236" t="s">
        <v>768</v>
      </c>
      <c r="C236" t="s">
        <v>769</v>
      </c>
      <c r="D236" t="s">
        <v>770</v>
      </c>
      <c r="E236" s="9">
        <v>45292</v>
      </c>
      <c r="F236" s="9">
        <v>45322</v>
      </c>
      <c r="G236">
        <v>42037000</v>
      </c>
      <c r="H236">
        <v>8419000</v>
      </c>
      <c r="I236">
        <v>6679000</v>
      </c>
      <c r="J236">
        <v>1504000</v>
      </c>
      <c r="K236">
        <v>99000</v>
      </c>
      <c r="L236">
        <v>0</v>
      </c>
      <c r="M236">
        <v>0</v>
      </c>
      <c r="T236" s="9">
        <v>45108</v>
      </c>
      <c r="U236" s="9">
        <v>45473</v>
      </c>
      <c r="V236">
        <f>SUM(POTABLE_NONPOTABLE_API[[#This Row],[RESIDENTIAL_SINGLEFAMILY_GAL]:[OTHER_GAL]])</f>
        <v>58738000</v>
      </c>
      <c r="W236">
        <f>SUM(POTABLE_NONPOTABLE_API[[#This Row],[NONPOTABLE_DEMAND_RESIDENTIAL_RECYCLED_WATER_GAL]:[NONPOTABLE_DEMAND_NONRESIDENTIAL_METERED_IRRIGATION_GAL]])</f>
        <v>0</v>
      </c>
      <c r="X236" t="str">
        <f>IFERROR(INDEX(Crosswalk_API!$H$2:$H$527, MATCH(POTABLE_NONPOTABLE_API[[#This Row],[PWSID]], CW_PWSID_LIST, 0)), "")</f>
        <v>No</v>
      </c>
    </row>
    <row r="237" spans="1:24" x14ac:dyDescent="0.25">
      <c r="A237" t="s">
        <v>767</v>
      </c>
      <c r="B237" t="s">
        <v>768</v>
      </c>
      <c r="C237" t="s">
        <v>769</v>
      </c>
      <c r="D237" t="s">
        <v>770</v>
      </c>
      <c r="E237" s="9">
        <v>45323</v>
      </c>
      <c r="F237" s="9">
        <v>45351</v>
      </c>
      <c r="G237">
        <v>26322000</v>
      </c>
      <c r="H237">
        <v>4728000</v>
      </c>
      <c r="I237">
        <v>4642000</v>
      </c>
      <c r="J237">
        <v>1166000</v>
      </c>
      <c r="K237">
        <v>44000</v>
      </c>
      <c r="L237">
        <v>21000</v>
      </c>
      <c r="M237">
        <v>0</v>
      </c>
      <c r="T237" s="9">
        <v>45108</v>
      </c>
      <c r="U237" s="9">
        <v>45473</v>
      </c>
      <c r="V237">
        <f>SUM(POTABLE_NONPOTABLE_API[[#This Row],[RESIDENTIAL_SINGLEFAMILY_GAL]:[OTHER_GAL]])</f>
        <v>36923000</v>
      </c>
      <c r="W237">
        <f>SUM(POTABLE_NONPOTABLE_API[[#This Row],[NONPOTABLE_DEMAND_RESIDENTIAL_RECYCLED_WATER_GAL]:[NONPOTABLE_DEMAND_NONRESIDENTIAL_METERED_IRRIGATION_GAL]])</f>
        <v>0</v>
      </c>
      <c r="X237" t="str">
        <f>IFERROR(INDEX(Crosswalk_API!$H$2:$H$527, MATCH(POTABLE_NONPOTABLE_API[[#This Row],[PWSID]], CW_PWSID_LIST, 0)), "")</f>
        <v>No</v>
      </c>
    </row>
    <row r="238" spans="1:24" x14ac:dyDescent="0.25">
      <c r="A238" t="s">
        <v>767</v>
      </c>
      <c r="B238" t="s">
        <v>768</v>
      </c>
      <c r="C238" t="s">
        <v>769</v>
      </c>
      <c r="D238" t="s">
        <v>770</v>
      </c>
      <c r="E238" s="9">
        <v>45352</v>
      </c>
      <c r="F238" s="9">
        <v>45382</v>
      </c>
      <c r="G238">
        <v>43446000</v>
      </c>
      <c r="H238">
        <v>8204000.0000000009</v>
      </c>
      <c r="I238">
        <v>6869000</v>
      </c>
      <c r="J238">
        <v>2281000</v>
      </c>
      <c r="K238">
        <v>80000</v>
      </c>
      <c r="L238">
        <v>0</v>
      </c>
      <c r="M238">
        <v>0</v>
      </c>
      <c r="T238" s="9">
        <v>45108</v>
      </c>
      <c r="U238" s="9">
        <v>45473</v>
      </c>
      <c r="V238">
        <f>SUM(POTABLE_NONPOTABLE_API[[#This Row],[RESIDENTIAL_SINGLEFAMILY_GAL]:[OTHER_GAL]])</f>
        <v>60880000</v>
      </c>
      <c r="W238">
        <f>SUM(POTABLE_NONPOTABLE_API[[#This Row],[NONPOTABLE_DEMAND_RESIDENTIAL_RECYCLED_WATER_GAL]:[NONPOTABLE_DEMAND_NONRESIDENTIAL_METERED_IRRIGATION_GAL]])</f>
        <v>0</v>
      </c>
      <c r="X238" t="str">
        <f>IFERROR(INDEX(Crosswalk_API!$H$2:$H$527, MATCH(POTABLE_NONPOTABLE_API[[#This Row],[PWSID]], CW_PWSID_LIST, 0)), "")</f>
        <v>No</v>
      </c>
    </row>
    <row r="239" spans="1:24" x14ac:dyDescent="0.25">
      <c r="A239" t="s">
        <v>767</v>
      </c>
      <c r="B239" t="s">
        <v>768</v>
      </c>
      <c r="C239" t="s">
        <v>769</v>
      </c>
      <c r="D239" t="s">
        <v>770</v>
      </c>
      <c r="E239" s="9">
        <v>45383</v>
      </c>
      <c r="F239" s="9">
        <v>45412</v>
      </c>
      <c r="G239">
        <v>53736000</v>
      </c>
      <c r="H239">
        <v>9040000</v>
      </c>
      <c r="I239">
        <v>8174000</v>
      </c>
      <c r="J239">
        <v>5658000</v>
      </c>
      <c r="K239">
        <v>70000</v>
      </c>
      <c r="L239">
        <v>0</v>
      </c>
      <c r="M239">
        <v>0</v>
      </c>
      <c r="T239" s="9">
        <v>45108</v>
      </c>
      <c r="U239" s="9">
        <v>45473</v>
      </c>
      <c r="V239">
        <f>SUM(POTABLE_NONPOTABLE_API[[#This Row],[RESIDENTIAL_SINGLEFAMILY_GAL]:[OTHER_GAL]])</f>
        <v>76678000</v>
      </c>
      <c r="W239">
        <f>SUM(POTABLE_NONPOTABLE_API[[#This Row],[NONPOTABLE_DEMAND_RESIDENTIAL_RECYCLED_WATER_GAL]:[NONPOTABLE_DEMAND_NONRESIDENTIAL_METERED_IRRIGATION_GAL]])</f>
        <v>0</v>
      </c>
      <c r="X239" t="str">
        <f>IFERROR(INDEX(Crosswalk_API!$H$2:$H$527, MATCH(POTABLE_NONPOTABLE_API[[#This Row],[PWSID]], CW_PWSID_LIST, 0)), "")</f>
        <v>No</v>
      </c>
    </row>
    <row r="240" spans="1:24" x14ac:dyDescent="0.25">
      <c r="A240" t="s">
        <v>767</v>
      </c>
      <c r="B240" t="s">
        <v>768</v>
      </c>
      <c r="C240" t="s">
        <v>769</v>
      </c>
      <c r="D240" t="s">
        <v>770</v>
      </c>
      <c r="E240" s="9">
        <v>45413</v>
      </c>
      <c r="F240" s="9">
        <v>45443</v>
      </c>
      <c r="G240">
        <v>75581000</v>
      </c>
      <c r="H240">
        <v>9357000</v>
      </c>
      <c r="I240">
        <v>8974000</v>
      </c>
      <c r="J240">
        <v>7039000</v>
      </c>
      <c r="K240">
        <v>88000</v>
      </c>
      <c r="L240">
        <v>0</v>
      </c>
      <c r="M240">
        <v>0</v>
      </c>
      <c r="T240" s="9">
        <v>45108</v>
      </c>
      <c r="U240" s="9">
        <v>45473</v>
      </c>
      <c r="V240">
        <f>SUM(POTABLE_NONPOTABLE_API[[#This Row],[RESIDENTIAL_SINGLEFAMILY_GAL]:[OTHER_GAL]])</f>
        <v>101039000</v>
      </c>
      <c r="W240">
        <f>SUM(POTABLE_NONPOTABLE_API[[#This Row],[NONPOTABLE_DEMAND_RESIDENTIAL_RECYCLED_WATER_GAL]:[NONPOTABLE_DEMAND_NONRESIDENTIAL_METERED_IRRIGATION_GAL]])</f>
        <v>0</v>
      </c>
      <c r="X240" t="str">
        <f>IFERROR(INDEX(Crosswalk_API!$H$2:$H$527, MATCH(POTABLE_NONPOTABLE_API[[#This Row],[PWSID]], CW_PWSID_LIST, 0)), "")</f>
        <v>No</v>
      </c>
    </row>
    <row r="241" spans="1:24" x14ac:dyDescent="0.25">
      <c r="A241" t="s">
        <v>767</v>
      </c>
      <c r="B241" t="s">
        <v>768</v>
      </c>
      <c r="C241" t="s">
        <v>769</v>
      </c>
      <c r="D241" t="s">
        <v>770</v>
      </c>
      <c r="E241" s="9">
        <v>45444</v>
      </c>
      <c r="F241" s="9">
        <v>45473</v>
      </c>
      <c r="G241">
        <v>111540000</v>
      </c>
      <c r="H241">
        <v>13164000</v>
      </c>
      <c r="I241">
        <v>11703000</v>
      </c>
      <c r="J241">
        <v>14601000</v>
      </c>
      <c r="K241">
        <v>116000</v>
      </c>
      <c r="L241">
        <v>0</v>
      </c>
      <c r="M241">
        <v>0</v>
      </c>
      <c r="T241" s="9">
        <v>45108</v>
      </c>
      <c r="U241" s="9">
        <v>45473</v>
      </c>
      <c r="V241">
        <f>SUM(POTABLE_NONPOTABLE_API[[#This Row],[RESIDENTIAL_SINGLEFAMILY_GAL]:[OTHER_GAL]])</f>
        <v>151124000</v>
      </c>
      <c r="W241">
        <f>SUM(POTABLE_NONPOTABLE_API[[#This Row],[NONPOTABLE_DEMAND_RESIDENTIAL_RECYCLED_WATER_GAL]:[NONPOTABLE_DEMAND_NONRESIDENTIAL_METERED_IRRIGATION_GAL]])</f>
        <v>0</v>
      </c>
      <c r="X241" t="str">
        <f>IFERROR(INDEX(Crosswalk_API!$H$2:$H$527, MATCH(POTABLE_NONPOTABLE_API[[#This Row],[PWSID]], CW_PWSID_LIST, 0)), "")</f>
        <v>No</v>
      </c>
    </row>
    <row r="242" spans="1:24" x14ac:dyDescent="0.25">
      <c r="A242" t="s">
        <v>776</v>
      </c>
      <c r="B242" t="s">
        <v>777</v>
      </c>
      <c r="C242" t="s">
        <v>778</v>
      </c>
      <c r="D242" t="s">
        <v>779</v>
      </c>
      <c r="E242" s="9">
        <v>45108</v>
      </c>
      <c r="F242" s="9">
        <v>45138</v>
      </c>
      <c r="G242">
        <v>219273490.55200002</v>
      </c>
      <c r="H242">
        <v>0</v>
      </c>
      <c r="I242">
        <v>113094989.67200001</v>
      </c>
      <c r="J242">
        <v>0</v>
      </c>
      <c r="K242">
        <v>49657935.916000001</v>
      </c>
      <c r="L242">
        <v>70316.888000000006</v>
      </c>
      <c r="M242">
        <v>0</v>
      </c>
      <c r="T242" s="9">
        <v>45108</v>
      </c>
      <c r="U242" s="9">
        <v>45473</v>
      </c>
      <c r="V242">
        <f>SUM(POTABLE_NONPOTABLE_API[[#This Row],[RESIDENTIAL_SINGLEFAMILY_GAL]:[OTHER_GAL]])</f>
        <v>382096733.02800006</v>
      </c>
      <c r="W242">
        <f>SUM(POTABLE_NONPOTABLE_API[[#This Row],[NONPOTABLE_DEMAND_RESIDENTIAL_RECYCLED_WATER_GAL]:[NONPOTABLE_DEMAND_NONRESIDENTIAL_METERED_IRRIGATION_GAL]])</f>
        <v>0</v>
      </c>
      <c r="X242" t="str">
        <f>IFERROR(INDEX(Crosswalk_API!$H$2:$H$527, MATCH(POTABLE_NONPOTABLE_API[[#This Row],[PWSID]], CW_PWSID_LIST, 0)), "")</f>
        <v>No</v>
      </c>
    </row>
    <row r="243" spans="1:24" x14ac:dyDescent="0.25">
      <c r="A243" t="s">
        <v>776</v>
      </c>
      <c r="B243" t="s">
        <v>777</v>
      </c>
      <c r="C243" t="s">
        <v>778</v>
      </c>
      <c r="D243" t="s">
        <v>779</v>
      </c>
      <c r="E243" s="9">
        <v>45139</v>
      </c>
      <c r="F243" s="9">
        <v>45169</v>
      </c>
      <c r="G243">
        <v>277157006.25999999</v>
      </c>
      <c r="H243">
        <v>0</v>
      </c>
      <c r="I243">
        <v>152476935.264</v>
      </c>
      <c r="J243">
        <v>0</v>
      </c>
      <c r="K243">
        <v>64826934.372000001</v>
      </c>
      <c r="L243">
        <v>83033.771999999997</v>
      </c>
      <c r="M243">
        <v>0</v>
      </c>
      <c r="T243" s="9">
        <v>45108</v>
      </c>
      <c r="U243" s="9">
        <v>45473</v>
      </c>
      <c r="V243">
        <f>SUM(POTABLE_NONPOTABLE_API[[#This Row],[RESIDENTIAL_SINGLEFAMILY_GAL]:[OTHER_GAL]])</f>
        <v>494543909.66799998</v>
      </c>
      <c r="W243">
        <f>SUM(POTABLE_NONPOTABLE_API[[#This Row],[NONPOTABLE_DEMAND_RESIDENTIAL_RECYCLED_WATER_GAL]:[NONPOTABLE_DEMAND_NONRESIDENTIAL_METERED_IRRIGATION_GAL]])</f>
        <v>0</v>
      </c>
      <c r="X243" t="str">
        <f>IFERROR(INDEX(Crosswalk_API!$H$2:$H$527, MATCH(POTABLE_NONPOTABLE_API[[#This Row],[PWSID]], CW_PWSID_LIST, 0)), "")</f>
        <v>No</v>
      </c>
    </row>
    <row r="244" spans="1:24" x14ac:dyDescent="0.25">
      <c r="A244" t="s">
        <v>776</v>
      </c>
      <c r="B244" t="s">
        <v>777</v>
      </c>
      <c r="C244" t="s">
        <v>778</v>
      </c>
      <c r="D244" t="s">
        <v>779</v>
      </c>
      <c r="E244" s="9">
        <v>45170</v>
      </c>
      <c r="F244" s="9">
        <v>45199</v>
      </c>
      <c r="G244">
        <v>280656393.51600003</v>
      </c>
      <c r="H244">
        <v>0</v>
      </c>
      <c r="I244">
        <v>134527427.52399999</v>
      </c>
      <c r="J244">
        <v>0</v>
      </c>
      <c r="K244">
        <v>53806632.307999998</v>
      </c>
      <c r="L244">
        <v>91262.343999999997</v>
      </c>
      <c r="M244">
        <v>0</v>
      </c>
      <c r="T244" s="9">
        <v>45108</v>
      </c>
      <c r="U244" s="9">
        <v>45473</v>
      </c>
      <c r="V244">
        <f>SUM(POTABLE_NONPOTABLE_API[[#This Row],[RESIDENTIAL_SINGLEFAMILY_GAL]:[OTHER_GAL]])</f>
        <v>469081715.69200003</v>
      </c>
      <c r="W244">
        <f>SUM(POTABLE_NONPOTABLE_API[[#This Row],[NONPOTABLE_DEMAND_RESIDENTIAL_RECYCLED_WATER_GAL]:[NONPOTABLE_DEMAND_NONRESIDENTIAL_METERED_IRRIGATION_GAL]])</f>
        <v>0</v>
      </c>
      <c r="X244" t="str">
        <f>IFERROR(INDEX(Crosswalk_API!$H$2:$H$527, MATCH(POTABLE_NONPOTABLE_API[[#This Row],[PWSID]], CW_PWSID_LIST, 0)), "")</f>
        <v>No</v>
      </c>
    </row>
    <row r="245" spans="1:24" x14ac:dyDescent="0.25">
      <c r="A245" t="s">
        <v>776</v>
      </c>
      <c r="B245" t="s">
        <v>777</v>
      </c>
      <c r="C245" t="s">
        <v>778</v>
      </c>
      <c r="D245" t="s">
        <v>779</v>
      </c>
      <c r="E245" s="9">
        <v>45200</v>
      </c>
      <c r="F245" s="9">
        <v>45230</v>
      </c>
      <c r="G245">
        <v>195444294.09200001</v>
      </c>
      <c r="H245">
        <v>0</v>
      </c>
      <c r="I245">
        <v>108056859.45200001</v>
      </c>
      <c r="J245">
        <v>0</v>
      </c>
      <c r="K245">
        <v>57680793.616000004</v>
      </c>
      <c r="L245">
        <v>73309.096000000005</v>
      </c>
      <c r="M245">
        <v>0</v>
      </c>
      <c r="T245" s="9">
        <v>45108</v>
      </c>
      <c r="U245" s="9">
        <v>45473</v>
      </c>
      <c r="V245">
        <f>SUM(POTABLE_NONPOTABLE_API[[#This Row],[RESIDENTIAL_SINGLEFAMILY_GAL]:[OTHER_GAL]])</f>
        <v>361255256.25600004</v>
      </c>
      <c r="W245">
        <f>SUM(POTABLE_NONPOTABLE_API[[#This Row],[NONPOTABLE_DEMAND_RESIDENTIAL_RECYCLED_WATER_GAL]:[NONPOTABLE_DEMAND_NONRESIDENTIAL_METERED_IRRIGATION_GAL]])</f>
        <v>0</v>
      </c>
      <c r="X245" t="str">
        <f>IFERROR(INDEX(Crosswalk_API!$H$2:$H$527, MATCH(POTABLE_NONPOTABLE_API[[#This Row],[PWSID]], CW_PWSID_LIST, 0)), "")</f>
        <v>No</v>
      </c>
    </row>
    <row r="246" spans="1:24" x14ac:dyDescent="0.25">
      <c r="A246" t="s">
        <v>776</v>
      </c>
      <c r="B246" t="s">
        <v>777</v>
      </c>
      <c r="C246" t="s">
        <v>778</v>
      </c>
      <c r="D246" t="s">
        <v>779</v>
      </c>
      <c r="E246" s="9">
        <v>45231</v>
      </c>
      <c r="F246" s="9">
        <v>45260</v>
      </c>
      <c r="G246">
        <v>263938927.42000002</v>
      </c>
      <c r="H246">
        <v>0</v>
      </c>
      <c r="I246">
        <v>131174658.46000001</v>
      </c>
      <c r="J246">
        <v>0</v>
      </c>
      <c r="K246">
        <v>54577125.868000001</v>
      </c>
      <c r="L246">
        <v>144374.03599999999</v>
      </c>
      <c r="M246">
        <v>0</v>
      </c>
      <c r="T246" s="9">
        <v>45108</v>
      </c>
      <c r="U246" s="9">
        <v>45473</v>
      </c>
      <c r="V246">
        <f>SUM(POTABLE_NONPOTABLE_API[[#This Row],[RESIDENTIAL_SINGLEFAMILY_GAL]:[OTHER_GAL]])</f>
        <v>449835085.78400004</v>
      </c>
      <c r="W246">
        <f>SUM(POTABLE_NONPOTABLE_API[[#This Row],[NONPOTABLE_DEMAND_RESIDENTIAL_RECYCLED_WATER_GAL]:[NONPOTABLE_DEMAND_NONRESIDENTIAL_METERED_IRRIGATION_GAL]])</f>
        <v>0</v>
      </c>
      <c r="X246" t="str">
        <f>IFERROR(INDEX(Crosswalk_API!$H$2:$H$527, MATCH(POTABLE_NONPOTABLE_API[[#This Row],[PWSID]], CW_PWSID_LIST, 0)), "")</f>
        <v>No</v>
      </c>
    </row>
    <row r="247" spans="1:24" x14ac:dyDescent="0.25">
      <c r="A247" t="s">
        <v>776</v>
      </c>
      <c r="B247" t="s">
        <v>777</v>
      </c>
      <c r="C247" t="s">
        <v>778</v>
      </c>
      <c r="D247" t="s">
        <v>779</v>
      </c>
      <c r="E247" s="9">
        <v>45261</v>
      </c>
      <c r="F247" s="9">
        <v>45291</v>
      </c>
      <c r="G247">
        <v>208364648.236</v>
      </c>
      <c r="H247">
        <v>0</v>
      </c>
      <c r="I247">
        <v>88094343.780000001</v>
      </c>
      <c r="J247">
        <v>0</v>
      </c>
      <c r="K247">
        <v>39869675.495999999</v>
      </c>
      <c r="L247">
        <v>103231.17600000001</v>
      </c>
      <c r="M247">
        <v>0</v>
      </c>
      <c r="T247" s="9">
        <v>45108</v>
      </c>
      <c r="U247" s="9">
        <v>45473</v>
      </c>
      <c r="V247">
        <f>SUM(POTABLE_NONPOTABLE_API[[#This Row],[RESIDENTIAL_SINGLEFAMILY_GAL]:[OTHER_GAL]])</f>
        <v>336431898.68800002</v>
      </c>
      <c r="W247">
        <f>SUM(POTABLE_NONPOTABLE_API[[#This Row],[NONPOTABLE_DEMAND_RESIDENTIAL_RECYCLED_WATER_GAL]:[NONPOTABLE_DEMAND_NONRESIDENTIAL_METERED_IRRIGATION_GAL]])</f>
        <v>0</v>
      </c>
      <c r="X247" t="str">
        <f>IFERROR(INDEX(Crosswalk_API!$H$2:$H$527, MATCH(POTABLE_NONPOTABLE_API[[#This Row],[PWSID]], CW_PWSID_LIST, 0)), "")</f>
        <v>No</v>
      </c>
    </row>
    <row r="248" spans="1:24" x14ac:dyDescent="0.25">
      <c r="A248" t="s">
        <v>776</v>
      </c>
      <c r="B248" t="s">
        <v>777</v>
      </c>
      <c r="C248" t="s">
        <v>778</v>
      </c>
      <c r="D248" t="s">
        <v>779</v>
      </c>
      <c r="E248" s="9">
        <v>45292</v>
      </c>
      <c r="F248" s="9">
        <v>45322</v>
      </c>
      <c r="G248">
        <v>174961882.28</v>
      </c>
      <c r="H248">
        <v>0</v>
      </c>
      <c r="I248">
        <v>87280463.203999996</v>
      </c>
      <c r="J248">
        <v>0</v>
      </c>
      <c r="K248">
        <v>45685031.744000003</v>
      </c>
      <c r="L248">
        <v>47127.275999999998</v>
      </c>
      <c r="M248">
        <v>0</v>
      </c>
      <c r="T248" s="9">
        <v>45108</v>
      </c>
      <c r="U248" s="9">
        <v>45473</v>
      </c>
      <c r="V248">
        <f>SUM(POTABLE_NONPOTABLE_API[[#This Row],[RESIDENTIAL_SINGLEFAMILY_GAL]:[OTHER_GAL]])</f>
        <v>307974504.50400001</v>
      </c>
      <c r="W248">
        <f>SUM(POTABLE_NONPOTABLE_API[[#This Row],[NONPOTABLE_DEMAND_RESIDENTIAL_RECYCLED_WATER_GAL]:[NONPOTABLE_DEMAND_NONRESIDENTIAL_METERED_IRRIGATION_GAL]])</f>
        <v>0</v>
      </c>
      <c r="X248" t="str">
        <f>IFERROR(INDEX(Crosswalk_API!$H$2:$H$527, MATCH(POTABLE_NONPOTABLE_API[[#This Row],[PWSID]], CW_PWSID_LIST, 0)), "")</f>
        <v>No</v>
      </c>
    </row>
    <row r="249" spans="1:24" x14ac:dyDescent="0.25">
      <c r="A249" t="s">
        <v>776</v>
      </c>
      <c r="B249" t="s">
        <v>777</v>
      </c>
      <c r="C249" t="s">
        <v>778</v>
      </c>
      <c r="D249" t="s">
        <v>779</v>
      </c>
      <c r="E249" s="9">
        <v>45323</v>
      </c>
      <c r="F249" s="9">
        <v>45351</v>
      </c>
      <c r="G249">
        <v>170404749.49599999</v>
      </c>
      <c r="H249">
        <v>0</v>
      </c>
      <c r="I249">
        <v>75774675.392000005</v>
      </c>
      <c r="J249">
        <v>0</v>
      </c>
      <c r="K249">
        <v>49890580.088</v>
      </c>
      <c r="L249">
        <v>166815.59599999999</v>
      </c>
      <c r="M249">
        <v>0</v>
      </c>
      <c r="T249" s="9">
        <v>45108</v>
      </c>
      <c r="U249" s="9">
        <v>45473</v>
      </c>
      <c r="V249">
        <f>SUM(POTABLE_NONPOTABLE_API[[#This Row],[RESIDENTIAL_SINGLEFAMILY_GAL]:[OTHER_GAL]])</f>
        <v>296236820.57200003</v>
      </c>
      <c r="W249">
        <f>SUM(POTABLE_NONPOTABLE_API[[#This Row],[NONPOTABLE_DEMAND_RESIDENTIAL_RECYCLED_WATER_GAL]:[NONPOTABLE_DEMAND_NONRESIDENTIAL_METERED_IRRIGATION_GAL]])</f>
        <v>0</v>
      </c>
      <c r="X249" t="str">
        <f>IFERROR(INDEX(Crosswalk_API!$H$2:$H$527, MATCH(POTABLE_NONPOTABLE_API[[#This Row],[PWSID]], CW_PWSID_LIST, 0)), "")</f>
        <v>No</v>
      </c>
    </row>
    <row r="250" spans="1:24" x14ac:dyDescent="0.25">
      <c r="A250" t="s">
        <v>776</v>
      </c>
      <c r="B250" t="s">
        <v>777</v>
      </c>
      <c r="C250" t="s">
        <v>778</v>
      </c>
      <c r="D250" t="s">
        <v>779</v>
      </c>
      <c r="E250" s="9">
        <v>45352</v>
      </c>
      <c r="F250" s="9">
        <v>45382</v>
      </c>
      <c r="G250">
        <v>181713799.632</v>
      </c>
      <c r="H250">
        <v>0</v>
      </c>
      <c r="I250">
        <v>63330082.32</v>
      </c>
      <c r="J250">
        <v>0</v>
      </c>
      <c r="K250">
        <v>46538559.076000005</v>
      </c>
      <c r="L250">
        <v>76301.304000000004</v>
      </c>
      <c r="M250">
        <v>0</v>
      </c>
      <c r="T250" s="9">
        <v>45108</v>
      </c>
      <c r="U250" s="9">
        <v>45473</v>
      </c>
      <c r="V250">
        <f>SUM(POTABLE_NONPOTABLE_API[[#This Row],[RESIDENTIAL_SINGLEFAMILY_GAL]:[OTHER_GAL]])</f>
        <v>291658742.33200002</v>
      </c>
      <c r="W250">
        <f>SUM(POTABLE_NONPOTABLE_API[[#This Row],[NONPOTABLE_DEMAND_RESIDENTIAL_RECYCLED_WATER_GAL]:[NONPOTABLE_DEMAND_NONRESIDENTIAL_METERED_IRRIGATION_GAL]])</f>
        <v>0</v>
      </c>
      <c r="X250" t="str">
        <f>IFERROR(INDEX(Crosswalk_API!$H$2:$H$527, MATCH(POTABLE_NONPOTABLE_API[[#This Row],[PWSID]], CW_PWSID_LIST, 0)), "")</f>
        <v>No</v>
      </c>
    </row>
    <row r="251" spans="1:24" x14ac:dyDescent="0.25">
      <c r="A251" t="s">
        <v>776</v>
      </c>
      <c r="B251" t="s">
        <v>777</v>
      </c>
      <c r="C251" t="s">
        <v>778</v>
      </c>
      <c r="D251" t="s">
        <v>779</v>
      </c>
      <c r="E251" s="9">
        <v>45383</v>
      </c>
      <c r="F251" s="9">
        <v>45412</v>
      </c>
      <c r="G251">
        <v>173957996.49599999</v>
      </c>
      <c r="H251">
        <v>0</v>
      </c>
      <c r="I251">
        <v>80107392.576000005</v>
      </c>
      <c r="J251">
        <v>0</v>
      </c>
      <c r="K251">
        <v>58440814.447999999</v>
      </c>
      <c r="L251">
        <v>684467.58000000007</v>
      </c>
      <c r="M251">
        <v>0</v>
      </c>
      <c r="T251" s="9">
        <v>45108</v>
      </c>
      <c r="U251" s="9">
        <v>45473</v>
      </c>
      <c r="V251">
        <f>SUM(POTABLE_NONPOTABLE_API[[#This Row],[RESIDENTIAL_SINGLEFAMILY_GAL]:[OTHER_GAL]])</f>
        <v>313190671.09999996</v>
      </c>
      <c r="W251">
        <f>SUM(POTABLE_NONPOTABLE_API[[#This Row],[NONPOTABLE_DEMAND_RESIDENTIAL_RECYCLED_WATER_GAL]:[NONPOTABLE_DEMAND_NONRESIDENTIAL_METERED_IRRIGATION_GAL]])</f>
        <v>0</v>
      </c>
      <c r="X251" t="str">
        <f>IFERROR(INDEX(Crosswalk_API!$H$2:$H$527, MATCH(POTABLE_NONPOTABLE_API[[#This Row],[PWSID]], CW_PWSID_LIST, 0)), "")</f>
        <v>No</v>
      </c>
    </row>
    <row r="252" spans="1:24" x14ac:dyDescent="0.25">
      <c r="A252" t="s">
        <v>776</v>
      </c>
      <c r="B252" t="s">
        <v>777</v>
      </c>
      <c r="C252" t="s">
        <v>778</v>
      </c>
      <c r="D252" t="s">
        <v>779</v>
      </c>
      <c r="E252" s="9">
        <v>45413</v>
      </c>
      <c r="F252" s="9">
        <v>45443</v>
      </c>
      <c r="G252">
        <v>179836937.164</v>
      </c>
      <c r="H252">
        <v>0</v>
      </c>
      <c r="I252">
        <v>78713771.700000003</v>
      </c>
      <c r="J252">
        <v>0</v>
      </c>
      <c r="K252">
        <v>53075037.452</v>
      </c>
      <c r="L252">
        <v>37402.6</v>
      </c>
      <c r="M252">
        <v>0</v>
      </c>
      <c r="T252" s="9">
        <v>45108</v>
      </c>
      <c r="U252" s="9">
        <v>45473</v>
      </c>
      <c r="V252">
        <f>SUM(POTABLE_NONPOTABLE_API[[#This Row],[RESIDENTIAL_SINGLEFAMILY_GAL]:[OTHER_GAL]])</f>
        <v>311663148.91600007</v>
      </c>
      <c r="W252">
        <f>SUM(POTABLE_NONPOTABLE_API[[#This Row],[NONPOTABLE_DEMAND_RESIDENTIAL_RECYCLED_WATER_GAL]:[NONPOTABLE_DEMAND_NONRESIDENTIAL_METERED_IRRIGATION_GAL]])</f>
        <v>0</v>
      </c>
      <c r="X252" t="str">
        <f>IFERROR(INDEX(Crosswalk_API!$H$2:$H$527, MATCH(POTABLE_NONPOTABLE_API[[#This Row],[PWSID]], CW_PWSID_LIST, 0)), "")</f>
        <v>No</v>
      </c>
    </row>
    <row r="253" spans="1:24" x14ac:dyDescent="0.25">
      <c r="A253" t="s">
        <v>776</v>
      </c>
      <c r="B253" t="s">
        <v>777</v>
      </c>
      <c r="C253" t="s">
        <v>778</v>
      </c>
      <c r="D253" t="s">
        <v>779</v>
      </c>
      <c r="E253" s="9">
        <v>45444</v>
      </c>
      <c r="F253" s="9">
        <v>45473</v>
      </c>
      <c r="G253">
        <v>211104762.71200001</v>
      </c>
      <c r="H253">
        <v>0</v>
      </c>
      <c r="I253">
        <v>114892558.62800001</v>
      </c>
      <c r="J253">
        <v>0</v>
      </c>
      <c r="K253">
        <v>47708512.403999999</v>
      </c>
      <c r="L253">
        <v>71064.94</v>
      </c>
      <c r="M253">
        <v>0</v>
      </c>
      <c r="T253" s="9">
        <v>45108</v>
      </c>
      <c r="U253" s="9">
        <v>45473</v>
      </c>
      <c r="V253">
        <f>SUM(POTABLE_NONPOTABLE_API[[#This Row],[RESIDENTIAL_SINGLEFAMILY_GAL]:[OTHER_GAL]])</f>
        <v>373776898.68400002</v>
      </c>
      <c r="W253">
        <f>SUM(POTABLE_NONPOTABLE_API[[#This Row],[NONPOTABLE_DEMAND_RESIDENTIAL_RECYCLED_WATER_GAL]:[NONPOTABLE_DEMAND_NONRESIDENTIAL_METERED_IRRIGATION_GAL]])</f>
        <v>0</v>
      </c>
      <c r="X253" t="str">
        <f>IFERROR(INDEX(Crosswalk_API!$H$2:$H$527, MATCH(POTABLE_NONPOTABLE_API[[#This Row],[PWSID]], CW_PWSID_LIST, 0)), "")</f>
        <v>No</v>
      </c>
    </row>
    <row r="254" spans="1:24" x14ac:dyDescent="0.25">
      <c r="A254" t="s">
        <v>780</v>
      </c>
      <c r="B254" t="s">
        <v>781</v>
      </c>
      <c r="C254" t="s">
        <v>782</v>
      </c>
      <c r="D254" t="s">
        <v>783</v>
      </c>
      <c r="E254" s="9">
        <v>45108</v>
      </c>
      <c r="F254" s="9">
        <v>45138</v>
      </c>
      <c r="G254">
        <v>1102534393.448</v>
      </c>
      <c r="H254">
        <v>52387577.664000005</v>
      </c>
      <c r="I254">
        <v>361885116.04000002</v>
      </c>
      <c r="J254">
        <v>0</v>
      </c>
      <c r="K254">
        <v>8976624</v>
      </c>
      <c r="L254">
        <v>3143314.5040000002</v>
      </c>
      <c r="M254">
        <v>0</v>
      </c>
      <c r="T254" s="9">
        <v>45108</v>
      </c>
      <c r="U254" s="9">
        <v>45473</v>
      </c>
      <c r="V254">
        <f>SUM(POTABLE_NONPOTABLE_API[[#This Row],[RESIDENTIAL_SINGLEFAMILY_GAL]:[OTHER_GAL]])</f>
        <v>1528927025.6559999</v>
      </c>
      <c r="W254">
        <f>SUM(POTABLE_NONPOTABLE_API[[#This Row],[NONPOTABLE_DEMAND_RESIDENTIAL_RECYCLED_WATER_GAL]:[NONPOTABLE_DEMAND_NONRESIDENTIAL_METERED_IRRIGATION_GAL]])</f>
        <v>0</v>
      </c>
      <c r="X254" t="str">
        <f>IFERROR(INDEX(Crosswalk_API!$H$2:$H$527, MATCH(POTABLE_NONPOTABLE_API[[#This Row],[PWSID]], CW_PWSID_LIST, 0)), "")</f>
        <v>No</v>
      </c>
    </row>
    <row r="255" spans="1:24" x14ac:dyDescent="0.25">
      <c r="A255" t="s">
        <v>780</v>
      </c>
      <c r="B255" t="s">
        <v>781</v>
      </c>
      <c r="C255" t="s">
        <v>782</v>
      </c>
      <c r="D255" t="s">
        <v>783</v>
      </c>
      <c r="E255" s="9">
        <v>45139</v>
      </c>
      <c r="F255" s="9">
        <v>45169</v>
      </c>
      <c r="G255">
        <v>1057818837.0960001</v>
      </c>
      <c r="H255">
        <v>49342257.972000003</v>
      </c>
      <c r="I255">
        <v>491678870.50800002</v>
      </c>
      <c r="J255">
        <v>0</v>
      </c>
      <c r="K255">
        <v>10272998.116</v>
      </c>
      <c r="L255">
        <v>4078379.5040000002</v>
      </c>
      <c r="M255">
        <v>0</v>
      </c>
      <c r="T255" s="9">
        <v>45108</v>
      </c>
      <c r="U255" s="9">
        <v>45473</v>
      </c>
      <c r="V255">
        <f>SUM(POTABLE_NONPOTABLE_API[[#This Row],[RESIDENTIAL_SINGLEFAMILY_GAL]:[OTHER_GAL]])</f>
        <v>1613191343.1960001</v>
      </c>
      <c r="W255">
        <f>SUM(POTABLE_NONPOTABLE_API[[#This Row],[NONPOTABLE_DEMAND_RESIDENTIAL_RECYCLED_WATER_GAL]:[NONPOTABLE_DEMAND_NONRESIDENTIAL_METERED_IRRIGATION_GAL]])</f>
        <v>0</v>
      </c>
      <c r="X255" t="str">
        <f>IFERROR(INDEX(Crosswalk_API!$H$2:$H$527, MATCH(POTABLE_NONPOTABLE_API[[#This Row],[PWSID]], CW_PWSID_LIST, 0)), "")</f>
        <v>No</v>
      </c>
    </row>
    <row r="256" spans="1:24" x14ac:dyDescent="0.25">
      <c r="A256" t="s">
        <v>780</v>
      </c>
      <c r="B256" t="s">
        <v>781</v>
      </c>
      <c r="C256" t="s">
        <v>782</v>
      </c>
      <c r="D256" t="s">
        <v>783</v>
      </c>
      <c r="E256" s="9">
        <v>45170</v>
      </c>
      <c r="F256" s="9">
        <v>45199</v>
      </c>
      <c r="G256">
        <v>1060708561.972</v>
      </c>
      <c r="H256">
        <v>51316367.200000003</v>
      </c>
      <c r="I256">
        <v>412682335.15200001</v>
      </c>
      <c r="J256">
        <v>0</v>
      </c>
      <c r="K256">
        <v>9931138.352</v>
      </c>
      <c r="L256">
        <v>3340052.18</v>
      </c>
      <c r="M256">
        <v>0</v>
      </c>
      <c r="T256" s="9">
        <v>45108</v>
      </c>
      <c r="U256" s="9">
        <v>45473</v>
      </c>
      <c r="V256">
        <f>SUM(POTABLE_NONPOTABLE_API[[#This Row],[RESIDENTIAL_SINGLEFAMILY_GAL]:[OTHER_GAL]])</f>
        <v>1537978454.8559999</v>
      </c>
      <c r="W256">
        <f>SUM(POTABLE_NONPOTABLE_API[[#This Row],[NONPOTABLE_DEMAND_RESIDENTIAL_RECYCLED_WATER_GAL]:[NONPOTABLE_DEMAND_NONRESIDENTIAL_METERED_IRRIGATION_GAL]])</f>
        <v>0</v>
      </c>
      <c r="X256" t="str">
        <f>IFERROR(INDEX(Crosswalk_API!$H$2:$H$527, MATCH(POTABLE_NONPOTABLE_API[[#This Row],[PWSID]], CW_PWSID_LIST, 0)), "")</f>
        <v>No</v>
      </c>
    </row>
    <row r="257" spans="1:24" x14ac:dyDescent="0.25">
      <c r="A257" t="s">
        <v>780</v>
      </c>
      <c r="B257" t="s">
        <v>781</v>
      </c>
      <c r="C257" t="s">
        <v>782</v>
      </c>
      <c r="D257" t="s">
        <v>783</v>
      </c>
      <c r="E257" s="9">
        <v>45200</v>
      </c>
      <c r="F257" s="9">
        <v>45230</v>
      </c>
      <c r="G257">
        <v>890509526.77600002</v>
      </c>
      <c r="H257">
        <v>42410808.140000001</v>
      </c>
      <c r="I257">
        <v>314221486.75599998</v>
      </c>
      <c r="J257">
        <v>0</v>
      </c>
      <c r="K257">
        <v>8462712.2760000005</v>
      </c>
      <c r="L257">
        <v>2795470.324</v>
      </c>
      <c r="M257">
        <v>0</v>
      </c>
      <c r="T257" s="9">
        <v>45108</v>
      </c>
      <c r="U257" s="9">
        <v>45473</v>
      </c>
      <c r="V257">
        <f>SUM(POTABLE_NONPOTABLE_API[[#This Row],[RESIDENTIAL_SINGLEFAMILY_GAL]:[OTHER_GAL]])</f>
        <v>1258400004.2719998</v>
      </c>
      <c r="W257">
        <f>SUM(POTABLE_NONPOTABLE_API[[#This Row],[NONPOTABLE_DEMAND_RESIDENTIAL_RECYCLED_WATER_GAL]:[NONPOTABLE_DEMAND_NONRESIDENTIAL_METERED_IRRIGATION_GAL]])</f>
        <v>0</v>
      </c>
      <c r="X257" t="str">
        <f>IFERROR(INDEX(Crosswalk_API!$H$2:$H$527, MATCH(POTABLE_NONPOTABLE_API[[#This Row],[PWSID]], CW_PWSID_LIST, 0)), "")</f>
        <v>No</v>
      </c>
    </row>
    <row r="258" spans="1:24" x14ac:dyDescent="0.25">
      <c r="A258" t="s">
        <v>780</v>
      </c>
      <c r="B258" t="s">
        <v>781</v>
      </c>
      <c r="C258" t="s">
        <v>782</v>
      </c>
      <c r="D258" t="s">
        <v>783</v>
      </c>
      <c r="E258" s="9">
        <v>45231</v>
      </c>
      <c r="F258" s="9">
        <v>45260</v>
      </c>
      <c r="G258">
        <v>751304530.09600008</v>
      </c>
      <c r="H258">
        <v>37033062.311999999</v>
      </c>
      <c r="I258">
        <v>234525522.78</v>
      </c>
      <c r="J258">
        <v>0</v>
      </c>
      <c r="K258">
        <v>6537226.4280000003</v>
      </c>
      <c r="L258">
        <v>8128333.0320000006</v>
      </c>
      <c r="M258">
        <v>0</v>
      </c>
      <c r="T258" s="9">
        <v>45108</v>
      </c>
      <c r="U258" s="9">
        <v>45473</v>
      </c>
      <c r="V258">
        <f>SUM(POTABLE_NONPOTABLE_API[[#This Row],[RESIDENTIAL_SINGLEFAMILY_GAL]:[OTHER_GAL]])</f>
        <v>1037528674.648</v>
      </c>
      <c r="W258">
        <f>SUM(POTABLE_NONPOTABLE_API[[#This Row],[NONPOTABLE_DEMAND_RESIDENTIAL_RECYCLED_WATER_GAL]:[NONPOTABLE_DEMAND_NONRESIDENTIAL_METERED_IRRIGATION_GAL]])</f>
        <v>0</v>
      </c>
      <c r="X258" t="str">
        <f>IFERROR(INDEX(Crosswalk_API!$H$2:$H$527, MATCH(POTABLE_NONPOTABLE_API[[#This Row],[PWSID]], CW_PWSID_LIST, 0)), "")</f>
        <v>No</v>
      </c>
    </row>
    <row r="259" spans="1:24" x14ac:dyDescent="0.25">
      <c r="A259" t="s">
        <v>780</v>
      </c>
      <c r="B259" t="s">
        <v>781</v>
      </c>
      <c r="C259" t="s">
        <v>782</v>
      </c>
      <c r="D259" t="s">
        <v>783</v>
      </c>
      <c r="E259" s="9">
        <v>45261</v>
      </c>
      <c r="F259" s="9">
        <v>45291</v>
      </c>
      <c r="G259">
        <v>665532139.72399998</v>
      </c>
      <c r="H259">
        <v>36694942.807999998</v>
      </c>
      <c r="I259">
        <v>202340585.48000002</v>
      </c>
      <c r="J259">
        <v>0</v>
      </c>
      <c r="K259">
        <v>5947013.4000000004</v>
      </c>
      <c r="L259">
        <v>3575688.56</v>
      </c>
      <c r="M259">
        <v>0</v>
      </c>
      <c r="T259" s="9">
        <v>45108</v>
      </c>
      <c r="U259" s="9">
        <v>45473</v>
      </c>
      <c r="V259">
        <f>SUM(POTABLE_NONPOTABLE_API[[#This Row],[RESIDENTIAL_SINGLEFAMILY_GAL]:[OTHER_GAL]])</f>
        <v>914090369.97199988</v>
      </c>
      <c r="W259">
        <f>SUM(POTABLE_NONPOTABLE_API[[#This Row],[NONPOTABLE_DEMAND_RESIDENTIAL_RECYCLED_WATER_GAL]:[NONPOTABLE_DEMAND_NONRESIDENTIAL_METERED_IRRIGATION_GAL]])</f>
        <v>0</v>
      </c>
      <c r="X259" t="str">
        <f>IFERROR(INDEX(Crosswalk_API!$H$2:$H$527, MATCH(POTABLE_NONPOTABLE_API[[#This Row],[PWSID]], CW_PWSID_LIST, 0)), "")</f>
        <v>No</v>
      </c>
    </row>
    <row r="260" spans="1:24" x14ac:dyDescent="0.25">
      <c r="A260" t="s">
        <v>780</v>
      </c>
      <c r="B260" t="s">
        <v>781</v>
      </c>
      <c r="C260" t="s">
        <v>782</v>
      </c>
      <c r="D260" t="s">
        <v>783</v>
      </c>
      <c r="E260" s="9">
        <v>45292</v>
      </c>
      <c r="F260" s="9">
        <v>45322</v>
      </c>
      <c r="G260">
        <v>498082943.68000001</v>
      </c>
      <c r="H260">
        <v>29255565.668000001</v>
      </c>
      <c r="I260">
        <v>137780705.67199999</v>
      </c>
      <c r="J260">
        <v>0</v>
      </c>
      <c r="K260">
        <v>3788135.3280000002</v>
      </c>
      <c r="L260">
        <v>1828987.1400000001</v>
      </c>
      <c r="M260">
        <v>0</v>
      </c>
      <c r="T260" s="9">
        <v>45108</v>
      </c>
      <c r="U260" s="9">
        <v>45473</v>
      </c>
      <c r="V260">
        <f>SUM(POTABLE_NONPOTABLE_API[[#This Row],[RESIDENTIAL_SINGLEFAMILY_GAL]:[OTHER_GAL]])</f>
        <v>670736337.48799992</v>
      </c>
      <c r="W260">
        <f>SUM(POTABLE_NONPOTABLE_API[[#This Row],[NONPOTABLE_DEMAND_RESIDENTIAL_RECYCLED_WATER_GAL]:[NONPOTABLE_DEMAND_NONRESIDENTIAL_METERED_IRRIGATION_GAL]])</f>
        <v>0</v>
      </c>
      <c r="X260" t="str">
        <f>IFERROR(INDEX(Crosswalk_API!$H$2:$H$527, MATCH(POTABLE_NONPOTABLE_API[[#This Row],[PWSID]], CW_PWSID_LIST, 0)), "")</f>
        <v>No</v>
      </c>
    </row>
    <row r="261" spans="1:24" x14ac:dyDescent="0.25">
      <c r="A261" t="s">
        <v>780</v>
      </c>
      <c r="B261" t="s">
        <v>781</v>
      </c>
      <c r="C261" t="s">
        <v>782</v>
      </c>
      <c r="D261" t="s">
        <v>783</v>
      </c>
      <c r="E261" s="9">
        <v>45323</v>
      </c>
      <c r="F261" s="9">
        <v>45351</v>
      </c>
      <c r="G261">
        <v>386202790.45600003</v>
      </c>
      <c r="H261">
        <v>15321601.064000001</v>
      </c>
      <c r="I261">
        <v>114534989.772</v>
      </c>
      <c r="J261">
        <v>0</v>
      </c>
      <c r="K261">
        <v>6657662.7999999998</v>
      </c>
      <c r="L261">
        <v>3363989.844</v>
      </c>
      <c r="M261">
        <v>0</v>
      </c>
      <c r="T261" s="9">
        <v>45108</v>
      </c>
      <c r="U261" s="9">
        <v>45473</v>
      </c>
      <c r="V261">
        <f>SUM(POTABLE_NONPOTABLE_API[[#This Row],[RESIDENTIAL_SINGLEFAMILY_GAL]:[OTHER_GAL]])</f>
        <v>526081033.93600005</v>
      </c>
      <c r="W261">
        <f>SUM(POTABLE_NONPOTABLE_API[[#This Row],[NONPOTABLE_DEMAND_RESIDENTIAL_RECYCLED_WATER_GAL]:[NONPOTABLE_DEMAND_NONRESIDENTIAL_METERED_IRRIGATION_GAL]])</f>
        <v>0</v>
      </c>
      <c r="X261" t="str">
        <f>IFERROR(INDEX(Crosswalk_API!$H$2:$H$527, MATCH(POTABLE_NONPOTABLE_API[[#This Row],[PWSID]], CW_PWSID_LIST, 0)), "")</f>
        <v>No</v>
      </c>
    </row>
    <row r="262" spans="1:24" x14ac:dyDescent="0.25">
      <c r="A262" t="s">
        <v>780</v>
      </c>
      <c r="B262" t="s">
        <v>781</v>
      </c>
      <c r="C262" t="s">
        <v>782</v>
      </c>
      <c r="D262" t="s">
        <v>783</v>
      </c>
      <c r="E262" s="9">
        <v>45352</v>
      </c>
      <c r="F262" s="9">
        <v>45382</v>
      </c>
      <c r="G262">
        <v>403629409.84799999</v>
      </c>
      <c r="H262">
        <v>21392791.096000001</v>
      </c>
      <c r="I262">
        <v>139138420.05200002</v>
      </c>
      <c r="J262">
        <v>0</v>
      </c>
      <c r="K262">
        <v>6535730.324</v>
      </c>
      <c r="L262">
        <v>1476654.648</v>
      </c>
      <c r="M262">
        <v>0</v>
      </c>
      <c r="T262" s="9">
        <v>45108</v>
      </c>
      <c r="U262" s="9">
        <v>45473</v>
      </c>
      <c r="V262">
        <f>SUM(POTABLE_NONPOTABLE_API[[#This Row],[RESIDENTIAL_SINGLEFAMILY_GAL]:[OTHER_GAL]])</f>
        <v>572173005.96800005</v>
      </c>
      <c r="W262">
        <f>SUM(POTABLE_NONPOTABLE_API[[#This Row],[NONPOTABLE_DEMAND_RESIDENTIAL_RECYCLED_WATER_GAL]:[NONPOTABLE_DEMAND_NONRESIDENTIAL_METERED_IRRIGATION_GAL]])</f>
        <v>0</v>
      </c>
      <c r="X262" t="str">
        <f>IFERROR(INDEX(Crosswalk_API!$H$2:$H$527, MATCH(POTABLE_NONPOTABLE_API[[#This Row],[PWSID]], CW_PWSID_LIST, 0)), "")</f>
        <v>No</v>
      </c>
    </row>
    <row r="263" spans="1:24" x14ac:dyDescent="0.25">
      <c r="A263" t="s">
        <v>780</v>
      </c>
      <c r="B263" t="s">
        <v>781</v>
      </c>
      <c r="C263" t="s">
        <v>782</v>
      </c>
      <c r="D263" t="s">
        <v>783</v>
      </c>
      <c r="E263" s="9">
        <v>45383</v>
      </c>
      <c r="F263" s="9">
        <v>45412</v>
      </c>
      <c r="G263">
        <v>514412170.78799999</v>
      </c>
      <c r="H263">
        <v>27637529.192000002</v>
      </c>
      <c r="I263">
        <v>191856636.70000002</v>
      </c>
      <c r="J263">
        <v>0</v>
      </c>
      <c r="K263">
        <v>6580613.4440000001</v>
      </c>
      <c r="L263">
        <v>5307428.9400000004</v>
      </c>
      <c r="M263">
        <v>0</v>
      </c>
      <c r="T263" s="9">
        <v>45108</v>
      </c>
      <c r="U263" s="9">
        <v>45473</v>
      </c>
      <c r="V263">
        <f>SUM(POTABLE_NONPOTABLE_API[[#This Row],[RESIDENTIAL_SINGLEFAMILY_GAL]:[OTHER_GAL]])</f>
        <v>745794379.06400013</v>
      </c>
      <c r="W263">
        <f>SUM(POTABLE_NONPOTABLE_API[[#This Row],[NONPOTABLE_DEMAND_RESIDENTIAL_RECYCLED_WATER_GAL]:[NONPOTABLE_DEMAND_NONRESIDENTIAL_METERED_IRRIGATION_GAL]])</f>
        <v>0</v>
      </c>
      <c r="X263" t="str">
        <f>IFERROR(INDEX(Crosswalk_API!$H$2:$H$527, MATCH(POTABLE_NONPOTABLE_API[[#This Row],[PWSID]], CW_PWSID_LIST, 0)), "")</f>
        <v>No</v>
      </c>
    </row>
    <row r="264" spans="1:24" x14ac:dyDescent="0.25">
      <c r="A264" t="s">
        <v>780</v>
      </c>
      <c r="B264" t="s">
        <v>781</v>
      </c>
      <c r="C264" t="s">
        <v>782</v>
      </c>
      <c r="D264" t="s">
        <v>783</v>
      </c>
      <c r="E264" s="9">
        <v>45413</v>
      </c>
      <c r="F264" s="9">
        <v>45443</v>
      </c>
      <c r="G264">
        <v>711710885.78799999</v>
      </c>
      <c r="H264">
        <v>33717695.847999997</v>
      </c>
      <c r="I264">
        <v>272725546.21200001</v>
      </c>
      <c r="J264">
        <v>0</v>
      </c>
      <c r="K264">
        <v>7114722.5720000006</v>
      </c>
      <c r="L264">
        <v>4014795.0840000003</v>
      </c>
      <c r="M264">
        <v>0</v>
      </c>
      <c r="T264" s="9">
        <v>45108</v>
      </c>
      <c r="U264" s="9">
        <v>45473</v>
      </c>
      <c r="V264">
        <f>SUM(POTABLE_NONPOTABLE_API[[#This Row],[RESIDENTIAL_SINGLEFAMILY_GAL]:[OTHER_GAL]])</f>
        <v>1029283645.5040001</v>
      </c>
      <c r="W264">
        <f>SUM(POTABLE_NONPOTABLE_API[[#This Row],[NONPOTABLE_DEMAND_RESIDENTIAL_RECYCLED_WATER_GAL]:[NONPOTABLE_DEMAND_NONRESIDENTIAL_METERED_IRRIGATION_GAL]])</f>
        <v>0</v>
      </c>
      <c r="X264" t="str">
        <f>IFERROR(INDEX(Crosswalk_API!$H$2:$H$527, MATCH(POTABLE_NONPOTABLE_API[[#This Row],[PWSID]], CW_PWSID_LIST, 0)), "")</f>
        <v>No</v>
      </c>
    </row>
    <row r="265" spans="1:24" x14ac:dyDescent="0.25">
      <c r="A265" t="s">
        <v>780</v>
      </c>
      <c r="B265" t="s">
        <v>781</v>
      </c>
      <c r="C265" t="s">
        <v>782</v>
      </c>
      <c r="D265" t="s">
        <v>783</v>
      </c>
      <c r="E265" s="9">
        <v>45444</v>
      </c>
      <c r="F265" s="9">
        <v>45473</v>
      </c>
      <c r="G265">
        <v>998275394</v>
      </c>
      <c r="H265">
        <v>46634309.732000001</v>
      </c>
      <c r="I265">
        <v>376852140.45600003</v>
      </c>
      <c r="J265">
        <v>0</v>
      </c>
      <c r="K265">
        <v>8211366.8040000005</v>
      </c>
      <c r="L265">
        <v>11470629.368000001</v>
      </c>
      <c r="M265">
        <v>0</v>
      </c>
      <c r="T265" s="9">
        <v>45108</v>
      </c>
      <c r="U265" s="9">
        <v>45473</v>
      </c>
      <c r="V265">
        <f>SUM(POTABLE_NONPOTABLE_API[[#This Row],[RESIDENTIAL_SINGLEFAMILY_GAL]:[OTHER_GAL]])</f>
        <v>1441443840.3599999</v>
      </c>
      <c r="W265">
        <f>SUM(POTABLE_NONPOTABLE_API[[#This Row],[NONPOTABLE_DEMAND_RESIDENTIAL_RECYCLED_WATER_GAL]:[NONPOTABLE_DEMAND_NONRESIDENTIAL_METERED_IRRIGATION_GAL]])</f>
        <v>0</v>
      </c>
      <c r="X265" t="str">
        <f>IFERROR(INDEX(Crosswalk_API!$H$2:$H$527, MATCH(POTABLE_NONPOTABLE_API[[#This Row],[PWSID]], CW_PWSID_LIST, 0)), "")</f>
        <v>No</v>
      </c>
    </row>
    <row r="266" spans="1:24" x14ac:dyDescent="0.25">
      <c r="A266" t="s">
        <v>784</v>
      </c>
      <c r="B266" t="s">
        <v>785</v>
      </c>
      <c r="C266" t="s">
        <v>786</v>
      </c>
      <c r="D266" t="s">
        <v>787</v>
      </c>
      <c r="E266" s="9">
        <v>45108</v>
      </c>
      <c r="F266" s="9">
        <v>45138</v>
      </c>
      <c r="G266">
        <v>53338356</v>
      </c>
      <c r="H266">
        <v>24764580</v>
      </c>
      <c r="I266">
        <v>8804617</v>
      </c>
      <c r="J266">
        <v>8534483</v>
      </c>
      <c r="K266">
        <v>583555</v>
      </c>
      <c r="L266">
        <v>0</v>
      </c>
      <c r="M266">
        <v>0</v>
      </c>
      <c r="T266" s="9">
        <v>45108</v>
      </c>
      <c r="U266" s="9">
        <v>45473</v>
      </c>
      <c r="V266">
        <f>SUM(POTABLE_NONPOTABLE_API[[#This Row],[RESIDENTIAL_SINGLEFAMILY_GAL]:[OTHER_GAL]])</f>
        <v>96025591</v>
      </c>
      <c r="W266">
        <f>SUM(POTABLE_NONPOTABLE_API[[#This Row],[NONPOTABLE_DEMAND_RESIDENTIAL_RECYCLED_WATER_GAL]:[NONPOTABLE_DEMAND_NONRESIDENTIAL_METERED_IRRIGATION_GAL]])</f>
        <v>0</v>
      </c>
      <c r="X266" t="str">
        <f>IFERROR(INDEX(Crosswalk_API!$H$2:$H$527, MATCH(POTABLE_NONPOTABLE_API[[#This Row],[PWSID]], CW_PWSID_LIST, 0)), "")</f>
        <v>No</v>
      </c>
    </row>
    <row r="267" spans="1:24" x14ac:dyDescent="0.25">
      <c r="A267" t="s">
        <v>784</v>
      </c>
      <c r="B267" t="s">
        <v>785</v>
      </c>
      <c r="C267" t="s">
        <v>786</v>
      </c>
      <c r="D267" t="s">
        <v>787</v>
      </c>
      <c r="E267" s="9">
        <v>45139</v>
      </c>
      <c r="F267" s="9">
        <v>45169</v>
      </c>
      <c r="G267">
        <v>49247641</v>
      </c>
      <c r="H267">
        <v>16421833</v>
      </c>
      <c r="I267">
        <v>16416443</v>
      </c>
      <c r="J267">
        <v>7858594</v>
      </c>
      <c r="K267">
        <v>1708259</v>
      </c>
      <c r="L267">
        <v>0</v>
      </c>
      <c r="M267">
        <v>0</v>
      </c>
      <c r="T267" s="9">
        <v>45108</v>
      </c>
      <c r="U267" s="9">
        <v>45473</v>
      </c>
      <c r="V267">
        <f>SUM(POTABLE_NONPOTABLE_API[[#This Row],[RESIDENTIAL_SINGLEFAMILY_GAL]:[OTHER_GAL]])</f>
        <v>91652770</v>
      </c>
      <c r="W267">
        <f>SUM(POTABLE_NONPOTABLE_API[[#This Row],[NONPOTABLE_DEMAND_RESIDENTIAL_RECYCLED_WATER_GAL]:[NONPOTABLE_DEMAND_NONRESIDENTIAL_METERED_IRRIGATION_GAL]])</f>
        <v>0</v>
      </c>
      <c r="X267" t="str">
        <f>IFERROR(INDEX(Crosswalk_API!$H$2:$H$527, MATCH(POTABLE_NONPOTABLE_API[[#This Row],[PWSID]], CW_PWSID_LIST, 0)), "")</f>
        <v>No</v>
      </c>
    </row>
    <row r="268" spans="1:24" x14ac:dyDescent="0.25">
      <c r="A268" t="s">
        <v>784</v>
      </c>
      <c r="B268" t="s">
        <v>785</v>
      </c>
      <c r="C268" t="s">
        <v>786</v>
      </c>
      <c r="D268" t="s">
        <v>787</v>
      </c>
      <c r="E268" s="9">
        <v>45170</v>
      </c>
      <c r="F268" s="9">
        <v>45199</v>
      </c>
      <c r="G268">
        <v>50257101</v>
      </c>
      <c r="H268">
        <v>15909523</v>
      </c>
      <c r="I268">
        <v>8569669</v>
      </c>
      <c r="J268">
        <v>6934503</v>
      </c>
      <c r="K268">
        <v>0</v>
      </c>
      <c r="L268">
        <v>0</v>
      </c>
      <c r="M268">
        <v>0</v>
      </c>
      <c r="T268" s="9">
        <v>45108</v>
      </c>
      <c r="U268" s="9">
        <v>45473</v>
      </c>
      <c r="V268">
        <f>SUM(POTABLE_NONPOTABLE_API[[#This Row],[RESIDENTIAL_SINGLEFAMILY_GAL]:[OTHER_GAL]])</f>
        <v>81670796</v>
      </c>
      <c r="W268">
        <f>SUM(POTABLE_NONPOTABLE_API[[#This Row],[NONPOTABLE_DEMAND_RESIDENTIAL_RECYCLED_WATER_GAL]:[NONPOTABLE_DEMAND_NONRESIDENTIAL_METERED_IRRIGATION_GAL]])</f>
        <v>0</v>
      </c>
      <c r="X268" t="str">
        <f>IFERROR(INDEX(Crosswalk_API!$H$2:$H$527, MATCH(POTABLE_NONPOTABLE_API[[#This Row],[PWSID]], CW_PWSID_LIST, 0)), "")</f>
        <v>No</v>
      </c>
    </row>
    <row r="269" spans="1:24" x14ac:dyDescent="0.25">
      <c r="A269" t="s">
        <v>784</v>
      </c>
      <c r="B269" t="s">
        <v>785</v>
      </c>
      <c r="C269" t="s">
        <v>786</v>
      </c>
      <c r="D269" t="s">
        <v>787</v>
      </c>
      <c r="E269" s="9">
        <v>45200</v>
      </c>
      <c r="F269" s="9">
        <v>45230</v>
      </c>
      <c r="G269">
        <v>44799299</v>
      </c>
      <c r="H269">
        <v>15660844</v>
      </c>
      <c r="I269">
        <v>8370019</v>
      </c>
      <c r="J269">
        <v>5180000</v>
      </c>
      <c r="K269">
        <v>212537</v>
      </c>
      <c r="L269">
        <v>0</v>
      </c>
      <c r="M269">
        <v>0</v>
      </c>
      <c r="T269" s="9">
        <v>45108</v>
      </c>
      <c r="U269" s="9">
        <v>45473</v>
      </c>
      <c r="V269">
        <f>SUM(POTABLE_NONPOTABLE_API[[#This Row],[RESIDENTIAL_SINGLEFAMILY_GAL]:[OTHER_GAL]])</f>
        <v>74222699</v>
      </c>
      <c r="W269">
        <f>SUM(POTABLE_NONPOTABLE_API[[#This Row],[NONPOTABLE_DEMAND_RESIDENTIAL_RECYCLED_WATER_GAL]:[NONPOTABLE_DEMAND_NONRESIDENTIAL_METERED_IRRIGATION_GAL]])</f>
        <v>0</v>
      </c>
      <c r="X269" t="str">
        <f>IFERROR(INDEX(Crosswalk_API!$H$2:$H$527, MATCH(POTABLE_NONPOTABLE_API[[#This Row],[PWSID]], CW_PWSID_LIST, 0)), "")</f>
        <v>No</v>
      </c>
    </row>
    <row r="270" spans="1:24" x14ac:dyDescent="0.25">
      <c r="A270" t="s">
        <v>784</v>
      </c>
      <c r="B270" t="s">
        <v>785</v>
      </c>
      <c r="C270" t="s">
        <v>786</v>
      </c>
      <c r="D270" t="s">
        <v>787</v>
      </c>
      <c r="E270" s="9">
        <v>45231</v>
      </c>
      <c r="F270" s="9">
        <v>45260</v>
      </c>
      <c r="G270">
        <v>25723840</v>
      </c>
      <c r="H270">
        <v>19122029</v>
      </c>
      <c r="I270">
        <v>7596250</v>
      </c>
      <c r="J270">
        <v>2885501</v>
      </c>
      <c r="K270">
        <v>0</v>
      </c>
      <c r="L270">
        <v>0</v>
      </c>
      <c r="M270">
        <v>0</v>
      </c>
      <c r="T270" s="9">
        <v>45108</v>
      </c>
      <c r="U270" s="9">
        <v>45473</v>
      </c>
      <c r="V270">
        <f>SUM(POTABLE_NONPOTABLE_API[[#This Row],[RESIDENTIAL_SINGLEFAMILY_GAL]:[OTHER_GAL]])</f>
        <v>55327620</v>
      </c>
      <c r="W270">
        <f>SUM(POTABLE_NONPOTABLE_API[[#This Row],[NONPOTABLE_DEMAND_RESIDENTIAL_RECYCLED_WATER_GAL]:[NONPOTABLE_DEMAND_NONRESIDENTIAL_METERED_IRRIGATION_GAL]])</f>
        <v>0</v>
      </c>
      <c r="X270" t="str">
        <f>IFERROR(INDEX(Crosswalk_API!$H$2:$H$527, MATCH(POTABLE_NONPOTABLE_API[[#This Row],[PWSID]], CW_PWSID_LIST, 0)), "")</f>
        <v>No</v>
      </c>
    </row>
    <row r="271" spans="1:24" x14ac:dyDescent="0.25">
      <c r="A271" t="s">
        <v>784</v>
      </c>
      <c r="B271" t="s">
        <v>785</v>
      </c>
      <c r="C271" t="s">
        <v>786</v>
      </c>
      <c r="D271" t="s">
        <v>787</v>
      </c>
      <c r="E271" s="9">
        <v>45261</v>
      </c>
      <c r="F271" s="9">
        <v>45291</v>
      </c>
      <c r="G271">
        <v>22906282</v>
      </c>
      <c r="H271">
        <v>16600111</v>
      </c>
      <c r="I271">
        <v>7513115</v>
      </c>
      <c r="J271">
        <v>1745951</v>
      </c>
      <c r="K271">
        <v>0</v>
      </c>
      <c r="L271">
        <v>0</v>
      </c>
      <c r="M271">
        <v>0</v>
      </c>
      <c r="T271" s="9">
        <v>45108</v>
      </c>
      <c r="U271" s="9">
        <v>45473</v>
      </c>
      <c r="V271">
        <f>SUM(POTABLE_NONPOTABLE_API[[#This Row],[RESIDENTIAL_SINGLEFAMILY_GAL]:[OTHER_GAL]])</f>
        <v>48765459</v>
      </c>
      <c r="W271">
        <f>SUM(POTABLE_NONPOTABLE_API[[#This Row],[NONPOTABLE_DEMAND_RESIDENTIAL_RECYCLED_WATER_GAL]:[NONPOTABLE_DEMAND_NONRESIDENTIAL_METERED_IRRIGATION_GAL]])</f>
        <v>0</v>
      </c>
      <c r="X271" t="str">
        <f>IFERROR(INDEX(Crosswalk_API!$H$2:$H$527, MATCH(POTABLE_NONPOTABLE_API[[#This Row],[PWSID]], CW_PWSID_LIST, 0)), "")</f>
        <v>No</v>
      </c>
    </row>
    <row r="272" spans="1:24" x14ac:dyDescent="0.25">
      <c r="A272" t="s">
        <v>784</v>
      </c>
      <c r="B272" t="s">
        <v>785</v>
      </c>
      <c r="C272" t="s">
        <v>786</v>
      </c>
      <c r="D272" t="s">
        <v>787</v>
      </c>
      <c r="E272" s="9">
        <v>45292</v>
      </c>
      <c r="F272" s="9">
        <v>45322</v>
      </c>
      <c r="G272">
        <v>18756214</v>
      </c>
      <c r="H272">
        <v>13386168</v>
      </c>
      <c r="I272">
        <v>7170307</v>
      </c>
      <c r="J272">
        <v>1259196</v>
      </c>
      <c r="K272">
        <v>261369</v>
      </c>
      <c r="L272">
        <v>0</v>
      </c>
      <c r="M272">
        <v>0</v>
      </c>
      <c r="T272" s="9">
        <v>45108</v>
      </c>
      <c r="U272" s="9">
        <v>45473</v>
      </c>
      <c r="V272">
        <f>SUM(POTABLE_NONPOTABLE_API[[#This Row],[RESIDENTIAL_SINGLEFAMILY_GAL]:[OTHER_GAL]])</f>
        <v>40833254</v>
      </c>
      <c r="W272">
        <f>SUM(POTABLE_NONPOTABLE_API[[#This Row],[NONPOTABLE_DEMAND_RESIDENTIAL_RECYCLED_WATER_GAL]:[NONPOTABLE_DEMAND_NONRESIDENTIAL_METERED_IRRIGATION_GAL]])</f>
        <v>0</v>
      </c>
      <c r="X272" t="str">
        <f>IFERROR(INDEX(Crosswalk_API!$H$2:$H$527, MATCH(POTABLE_NONPOTABLE_API[[#This Row],[PWSID]], CW_PWSID_LIST, 0)), "")</f>
        <v>No</v>
      </c>
    </row>
    <row r="273" spans="1:24" x14ac:dyDescent="0.25">
      <c r="A273" t="s">
        <v>784</v>
      </c>
      <c r="B273" t="s">
        <v>785</v>
      </c>
      <c r="C273" t="s">
        <v>786</v>
      </c>
      <c r="D273" t="s">
        <v>787</v>
      </c>
      <c r="E273" s="9">
        <v>45323</v>
      </c>
      <c r="F273" s="9">
        <v>45351</v>
      </c>
      <c r="G273">
        <v>16284105</v>
      </c>
      <c r="H273">
        <v>16359213</v>
      </c>
      <c r="I273">
        <v>5963861</v>
      </c>
      <c r="J273">
        <v>819832</v>
      </c>
      <c r="K273">
        <v>109679</v>
      </c>
      <c r="L273">
        <v>0</v>
      </c>
      <c r="M273">
        <v>0</v>
      </c>
      <c r="T273" s="9">
        <v>45108</v>
      </c>
      <c r="U273" s="9">
        <v>45473</v>
      </c>
      <c r="V273">
        <f>SUM(POTABLE_NONPOTABLE_API[[#This Row],[RESIDENTIAL_SINGLEFAMILY_GAL]:[OTHER_GAL]])</f>
        <v>39536690</v>
      </c>
      <c r="W273">
        <f>SUM(POTABLE_NONPOTABLE_API[[#This Row],[NONPOTABLE_DEMAND_RESIDENTIAL_RECYCLED_WATER_GAL]:[NONPOTABLE_DEMAND_NONRESIDENTIAL_METERED_IRRIGATION_GAL]])</f>
        <v>0</v>
      </c>
      <c r="X273" t="str">
        <f>IFERROR(INDEX(Crosswalk_API!$H$2:$H$527, MATCH(POTABLE_NONPOTABLE_API[[#This Row],[PWSID]], CW_PWSID_LIST, 0)), "")</f>
        <v>No</v>
      </c>
    </row>
    <row r="274" spans="1:24" x14ac:dyDescent="0.25">
      <c r="A274" t="s">
        <v>784</v>
      </c>
      <c r="B274" t="s">
        <v>785</v>
      </c>
      <c r="C274" t="s">
        <v>786</v>
      </c>
      <c r="D274" t="s">
        <v>787</v>
      </c>
      <c r="E274" s="9">
        <v>45352</v>
      </c>
      <c r="F274" s="9">
        <v>45382</v>
      </c>
      <c r="G274">
        <v>19959943</v>
      </c>
      <c r="H274">
        <v>18325030</v>
      </c>
      <c r="I274">
        <v>6637007</v>
      </c>
      <c r="J274">
        <v>1016606</v>
      </c>
      <c r="K274">
        <v>122015</v>
      </c>
      <c r="L274">
        <v>0</v>
      </c>
      <c r="M274">
        <v>0</v>
      </c>
      <c r="T274" s="9">
        <v>45108</v>
      </c>
      <c r="U274" s="9">
        <v>45473</v>
      </c>
      <c r="V274">
        <f>SUM(POTABLE_NONPOTABLE_API[[#This Row],[RESIDENTIAL_SINGLEFAMILY_GAL]:[OTHER_GAL]])</f>
        <v>46060601</v>
      </c>
      <c r="W274">
        <f>SUM(POTABLE_NONPOTABLE_API[[#This Row],[NONPOTABLE_DEMAND_RESIDENTIAL_RECYCLED_WATER_GAL]:[NONPOTABLE_DEMAND_NONRESIDENTIAL_METERED_IRRIGATION_GAL]])</f>
        <v>0</v>
      </c>
      <c r="X274" t="str">
        <f>IFERROR(INDEX(Crosswalk_API!$H$2:$H$527, MATCH(POTABLE_NONPOTABLE_API[[#This Row],[PWSID]], CW_PWSID_LIST, 0)), "")</f>
        <v>No</v>
      </c>
    </row>
    <row r="275" spans="1:24" x14ac:dyDescent="0.25">
      <c r="A275" t="s">
        <v>784</v>
      </c>
      <c r="B275" t="s">
        <v>785</v>
      </c>
      <c r="C275" t="s">
        <v>786</v>
      </c>
      <c r="D275" t="s">
        <v>787</v>
      </c>
      <c r="E275" s="9">
        <v>45383</v>
      </c>
      <c r="F275" s="9">
        <v>45412</v>
      </c>
      <c r="G275">
        <v>24325394</v>
      </c>
      <c r="H275">
        <v>18875211</v>
      </c>
      <c r="I275">
        <v>6982973</v>
      </c>
      <c r="J275">
        <v>2069333</v>
      </c>
      <c r="K275">
        <v>0</v>
      </c>
      <c r="L275">
        <v>0</v>
      </c>
      <c r="M275">
        <v>0</v>
      </c>
      <c r="T275" s="9">
        <v>45108</v>
      </c>
      <c r="U275" s="9">
        <v>45473</v>
      </c>
      <c r="V275">
        <f>SUM(POTABLE_NONPOTABLE_API[[#This Row],[RESIDENTIAL_SINGLEFAMILY_GAL]:[OTHER_GAL]])</f>
        <v>52252911</v>
      </c>
      <c r="W275">
        <f>SUM(POTABLE_NONPOTABLE_API[[#This Row],[NONPOTABLE_DEMAND_RESIDENTIAL_RECYCLED_WATER_GAL]:[NONPOTABLE_DEMAND_NONRESIDENTIAL_METERED_IRRIGATION_GAL]])</f>
        <v>0</v>
      </c>
      <c r="X275" t="str">
        <f>IFERROR(INDEX(Crosswalk_API!$H$2:$H$527, MATCH(POTABLE_NONPOTABLE_API[[#This Row],[PWSID]], CW_PWSID_LIST, 0)), "")</f>
        <v>No</v>
      </c>
    </row>
    <row r="276" spans="1:24" x14ac:dyDescent="0.25">
      <c r="A276" t="s">
        <v>784</v>
      </c>
      <c r="B276" t="s">
        <v>785</v>
      </c>
      <c r="C276" t="s">
        <v>786</v>
      </c>
      <c r="D276" t="s">
        <v>787</v>
      </c>
      <c r="E276" s="9">
        <v>45413</v>
      </c>
      <c r="F276" s="9">
        <v>45443</v>
      </c>
      <c r="G276">
        <v>40405144</v>
      </c>
      <c r="H276">
        <v>21969444</v>
      </c>
      <c r="I276">
        <v>8078274</v>
      </c>
      <c r="J276">
        <v>4356806</v>
      </c>
      <c r="K276">
        <v>416732</v>
      </c>
      <c r="L276">
        <v>0</v>
      </c>
      <c r="M276">
        <v>0</v>
      </c>
      <c r="T276" s="9">
        <v>45108</v>
      </c>
      <c r="U276" s="9">
        <v>45473</v>
      </c>
      <c r="V276">
        <f>SUM(POTABLE_NONPOTABLE_API[[#This Row],[RESIDENTIAL_SINGLEFAMILY_GAL]:[OTHER_GAL]])</f>
        <v>75226400</v>
      </c>
      <c r="W276">
        <f>SUM(POTABLE_NONPOTABLE_API[[#This Row],[NONPOTABLE_DEMAND_RESIDENTIAL_RECYCLED_WATER_GAL]:[NONPOTABLE_DEMAND_NONRESIDENTIAL_METERED_IRRIGATION_GAL]])</f>
        <v>0</v>
      </c>
      <c r="X276" t="str">
        <f>IFERROR(INDEX(Crosswalk_API!$H$2:$H$527, MATCH(POTABLE_NONPOTABLE_API[[#This Row],[PWSID]], CW_PWSID_LIST, 0)), "")</f>
        <v>No</v>
      </c>
    </row>
    <row r="277" spans="1:24" x14ac:dyDescent="0.25">
      <c r="A277" t="s">
        <v>784</v>
      </c>
      <c r="B277" t="s">
        <v>785</v>
      </c>
      <c r="C277" t="s">
        <v>786</v>
      </c>
      <c r="D277" t="s">
        <v>787</v>
      </c>
      <c r="E277" s="9">
        <v>45444</v>
      </c>
      <c r="F277" s="9">
        <v>45473</v>
      </c>
      <c r="G277">
        <v>52727513</v>
      </c>
      <c r="H277">
        <v>13584538</v>
      </c>
      <c r="I277">
        <v>12070395</v>
      </c>
      <c r="J277">
        <v>7174623</v>
      </c>
      <c r="K277">
        <v>2414996</v>
      </c>
      <c r="L277">
        <v>0</v>
      </c>
      <c r="M277">
        <v>0</v>
      </c>
      <c r="T277" s="9">
        <v>45108</v>
      </c>
      <c r="U277" s="9">
        <v>45473</v>
      </c>
      <c r="V277">
        <f>SUM(POTABLE_NONPOTABLE_API[[#This Row],[RESIDENTIAL_SINGLEFAMILY_GAL]:[OTHER_GAL]])</f>
        <v>87972065</v>
      </c>
      <c r="W277">
        <f>SUM(POTABLE_NONPOTABLE_API[[#This Row],[NONPOTABLE_DEMAND_RESIDENTIAL_RECYCLED_WATER_GAL]:[NONPOTABLE_DEMAND_NONRESIDENTIAL_METERED_IRRIGATION_GAL]])</f>
        <v>0</v>
      </c>
      <c r="X277" t="str">
        <f>IFERROR(INDEX(Crosswalk_API!$H$2:$H$527, MATCH(POTABLE_NONPOTABLE_API[[#This Row],[PWSID]], CW_PWSID_LIST, 0)), "")</f>
        <v>No</v>
      </c>
    </row>
    <row r="278" spans="1:24" x14ac:dyDescent="0.25">
      <c r="A278" t="s">
        <v>789</v>
      </c>
      <c r="B278" t="s">
        <v>790</v>
      </c>
      <c r="C278" t="s">
        <v>791</v>
      </c>
      <c r="D278" t="s">
        <v>792</v>
      </c>
      <c r="E278" s="9">
        <v>45108</v>
      </c>
      <c r="F278" s="9">
        <v>45138</v>
      </c>
      <c r="G278">
        <v>124149231</v>
      </c>
      <c r="H278">
        <v>4561914</v>
      </c>
      <c r="I278">
        <v>46596693</v>
      </c>
      <c r="J278">
        <v>18899358</v>
      </c>
      <c r="K278">
        <v>0</v>
      </c>
      <c r="L278">
        <v>1629255</v>
      </c>
      <c r="M278">
        <v>0</v>
      </c>
      <c r="N278">
        <v>0</v>
      </c>
      <c r="O278">
        <v>0</v>
      </c>
      <c r="P278">
        <v>0</v>
      </c>
      <c r="Q278">
        <v>0</v>
      </c>
      <c r="R278">
        <v>2087000</v>
      </c>
      <c r="S278">
        <v>0</v>
      </c>
      <c r="T278" s="9">
        <v>45108</v>
      </c>
      <c r="U278" s="9">
        <v>45473</v>
      </c>
      <c r="V278">
        <f>SUM(POTABLE_NONPOTABLE_API[[#This Row],[RESIDENTIAL_SINGLEFAMILY_GAL]:[OTHER_GAL]])</f>
        <v>195836451</v>
      </c>
      <c r="W278">
        <f>SUM(POTABLE_NONPOTABLE_API[[#This Row],[NONPOTABLE_DEMAND_RESIDENTIAL_RECYCLED_WATER_GAL]:[NONPOTABLE_DEMAND_NONRESIDENTIAL_METERED_IRRIGATION_GAL]])</f>
        <v>2087000</v>
      </c>
      <c r="X278" t="str">
        <f>IFERROR(INDEX(Crosswalk_API!$H$2:$H$527, MATCH(POTABLE_NONPOTABLE_API[[#This Row],[PWSID]], CW_PWSID_LIST, 0)), "")</f>
        <v>No</v>
      </c>
    </row>
    <row r="279" spans="1:24" x14ac:dyDescent="0.25">
      <c r="A279" t="s">
        <v>789</v>
      </c>
      <c r="B279" t="s">
        <v>790</v>
      </c>
      <c r="C279" t="s">
        <v>791</v>
      </c>
      <c r="D279" t="s">
        <v>792</v>
      </c>
      <c r="E279" s="9">
        <v>45139</v>
      </c>
      <c r="F279" s="9">
        <v>45169</v>
      </c>
      <c r="G279">
        <v>136459881.78</v>
      </c>
      <c r="H279">
        <v>7712893.1700000009</v>
      </c>
      <c r="I279">
        <v>45550711.289999999</v>
      </c>
      <c r="J279">
        <v>66137977.469999999</v>
      </c>
      <c r="K279">
        <v>0</v>
      </c>
      <c r="L279">
        <v>16031869.200000001</v>
      </c>
      <c r="M279">
        <v>0</v>
      </c>
      <c r="N279">
        <v>0</v>
      </c>
      <c r="O279">
        <v>0</v>
      </c>
      <c r="P279">
        <v>0</v>
      </c>
      <c r="Q279">
        <v>0</v>
      </c>
      <c r="R279">
        <v>0</v>
      </c>
      <c r="S279">
        <v>0</v>
      </c>
      <c r="T279" s="9">
        <v>45108</v>
      </c>
      <c r="U279" s="9">
        <v>45473</v>
      </c>
      <c r="V279">
        <f>SUM(POTABLE_NONPOTABLE_API[[#This Row],[RESIDENTIAL_SINGLEFAMILY_GAL]:[OTHER_GAL]])</f>
        <v>271893332.90999997</v>
      </c>
      <c r="W279">
        <f>SUM(POTABLE_NONPOTABLE_API[[#This Row],[NONPOTABLE_DEMAND_RESIDENTIAL_RECYCLED_WATER_GAL]:[NONPOTABLE_DEMAND_NONRESIDENTIAL_METERED_IRRIGATION_GAL]])</f>
        <v>0</v>
      </c>
      <c r="X279" t="str">
        <f>IFERROR(INDEX(Crosswalk_API!$H$2:$H$527, MATCH(POTABLE_NONPOTABLE_API[[#This Row],[PWSID]], CW_PWSID_LIST, 0)), "")</f>
        <v>No</v>
      </c>
    </row>
    <row r="280" spans="1:24" x14ac:dyDescent="0.25">
      <c r="A280" t="s">
        <v>789</v>
      </c>
      <c r="B280" t="s">
        <v>790</v>
      </c>
      <c r="C280" t="s">
        <v>791</v>
      </c>
      <c r="D280" t="s">
        <v>792</v>
      </c>
      <c r="E280" s="9">
        <v>45170</v>
      </c>
      <c r="F280" s="9">
        <v>45199</v>
      </c>
      <c r="G280">
        <v>138737580.26999998</v>
      </c>
      <c r="H280">
        <v>8481901.5300000012</v>
      </c>
      <c r="I280">
        <v>58933411.860000007</v>
      </c>
      <c r="J280">
        <v>36280250.340000004</v>
      </c>
      <c r="K280">
        <v>0</v>
      </c>
      <c r="L280">
        <v>7983349.5</v>
      </c>
      <c r="M280">
        <v>0</v>
      </c>
      <c r="N280">
        <v>0</v>
      </c>
      <c r="O280">
        <v>0</v>
      </c>
      <c r="P280">
        <v>0</v>
      </c>
      <c r="Q280">
        <v>0</v>
      </c>
      <c r="R280">
        <v>0</v>
      </c>
      <c r="S280">
        <v>0</v>
      </c>
      <c r="T280" s="9">
        <v>45108</v>
      </c>
      <c r="U280" s="9">
        <v>45473</v>
      </c>
      <c r="V280">
        <f>SUM(POTABLE_NONPOTABLE_API[[#This Row],[RESIDENTIAL_SINGLEFAMILY_GAL]:[OTHER_GAL]])</f>
        <v>250416493.5</v>
      </c>
      <c r="W280">
        <f>SUM(POTABLE_NONPOTABLE_API[[#This Row],[NONPOTABLE_DEMAND_RESIDENTIAL_RECYCLED_WATER_GAL]:[NONPOTABLE_DEMAND_NONRESIDENTIAL_METERED_IRRIGATION_GAL]])</f>
        <v>0</v>
      </c>
      <c r="X280" t="str">
        <f>IFERROR(INDEX(Crosswalk_API!$H$2:$H$527, MATCH(POTABLE_NONPOTABLE_API[[#This Row],[PWSID]], CW_PWSID_LIST, 0)), "")</f>
        <v>No</v>
      </c>
    </row>
    <row r="281" spans="1:24" x14ac:dyDescent="0.25">
      <c r="A281" t="s">
        <v>789</v>
      </c>
      <c r="B281" t="s">
        <v>790</v>
      </c>
      <c r="C281" t="s">
        <v>791</v>
      </c>
      <c r="D281" t="s">
        <v>792</v>
      </c>
      <c r="E281" s="9">
        <v>45200</v>
      </c>
      <c r="F281" s="9">
        <v>45230</v>
      </c>
      <c r="G281">
        <v>120023957.33999999</v>
      </c>
      <c r="H281">
        <v>5757787.1700000009</v>
      </c>
      <c r="I281">
        <v>40346870.82</v>
      </c>
      <c r="J281">
        <v>14842513.049999999</v>
      </c>
      <c r="K281">
        <v>0</v>
      </c>
      <c r="L281">
        <v>48672363.870000005</v>
      </c>
      <c r="M281">
        <v>0</v>
      </c>
      <c r="N281">
        <v>0</v>
      </c>
      <c r="O281">
        <v>0</v>
      </c>
      <c r="P281">
        <v>0</v>
      </c>
      <c r="Q281">
        <v>0</v>
      </c>
      <c r="R281">
        <v>0</v>
      </c>
      <c r="S281">
        <v>0</v>
      </c>
      <c r="T281" s="9">
        <v>45108</v>
      </c>
      <c r="U281" s="9">
        <v>45473</v>
      </c>
      <c r="V281">
        <f>SUM(POTABLE_NONPOTABLE_API[[#This Row],[RESIDENTIAL_SINGLEFAMILY_GAL]:[OTHER_GAL]])</f>
        <v>229643492.25</v>
      </c>
      <c r="W281">
        <f>SUM(POTABLE_NONPOTABLE_API[[#This Row],[NONPOTABLE_DEMAND_RESIDENTIAL_RECYCLED_WATER_GAL]:[NONPOTABLE_DEMAND_NONRESIDENTIAL_METERED_IRRIGATION_GAL]])</f>
        <v>0</v>
      </c>
      <c r="X281" t="str">
        <f>IFERROR(INDEX(Crosswalk_API!$H$2:$H$527, MATCH(POTABLE_NONPOTABLE_API[[#This Row],[PWSID]], CW_PWSID_LIST, 0)), "")</f>
        <v>No</v>
      </c>
    </row>
    <row r="282" spans="1:24" x14ac:dyDescent="0.25">
      <c r="A282" t="s">
        <v>789</v>
      </c>
      <c r="B282" t="s">
        <v>790</v>
      </c>
      <c r="C282" t="s">
        <v>791</v>
      </c>
      <c r="D282" t="s">
        <v>792</v>
      </c>
      <c r="E282" s="9">
        <v>45231</v>
      </c>
      <c r="F282" s="9">
        <v>45260</v>
      </c>
      <c r="G282">
        <v>104673116.73</v>
      </c>
      <c r="H282">
        <v>4695512.91</v>
      </c>
      <c r="I282">
        <v>35736079.170000002</v>
      </c>
      <c r="J282">
        <v>35077860.149999999</v>
      </c>
      <c r="K282">
        <v>0</v>
      </c>
      <c r="L282">
        <v>7461987.8999999994</v>
      </c>
      <c r="M282">
        <v>0</v>
      </c>
      <c r="N282">
        <v>0</v>
      </c>
      <c r="O282">
        <v>0</v>
      </c>
      <c r="P282">
        <v>0</v>
      </c>
      <c r="Q282">
        <v>0</v>
      </c>
      <c r="R282">
        <v>0</v>
      </c>
      <c r="S282">
        <v>0</v>
      </c>
      <c r="T282" s="9">
        <v>45108</v>
      </c>
      <c r="U282" s="9">
        <v>45473</v>
      </c>
      <c r="V282">
        <f>SUM(POTABLE_NONPOTABLE_API[[#This Row],[RESIDENTIAL_SINGLEFAMILY_GAL]:[OTHER_GAL]])</f>
        <v>187644556.86000001</v>
      </c>
      <c r="W282">
        <f>SUM(POTABLE_NONPOTABLE_API[[#This Row],[NONPOTABLE_DEMAND_RESIDENTIAL_RECYCLED_WATER_GAL]:[NONPOTABLE_DEMAND_NONRESIDENTIAL_METERED_IRRIGATION_GAL]])</f>
        <v>0</v>
      </c>
      <c r="X282" t="str">
        <f>IFERROR(INDEX(Crosswalk_API!$H$2:$H$527, MATCH(POTABLE_NONPOTABLE_API[[#This Row],[PWSID]], CW_PWSID_LIST, 0)), "")</f>
        <v>No</v>
      </c>
    </row>
    <row r="283" spans="1:24" x14ac:dyDescent="0.25">
      <c r="A283" t="s">
        <v>789</v>
      </c>
      <c r="B283" t="s">
        <v>790</v>
      </c>
      <c r="C283" t="s">
        <v>791</v>
      </c>
      <c r="D283" t="s">
        <v>792</v>
      </c>
      <c r="E283" s="9">
        <v>45261</v>
      </c>
      <c r="F283" s="9">
        <v>45291</v>
      </c>
      <c r="G283">
        <v>97419673.470000014</v>
      </c>
      <c r="H283">
        <v>5871835.0199999996</v>
      </c>
      <c r="I283">
        <v>37296905.460000001</v>
      </c>
      <c r="J283">
        <v>30965620.530000001</v>
      </c>
      <c r="K283">
        <v>0</v>
      </c>
      <c r="L283">
        <v>4001450.28</v>
      </c>
      <c r="M283">
        <v>0</v>
      </c>
      <c r="N283">
        <v>0</v>
      </c>
      <c r="O283">
        <v>0</v>
      </c>
      <c r="Q283">
        <v>0</v>
      </c>
      <c r="R283">
        <v>0</v>
      </c>
      <c r="T283" s="9">
        <v>45108</v>
      </c>
      <c r="U283" s="9">
        <v>45473</v>
      </c>
      <c r="V283">
        <f>SUM(POTABLE_NONPOTABLE_API[[#This Row],[RESIDENTIAL_SINGLEFAMILY_GAL]:[OTHER_GAL]])</f>
        <v>175555484.76000002</v>
      </c>
      <c r="W283">
        <f>SUM(POTABLE_NONPOTABLE_API[[#This Row],[NONPOTABLE_DEMAND_RESIDENTIAL_RECYCLED_WATER_GAL]:[NONPOTABLE_DEMAND_NONRESIDENTIAL_METERED_IRRIGATION_GAL]])</f>
        <v>0</v>
      </c>
      <c r="X283" t="str">
        <f>IFERROR(INDEX(Crosswalk_API!$H$2:$H$527, MATCH(POTABLE_NONPOTABLE_API[[#This Row],[PWSID]], CW_PWSID_LIST, 0)), "")</f>
        <v>No</v>
      </c>
    </row>
    <row r="284" spans="1:24" x14ac:dyDescent="0.25">
      <c r="A284" t="s">
        <v>789</v>
      </c>
      <c r="B284" t="s">
        <v>790</v>
      </c>
      <c r="C284" t="s">
        <v>791</v>
      </c>
      <c r="D284" t="s">
        <v>792</v>
      </c>
      <c r="E284" s="9">
        <v>45292</v>
      </c>
      <c r="F284" s="9">
        <v>45322</v>
      </c>
      <c r="G284">
        <v>66248766.810000002</v>
      </c>
      <c r="H284">
        <v>3574585.47</v>
      </c>
      <c r="I284">
        <v>26973945.780000001</v>
      </c>
      <c r="J284">
        <v>10166551.199999999</v>
      </c>
      <c r="K284">
        <v>0</v>
      </c>
      <c r="L284">
        <v>15295445.939999999</v>
      </c>
      <c r="M284">
        <v>0</v>
      </c>
      <c r="N284">
        <v>0</v>
      </c>
      <c r="O284">
        <v>0</v>
      </c>
      <c r="P284">
        <v>0</v>
      </c>
      <c r="Q284">
        <v>0</v>
      </c>
      <c r="R284">
        <v>0</v>
      </c>
      <c r="S284">
        <v>0</v>
      </c>
      <c r="T284" s="9">
        <v>45108</v>
      </c>
      <c r="U284" s="9">
        <v>45473</v>
      </c>
      <c r="V284">
        <f>SUM(POTABLE_NONPOTABLE_API[[#This Row],[RESIDENTIAL_SINGLEFAMILY_GAL]:[OTHER_GAL]])</f>
        <v>122259295.2</v>
      </c>
      <c r="W284">
        <f>SUM(POTABLE_NONPOTABLE_API[[#This Row],[NONPOTABLE_DEMAND_RESIDENTIAL_RECYCLED_WATER_GAL]:[NONPOTABLE_DEMAND_NONRESIDENTIAL_METERED_IRRIGATION_GAL]])</f>
        <v>0</v>
      </c>
      <c r="X284" t="str">
        <f>IFERROR(INDEX(Crosswalk_API!$H$2:$H$527, MATCH(POTABLE_NONPOTABLE_API[[#This Row],[PWSID]], CW_PWSID_LIST, 0)), "")</f>
        <v>No</v>
      </c>
    </row>
    <row r="285" spans="1:24" x14ac:dyDescent="0.25">
      <c r="A285" t="s">
        <v>789</v>
      </c>
      <c r="B285" t="s">
        <v>790</v>
      </c>
      <c r="C285" t="s">
        <v>791</v>
      </c>
      <c r="D285" t="s">
        <v>792</v>
      </c>
      <c r="E285" s="9">
        <v>45323</v>
      </c>
      <c r="F285" s="9">
        <v>45351</v>
      </c>
      <c r="G285">
        <v>66375848.699999996</v>
      </c>
      <c r="H285">
        <v>4910574.57</v>
      </c>
      <c r="I285">
        <v>25869310.890000001</v>
      </c>
      <c r="J285">
        <v>5451487.2300000004</v>
      </c>
      <c r="K285">
        <v>0</v>
      </c>
      <c r="L285">
        <v>589790.31000000006</v>
      </c>
      <c r="M285">
        <v>0</v>
      </c>
      <c r="N285">
        <v>0</v>
      </c>
      <c r="O285">
        <v>0</v>
      </c>
      <c r="P285">
        <v>0</v>
      </c>
      <c r="Q285">
        <v>0</v>
      </c>
      <c r="R285">
        <v>0</v>
      </c>
      <c r="S285">
        <v>0</v>
      </c>
      <c r="T285" s="9">
        <v>45108</v>
      </c>
      <c r="U285" s="9">
        <v>45473</v>
      </c>
      <c r="V285">
        <f>SUM(POTABLE_NONPOTABLE_API[[#This Row],[RESIDENTIAL_SINGLEFAMILY_GAL]:[OTHER_GAL]])</f>
        <v>103197011.7</v>
      </c>
      <c r="W285">
        <f>SUM(POTABLE_NONPOTABLE_API[[#This Row],[NONPOTABLE_DEMAND_RESIDENTIAL_RECYCLED_WATER_GAL]:[NONPOTABLE_DEMAND_NONRESIDENTIAL_METERED_IRRIGATION_GAL]])</f>
        <v>0</v>
      </c>
      <c r="X285" t="str">
        <f>IFERROR(INDEX(Crosswalk_API!$H$2:$H$527, MATCH(POTABLE_NONPOTABLE_API[[#This Row],[PWSID]], CW_PWSID_LIST, 0)), "")</f>
        <v>No</v>
      </c>
    </row>
    <row r="286" spans="1:24" x14ac:dyDescent="0.25">
      <c r="A286" t="s">
        <v>789</v>
      </c>
      <c r="B286" t="s">
        <v>790</v>
      </c>
      <c r="C286" t="s">
        <v>791</v>
      </c>
      <c r="D286" t="s">
        <v>792</v>
      </c>
      <c r="E286" s="9">
        <v>45352</v>
      </c>
      <c r="F286" s="9">
        <v>45382</v>
      </c>
      <c r="G286">
        <v>139092.78888000001</v>
      </c>
      <c r="H286">
        <v>6934.4420399999999</v>
      </c>
      <c r="I286">
        <v>42706.288680000005</v>
      </c>
      <c r="J286">
        <v>8692.364239999999</v>
      </c>
      <c r="K286">
        <v>0</v>
      </c>
      <c r="L286">
        <v>1443.74036</v>
      </c>
      <c r="M286">
        <v>0</v>
      </c>
      <c r="N286">
        <v>0</v>
      </c>
      <c r="O286">
        <v>0</v>
      </c>
      <c r="P286">
        <v>0</v>
      </c>
      <c r="Q286">
        <v>0</v>
      </c>
      <c r="R286">
        <v>0</v>
      </c>
      <c r="S286">
        <v>0</v>
      </c>
      <c r="T286" s="9">
        <v>45108</v>
      </c>
      <c r="U286" s="9">
        <v>45473</v>
      </c>
      <c r="V286">
        <f>SUM(POTABLE_NONPOTABLE_API[[#This Row],[RESIDENTIAL_SINGLEFAMILY_GAL]:[OTHER_GAL]])</f>
        <v>198869.62419999999</v>
      </c>
      <c r="W286">
        <f>SUM(POTABLE_NONPOTABLE_API[[#This Row],[NONPOTABLE_DEMAND_RESIDENTIAL_RECYCLED_WATER_GAL]:[NONPOTABLE_DEMAND_NONRESIDENTIAL_METERED_IRRIGATION_GAL]])</f>
        <v>0</v>
      </c>
      <c r="X286" t="str">
        <f>IFERROR(INDEX(Crosswalk_API!$H$2:$H$527, MATCH(POTABLE_NONPOTABLE_API[[#This Row],[PWSID]], CW_PWSID_LIST, 0)), "")</f>
        <v>No</v>
      </c>
    </row>
    <row r="287" spans="1:24" x14ac:dyDescent="0.25">
      <c r="A287" t="s">
        <v>789</v>
      </c>
      <c r="B287" t="s">
        <v>790</v>
      </c>
      <c r="C287" t="s">
        <v>791</v>
      </c>
      <c r="D287" t="s">
        <v>792</v>
      </c>
      <c r="E287" s="9">
        <v>45383</v>
      </c>
      <c r="F287" s="9">
        <v>45412</v>
      </c>
      <c r="G287">
        <v>66959121.990000002</v>
      </c>
      <c r="H287">
        <v>5774079.7199999997</v>
      </c>
      <c r="I287">
        <v>22079663.760000002</v>
      </c>
      <c r="J287">
        <v>14894649.210000001</v>
      </c>
      <c r="K287">
        <v>0</v>
      </c>
      <c r="L287">
        <v>2307025.08</v>
      </c>
      <c r="M287">
        <v>0</v>
      </c>
      <c r="N287">
        <v>0</v>
      </c>
      <c r="O287">
        <v>0</v>
      </c>
      <c r="P287">
        <v>0</v>
      </c>
      <c r="Q287">
        <v>0</v>
      </c>
      <c r="R287">
        <v>0</v>
      </c>
      <c r="S287">
        <v>0</v>
      </c>
      <c r="T287" s="9">
        <v>45108</v>
      </c>
      <c r="U287" s="9">
        <v>45473</v>
      </c>
      <c r="V287">
        <f>SUM(POTABLE_NONPOTABLE_API[[#This Row],[RESIDENTIAL_SINGLEFAMILY_GAL]:[OTHER_GAL]])</f>
        <v>112014539.76000001</v>
      </c>
      <c r="W287">
        <f>SUM(POTABLE_NONPOTABLE_API[[#This Row],[NONPOTABLE_DEMAND_RESIDENTIAL_RECYCLED_WATER_GAL]:[NONPOTABLE_DEMAND_NONRESIDENTIAL_METERED_IRRIGATION_GAL]])</f>
        <v>0</v>
      </c>
      <c r="X287" t="str">
        <f>IFERROR(INDEX(Crosswalk_API!$H$2:$H$527, MATCH(POTABLE_NONPOTABLE_API[[#This Row],[PWSID]], CW_PWSID_LIST, 0)), "")</f>
        <v>No</v>
      </c>
    </row>
    <row r="288" spans="1:24" x14ac:dyDescent="0.25">
      <c r="A288" t="s">
        <v>789</v>
      </c>
      <c r="B288" t="s">
        <v>790</v>
      </c>
      <c r="C288" t="s">
        <v>791</v>
      </c>
      <c r="D288" t="s">
        <v>792</v>
      </c>
      <c r="E288" s="9">
        <v>45413</v>
      </c>
      <c r="F288" s="9">
        <v>45443</v>
      </c>
      <c r="G288">
        <v>86089834.200000003</v>
      </c>
      <c r="H288">
        <v>4874730.96</v>
      </c>
      <c r="I288">
        <v>21023906.52</v>
      </c>
      <c r="J288">
        <v>10368578.82</v>
      </c>
      <c r="K288">
        <v>0</v>
      </c>
      <c r="L288">
        <v>6220495.5899999999</v>
      </c>
      <c r="M288">
        <v>0</v>
      </c>
      <c r="N288">
        <v>0</v>
      </c>
      <c r="O288">
        <v>0</v>
      </c>
      <c r="P288">
        <v>0</v>
      </c>
      <c r="Q288">
        <v>0</v>
      </c>
      <c r="R288">
        <v>0</v>
      </c>
      <c r="S288">
        <v>0</v>
      </c>
      <c r="T288" s="9">
        <v>45108</v>
      </c>
      <c r="U288" s="9">
        <v>45473</v>
      </c>
      <c r="V288">
        <f>SUM(POTABLE_NONPOTABLE_API[[#This Row],[RESIDENTIAL_SINGLEFAMILY_GAL]:[OTHER_GAL]])</f>
        <v>128577546.09</v>
      </c>
      <c r="W288">
        <f>SUM(POTABLE_NONPOTABLE_API[[#This Row],[NONPOTABLE_DEMAND_RESIDENTIAL_RECYCLED_WATER_GAL]:[NONPOTABLE_DEMAND_NONRESIDENTIAL_METERED_IRRIGATION_GAL]])</f>
        <v>0</v>
      </c>
      <c r="X288" t="str">
        <f>IFERROR(INDEX(Crosswalk_API!$H$2:$H$527, MATCH(POTABLE_NONPOTABLE_API[[#This Row],[PWSID]], CW_PWSID_LIST, 0)), "")</f>
        <v>No</v>
      </c>
    </row>
    <row r="289" spans="1:24" x14ac:dyDescent="0.25">
      <c r="A289" t="s">
        <v>789</v>
      </c>
      <c r="B289" t="s">
        <v>790</v>
      </c>
      <c r="C289" t="s">
        <v>791</v>
      </c>
      <c r="D289" t="s">
        <v>792</v>
      </c>
      <c r="E289" s="9">
        <v>45444</v>
      </c>
      <c r="F289" s="9">
        <v>45473</v>
      </c>
      <c r="G289">
        <v>122868636.56999999</v>
      </c>
      <c r="H289">
        <v>5673065.9100000001</v>
      </c>
      <c r="I289">
        <v>38525363.730000004</v>
      </c>
      <c r="J289">
        <v>78070641.090000004</v>
      </c>
      <c r="K289">
        <v>0</v>
      </c>
      <c r="L289">
        <v>7885594.2000000002</v>
      </c>
      <c r="M289">
        <v>0</v>
      </c>
      <c r="N289">
        <v>0</v>
      </c>
      <c r="O289">
        <v>0</v>
      </c>
      <c r="Q289">
        <v>0</v>
      </c>
      <c r="R289">
        <v>0</v>
      </c>
      <c r="T289" s="9">
        <v>45108</v>
      </c>
      <c r="U289" s="9">
        <v>45473</v>
      </c>
      <c r="V289">
        <f>SUM(POTABLE_NONPOTABLE_API[[#This Row],[RESIDENTIAL_SINGLEFAMILY_GAL]:[OTHER_GAL]])</f>
        <v>253023301.49999997</v>
      </c>
      <c r="W289">
        <f>SUM(POTABLE_NONPOTABLE_API[[#This Row],[NONPOTABLE_DEMAND_RESIDENTIAL_RECYCLED_WATER_GAL]:[NONPOTABLE_DEMAND_NONRESIDENTIAL_METERED_IRRIGATION_GAL]])</f>
        <v>0</v>
      </c>
      <c r="X289" t="str">
        <f>IFERROR(INDEX(Crosswalk_API!$H$2:$H$527, MATCH(POTABLE_NONPOTABLE_API[[#This Row],[PWSID]], CW_PWSID_LIST, 0)), "")</f>
        <v>No</v>
      </c>
    </row>
    <row r="290" spans="1:24" x14ac:dyDescent="0.25">
      <c r="A290" t="s">
        <v>794</v>
      </c>
      <c r="B290" t="s">
        <v>795</v>
      </c>
      <c r="C290" t="s">
        <v>796</v>
      </c>
      <c r="D290" t="s">
        <v>797</v>
      </c>
      <c r="E290" s="9">
        <v>45108</v>
      </c>
      <c r="F290" s="9">
        <v>45138</v>
      </c>
      <c r="G290">
        <v>26534046.930000003</v>
      </c>
      <c r="H290">
        <v>0</v>
      </c>
      <c r="I290">
        <v>2026793.22</v>
      </c>
      <c r="J290">
        <v>0</v>
      </c>
      <c r="K290">
        <v>0</v>
      </c>
      <c r="L290">
        <v>290007.39</v>
      </c>
      <c r="M290">
        <v>0</v>
      </c>
      <c r="N290">
        <v>0</v>
      </c>
      <c r="O290">
        <v>0</v>
      </c>
      <c r="P290">
        <v>0</v>
      </c>
      <c r="Q290">
        <v>984070.02</v>
      </c>
      <c r="R290">
        <v>9273719.4600000009</v>
      </c>
      <c r="S290">
        <v>0</v>
      </c>
      <c r="T290" s="9">
        <v>45108</v>
      </c>
      <c r="U290" s="9">
        <v>45473</v>
      </c>
      <c r="V290">
        <f>SUM(POTABLE_NONPOTABLE_API[[#This Row],[RESIDENTIAL_SINGLEFAMILY_GAL]:[OTHER_GAL]])</f>
        <v>28850847.540000003</v>
      </c>
      <c r="W290">
        <f>SUM(POTABLE_NONPOTABLE_API[[#This Row],[NONPOTABLE_DEMAND_RESIDENTIAL_RECYCLED_WATER_GAL]:[NONPOTABLE_DEMAND_NONRESIDENTIAL_METERED_IRRIGATION_GAL]])</f>
        <v>10257789.48</v>
      </c>
      <c r="X290" t="str">
        <f>IFERROR(INDEX(Crosswalk_API!$H$2:$H$527, MATCH(POTABLE_NONPOTABLE_API[[#This Row],[PWSID]], CW_PWSID_LIST, 0)), "")</f>
        <v>No</v>
      </c>
    </row>
    <row r="291" spans="1:24" x14ac:dyDescent="0.25">
      <c r="A291" t="s">
        <v>794</v>
      </c>
      <c r="B291" t="s">
        <v>795</v>
      </c>
      <c r="C291" t="s">
        <v>796</v>
      </c>
      <c r="D291" t="s">
        <v>797</v>
      </c>
      <c r="E291" s="9">
        <v>45139</v>
      </c>
      <c r="F291" s="9">
        <v>45169</v>
      </c>
      <c r="G291">
        <v>25002547.23</v>
      </c>
      <c r="H291">
        <v>0</v>
      </c>
      <c r="I291">
        <v>1990949.61</v>
      </c>
      <c r="J291">
        <v>0</v>
      </c>
      <c r="K291">
        <v>0</v>
      </c>
      <c r="L291">
        <v>377987.16</v>
      </c>
      <c r="M291">
        <v>0</v>
      </c>
      <c r="N291">
        <v>0</v>
      </c>
      <c r="O291">
        <v>0</v>
      </c>
      <c r="P291">
        <v>0</v>
      </c>
      <c r="Q291">
        <v>1401159.3</v>
      </c>
      <c r="R291">
        <v>11078934</v>
      </c>
      <c r="S291">
        <v>0</v>
      </c>
      <c r="T291" s="9">
        <v>45108</v>
      </c>
      <c r="U291" s="9">
        <v>45473</v>
      </c>
      <c r="V291">
        <f>SUM(POTABLE_NONPOTABLE_API[[#This Row],[RESIDENTIAL_SINGLEFAMILY_GAL]:[OTHER_GAL]])</f>
        <v>27371484</v>
      </c>
      <c r="W291">
        <f>SUM(POTABLE_NONPOTABLE_API[[#This Row],[NONPOTABLE_DEMAND_RESIDENTIAL_RECYCLED_WATER_GAL]:[NONPOTABLE_DEMAND_NONRESIDENTIAL_METERED_IRRIGATION_GAL]])</f>
        <v>12480093.300000001</v>
      </c>
      <c r="X291" t="str">
        <f>IFERROR(INDEX(Crosswalk_API!$H$2:$H$527, MATCH(POTABLE_NONPOTABLE_API[[#This Row],[PWSID]], CW_PWSID_LIST, 0)), "")</f>
        <v>No</v>
      </c>
    </row>
    <row r="292" spans="1:24" x14ac:dyDescent="0.25">
      <c r="A292" t="s">
        <v>794</v>
      </c>
      <c r="B292" t="s">
        <v>795</v>
      </c>
      <c r="C292" t="s">
        <v>796</v>
      </c>
      <c r="D292" t="s">
        <v>797</v>
      </c>
      <c r="E292" s="9">
        <v>45170</v>
      </c>
      <c r="F292" s="9">
        <v>45199</v>
      </c>
      <c r="G292">
        <v>20212537.530000001</v>
      </c>
      <c r="H292">
        <v>0</v>
      </c>
      <c r="I292">
        <v>1665098.61</v>
      </c>
      <c r="J292">
        <v>0</v>
      </c>
      <c r="K292">
        <v>0</v>
      </c>
      <c r="L292">
        <v>290007.39</v>
      </c>
      <c r="M292">
        <v>0</v>
      </c>
      <c r="N292">
        <v>0</v>
      </c>
      <c r="O292">
        <v>0</v>
      </c>
      <c r="P292">
        <v>0</v>
      </c>
      <c r="Q292">
        <v>1140478.5</v>
      </c>
      <c r="R292">
        <v>6979728.4200000009</v>
      </c>
      <c r="S292">
        <v>0</v>
      </c>
      <c r="T292" s="9">
        <v>45108</v>
      </c>
      <c r="U292" s="9">
        <v>45473</v>
      </c>
      <c r="V292">
        <f>SUM(POTABLE_NONPOTABLE_API[[#This Row],[RESIDENTIAL_SINGLEFAMILY_GAL]:[OTHER_GAL]])</f>
        <v>22167643.530000001</v>
      </c>
      <c r="W292">
        <f>SUM(POTABLE_NONPOTABLE_API[[#This Row],[NONPOTABLE_DEMAND_RESIDENTIAL_RECYCLED_WATER_GAL]:[NONPOTABLE_DEMAND_NONRESIDENTIAL_METERED_IRRIGATION_GAL]])</f>
        <v>8120206.9200000009</v>
      </c>
      <c r="X292" t="str">
        <f>IFERROR(INDEX(Crosswalk_API!$H$2:$H$527, MATCH(POTABLE_NONPOTABLE_API[[#This Row],[PWSID]], CW_PWSID_LIST, 0)), "")</f>
        <v>No</v>
      </c>
    </row>
    <row r="293" spans="1:24" x14ac:dyDescent="0.25">
      <c r="A293" t="s">
        <v>794</v>
      </c>
      <c r="B293" t="s">
        <v>795</v>
      </c>
      <c r="C293" t="s">
        <v>796</v>
      </c>
      <c r="D293" t="s">
        <v>797</v>
      </c>
      <c r="E293" s="9">
        <v>45200</v>
      </c>
      <c r="F293" s="9">
        <v>45230</v>
      </c>
      <c r="G293">
        <v>19397910.030000001</v>
      </c>
      <c r="H293">
        <v>0</v>
      </c>
      <c r="I293">
        <v>1524982.68</v>
      </c>
      <c r="J293">
        <v>0</v>
      </c>
      <c r="K293">
        <v>0</v>
      </c>
      <c r="L293">
        <v>267197.82</v>
      </c>
      <c r="M293">
        <v>0</v>
      </c>
      <c r="N293">
        <v>0</v>
      </c>
      <c r="O293">
        <v>0</v>
      </c>
      <c r="P293">
        <v>0</v>
      </c>
      <c r="Q293">
        <v>74945.73000000001</v>
      </c>
      <c r="R293">
        <v>7406593.2300000004</v>
      </c>
      <c r="S293">
        <v>0</v>
      </c>
      <c r="T293" s="9">
        <v>45108</v>
      </c>
      <c r="U293" s="9">
        <v>45473</v>
      </c>
      <c r="V293">
        <f>SUM(POTABLE_NONPOTABLE_API[[#This Row],[RESIDENTIAL_SINGLEFAMILY_GAL]:[OTHER_GAL]])</f>
        <v>21190090.530000001</v>
      </c>
      <c r="W293">
        <f>SUM(POTABLE_NONPOTABLE_API[[#This Row],[NONPOTABLE_DEMAND_RESIDENTIAL_RECYCLED_WATER_GAL]:[NONPOTABLE_DEMAND_NONRESIDENTIAL_METERED_IRRIGATION_GAL]])</f>
        <v>7481538.9600000009</v>
      </c>
      <c r="X293" t="str">
        <f>IFERROR(INDEX(Crosswalk_API!$H$2:$H$527, MATCH(POTABLE_NONPOTABLE_API[[#This Row],[PWSID]], CW_PWSID_LIST, 0)), "")</f>
        <v>No</v>
      </c>
    </row>
    <row r="294" spans="1:24" x14ac:dyDescent="0.25">
      <c r="A294" t="s">
        <v>794</v>
      </c>
      <c r="B294" t="s">
        <v>795</v>
      </c>
      <c r="C294" t="s">
        <v>796</v>
      </c>
      <c r="D294" t="s">
        <v>797</v>
      </c>
      <c r="E294" s="9">
        <v>45231</v>
      </c>
      <c r="F294" s="9">
        <v>45260</v>
      </c>
      <c r="G294">
        <v>18003267.75</v>
      </c>
      <c r="H294">
        <v>0</v>
      </c>
      <c r="I294">
        <v>742940.27999999991</v>
      </c>
      <c r="J294">
        <v>0</v>
      </c>
      <c r="K294">
        <v>0</v>
      </c>
      <c r="L294">
        <v>188993.58</v>
      </c>
      <c r="M294">
        <v>0</v>
      </c>
      <c r="N294">
        <v>0</v>
      </c>
      <c r="O294">
        <v>0</v>
      </c>
      <c r="P294">
        <v>0</v>
      </c>
      <c r="Q294">
        <v>0</v>
      </c>
      <c r="R294">
        <v>2662202.67</v>
      </c>
      <c r="S294">
        <v>0</v>
      </c>
      <c r="T294" s="9">
        <v>45108</v>
      </c>
      <c r="U294" s="9">
        <v>45473</v>
      </c>
      <c r="V294">
        <f>SUM(POTABLE_NONPOTABLE_API[[#This Row],[RESIDENTIAL_SINGLEFAMILY_GAL]:[OTHER_GAL]])</f>
        <v>18935201.609999999</v>
      </c>
      <c r="W294">
        <f>SUM(POTABLE_NONPOTABLE_API[[#This Row],[NONPOTABLE_DEMAND_RESIDENTIAL_RECYCLED_WATER_GAL]:[NONPOTABLE_DEMAND_NONRESIDENTIAL_METERED_IRRIGATION_GAL]])</f>
        <v>2662202.67</v>
      </c>
      <c r="X294" t="str">
        <f>IFERROR(INDEX(Crosswalk_API!$H$2:$H$527, MATCH(POTABLE_NONPOTABLE_API[[#This Row],[PWSID]], CW_PWSID_LIST, 0)), "")</f>
        <v>No</v>
      </c>
    </row>
    <row r="295" spans="1:24" x14ac:dyDescent="0.25">
      <c r="A295" t="s">
        <v>794</v>
      </c>
      <c r="B295" t="s">
        <v>795</v>
      </c>
      <c r="C295" t="s">
        <v>796</v>
      </c>
      <c r="D295" t="s">
        <v>797</v>
      </c>
      <c r="E295" s="9">
        <v>45261</v>
      </c>
      <c r="F295" s="9">
        <v>45291</v>
      </c>
      <c r="G295">
        <v>11870751.93</v>
      </c>
      <c r="H295">
        <v>0</v>
      </c>
      <c r="I295">
        <v>120564.87</v>
      </c>
      <c r="J295">
        <v>0</v>
      </c>
      <c r="K295">
        <v>0</v>
      </c>
      <c r="L295">
        <v>91238.280000000013</v>
      </c>
      <c r="M295">
        <v>0</v>
      </c>
      <c r="N295">
        <v>0</v>
      </c>
      <c r="O295">
        <v>0</v>
      </c>
      <c r="P295">
        <v>0</v>
      </c>
      <c r="Q295">
        <v>0</v>
      </c>
      <c r="R295">
        <v>0</v>
      </c>
      <c r="S295">
        <v>0</v>
      </c>
      <c r="T295" s="9">
        <v>45108</v>
      </c>
      <c r="U295" s="9">
        <v>45473</v>
      </c>
      <c r="V295">
        <f>SUM(POTABLE_NONPOTABLE_API[[#This Row],[RESIDENTIAL_SINGLEFAMILY_GAL]:[OTHER_GAL]])</f>
        <v>12082555.079999998</v>
      </c>
      <c r="W295">
        <f>SUM(POTABLE_NONPOTABLE_API[[#This Row],[NONPOTABLE_DEMAND_RESIDENTIAL_RECYCLED_WATER_GAL]:[NONPOTABLE_DEMAND_NONRESIDENTIAL_METERED_IRRIGATION_GAL]])</f>
        <v>0</v>
      </c>
      <c r="X295" t="str">
        <f>IFERROR(INDEX(Crosswalk_API!$H$2:$H$527, MATCH(POTABLE_NONPOTABLE_API[[#This Row],[PWSID]], CW_PWSID_LIST, 0)), "")</f>
        <v>No</v>
      </c>
    </row>
    <row r="296" spans="1:24" x14ac:dyDescent="0.25">
      <c r="A296" t="s">
        <v>794</v>
      </c>
      <c r="B296" t="s">
        <v>795</v>
      </c>
      <c r="C296" t="s">
        <v>796</v>
      </c>
      <c r="D296" t="s">
        <v>797</v>
      </c>
      <c r="E296" s="9">
        <v>45292</v>
      </c>
      <c r="F296" s="9">
        <v>45322</v>
      </c>
      <c r="G296">
        <v>10541279.85</v>
      </c>
      <c r="H296">
        <v>0</v>
      </c>
      <c r="I296">
        <v>143374.44</v>
      </c>
      <c r="J296">
        <v>0</v>
      </c>
      <c r="K296">
        <v>0</v>
      </c>
      <c r="L296">
        <v>84721.260000000009</v>
      </c>
      <c r="M296">
        <v>0</v>
      </c>
      <c r="N296">
        <v>0</v>
      </c>
      <c r="O296">
        <v>0</v>
      </c>
      <c r="P296">
        <v>0</v>
      </c>
      <c r="Q296">
        <v>0</v>
      </c>
      <c r="R296">
        <v>0</v>
      </c>
      <c r="S296">
        <v>0</v>
      </c>
      <c r="T296" s="9">
        <v>45108</v>
      </c>
      <c r="U296" s="9">
        <v>45473</v>
      </c>
      <c r="V296">
        <f>SUM(POTABLE_NONPOTABLE_API[[#This Row],[RESIDENTIAL_SINGLEFAMILY_GAL]:[OTHER_GAL]])</f>
        <v>10769375.549999999</v>
      </c>
      <c r="W296">
        <f>SUM(POTABLE_NONPOTABLE_API[[#This Row],[NONPOTABLE_DEMAND_RESIDENTIAL_RECYCLED_WATER_GAL]:[NONPOTABLE_DEMAND_NONRESIDENTIAL_METERED_IRRIGATION_GAL]])</f>
        <v>0</v>
      </c>
      <c r="X296" t="str">
        <f>IFERROR(INDEX(Crosswalk_API!$H$2:$H$527, MATCH(POTABLE_NONPOTABLE_API[[#This Row],[PWSID]], CW_PWSID_LIST, 0)), "")</f>
        <v>No</v>
      </c>
    </row>
    <row r="297" spans="1:24" x14ac:dyDescent="0.25">
      <c r="A297" t="s">
        <v>794</v>
      </c>
      <c r="B297" t="s">
        <v>795</v>
      </c>
      <c r="C297" t="s">
        <v>796</v>
      </c>
      <c r="D297" t="s">
        <v>797</v>
      </c>
      <c r="E297" s="9">
        <v>45323</v>
      </c>
      <c r="F297" s="9">
        <v>45351</v>
      </c>
      <c r="G297">
        <v>9381250.2899999991</v>
      </c>
      <c r="H297">
        <v>0</v>
      </c>
      <c r="I297">
        <v>101013.81</v>
      </c>
      <c r="J297">
        <v>0</v>
      </c>
      <c r="K297">
        <v>0</v>
      </c>
      <c r="L297">
        <v>91238.280000000013</v>
      </c>
      <c r="M297">
        <v>0</v>
      </c>
      <c r="N297">
        <v>0</v>
      </c>
      <c r="O297">
        <v>0</v>
      </c>
      <c r="P297">
        <v>0</v>
      </c>
      <c r="Q297">
        <v>0</v>
      </c>
      <c r="R297">
        <v>0</v>
      </c>
      <c r="S297">
        <v>0</v>
      </c>
      <c r="T297" s="9">
        <v>45108</v>
      </c>
      <c r="U297" s="9">
        <v>45473</v>
      </c>
      <c r="V297">
        <f>SUM(POTABLE_NONPOTABLE_API[[#This Row],[RESIDENTIAL_SINGLEFAMILY_GAL]:[OTHER_GAL]])</f>
        <v>9573502.379999999</v>
      </c>
      <c r="W297">
        <f>SUM(POTABLE_NONPOTABLE_API[[#This Row],[NONPOTABLE_DEMAND_RESIDENTIAL_RECYCLED_WATER_GAL]:[NONPOTABLE_DEMAND_NONRESIDENTIAL_METERED_IRRIGATION_GAL]])</f>
        <v>0</v>
      </c>
      <c r="X297" t="str">
        <f>IFERROR(INDEX(Crosswalk_API!$H$2:$H$527, MATCH(POTABLE_NONPOTABLE_API[[#This Row],[PWSID]], CW_PWSID_LIST, 0)), "")</f>
        <v>No</v>
      </c>
    </row>
    <row r="298" spans="1:24" x14ac:dyDescent="0.25">
      <c r="A298" t="s">
        <v>794</v>
      </c>
      <c r="B298" t="s">
        <v>795</v>
      </c>
      <c r="C298" t="s">
        <v>796</v>
      </c>
      <c r="D298" t="s">
        <v>797</v>
      </c>
      <c r="E298" s="9">
        <v>45352</v>
      </c>
      <c r="F298" s="9">
        <v>45382</v>
      </c>
      <c r="G298">
        <v>10274082.030000001</v>
      </c>
      <c r="H298">
        <v>0</v>
      </c>
      <c r="I298">
        <v>283490.37</v>
      </c>
      <c r="J298">
        <v>0</v>
      </c>
      <c r="K298">
        <v>0</v>
      </c>
      <c r="L298">
        <v>856988.13</v>
      </c>
      <c r="M298">
        <v>0</v>
      </c>
      <c r="N298">
        <v>0</v>
      </c>
      <c r="O298">
        <v>0</v>
      </c>
      <c r="P298">
        <v>0</v>
      </c>
      <c r="Q298">
        <v>0</v>
      </c>
      <c r="R298">
        <v>0</v>
      </c>
      <c r="S298">
        <v>0</v>
      </c>
      <c r="T298" s="9">
        <v>45108</v>
      </c>
      <c r="U298" s="9">
        <v>45473</v>
      </c>
      <c r="V298">
        <f>SUM(POTABLE_NONPOTABLE_API[[#This Row],[RESIDENTIAL_SINGLEFAMILY_GAL]:[OTHER_GAL]])</f>
        <v>11414560.530000001</v>
      </c>
      <c r="W298">
        <f>SUM(POTABLE_NONPOTABLE_API[[#This Row],[NONPOTABLE_DEMAND_RESIDENTIAL_RECYCLED_WATER_GAL]:[NONPOTABLE_DEMAND_NONRESIDENTIAL_METERED_IRRIGATION_GAL]])</f>
        <v>0</v>
      </c>
      <c r="X298" t="str">
        <f>IFERROR(INDEX(Crosswalk_API!$H$2:$H$527, MATCH(POTABLE_NONPOTABLE_API[[#This Row],[PWSID]], CW_PWSID_LIST, 0)), "")</f>
        <v>No</v>
      </c>
    </row>
    <row r="299" spans="1:24" x14ac:dyDescent="0.25">
      <c r="A299" t="s">
        <v>794</v>
      </c>
      <c r="B299" t="s">
        <v>795</v>
      </c>
      <c r="C299" t="s">
        <v>796</v>
      </c>
      <c r="D299" t="s">
        <v>797</v>
      </c>
      <c r="E299" s="9">
        <v>45383</v>
      </c>
      <c r="F299" s="9">
        <v>45412</v>
      </c>
      <c r="G299">
        <v>9218324.7899999991</v>
      </c>
      <c r="H299">
        <v>0</v>
      </c>
      <c r="I299">
        <v>283490.37</v>
      </c>
      <c r="J299">
        <v>0</v>
      </c>
      <c r="K299">
        <v>0</v>
      </c>
      <c r="L299">
        <v>81462.75</v>
      </c>
      <c r="M299">
        <v>0</v>
      </c>
      <c r="N299">
        <v>0</v>
      </c>
      <c r="O299">
        <v>0</v>
      </c>
      <c r="P299">
        <v>0</v>
      </c>
      <c r="Q299">
        <v>0</v>
      </c>
      <c r="R299">
        <v>0</v>
      </c>
      <c r="S299">
        <v>0</v>
      </c>
      <c r="T299" s="9">
        <v>45108</v>
      </c>
      <c r="U299" s="9">
        <v>45473</v>
      </c>
      <c r="V299">
        <f>SUM(POTABLE_NONPOTABLE_API[[#This Row],[RESIDENTIAL_SINGLEFAMILY_GAL]:[OTHER_GAL]])</f>
        <v>9583277.9099999983</v>
      </c>
      <c r="W299">
        <f>SUM(POTABLE_NONPOTABLE_API[[#This Row],[NONPOTABLE_DEMAND_RESIDENTIAL_RECYCLED_WATER_GAL]:[NONPOTABLE_DEMAND_NONRESIDENTIAL_METERED_IRRIGATION_GAL]])</f>
        <v>0</v>
      </c>
      <c r="X299" t="str">
        <f>IFERROR(INDEX(Crosswalk_API!$H$2:$H$527, MATCH(POTABLE_NONPOTABLE_API[[#This Row],[PWSID]], CW_PWSID_LIST, 0)), "")</f>
        <v>No</v>
      </c>
    </row>
    <row r="300" spans="1:24" x14ac:dyDescent="0.25">
      <c r="A300" t="s">
        <v>794</v>
      </c>
      <c r="B300" t="s">
        <v>795</v>
      </c>
      <c r="C300" t="s">
        <v>796</v>
      </c>
      <c r="D300" t="s">
        <v>797</v>
      </c>
      <c r="E300" s="9">
        <v>45413</v>
      </c>
      <c r="F300" s="9">
        <v>45443</v>
      </c>
      <c r="G300">
        <v>27670.443480000002</v>
      </c>
      <c r="H300">
        <v>0</v>
      </c>
      <c r="I300">
        <v>837.81824000000006</v>
      </c>
      <c r="J300">
        <v>97.246760000000009</v>
      </c>
      <c r="K300">
        <v>0</v>
      </c>
      <c r="L300">
        <v>82.285719999999998</v>
      </c>
      <c r="M300">
        <v>0</v>
      </c>
      <c r="N300">
        <v>0</v>
      </c>
      <c r="O300">
        <v>0</v>
      </c>
      <c r="P300">
        <v>0</v>
      </c>
      <c r="Q300">
        <v>0</v>
      </c>
      <c r="R300">
        <v>0</v>
      </c>
      <c r="S300">
        <v>0</v>
      </c>
      <c r="T300" s="9">
        <v>45108</v>
      </c>
      <c r="U300" s="9">
        <v>45473</v>
      </c>
      <c r="V300">
        <f>SUM(POTABLE_NONPOTABLE_API[[#This Row],[RESIDENTIAL_SINGLEFAMILY_GAL]:[OTHER_GAL]])</f>
        <v>28687.794200000004</v>
      </c>
      <c r="W300">
        <f>SUM(POTABLE_NONPOTABLE_API[[#This Row],[NONPOTABLE_DEMAND_RESIDENTIAL_RECYCLED_WATER_GAL]:[NONPOTABLE_DEMAND_NONRESIDENTIAL_METERED_IRRIGATION_GAL]])</f>
        <v>0</v>
      </c>
      <c r="X300" t="str">
        <f>IFERROR(INDEX(Crosswalk_API!$H$2:$H$527, MATCH(POTABLE_NONPOTABLE_API[[#This Row],[PWSID]], CW_PWSID_LIST, 0)), "")</f>
        <v>No</v>
      </c>
    </row>
    <row r="301" spans="1:24" x14ac:dyDescent="0.25">
      <c r="A301" t="s">
        <v>794</v>
      </c>
      <c r="B301" t="s">
        <v>795</v>
      </c>
      <c r="C301" t="s">
        <v>796</v>
      </c>
      <c r="D301" t="s">
        <v>797</v>
      </c>
      <c r="E301" s="9">
        <v>45444</v>
      </c>
      <c r="F301" s="9">
        <v>45473</v>
      </c>
      <c r="G301">
        <v>20538388.530000001</v>
      </c>
      <c r="H301">
        <v>0</v>
      </c>
      <c r="I301">
        <v>1629255</v>
      </c>
      <c r="J301">
        <v>0</v>
      </c>
      <c r="K301">
        <v>0</v>
      </c>
      <c r="L301">
        <v>61911.69</v>
      </c>
      <c r="M301">
        <v>0</v>
      </c>
      <c r="N301">
        <v>0</v>
      </c>
      <c r="O301">
        <v>0</v>
      </c>
      <c r="P301">
        <v>0</v>
      </c>
      <c r="Q301">
        <v>0</v>
      </c>
      <c r="R301">
        <v>0</v>
      </c>
      <c r="S301">
        <v>0</v>
      </c>
      <c r="T301" s="9">
        <v>45108</v>
      </c>
      <c r="U301" s="9">
        <v>45473</v>
      </c>
      <c r="V301">
        <f>SUM(POTABLE_NONPOTABLE_API[[#This Row],[RESIDENTIAL_SINGLEFAMILY_GAL]:[OTHER_GAL]])</f>
        <v>22229555.220000003</v>
      </c>
      <c r="W301">
        <f>SUM(POTABLE_NONPOTABLE_API[[#This Row],[NONPOTABLE_DEMAND_RESIDENTIAL_RECYCLED_WATER_GAL]:[NONPOTABLE_DEMAND_NONRESIDENTIAL_METERED_IRRIGATION_GAL]])</f>
        <v>0</v>
      </c>
      <c r="X301" t="str">
        <f>IFERROR(INDEX(Crosswalk_API!$H$2:$H$527, MATCH(POTABLE_NONPOTABLE_API[[#This Row],[PWSID]], CW_PWSID_LIST, 0)), "")</f>
        <v>No</v>
      </c>
    </row>
    <row r="302" spans="1:24" x14ac:dyDescent="0.25">
      <c r="A302" t="s">
        <v>798</v>
      </c>
      <c r="B302" t="s">
        <v>799</v>
      </c>
      <c r="C302" t="s">
        <v>800</v>
      </c>
      <c r="D302" t="s">
        <v>801</v>
      </c>
      <c r="E302" s="9">
        <v>45108</v>
      </c>
      <c r="F302" s="9">
        <v>45138</v>
      </c>
      <c r="G302">
        <v>315915803.00999999</v>
      </c>
      <c r="H302">
        <v>9303046.0500000007</v>
      </c>
      <c r="I302">
        <v>53273379.990000002</v>
      </c>
      <c r="J302">
        <v>58894309.740000002</v>
      </c>
      <c r="K302">
        <v>5620929.75</v>
      </c>
      <c r="L302">
        <v>13995300.450000001</v>
      </c>
      <c r="M302">
        <v>3880885.41</v>
      </c>
      <c r="N302">
        <v>0</v>
      </c>
      <c r="O302">
        <v>0</v>
      </c>
      <c r="P302">
        <v>0</v>
      </c>
      <c r="Q302">
        <v>0</v>
      </c>
      <c r="R302">
        <v>92675282.910000011</v>
      </c>
      <c r="S302">
        <v>0</v>
      </c>
      <c r="T302" s="9">
        <v>45108</v>
      </c>
      <c r="U302" s="9">
        <v>45473</v>
      </c>
      <c r="V302">
        <f>SUM(POTABLE_NONPOTABLE_API[[#This Row],[RESIDENTIAL_SINGLEFAMILY_GAL]:[OTHER_GAL]])</f>
        <v>457002768.99000001</v>
      </c>
      <c r="W302">
        <f>SUM(POTABLE_NONPOTABLE_API[[#This Row],[NONPOTABLE_DEMAND_RESIDENTIAL_RECYCLED_WATER_GAL]:[NONPOTABLE_DEMAND_NONRESIDENTIAL_METERED_IRRIGATION_GAL]])</f>
        <v>92675282.910000011</v>
      </c>
      <c r="X302" t="str">
        <f>IFERROR(INDEX(Crosswalk_API!$H$2:$H$527, MATCH(POTABLE_NONPOTABLE_API[[#This Row],[PWSID]], CW_PWSID_LIST, 0)), "")</f>
        <v>No</v>
      </c>
    </row>
    <row r="303" spans="1:24" x14ac:dyDescent="0.25">
      <c r="A303" t="s">
        <v>798</v>
      </c>
      <c r="B303" t="s">
        <v>799</v>
      </c>
      <c r="C303" t="s">
        <v>800</v>
      </c>
      <c r="D303" t="s">
        <v>801</v>
      </c>
      <c r="E303" s="9">
        <v>45139</v>
      </c>
      <c r="F303" s="9">
        <v>45169</v>
      </c>
      <c r="G303">
        <v>277921576.40999997</v>
      </c>
      <c r="H303">
        <v>14236430.189999999</v>
      </c>
      <c r="I303">
        <v>53631816.090000004</v>
      </c>
      <c r="J303">
        <v>93509461.470000014</v>
      </c>
      <c r="K303">
        <v>6148808.3700000001</v>
      </c>
      <c r="L303">
        <v>7246926.2399999993</v>
      </c>
      <c r="M303">
        <v>71687.22</v>
      </c>
      <c r="N303">
        <v>0</v>
      </c>
      <c r="O303">
        <v>0</v>
      </c>
      <c r="P303">
        <v>93509461.470000014</v>
      </c>
      <c r="Q303">
        <v>0</v>
      </c>
      <c r="R303">
        <v>0</v>
      </c>
      <c r="S303">
        <v>0</v>
      </c>
      <c r="T303" s="9">
        <v>45108</v>
      </c>
      <c r="U303" s="9">
        <v>45473</v>
      </c>
      <c r="V303">
        <f>SUM(POTABLE_NONPOTABLE_API[[#This Row],[RESIDENTIAL_SINGLEFAMILY_GAL]:[OTHER_GAL]])</f>
        <v>452695018.76999998</v>
      </c>
      <c r="W303">
        <f>SUM(POTABLE_NONPOTABLE_API[[#This Row],[NONPOTABLE_DEMAND_RESIDENTIAL_RECYCLED_WATER_GAL]:[NONPOTABLE_DEMAND_NONRESIDENTIAL_METERED_IRRIGATION_GAL]])</f>
        <v>93509461.470000014</v>
      </c>
      <c r="X303" t="str">
        <f>IFERROR(INDEX(Crosswalk_API!$H$2:$H$527, MATCH(POTABLE_NONPOTABLE_API[[#This Row],[PWSID]], CW_PWSID_LIST, 0)), "")</f>
        <v>No</v>
      </c>
    </row>
    <row r="304" spans="1:24" x14ac:dyDescent="0.25">
      <c r="A304" t="s">
        <v>798</v>
      </c>
      <c r="B304" t="s">
        <v>799</v>
      </c>
      <c r="C304" t="s">
        <v>800</v>
      </c>
      <c r="D304" t="s">
        <v>801</v>
      </c>
      <c r="E304" s="9">
        <v>45170</v>
      </c>
      <c r="F304" s="9">
        <v>45199</v>
      </c>
      <c r="G304">
        <v>262492531.55999997</v>
      </c>
      <c r="H304">
        <v>5950039.2600000007</v>
      </c>
      <c r="I304">
        <v>33233543.489999998</v>
      </c>
      <c r="J304">
        <v>74782804.5</v>
      </c>
      <c r="K304">
        <v>3421435.5</v>
      </c>
      <c r="L304">
        <v>5444970.21</v>
      </c>
      <c r="M304">
        <v>3180305.76</v>
      </c>
      <c r="N304">
        <v>0</v>
      </c>
      <c r="O304">
        <v>0</v>
      </c>
      <c r="P304">
        <v>0</v>
      </c>
      <c r="Q304">
        <v>0</v>
      </c>
      <c r="R304">
        <v>0</v>
      </c>
      <c r="S304">
        <v>74782804.5</v>
      </c>
      <c r="T304" s="9">
        <v>45108</v>
      </c>
      <c r="U304" s="9">
        <v>45473</v>
      </c>
      <c r="V304">
        <f>SUM(POTABLE_NONPOTABLE_API[[#This Row],[RESIDENTIAL_SINGLEFAMILY_GAL]:[OTHER_GAL]])</f>
        <v>385325324.51999998</v>
      </c>
      <c r="W304">
        <f>SUM(POTABLE_NONPOTABLE_API[[#This Row],[NONPOTABLE_DEMAND_RESIDENTIAL_RECYCLED_WATER_GAL]:[NONPOTABLE_DEMAND_NONRESIDENTIAL_METERED_IRRIGATION_GAL]])</f>
        <v>74782804.5</v>
      </c>
      <c r="X304" t="str">
        <f>IFERROR(INDEX(Crosswalk_API!$H$2:$H$527, MATCH(POTABLE_NONPOTABLE_API[[#This Row],[PWSID]], CW_PWSID_LIST, 0)), "")</f>
        <v>No</v>
      </c>
    </row>
    <row r="305" spans="1:24" x14ac:dyDescent="0.25">
      <c r="A305" t="s">
        <v>798</v>
      </c>
      <c r="B305" t="s">
        <v>799</v>
      </c>
      <c r="C305" t="s">
        <v>800</v>
      </c>
      <c r="D305" t="s">
        <v>801</v>
      </c>
      <c r="E305" s="9">
        <v>45200</v>
      </c>
      <c r="F305" s="9">
        <v>45230</v>
      </c>
      <c r="G305">
        <v>212464627.53</v>
      </c>
      <c r="H305">
        <v>13242584.640000001</v>
      </c>
      <c r="I305">
        <v>40949695.170000002</v>
      </c>
      <c r="J305">
        <v>0</v>
      </c>
      <c r="K305">
        <v>5510140.4100000001</v>
      </c>
      <c r="L305">
        <v>3427952.52</v>
      </c>
      <c r="M305">
        <v>0</v>
      </c>
      <c r="N305">
        <v>0</v>
      </c>
      <c r="O305">
        <v>0</v>
      </c>
      <c r="P305">
        <v>0</v>
      </c>
      <c r="Q305">
        <v>0</v>
      </c>
      <c r="R305">
        <v>0</v>
      </c>
      <c r="S305">
        <v>65590547.789999999</v>
      </c>
      <c r="T305" s="9">
        <v>45108</v>
      </c>
      <c r="U305" s="9">
        <v>45473</v>
      </c>
      <c r="V305">
        <f>SUM(POTABLE_NONPOTABLE_API[[#This Row],[RESIDENTIAL_SINGLEFAMILY_GAL]:[OTHER_GAL]])</f>
        <v>275595000.27000004</v>
      </c>
      <c r="W305">
        <f>SUM(POTABLE_NONPOTABLE_API[[#This Row],[NONPOTABLE_DEMAND_RESIDENTIAL_RECYCLED_WATER_GAL]:[NONPOTABLE_DEMAND_NONRESIDENTIAL_METERED_IRRIGATION_GAL]])</f>
        <v>65590547.789999999</v>
      </c>
      <c r="X305" t="str">
        <f>IFERROR(INDEX(Crosswalk_API!$H$2:$H$527, MATCH(POTABLE_NONPOTABLE_API[[#This Row],[PWSID]], CW_PWSID_LIST, 0)), "")</f>
        <v>No</v>
      </c>
    </row>
    <row r="306" spans="1:24" x14ac:dyDescent="0.25">
      <c r="A306" t="s">
        <v>798</v>
      </c>
      <c r="B306" t="s">
        <v>799</v>
      </c>
      <c r="C306" t="s">
        <v>800</v>
      </c>
      <c r="D306" t="s">
        <v>801</v>
      </c>
      <c r="E306" s="9">
        <v>45231</v>
      </c>
      <c r="F306" s="9">
        <v>45260</v>
      </c>
      <c r="G306">
        <v>206029070.28</v>
      </c>
      <c r="H306">
        <v>4946418.18</v>
      </c>
      <c r="I306">
        <v>30603925.920000002</v>
      </c>
      <c r="J306">
        <v>31086185.400000002</v>
      </c>
      <c r="K306">
        <v>4271906.6099999994</v>
      </c>
      <c r="L306">
        <v>4275165.12</v>
      </c>
      <c r="M306">
        <v>2792543.0700000003</v>
      </c>
      <c r="N306">
        <v>0</v>
      </c>
      <c r="O306">
        <v>0</v>
      </c>
      <c r="P306">
        <v>0</v>
      </c>
      <c r="Q306">
        <v>0</v>
      </c>
      <c r="R306">
        <v>0</v>
      </c>
      <c r="S306">
        <v>31086185.400000002</v>
      </c>
      <c r="T306" s="9">
        <v>45108</v>
      </c>
      <c r="U306" s="9">
        <v>45473</v>
      </c>
      <c r="V306">
        <f>SUM(POTABLE_NONPOTABLE_API[[#This Row],[RESIDENTIAL_SINGLEFAMILY_GAL]:[OTHER_GAL]])</f>
        <v>281212671.50999999</v>
      </c>
      <c r="W306">
        <f>SUM(POTABLE_NONPOTABLE_API[[#This Row],[NONPOTABLE_DEMAND_RESIDENTIAL_RECYCLED_WATER_GAL]:[NONPOTABLE_DEMAND_NONRESIDENTIAL_METERED_IRRIGATION_GAL]])</f>
        <v>31086185.400000002</v>
      </c>
      <c r="X306" t="str">
        <f>IFERROR(INDEX(Crosswalk_API!$H$2:$H$527, MATCH(POTABLE_NONPOTABLE_API[[#This Row],[PWSID]], CW_PWSID_LIST, 0)), "")</f>
        <v>No</v>
      </c>
    </row>
    <row r="307" spans="1:24" x14ac:dyDescent="0.25">
      <c r="A307" t="s">
        <v>798</v>
      </c>
      <c r="B307" t="s">
        <v>799</v>
      </c>
      <c r="C307" t="s">
        <v>800</v>
      </c>
      <c r="D307" t="s">
        <v>801</v>
      </c>
      <c r="E307" s="9">
        <v>45261</v>
      </c>
      <c r="F307" s="9">
        <v>45291</v>
      </c>
      <c r="G307">
        <v>167093134.28999999</v>
      </c>
      <c r="H307">
        <v>10772634.060000001</v>
      </c>
      <c r="I307">
        <v>35745854.700000003</v>
      </c>
      <c r="J307">
        <v>30369313.199999999</v>
      </c>
      <c r="K307">
        <v>4252355.55</v>
      </c>
      <c r="L307">
        <v>1570601.82</v>
      </c>
      <c r="M307">
        <v>0</v>
      </c>
      <c r="N307">
        <v>0</v>
      </c>
      <c r="O307">
        <v>0</v>
      </c>
      <c r="P307">
        <v>0</v>
      </c>
      <c r="Q307">
        <v>0</v>
      </c>
      <c r="R307">
        <v>0</v>
      </c>
      <c r="S307">
        <v>0</v>
      </c>
      <c r="T307" s="9">
        <v>45108</v>
      </c>
      <c r="U307" s="9">
        <v>45473</v>
      </c>
      <c r="V307">
        <f>SUM(POTABLE_NONPOTABLE_API[[#This Row],[RESIDENTIAL_SINGLEFAMILY_GAL]:[OTHER_GAL]])</f>
        <v>249803893.62</v>
      </c>
      <c r="W307">
        <f>SUM(POTABLE_NONPOTABLE_API[[#This Row],[NONPOTABLE_DEMAND_RESIDENTIAL_RECYCLED_WATER_GAL]:[NONPOTABLE_DEMAND_NONRESIDENTIAL_METERED_IRRIGATION_GAL]])</f>
        <v>0</v>
      </c>
      <c r="X307" t="str">
        <f>IFERROR(INDEX(Crosswalk_API!$H$2:$H$527, MATCH(POTABLE_NONPOTABLE_API[[#This Row],[PWSID]], CW_PWSID_LIST, 0)), "")</f>
        <v>No</v>
      </c>
    </row>
    <row r="308" spans="1:24" x14ac:dyDescent="0.25">
      <c r="A308" t="s">
        <v>798</v>
      </c>
      <c r="B308" t="s">
        <v>799</v>
      </c>
      <c r="C308" t="s">
        <v>800</v>
      </c>
      <c r="D308" t="s">
        <v>801</v>
      </c>
      <c r="E308" s="9">
        <v>45292</v>
      </c>
      <c r="F308" s="9">
        <v>45322</v>
      </c>
      <c r="G308">
        <v>145687982.09999999</v>
      </c>
      <c r="H308">
        <v>2825128.17</v>
      </c>
      <c r="I308">
        <v>13604279.25</v>
      </c>
      <c r="J308">
        <v>0</v>
      </c>
      <c r="K308">
        <v>4138307.6999999997</v>
      </c>
      <c r="L308">
        <v>5223391.53</v>
      </c>
      <c r="M308">
        <v>1166546.58</v>
      </c>
      <c r="N308">
        <v>0</v>
      </c>
      <c r="O308">
        <v>0</v>
      </c>
      <c r="P308">
        <v>16214345.76</v>
      </c>
      <c r="Q308">
        <v>0</v>
      </c>
      <c r="R308">
        <v>0</v>
      </c>
      <c r="S308">
        <v>0</v>
      </c>
      <c r="T308" s="9">
        <v>45108</v>
      </c>
      <c r="U308" s="9">
        <v>45473</v>
      </c>
      <c r="V308">
        <f>SUM(POTABLE_NONPOTABLE_API[[#This Row],[RESIDENTIAL_SINGLEFAMILY_GAL]:[OTHER_GAL]])</f>
        <v>171479088.74999997</v>
      </c>
      <c r="W308">
        <f>SUM(POTABLE_NONPOTABLE_API[[#This Row],[NONPOTABLE_DEMAND_RESIDENTIAL_RECYCLED_WATER_GAL]:[NONPOTABLE_DEMAND_NONRESIDENTIAL_METERED_IRRIGATION_GAL]])</f>
        <v>16214345.76</v>
      </c>
      <c r="X308" t="str">
        <f>IFERROR(INDEX(Crosswalk_API!$H$2:$H$527, MATCH(POTABLE_NONPOTABLE_API[[#This Row],[PWSID]], CW_PWSID_LIST, 0)), "")</f>
        <v>No</v>
      </c>
    </row>
    <row r="309" spans="1:24" x14ac:dyDescent="0.25">
      <c r="A309" t="s">
        <v>798</v>
      </c>
      <c r="B309" t="s">
        <v>799</v>
      </c>
      <c r="C309" t="s">
        <v>800</v>
      </c>
      <c r="D309" t="s">
        <v>801</v>
      </c>
      <c r="E309" s="9">
        <v>45323</v>
      </c>
      <c r="F309" s="9">
        <v>45351</v>
      </c>
      <c r="G309">
        <v>104132204.06999999</v>
      </c>
      <c r="H309">
        <v>9045623.7599999998</v>
      </c>
      <c r="I309">
        <v>20274449.219999999</v>
      </c>
      <c r="J309">
        <v>8237513.2800000003</v>
      </c>
      <c r="K309">
        <v>4118756.64</v>
      </c>
      <c r="L309">
        <v>5689358.46</v>
      </c>
      <c r="M309">
        <v>0</v>
      </c>
      <c r="N309">
        <v>0</v>
      </c>
      <c r="O309">
        <v>0</v>
      </c>
      <c r="P309">
        <v>0</v>
      </c>
      <c r="Q309">
        <v>0</v>
      </c>
      <c r="R309">
        <v>0</v>
      </c>
      <c r="S309">
        <v>8237513.2800000003</v>
      </c>
      <c r="T309" s="9">
        <v>45108</v>
      </c>
      <c r="U309" s="9">
        <v>45473</v>
      </c>
      <c r="V309">
        <f>SUM(POTABLE_NONPOTABLE_API[[#This Row],[RESIDENTIAL_SINGLEFAMILY_GAL]:[OTHER_GAL]])</f>
        <v>151497905.42999998</v>
      </c>
      <c r="W309">
        <f>SUM(POTABLE_NONPOTABLE_API[[#This Row],[NONPOTABLE_DEMAND_RESIDENTIAL_RECYCLED_WATER_GAL]:[NONPOTABLE_DEMAND_NONRESIDENTIAL_METERED_IRRIGATION_GAL]])</f>
        <v>8237513.2800000003</v>
      </c>
      <c r="X309" t="str">
        <f>IFERROR(INDEX(Crosswalk_API!$H$2:$H$527, MATCH(POTABLE_NONPOTABLE_API[[#This Row],[PWSID]], CW_PWSID_LIST, 0)), "")</f>
        <v>No</v>
      </c>
    </row>
    <row r="310" spans="1:24" x14ac:dyDescent="0.25">
      <c r="A310" t="s">
        <v>798</v>
      </c>
      <c r="B310" t="s">
        <v>799</v>
      </c>
      <c r="C310" t="s">
        <v>800</v>
      </c>
      <c r="D310" t="s">
        <v>801</v>
      </c>
      <c r="E310" s="9">
        <v>45352</v>
      </c>
      <c r="F310" s="9">
        <v>45382</v>
      </c>
      <c r="G310">
        <v>133752059.97000001</v>
      </c>
      <c r="H310">
        <v>5379800.0100000007</v>
      </c>
      <c r="I310">
        <v>20026802.460000001</v>
      </c>
      <c r="J310">
        <v>7709634.6600000001</v>
      </c>
      <c r="K310">
        <v>5862059.4899999993</v>
      </c>
      <c r="L310">
        <v>410572.26</v>
      </c>
      <c r="M310">
        <v>120564.87</v>
      </c>
      <c r="N310">
        <v>0</v>
      </c>
      <c r="O310">
        <v>0</v>
      </c>
      <c r="P310">
        <v>0</v>
      </c>
      <c r="Q310">
        <v>0</v>
      </c>
      <c r="R310">
        <v>0</v>
      </c>
      <c r="S310">
        <v>7709634.6600000001</v>
      </c>
      <c r="T310" s="9">
        <v>45108</v>
      </c>
      <c r="U310" s="9">
        <v>45473</v>
      </c>
      <c r="V310">
        <f>SUM(POTABLE_NONPOTABLE_API[[#This Row],[RESIDENTIAL_SINGLEFAMILY_GAL]:[OTHER_GAL]])</f>
        <v>173140928.85000002</v>
      </c>
      <c r="W310">
        <f>SUM(POTABLE_NONPOTABLE_API[[#This Row],[NONPOTABLE_DEMAND_RESIDENTIAL_RECYCLED_WATER_GAL]:[NONPOTABLE_DEMAND_NONRESIDENTIAL_METERED_IRRIGATION_GAL]])</f>
        <v>7709634.6600000001</v>
      </c>
      <c r="X310" t="str">
        <f>IFERROR(INDEX(Crosswalk_API!$H$2:$H$527, MATCH(POTABLE_NONPOTABLE_API[[#This Row],[PWSID]], CW_PWSID_LIST, 0)), "")</f>
        <v>No</v>
      </c>
    </row>
    <row r="311" spans="1:24" x14ac:dyDescent="0.25">
      <c r="A311" t="s">
        <v>798</v>
      </c>
      <c r="B311" t="s">
        <v>799</v>
      </c>
      <c r="C311" t="s">
        <v>800</v>
      </c>
      <c r="D311" t="s">
        <v>801</v>
      </c>
      <c r="E311" s="9">
        <v>45383</v>
      </c>
      <c r="F311" s="9">
        <v>45412</v>
      </c>
      <c r="G311">
        <v>135759302.13</v>
      </c>
      <c r="H311">
        <v>13089434.67</v>
      </c>
      <c r="I311">
        <v>32298351.120000001</v>
      </c>
      <c r="J311">
        <v>14581832.25</v>
      </c>
      <c r="K311">
        <v>8521003.6500000004</v>
      </c>
      <c r="L311">
        <v>1935554.9400000002</v>
      </c>
      <c r="M311">
        <v>0</v>
      </c>
      <c r="N311">
        <v>0</v>
      </c>
      <c r="O311">
        <v>0</v>
      </c>
      <c r="P311">
        <v>0</v>
      </c>
      <c r="Q311">
        <v>0</v>
      </c>
      <c r="R311">
        <v>0</v>
      </c>
      <c r="S311">
        <v>14581832.25</v>
      </c>
      <c r="T311" s="9">
        <v>45108</v>
      </c>
      <c r="U311" s="9">
        <v>45473</v>
      </c>
      <c r="V311">
        <f>SUM(POTABLE_NONPOTABLE_API[[#This Row],[RESIDENTIAL_SINGLEFAMILY_GAL]:[OTHER_GAL]])</f>
        <v>206185478.75999999</v>
      </c>
      <c r="W311">
        <f>SUM(POTABLE_NONPOTABLE_API[[#This Row],[NONPOTABLE_DEMAND_RESIDENTIAL_RECYCLED_WATER_GAL]:[NONPOTABLE_DEMAND_NONRESIDENTIAL_METERED_IRRIGATION_GAL]])</f>
        <v>14581832.25</v>
      </c>
      <c r="X311" t="str">
        <f>IFERROR(INDEX(Crosswalk_API!$H$2:$H$527, MATCH(POTABLE_NONPOTABLE_API[[#This Row],[PWSID]], CW_PWSID_LIST, 0)), "")</f>
        <v>No</v>
      </c>
    </row>
    <row r="312" spans="1:24" x14ac:dyDescent="0.25">
      <c r="A312" t="s">
        <v>798</v>
      </c>
      <c r="B312" t="s">
        <v>799</v>
      </c>
      <c r="C312" t="s">
        <v>800</v>
      </c>
      <c r="D312" t="s">
        <v>801</v>
      </c>
      <c r="E312" s="9">
        <v>45413</v>
      </c>
      <c r="F312" s="9">
        <v>45443</v>
      </c>
      <c r="G312">
        <v>230034513.45000002</v>
      </c>
      <c r="H312">
        <v>5510140.4100000001</v>
      </c>
      <c r="I312">
        <v>30164027.069999997</v>
      </c>
      <c r="J312">
        <v>0</v>
      </c>
      <c r="K312">
        <v>5080017.09</v>
      </c>
      <c r="L312">
        <v>3310646.16</v>
      </c>
      <c r="M312">
        <v>1098117.8700000001</v>
      </c>
      <c r="N312">
        <v>0</v>
      </c>
      <c r="O312">
        <v>0</v>
      </c>
      <c r="P312">
        <v>0</v>
      </c>
      <c r="Q312">
        <v>0</v>
      </c>
      <c r="R312">
        <v>0</v>
      </c>
      <c r="S312">
        <v>36821163</v>
      </c>
      <c r="T312" s="9">
        <v>45108</v>
      </c>
      <c r="U312" s="9">
        <v>45473</v>
      </c>
      <c r="V312">
        <f>SUM(POTABLE_NONPOTABLE_API[[#This Row],[RESIDENTIAL_SINGLEFAMILY_GAL]:[OTHER_GAL]])</f>
        <v>274099344.18000001</v>
      </c>
      <c r="W312">
        <f>SUM(POTABLE_NONPOTABLE_API[[#This Row],[NONPOTABLE_DEMAND_RESIDENTIAL_RECYCLED_WATER_GAL]:[NONPOTABLE_DEMAND_NONRESIDENTIAL_METERED_IRRIGATION_GAL]])</f>
        <v>36821163</v>
      </c>
      <c r="X312" t="str">
        <f>IFERROR(INDEX(Crosswalk_API!$H$2:$H$527, MATCH(POTABLE_NONPOTABLE_API[[#This Row],[PWSID]], CW_PWSID_LIST, 0)), "")</f>
        <v>No</v>
      </c>
    </row>
    <row r="313" spans="1:24" x14ac:dyDescent="0.25">
      <c r="A313" t="s">
        <v>798</v>
      </c>
      <c r="B313" t="s">
        <v>799</v>
      </c>
      <c r="C313" t="s">
        <v>800</v>
      </c>
      <c r="D313" t="s">
        <v>801</v>
      </c>
      <c r="E313" s="9">
        <v>45444</v>
      </c>
      <c r="F313" s="9">
        <v>45473</v>
      </c>
      <c r="G313">
        <v>242752477.98000002</v>
      </c>
      <c r="H313">
        <v>17195157.27</v>
      </c>
      <c r="I313">
        <v>51585471.810000002</v>
      </c>
      <c r="J313">
        <v>90716918.399999991</v>
      </c>
      <c r="K313">
        <v>9280236.4800000004</v>
      </c>
      <c r="L313">
        <v>4907316.0600000005</v>
      </c>
      <c r="M313">
        <v>0</v>
      </c>
      <c r="N313">
        <v>0</v>
      </c>
      <c r="O313">
        <v>0</v>
      </c>
      <c r="P313">
        <v>0</v>
      </c>
      <c r="Q313">
        <v>0</v>
      </c>
      <c r="R313">
        <v>0</v>
      </c>
      <c r="S313">
        <v>0</v>
      </c>
      <c r="T313" s="9">
        <v>45108</v>
      </c>
      <c r="U313" s="9">
        <v>45473</v>
      </c>
      <c r="V313">
        <f>SUM(POTABLE_NONPOTABLE_API[[#This Row],[RESIDENTIAL_SINGLEFAMILY_GAL]:[OTHER_GAL]])</f>
        <v>416437578.00000006</v>
      </c>
      <c r="W313">
        <f>SUM(POTABLE_NONPOTABLE_API[[#This Row],[NONPOTABLE_DEMAND_RESIDENTIAL_RECYCLED_WATER_GAL]:[NONPOTABLE_DEMAND_NONRESIDENTIAL_METERED_IRRIGATION_GAL]])</f>
        <v>0</v>
      </c>
      <c r="X313" t="str">
        <f>IFERROR(INDEX(Crosswalk_API!$H$2:$H$527, MATCH(POTABLE_NONPOTABLE_API[[#This Row],[PWSID]], CW_PWSID_LIST, 0)), "")</f>
        <v>No</v>
      </c>
    </row>
    <row r="314" spans="1:24" x14ac:dyDescent="0.25">
      <c r="A314" t="s">
        <v>802</v>
      </c>
      <c r="B314" t="s">
        <v>803</v>
      </c>
      <c r="C314" t="s">
        <v>804</v>
      </c>
      <c r="D314" t="s">
        <v>805</v>
      </c>
      <c r="E314" s="9">
        <v>45108</v>
      </c>
      <c r="F314" s="9">
        <v>45138</v>
      </c>
      <c r="G314">
        <v>188628626.88</v>
      </c>
      <c r="H314">
        <v>2385229.3200000003</v>
      </c>
      <c r="I314">
        <v>16722673.32</v>
      </c>
      <c r="J314">
        <v>64371865.050000004</v>
      </c>
      <c r="K314">
        <v>0</v>
      </c>
      <c r="L314">
        <v>860246.64</v>
      </c>
      <c r="M314">
        <v>82511990.219999999</v>
      </c>
      <c r="T314" s="9">
        <v>45108</v>
      </c>
      <c r="U314" s="9">
        <v>45473</v>
      </c>
      <c r="V314">
        <f>SUM(POTABLE_NONPOTABLE_API[[#This Row],[RESIDENTIAL_SINGLEFAMILY_GAL]:[OTHER_GAL]])</f>
        <v>272968641.20999998</v>
      </c>
      <c r="W314">
        <f>SUM(POTABLE_NONPOTABLE_API[[#This Row],[NONPOTABLE_DEMAND_RESIDENTIAL_RECYCLED_WATER_GAL]:[NONPOTABLE_DEMAND_NONRESIDENTIAL_METERED_IRRIGATION_GAL]])</f>
        <v>0</v>
      </c>
      <c r="X314" t="str">
        <f>IFERROR(INDEX(Crosswalk_API!$H$2:$H$527, MATCH(POTABLE_NONPOTABLE_API[[#This Row],[PWSID]], CW_PWSID_LIST, 0)), "")</f>
        <v>No</v>
      </c>
    </row>
    <row r="315" spans="1:24" x14ac:dyDescent="0.25">
      <c r="A315" t="s">
        <v>802</v>
      </c>
      <c r="B315" t="s">
        <v>803</v>
      </c>
      <c r="C315" t="s">
        <v>804</v>
      </c>
      <c r="D315" t="s">
        <v>805</v>
      </c>
      <c r="E315" s="9">
        <v>45139</v>
      </c>
      <c r="F315" s="9">
        <v>45169</v>
      </c>
      <c r="G315">
        <v>233778541.44000003</v>
      </c>
      <c r="H315">
        <v>7523899.5899999999</v>
      </c>
      <c r="I315">
        <v>38838180.689999998</v>
      </c>
      <c r="J315">
        <v>12014126.369999999</v>
      </c>
      <c r="K315">
        <v>0</v>
      </c>
      <c r="L315">
        <v>606082.86</v>
      </c>
      <c r="M315">
        <v>81166225.590000004</v>
      </c>
      <c r="T315" s="9">
        <v>45108</v>
      </c>
      <c r="U315" s="9">
        <v>45473</v>
      </c>
      <c r="V315">
        <f>SUM(POTABLE_NONPOTABLE_API[[#This Row],[RESIDENTIAL_SINGLEFAMILY_GAL]:[OTHER_GAL]])</f>
        <v>292760830.95000005</v>
      </c>
      <c r="W315">
        <f>SUM(POTABLE_NONPOTABLE_API[[#This Row],[NONPOTABLE_DEMAND_RESIDENTIAL_RECYCLED_WATER_GAL]:[NONPOTABLE_DEMAND_NONRESIDENTIAL_METERED_IRRIGATION_GAL]])</f>
        <v>0</v>
      </c>
      <c r="X315" t="str">
        <f>IFERROR(INDEX(Crosswalk_API!$H$2:$H$527, MATCH(POTABLE_NONPOTABLE_API[[#This Row],[PWSID]], CW_PWSID_LIST, 0)), "")</f>
        <v>No</v>
      </c>
    </row>
    <row r="316" spans="1:24" x14ac:dyDescent="0.25">
      <c r="A316" t="s">
        <v>802</v>
      </c>
      <c r="B316" t="s">
        <v>803</v>
      </c>
      <c r="C316" t="s">
        <v>804</v>
      </c>
      <c r="D316" t="s">
        <v>805</v>
      </c>
      <c r="E316" s="9">
        <v>45170</v>
      </c>
      <c r="F316" s="9">
        <v>45199</v>
      </c>
      <c r="G316">
        <v>229891139.00999999</v>
      </c>
      <c r="H316">
        <v>2453658.0300000003</v>
      </c>
      <c r="I316">
        <v>17638314.630000003</v>
      </c>
      <c r="J316">
        <v>76402283.969999999</v>
      </c>
      <c r="K316">
        <v>0</v>
      </c>
      <c r="L316">
        <v>866763.66</v>
      </c>
      <c r="M316">
        <v>40183945.32</v>
      </c>
      <c r="T316" s="9">
        <v>45108</v>
      </c>
      <c r="U316" s="9">
        <v>45473</v>
      </c>
      <c r="V316">
        <f>SUM(POTABLE_NONPOTABLE_API[[#This Row],[RESIDENTIAL_SINGLEFAMILY_GAL]:[OTHER_GAL]])</f>
        <v>327252159.30000001</v>
      </c>
      <c r="W316">
        <f>SUM(POTABLE_NONPOTABLE_API[[#This Row],[NONPOTABLE_DEMAND_RESIDENTIAL_RECYCLED_WATER_GAL]:[NONPOTABLE_DEMAND_NONRESIDENTIAL_METERED_IRRIGATION_GAL]])</f>
        <v>0</v>
      </c>
      <c r="X316" t="str">
        <f>IFERROR(INDEX(Crosswalk_API!$H$2:$H$527, MATCH(POTABLE_NONPOTABLE_API[[#This Row],[PWSID]], CW_PWSID_LIST, 0)), "")</f>
        <v>No</v>
      </c>
    </row>
    <row r="317" spans="1:24" x14ac:dyDescent="0.25">
      <c r="A317" t="s">
        <v>802</v>
      </c>
      <c r="B317" t="s">
        <v>803</v>
      </c>
      <c r="C317" t="s">
        <v>804</v>
      </c>
      <c r="D317" t="s">
        <v>805</v>
      </c>
      <c r="E317" s="9">
        <v>45200</v>
      </c>
      <c r="F317" s="9">
        <v>45230</v>
      </c>
      <c r="G317">
        <v>173606895.78</v>
      </c>
      <c r="H317">
        <v>7250184.75</v>
      </c>
      <c r="I317">
        <v>33794007.210000001</v>
      </c>
      <c r="J317">
        <v>12919992.15</v>
      </c>
      <c r="K317">
        <v>0</v>
      </c>
      <c r="L317">
        <v>700579.65</v>
      </c>
      <c r="M317">
        <v>28511962.5</v>
      </c>
      <c r="T317" s="9">
        <v>45108</v>
      </c>
      <c r="U317" s="9">
        <v>45473</v>
      </c>
      <c r="V317">
        <f>SUM(POTABLE_NONPOTABLE_API[[#This Row],[RESIDENTIAL_SINGLEFAMILY_GAL]:[OTHER_GAL]])</f>
        <v>228271659.54000002</v>
      </c>
      <c r="W317">
        <f>SUM(POTABLE_NONPOTABLE_API[[#This Row],[NONPOTABLE_DEMAND_RESIDENTIAL_RECYCLED_WATER_GAL]:[NONPOTABLE_DEMAND_NONRESIDENTIAL_METERED_IRRIGATION_GAL]])</f>
        <v>0</v>
      </c>
      <c r="X317" t="str">
        <f>IFERROR(INDEX(Crosswalk_API!$H$2:$H$527, MATCH(POTABLE_NONPOTABLE_API[[#This Row],[PWSID]], CW_PWSID_LIST, 0)), "")</f>
        <v>No</v>
      </c>
    </row>
    <row r="318" spans="1:24" x14ac:dyDescent="0.25">
      <c r="A318" t="s">
        <v>802</v>
      </c>
      <c r="B318" t="s">
        <v>803</v>
      </c>
      <c r="C318" t="s">
        <v>804</v>
      </c>
      <c r="D318" t="s">
        <v>805</v>
      </c>
      <c r="E318" s="9">
        <v>45231</v>
      </c>
      <c r="F318" s="9">
        <v>45260</v>
      </c>
      <c r="G318">
        <v>137496087.95999998</v>
      </c>
      <c r="H318">
        <v>2052861.3</v>
      </c>
      <c r="I318">
        <v>10873647.869999999</v>
      </c>
      <c r="J318">
        <v>30773368.439999998</v>
      </c>
      <c r="K318">
        <v>0</v>
      </c>
      <c r="L318">
        <v>325851</v>
      </c>
      <c r="M318">
        <v>12897182.58</v>
      </c>
      <c r="T318" s="9">
        <v>45108</v>
      </c>
      <c r="U318" s="9">
        <v>45473</v>
      </c>
      <c r="V318">
        <f>SUM(POTABLE_NONPOTABLE_API[[#This Row],[RESIDENTIAL_SINGLEFAMILY_GAL]:[OTHER_GAL]])</f>
        <v>181521816.56999999</v>
      </c>
      <c r="W318">
        <f>SUM(POTABLE_NONPOTABLE_API[[#This Row],[NONPOTABLE_DEMAND_RESIDENTIAL_RECYCLED_WATER_GAL]:[NONPOTABLE_DEMAND_NONRESIDENTIAL_METERED_IRRIGATION_GAL]])</f>
        <v>0</v>
      </c>
      <c r="X318" t="str">
        <f>IFERROR(INDEX(Crosswalk_API!$H$2:$H$527, MATCH(POTABLE_NONPOTABLE_API[[#This Row],[PWSID]], CW_PWSID_LIST, 0)), "")</f>
        <v>No</v>
      </c>
    </row>
    <row r="319" spans="1:24" x14ac:dyDescent="0.25">
      <c r="A319" t="s">
        <v>802</v>
      </c>
      <c r="B319" t="s">
        <v>803</v>
      </c>
      <c r="C319" t="s">
        <v>804</v>
      </c>
      <c r="D319" t="s">
        <v>805</v>
      </c>
      <c r="E319" s="9">
        <v>45261</v>
      </c>
      <c r="F319" s="9">
        <v>45291</v>
      </c>
      <c r="G319">
        <v>78347614.439999998</v>
      </c>
      <c r="H319">
        <v>3206373.84</v>
      </c>
      <c r="I319">
        <v>17100660.48</v>
      </c>
      <c r="J319">
        <v>1173063.6000000001</v>
      </c>
      <c r="K319">
        <v>0</v>
      </c>
      <c r="L319">
        <v>273714.83999999997</v>
      </c>
      <c r="M319">
        <v>6575673.1799999997</v>
      </c>
      <c r="T319" s="9">
        <v>45108</v>
      </c>
      <c r="U319" s="9">
        <v>45473</v>
      </c>
      <c r="V319">
        <f>SUM(POTABLE_NONPOTABLE_API[[#This Row],[RESIDENTIAL_SINGLEFAMILY_GAL]:[OTHER_GAL]])</f>
        <v>100101427.2</v>
      </c>
      <c r="W319">
        <f>SUM(POTABLE_NONPOTABLE_API[[#This Row],[NONPOTABLE_DEMAND_RESIDENTIAL_RECYCLED_WATER_GAL]:[NONPOTABLE_DEMAND_NONRESIDENTIAL_METERED_IRRIGATION_GAL]])</f>
        <v>0</v>
      </c>
      <c r="X319" t="str">
        <f>IFERROR(INDEX(Crosswalk_API!$H$2:$H$527, MATCH(POTABLE_NONPOTABLE_API[[#This Row],[PWSID]], CW_PWSID_LIST, 0)), "")</f>
        <v>No</v>
      </c>
    </row>
    <row r="320" spans="1:24" x14ac:dyDescent="0.25">
      <c r="A320" t="s">
        <v>802</v>
      </c>
      <c r="B320" t="s">
        <v>803</v>
      </c>
      <c r="C320" t="s">
        <v>804</v>
      </c>
      <c r="D320" t="s">
        <v>805</v>
      </c>
      <c r="E320" s="9">
        <v>45292</v>
      </c>
      <c r="F320" s="9">
        <v>45322</v>
      </c>
      <c r="G320">
        <v>62292935.669999994</v>
      </c>
      <c r="H320">
        <v>1508690.13</v>
      </c>
      <c r="I320">
        <v>5128894.74</v>
      </c>
      <c r="J320">
        <v>4959452.2200000007</v>
      </c>
      <c r="K320">
        <v>0</v>
      </c>
      <c r="L320">
        <v>153149.97</v>
      </c>
      <c r="M320">
        <v>4086171.5399999996</v>
      </c>
      <c r="T320" s="9">
        <v>45108</v>
      </c>
      <c r="U320" s="9">
        <v>45473</v>
      </c>
      <c r="V320">
        <f>SUM(POTABLE_NONPOTABLE_API[[#This Row],[RESIDENTIAL_SINGLEFAMILY_GAL]:[OTHER_GAL]])</f>
        <v>74043122.729999989</v>
      </c>
      <c r="W320">
        <f>SUM(POTABLE_NONPOTABLE_API[[#This Row],[NONPOTABLE_DEMAND_RESIDENTIAL_RECYCLED_WATER_GAL]:[NONPOTABLE_DEMAND_NONRESIDENTIAL_METERED_IRRIGATION_GAL]])</f>
        <v>0</v>
      </c>
      <c r="X320" t="str">
        <f>IFERROR(INDEX(Crosswalk_API!$H$2:$H$527, MATCH(POTABLE_NONPOTABLE_API[[#This Row],[PWSID]], CW_PWSID_LIST, 0)), "")</f>
        <v>No</v>
      </c>
    </row>
    <row r="321" spans="1:24" x14ac:dyDescent="0.25">
      <c r="A321" t="s">
        <v>802</v>
      </c>
      <c r="B321" t="s">
        <v>803</v>
      </c>
      <c r="C321" t="s">
        <v>804</v>
      </c>
      <c r="D321" t="s">
        <v>805</v>
      </c>
      <c r="E321" s="9">
        <v>45323</v>
      </c>
      <c r="F321" s="9">
        <v>45351</v>
      </c>
      <c r="G321">
        <v>44234273.25</v>
      </c>
      <c r="H321">
        <v>2411297.4</v>
      </c>
      <c r="I321">
        <v>10515211.770000001</v>
      </c>
      <c r="J321">
        <v>94496.79</v>
      </c>
      <c r="K321">
        <v>0</v>
      </c>
      <c r="L321">
        <v>81462.75</v>
      </c>
      <c r="M321">
        <v>3186822.78</v>
      </c>
      <c r="T321" s="9">
        <v>45108</v>
      </c>
      <c r="U321" s="9">
        <v>45473</v>
      </c>
      <c r="V321">
        <f>SUM(POTABLE_NONPOTABLE_API[[#This Row],[RESIDENTIAL_SINGLEFAMILY_GAL]:[OTHER_GAL]])</f>
        <v>57336741.960000001</v>
      </c>
      <c r="W321">
        <f>SUM(POTABLE_NONPOTABLE_API[[#This Row],[NONPOTABLE_DEMAND_RESIDENTIAL_RECYCLED_WATER_GAL]:[NONPOTABLE_DEMAND_NONRESIDENTIAL_METERED_IRRIGATION_GAL]])</f>
        <v>0</v>
      </c>
      <c r="X321" t="str">
        <f>IFERROR(INDEX(Crosswalk_API!$H$2:$H$527, MATCH(POTABLE_NONPOTABLE_API[[#This Row],[PWSID]], CW_PWSID_LIST, 0)), "")</f>
        <v>No</v>
      </c>
    </row>
    <row r="322" spans="1:24" x14ac:dyDescent="0.25">
      <c r="A322" t="s">
        <v>802</v>
      </c>
      <c r="B322" t="s">
        <v>803</v>
      </c>
      <c r="C322" t="s">
        <v>804</v>
      </c>
      <c r="D322" t="s">
        <v>805</v>
      </c>
      <c r="E322" s="9">
        <v>45352</v>
      </c>
      <c r="F322" s="9">
        <v>45382</v>
      </c>
      <c r="G322">
        <v>39981917.700000003</v>
      </c>
      <c r="H322">
        <v>1257784.8599999999</v>
      </c>
      <c r="I322">
        <v>4633601.2200000007</v>
      </c>
      <c r="J322">
        <v>3936280.08</v>
      </c>
      <c r="K322">
        <v>0</v>
      </c>
      <c r="L322">
        <v>156408.47999999998</v>
      </c>
      <c r="M322">
        <v>2610066.5099999998</v>
      </c>
      <c r="T322" s="9">
        <v>45108</v>
      </c>
      <c r="U322" s="9">
        <v>45473</v>
      </c>
      <c r="V322">
        <f>SUM(POTABLE_NONPOTABLE_API[[#This Row],[RESIDENTIAL_SINGLEFAMILY_GAL]:[OTHER_GAL]])</f>
        <v>49965992.339999996</v>
      </c>
      <c r="W322">
        <f>SUM(POTABLE_NONPOTABLE_API[[#This Row],[NONPOTABLE_DEMAND_RESIDENTIAL_RECYCLED_WATER_GAL]:[NONPOTABLE_DEMAND_NONRESIDENTIAL_METERED_IRRIGATION_GAL]])</f>
        <v>0</v>
      </c>
      <c r="X322" t="str">
        <f>IFERROR(INDEX(Crosswalk_API!$H$2:$H$527, MATCH(POTABLE_NONPOTABLE_API[[#This Row],[PWSID]], CW_PWSID_LIST, 0)), "")</f>
        <v>No</v>
      </c>
    </row>
    <row r="323" spans="1:24" x14ac:dyDescent="0.25">
      <c r="A323" t="s">
        <v>802</v>
      </c>
      <c r="B323" t="s">
        <v>803</v>
      </c>
      <c r="C323" t="s">
        <v>804</v>
      </c>
      <c r="D323" t="s">
        <v>805</v>
      </c>
      <c r="E323" s="9">
        <v>45383</v>
      </c>
      <c r="F323" s="9">
        <v>45412</v>
      </c>
      <c r="G323">
        <v>49389236.07</v>
      </c>
      <c r="H323">
        <v>2160392.13</v>
      </c>
      <c r="I323">
        <v>10831287.24</v>
      </c>
      <c r="J323">
        <v>345402.06</v>
      </c>
      <c r="K323">
        <v>0</v>
      </c>
      <c r="L323">
        <v>254163.78</v>
      </c>
      <c r="M323">
        <v>7914920.79</v>
      </c>
      <c r="T323" s="9">
        <v>45108</v>
      </c>
      <c r="U323" s="9">
        <v>45473</v>
      </c>
      <c r="V323">
        <f>SUM(POTABLE_NONPOTABLE_API[[#This Row],[RESIDENTIAL_SINGLEFAMILY_GAL]:[OTHER_GAL]])</f>
        <v>62980481.280000009</v>
      </c>
      <c r="W323">
        <f>SUM(POTABLE_NONPOTABLE_API[[#This Row],[NONPOTABLE_DEMAND_RESIDENTIAL_RECYCLED_WATER_GAL]:[NONPOTABLE_DEMAND_NONRESIDENTIAL_METERED_IRRIGATION_GAL]])</f>
        <v>0</v>
      </c>
      <c r="X323" t="str">
        <f>IFERROR(INDEX(Crosswalk_API!$H$2:$H$527, MATCH(POTABLE_NONPOTABLE_API[[#This Row],[PWSID]], CW_PWSID_LIST, 0)), "")</f>
        <v>No</v>
      </c>
    </row>
    <row r="324" spans="1:24" x14ac:dyDescent="0.25">
      <c r="A324" t="s">
        <v>802</v>
      </c>
      <c r="B324" t="s">
        <v>803</v>
      </c>
      <c r="C324" t="s">
        <v>804</v>
      </c>
      <c r="D324" t="s">
        <v>805</v>
      </c>
      <c r="E324" s="9">
        <v>45413</v>
      </c>
      <c r="F324" s="9">
        <v>45443</v>
      </c>
      <c r="G324">
        <v>73339284.569999993</v>
      </c>
      <c r="H324">
        <v>1678132.6500000001</v>
      </c>
      <c r="I324">
        <v>2874005.8200000003</v>
      </c>
      <c r="J324">
        <v>11922888.090000002</v>
      </c>
      <c r="K324">
        <v>0</v>
      </c>
      <c r="L324">
        <v>873280.68</v>
      </c>
      <c r="M324">
        <v>32011602.239999998</v>
      </c>
      <c r="T324" s="9">
        <v>45108</v>
      </c>
      <c r="U324" s="9">
        <v>45473</v>
      </c>
      <c r="V324">
        <f>SUM(POTABLE_NONPOTABLE_API[[#This Row],[RESIDENTIAL_SINGLEFAMILY_GAL]:[OTHER_GAL]])</f>
        <v>90687591.810000002</v>
      </c>
      <c r="W324">
        <f>SUM(POTABLE_NONPOTABLE_API[[#This Row],[NONPOTABLE_DEMAND_RESIDENTIAL_RECYCLED_WATER_GAL]:[NONPOTABLE_DEMAND_NONRESIDENTIAL_METERED_IRRIGATION_GAL]])</f>
        <v>0</v>
      </c>
      <c r="X324" t="str">
        <f>IFERROR(INDEX(Crosswalk_API!$H$2:$H$527, MATCH(POTABLE_NONPOTABLE_API[[#This Row],[PWSID]], CW_PWSID_LIST, 0)), "")</f>
        <v>No</v>
      </c>
    </row>
    <row r="325" spans="1:24" x14ac:dyDescent="0.25">
      <c r="A325" t="s">
        <v>802</v>
      </c>
      <c r="B325" t="s">
        <v>803</v>
      </c>
      <c r="C325" t="s">
        <v>804</v>
      </c>
      <c r="D325" t="s">
        <v>805</v>
      </c>
      <c r="E325" s="9">
        <v>45444</v>
      </c>
      <c r="F325" s="9">
        <v>45473</v>
      </c>
      <c r="G325">
        <v>149363581.38</v>
      </c>
      <c r="H325">
        <v>5308112.79</v>
      </c>
      <c r="I325">
        <v>31438104.48</v>
      </c>
      <c r="J325">
        <v>9593053.4400000013</v>
      </c>
      <c r="K325">
        <v>0</v>
      </c>
      <c r="L325">
        <v>1365315.6900000002</v>
      </c>
      <c r="M325">
        <v>71042035.020000011</v>
      </c>
      <c r="T325" s="9">
        <v>45108</v>
      </c>
      <c r="U325" s="9">
        <v>45473</v>
      </c>
      <c r="V325">
        <f>SUM(POTABLE_NONPOTABLE_API[[#This Row],[RESIDENTIAL_SINGLEFAMILY_GAL]:[OTHER_GAL]])</f>
        <v>197068167.77999997</v>
      </c>
      <c r="W325">
        <f>SUM(POTABLE_NONPOTABLE_API[[#This Row],[NONPOTABLE_DEMAND_RESIDENTIAL_RECYCLED_WATER_GAL]:[NONPOTABLE_DEMAND_NONRESIDENTIAL_METERED_IRRIGATION_GAL]])</f>
        <v>0</v>
      </c>
      <c r="X325" t="str">
        <f>IFERROR(INDEX(Crosswalk_API!$H$2:$H$527, MATCH(POTABLE_NONPOTABLE_API[[#This Row],[PWSID]], CW_PWSID_LIST, 0)), "")</f>
        <v>No</v>
      </c>
    </row>
    <row r="326" spans="1:24" x14ac:dyDescent="0.25">
      <c r="A326" t="s">
        <v>806</v>
      </c>
      <c r="B326" t="s">
        <v>807</v>
      </c>
      <c r="C326" t="s">
        <v>808</v>
      </c>
      <c r="D326" t="s">
        <v>809</v>
      </c>
      <c r="E326" s="9">
        <v>45108</v>
      </c>
      <c r="F326" s="9">
        <v>45138</v>
      </c>
      <c r="G326">
        <v>33484448.760000002</v>
      </c>
      <c r="H326">
        <v>88328430.569999993</v>
      </c>
      <c r="I326">
        <v>19981183.32</v>
      </c>
      <c r="J326">
        <v>720130.71</v>
      </c>
      <c r="K326">
        <v>0</v>
      </c>
      <c r="L326">
        <v>0</v>
      </c>
      <c r="M326">
        <v>0</v>
      </c>
      <c r="N326">
        <v>0</v>
      </c>
      <c r="O326">
        <v>0</v>
      </c>
      <c r="P326">
        <v>3183564.27</v>
      </c>
      <c r="Q326">
        <v>0</v>
      </c>
      <c r="R326">
        <v>0</v>
      </c>
      <c r="S326">
        <v>0</v>
      </c>
      <c r="T326" s="9">
        <v>45108</v>
      </c>
      <c r="U326" s="9">
        <v>45473</v>
      </c>
      <c r="V326">
        <f>SUM(POTABLE_NONPOTABLE_API[[#This Row],[RESIDENTIAL_SINGLEFAMILY_GAL]:[OTHER_GAL]])</f>
        <v>142514193.36000001</v>
      </c>
      <c r="W326">
        <f>SUM(POTABLE_NONPOTABLE_API[[#This Row],[NONPOTABLE_DEMAND_RESIDENTIAL_RECYCLED_WATER_GAL]:[NONPOTABLE_DEMAND_NONRESIDENTIAL_METERED_IRRIGATION_GAL]])</f>
        <v>3183564.27</v>
      </c>
      <c r="X326" t="str">
        <f>IFERROR(INDEX(Crosswalk_API!$H$2:$H$527, MATCH(POTABLE_NONPOTABLE_API[[#This Row],[PWSID]], CW_PWSID_LIST, 0)), "")</f>
        <v>No</v>
      </c>
    </row>
    <row r="327" spans="1:24" x14ac:dyDescent="0.25">
      <c r="A327" t="s">
        <v>806</v>
      </c>
      <c r="B327" t="s">
        <v>807</v>
      </c>
      <c r="C327" t="s">
        <v>808</v>
      </c>
      <c r="D327" t="s">
        <v>809</v>
      </c>
      <c r="E327" s="9">
        <v>45139</v>
      </c>
      <c r="F327" s="9">
        <v>45169</v>
      </c>
      <c r="G327">
        <v>40979021.760000005</v>
      </c>
      <c r="H327">
        <v>44745859.32</v>
      </c>
      <c r="I327">
        <v>24484444.140000001</v>
      </c>
      <c r="J327">
        <v>1133961.48</v>
      </c>
      <c r="K327">
        <v>0</v>
      </c>
      <c r="L327">
        <v>32585.100000000002</v>
      </c>
      <c r="M327">
        <v>0</v>
      </c>
      <c r="N327">
        <v>0</v>
      </c>
      <c r="O327">
        <v>0</v>
      </c>
      <c r="P327">
        <v>0</v>
      </c>
      <c r="Q327">
        <v>3818973.72</v>
      </c>
      <c r="R327">
        <v>0</v>
      </c>
      <c r="S327">
        <v>0</v>
      </c>
      <c r="T327" s="9">
        <v>45108</v>
      </c>
      <c r="U327" s="9">
        <v>45473</v>
      </c>
      <c r="V327">
        <f>SUM(POTABLE_NONPOTABLE_API[[#This Row],[RESIDENTIAL_SINGLEFAMILY_GAL]:[OTHER_GAL]])</f>
        <v>111375871.80000001</v>
      </c>
      <c r="W327">
        <f>SUM(POTABLE_NONPOTABLE_API[[#This Row],[NONPOTABLE_DEMAND_RESIDENTIAL_RECYCLED_WATER_GAL]:[NONPOTABLE_DEMAND_NONRESIDENTIAL_METERED_IRRIGATION_GAL]])</f>
        <v>3818973.72</v>
      </c>
      <c r="X327" t="str">
        <f>IFERROR(INDEX(Crosswalk_API!$H$2:$H$527, MATCH(POTABLE_NONPOTABLE_API[[#This Row],[PWSID]], CW_PWSID_LIST, 0)), "")</f>
        <v>No</v>
      </c>
    </row>
    <row r="328" spans="1:24" x14ac:dyDescent="0.25">
      <c r="A328" t="s">
        <v>806</v>
      </c>
      <c r="B328" t="s">
        <v>807</v>
      </c>
      <c r="C328" t="s">
        <v>808</v>
      </c>
      <c r="D328" t="s">
        <v>809</v>
      </c>
      <c r="E328" s="9">
        <v>45170</v>
      </c>
      <c r="F328" s="9">
        <v>45199</v>
      </c>
      <c r="G328">
        <v>33963449.730000004</v>
      </c>
      <c r="H328">
        <v>89553630.329999998</v>
      </c>
      <c r="I328">
        <v>21493131.959999997</v>
      </c>
      <c r="J328">
        <v>3975382.1999999997</v>
      </c>
      <c r="K328">
        <v>0</v>
      </c>
      <c r="L328">
        <v>0</v>
      </c>
      <c r="M328">
        <v>0</v>
      </c>
      <c r="N328">
        <v>0</v>
      </c>
      <c r="O328">
        <v>0</v>
      </c>
      <c r="P328">
        <v>0</v>
      </c>
      <c r="Q328">
        <v>2789284.56</v>
      </c>
      <c r="R328">
        <v>0</v>
      </c>
      <c r="S328">
        <v>0</v>
      </c>
      <c r="T328" s="9">
        <v>45108</v>
      </c>
      <c r="U328" s="9">
        <v>45473</v>
      </c>
      <c r="V328">
        <f>SUM(POTABLE_NONPOTABLE_API[[#This Row],[RESIDENTIAL_SINGLEFAMILY_GAL]:[OTHER_GAL]])</f>
        <v>148985594.22</v>
      </c>
      <c r="W328">
        <f>SUM(POTABLE_NONPOTABLE_API[[#This Row],[NONPOTABLE_DEMAND_RESIDENTIAL_RECYCLED_WATER_GAL]:[NONPOTABLE_DEMAND_NONRESIDENTIAL_METERED_IRRIGATION_GAL]])</f>
        <v>2789284.56</v>
      </c>
      <c r="X328" t="str">
        <f>IFERROR(INDEX(Crosswalk_API!$H$2:$H$527, MATCH(POTABLE_NONPOTABLE_API[[#This Row],[PWSID]], CW_PWSID_LIST, 0)), "")</f>
        <v>No</v>
      </c>
    </row>
    <row r="329" spans="1:24" x14ac:dyDescent="0.25">
      <c r="A329" t="s">
        <v>806</v>
      </c>
      <c r="B329" t="s">
        <v>807</v>
      </c>
      <c r="C329" t="s">
        <v>808</v>
      </c>
      <c r="D329" t="s">
        <v>809</v>
      </c>
      <c r="E329" s="9">
        <v>45200</v>
      </c>
      <c r="F329" s="9">
        <v>45230</v>
      </c>
      <c r="G329">
        <v>37942090.439999998</v>
      </c>
      <c r="H329">
        <v>44165844.539999999</v>
      </c>
      <c r="I329">
        <v>25445704.59</v>
      </c>
      <c r="J329">
        <v>0</v>
      </c>
      <c r="K329">
        <v>0</v>
      </c>
      <c r="L329">
        <v>0</v>
      </c>
      <c r="M329">
        <v>0</v>
      </c>
      <c r="N329">
        <v>0</v>
      </c>
      <c r="O329">
        <v>0</v>
      </c>
      <c r="Q329">
        <v>2782767.5399999996</v>
      </c>
      <c r="R329">
        <v>0</v>
      </c>
      <c r="T329" s="9">
        <v>45108</v>
      </c>
      <c r="U329" s="9">
        <v>45473</v>
      </c>
      <c r="V329">
        <f>SUM(POTABLE_NONPOTABLE_API[[#This Row],[RESIDENTIAL_SINGLEFAMILY_GAL]:[OTHER_GAL]])</f>
        <v>107553639.56999999</v>
      </c>
      <c r="W329">
        <f>SUM(POTABLE_NONPOTABLE_API[[#This Row],[NONPOTABLE_DEMAND_RESIDENTIAL_RECYCLED_WATER_GAL]:[NONPOTABLE_DEMAND_NONRESIDENTIAL_METERED_IRRIGATION_GAL]])</f>
        <v>2782767.5399999996</v>
      </c>
      <c r="X329" t="str">
        <f>IFERROR(INDEX(Crosswalk_API!$H$2:$H$527, MATCH(POTABLE_NONPOTABLE_API[[#This Row],[PWSID]], CW_PWSID_LIST, 0)), "")</f>
        <v>No</v>
      </c>
    </row>
    <row r="330" spans="1:24" x14ac:dyDescent="0.25">
      <c r="A330" t="s">
        <v>806</v>
      </c>
      <c r="B330" t="s">
        <v>807</v>
      </c>
      <c r="C330" t="s">
        <v>808</v>
      </c>
      <c r="D330" t="s">
        <v>809</v>
      </c>
      <c r="E330" s="9">
        <v>45231</v>
      </c>
      <c r="F330" s="9">
        <v>45260</v>
      </c>
      <c r="G330">
        <v>30043462.199999999</v>
      </c>
      <c r="H330">
        <v>82635813.599999994</v>
      </c>
      <c r="I330">
        <v>20160401.369999997</v>
      </c>
      <c r="J330">
        <v>580014.78</v>
      </c>
      <c r="K330">
        <v>0</v>
      </c>
      <c r="L330">
        <v>0</v>
      </c>
      <c r="M330">
        <v>0</v>
      </c>
      <c r="N330">
        <v>0</v>
      </c>
      <c r="O330">
        <v>0</v>
      </c>
      <c r="P330">
        <v>0</v>
      </c>
      <c r="Q330">
        <v>2359161.2400000002</v>
      </c>
      <c r="R330">
        <v>0</v>
      </c>
      <c r="S330">
        <v>0</v>
      </c>
      <c r="T330" s="9">
        <v>45108</v>
      </c>
      <c r="U330" s="9">
        <v>45473</v>
      </c>
      <c r="V330">
        <f>SUM(POTABLE_NONPOTABLE_API[[#This Row],[RESIDENTIAL_SINGLEFAMILY_GAL]:[OTHER_GAL]])</f>
        <v>133419691.94999999</v>
      </c>
      <c r="W330">
        <f>SUM(POTABLE_NONPOTABLE_API[[#This Row],[NONPOTABLE_DEMAND_RESIDENTIAL_RECYCLED_WATER_GAL]:[NONPOTABLE_DEMAND_NONRESIDENTIAL_METERED_IRRIGATION_GAL]])</f>
        <v>2359161.2400000002</v>
      </c>
      <c r="X330" t="str">
        <f>IFERROR(INDEX(Crosswalk_API!$H$2:$H$527, MATCH(POTABLE_NONPOTABLE_API[[#This Row],[PWSID]], CW_PWSID_LIST, 0)), "")</f>
        <v>No</v>
      </c>
    </row>
    <row r="331" spans="1:24" x14ac:dyDescent="0.25">
      <c r="A331" t="s">
        <v>806</v>
      </c>
      <c r="B331" t="s">
        <v>807</v>
      </c>
      <c r="C331" t="s">
        <v>808</v>
      </c>
      <c r="D331" t="s">
        <v>809</v>
      </c>
      <c r="E331" s="9">
        <v>45261</v>
      </c>
      <c r="F331" s="9">
        <v>45291</v>
      </c>
      <c r="G331">
        <v>34087273.109999999</v>
      </c>
      <c r="H331">
        <v>40503279.299999997</v>
      </c>
      <c r="I331">
        <v>21317172.420000002</v>
      </c>
      <c r="J331">
        <v>1094859.3599999999</v>
      </c>
      <c r="K331">
        <v>0</v>
      </c>
      <c r="L331">
        <v>0</v>
      </c>
      <c r="M331">
        <v>0</v>
      </c>
      <c r="N331">
        <v>0</v>
      </c>
      <c r="O331">
        <v>0</v>
      </c>
      <c r="P331">
        <v>0</v>
      </c>
      <c r="Q331">
        <v>1762853.9100000001</v>
      </c>
      <c r="R331">
        <v>0</v>
      </c>
      <c r="S331">
        <v>0</v>
      </c>
      <c r="T331" s="9">
        <v>45108</v>
      </c>
      <c r="U331" s="9">
        <v>45473</v>
      </c>
      <c r="V331">
        <f>SUM(POTABLE_NONPOTABLE_API[[#This Row],[RESIDENTIAL_SINGLEFAMILY_GAL]:[OTHER_GAL]])</f>
        <v>97002584.189999998</v>
      </c>
      <c r="W331">
        <f>SUM(POTABLE_NONPOTABLE_API[[#This Row],[NONPOTABLE_DEMAND_RESIDENTIAL_RECYCLED_WATER_GAL]:[NONPOTABLE_DEMAND_NONRESIDENTIAL_METERED_IRRIGATION_GAL]])</f>
        <v>1762853.9100000001</v>
      </c>
      <c r="X331" t="str">
        <f>IFERROR(INDEX(Crosswalk_API!$H$2:$H$527, MATCH(POTABLE_NONPOTABLE_API[[#This Row],[PWSID]], CW_PWSID_LIST, 0)), "")</f>
        <v>No</v>
      </c>
    </row>
    <row r="332" spans="1:24" x14ac:dyDescent="0.25">
      <c r="A332" t="s">
        <v>806</v>
      </c>
      <c r="B332" t="s">
        <v>807</v>
      </c>
      <c r="C332" t="s">
        <v>808</v>
      </c>
      <c r="D332" t="s">
        <v>809</v>
      </c>
      <c r="E332" s="9">
        <v>45292</v>
      </c>
      <c r="F332" s="9">
        <v>45322</v>
      </c>
      <c r="G332">
        <v>27700593.510000002</v>
      </c>
      <c r="H332">
        <v>84007646.310000002</v>
      </c>
      <c r="I332">
        <v>18312826.199999999</v>
      </c>
      <c r="J332">
        <v>0</v>
      </c>
      <c r="K332">
        <v>0</v>
      </c>
      <c r="L332">
        <v>0</v>
      </c>
      <c r="M332">
        <v>0</v>
      </c>
      <c r="N332">
        <v>0</v>
      </c>
      <c r="O332">
        <v>0</v>
      </c>
      <c r="Q332">
        <v>0</v>
      </c>
      <c r="R332">
        <v>0</v>
      </c>
      <c r="T332" s="9">
        <v>45108</v>
      </c>
      <c r="U332" s="9">
        <v>45473</v>
      </c>
      <c r="V332">
        <f>SUM(POTABLE_NONPOTABLE_API[[#This Row],[RESIDENTIAL_SINGLEFAMILY_GAL]:[OTHER_GAL]])</f>
        <v>130021066.02000001</v>
      </c>
      <c r="W332">
        <f>SUM(POTABLE_NONPOTABLE_API[[#This Row],[NONPOTABLE_DEMAND_RESIDENTIAL_RECYCLED_WATER_GAL]:[NONPOTABLE_DEMAND_NONRESIDENTIAL_METERED_IRRIGATION_GAL]])</f>
        <v>0</v>
      </c>
      <c r="X332" t="str">
        <f>IFERROR(INDEX(Crosswalk_API!$H$2:$H$527, MATCH(POTABLE_NONPOTABLE_API[[#This Row],[PWSID]], CW_PWSID_LIST, 0)), "")</f>
        <v>No</v>
      </c>
    </row>
    <row r="333" spans="1:24" x14ac:dyDescent="0.25">
      <c r="A333" t="s">
        <v>806</v>
      </c>
      <c r="B333" t="s">
        <v>807</v>
      </c>
      <c r="C333" t="s">
        <v>808</v>
      </c>
      <c r="D333" t="s">
        <v>809</v>
      </c>
      <c r="E333" s="9">
        <v>45323</v>
      </c>
      <c r="F333" s="9">
        <v>45351</v>
      </c>
      <c r="G333">
        <v>30222680.25</v>
      </c>
      <c r="H333">
        <v>44208205.169999994</v>
      </c>
      <c r="I333">
        <v>18935201.609999999</v>
      </c>
      <c r="J333">
        <v>0</v>
      </c>
      <c r="K333">
        <v>0</v>
      </c>
      <c r="L333">
        <v>0</v>
      </c>
      <c r="M333">
        <v>0</v>
      </c>
      <c r="N333">
        <v>0</v>
      </c>
      <c r="O333">
        <v>0</v>
      </c>
      <c r="P333">
        <v>0</v>
      </c>
      <c r="Q333">
        <v>215061.66</v>
      </c>
      <c r="R333">
        <v>0</v>
      </c>
      <c r="S333">
        <v>0</v>
      </c>
      <c r="T333" s="9">
        <v>45108</v>
      </c>
      <c r="U333" s="9">
        <v>45473</v>
      </c>
      <c r="V333">
        <f>SUM(POTABLE_NONPOTABLE_API[[#This Row],[RESIDENTIAL_SINGLEFAMILY_GAL]:[OTHER_GAL]])</f>
        <v>93366087.029999986</v>
      </c>
      <c r="W333">
        <f>SUM(POTABLE_NONPOTABLE_API[[#This Row],[NONPOTABLE_DEMAND_RESIDENTIAL_RECYCLED_WATER_GAL]:[NONPOTABLE_DEMAND_NONRESIDENTIAL_METERED_IRRIGATION_GAL]])</f>
        <v>215061.66</v>
      </c>
      <c r="X333" t="str">
        <f>IFERROR(INDEX(Crosswalk_API!$H$2:$H$527, MATCH(POTABLE_NONPOTABLE_API[[#This Row],[PWSID]], CW_PWSID_LIST, 0)), "")</f>
        <v>No</v>
      </c>
    </row>
    <row r="334" spans="1:24" x14ac:dyDescent="0.25">
      <c r="A334" t="s">
        <v>806</v>
      </c>
      <c r="B334" t="s">
        <v>807</v>
      </c>
      <c r="C334" t="s">
        <v>808</v>
      </c>
      <c r="D334" t="s">
        <v>809</v>
      </c>
      <c r="E334" s="9">
        <v>45352</v>
      </c>
      <c r="F334" s="9">
        <v>45382</v>
      </c>
      <c r="G334">
        <v>23467789.02</v>
      </c>
      <c r="H334">
        <v>74280993.960000008</v>
      </c>
      <c r="I334">
        <v>16178502.15</v>
      </c>
      <c r="J334">
        <v>384504.18</v>
      </c>
      <c r="K334">
        <v>0</v>
      </c>
      <c r="L334">
        <v>0</v>
      </c>
      <c r="M334">
        <v>0</v>
      </c>
      <c r="N334">
        <v>0</v>
      </c>
      <c r="O334">
        <v>0</v>
      </c>
      <c r="P334">
        <v>0</v>
      </c>
      <c r="Q334">
        <v>553946.69999999995</v>
      </c>
      <c r="R334">
        <v>0</v>
      </c>
      <c r="S334">
        <v>0</v>
      </c>
      <c r="T334" s="9">
        <v>45108</v>
      </c>
      <c r="U334" s="9">
        <v>45473</v>
      </c>
      <c r="V334">
        <f>SUM(POTABLE_NONPOTABLE_API[[#This Row],[RESIDENTIAL_SINGLEFAMILY_GAL]:[OTHER_GAL]])</f>
        <v>114311789.31000002</v>
      </c>
      <c r="W334">
        <f>SUM(POTABLE_NONPOTABLE_API[[#This Row],[NONPOTABLE_DEMAND_RESIDENTIAL_RECYCLED_WATER_GAL]:[NONPOTABLE_DEMAND_NONRESIDENTIAL_METERED_IRRIGATION_GAL]])</f>
        <v>553946.69999999995</v>
      </c>
      <c r="X334" t="str">
        <f>IFERROR(INDEX(Crosswalk_API!$H$2:$H$527, MATCH(POTABLE_NONPOTABLE_API[[#This Row],[PWSID]], CW_PWSID_LIST, 0)), "")</f>
        <v>No</v>
      </c>
    </row>
    <row r="335" spans="1:24" x14ac:dyDescent="0.25">
      <c r="A335" t="s">
        <v>806</v>
      </c>
      <c r="B335" t="s">
        <v>807</v>
      </c>
      <c r="C335" t="s">
        <v>808</v>
      </c>
      <c r="D335" t="s">
        <v>809</v>
      </c>
      <c r="E335" s="9">
        <v>45383</v>
      </c>
      <c r="F335" s="9">
        <v>45412</v>
      </c>
      <c r="G335">
        <v>29408052.75</v>
      </c>
      <c r="H335">
        <v>40363163.370000005</v>
      </c>
      <c r="I335">
        <v>19495665.329999998</v>
      </c>
      <c r="J335">
        <v>306299.94</v>
      </c>
      <c r="K335">
        <v>0</v>
      </c>
      <c r="L335">
        <v>0</v>
      </c>
      <c r="M335">
        <v>0</v>
      </c>
      <c r="N335">
        <v>0</v>
      </c>
      <c r="O335">
        <v>0</v>
      </c>
      <c r="P335">
        <v>0</v>
      </c>
      <c r="Q335">
        <v>1560826.29</v>
      </c>
      <c r="R335">
        <v>0</v>
      </c>
      <c r="S335">
        <v>0</v>
      </c>
      <c r="T335" s="9">
        <v>45108</v>
      </c>
      <c r="U335" s="9">
        <v>45473</v>
      </c>
      <c r="V335">
        <f>SUM(POTABLE_NONPOTABLE_API[[#This Row],[RESIDENTIAL_SINGLEFAMILY_GAL]:[OTHER_GAL]])</f>
        <v>89573181.390000001</v>
      </c>
      <c r="W335">
        <f>SUM(POTABLE_NONPOTABLE_API[[#This Row],[NONPOTABLE_DEMAND_RESIDENTIAL_RECYCLED_WATER_GAL]:[NONPOTABLE_DEMAND_NONRESIDENTIAL_METERED_IRRIGATION_GAL]])</f>
        <v>1560826.29</v>
      </c>
      <c r="X335" t="str">
        <f>IFERROR(INDEX(Crosswalk_API!$H$2:$H$527, MATCH(POTABLE_NONPOTABLE_API[[#This Row],[PWSID]], CW_PWSID_LIST, 0)), "")</f>
        <v>No</v>
      </c>
    </row>
    <row r="336" spans="1:24" x14ac:dyDescent="0.25">
      <c r="A336" t="s">
        <v>806</v>
      </c>
      <c r="B336" t="s">
        <v>807</v>
      </c>
      <c r="C336" t="s">
        <v>808</v>
      </c>
      <c r="D336" t="s">
        <v>809</v>
      </c>
      <c r="E336" s="9">
        <v>45413</v>
      </c>
      <c r="F336" s="9">
        <v>45443</v>
      </c>
      <c r="G336">
        <v>30441000.420000002</v>
      </c>
      <c r="H336">
        <v>78797288.819999993</v>
      </c>
      <c r="I336">
        <v>18573507</v>
      </c>
      <c r="J336">
        <v>420347.79000000004</v>
      </c>
      <c r="K336">
        <v>0</v>
      </c>
      <c r="L336">
        <v>0</v>
      </c>
      <c r="M336">
        <v>0</v>
      </c>
      <c r="N336">
        <v>0</v>
      </c>
      <c r="O336">
        <v>0</v>
      </c>
      <c r="P336">
        <v>0</v>
      </c>
      <c r="Q336">
        <v>2225562.33</v>
      </c>
      <c r="R336">
        <v>0</v>
      </c>
      <c r="S336">
        <v>0</v>
      </c>
      <c r="T336" s="9">
        <v>45108</v>
      </c>
      <c r="U336" s="9">
        <v>45473</v>
      </c>
      <c r="V336">
        <f>SUM(POTABLE_NONPOTABLE_API[[#This Row],[RESIDENTIAL_SINGLEFAMILY_GAL]:[OTHER_GAL]])</f>
        <v>128232144.03</v>
      </c>
      <c r="W336">
        <f>SUM(POTABLE_NONPOTABLE_API[[#This Row],[NONPOTABLE_DEMAND_RESIDENTIAL_RECYCLED_WATER_GAL]:[NONPOTABLE_DEMAND_NONRESIDENTIAL_METERED_IRRIGATION_GAL]])</f>
        <v>2225562.33</v>
      </c>
      <c r="X336" t="str">
        <f>IFERROR(INDEX(Crosswalk_API!$H$2:$H$527, MATCH(POTABLE_NONPOTABLE_API[[#This Row],[PWSID]], CW_PWSID_LIST, 0)), "")</f>
        <v>No</v>
      </c>
    </row>
    <row r="337" spans="1:24" x14ac:dyDescent="0.25">
      <c r="A337" t="s">
        <v>806</v>
      </c>
      <c r="B337" t="s">
        <v>807</v>
      </c>
      <c r="C337" t="s">
        <v>808</v>
      </c>
      <c r="D337" t="s">
        <v>809</v>
      </c>
      <c r="E337" s="9">
        <v>45444</v>
      </c>
      <c r="F337" s="9">
        <v>45473</v>
      </c>
      <c r="G337">
        <v>36557223.689999998</v>
      </c>
      <c r="H337">
        <v>43510884.030000001</v>
      </c>
      <c r="I337">
        <v>21998201.010000002</v>
      </c>
      <c r="J337">
        <v>713613.69</v>
      </c>
      <c r="K337">
        <v>0</v>
      </c>
      <c r="L337">
        <v>0</v>
      </c>
      <c r="M337">
        <v>0</v>
      </c>
      <c r="N337">
        <v>0</v>
      </c>
      <c r="O337">
        <v>0</v>
      </c>
      <c r="Q337">
        <v>5894.6497600000002</v>
      </c>
      <c r="R337">
        <v>0</v>
      </c>
      <c r="S337">
        <v>0</v>
      </c>
      <c r="T337" s="9">
        <v>45108</v>
      </c>
      <c r="U337" s="9">
        <v>45473</v>
      </c>
      <c r="V337">
        <f>SUM(POTABLE_NONPOTABLE_API[[#This Row],[RESIDENTIAL_SINGLEFAMILY_GAL]:[OTHER_GAL]])</f>
        <v>102779922.42</v>
      </c>
      <c r="W337">
        <f>SUM(POTABLE_NONPOTABLE_API[[#This Row],[NONPOTABLE_DEMAND_RESIDENTIAL_RECYCLED_WATER_GAL]:[NONPOTABLE_DEMAND_NONRESIDENTIAL_METERED_IRRIGATION_GAL]])</f>
        <v>5894.6497600000002</v>
      </c>
      <c r="X337" t="str">
        <f>IFERROR(INDEX(Crosswalk_API!$H$2:$H$527, MATCH(POTABLE_NONPOTABLE_API[[#This Row],[PWSID]], CW_PWSID_LIST, 0)), "")</f>
        <v>No</v>
      </c>
    </row>
    <row r="338" spans="1:24" x14ac:dyDescent="0.25">
      <c r="A338" t="s">
        <v>810</v>
      </c>
      <c r="B338" t="s">
        <v>811</v>
      </c>
      <c r="C338" t="s">
        <v>812</v>
      </c>
      <c r="D338" t="s">
        <v>813</v>
      </c>
      <c r="E338" s="9">
        <v>45108</v>
      </c>
      <c r="F338" s="9">
        <v>45138</v>
      </c>
      <c r="G338">
        <v>62507973.171999998</v>
      </c>
      <c r="H338">
        <v>18420780.5</v>
      </c>
      <c r="I338">
        <v>8474681.1080000009</v>
      </c>
      <c r="J338">
        <v>16321746.588000001</v>
      </c>
      <c r="K338">
        <v>0</v>
      </c>
      <c r="L338">
        <v>0</v>
      </c>
      <c r="M338">
        <v>0</v>
      </c>
      <c r="N338">
        <v>0</v>
      </c>
      <c r="O338">
        <v>0</v>
      </c>
      <c r="P338">
        <v>0</v>
      </c>
      <c r="Q338">
        <v>0</v>
      </c>
      <c r="R338">
        <v>124687000</v>
      </c>
      <c r="S338">
        <v>0</v>
      </c>
      <c r="T338" s="9">
        <v>45108</v>
      </c>
      <c r="U338" s="9">
        <v>45473</v>
      </c>
      <c r="V338">
        <f>SUM(POTABLE_NONPOTABLE_API[[#This Row],[RESIDENTIAL_SINGLEFAMILY_GAL]:[OTHER_GAL]])</f>
        <v>105725181.36799999</v>
      </c>
      <c r="W338">
        <f>SUM(POTABLE_NONPOTABLE_API[[#This Row],[NONPOTABLE_DEMAND_RESIDENTIAL_RECYCLED_WATER_GAL]:[NONPOTABLE_DEMAND_NONRESIDENTIAL_METERED_IRRIGATION_GAL]])</f>
        <v>124687000</v>
      </c>
      <c r="X338" t="str">
        <f>IFERROR(INDEX(Crosswalk_API!$H$2:$H$527, MATCH(POTABLE_NONPOTABLE_API[[#This Row],[PWSID]], CW_PWSID_LIST, 0)), "")</f>
        <v>No</v>
      </c>
    </row>
    <row r="339" spans="1:24" x14ac:dyDescent="0.25">
      <c r="A339" t="s">
        <v>810</v>
      </c>
      <c r="B339" t="s">
        <v>811</v>
      </c>
      <c r="C339" t="s">
        <v>812</v>
      </c>
      <c r="D339" t="s">
        <v>813</v>
      </c>
      <c r="E339" s="9">
        <v>45139</v>
      </c>
      <c r="F339" s="9">
        <v>45169</v>
      </c>
      <c r="G339">
        <v>69779786.664000005</v>
      </c>
      <c r="H339">
        <v>3850971.696</v>
      </c>
      <c r="I339">
        <v>10549777.356000001</v>
      </c>
      <c r="J339">
        <v>9772551.3279999997</v>
      </c>
      <c r="K339">
        <v>8654213.5879999995</v>
      </c>
      <c r="L339">
        <v>638088.35600000003</v>
      </c>
      <c r="M339">
        <v>0</v>
      </c>
      <c r="N339">
        <v>0</v>
      </c>
      <c r="O339">
        <v>0</v>
      </c>
      <c r="P339">
        <v>0</v>
      </c>
      <c r="Q339">
        <v>0</v>
      </c>
      <c r="R339">
        <v>126142000</v>
      </c>
      <c r="S339">
        <v>0</v>
      </c>
      <c r="T339" s="9">
        <v>45108</v>
      </c>
      <c r="U339" s="9">
        <v>45473</v>
      </c>
      <c r="V339">
        <f>SUM(POTABLE_NONPOTABLE_API[[#This Row],[RESIDENTIAL_SINGLEFAMILY_GAL]:[OTHER_GAL]])</f>
        <v>103245388.98800001</v>
      </c>
      <c r="W339">
        <f>SUM(POTABLE_NONPOTABLE_API[[#This Row],[NONPOTABLE_DEMAND_RESIDENTIAL_RECYCLED_WATER_GAL]:[NONPOTABLE_DEMAND_NONRESIDENTIAL_METERED_IRRIGATION_GAL]])</f>
        <v>126142000</v>
      </c>
      <c r="X339" t="str">
        <f>IFERROR(INDEX(Crosswalk_API!$H$2:$H$527, MATCH(POTABLE_NONPOTABLE_API[[#This Row],[PWSID]], CW_PWSID_LIST, 0)), "")</f>
        <v>No</v>
      </c>
    </row>
    <row r="340" spans="1:24" x14ac:dyDescent="0.25">
      <c r="A340" t="s">
        <v>810</v>
      </c>
      <c r="B340" t="s">
        <v>811</v>
      </c>
      <c r="C340" t="s">
        <v>812</v>
      </c>
      <c r="D340" t="s">
        <v>813</v>
      </c>
      <c r="E340" s="9">
        <v>45170</v>
      </c>
      <c r="F340" s="9">
        <v>45199</v>
      </c>
      <c r="G340">
        <v>58962206.692000002</v>
      </c>
      <c r="H340">
        <v>19710422.148000002</v>
      </c>
      <c r="I340">
        <v>8089434.3280000007</v>
      </c>
      <c r="J340">
        <v>17036884.300000001</v>
      </c>
      <c r="K340">
        <v>0</v>
      </c>
      <c r="L340">
        <v>2621922.2600000002</v>
      </c>
      <c r="M340">
        <v>0</v>
      </c>
      <c r="N340">
        <v>0</v>
      </c>
      <c r="O340">
        <v>0</v>
      </c>
      <c r="P340">
        <v>0</v>
      </c>
      <c r="Q340">
        <v>0</v>
      </c>
      <c r="R340">
        <v>112650000</v>
      </c>
      <c r="S340">
        <v>0</v>
      </c>
      <c r="T340" s="9">
        <v>45108</v>
      </c>
      <c r="U340" s="9">
        <v>45473</v>
      </c>
      <c r="V340">
        <f>SUM(POTABLE_NONPOTABLE_API[[#This Row],[RESIDENTIAL_SINGLEFAMILY_GAL]:[OTHER_GAL]])</f>
        <v>106420869.728</v>
      </c>
      <c r="W340">
        <f>SUM(POTABLE_NONPOTABLE_API[[#This Row],[NONPOTABLE_DEMAND_RESIDENTIAL_RECYCLED_WATER_GAL]:[NONPOTABLE_DEMAND_NONRESIDENTIAL_METERED_IRRIGATION_GAL]])</f>
        <v>112650000</v>
      </c>
      <c r="X340" t="str">
        <f>IFERROR(INDEX(Crosswalk_API!$H$2:$H$527, MATCH(POTABLE_NONPOTABLE_API[[#This Row],[PWSID]], CW_PWSID_LIST, 0)), "")</f>
        <v>No</v>
      </c>
    </row>
    <row r="341" spans="1:24" x14ac:dyDescent="0.25">
      <c r="A341" t="s">
        <v>810</v>
      </c>
      <c r="B341" t="s">
        <v>811</v>
      </c>
      <c r="C341" t="s">
        <v>812</v>
      </c>
      <c r="D341" t="s">
        <v>813</v>
      </c>
      <c r="E341" s="9">
        <v>45200</v>
      </c>
      <c r="F341" s="9">
        <v>45230</v>
      </c>
      <c r="G341">
        <v>64288336.932000004</v>
      </c>
      <c r="H341">
        <v>3851719.7480000001</v>
      </c>
      <c r="I341">
        <v>13372925.604</v>
      </c>
      <c r="J341">
        <v>23782817.236000001</v>
      </c>
      <c r="K341">
        <v>10145081.223999999</v>
      </c>
      <c r="L341">
        <v>671750.696</v>
      </c>
      <c r="M341">
        <v>0</v>
      </c>
      <c r="N341">
        <v>0</v>
      </c>
      <c r="O341">
        <v>0</v>
      </c>
      <c r="P341">
        <v>0</v>
      </c>
      <c r="Q341">
        <v>0</v>
      </c>
      <c r="R341">
        <v>113702000</v>
      </c>
      <c r="S341">
        <v>0</v>
      </c>
      <c r="T341" s="9">
        <v>45108</v>
      </c>
      <c r="U341" s="9">
        <v>45473</v>
      </c>
      <c r="V341">
        <f>SUM(POTABLE_NONPOTABLE_API[[#This Row],[RESIDENTIAL_SINGLEFAMILY_GAL]:[OTHER_GAL]])</f>
        <v>116112631.44000001</v>
      </c>
      <c r="W341">
        <f>SUM(POTABLE_NONPOTABLE_API[[#This Row],[NONPOTABLE_DEMAND_RESIDENTIAL_RECYCLED_WATER_GAL]:[NONPOTABLE_DEMAND_NONRESIDENTIAL_METERED_IRRIGATION_GAL]])</f>
        <v>113702000</v>
      </c>
      <c r="X341" t="str">
        <f>IFERROR(INDEX(Crosswalk_API!$H$2:$H$527, MATCH(POTABLE_NONPOTABLE_API[[#This Row],[PWSID]], CW_PWSID_LIST, 0)), "")</f>
        <v>No</v>
      </c>
    </row>
    <row r="342" spans="1:24" x14ac:dyDescent="0.25">
      <c r="A342" t="s">
        <v>810</v>
      </c>
      <c r="B342" t="s">
        <v>811</v>
      </c>
      <c r="C342" t="s">
        <v>812</v>
      </c>
      <c r="D342" t="s">
        <v>813</v>
      </c>
      <c r="E342" s="9">
        <v>45231</v>
      </c>
      <c r="F342" s="9">
        <v>45260</v>
      </c>
      <c r="G342">
        <v>48455068.300000004</v>
      </c>
      <c r="H342">
        <v>16373362.176000001</v>
      </c>
      <c r="I342">
        <v>10165278.628</v>
      </c>
      <c r="J342">
        <v>8140301.8640000001</v>
      </c>
      <c r="K342">
        <v>0</v>
      </c>
      <c r="L342">
        <v>0</v>
      </c>
      <c r="M342">
        <v>0</v>
      </c>
      <c r="N342">
        <v>0</v>
      </c>
      <c r="O342">
        <v>0</v>
      </c>
      <c r="P342">
        <v>0</v>
      </c>
      <c r="Q342">
        <v>0</v>
      </c>
      <c r="R342">
        <v>97940000</v>
      </c>
      <c r="S342">
        <v>0</v>
      </c>
      <c r="T342" s="9">
        <v>45108</v>
      </c>
      <c r="U342" s="9">
        <v>45473</v>
      </c>
      <c r="V342">
        <f>SUM(POTABLE_NONPOTABLE_API[[#This Row],[RESIDENTIAL_SINGLEFAMILY_GAL]:[OTHER_GAL]])</f>
        <v>83134010.967999995</v>
      </c>
      <c r="W342">
        <f>SUM(POTABLE_NONPOTABLE_API[[#This Row],[NONPOTABLE_DEMAND_RESIDENTIAL_RECYCLED_WATER_GAL]:[NONPOTABLE_DEMAND_NONRESIDENTIAL_METERED_IRRIGATION_GAL]])</f>
        <v>97940000</v>
      </c>
      <c r="X342" t="str">
        <f>IFERROR(INDEX(Crosswalk_API!$H$2:$H$527, MATCH(POTABLE_NONPOTABLE_API[[#This Row],[PWSID]], CW_PWSID_LIST, 0)), "")</f>
        <v>No</v>
      </c>
    </row>
    <row r="343" spans="1:24" x14ac:dyDescent="0.25">
      <c r="A343" t="s">
        <v>810</v>
      </c>
      <c r="B343" t="s">
        <v>811</v>
      </c>
      <c r="C343" t="s">
        <v>812</v>
      </c>
      <c r="D343" t="s">
        <v>813</v>
      </c>
      <c r="E343" s="9">
        <v>45261</v>
      </c>
      <c r="F343" s="9">
        <v>45291</v>
      </c>
      <c r="G343">
        <v>39440293.648000002</v>
      </c>
      <c r="H343">
        <v>3503127.5160000003</v>
      </c>
      <c r="I343">
        <v>9540655.2080000006</v>
      </c>
      <c r="J343">
        <v>4726940.5880000005</v>
      </c>
      <c r="K343">
        <v>9780031.8480000012</v>
      </c>
      <c r="L343">
        <v>0</v>
      </c>
      <c r="M343">
        <v>0</v>
      </c>
      <c r="N343">
        <v>0</v>
      </c>
      <c r="O343">
        <v>0</v>
      </c>
      <c r="P343">
        <v>0</v>
      </c>
      <c r="Q343">
        <v>0</v>
      </c>
      <c r="R343">
        <v>108807000</v>
      </c>
      <c r="S343">
        <v>0</v>
      </c>
      <c r="T343" s="9">
        <v>45108</v>
      </c>
      <c r="U343" s="9">
        <v>45473</v>
      </c>
      <c r="V343">
        <f>SUM(POTABLE_NONPOTABLE_API[[#This Row],[RESIDENTIAL_SINGLEFAMILY_GAL]:[OTHER_GAL]])</f>
        <v>66991048.808000013</v>
      </c>
      <c r="W343">
        <f>SUM(POTABLE_NONPOTABLE_API[[#This Row],[NONPOTABLE_DEMAND_RESIDENTIAL_RECYCLED_WATER_GAL]:[NONPOTABLE_DEMAND_NONRESIDENTIAL_METERED_IRRIGATION_GAL]])</f>
        <v>108807000</v>
      </c>
      <c r="X343" t="str">
        <f>IFERROR(INDEX(Crosswalk_API!$H$2:$H$527, MATCH(POTABLE_NONPOTABLE_API[[#This Row],[PWSID]], CW_PWSID_LIST, 0)), "")</f>
        <v>No</v>
      </c>
    </row>
    <row r="344" spans="1:24" x14ac:dyDescent="0.25">
      <c r="A344" t="s">
        <v>810</v>
      </c>
      <c r="B344" t="s">
        <v>811</v>
      </c>
      <c r="C344" t="s">
        <v>812</v>
      </c>
      <c r="D344" t="s">
        <v>813</v>
      </c>
      <c r="E344" s="9">
        <v>45292</v>
      </c>
      <c r="F344" s="9">
        <v>45322</v>
      </c>
      <c r="G344">
        <v>32894838.648000002</v>
      </c>
      <c r="H344">
        <v>12525382.688000001</v>
      </c>
      <c r="I344">
        <v>5700156.2400000002</v>
      </c>
      <c r="J344">
        <v>2015252.088</v>
      </c>
      <c r="K344">
        <v>0</v>
      </c>
      <c r="L344">
        <v>0</v>
      </c>
      <c r="M344">
        <v>0</v>
      </c>
      <c r="N344">
        <v>0</v>
      </c>
      <c r="O344">
        <v>0</v>
      </c>
      <c r="P344">
        <v>0</v>
      </c>
      <c r="Q344">
        <v>0</v>
      </c>
      <c r="R344">
        <v>105303000</v>
      </c>
      <c r="S344">
        <v>0</v>
      </c>
      <c r="T344" s="9">
        <v>45108</v>
      </c>
      <c r="U344" s="9">
        <v>45473</v>
      </c>
      <c r="V344">
        <f>SUM(POTABLE_NONPOTABLE_API[[#This Row],[RESIDENTIAL_SINGLEFAMILY_GAL]:[OTHER_GAL]])</f>
        <v>53135629.664000005</v>
      </c>
      <c r="W344">
        <f>SUM(POTABLE_NONPOTABLE_API[[#This Row],[NONPOTABLE_DEMAND_RESIDENTIAL_RECYCLED_WATER_GAL]:[NONPOTABLE_DEMAND_NONRESIDENTIAL_METERED_IRRIGATION_GAL]])</f>
        <v>105303000</v>
      </c>
      <c r="X344" t="str">
        <f>IFERROR(INDEX(Crosswalk_API!$H$2:$H$527, MATCH(POTABLE_NONPOTABLE_API[[#This Row],[PWSID]], CW_PWSID_LIST, 0)), "")</f>
        <v>No</v>
      </c>
    </row>
    <row r="345" spans="1:24" x14ac:dyDescent="0.25">
      <c r="A345" t="s">
        <v>810</v>
      </c>
      <c r="B345" t="s">
        <v>811</v>
      </c>
      <c r="C345" t="s">
        <v>812</v>
      </c>
      <c r="D345" t="s">
        <v>813</v>
      </c>
      <c r="E345" s="9">
        <v>45323</v>
      </c>
      <c r="F345" s="9">
        <v>45351</v>
      </c>
      <c r="G345">
        <v>30587098.228</v>
      </c>
      <c r="H345">
        <v>3432062.5759999999</v>
      </c>
      <c r="I345">
        <v>9383564.2880000006</v>
      </c>
      <c r="J345">
        <v>1933714.4200000002</v>
      </c>
      <c r="K345">
        <v>9539907.1559999995</v>
      </c>
      <c r="L345">
        <v>0</v>
      </c>
      <c r="M345">
        <v>0</v>
      </c>
      <c r="N345">
        <v>0</v>
      </c>
      <c r="O345">
        <v>0</v>
      </c>
      <c r="P345">
        <v>0</v>
      </c>
      <c r="Q345">
        <v>0</v>
      </c>
      <c r="R345">
        <v>98600000</v>
      </c>
      <c r="S345">
        <v>0</v>
      </c>
      <c r="T345" s="9">
        <v>45108</v>
      </c>
      <c r="U345" s="9">
        <v>45473</v>
      </c>
      <c r="V345">
        <f>SUM(POTABLE_NONPOTABLE_API[[#This Row],[RESIDENTIAL_SINGLEFAMILY_GAL]:[OTHER_GAL]])</f>
        <v>54876346.667999998</v>
      </c>
      <c r="W345">
        <f>SUM(POTABLE_NONPOTABLE_API[[#This Row],[NONPOTABLE_DEMAND_RESIDENTIAL_RECYCLED_WATER_GAL]:[NONPOTABLE_DEMAND_NONRESIDENTIAL_METERED_IRRIGATION_GAL]])</f>
        <v>98600000</v>
      </c>
      <c r="X345" t="str">
        <f>IFERROR(INDEX(Crosswalk_API!$H$2:$H$527, MATCH(POTABLE_NONPOTABLE_API[[#This Row],[PWSID]], CW_PWSID_LIST, 0)), "")</f>
        <v>No</v>
      </c>
    </row>
    <row r="346" spans="1:24" x14ac:dyDescent="0.25">
      <c r="A346" t="s">
        <v>810</v>
      </c>
      <c r="B346" t="s">
        <v>811</v>
      </c>
      <c r="C346" t="s">
        <v>812</v>
      </c>
      <c r="D346" t="s">
        <v>813</v>
      </c>
      <c r="E346" s="9">
        <v>45352</v>
      </c>
      <c r="F346" s="9">
        <v>45382</v>
      </c>
      <c r="G346">
        <v>30716511.223999999</v>
      </c>
      <c r="H346">
        <v>12883699.596000001</v>
      </c>
      <c r="I346">
        <v>6750421.2480000006</v>
      </c>
      <c r="J346">
        <v>1553704.004</v>
      </c>
      <c r="K346">
        <v>0</v>
      </c>
      <c r="L346">
        <v>0</v>
      </c>
      <c r="M346">
        <v>0</v>
      </c>
      <c r="N346">
        <v>0</v>
      </c>
      <c r="O346">
        <v>0</v>
      </c>
      <c r="P346">
        <v>0</v>
      </c>
      <c r="Q346">
        <v>0</v>
      </c>
      <c r="R346">
        <v>0</v>
      </c>
      <c r="S346">
        <v>94740000</v>
      </c>
      <c r="T346" s="9">
        <v>45108</v>
      </c>
      <c r="U346" s="9">
        <v>45473</v>
      </c>
      <c r="V346">
        <f>SUM(POTABLE_NONPOTABLE_API[[#This Row],[RESIDENTIAL_SINGLEFAMILY_GAL]:[OTHER_GAL]])</f>
        <v>51904336.072000004</v>
      </c>
      <c r="W346">
        <f>SUM(POTABLE_NONPOTABLE_API[[#This Row],[NONPOTABLE_DEMAND_RESIDENTIAL_RECYCLED_WATER_GAL]:[NONPOTABLE_DEMAND_NONRESIDENTIAL_METERED_IRRIGATION_GAL]])</f>
        <v>94740000</v>
      </c>
      <c r="X346" t="str">
        <f>IFERROR(INDEX(Crosswalk_API!$H$2:$H$527, MATCH(POTABLE_NONPOTABLE_API[[#This Row],[PWSID]], CW_PWSID_LIST, 0)), "")</f>
        <v>No</v>
      </c>
    </row>
    <row r="347" spans="1:24" x14ac:dyDescent="0.25">
      <c r="A347" t="s">
        <v>810</v>
      </c>
      <c r="B347" t="s">
        <v>811</v>
      </c>
      <c r="C347" t="s">
        <v>812</v>
      </c>
      <c r="D347" t="s">
        <v>813</v>
      </c>
      <c r="E347" s="9">
        <v>45383</v>
      </c>
      <c r="F347" s="9">
        <v>45412</v>
      </c>
      <c r="G347">
        <v>37847690.939999998</v>
      </c>
      <c r="H347">
        <v>3596634.0160000003</v>
      </c>
      <c r="I347">
        <v>10284218.896</v>
      </c>
      <c r="J347">
        <v>3933257.4160000002</v>
      </c>
      <c r="K347">
        <v>10269257.856000001</v>
      </c>
      <c r="L347">
        <v>0</v>
      </c>
      <c r="M347">
        <v>0</v>
      </c>
      <c r="N347">
        <v>0</v>
      </c>
      <c r="O347">
        <v>0</v>
      </c>
      <c r="P347">
        <v>0</v>
      </c>
      <c r="Q347">
        <v>0</v>
      </c>
      <c r="R347">
        <v>99630000</v>
      </c>
      <c r="S347">
        <v>0</v>
      </c>
      <c r="T347" s="9">
        <v>45108</v>
      </c>
      <c r="U347" s="9">
        <v>45473</v>
      </c>
      <c r="V347">
        <f>SUM(POTABLE_NONPOTABLE_API[[#This Row],[RESIDENTIAL_SINGLEFAMILY_GAL]:[OTHER_GAL]])</f>
        <v>65931059.123999998</v>
      </c>
      <c r="W347">
        <f>SUM(POTABLE_NONPOTABLE_API[[#This Row],[NONPOTABLE_DEMAND_RESIDENTIAL_RECYCLED_WATER_GAL]:[NONPOTABLE_DEMAND_NONRESIDENTIAL_METERED_IRRIGATION_GAL]])</f>
        <v>99630000</v>
      </c>
      <c r="X347" t="str">
        <f>IFERROR(INDEX(Crosswalk_API!$H$2:$H$527, MATCH(POTABLE_NONPOTABLE_API[[#This Row],[PWSID]], CW_PWSID_LIST, 0)), "")</f>
        <v>No</v>
      </c>
    </row>
    <row r="348" spans="1:24" x14ac:dyDescent="0.25">
      <c r="A348" t="s">
        <v>810</v>
      </c>
      <c r="B348" t="s">
        <v>811</v>
      </c>
      <c r="C348" t="s">
        <v>812</v>
      </c>
      <c r="D348" t="s">
        <v>813</v>
      </c>
      <c r="E348" s="9">
        <v>45413</v>
      </c>
      <c r="F348" s="9">
        <v>45443</v>
      </c>
      <c r="G348">
        <v>46111421.384000003</v>
      </c>
      <c r="H348">
        <v>15586411.472000001</v>
      </c>
      <c r="I348">
        <v>7714660.2760000005</v>
      </c>
      <c r="J348">
        <v>7396738.176</v>
      </c>
      <c r="K348">
        <v>0</v>
      </c>
      <c r="L348">
        <v>0</v>
      </c>
      <c r="M348">
        <v>0</v>
      </c>
      <c r="N348">
        <v>0</v>
      </c>
      <c r="O348">
        <v>0</v>
      </c>
      <c r="P348">
        <v>0</v>
      </c>
      <c r="Q348">
        <v>0</v>
      </c>
      <c r="R348">
        <v>0</v>
      </c>
      <c r="S348">
        <v>112870000</v>
      </c>
      <c r="T348" s="9">
        <v>45108</v>
      </c>
      <c r="U348" s="9">
        <v>45473</v>
      </c>
      <c r="V348">
        <f>SUM(POTABLE_NONPOTABLE_API[[#This Row],[RESIDENTIAL_SINGLEFAMILY_GAL]:[OTHER_GAL]])</f>
        <v>76809231.307999998</v>
      </c>
      <c r="W348">
        <f>SUM(POTABLE_NONPOTABLE_API[[#This Row],[NONPOTABLE_DEMAND_RESIDENTIAL_RECYCLED_WATER_GAL]:[NONPOTABLE_DEMAND_NONRESIDENTIAL_METERED_IRRIGATION_GAL]])</f>
        <v>112870000</v>
      </c>
      <c r="X348" t="str">
        <f>IFERROR(INDEX(Crosswalk_API!$H$2:$H$527, MATCH(POTABLE_NONPOTABLE_API[[#This Row],[PWSID]], CW_PWSID_LIST, 0)), "")</f>
        <v>No</v>
      </c>
    </row>
    <row r="349" spans="1:24" x14ac:dyDescent="0.25">
      <c r="A349" t="s">
        <v>810</v>
      </c>
      <c r="B349" t="s">
        <v>811</v>
      </c>
      <c r="C349" t="s">
        <v>812</v>
      </c>
      <c r="D349" t="s">
        <v>813</v>
      </c>
      <c r="E349" s="9">
        <v>45444</v>
      </c>
      <c r="F349" s="9">
        <v>45473</v>
      </c>
      <c r="G349">
        <v>59534466.472000003</v>
      </c>
      <c r="H349">
        <v>3704353.5040000002</v>
      </c>
      <c r="I349">
        <v>10345559.16</v>
      </c>
      <c r="J349">
        <v>22979409.388</v>
      </c>
      <c r="K349">
        <v>7532883.6400000006</v>
      </c>
      <c r="L349">
        <v>0</v>
      </c>
      <c r="M349">
        <v>0</v>
      </c>
      <c r="N349">
        <v>0</v>
      </c>
      <c r="O349">
        <v>0</v>
      </c>
      <c r="P349">
        <v>0</v>
      </c>
      <c r="Q349">
        <v>0</v>
      </c>
      <c r="R349">
        <v>0</v>
      </c>
      <c r="S349">
        <v>112653000</v>
      </c>
      <c r="T349" s="9">
        <v>45108</v>
      </c>
      <c r="U349" s="9">
        <v>45473</v>
      </c>
      <c r="V349">
        <f>SUM(POTABLE_NONPOTABLE_API[[#This Row],[RESIDENTIAL_SINGLEFAMILY_GAL]:[OTHER_GAL]])</f>
        <v>104096672.164</v>
      </c>
      <c r="W349">
        <f>SUM(POTABLE_NONPOTABLE_API[[#This Row],[NONPOTABLE_DEMAND_RESIDENTIAL_RECYCLED_WATER_GAL]:[NONPOTABLE_DEMAND_NONRESIDENTIAL_METERED_IRRIGATION_GAL]])</f>
        <v>112653000</v>
      </c>
      <c r="X349" t="str">
        <f>IFERROR(INDEX(Crosswalk_API!$H$2:$H$527, MATCH(POTABLE_NONPOTABLE_API[[#This Row],[PWSID]], CW_PWSID_LIST, 0)), "")</f>
        <v>No</v>
      </c>
    </row>
    <row r="350" spans="1:24" x14ac:dyDescent="0.25">
      <c r="A350" t="s">
        <v>815</v>
      </c>
      <c r="B350" t="s">
        <v>816</v>
      </c>
      <c r="C350" t="s">
        <v>817</v>
      </c>
      <c r="D350" t="s">
        <v>818</v>
      </c>
      <c r="E350" s="9">
        <v>45108</v>
      </c>
      <c r="F350" s="9">
        <v>45138</v>
      </c>
      <c r="G350">
        <v>143889284.57999998</v>
      </c>
      <c r="H350">
        <v>49614073.259999998</v>
      </c>
      <c r="I350">
        <v>58610819.370000005</v>
      </c>
      <c r="J350">
        <v>4493485.29</v>
      </c>
      <c r="K350">
        <v>0</v>
      </c>
      <c r="L350">
        <v>5438453.1900000004</v>
      </c>
      <c r="M350">
        <v>0</v>
      </c>
      <c r="T350" s="9">
        <v>45108</v>
      </c>
      <c r="U350" s="9">
        <v>45473</v>
      </c>
      <c r="V350">
        <f>SUM(POTABLE_NONPOTABLE_API[[#This Row],[RESIDENTIAL_SINGLEFAMILY_GAL]:[OTHER_GAL]])</f>
        <v>262046115.68999997</v>
      </c>
      <c r="W350">
        <f>SUM(POTABLE_NONPOTABLE_API[[#This Row],[NONPOTABLE_DEMAND_RESIDENTIAL_RECYCLED_WATER_GAL]:[NONPOTABLE_DEMAND_NONRESIDENTIAL_METERED_IRRIGATION_GAL]])</f>
        <v>0</v>
      </c>
      <c r="X350" t="str">
        <f>IFERROR(INDEX(Crosswalk_API!$H$2:$H$527, MATCH(POTABLE_NONPOTABLE_API[[#This Row],[PWSID]], CW_PWSID_LIST, 0)), "")</f>
        <v>No</v>
      </c>
    </row>
    <row r="351" spans="1:24" x14ac:dyDescent="0.25">
      <c r="A351" t="s">
        <v>815</v>
      </c>
      <c r="B351" t="s">
        <v>816</v>
      </c>
      <c r="C351" t="s">
        <v>817</v>
      </c>
      <c r="D351" t="s">
        <v>818</v>
      </c>
      <c r="E351" s="9">
        <v>45139</v>
      </c>
      <c r="F351" s="9">
        <v>45169</v>
      </c>
      <c r="G351">
        <v>146329908.56999999</v>
      </c>
      <c r="H351">
        <v>50826238.979999997</v>
      </c>
      <c r="I351">
        <v>60950429.550000004</v>
      </c>
      <c r="J351">
        <v>4731356.5199999996</v>
      </c>
      <c r="K351">
        <v>0</v>
      </c>
      <c r="L351">
        <v>3323680.1999999997</v>
      </c>
      <c r="M351">
        <v>0</v>
      </c>
      <c r="T351" s="9">
        <v>45108</v>
      </c>
      <c r="U351" s="9">
        <v>45473</v>
      </c>
      <c r="V351">
        <f>SUM(POTABLE_NONPOTABLE_API[[#This Row],[RESIDENTIAL_SINGLEFAMILY_GAL]:[OTHER_GAL]])</f>
        <v>266161613.81999999</v>
      </c>
      <c r="W351">
        <f>SUM(POTABLE_NONPOTABLE_API[[#This Row],[NONPOTABLE_DEMAND_RESIDENTIAL_RECYCLED_WATER_GAL]:[NONPOTABLE_DEMAND_NONRESIDENTIAL_METERED_IRRIGATION_GAL]])</f>
        <v>0</v>
      </c>
      <c r="X351" t="str">
        <f>IFERROR(INDEX(Crosswalk_API!$H$2:$H$527, MATCH(POTABLE_NONPOTABLE_API[[#This Row],[PWSID]], CW_PWSID_LIST, 0)), "")</f>
        <v>No</v>
      </c>
    </row>
    <row r="352" spans="1:24" x14ac:dyDescent="0.25">
      <c r="A352" t="s">
        <v>815</v>
      </c>
      <c r="B352" t="s">
        <v>816</v>
      </c>
      <c r="C352" t="s">
        <v>817</v>
      </c>
      <c r="D352" t="s">
        <v>818</v>
      </c>
      <c r="E352" s="9">
        <v>45170</v>
      </c>
      <c r="F352" s="9">
        <v>45199</v>
      </c>
      <c r="G352">
        <v>138568137.75</v>
      </c>
      <c r="H352">
        <v>49526093.490000002</v>
      </c>
      <c r="I352">
        <v>56942462.25</v>
      </c>
      <c r="J352">
        <v>4372920.42</v>
      </c>
      <c r="K352">
        <v>0</v>
      </c>
      <c r="L352">
        <v>14506886.520000001</v>
      </c>
      <c r="M352">
        <v>0</v>
      </c>
      <c r="T352" s="9">
        <v>45108</v>
      </c>
      <c r="U352" s="9">
        <v>45473</v>
      </c>
      <c r="V352">
        <f>SUM(POTABLE_NONPOTABLE_API[[#This Row],[RESIDENTIAL_SINGLEFAMILY_GAL]:[OTHER_GAL]])</f>
        <v>263916500.43000001</v>
      </c>
      <c r="W352">
        <f>SUM(POTABLE_NONPOTABLE_API[[#This Row],[NONPOTABLE_DEMAND_RESIDENTIAL_RECYCLED_WATER_GAL]:[NONPOTABLE_DEMAND_NONRESIDENTIAL_METERED_IRRIGATION_GAL]])</f>
        <v>0</v>
      </c>
      <c r="X352" t="str">
        <f>IFERROR(INDEX(Crosswalk_API!$H$2:$H$527, MATCH(POTABLE_NONPOTABLE_API[[#This Row],[PWSID]], CW_PWSID_LIST, 0)), "")</f>
        <v>No</v>
      </c>
    </row>
    <row r="353" spans="1:24" x14ac:dyDescent="0.25">
      <c r="A353" t="s">
        <v>815</v>
      </c>
      <c r="B353" t="s">
        <v>816</v>
      </c>
      <c r="C353" t="s">
        <v>817</v>
      </c>
      <c r="D353" t="s">
        <v>818</v>
      </c>
      <c r="E353" s="9">
        <v>45200</v>
      </c>
      <c r="F353" s="9">
        <v>45230</v>
      </c>
      <c r="G353">
        <v>135524689.41</v>
      </c>
      <c r="H353">
        <v>50940286.830000006</v>
      </c>
      <c r="I353">
        <v>56603577.210000001</v>
      </c>
      <c r="J353">
        <v>4317525.75</v>
      </c>
      <c r="K353">
        <v>0</v>
      </c>
      <c r="L353">
        <v>8628534.4800000004</v>
      </c>
      <c r="M353">
        <v>0</v>
      </c>
      <c r="T353" s="9">
        <v>45108</v>
      </c>
      <c r="U353" s="9">
        <v>45473</v>
      </c>
      <c r="V353">
        <f>SUM(POTABLE_NONPOTABLE_API[[#This Row],[RESIDENTIAL_SINGLEFAMILY_GAL]:[OTHER_GAL]])</f>
        <v>256014613.68000001</v>
      </c>
      <c r="W353">
        <f>SUM(POTABLE_NONPOTABLE_API[[#This Row],[NONPOTABLE_DEMAND_RESIDENTIAL_RECYCLED_WATER_GAL]:[NONPOTABLE_DEMAND_NONRESIDENTIAL_METERED_IRRIGATION_GAL]])</f>
        <v>0</v>
      </c>
      <c r="X353" t="str">
        <f>IFERROR(INDEX(Crosswalk_API!$H$2:$H$527, MATCH(POTABLE_NONPOTABLE_API[[#This Row],[PWSID]], CW_PWSID_LIST, 0)), "")</f>
        <v>No</v>
      </c>
    </row>
    <row r="354" spans="1:24" x14ac:dyDescent="0.25">
      <c r="A354" t="s">
        <v>815</v>
      </c>
      <c r="B354" t="s">
        <v>816</v>
      </c>
      <c r="C354" t="s">
        <v>817</v>
      </c>
      <c r="D354" t="s">
        <v>818</v>
      </c>
      <c r="E354" s="9">
        <v>45231</v>
      </c>
      <c r="F354" s="9">
        <v>45260</v>
      </c>
      <c r="G354">
        <v>122533010.04000001</v>
      </c>
      <c r="H354">
        <v>47766498.090000004</v>
      </c>
      <c r="I354">
        <v>52185037.649999999</v>
      </c>
      <c r="J354">
        <v>4288199.16</v>
      </c>
      <c r="K354">
        <v>0</v>
      </c>
      <c r="L354">
        <v>7566260.2199999997</v>
      </c>
      <c r="M354">
        <v>0</v>
      </c>
      <c r="T354" s="9">
        <v>45108</v>
      </c>
      <c r="U354" s="9">
        <v>45473</v>
      </c>
      <c r="V354">
        <f>SUM(POTABLE_NONPOTABLE_API[[#This Row],[RESIDENTIAL_SINGLEFAMILY_GAL]:[OTHER_GAL]])</f>
        <v>234339005.16</v>
      </c>
      <c r="W354">
        <f>SUM(POTABLE_NONPOTABLE_API[[#This Row],[NONPOTABLE_DEMAND_RESIDENTIAL_RECYCLED_WATER_GAL]:[NONPOTABLE_DEMAND_NONRESIDENTIAL_METERED_IRRIGATION_GAL]])</f>
        <v>0</v>
      </c>
      <c r="X354" t="str">
        <f>IFERROR(INDEX(Crosswalk_API!$H$2:$H$527, MATCH(POTABLE_NONPOTABLE_API[[#This Row],[PWSID]], CW_PWSID_LIST, 0)), "")</f>
        <v>No</v>
      </c>
    </row>
    <row r="355" spans="1:24" x14ac:dyDescent="0.25">
      <c r="A355" t="s">
        <v>815</v>
      </c>
      <c r="B355" t="s">
        <v>816</v>
      </c>
      <c r="C355" t="s">
        <v>817</v>
      </c>
      <c r="D355" t="s">
        <v>818</v>
      </c>
      <c r="E355" s="9">
        <v>45261</v>
      </c>
      <c r="F355" s="9">
        <v>45291</v>
      </c>
      <c r="G355">
        <v>97139441.609999999</v>
      </c>
      <c r="H355">
        <v>46876924.860000007</v>
      </c>
      <c r="I355">
        <v>49086194.639999993</v>
      </c>
      <c r="J355">
        <v>4262131.08</v>
      </c>
      <c r="K355">
        <v>0</v>
      </c>
      <c r="L355">
        <v>7960539.9299999997</v>
      </c>
      <c r="M355">
        <v>0</v>
      </c>
      <c r="T355" s="9">
        <v>45108</v>
      </c>
      <c r="U355" s="9">
        <v>45473</v>
      </c>
      <c r="V355">
        <f>SUM(POTABLE_NONPOTABLE_API[[#This Row],[RESIDENTIAL_SINGLEFAMILY_GAL]:[OTHER_GAL]])</f>
        <v>205325232.12</v>
      </c>
      <c r="W355">
        <f>SUM(POTABLE_NONPOTABLE_API[[#This Row],[NONPOTABLE_DEMAND_RESIDENTIAL_RECYCLED_WATER_GAL]:[NONPOTABLE_DEMAND_NONRESIDENTIAL_METERED_IRRIGATION_GAL]])</f>
        <v>0</v>
      </c>
      <c r="X355" t="str">
        <f>IFERROR(INDEX(Crosswalk_API!$H$2:$H$527, MATCH(POTABLE_NONPOTABLE_API[[#This Row],[PWSID]], CW_PWSID_LIST, 0)), "")</f>
        <v>No</v>
      </c>
    </row>
    <row r="356" spans="1:24" x14ac:dyDescent="0.25">
      <c r="A356" t="s">
        <v>815</v>
      </c>
      <c r="B356" t="s">
        <v>816</v>
      </c>
      <c r="C356" t="s">
        <v>817</v>
      </c>
      <c r="D356" t="s">
        <v>818</v>
      </c>
      <c r="E356" s="9">
        <v>45292</v>
      </c>
      <c r="F356" s="9">
        <v>45322</v>
      </c>
      <c r="G356">
        <v>84991825</v>
      </c>
      <c r="H356">
        <v>45602393</v>
      </c>
      <c r="I356">
        <v>47454346</v>
      </c>
      <c r="J356">
        <v>3087065</v>
      </c>
      <c r="K356">
        <v>0</v>
      </c>
      <c r="L356">
        <v>8171220</v>
      </c>
      <c r="M356">
        <v>0</v>
      </c>
      <c r="T356" s="9">
        <v>45108</v>
      </c>
      <c r="U356" s="9">
        <v>45473</v>
      </c>
      <c r="V356">
        <f>SUM(POTABLE_NONPOTABLE_API[[#This Row],[RESIDENTIAL_SINGLEFAMILY_GAL]:[OTHER_GAL]])</f>
        <v>189306849</v>
      </c>
      <c r="W356">
        <f>SUM(POTABLE_NONPOTABLE_API[[#This Row],[NONPOTABLE_DEMAND_RESIDENTIAL_RECYCLED_WATER_GAL]:[NONPOTABLE_DEMAND_NONRESIDENTIAL_METERED_IRRIGATION_GAL]])</f>
        <v>0</v>
      </c>
      <c r="X356" t="str">
        <f>IFERROR(INDEX(Crosswalk_API!$H$2:$H$527, MATCH(POTABLE_NONPOTABLE_API[[#This Row],[PWSID]], CW_PWSID_LIST, 0)), "")</f>
        <v>No</v>
      </c>
    </row>
    <row r="357" spans="1:24" x14ac:dyDescent="0.25">
      <c r="A357" t="s">
        <v>815</v>
      </c>
      <c r="B357" t="s">
        <v>816</v>
      </c>
      <c r="C357" t="s">
        <v>817</v>
      </c>
      <c r="D357" t="s">
        <v>818</v>
      </c>
      <c r="E357" s="9">
        <v>45323</v>
      </c>
      <c r="F357" s="9">
        <v>45351</v>
      </c>
      <c r="G357">
        <v>64745999</v>
      </c>
      <c r="H357">
        <v>42753050</v>
      </c>
      <c r="I357">
        <v>44791622</v>
      </c>
      <c r="J357">
        <v>1748376</v>
      </c>
      <c r="K357">
        <v>0</v>
      </c>
      <c r="L357">
        <v>6079892</v>
      </c>
      <c r="M357">
        <v>0</v>
      </c>
      <c r="T357" s="9">
        <v>45108</v>
      </c>
      <c r="U357" s="9">
        <v>45473</v>
      </c>
      <c r="V357">
        <f>SUM(POTABLE_NONPOTABLE_API[[#This Row],[RESIDENTIAL_SINGLEFAMILY_GAL]:[OTHER_GAL]])</f>
        <v>160118939</v>
      </c>
      <c r="W357">
        <f>SUM(POTABLE_NONPOTABLE_API[[#This Row],[NONPOTABLE_DEMAND_RESIDENTIAL_RECYCLED_WATER_GAL]:[NONPOTABLE_DEMAND_NONRESIDENTIAL_METERED_IRRIGATION_GAL]])</f>
        <v>0</v>
      </c>
      <c r="X357" t="str">
        <f>IFERROR(INDEX(Crosswalk_API!$H$2:$H$527, MATCH(POTABLE_NONPOTABLE_API[[#This Row],[PWSID]], CW_PWSID_LIST, 0)), "")</f>
        <v>No</v>
      </c>
    </row>
    <row r="358" spans="1:24" x14ac:dyDescent="0.25">
      <c r="A358" t="s">
        <v>815</v>
      </c>
      <c r="B358" t="s">
        <v>816</v>
      </c>
      <c r="C358" t="s">
        <v>817</v>
      </c>
      <c r="D358" t="s">
        <v>818</v>
      </c>
      <c r="E358" s="9">
        <v>45352</v>
      </c>
      <c r="F358" s="9">
        <v>45382</v>
      </c>
      <c r="G358">
        <v>77484473</v>
      </c>
      <c r="H358">
        <v>45587187</v>
      </c>
      <c r="I358">
        <v>48505209</v>
      </c>
      <c r="J358">
        <v>2538606</v>
      </c>
      <c r="K358">
        <v>0</v>
      </c>
      <c r="L358">
        <v>9556057</v>
      </c>
      <c r="M358">
        <v>0</v>
      </c>
      <c r="T358" s="9">
        <v>45108</v>
      </c>
      <c r="U358" s="9">
        <v>45473</v>
      </c>
      <c r="V358">
        <f>SUM(POTABLE_NONPOTABLE_API[[#This Row],[RESIDENTIAL_SINGLEFAMILY_GAL]:[OTHER_GAL]])</f>
        <v>183671532</v>
      </c>
      <c r="W358">
        <f>SUM(POTABLE_NONPOTABLE_API[[#This Row],[NONPOTABLE_DEMAND_RESIDENTIAL_RECYCLED_WATER_GAL]:[NONPOTABLE_DEMAND_NONRESIDENTIAL_METERED_IRRIGATION_GAL]])</f>
        <v>0</v>
      </c>
      <c r="X358" t="str">
        <f>IFERROR(INDEX(Crosswalk_API!$H$2:$H$527, MATCH(POTABLE_NONPOTABLE_API[[#This Row],[PWSID]], CW_PWSID_LIST, 0)), "")</f>
        <v>No</v>
      </c>
    </row>
    <row r="359" spans="1:24" x14ac:dyDescent="0.25">
      <c r="A359" t="s">
        <v>815</v>
      </c>
      <c r="B359" t="s">
        <v>816</v>
      </c>
      <c r="C359" t="s">
        <v>817</v>
      </c>
      <c r="D359" t="s">
        <v>818</v>
      </c>
      <c r="E359" s="9">
        <v>45383</v>
      </c>
      <c r="F359" s="9">
        <v>45412</v>
      </c>
      <c r="G359">
        <v>103335829</v>
      </c>
      <c r="H359">
        <v>44792549</v>
      </c>
      <c r="I359">
        <v>49076012</v>
      </c>
      <c r="J359">
        <v>3393948</v>
      </c>
      <c r="K359">
        <v>0</v>
      </c>
      <c r="L359">
        <v>11985642</v>
      </c>
      <c r="M359">
        <v>0</v>
      </c>
      <c r="T359" s="9">
        <v>45108</v>
      </c>
      <c r="U359" s="9">
        <v>45473</v>
      </c>
      <c r="V359">
        <f>SUM(POTABLE_NONPOTABLE_API[[#This Row],[RESIDENTIAL_SINGLEFAMILY_GAL]:[OTHER_GAL]])</f>
        <v>212583980</v>
      </c>
      <c r="W359">
        <f>SUM(POTABLE_NONPOTABLE_API[[#This Row],[NONPOTABLE_DEMAND_RESIDENTIAL_RECYCLED_WATER_GAL]:[NONPOTABLE_DEMAND_NONRESIDENTIAL_METERED_IRRIGATION_GAL]])</f>
        <v>0</v>
      </c>
      <c r="X359" t="str">
        <f>IFERROR(INDEX(Crosswalk_API!$H$2:$H$527, MATCH(POTABLE_NONPOTABLE_API[[#This Row],[PWSID]], CW_PWSID_LIST, 0)), "")</f>
        <v>No</v>
      </c>
    </row>
    <row r="360" spans="1:24" x14ac:dyDescent="0.25">
      <c r="A360" t="s">
        <v>815</v>
      </c>
      <c r="B360" t="s">
        <v>816</v>
      </c>
      <c r="C360" t="s">
        <v>817</v>
      </c>
      <c r="D360" t="s">
        <v>818</v>
      </c>
      <c r="E360" s="9">
        <v>45413</v>
      </c>
      <c r="F360" s="9">
        <v>45443</v>
      </c>
      <c r="G360">
        <v>121122144</v>
      </c>
      <c r="H360">
        <v>47988760</v>
      </c>
      <c r="I360">
        <v>53405340</v>
      </c>
      <c r="J360">
        <v>3887339</v>
      </c>
      <c r="K360">
        <v>0</v>
      </c>
      <c r="L360">
        <v>12980708</v>
      </c>
      <c r="M360">
        <v>0</v>
      </c>
      <c r="T360" s="9">
        <v>45108</v>
      </c>
      <c r="U360" s="9">
        <v>45473</v>
      </c>
      <c r="V360">
        <f>SUM(POTABLE_NONPOTABLE_API[[#This Row],[RESIDENTIAL_SINGLEFAMILY_GAL]:[OTHER_GAL]])</f>
        <v>239384291</v>
      </c>
      <c r="W360">
        <f>SUM(POTABLE_NONPOTABLE_API[[#This Row],[NONPOTABLE_DEMAND_RESIDENTIAL_RECYCLED_WATER_GAL]:[NONPOTABLE_DEMAND_NONRESIDENTIAL_METERED_IRRIGATION_GAL]])</f>
        <v>0</v>
      </c>
      <c r="X360" t="str">
        <f>IFERROR(INDEX(Crosswalk_API!$H$2:$H$527, MATCH(POTABLE_NONPOTABLE_API[[#This Row],[PWSID]], CW_PWSID_LIST, 0)), "")</f>
        <v>No</v>
      </c>
    </row>
    <row r="361" spans="1:24" x14ac:dyDescent="0.25">
      <c r="A361" t="s">
        <v>815</v>
      </c>
      <c r="B361" t="s">
        <v>816</v>
      </c>
      <c r="C361" t="s">
        <v>817</v>
      </c>
      <c r="D361" t="s">
        <v>818</v>
      </c>
      <c r="E361" s="9">
        <v>45444</v>
      </c>
      <c r="F361" s="9">
        <v>45473</v>
      </c>
      <c r="G361">
        <v>142736290</v>
      </c>
      <c r="H361">
        <v>47539654</v>
      </c>
      <c r="I361">
        <v>54642520</v>
      </c>
      <c r="J361">
        <v>4052830</v>
      </c>
      <c r="K361">
        <v>0</v>
      </c>
      <c r="L361">
        <v>12222104</v>
      </c>
      <c r="M361">
        <v>0</v>
      </c>
      <c r="T361" s="9">
        <v>45108</v>
      </c>
      <c r="U361" s="9">
        <v>45473</v>
      </c>
      <c r="V361">
        <f>SUM(POTABLE_NONPOTABLE_API[[#This Row],[RESIDENTIAL_SINGLEFAMILY_GAL]:[OTHER_GAL]])</f>
        <v>261193398</v>
      </c>
      <c r="W361">
        <f>SUM(POTABLE_NONPOTABLE_API[[#This Row],[NONPOTABLE_DEMAND_RESIDENTIAL_RECYCLED_WATER_GAL]:[NONPOTABLE_DEMAND_NONRESIDENTIAL_METERED_IRRIGATION_GAL]])</f>
        <v>0</v>
      </c>
      <c r="X361" t="str">
        <f>IFERROR(INDEX(Crosswalk_API!$H$2:$H$527, MATCH(POTABLE_NONPOTABLE_API[[#This Row],[PWSID]], CW_PWSID_LIST, 0)), "")</f>
        <v>No</v>
      </c>
    </row>
    <row r="362" spans="1:24" x14ac:dyDescent="0.25">
      <c r="A362" t="s">
        <v>819</v>
      </c>
      <c r="B362" t="s">
        <v>820</v>
      </c>
      <c r="C362" t="s">
        <v>821</v>
      </c>
      <c r="D362" t="s">
        <v>822</v>
      </c>
      <c r="E362" s="9">
        <v>45108</v>
      </c>
      <c r="F362" s="9">
        <v>45138</v>
      </c>
      <c r="G362">
        <v>12185767.08</v>
      </c>
      <c r="H362">
        <v>0</v>
      </c>
      <c r="I362">
        <v>1039044.228</v>
      </c>
      <c r="J362">
        <v>0</v>
      </c>
      <c r="K362">
        <v>0</v>
      </c>
      <c r="L362">
        <v>0</v>
      </c>
      <c r="M362">
        <v>0</v>
      </c>
      <c r="T362" s="9">
        <v>45108</v>
      </c>
      <c r="U362" s="9">
        <v>45473</v>
      </c>
      <c r="V362">
        <f>SUM(POTABLE_NONPOTABLE_API[[#This Row],[RESIDENTIAL_SINGLEFAMILY_GAL]:[OTHER_GAL]])</f>
        <v>13224811.308</v>
      </c>
      <c r="W362">
        <f>SUM(POTABLE_NONPOTABLE_API[[#This Row],[NONPOTABLE_DEMAND_RESIDENTIAL_RECYCLED_WATER_GAL]:[NONPOTABLE_DEMAND_NONRESIDENTIAL_METERED_IRRIGATION_GAL]])</f>
        <v>0</v>
      </c>
      <c r="X362" t="str">
        <f>IFERROR(INDEX(Crosswalk_API!$H$2:$H$527, MATCH(POTABLE_NONPOTABLE_API[[#This Row],[PWSID]], CW_PWSID_LIST, 0)), "")</f>
        <v>No</v>
      </c>
    </row>
    <row r="363" spans="1:24" x14ac:dyDescent="0.25">
      <c r="A363" t="s">
        <v>819</v>
      </c>
      <c r="B363" t="s">
        <v>820</v>
      </c>
      <c r="C363" t="s">
        <v>821</v>
      </c>
      <c r="D363" t="s">
        <v>822</v>
      </c>
      <c r="E363" s="9">
        <v>45139</v>
      </c>
      <c r="F363" s="9">
        <v>45169</v>
      </c>
      <c r="G363">
        <v>28141716.240000002</v>
      </c>
      <c r="H363">
        <v>0</v>
      </c>
      <c r="I363">
        <v>3744000.2600000002</v>
      </c>
      <c r="J363">
        <v>0</v>
      </c>
      <c r="K363">
        <v>0</v>
      </c>
      <c r="L363">
        <v>51705.354240000008</v>
      </c>
      <c r="M363">
        <v>0</v>
      </c>
      <c r="T363" s="9">
        <v>45108</v>
      </c>
      <c r="U363" s="9">
        <v>45473</v>
      </c>
      <c r="V363">
        <f>SUM(POTABLE_NONPOTABLE_API[[#This Row],[RESIDENTIAL_SINGLEFAMILY_GAL]:[OTHER_GAL]])</f>
        <v>31937421.854240004</v>
      </c>
      <c r="W363">
        <f>SUM(POTABLE_NONPOTABLE_API[[#This Row],[NONPOTABLE_DEMAND_RESIDENTIAL_RECYCLED_WATER_GAL]:[NONPOTABLE_DEMAND_NONRESIDENTIAL_METERED_IRRIGATION_GAL]])</f>
        <v>0</v>
      </c>
      <c r="X363" t="str">
        <f>IFERROR(INDEX(Crosswalk_API!$H$2:$H$527, MATCH(POTABLE_NONPOTABLE_API[[#This Row],[PWSID]], CW_PWSID_LIST, 0)), "")</f>
        <v>No</v>
      </c>
    </row>
    <row r="364" spans="1:24" x14ac:dyDescent="0.25">
      <c r="A364" t="s">
        <v>819</v>
      </c>
      <c r="B364" t="s">
        <v>820</v>
      </c>
      <c r="C364" t="s">
        <v>821</v>
      </c>
      <c r="D364" t="s">
        <v>822</v>
      </c>
      <c r="E364" s="9">
        <v>45170</v>
      </c>
      <c r="F364" s="9">
        <v>45199</v>
      </c>
      <c r="G364">
        <v>16855855.716000002</v>
      </c>
      <c r="H364">
        <v>0</v>
      </c>
      <c r="I364">
        <v>1515553.352</v>
      </c>
      <c r="J364">
        <v>0</v>
      </c>
      <c r="K364">
        <v>0</v>
      </c>
      <c r="L364">
        <v>59844.160000000003</v>
      </c>
      <c r="M364">
        <v>0</v>
      </c>
      <c r="T364" s="9">
        <v>45108</v>
      </c>
      <c r="U364" s="9">
        <v>45473</v>
      </c>
      <c r="V364">
        <f>SUM(POTABLE_NONPOTABLE_API[[#This Row],[RESIDENTIAL_SINGLEFAMILY_GAL]:[OTHER_GAL]])</f>
        <v>18431253.228000004</v>
      </c>
      <c r="W364">
        <f>SUM(POTABLE_NONPOTABLE_API[[#This Row],[NONPOTABLE_DEMAND_RESIDENTIAL_RECYCLED_WATER_GAL]:[NONPOTABLE_DEMAND_NONRESIDENTIAL_METERED_IRRIGATION_GAL]])</f>
        <v>0</v>
      </c>
      <c r="X364" t="str">
        <f>IFERROR(INDEX(Crosswalk_API!$H$2:$H$527, MATCH(POTABLE_NONPOTABLE_API[[#This Row],[PWSID]], CW_PWSID_LIST, 0)), "")</f>
        <v>No</v>
      </c>
    </row>
    <row r="365" spans="1:24" x14ac:dyDescent="0.25">
      <c r="A365" t="s">
        <v>819</v>
      </c>
      <c r="B365" t="s">
        <v>820</v>
      </c>
      <c r="C365" t="s">
        <v>821</v>
      </c>
      <c r="D365" t="s">
        <v>822</v>
      </c>
      <c r="E365" s="9">
        <v>45200</v>
      </c>
      <c r="F365" s="9">
        <v>45230</v>
      </c>
      <c r="G365">
        <v>27995846.100000001</v>
      </c>
      <c r="H365">
        <v>0</v>
      </c>
      <c r="I365">
        <v>5890161.4479999999</v>
      </c>
      <c r="J365">
        <v>0</v>
      </c>
      <c r="K365">
        <v>0</v>
      </c>
      <c r="L365">
        <v>81537.668000000005</v>
      </c>
      <c r="M365">
        <v>0</v>
      </c>
      <c r="T365" s="9">
        <v>45108</v>
      </c>
      <c r="U365" s="9">
        <v>45473</v>
      </c>
      <c r="V365">
        <f>SUM(POTABLE_NONPOTABLE_API[[#This Row],[RESIDENTIAL_SINGLEFAMILY_GAL]:[OTHER_GAL]])</f>
        <v>33967545.215999998</v>
      </c>
      <c r="W365">
        <f>SUM(POTABLE_NONPOTABLE_API[[#This Row],[NONPOTABLE_DEMAND_RESIDENTIAL_RECYCLED_WATER_GAL]:[NONPOTABLE_DEMAND_NONRESIDENTIAL_METERED_IRRIGATION_GAL]])</f>
        <v>0</v>
      </c>
      <c r="X365" t="str">
        <f>IFERROR(INDEX(Crosswalk_API!$H$2:$H$527, MATCH(POTABLE_NONPOTABLE_API[[#This Row],[PWSID]], CW_PWSID_LIST, 0)), "")</f>
        <v>No</v>
      </c>
    </row>
    <row r="366" spans="1:24" x14ac:dyDescent="0.25">
      <c r="A366" t="s">
        <v>819</v>
      </c>
      <c r="B366" t="s">
        <v>820</v>
      </c>
      <c r="C366" t="s">
        <v>821</v>
      </c>
      <c r="D366" t="s">
        <v>822</v>
      </c>
      <c r="E366" s="9">
        <v>45231</v>
      </c>
      <c r="F366" s="9">
        <v>45260</v>
      </c>
      <c r="G366">
        <v>12692946.336000001</v>
      </c>
      <c r="H366">
        <v>0</v>
      </c>
      <c r="I366">
        <v>1323303.9880000001</v>
      </c>
      <c r="J366">
        <v>0</v>
      </c>
      <c r="K366">
        <v>0</v>
      </c>
      <c r="L366">
        <v>765803.27396000002</v>
      </c>
      <c r="M366">
        <v>0</v>
      </c>
      <c r="T366" s="9">
        <v>45108</v>
      </c>
      <c r="U366" s="9">
        <v>45473</v>
      </c>
      <c r="V366">
        <f>SUM(POTABLE_NONPOTABLE_API[[#This Row],[RESIDENTIAL_SINGLEFAMILY_GAL]:[OTHER_GAL]])</f>
        <v>14782053.597960001</v>
      </c>
      <c r="W366">
        <f>SUM(POTABLE_NONPOTABLE_API[[#This Row],[NONPOTABLE_DEMAND_RESIDENTIAL_RECYCLED_WATER_GAL]:[NONPOTABLE_DEMAND_NONRESIDENTIAL_METERED_IRRIGATION_GAL]])</f>
        <v>0</v>
      </c>
      <c r="X366" t="str">
        <f>IFERROR(INDEX(Crosswalk_API!$H$2:$H$527, MATCH(POTABLE_NONPOTABLE_API[[#This Row],[PWSID]], CW_PWSID_LIST, 0)), "")</f>
        <v>No</v>
      </c>
    </row>
    <row r="367" spans="1:24" x14ac:dyDescent="0.25">
      <c r="A367" t="s">
        <v>819</v>
      </c>
      <c r="B367" t="s">
        <v>820</v>
      </c>
      <c r="C367" t="s">
        <v>821</v>
      </c>
      <c r="D367" t="s">
        <v>822</v>
      </c>
      <c r="E367" s="9">
        <v>45261</v>
      </c>
      <c r="F367" s="9">
        <v>45291</v>
      </c>
      <c r="G367">
        <v>19686484.484000001</v>
      </c>
      <c r="H367">
        <v>0</v>
      </c>
      <c r="I367">
        <v>5851262.7439999999</v>
      </c>
      <c r="J367">
        <v>0</v>
      </c>
      <c r="K367">
        <v>0</v>
      </c>
      <c r="L367">
        <v>363553.272</v>
      </c>
      <c r="M367">
        <v>0</v>
      </c>
      <c r="T367" s="9">
        <v>45108</v>
      </c>
      <c r="U367" s="9">
        <v>45473</v>
      </c>
      <c r="V367">
        <f>SUM(POTABLE_NONPOTABLE_API[[#This Row],[RESIDENTIAL_SINGLEFAMILY_GAL]:[OTHER_GAL]])</f>
        <v>25901300.5</v>
      </c>
      <c r="W367">
        <f>SUM(POTABLE_NONPOTABLE_API[[#This Row],[NONPOTABLE_DEMAND_RESIDENTIAL_RECYCLED_WATER_GAL]:[NONPOTABLE_DEMAND_NONRESIDENTIAL_METERED_IRRIGATION_GAL]])</f>
        <v>0</v>
      </c>
      <c r="X367" t="str">
        <f>IFERROR(INDEX(Crosswalk_API!$H$2:$H$527, MATCH(POTABLE_NONPOTABLE_API[[#This Row],[PWSID]], CW_PWSID_LIST, 0)), "")</f>
        <v>No</v>
      </c>
    </row>
    <row r="368" spans="1:24" x14ac:dyDescent="0.25">
      <c r="A368" t="s">
        <v>819</v>
      </c>
      <c r="B368" t="s">
        <v>820</v>
      </c>
      <c r="C368" t="s">
        <v>821</v>
      </c>
      <c r="D368" t="s">
        <v>822</v>
      </c>
      <c r="E368" s="9">
        <v>45292</v>
      </c>
      <c r="F368" s="9">
        <v>45322</v>
      </c>
      <c r="G368">
        <v>14507720.488</v>
      </c>
      <c r="H368">
        <v>0</v>
      </c>
      <c r="I368">
        <v>3156779.44</v>
      </c>
      <c r="J368">
        <v>0</v>
      </c>
      <c r="K368">
        <v>0</v>
      </c>
      <c r="L368">
        <v>1958400.1359999999</v>
      </c>
      <c r="M368">
        <v>0</v>
      </c>
      <c r="T368" s="9">
        <v>45108</v>
      </c>
      <c r="U368" s="9">
        <v>45473</v>
      </c>
      <c r="V368">
        <f>SUM(POTABLE_NONPOTABLE_API[[#This Row],[RESIDENTIAL_SINGLEFAMILY_GAL]:[OTHER_GAL]])</f>
        <v>19622900.063999999</v>
      </c>
      <c r="W368">
        <f>SUM(POTABLE_NONPOTABLE_API[[#This Row],[NONPOTABLE_DEMAND_RESIDENTIAL_RECYCLED_WATER_GAL]:[NONPOTABLE_DEMAND_NONRESIDENTIAL_METERED_IRRIGATION_GAL]])</f>
        <v>0</v>
      </c>
      <c r="X368" t="str">
        <f>IFERROR(INDEX(Crosswalk_API!$H$2:$H$527, MATCH(POTABLE_NONPOTABLE_API[[#This Row],[PWSID]], CW_PWSID_LIST, 0)), "")</f>
        <v>No</v>
      </c>
    </row>
    <row r="369" spans="1:24" x14ac:dyDescent="0.25">
      <c r="A369" t="s">
        <v>819</v>
      </c>
      <c r="B369" t="s">
        <v>820</v>
      </c>
      <c r="C369" t="s">
        <v>821</v>
      </c>
      <c r="D369" t="s">
        <v>822</v>
      </c>
      <c r="E369" s="9">
        <v>45323</v>
      </c>
      <c r="F369" s="9">
        <v>45351</v>
      </c>
      <c r="G369">
        <v>13138037.276000001</v>
      </c>
      <c r="H369">
        <v>0</v>
      </c>
      <c r="I369">
        <v>3394659.9760000003</v>
      </c>
      <c r="J369">
        <v>0</v>
      </c>
      <c r="K369">
        <v>0</v>
      </c>
      <c r="L369">
        <v>703168.88</v>
      </c>
      <c r="M369">
        <v>0</v>
      </c>
      <c r="T369" s="9">
        <v>45108</v>
      </c>
      <c r="U369" s="9">
        <v>45473</v>
      </c>
      <c r="V369">
        <f>SUM(POTABLE_NONPOTABLE_API[[#This Row],[RESIDENTIAL_SINGLEFAMILY_GAL]:[OTHER_GAL]])</f>
        <v>17235866.131999999</v>
      </c>
      <c r="W369">
        <f>SUM(POTABLE_NONPOTABLE_API[[#This Row],[NONPOTABLE_DEMAND_RESIDENTIAL_RECYCLED_WATER_GAL]:[NONPOTABLE_DEMAND_NONRESIDENTIAL_METERED_IRRIGATION_GAL]])</f>
        <v>0</v>
      </c>
      <c r="X369" t="str">
        <f>IFERROR(INDEX(Crosswalk_API!$H$2:$H$527, MATCH(POTABLE_NONPOTABLE_API[[#This Row],[PWSID]], CW_PWSID_LIST, 0)), "")</f>
        <v>No</v>
      </c>
    </row>
    <row r="370" spans="1:24" x14ac:dyDescent="0.25">
      <c r="A370" t="s">
        <v>819</v>
      </c>
      <c r="B370" t="s">
        <v>820</v>
      </c>
      <c r="C370" t="s">
        <v>821</v>
      </c>
      <c r="D370" t="s">
        <v>822</v>
      </c>
      <c r="E370" s="9">
        <v>45352</v>
      </c>
      <c r="F370" s="9">
        <v>45382</v>
      </c>
      <c r="G370">
        <v>19581757.204</v>
      </c>
      <c r="H370">
        <v>0</v>
      </c>
      <c r="I370">
        <v>3592893.7560000001</v>
      </c>
      <c r="J370">
        <v>0</v>
      </c>
      <c r="K370">
        <v>0</v>
      </c>
      <c r="L370">
        <v>661277.96799999999</v>
      </c>
      <c r="M370">
        <v>0</v>
      </c>
      <c r="T370" s="9">
        <v>45108</v>
      </c>
      <c r="U370" s="9">
        <v>45473</v>
      </c>
      <c r="V370">
        <f>SUM(POTABLE_NONPOTABLE_API[[#This Row],[RESIDENTIAL_SINGLEFAMILY_GAL]:[OTHER_GAL]])</f>
        <v>23835928.927999999</v>
      </c>
      <c r="W370">
        <f>SUM(POTABLE_NONPOTABLE_API[[#This Row],[NONPOTABLE_DEMAND_RESIDENTIAL_RECYCLED_WATER_GAL]:[NONPOTABLE_DEMAND_NONRESIDENTIAL_METERED_IRRIGATION_GAL]])</f>
        <v>0</v>
      </c>
      <c r="X370" t="str">
        <f>IFERROR(INDEX(Crosswalk_API!$H$2:$H$527, MATCH(POTABLE_NONPOTABLE_API[[#This Row],[PWSID]], CW_PWSID_LIST, 0)), "")</f>
        <v>No</v>
      </c>
    </row>
    <row r="371" spans="1:24" x14ac:dyDescent="0.25">
      <c r="A371" t="s">
        <v>819</v>
      </c>
      <c r="B371" t="s">
        <v>820</v>
      </c>
      <c r="C371" t="s">
        <v>821</v>
      </c>
      <c r="D371" t="s">
        <v>822</v>
      </c>
      <c r="E371" s="9">
        <v>45383</v>
      </c>
      <c r="F371" s="9">
        <v>45412</v>
      </c>
      <c r="G371">
        <v>15911814.092</v>
      </c>
      <c r="H371">
        <v>0</v>
      </c>
      <c r="I371">
        <v>4161413.2760000001</v>
      </c>
      <c r="J371">
        <v>0</v>
      </c>
      <c r="K371">
        <v>0</v>
      </c>
      <c r="L371">
        <v>783958.49600000004</v>
      </c>
      <c r="M371">
        <v>0</v>
      </c>
      <c r="T371" s="9">
        <v>45108</v>
      </c>
      <c r="U371" s="9">
        <v>45473</v>
      </c>
      <c r="V371">
        <f>SUM(POTABLE_NONPOTABLE_API[[#This Row],[RESIDENTIAL_SINGLEFAMILY_GAL]:[OTHER_GAL]])</f>
        <v>20857185.864</v>
      </c>
      <c r="W371">
        <f>SUM(POTABLE_NONPOTABLE_API[[#This Row],[NONPOTABLE_DEMAND_RESIDENTIAL_RECYCLED_WATER_GAL]:[NONPOTABLE_DEMAND_NONRESIDENTIAL_METERED_IRRIGATION_GAL]])</f>
        <v>0</v>
      </c>
      <c r="X371" t="str">
        <f>IFERROR(INDEX(Crosswalk_API!$H$2:$H$527, MATCH(POTABLE_NONPOTABLE_API[[#This Row],[PWSID]], CW_PWSID_LIST, 0)), "")</f>
        <v>No</v>
      </c>
    </row>
    <row r="372" spans="1:24" x14ac:dyDescent="0.25">
      <c r="A372" t="s">
        <v>819</v>
      </c>
      <c r="B372" t="s">
        <v>820</v>
      </c>
      <c r="C372" t="s">
        <v>821</v>
      </c>
      <c r="D372" t="s">
        <v>822</v>
      </c>
      <c r="E372" s="9">
        <v>45413</v>
      </c>
      <c r="F372" s="9">
        <v>45443</v>
      </c>
      <c r="G372">
        <v>26451118.720000003</v>
      </c>
      <c r="H372">
        <v>0</v>
      </c>
      <c r="I372">
        <v>5211678.284</v>
      </c>
      <c r="J372">
        <v>0</v>
      </c>
      <c r="K372">
        <v>0</v>
      </c>
      <c r="L372">
        <v>706909.14</v>
      </c>
      <c r="M372">
        <v>0</v>
      </c>
      <c r="T372" s="9">
        <v>45108</v>
      </c>
      <c r="U372" s="9">
        <v>45473</v>
      </c>
      <c r="V372">
        <f>SUM(POTABLE_NONPOTABLE_API[[#This Row],[RESIDENTIAL_SINGLEFAMILY_GAL]:[OTHER_GAL]])</f>
        <v>32369706.144000001</v>
      </c>
      <c r="W372">
        <f>SUM(POTABLE_NONPOTABLE_API[[#This Row],[NONPOTABLE_DEMAND_RESIDENTIAL_RECYCLED_WATER_GAL]:[NONPOTABLE_DEMAND_NONRESIDENTIAL_METERED_IRRIGATION_GAL]])</f>
        <v>0</v>
      </c>
      <c r="X372" t="str">
        <f>IFERROR(INDEX(Crosswalk_API!$H$2:$H$527, MATCH(POTABLE_NONPOTABLE_API[[#This Row],[PWSID]], CW_PWSID_LIST, 0)), "")</f>
        <v>No</v>
      </c>
    </row>
    <row r="373" spans="1:24" x14ac:dyDescent="0.25">
      <c r="A373" t="s">
        <v>819</v>
      </c>
      <c r="B373" t="s">
        <v>820</v>
      </c>
      <c r="C373" t="s">
        <v>821</v>
      </c>
      <c r="D373" t="s">
        <v>822</v>
      </c>
      <c r="E373" s="9">
        <v>45444</v>
      </c>
      <c r="F373" s="9">
        <v>45473</v>
      </c>
      <c r="G373">
        <v>25475658.912</v>
      </c>
      <c r="H373">
        <v>0</v>
      </c>
      <c r="I373">
        <v>5683699.0959999999</v>
      </c>
      <c r="J373">
        <v>0</v>
      </c>
      <c r="K373">
        <v>0</v>
      </c>
      <c r="L373">
        <v>798171.48400000005</v>
      </c>
      <c r="M373">
        <v>0</v>
      </c>
      <c r="T373" s="9">
        <v>45108</v>
      </c>
      <c r="U373" s="9">
        <v>45473</v>
      </c>
      <c r="V373">
        <f>SUM(POTABLE_NONPOTABLE_API[[#This Row],[RESIDENTIAL_SINGLEFAMILY_GAL]:[OTHER_GAL]])</f>
        <v>31957529.492000002</v>
      </c>
      <c r="W373">
        <f>SUM(POTABLE_NONPOTABLE_API[[#This Row],[NONPOTABLE_DEMAND_RESIDENTIAL_RECYCLED_WATER_GAL]:[NONPOTABLE_DEMAND_NONRESIDENTIAL_METERED_IRRIGATION_GAL]])</f>
        <v>0</v>
      </c>
      <c r="X373" t="str">
        <f>IFERROR(INDEX(Crosswalk_API!$H$2:$H$527, MATCH(POTABLE_NONPOTABLE_API[[#This Row],[PWSID]], CW_PWSID_LIST, 0)), "")</f>
        <v>No</v>
      </c>
    </row>
    <row r="374" spans="1:24" x14ac:dyDescent="0.25">
      <c r="A374" t="s">
        <v>823</v>
      </c>
      <c r="B374" t="s">
        <v>824</v>
      </c>
      <c r="C374" t="s">
        <v>825</v>
      </c>
      <c r="D374" t="s">
        <v>826</v>
      </c>
      <c r="E374" s="9">
        <v>45108</v>
      </c>
      <c r="F374" s="9">
        <v>45138</v>
      </c>
      <c r="G374">
        <v>689703.94400000002</v>
      </c>
      <c r="H374">
        <v>1481.1429600000001</v>
      </c>
      <c r="I374">
        <v>0</v>
      </c>
      <c r="J374">
        <v>0</v>
      </c>
      <c r="K374">
        <v>0</v>
      </c>
      <c r="L374">
        <v>0</v>
      </c>
      <c r="M374">
        <v>0</v>
      </c>
      <c r="T374" s="9">
        <v>45108</v>
      </c>
      <c r="U374" s="9">
        <v>45473</v>
      </c>
      <c r="V374">
        <f>SUM(POTABLE_NONPOTABLE_API[[#This Row],[RESIDENTIAL_SINGLEFAMILY_GAL]:[OTHER_GAL]])</f>
        <v>691185.08695999999</v>
      </c>
      <c r="W374">
        <f>SUM(POTABLE_NONPOTABLE_API[[#This Row],[NONPOTABLE_DEMAND_RESIDENTIAL_RECYCLED_WATER_GAL]:[NONPOTABLE_DEMAND_NONRESIDENTIAL_METERED_IRRIGATION_GAL]])</f>
        <v>0</v>
      </c>
      <c r="X374" t="str">
        <f>IFERROR(INDEX(Crosswalk_API!$H$2:$H$527, MATCH(POTABLE_NONPOTABLE_API[[#This Row],[PWSID]], CW_PWSID_LIST, 0)), "")</f>
        <v>No</v>
      </c>
    </row>
    <row r="375" spans="1:24" x14ac:dyDescent="0.25">
      <c r="A375" t="s">
        <v>823</v>
      </c>
      <c r="B375" t="s">
        <v>824</v>
      </c>
      <c r="C375" t="s">
        <v>825</v>
      </c>
      <c r="D375" t="s">
        <v>826</v>
      </c>
      <c r="E375" s="9">
        <v>45139</v>
      </c>
      <c r="F375" s="9">
        <v>45169</v>
      </c>
      <c r="G375">
        <v>521227.67</v>
      </c>
      <c r="H375">
        <v>4241.45</v>
      </c>
      <c r="I375">
        <v>0</v>
      </c>
      <c r="J375">
        <v>0</v>
      </c>
      <c r="K375">
        <v>0</v>
      </c>
      <c r="L375">
        <v>0</v>
      </c>
      <c r="M375">
        <v>0</v>
      </c>
      <c r="T375" s="9">
        <v>45108</v>
      </c>
      <c r="U375" s="9">
        <v>45473</v>
      </c>
      <c r="V375">
        <f>SUM(POTABLE_NONPOTABLE_API[[#This Row],[RESIDENTIAL_SINGLEFAMILY_GAL]:[OTHER_GAL]])</f>
        <v>525469.12</v>
      </c>
      <c r="W375">
        <f>SUM(POTABLE_NONPOTABLE_API[[#This Row],[NONPOTABLE_DEMAND_RESIDENTIAL_RECYCLED_WATER_GAL]:[NONPOTABLE_DEMAND_NONRESIDENTIAL_METERED_IRRIGATION_GAL]])</f>
        <v>0</v>
      </c>
      <c r="X375" t="str">
        <f>IFERROR(INDEX(Crosswalk_API!$H$2:$H$527, MATCH(POTABLE_NONPOTABLE_API[[#This Row],[PWSID]], CW_PWSID_LIST, 0)), "")</f>
        <v>No</v>
      </c>
    </row>
    <row r="376" spans="1:24" x14ac:dyDescent="0.25">
      <c r="A376" t="s">
        <v>823</v>
      </c>
      <c r="B376" t="s">
        <v>824</v>
      </c>
      <c r="C376" t="s">
        <v>825</v>
      </c>
      <c r="D376" t="s">
        <v>826</v>
      </c>
      <c r="E376" s="9">
        <v>45170</v>
      </c>
      <c r="F376" s="9">
        <v>45199</v>
      </c>
      <c r="G376">
        <v>461121</v>
      </c>
      <c r="H376">
        <v>7368.3</v>
      </c>
      <c r="I376">
        <v>0</v>
      </c>
      <c r="J376">
        <v>0</v>
      </c>
      <c r="K376">
        <v>0</v>
      </c>
      <c r="L376">
        <v>0</v>
      </c>
      <c r="M376">
        <v>0</v>
      </c>
      <c r="T376" s="9">
        <v>45108</v>
      </c>
      <c r="U376" s="9">
        <v>45473</v>
      </c>
      <c r="V376">
        <f>SUM(POTABLE_NONPOTABLE_API[[#This Row],[RESIDENTIAL_SINGLEFAMILY_GAL]:[OTHER_GAL]])</f>
        <v>468489.3</v>
      </c>
      <c r="W376">
        <f>SUM(POTABLE_NONPOTABLE_API[[#This Row],[NONPOTABLE_DEMAND_RESIDENTIAL_RECYCLED_WATER_GAL]:[NONPOTABLE_DEMAND_NONRESIDENTIAL_METERED_IRRIGATION_GAL]])</f>
        <v>0</v>
      </c>
      <c r="X376" t="str">
        <f>IFERROR(INDEX(Crosswalk_API!$H$2:$H$527, MATCH(POTABLE_NONPOTABLE_API[[#This Row],[PWSID]], CW_PWSID_LIST, 0)), "")</f>
        <v>No</v>
      </c>
    </row>
    <row r="377" spans="1:24" x14ac:dyDescent="0.25">
      <c r="A377" t="s">
        <v>823</v>
      </c>
      <c r="B377" t="s">
        <v>824</v>
      </c>
      <c r="C377" t="s">
        <v>825</v>
      </c>
      <c r="D377" t="s">
        <v>826</v>
      </c>
      <c r="E377" s="9">
        <v>45200</v>
      </c>
      <c r="F377" s="9">
        <v>45230</v>
      </c>
      <c r="G377">
        <v>389218.93609999999</v>
      </c>
      <c r="H377">
        <v>1728</v>
      </c>
      <c r="I377">
        <v>0</v>
      </c>
      <c r="J377">
        <v>0</v>
      </c>
      <c r="K377">
        <v>0</v>
      </c>
      <c r="L377">
        <v>0</v>
      </c>
      <c r="M377">
        <v>0</v>
      </c>
      <c r="T377" s="9">
        <v>45108</v>
      </c>
      <c r="U377" s="9">
        <v>45473</v>
      </c>
      <c r="V377">
        <f>SUM(POTABLE_NONPOTABLE_API[[#This Row],[RESIDENTIAL_SINGLEFAMILY_GAL]:[OTHER_GAL]])</f>
        <v>390946.93609999999</v>
      </c>
      <c r="W377">
        <f>SUM(POTABLE_NONPOTABLE_API[[#This Row],[NONPOTABLE_DEMAND_RESIDENTIAL_RECYCLED_WATER_GAL]:[NONPOTABLE_DEMAND_NONRESIDENTIAL_METERED_IRRIGATION_GAL]])</f>
        <v>0</v>
      </c>
      <c r="X377" t="str">
        <f>IFERROR(INDEX(Crosswalk_API!$H$2:$H$527, MATCH(POTABLE_NONPOTABLE_API[[#This Row],[PWSID]], CW_PWSID_LIST, 0)), "")</f>
        <v>No</v>
      </c>
    </row>
    <row r="378" spans="1:24" x14ac:dyDescent="0.25">
      <c r="A378" t="s">
        <v>823</v>
      </c>
      <c r="B378" t="s">
        <v>824</v>
      </c>
      <c r="C378" t="s">
        <v>825</v>
      </c>
      <c r="D378" t="s">
        <v>826</v>
      </c>
      <c r="E378" s="9">
        <v>45231</v>
      </c>
      <c r="F378" s="9">
        <v>45260</v>
      </c>
      <c r="G378">
        <v>328379.86700000003</v>
      </c>
      <c r="H378">
        <v>44389.405680000003</v>
      </c>
      <c r="I378">
        <v>0</v>
      </c>
      <c r="J378">
        <v>0</v>
      </c>
      <c r="K378">
        <v>0</v>
      </c>
      <c r="L378">
        <v>0</v>
      </c>
      <c r="M378">
        <v>0</v>
      </c>
      <c r="T378" s="9">
        <v>45108</v>
      </c>
      <c r="U378" s="9">
        <v>45473</v>
      </c>
      <c r="V378">
        <f>SUM(POTABLE_NONPOTABLE_API[[#This Row],[RESIDENTIAL_SINGLEFAMILY_GAL]:[OTHER_GAL]])</f>
        <v>372769.27268000005</v>
      </c>
      <c r="W378">
        <f>SUM(POTABLE_NONPOTABLE_API[[#This Row],[NONPOTABLE_DEMAND_RESIDENTIAL_RECYCLED_WATER_GAL]:[NONPOTABLE_DEMAND_NONRESIDENTIAL_METERED_IRRIGATION_GAL]])</f>
        <v>0</v>
      </c>
      <c r="X378" t="str">
        <f>IFERROR(INDEX(Crosswalk_API!$H$2:$H$527, MATCH(POTABLE_NONPOTABLE_API[[#This Row],[PWSID]], CW_PWSID_LIST, 0)), "")</f>
        <v>No</v>
      </c>
    </row>
    <row r="379" spans="1:24" x14ac:dyDescent="0.25">
      <c r="A379" t="s">
        <v>823</v>
      </c>
      <c r="B379" t="s">
        <v>824</v>
      </c>
      <c r="C379" t="s">
        <v>825</v>
      </c>
      <c r="D379" t="s">
        <v>826</v>
      </c>
      <c r="E379" s="9">
        <v>45261</v>
      </c>
      <c r="F379" s="9">
        <v>45291</v>
      </c>
      <c r="G379">
        <v>351591.9</v>
      </c>
      <c r="H379">
        <v>4465.87</v>
      </c>
      <c r="I379">
        <v>0</v>
      </c>
      <c r="J379">
        <v>0</v>
      </c>
      <c r="K379">
        <v>0</v>
      </c>
      <c r="L379">
        <v>0</v>
      </c>
      <c r="M379">
        <v>0</v>
      </c>
      <c r="T379" s="9">
        <v>45108</v>
      </c>
      <c r="U379" s="9">
        <v>45473</v>
      </c>
      <c r="V379">
        <f>SUM(POTABLE_NONPOTABLE_API[[#This Row],[RESIDENTIAL_SINGLEFAMILY_GAL]:[OTHER_GAL]])</f>
        <v>356057.77</v>
      </c>
      <c r="W379">
        <f>SUM(POTABLE_NONPOTABLE_API[[#This Row],[NONPOTABLE_DEMAND_RESIDENTIAL_RECYCLED_WATER_GAL]:[NONPOTABLE_DEMAND_NONRESIDENTIAL_METERED_IRRIGATION_GAL]])</f>
        <v>0</v>
      </c>
      <c r="X379" t="str">
        <f>IFERROR(INDEX(Crosswalk_API!$H$2:$H$527, MATCH(POTABLE_NONPOTABLE_API[[#This Row],[PWSID]], CW_PWSID_LIST, 0)), "")</f>
        <v>No</v>
      </c>
    </row>
    <row r="380" spans="1:24" x14ac:dyDescent="0.25">
      <c r="A380" t="s">
        <v>823</v>
      </c>
      <c r="B380" t="s">
        <v>824</v>
      </c>
      <c r="C380" t="s">
        <v>825</v>
      </c>
      <c r="D380" t="s">
        <v>826</v>
      </c>
      <c r="E380" s="9">
        <v>45292</v>
      </c>
      <c r="F380" s="9">
        <v>45322</v>
      </c>
      <c r="G380">
        <v>383152.23440000002</v>
      </c>
      <c r="H380">
        <v>4271.3769199999997</v>
      </c>
      <c r="I380">
        <v>0</v>
      </c>
      <c r="J380">
        <v>0</v>
      </c>
      <c r="K380">
        <v>0</v>
      </c>
      <c r="L380">
        <v>0</v>
      </c>
      <c r="M380">
        <v>0</v>
      </c>
      <c r="T380" s="9">
        <v>45108</v>
      </c>
      <c r="U380" s="9">
        <v>45473</v>
      </c>
      <c r="V380">
        <f>SUM(POTABLE_NONPOTABLE_API[[#This Row],[RESIDENTIAL_SINGLEFAMILY_GAL]:[OTHER_GAL]])</f>
        <v>387423.61132000003</v>
      </c>
      <c r="W380">
        <f>SUM(POTABLE_NONPOTABLE_API[[#This Row],[NONPOTABLE_DEMAND_RESIDENTIAL_RECYCLED_WATER_GAL]:[NONPOTABLE_DEMAND_NONRESIDENTIAL_METERED_IRRIGATION_GAL]])</f>
        <v>0</v>
      </c>
      <c r="X380" t="str">
        <f>IFERROR(INDEX(Crosswalk_API!$H$2:$H$527, MATCH(POTABLE_NONPOTABLE_API[[#This Row],[PWSID]], CW_PWSID_LIST, 0)), "")</f>
        <v>No</v>
      </c>
    </row>
    <row r="381" spans="1:24" x14ac:dyDescent="0.25">
      <c r="A381" t="s">
        <v>823</v>
      </c>
      <c r="B381" t="s">
        <v>824</v>
      </c>
      <c r="C381" t="s">
        <v>825</v>
      </c>
      <c r="D381" t="s">
        <v>826</v>
      </c>
      <c r="E381" s="9">
        <v>45323</v>
      </c>
      <c r="F381" s="9">
        <v>45351</v>
      </c>
      <c r="G381">
        <v>313396.38540000003</v>
      </c>
      <c r="H381">
        <v>6178.9095200000002</v>
      </c>
      <c r="I381">
        <v>0</v>
      </c>
      <c r="J381">
        <v>0</v>
      </c>
      <c r="K381">
        <v>0</v>
      </c>
      <c r="L381">
        <v>0</v>
      </c>
      <c r="M381">
        <v>0</v>
      </c>
      <c r="T381" s="9">
        <v>45108</v>
      </c>
      <c r="U381" s="9">
        <v>45473</v>
      </c>
      <c r="V381">
        <f>SUM(POTABLE_NONPOTABLE_API[[#This Row],[RESIDENTIAL_SINGLEFAMILY_GAL]:[OTHER_GAL]])</f>
        <v>319575.29492000001</v>
      </c>
      <c r="W381">
        <f>SUM(POTABLE_NONPOTABLE_API[[#This Row],[NONPOTABLE_DEMAND_RESIDENTIAL_RECYCLED_WATER_GAL]:[NONPOTABLE_DEMAND_NONRESIDENTIAL_METERED_IRRIGATION_GAL]])</f>
        <v>0</v>
      </c>
      <c r="X381" t="str">
        <f>IFERROR(INDEX(Crosswalk_API!$H$2:$H$527, MATCH(POTABLE_NONPOTABLE_API[[#This Row],[PWSID]], CW_PWSID_LIST, 0)), "")</f>
        <v>No</v>
      </c>
    </row>
    <row r="382" spans="1:24" x14ac:dyDescent="0.25">
      <c r="A382" t="s">
        <v>823</v>
      </c>
      <c r="B382" t="s">
        <v>824</v>
      </c>
      <c r="C382" t="s">
        <v>825</v>
      </c>
      <c r="D382" t="s">
        <v>826</v>
      </c>
      <c r="E382" s="9">
        <v>45352</v>
      </c>
      <c r="F382" s="9">
        <v>45382</v>
      </c>
      <c r="G382">
        <v>312797.94380000001</v>
      </c>
      <c r="H382">
        <v>2416.2079600000002</v>
      </c>
      <c r="I382">
        <v>0</v>
      </c>
      <c r="J382">
        <v>0</v>
      </c>
      <c r="K382">
        <v>0</v>
      </c>
      <c r="L382">
        <v>0</v>
      </c>
      <c r="M382">
        <v>0</v>
      </c>
      <c r="T382" s="9">
        <v>45108</v>
      </c>
      <c r="U382" s="9">
        <v>45473</v>
      </c>
      <c r="V382">
        <f>SUM(POTABLE_NONPOTABLE_API[[#This Row],[RESIDENTIAL_SINGLEFAMILY_GAL]:[OTHER_GAL]])</f>
        <v>315214.15176000004</v>
      </c>
      <c r="W382">
        <f>SUM(POTABLE_NONPOTABLE_API[[#This Row],[NONPOTABLE_DEMAND_RESIDENTIAL_RECYCLED_WATER_GAL]:[NONPOTABLE_DEMAND_NONRESIDENTIAL_METERED_IRRIGATION_GAL]])</f>
        <v>0</v>
      </c>
      <c r="X382" t="str">
        <f>IFERROR(INDEX(Crosswalk_API!$H$2:$H$527, MATCH(POTABLE_NONPOTABLE_API[[#This Row],[PWSID]], CW_PWSID_LIST, 0)), "")</f>
        <v>No</v>
      </c>
    </row>
    <row r="383" spans="1:24" x14ac:dyDescent="0.25">
      <c r="A383" t="s">
        <v>823</v>
      </c>
      <c r="B383" t="s">
        <v>824</v>
      </c>
      <c r="C383" t="s">
        <v>825</v>
      </c>
      <c r="D383" t="s">
        <v>826</v>
      </c>
      <c r="E383" s="9">
        <v>45383</v>
      </c>
      <c r="F383" s="9">
        <v>45412</v>
      </c>
      <c r="G383">
        <v>336384.02340000001</v>
      </c>
      <c r="H383">
        <v>1256.7273600000001</v>
      </c>
      <c r="I383">
        <v>0</v>
      </c>
      <c r="J383">
        <v>0</v>
      </c>
      <c r="K383">
        <v>0</v>
      </c>
      <c r="L383">
        <v>0</v>
      </c>
      <c r="M383">
        <v>0</v>
      </c>
      <c r="T383" s="9">
        <v>45108</v>
      </c>
      <c r="U383" s="9">
        <v>45473</v>
      </c>
      <c r="V383">
        <f>SUM(POTABLE_NONPOTABLE_API[[#This Row],[RESIDENTIAL_SINGLEFAMILY_GAL]:[OTHER_GAL]])</f>
        <v>337640.75076000002</v>
      </c>
      <c r="W383">
        <f>SUM(POTABLE_NONPOTABLE_API[[#This Row],[NONPOTABLE_DEMAND_RESIDENTIAL_RECYCLED_WATER_GAL]:[NONPOTABLE_DEMAND_NONRESIDENTIAL_METERED_IRRIGATION_GAL]])</f>
        <v>0</v>
      </c>
      <c r="X383" t="str">
        <f>IFERROR(INDEX(Crosswalk_API!$H$2:$H$527, MATCH(POTABLE_NONPOTABLE_API[[#This Row],[PWSID]], CW_PWSID_LIST, 0)), "")</f>
        <v>No</v>
      </c>
    </row>
    <row r="384" spans="1:24" x14ac:dyDescent="0.25">
      <c r="A384" t="s">
        <v>823</v>
      </c>
      <c r="B384" t="s">
        <v>824</v>
      </c>
      <c r="C384" t="s">
        <v>825</v>
      </c>
      <c r="D384" t="s">
        <v>826</v>
      </c>
      <c r="E384" s="9">
        <v>45413</v>
      </c>
      <c r="F384" s="9">
        <v>45443</v>
      </c>
      <c r="G384">
        <v>556775</v>
      </c>
      <c r="H384">
        <v>3254</v>
      </c>
      <c r="I384">
        <v>0</v>
      </c>
      <c r="J384">
        <v>0</v>
      </c>
      <c r="K384">
        <v>0</v>
      </c>
      <c r="L384">
        <v>0</v>
      </c>
      <c r="M384">
        <v>0</v>
      </c>
      <c r="T384" s="9">
        <v>45108</v>
      </c>
      <c r="U384" s="9">
        <v>45473</v>
      </c>
      <c r="V384">
        <f>SUM(POTABLE_NONPOTABLE_API[[#This Row],[RESIDENTIAL_SINGLEFAMILY_GAL]:[OTHER_GAL]])</f>
        <v>560029</v>
      </c>
      <c r="W384">
        <f>SUM(POTABLE_NONPOTABLE_API[[#This Row],[NONPOTABLE_DEMAND_RESIDENTIAL_RECYCLED_WATER_GAL]:[NONPOTABLE_DEMAND_NONRESIDENTIAL_METERED_IRRIGATION_GAL]])</f>
        <v>0</v>
      </c>
      <c r="X384" t="str">
        <f>IFERROR(INDEX(Crosswalk_API!$H$2:$H$527, MATCH(POTABLE_NONPOTABLE_API[[#This Row],[PWSID]], CW_PWSID_LIST, 0)), "")</f>
        <v>No</v>
      </c>
    </row>
    <row r="385" spans="1:24" x14ac:dyDescent="0.25">
      <c r="A385" t="s">
        <v>823</v>
      </c>
      <c r="B385" t="s">
        <v>824</v>
      </c>
      <c r="C385" t="s">
        <v>825</v>
      </c>
      <c r="D385" t="s">
        <v>826</v>
      </c>
      <c r="E385" s="9">
        <v>45444</v>
      </c>
      <c r="F385" s="9">
        <v>45473</v>
      </c>
      <c r="G385">
        <v>639547</v>
      </c>
      <c r="H385">
        <v>1683</v>
      </c>
      <c r="I385">
        <v>0</v>
      </c>
      <c r="J385">
        <v>0</v>
      </c>
      <c r="K385">
        <v>0</v>
      </c>
      <c r="L385">
        <v>0</v>
      </c>
      <c r="M385">
        <v>0</v>
      </c>
      <c r="T385" s="9">
        <v>45108</v>
      </c>
      <c r="U385" s="9">
        <v>45473</v>
      </c>
      <c r="V385">
        <f>SUM(POTABLE_NONPOTABLE_API[[#This Row],[RESIDENTIAL_SINGLEFAMILY_GAL]:[OTHER_GAL]])</f>
        <v>641230</v>
      </c>
      <c r="W385">
        <f>SUM(POTABLE_NONPOTABLE_API[[#This Row],[NONPOTABLE_DEMAND_RESIDENTIAL_RECYCLED_WATER_GAL]:[NONPOTABLE_DEMAND_NONRESIDENTIAL_METERED_IRRIGATION_GAL]])</f>
        <v>0</v>
      </c>
      <c r="X385" t="str">
        <f>IFERROR(INDEX(Crosswalk_API!$H$2:$H$527, MATCH(POTABLE_NONPOTABLE_API[[#This Row],[PWSID]], CW_PWSID_LIST, 0)), "")</f>
        <v>No</v>
      </c>
    </row>
    <row r="386" spans="1:24" x14ac:dyDescent="0.25">
      <c r="A386" t="s">
        <v>823</v>
      </c>
      <c r="B386" t="s">
        <v>824</v>
      </c>
      <c r="C386" t="s">
        <v>829</v>
      </c>
      <c r="D386" t="s">
        <v>830</v>
      </c>
      <c r="E386" s="9">
        <v>45108</v>
      </c>
      <c r="F386" s="9">
        <v>45138</v>
      </c>
      <c r="G386">
        <v>1838711.8160000001</v>
      </c>
      <c r="H386">
        <v>60592.212</v>
      </c>
      <c r="I386">
        <v>191501.31200000001</v>
      </c>
      <c r="J386">
        <v>0</v>
      </c>
      <c r="K386">
        <v>0</v>
      </c>
      <c r="L386">
        <v>0</v>
      </c>
      <c r="M386">
        <v>0</v>
      </c>
      <c r="T386" s="9">
        <v>45108</v>
      </c>
      <c r="U386" s="9">
        <v>45473</v>
      </c>
      <c r="V386">
        <f>SUM(POTABLE_NONPOTABLE_API[[#This Row],[RESIDENTIAL_SINGLEFAMILY_GAL]:[OTHER_GAL]])</f>
        <v>2090805.34</v>
      </c>
      <c r="W386">
        <f>SUM(POTABLE_NONPOTABLE_API[[#This Row],[NONPOTABLE_DEMAND_RESIDENTIAL_RECYCLED_WATER_GAL]:[NONPOTABLE_DEMAND_NONRESIDENTIAL_METERED_IRRIGATION_GAL]])</f>
        <v>0</v>
      </c>
      <c r="X386" t="str">
        <f>IFERROR(INDEX(Crosswalk_API!$H$2:$H$527, MATCH(POTABLE_NONPOTABLE_API[[#This Row],[PWSID]], CW_PWSID_LIST, 0)), "")</f>
        <v>No</v>
      </c>
    </row>
    <row r="387" spans="1:24" x14ac:dyDescent="0.25">
      <c r="A387" t="s">
        <v>823</v>
      </c>
      <c r="B387" t="s">
        <v>824</v>
      </c>
      <c r="C387" t="s">
        <v>829</v>
      </c>
      <c r="D387" t="s">
        <v>830</v>
      </c>
      <c r="E387" s="9">
        <v>45139</v>
      </c>
      <c r="F387" s="9">
        <v>45169</v>
      </c>
      <c r="G387">
        <v>1643668</v>
      </c>
      <c r="H387">
        <v>78852.160000000003</v>
      </c>
      <c r="I387">
        <v>66210.080000000002</v>
      </c>
      <c r="J387">
        <v>60741.82</v>
      </c>
      <c r="K387">
        <v>0</v>
      </c>
      <c r="L387">
        <v>0</v>
      </c>
      <c r="M387">
        <v>0</v>
      </c>
      <c r="T387" s="9">
        <v>45108</v>
      </c>
      <c r="U387" s="9">
        <v>45473</v>
      </c>
      <c r="V387">
        <f>SUM(POTABLE_NONPOTABLE_API[[#This Row],[RESIDENTIAL_SINGLEFAMILY_GAL]:[OTHER_GAL]])</f>
        <v>1849472.06</v>
      </c>
      <c r="W387">
        <f>SUM(POTABLE_NONPOTABLE_API[[#This Row],[NONPOTABLE_DEMAND_RESIDENTIAL_RECYCLED_WATER_GAL]:[NONPOTABLE_DEMAND_NONRESIDENTIAL_METERED_IRRIGATION_GAL]])</f>
        <v>0</v>
      </c>
      <c r="X387" t="str">
        <f>IFERROR(INDEX(Crosswalk_API!$H$2:$H$527, MATCH(POTABLE_NONPOTABLE_API[[#This Row],[PWSID]], CW_PWSID_LIST, 0)), "")</f>
        <v>No</v>
      </c>
    </row>
    <row r="388" spans="1:24" x14ac:dyDescent="0.25">
      <c r="A388" t="s">
        <v>823</v>
      </c>
      <c r="B388" t="s">
        <v>824</v>
      </c>
      <c r="C388" t="s">
        <v>829</v>
      </c>
      <c r="D388" t="s">
        <v>830</v>
      </c>
      <c r="E388" s="9">
        <v>45170</v>
      </c>
      <c r="F388" s="9">
        <v>45199</v>
      </c>
      <c r="G388">
        <v>1552148.0560000001</v>
      </c>
      <c r="H388">
        <v>68477</v>
      </c>
      <c r="I388">
        <v>58191</v>
      </c>
      <c r="J388">
        <v>40065.665119999998</v>
      </c>
      <c r="K388">
        <v>0</v>
      </c>
      <c r="L388">
        <v>0</v>
      </c>
      <c r="M388">
        <v>0</v>
      </c>
      <c r="T388" s="9">
        <v>45108</v>
      </c>
      <c r="U388" s="9">
        <v>45473</v>
      </c>
      <c r="V388">
        <f>SUM(POTABLE_NONPOTABLE_API[[#This Row],[RESIDENTIAL_SINGLEFAMILY_GAL]:[OTHER_GAL]])</f>
        <v>1718881.7211200001</v>
      </c>
      <c r="W388">
        <f>SUM(POTABLE_NONPOTABLE_API[[#This Row],[NONPOTABLE_DEMAND_RESIDENTIAL_RECYCLED_WATER_GAL]:[NONPOTABLE_DEMAND_NONRESIDENTIAL_METERED_IRRIGATION_GAL]])</f>
        <v>0</v>
      </c>
      <c r="X388" t="str">
        <f>IFERROR(INDEX(Crosswalk_API!$H$2:$H$527, MATCH(POTABLE_NONPOTABLE_API[[#This Row],[PWSID]], CW_PWSID_LIST, 0)), "")</f>
        <v>No</v>
      </c>
    </row>
    <row r="389" spans="1:24" x14ac:dyDescent="0.25">
      <c r="A389" t="s">
        <v>823</v>
      </c>
      <c r="B389" t="s">
        <v>824</v>
      </c>
      <c r="C389" t="s">
        <v>829</v>
      </c>
      <c r="D389" t="s">
        <v>830</v>
      </c>
      <c r="E389" s="9">
        <v>45200</v>
      </c>
      <c r="F389" s="9">
        <v>45230</v>
      </c>
      <c r="G389">
        <v>1284592.297</v>
      </c>
      <c r="H389">
        <v>76578.083240000007</v>
      </c>
      <c r="I389">
        <v>47643.431879999996</v>
      </c>
      <c r="J389">
        <v>20982.8586</v>
      </c>
      <c r="K389">
        <v>0</v>
      </c>
      <c r="L389">
        <v>0</v>
      </c>
      <c r="M389">
        <v>0</v>
      </c>
      <c r="T389" s="9">
        <v>45108</v>
      </c>
      <c r="U389" s="9">
        <v>45473</v>
      </c>
      <c r="V389">
        <f>SUM(POTABLE_NONPOTABLE_API[[#This Row],[RESIDENTIAL_SINGLEFAMILY_GAL]:[OTHER_GAL]])</f>
        <v>1429796.6707200001</v>
      </c>
      <c r="W389">
        <f>SUM(POTABLE_NONPOTABLE_API[[#This Row],[NONPOTABLE_DEMAND_RESIDENTIAL_RECYCLED_WATER_GAL]:[NONPOTABLE_DEMAND_NONRESIDENTIAL_METERED_IRRIGATION_GAL]])</f>
        <v>0</v>
      </c>
      <c r="X389" t="str">
        <f>IFERROR(INDEX(Crosswalk_API!$H$2:$H$527, MATCH(POTABLE_NONPOTABLE_API[[#This Row],[PWSID]], CW_PWSID_LIST, 0)), "")</f>
        <v>No</v>
      </c>
    </row>
    <row r="390" spans="1:24" x14ac:dyDescent="0.25">
      <c r="A390" t="s">
        <v>823</v>
      </c>
      <c r="B390" t="s">
        <v>824</v>
      </c>
      <c r="C390" t="s">
        <v>829</v>
      </c>
      <c r="D390" t="s">
        <v>830</v>
      </c>
      <c r="E390" s="9">
        <v>45231</v>
      </c>
      <c r="F390" s="9">
        <v>45260</v>
      </c>
      <c r="G390">
        <v>959825.52119999996</v>
      </c>
      <c r="H390">
        <v>67040.420240000007</v>
      </c>
      <c r="I390">
        <v>39482.184560000002</v>
      </c>
      <c r="J390">
        <v>142.12988000000001</v>
      </c>
      <c r="K390">
        <v>0</v>
      </c>
      <c r="L390">
        <v>0</v>
      </c>
      <c r="M390">
        <v>0</v>
      </c>
      <c r="T390" s="9">
        <v>45108</v>
      </c>
      <c r="U390" s="9">
        <v>45473</v>
      </c>
      <c r="V390">
        <f>SUM(POTABLE_NONPOTABLE_API[[#This Row],[RESIDENTIAL_SINGLEFAMILY_GAL]:[OTHER_GAL]])</f>
        <v>1066490.2558799998</v>
      </c>
      <c r="W390">
        <f>SUM(POTABLE_NONPOTABLE_API[[#This Row],[NONPOTABLE_DEMAND_RESIDENTIAL_RECYCLED_WATER_GAL]:[NONPOTABLE_DEMAND_NONRESIDENTIAL_METERED_IRRIGATION_GAL]])</f>
        <v>0</v>
      </c>
      <c r="X390" t="str">
        <f>IFERROR(INDEX(Crosswalk_API!$H$2:$H$527, MATCH(POTABLE_NONPOTABLE_API[[#This Row],[PWSID]], CW_PWSID_LIST, 0)), "")</f>
        <v>No</v>
      </c>
    </row>
    <row r="391" spans="1:24" x14ac:dyDescent="0.25">
      <c r="A391" t="s">
        <v>823</v>
      </c>
      <c r="B391" t="s">
        <v>824</v>
      </c>
      <c r="C391" t="s">
        <v>829</v>
      </c>
      <c r="D391" t="s">
        <v>830</v>
      </c>
      <c r="E391" s="9">
        <v>45261</v>
      </c>
      <c r="F391" s="9">
        <v>45291</v>
      </c>
      <c r="G391">
        <v>1078609</v>
      </c>
      <c r="H391">
        <v>82465</v>
      </c>
      <c r="I391">
        <v>46095</v>
      </c>
      <c r="J391">
        <v>75</v>
      </c>
      <c r="K391">
        <v>0</v>
      </c>
      <c r="L391">
        <v>0</v>
      </c>
      <c r="M391">
        <v>0</v>
      </c>
      <c r="T391" s="9">
        <v>45108</v>
      </c>
      <c r="U391" s="9">
        <v>45473</v>
      </c>
      <c r="V391">
        <f>SUM(POTABLE_NONPOTABLE_API[[#This Row],[RESIDENTIAL_SINGLEFAMILY_GAL]:[OTHER_GAL]])</f>
        <v>1207244</v>
      </c>
      <c r="W391">
        <f>SUM(POTABLE_NONPOTABLE_API[[#This Row],[NONPOTABLE_DEMAND_RESIDENTIAL_RECYCLED_WATER_GAL]:[NONPOTABLE_DEMAND_NONRESIDENTIAL_METERED_IRRIGATION_GAL]])</f>
        <v>0</v>
      </c>
      <c r="X391" t="str">
        <f>IFERROR(INDEX(Crosswalk_API!$H$2:$H$527, MATCH(POTABLE_NONPOTABLE_API[[#This Row],[PWSID]], CW_PWSID_LIST, 0)), "")</f>
        <v>No</v>
      </c>
    </row>
    <row r="392" spans="1:24" x14ac:dyDescent="0.25">
      <c r="A392" t="s">
        <v>823</v>
      </c>
      <c r="B392" t="s">
        <v>824</v>
      </c>
      <c r="C392" t="s">
        <v>829</v>
      </c>
      <c r="D392" t="s">
        <v>830</v>
      </c>
      <c r="E392" s="9">
        <v>45292</v>
      </c>
      <c r="F392" s="9">
        <v>45322</v>
      </c>
      <c r="G392">
        <v>911276.94640000002</v>
      </c>
      <c r="H392">
        <v>100867.3317</v>
      </c>
      <c r="I392">
        <v>41090</v>
      </c>
      <c r="J392">
        <v>112.20780000000001</v>
      </c>
      <c r="K392">
        <v>0</v>
      </c>
      <c r="L392">
        <v>0</v>
      </c>
      <c r="M392">
        <v>0</v>
      </c>
      <c r="T392" s="9">
        <v>45108</v>
      </c>
      <c r="U392" s="9">
        <v>45473</v>
      </c>
      <c r="V392">
        <f>SUM(POTABLE_NONPOTABLE_API[[#This Row],[RESIDENTIAL_SINGLEFAMILY_GAL]:[OTHER_GAL]])</f>
        <v>1053346.4859</v>
      </c>
      <c r="W392">
        <f>SUM(POTABLE_NONPOTABLE_API[[#This Row],[NONPOTABLE_DEMAND_RESIDENTIAL_RECYCLED_WATER_GAL]:[NONPOTABLE_DEMAND_NONRESIDENTIAL_METERED_IRRIGATION_GAL]])</f>
        <v>0</v>
      </c>
      <c r="X392" t="str">
        <f>IFERROR(INDEX(Crosswalk_API!$H$2:$H$527, MATCH(POTABLE_NONPOTABLE_API[[#This Row],[PWSID]], CW_PWSID_LIST, 0)), "")</f>
        <v>No</v>
      </c>
    </row>
    <row r="393" spans="1:24" x14ac:dyDescent="0.25">
      <c r="A393" t="s">
        <v>823</v>
      </c>
      <c r="B393" t="s">
        <v>824</v>
      </c>
      <c r="C393" t="s">
        <v>829</v>
      </c>
      <c r="D393" t="s">
        <v>830</v>
      </c>
      <c r="E393" s="9">
        <v>45323</v>
      </c>
      <c r="F393" s="9">
        <v>45351</v>
      </c>
      <c r="G393">
        <v>855128.16330000001</v>
      </c>
      <c r="H393">
        <v>98765.305559999993</v>
      </c>
      <c r="I393">
        <v>34276</v>
      </c>
      <c r="J393">
        <v>89.766239999999996</v>
      </c>
      <c r="K393">
        <v>0</v>
      </c>
      <c r="L393">
        <v>0</v>
      </c>
      <c r="M393">
        <v>0</v>
      </c>
      <c r="T393" s="9">
        <v>45108</v>
      </c>
      <c r="U393" s="9">
        <v>45473</v>
      </c>
      <c r="V393">
        <f>SUM(POTABLE_NONPOTABLE_API[[#This Row],[RESIDENTIAL_SINGLEFAMILY_GAL]:[OTHER_GAL]])</f>
        <v>988259.23510000005</v>
      </c>
      <c r="W393">
        <f>SUM(POTABLE_NONPOTABLE_API[[#This Row],[NONPOTABLE_DEMAND_RESIDENTIAL_RECYCLED_WATER_GAL]:[NONPOTABLE_DEMAND_NONRESIDENTIAL_METERED_IRRIGATION_GAL]])</f>
        <v>0</v>
      </c>
      <c r="X393" t="str">
        <f>IFERROR(INDEX(Crosswalk_API!$H$2:$H$527, MATCH(POTABLE_NONPOTABLE_API[[#This Row],[PWSID]], CW_PWSID_LIST, 0)), "")</f>
        <v>No</v>
      </c>
    </row>
    <row r="394" spans="1:24" x14ac:dyDescent="0.25">
      <c r="A394" t="s">
        <v>823</v>
      </c>
      <c r="B394" t="s">
        <v>824</v>
      </c>
      <c r="C394" t="s">
        <v>829</v>
      </c>
      <c r="D394" t="s">
        <v>830</v>
      </c>
      <c r="E394" s="9">
        <v>45352</v>
      </c>
      <c r="F394" s="9">
        <v>45382</v>
      </c>
      <c r="G394">
        <v>765055.22199999995</v>
      </c>
      <c r="H394">
        <v>90850.915399999998</v>
      </c>
      <c r="I394">
        <v>46947.743520000004</v>
      </c>
      <c r="J394">
        <v>89.766239999999996</v>
      </c>
      <c r="K394">
        <v>0</v>
      </c>
      <c r="L394">
        <v>0</v>
      </c>
      <c r="M394">
        <v>0</v>
      </c>
      <c r="T394" s="9">
        <v>45108</v>
      </c>
      <c r="U394" s="9">
        <v>45473</v>
      </c>
      <c r="V394">
        <f>SUM(POTABLE_NONPOTABLE_API[[#This Row],[RESIDENTIAL_SINGLEFAMILY_GAL]:[OTHER_GAL]])</f>
        <v>902943.64715999993</v>
      </c>
      <c r="W394">
        <f>SUM(POTABLE_NONPOTABLE_API[[#This Row],[NONPOTABLE_DEMAND_RESIDENTIAL_RECYCLED_WATER_GAL]:[NONPOTABLE_DEMAND_NONRESIDENTIAL_METERED_IRRIGATION_GAL]])</f>
        <v>0</v>
      </c>
      <c r="X394" t="str">
        <f>IFERROR(INDEX(Crosswalk_API!$H$2:$H$527, MATCH(POTABLE_NONPOTABLE_API[[#This Row],[PWSID]], CW_PWSID_LIST, 0)), "")</f>
        <v>No</v>
      </c>
    </row>
    <row r="395" spans="1:24" x14ac:dyDescent="0.25">
      <c r="A395" t="s">
        <v>823</v>
      </c>
      <c r="B395" t="s">
        <v>824</v>
      </c>
      <c r="C395" t="s">
        <v>829</v>
      </c>
      <c r="D395" t="s">
        <v>830</v>
      </c>
      <c r="E395" s="9">
        <v>45383</v>
      </c>
      <c r="F395" s="9">
        <v>45412</v>
      </c>
      <c r="G395">
        <v>717284.62120000005</v>
      </c>
      <c r="H395">
        <v>84440.109760000007</v>
      </c>
      <c r="I395">
        <v>38541.349499999997</v>
      </c>
      <c r="J395">
        <v>8318.3382399999991</v>
      </c>
      <c r="K395">
        <v>0</v>
      </c>
      <c r="L395">
        <v>0</v>
      </c>
      <c r="M395">
        <v>0</v>
      </c>
      <c r="T395" s="9">
        <v>45108</v>
      </c>
      <c r="U395" s="9">
        <v>45473</v>
      </c>
      <c r="V395">
        <f>SUM(POTABLE_NONPOTABLE_API[[#This Row],[RESIDENTIAL_SINGLEFAMILY_GAL]:[OTHER_GAL]])</f>
        <v>848584.41870000004</v>
      </c>
      <c r="W395">
        <f>SUM(POTABLE_NONPOTABLE_API[[#This Row],[NONPOTABLE_DEMAND_RESIDENTIAL_RECYCLED_WATER_GAL]:[NONPOTABLE_DEMAND_NONRESIDENTIAL_METERED_IRRIGATION_GAL]])</f>
        <v>0</v>
      </c>
      <c r="X395" t="str">
        <f>IFERROR(INDEX(Crosswalk_API!$H$2:$H$527, MATCH(POTABLE_NONPOTABLE_API[[#This Row],[PWSID]], CW_PWSID_LIST, 0)), "")</f>
        <v>No</v>
      </c>
    </row>
    <row r="396" spans="1:24" x14ac:dyDescent="0.25">
      <c r="A396" t="s">
        <v>823</v>
      </c>
      <c r="B396" t="s">
        <v>824</v>
      </c>
      <c r="C396" t="s">
        <v>829</v>
      </c>
      <c r="D396" t="s">
        <v>830</v>
      </c>
      <c r="E396" s="9">
        <v>45413</v>
      </c>
      <c r="F396" s="9">
        <v>45443</v>
      </c>
      <c r="G396">
        <v>1316025</v>
      </c>
      <c r="H396">
        <v>92332</v>
      </c>
      <c r="I396">
        <v>37918</v>
      </c>
      <c r="J396">
        <v>66659</v>
      </c>
      <c r="K396">
        <v>0</v>
      </c>
      <c r="L396">
        <v>0</v>
      </c>
      <c r="M396">
        <v>0</v>
      </c>
      <c r="T396" s="9">
        <v>45108</v>
      </c>
      <c r="U396" s="9">
        <v>45473</v>
      </c>
      <c r="V396">
        <f>SUM(POTABLE_NONPOTABLE_API[[#This Row],[RESIDENTIAL_SINGLEFAMILY_GAL]:[OTHER_GAL]])</f>
        <v>1512934</v>
      </c>
      <c r="W396">
        <f>SUM(POTABLE_NONPOTABLE_API[[#This Row],[NONPOTABLE_DEMAND_RESIDENTIAL_RECYCLED_WATER_GAL]:[NONPOTABLE_DEMAND_NONRESIDENTIAL_METERED_IRRIGATION_GAL]])</f>
        <v>0</v>
      </c>
      <c r="X396" t="str">
        <f>IFERROR(INDEX(Crosswalk_API!$H$2:$H$527, MATCH(POTABLE_NONPOTABLE_API[[#This Row],[PWSID]], CW_PWSID_LIST, 0)), "")</f>
        <v>No</v>
      </c>
    </row>
    <row r="397" spans="1:24" x14ac:dyDescent="0.25">
      <c r="A397" t="s">
        <v>823</v>
      </c>
      <c r="B397" t="s">
        <v>824</v>
      </c>
      <c r="C397" t="s">
        <v>829</v>
      </c>
      <c r="D397" t="s">
        <v>830</v>
      </c>
      <c r="E397" s="9">
        <v>45444</v>
      </c>
      <c r="F397" s="9">
        <v>45473</v>
      </c>
      <c r="G397">
        <v>1652148</v>
      </c>
      <c r="H397">
        <v>89168</v>
      </c>
      <c r="I397">
        <v>92736</v>
      </c>
      <c r="J397">
        <v>100538</v>
      </c>
      <c r="K397">
        <v>0</v>
      </c>
      <c r="L397">
        <v>0</v>
      </c>
      <c r="M397">
        <v>0</v>
      </c>
      <c r="T397" s="9">
        <v>45108</v>
      </c>
      <c r="U397" s="9">
        <v>45473</v>
      </c>
      <c r="V397">
        <f>SUM(POTABLE_NONPOTABLE_API[[#This Row],[RESIDENTIAL_SINGLEFAMILY_GAL]:[OTHER_GAL]])</f>
        <v>1934590</v>
      </c>
      <c r="W397">
        <f>SUM(POTABLE_NONPOTABLE_API[[#This Row],[NONPOTABLE_DEMAND_RESIDENTIAL_RECYCLED_WATER_GAL]:[NONPOTABLE_DEMAND_NONRESIDENTIAL_METERED_IRRIGATION_GAL]])</f>
        <v>0</v>
      </c>
      <c r="X397" t="str">
        <f>IFERROR(INDEX(Crosswalk_API!$H$2:$H$527, MATCH(POTABLE_NONPOTABLE_API[[#This Row],[PWSID]], CW_PWSID_LIST, 0)), "")</f>
        <v>No</v>
      </c>
    </row>
    <row r="398" spans="1:24" x14ac:dyDescent="0.25">
      <c r="A398" t="s">
        <v>823</v>
      </c>
      <c r="B398" t="s">
        <v>824</v>
      </c>
      <c r="C398" t="s">
        <v>831</v>
      </c>
      <c r="D398" t="s">
        <v>832</v>
      </c>
      <c r="E398" s="9">
        <v>45108</v>
      </c>
      <c r="F398" s="9">
        <v>45138</v>
      </c>
      <c r="G398">
        <v>42142257.472000003</v>
      </c>
      <c r="H398">
        <v>3402140.4960000003</v>
      </c>
      <c r="I398">
        <v>7880727.8200000003</v>
      </c>
      <c r="J398">
        <v>825101.35600000003</v>
      </c>
      <c r="K398">
        <v>0</v>
      </c>
      <c r="L398">
        <v>0</v>
      </c>
      <c r="M398">
        <v>0</v>
      </c>
      <c r="T398" s="9">
        <v>45108</v>
      </c>
      <c r="U398" s="9">
        <v>45473</v>
      </c>
      <c r="V398">
        <f>SUM(POTABLE_NONPOTABLE_API[[#This Row],[RESIDENTIAL_SINGLEFAMILY_GAL]:[OTHER_GAL]])</f>
        <v>54250227.144000001</v>
      </c>
      <c r="W398">
        <f>SUM(POTABLE_NONPOTABLE_API[[#This Row],[NONPOTABLE_DEMAND_RESIDENTIAL_RECYCLED_WATER_GAL]:[NONPOTABLE_DEMAND_NONRESIDENTIAL_METERED_IRRIGATION_GAL]])</f>
        <v>0</v>
      </c>
      <c r="X398" t="str">
        <f>IFERROR(INDEX(Crosswalk_API!$H$2:$H$527, MATCH(POTABLE_NONPOTABLE_API[[#This Row],[PWSID]], CW_PWSID_LIST, 0)), "")</f>
        <v>No</v>
      </c>
    </row>
    <row r="399" spans="1:24" x14ac:dyDescent="0.25">
      <c r="A399" t="s">
        <v>823</v>
      </c>
      <c r="B399" t="s">
        <v>824</v>
      </c>
      <c r="C399" t="s">
        <v>831</v>
      </c>
      <c r="D399" t="s">
        <v>832</v>
      </c>
      <c r="E399" s="9">
        <v>45139</v>
      </c>
      <c r="F399" s="9">
        <v>45169</v>
      </c>
      <c r="G399">
        <v>37261836.469999999</v>
      </c>
      <c r="H399">
        <v>3961653.47</v>
      </c>
      <c r="I399">
        <v>10107835.710000001</v>
      </c>
      <c r="J399">
        <v>4227271.7740000002</v>
      </c>
      <c r="K399">
        <v>0</v>
      </c>
      <c r="L399">
        <v>0</v>
      </c>
      <c r="M399">
        <v>0</v>
      </c>
      <c r="T399" s="9">
        <v>45108</v>
      </c>
      <c r="U399" s="9">
        <v>45473</v>
      </c>
      <c r="V399">
        <f>SUM(POTABLE_NONPOTABLE_API[[#This Row],[RESIDENTIAL_SINGLEFAMILY_GAL]:[OTHER_GAL]])</f>
        <v>55558597.423999995</v>
      </c>
      <c r="W399">
        <f>SUM(POTABLE_NONPOTABLE_API[[#This Row],[NONPOTABLE_DEMAND_RESIDENTIAL_RECYCLED_WATER_GAL]:[NONPOTABLE_DEMAND_NONRESIDENTIAL_METERED_IRRIGATION_GAL]])</f>
        <v>0</v>
      </c>
      <c r="X399" t="str">
        <f>IFERROR(INDEX(Crosswalk_API!$H$2:$H$527, MATCH(POTABLE_NONPOTABLE_API[[#This Row],[PWSID]], CW_PWSID_LIST, 0)), "")</f>
        <v>No</v>
      </c>
    </row>
    <row r="400" spans="1:24" x14ac:dyDescent="0.25">
      <c r="A400" t="s">
        <v>823</v>
      </c>
      <c r="B400" t="s">
        <v>824</v>
      </c>
      <c r="C400" t="s">
        <v>831</v>
      </c>
      <c r="D400" t="s">
        <v>832</v>
      </c>
      <c r="E400" s="9">
        <v>45170</v>
      </c>
      <c r="F400" s="9">
        <v>45199</v>
      </c>
      <c r="G400">
        <v>33446272.66</v>
      </c>
      <c r="H400">
        <v>3920562.9739999999</v>
      </c>
      <c r="I400">
        <v>9059223.9020000007</v>
      </c>
      <c r="J400">
        <v>3283791.1889999998</v>
      </c>
      <c r="K400">
        <v>0</v>
      </c>
      <c r="L400">
        <v>0</v>
      </c>
      <c r="M400">
        <v>0</v>
      </c>
      <c r="T400" s="9">
        <v>45108</v>
      </c>
      <c r="U400" s="9">
        <v>45473</v>
      </c>
      <c r="V400">
        <f>SUM(POTABLE_NONPOTABLE_API[[#This Row],[RESIDENTIAL_SINGLEFAMILY_GAL]:[OTHER_GAL]])</f>
        <v>49709850.725000009</v>
      </c>
      <c r="W400">
        <f>SUM(POTABLE_NONPOTABLE_API[[#This Row],[NONPOTABLE_DEMAND_RESIDENTIAL_RECYCLED_WATER_GAL]:[NONPOTABLE_DEMAND_NONRESIDENTIAL_METERED_IRRIGATION_GAL]])</f>
        <v>0</v>
      </c>
      <c r="X400" t="str">
        <f>IFERROR(INDEX(Crosswalk_API!$H$2:$H$527, MATCH(POTABLE_NONPOTABLE_API[[#This Row],[PWSID]], CW_PWSID_LIST, 0)), "")</f>
        <v>No</v>
      </c>
    </row>
    <row r="401" spans="1:24" x14ac:dyDescent="0.25">
      <c r="A401" t="s">
        <v>823</v>
      </c>
      <c r="B401" t="s">
        <v>824</v>
      </c>
      <c r="C401" t="s">
        <v>831</v>
      </c>
      <c r="D401" t="s">
        <v>832</v>
      </c>
      <c r="E401" s="9">
        <v>45200</v>
      </c>
      <c r="F401" s="9">
        <v>45230</v>
      </c>
      <c r="G401">
        <v>27996078</v>
      </c>
      <c r="H401">
        <v>3441525.4339999999</v>
      </c>
      <c r="I401">
        <v>9016106</v>
      </c>
      <c r="J401">
        <v>1844377.1669999999</v>
      </c>
      <c r="K401">
        <v>0</v>
      </c>
      <c r="L401">
        <v>0</v>
      </c>
      <c r="M401">
        <v>0</v>
      </c>
      <c r="T401" s="9">
        <v>45108</v>
      </c>
      <c r="U401" s="9">
        <v>45473</v>
      </c>
      <c r="V401">
        <f>SUM(POTABLE_NONPOTABLE_API[[#This Row],[RESIDENTIAL_SINGLEFAMILY_GAL]:[OTHER_GAL]])</f>
        <v>42298086.601000004</v>
      </c>
      <c r="W401">
        <f>SUM(POTABLE_NONPOTABLE_API[[#This Row],[NONPOTABLE_DEMAND_RESIDENTIAL_RECYCLED_WATER_GAL]:[NONPOTABLE_DEMAND_NONRESIDENTIAL_METERED_IRRIGATION_GAL]])</f>
        <v>0</v>
      </c>
      <c r="X401" t="str">
        <f>IFERROR(INDEX(Crosswalk_API!$H$2:$H$527, MATCH(POTABLE_NONPOTABLE_API[[#This Row],[PWSID]], CW_PWSID_LIST, 0)), "")</f>
        <v>No</v>
      </c>
    </row>
    <row r="402" spans="1:24" x14ac:dyDescent="0.25">
      <c r="A402" t="s">
        <v>823</v>
      </c>
      <c r="B402" t="s">
        <v>824</v>
      </c>
      <c r="C402" t="s">
        <v>831</v>
      </c>
      <c r="D402" t="s">
        <v>832</v>
      </c>
      <c r="E402" s="9">
        <v>45231</v>
      </c>
      <c r="F402" s="9">
        <v>45260</v>
      </c>
      <c r="G402">
        <v>22689643.969999999</v>
      </c>
      <c r="H402">
        <v>3010460.469</v>
      </c>
      <c r="I402">
        <v>7604659</v>
      </c>
      <c r="J402">
        <v>160210.29680000001</v>
      </c>
      <c r="K402">
        <v>0</v>
      </c>
      <c r="L402">
        <v>0</v>
      </c>
      <c r="M402">
        <v>0</v>
      </c>
      <c r="T402" s="9">
        <v>45108</v>
      </c>
      <c r="U402" s="9">
        <v>45473</v>
      </c>
      <c r="V402">
        <f>SUM(POTABLE_NONPOTABLE_API[[#This Row],[RESIDENTIAL_SINGLEFAMILY_GAL]:[OTHER_GAL]])</f>
        <v>33464973.735799998</v>
      </c>
      <c r="W402">
        <f>SUM(POTABLE_NONPOTABLE_API[[#This Row],[NONPOTABLE_DEMAND_RESIDENTIAL_RECYCLED_WATER_GAL]:[NONPOTABLE_DEMAND_NONRESIDENTIAL_METERED_IRRIGATION_GAL]])</f>
        <v>0</v>
      </c>
      <c r="X402" t="str">
        <f>IFERROR(INDEX(Crosswalk_API!$H$2:$H$527, MATCH(POTABLE_NONPOTABLE_API[[#This Row],[PWSID]], CW_PWSID_LIST, 0)), "")</f>
        <v>No</v>
      </c>
    </row>
    <row r="403" spans="1:24" x14ac:dyDescent="0.25">
      <c r="A403" t="s">
        <v>823</v>
      </c>
      <c r="B403" t="s">
        <v>824</v>
      </c>
      <c r="C403" t="s">
        <v>831</v>
      </c>
      <c r="D403" t="s">
        <v>832</v>
      </c>
      <c r="E403" s="9">
        <v>45261</v>
      </c>
      <c r="F403" s="9">
        <v>45291</v>
      </c>
      <c r="G403">
        <v>28015517.920000002</v>
      </c>
      <c r="H403">
        <v>3765992.73</v>
      </c>
      <c r="I403">
        <v>9515692.0519999992</v>
      </c>
      <c r="J403">
        <v>135389.92199999999</v>
      </c>
      <c r="K403">
        <v>0</v>
      </c>
      <c r="L403">
        <v>0</v>
      </c>
      <c r="M403">
        <v>0</v>
      </c>
      <c r="T403" s="9">
        <v>45108</v>
      </c>
      <c r="U403" s="9">
        <v>45473</v>
      </c>
      <c r="V403">
        <f>SUM(POTABLE_NONPOTABLE_API[[#This Row],[RESIDENTIAL_SINGLEFAMILY_GAL]:[OTHER_GAL]])</f>
        <v>41432592.623999998</v>
      </c>
      <c r="W403">
        <f>SUM(POTABLE_NONPOTABLE_API[[#This Row],[NONPOTABLE_DEMAND_RESIDENTIAL_RECYCLED_WATER_GAL]:[NONPOTABLE_DEMAND_NONRESIDENTIAL_METERED_IRRIGATION_GAL]])</f>
        <v>0</v>
      </c>
      <c r="X403" t="str">
        <f>IFERROR(INDEX(Crosswalk_API!$H$2:$H$527, MATCH(POTABLE_NONPOTABLE_API[[#This Row],[PWSID]], CW_PWSID_LIST, 0)), "")</f>
        <v>No</v>
      </c>
    </row>
    <row r="404" spans="1:24" x14ac:dyDescent="0.25">
      <c r="A404" t="s">
        <v>823</v>
      </c>
      <c r="B404" t="s">
        <v>824</v>
      </c>
      <c r="C404" t="s">
        <v>831</v>
      </c>
      <c r="D404" t="s">
        <v>832</v>
      </c>
      <c r="E404" s="9">
        <v>45292</v>
      </c>
      <c r="F404" s="9">
        <v>45322</v>
      </c>
      <c r="G404">
        <v>28336987.73</v>
      </c>
      <c r="H404">
        <v>4131595.923</v>
      </c>
      <c r="I404">
        <v>10389342</v>
      </c>
      <c r="J404">
        <v>255960.9528</v>
      </c>
      <c r="K404">
        <v>0</v>
      </c>
      <c r="L404">
        <v>0</v>
      </c>
      <c r="M404">
        <v>0</v>
      </c>
      <c r="T404" s="9">
        <v>45108</v>
      </c>
      <c r="U404" s="9">
        <v>45473</v>
      </c>
      <c r="V404">
        <f>SUM(POTABLE_NONPOTABLE_API[[#This Row],[RESIDENTIAL_SINGLEFAMILY_GAL]:[OTHER_GAL]])</f>
        <v>43113886.605799995</v>
      </c>
      <c r="W404">
        <f>SUM(POTABLE_NONPOTABLE_API[[#This Row],[NONPOTABLE_DEMAND_RESIDENTIAL_RECYCLED_WATER_GAL]:[NONPOTABLE_DEMAND_NONRESIDENTIAL_METERED_IRRIGATION_GAL]])</f>
        <v>0</v>
      </c>
      <c r="X404" t="str">
        <f>IFERROR(INDEX(Crosswalk_API!$H$2:$H$527, MATCH(POTABLE_NONPOTABLE_API[[#This Row],[PWSID]], CW_PWSID_LIST, 0)), "")</f>
        <v>No</v>
      </c>
    </row>
    <row r="405" spans="1:24" x14ac:dyDescent="0.25">
      <c r="A405" t="s">
        <v>823</v>
      </c>
      <c r="B405" t="s">
        <v>824</v>
      </c>
      <c r="C405" t="s">
        <v>831</v>
      </c>
      <c r="D405" t="s">
        <v>832</v>
      </c>
      <c r="E405" s="9">
        <v>45323</v>
      </c>
      <c r="F405" s="9">
        <v>45351</v>
      </c>
      <c r="G405">
        <v>24977029.890000001</v>
      </c>
      <c r="H405">
        <v>3783721.821</v>
      </c>
      <c r="I405">
        <v>9741140.625</v>
      </c>
      <c r="J405">
        <v>89010.707479999997</v>
      </c>
      <c r="K405">
        <v>0</v>
      </c>
      <c r="L405">
        <v>0</v>
      </c>
      <c r="M405">
        <v>0</v>
      </c>
      <c r="T405" s="9">
        <v>45108</v>
      </c>
      <c r="U405" s="9">
        <v>45473</v>
      </c>
      <c r="V405">
        <f>SUM(POTABLE_NONPOTABLE_API[[#This Row],[RESIDENTIAL_SINGLEFAMILY_GAL]:[OTHER_GAL]])</f>
        <v>38590903.043479994</v>
      </c>
      <c r="W405">
        <f>SUM(POTABLE_NONPOTABLE_API[[#This Row],[NONPOTABLE_DEMAND_RESIDENTIAL_RECYCLED_WATER_GAL]:[NONPOTABLE_DEMAND_NONRESIDENTIAL_METERED_IRRIGATION_GAL]])</f>
        <v>0</v>
      </c>
      <c r="X405" t="str">
        <f>IFERROR(INDEX(Crosswalk_API!$H$2:$H$527, MATCH(POTABLE_NONPOTABLE_API[[#This Row],[PWSID]], CW_PWSID_LIST, 0)), "")</f>
        <v>No</v>
      </c>
    </row>
    <row r="406" spans="1:24" x14ac:dyDescent="0.25">
      <c r="A406" t="s">
        <v>823</v>
      </c>
      <c r="B406" t="s">
        <v>824</v>
      </c>
      <c r="C406" t="s">
        <v>831</v>
      </c>
      <c r="D406" t="s">
        <v>832</v>
      </c>
      <c r="E406" s="9">
        <v>45352</v>
      </c>
      <c r="F406" s="9">
        <v>45382</v>
      </c>
      <c r="G406">
        <v>21534561.91</v>
      </c>
      <c r="H406">
        <v>3861182.6060000001</v>
      </c>
      <c r="I406">
        <v>8770445.9079999998</v>
      </c>
      <c r="J406">
        <v>177460.37599999999</v>
      </c>
      <c r="K406">
        <v>0</v>
      </c>
      <c r="L406">
        <v>0</v>
      </c>
      <c r="M406">
        <v>0</v>
      </c>
      <c r="T406" s="9">
        <v>45108</v>
      </c>
      <c r="U406" s="9">
        <v>45473</v>
      </c>
      <c r="V406">
        <f>SUM(POTABLE_NONPOTABLE_API[[#This Row],[RESIDENTIAL_SINGLEFAMILY_GAL]:[OTHER_GAL]])</f>
        <v>34343650.799999997</v>
      </c>
      <c r="W406">
        <f>SUM(POTABLE_NONPOTABLE_API[[#This Row],[NONPOTABLE_DEMAND_RESIDENTIAL_RECYCLED_WATER_GAL]:[NONPOTABLE_DEMAND_NONRESIDENTIAL_METERED_IRRIGATION_GAL]])</f>
        <v>0</v>
      </c>
      <c r="X406" t="str">
        <f>IFERROR(INDEX(Crosswalk_API!$H$2:$H$527, MATCH(POTABLE_NONPOTABLE_API[[#This Row],[PWSID]], CW_PWSID_LIST, 0)), "")</f>
        <v>No</v>
      </c>
    </row>
    <row r="407" spans="1:24" x14ac:dyDescent="0.25">
      <c r="A407" t="s">
        <v>823</v>
      </c>
      <c r="B407" t="s">
        <v>824</v>
      </c>
      <c r="C407" t="s">
        <v>831</v>
      </c>
      <c r="D407" t="s">
        <v>832</v>
      </c>
      <c r="E407" s="9">
        <v>45383</v>
      </c>
      <c r="F407" s="9">
        <v>45412</v>
      </c>
      <c r="G407">
        <v>18510180.190000001</v>
      </c>
      <c r="H407">
        <v>3363017.3760000002</v>
      </c>
      <c r="I407">
        <v>7484626.8049999997</v>
      </c>
      <c r="J407">
        <v>592928.45680000004</v>
      </c>
      <c r="K407">
        <v>0</v>
      </c>
      <c r="L407">
        <v>0</v>
      </c>
      <c r="M407">
        <v>0</v>
      </c>
      <c r="T407" s="9">
        <v>45108</v>
      </c>
      <c r="U407" s="9">
        <v>45473</v>
      </c>
      <c r="V407">
        <f>SUM(POTABLE_NONPOTABLE_API[[#This Row],[RESIDENTIAL_SINGLEFAMILY_GAL]:[OTHER_GAL]])</f>
        <v>29950752.827799998</v>
      </c>
      <c r="W407">
        <f>SUM(POTABLE_NONPOTABLE_API[[#This Row],[NONPOTABLE_DEMAND_RESIDENTIAL_RECYCLED_WATER_GAL]:[NONPOTABLE_DEMAND_NONRESIDENTIAL_METERED_IRRIGATION_GAL]])</f>
        <v>0</v>
      </c>
      <c r="X407" t="str">
        <f>IFERROR(INDEX(Crosswalk_API!$H$2:$H$527, MATCH(POTABLE_NONPOTABLE_API[[#This Row],[PWSID]], CW_PWSID_LIST, 0)), "")</f>
        <v>No</v>
      </c>
    </row>
    <row r="408" spans="1:24" x14ac:dyDescent="0.25">
      <c r="A408" t="s">
        <v>823</v>
      </c>
      <c r="B408" t="s">
        <v>824</v>
      </c>
      <c r="C408" t="s">
        <v>831</v>
      </c>
      <c r="D408" t="s">
        <v>832</v>
      </c>
      <c r="E408" s="9">
        <v>45413</v>
      </c>
      <c r="F408" s="9">
        <v>45443</v>
      </c>
      <c r="G408">
        <v>29054218</v>
      </c>
      <c r="H408">
        <v>3590769</v>
      </c>
      <c r="I408">
        <v>8299554</v>
      </c>
      <c r="J408">
        <v>3768289</v>
      </c>
      <c r="K408">
        <v>0</v>
      </c>
      <c r="L408">
        <v>0</v>
      </c>
      <c r="M408">
        <v>0</v>
      </c>
      <c r="T408" s="9">
        <v>45108</v>
      </c>
      <c r="U408" s="9">
        <v>45473</v>
      </c>
      <c r="V408">
        <f>SUM(POTABLE_NONPOTABLE_API[[#This Row],[RESIDENTIAL_SINGLEFAMILY_GAL]:[OTHER_GAL]])</f>
        <v>44712830</v>
      </c>
      <c r="W408">
        <f>SUM(POTABLE_NONPOTABLE_API[[#This Row],[NONPOTABLE_DEMAND_RESIDENTIAL_RECYCLED_WATER_GAL]:[NONPOTABLE_DEMAND_NONRESIDENTIAL_METERED_IRRIGATION_GAL]])</f>
        <v>0</v>
      </c>
      <c r="X408" t="str">
        <f>IFERROR(INDEX(Crosswalk_API!$H$2:$H$527, MATCH(POTABLE_NONPOTABLE_API[[#This Row],[PWSID]], CW_PWSID_LIST, 0)), "")</f>
        <v>No</v>
      </c>
    </row>
    <row r="409" spans="1:24" x14ac:dyDescent="0.25">
      <c r="A409" t="s">
        <v>823</v>
      </c>
      <c r="B409" t="s">
        <v>824</v>
      </c>
      <c r="C409" t="s">
        <v>831</v>
      </c>
      <c r="D409" t="s">
        <v>832</v>
      </c>
      <c r="E409" s="9">
        <v>45444</v>
      </c>
      <c r="F409" s="9">
        <v>45473</v>
      </c>
      <c r="G409">
        <v>37377944</v>
      </c>
      <c r="H409">
        <v>4177025</v>
      </c>
      <c r="I409">
        <v>10624627</v>
      </c>
      <c r="J409">
        <v>5050211</v>
      </c>
      <c r="K409">
        <v>0</v>
      </c>
      <c r="L409">
        <v>0</v>
      </c>
      <c r="M409">
        <v>0</v>
      </c>
      <c r="T409" s="9">
        <v>45108</v>
      </c>
      <c r="U409" s="9">
        <v>45473</v>
      </c>
      <c r="V409">
        <f>SUM(POTABLE_NONPOTABLE_API[[#This Row],[RESIDENTIAL_SINGLEFAMILY_GAL]:[OTHER_GAL]])</f>
        <v>57229807</v>
      </c>
      <c r="W409">
        <f>SUM(POTABLE_NONPOTABLE_API[[#This Row],[NONPOTABLE_DEMAND_RESIDENTIAL_RECYCLED_WATER_GAL]:[NONPOTABLE_DEMAND_NONRESIDENTIAL_METERED_IRRIGATION_GAL]])</f>
        <v>0</v>
      </c>
      <c r="X409" t="str">
        <f>IFERROR(INDEX(Crosswalk_API!$H$2:$H$527, MATCH(POTABLE_NONPOTABLE_API[[#This Row],[PWSID]], CW_PWSID_LIST, 0)), "")</f>
        <v>No</v>
      </c>
    </row>
    <row r="410" spans="1:24" x14ac:dyDescent="0.25">
      <c r="A410" t="s">
        <v>833</v>
      </c>
      <c r="B410" t="s">
        <v>834</v>
      </c>
      <c r="C410" t="s">
        <v>835</v>
      </c>
      <c r="D410" t="s">
        <v>836</v>
      </c>
      <c r="E410" s="9">
        <v>45108</v>
      </c>
      <c r="F410" s="9">
        <v>45138</v>
      </c>
      <c r="G410">
        <v>44463000</v>
      </c>
      <c r="H410">
        <v>10236000</v>
      </c>
      <c r="I410">
        <v>12376000</v>
      </c>
      <c r="J410">
        <v>4368000</v>
      </c>
      <c r="K410">
        <v>408000</v>
      </c>
      <c r="L410">
        <v>126000</v>
      </c>
      <c r="M410">
        <v>0</v>
      </c>
      <c r="T410" s="9">
        <v>45108</v>
      </c>
      <c r="U410" s="9">
        <v>45473</v>
      </c>
      <c r="V410">
        <f>SUM(POTABLE_NONPOTABLE_API[[#This Row],[RESIDENTIAL_SINGLEFAMILY_GAL]:[OTHER_GAL]])</f>
        <v>71977000</v>
      </c>
      <c r="W410">
        <f>SUM(POTABLE_NONPOTABLE_API[[#This Row],[NONPOTABLE_DEMAND_RESIDENTIAL_RECYCLED_WATER_GAL]:[NONPOTABLE_DEMAND_NONRESIDENTIAL_METERED_IRRIGATION_GAL]])</f>
        <v>0</v>
      </c>
      <c r="X410" t="str">
        <f>IFERROR(INDEX(Crosswalk_API!$H$2:$H$527, MATCH(POTABLE_NONPOTABLE_API[[#This Row],[PWSID]], CW_PWSID_LIST, 0)), "")</f>
        <v>No</v>
      </c>
    </row>
    <row r="411" spans="1:24" x14ac:dyDescent="0.25">
      <c r="A411" t="s">
        <v>833</v>
      </c>
      <c r="B411" t="s">
        <v>834</v>
      </c>
      <c r="C411" t="s">
        <v>835</v>
      </c>
      <c r="D411" t="s">
        <v>836</v>
      </c>
      <c r="E411" s="9">
        <v>45139</v>
      </c>
      <c r="F411" s="9">
        <v>45169</v>
      </c>
      <c r="G411">
        <v>47990000</v>
      </c>
      <c r="H411">
        <v>14929000</v>
      </c>
      <c r="I411">
        <v>12816000</v>
      </c>
      <c r="J411">
        <v>4908000</v>
      </c>
      <c r="K411">
        <v>400000</v>
      </c>
      <c r="L411">
        <v>146000</v>
      </c>
      <c r="M411">
        <v>0</v>
      </c>
      <c r="T411" s="9">
        <v>45108</v>
      </c>
      <c r="U411" s="9">
        <v>45473</v>
      </c>
      <c r="V411">
        <f>SUM(POTABLE_NONPOTABLE_API[[#This Row],[RESIDENTIAL_SINGLEFAMILY_GAL]:[OTHER_GAL]])</f>
        <v>81189000</v>
      </c>
      <c r="W411">
        <f>SUM(POTABLE_NONPOTABLE_API[[#This Row],[NONPOTABLE_DEMAND_RESIDENTIAL_RECYCLED_WATER_GAL]:[NONPOTABLE_DEMAND_NONRESIDENTIAL_METERED_IRRIGATION_GAL]])</f>
        <v>0</v>
      </c>
      <c r="X411" t="str">
        <f>IFERROR(INDEX(Crosswalk_API!$H$2:$H$527, MATCH(POTABLE_NONPOTABLE_API[[#This Row],[PWSID]], CW_PWSID_LIST, 0)), "")</f>
        <v>No</v>
      </c>
    </row>
    <row r="412" spans="1:24" x14ac:dyDescent="0.25">
      <c r="A412" t="s">
        <v>833</v>
      </c>
      <c r="B412" t="s">
        <v>834</v>
      </c>
      <c r="C412" t="s">
        <v>835</v>
      </c>
      <c r="D412" t="s">
        <v>836</v>
      </c>
      <c r="E412" s="9">
        <v>45170</v>
      </c>
      <c r="F412" s="9">
        <v>45199</v>
      </c>
      <c r="G412">
        <v>36729000</v>
      </c>
      <c r="H412">
        <v>17149000</v>
      </c>
      <c r="I412">
        <v>11424000</v>
      </c>
      <c r="J412">
        <v>4042000</v>
      </c>
      <c r="K412">
        <v>288000</v>
      </c>
      <c r="L412">
        <v>69000</v>
      </c>
      <c r="M412">
        <v>0</v>
      </c>
      <c r="T412" s="9">
        <v>45108</v>
      </c>
      <c r="U412" s="9">
        <v>45473</v>
      </c>
      <c r="V412">
        <f>SUM(POTABLE_NONPOTABLE_API[[#This Row],[RESIDENTIAL_SINGLEFAMILY_GAL]:[OTHER_GAL]])</f>
        <v>69701000</v>
      </c>
      <c r="W412">
        <f>SUM(POTABLE_NONPOTABLE_API[[#This Row],[NONPOTABLE_DEMAND_RESIDENTIAL_RECYCLED_WATER_GAL]:[NONPOTABLE_DEMAND_NONRESIDENTIAL_METERED_IRRIGATION_GAL]])</f>
        <v>0</v>
      </c>
      <c r="X412" t="str">
        <f>IFERROR(INDEX(Crosswalk_API!$H$2:$H$527, MATCH(POTABLE_NONPOTABLE_API[[#This Row],[PWSID]], CW_PWSID_LIST, 0)), "")</f>
        <v>No</v>
      </c>
    </row>
    <row r="413" spans="1:24" x14ac:dyDescent="0.25">
      <c r="A413" t="s">
        <v>833</v>
      </c>
      <c r="B413" t="s">
        <v>834</v>
      </c>
      <c r="C413" t="s">
        <v>835</v>
      </c>
      <c r="D413" t="s">
        <v>836</v>
      </c>
      <c r="E413" s="9">
        <v>45200</v>
      </c>
      <c r="F413" s="9">
        <v>45230</v>
      </c>
      <c r="G413">
        <v>38291000</v>
      </c>
      <c r="H413">
        <v>12908000</v>
      </c>
      <c r="I413">
        <v>10082000</v>
      </c>
      <c r="J413">
        <v>3693000</v>
      </c>
      <c r="K413">
        <v>392000</v>
      </c>
      <c r="L413">
        <v>85000</v>
      </c>
      <c r="M413">
        <v>0</v>
      </c>
      <c r="T413" s="9">
        <v>45108</v>
      </c>
      <c r="U413" s="9">
        <v>45473</v>
      </c>
      <c r="V413">
        <f>SUM(POTABLE_NONPOTABLE_API[[#This Row],[RESIDENTIAL_SINGLEFAMILY_GAL]:[OTHER_GAL]])</f>
        <v>65451000</v>
      </c>
      <c r="W413">
        <f>SUM(POTABLE_NONPOTABLE_API[[#This Row],[NONPOTABLE_DEMAND_RESIDENTIAL_RECYCLED_WATER_GAL]:[NONPOTABLE_DEMAND_NONRESIDENTIAL_METERED_IRRIGATION_GAL]])</f>
        <v>0</v>
      </c>
      <c r="X413" t="str">
        <f>IFERROR(INDEX(Crosswalk_API!$H$2:$H$527, MATCH(POTABLE_NONPOTABLE_API[[#This Row],[PWSID]], CW_PWSID_LIST, 0)), "")</f>
        <v>No</v>
      </c>
    </row>
    <row r="414" spans="1:24" x14ac:dyDescent="0.25">
      <c r="A414" t="s">
        <v>833</v>
      </c>
      <c r="B414" t="s">
        <v>834</v>
      </c>
      <c r="C414" t="s">
        <v>835</v>
      </c>
      <c r="D414" t="s">
        <v>836</v>
      </c>
      <c r="E414" s="9">
        <v>45231</v>
      </c>
      <c r="F414" s="9">
        <v>45260</v>
      </c>
      <c r="G414">
        <v>28418000</v>
      </c>
      <c r="H414">
        <v>9038000</v>
      </c>
      <c r="I414">
        <v>9014000</v>
      </c>
      <c r="J414">
        <v>3257000</v>
      </c>
      <c r="K414">
        <v>405000</v>
      </c>
      <c r="L414">
        <v>54000</v>
      </c>
      <c r="M414">
        <v>0</v>
      </c>
      <c r="T414" s="9">
        <v>45108</v>
      </c>
      <c r="U414" s="9">
        <v>45473</v>
      </c>
      <c r="V414">
        <f>SUM(POTABLE_NONPOTABLE_API[[#This Row],[RESIDENTIAL_SINGLEFAMILY_GAL]:[OTHER_GAL]])</f>
        <v>50186000</v>
      </c>
      <c r="W414">
        <f>SUM(POTABLE_NONPOTABLE_API[[#This Row],[NONPOTABLE_DEMAND_RESIDENTIAL_RECYCLED_WATER_GAL]:[NONPOTABLE_DEMAND_NONRESIDENTIAL_METERED_IRRIGATION_GAL]])</f>
        <v>0</v>
      </c>
      <c r="X414" t="str">
        <f>IFERROR(INDEX(Crosswalk_API!$H$2:$H$527, MATCH(POTABLE_NONPOTABLE_API[[#This Row],[PWSID]], CW_PWSID_LIST, 0)), "")</f>
        <v>No</v>
      </c>
    </row>
    <row r="415" spans="1:24" x14ac:dyDescent="0.25">
      <c r="A415" t="s">
        <v>833</v>
      </c>
      <c r="B415" t="s">
        <v>834</v>
      </c>
      <c r="C415" t="s">
        <v>835</v>
      </c>
      <c r="D415" t="s">
        <v>836</v>
      </c>
      <c r="E415" s="9">
        <v>45261</v>
      </c>
      <c r="F415" s="9">
        <v>45291</v>
      </c>
      <c r="G415">
        <v>22641000</v>
      </c>
      <c r="H415">
        <v>6452000</v>
      </c>
      <c r="I415">
        <v>7542000</v>
      </c>
      <c r="J415">
        <v>2685000</v>
      </c>
      <c r="K415">
        <v>149000</v>
      </c>
      <c r="L415">
        <v>101000</v>
      </c>
      <c r="M415">
        <v>0</v>
      </c>
      <c r="T415" s="9">
        <v>45108</v>
      </c>
      <c r="U415" s="9">
        <v>45473</v>
      </c>
      <c r="V415">
        <f>SUM(POTABLE_NONPOTABLE_API[[#This Row],[RESIDENTIAL_SINGLEFAMILY_GAL]:[OTHER_GAL]])</f>
        <v>39570000</v>
      </c>
      <c r="W415">
        <f>SUM(POTABLE_NONPOTABLE_API[[#This Row],[NONPOTABLE_DEMAND_RESIDENTIAL_RECYCLED_WATER_GAL]:[NONPOTABLE_DEMAND_NONRESIDENTIAL_METERED_IRRIGATION_GAL]])</f>
        <v>0</v>
      </c>
      <c r="X415" t="str">
        <f>IFERROR(INDEX(Crosswalk_API!$H$2:$H$527, MATCH(POTABLE_NONPOTABLE_API[[#This Row],[PWSID]], CW_PWSID_LIST, 0)), "")</f>
        <v>No</v>
      </c>
    </row>
    <row r="416" spans="1:24" x14ac:dyDescent="0.25">
      <c r="A416" t="s">
        <v>833</v>
      </c>
      <c r="B416" t="s">
        <v>834</v>
      </c>
      <c r="C416" t="s">
        <v>835</v>
      </c>
      <c r="D416" t="s">
        <v>836</v>
      </c>
      <c r="E416" s="9">
        <v>45292</v>
      </c>
      <c r="F416" s="9">
        <v>45322</v>
      </c>
      <c r="G416">
        <v>24505000</v>
      </c>
      <c r="H416">
        <v>7331000</v>
      </c>
      <c r="I416">
        <v>8535000</v>
      </c>
      <c r="J416">
        <v>2674000</v>
      </c>
      <c r="K416">
        <v>106000</v>
      </c>
      <c r="L416">
        <v>73000</v>
      </c>
      <c r="M416">
        <v>0</v>
      </c>
      <c r="T416" s="9">
        <v>45108</v>
      </c>
      <c r="U416" s="9">
        <v>45473</v>
      </c>
      <c r="V416">
        <f>SUM(POTABLE_NONPOTABLE_API[[#This Row],[RESIDENTIAL_SINGLEFAMILY_GAL]:[OTHER_GAL]])</f>
        <v>43224000</v>
      </c>
      <c r="W416">
        <f>SUM(POTABLE_NONPOTABLE_API[[#This Row],[NONPOTABLE_DEMAND_RESIDENTIAL_RECYCLED_WATER_GAL]:[NONPOTABLE_DEMAND_NONRESIDENTIAL_METERED_IRRIGATION_GAL]])</f>
        <v>0</v>
      </c>
      <c r="X416" t="str">
        <f>IFERROR(INDEX(Crosswalk_API!$H$2:$H$527, MATCH(POTABLE_NONPOTABLE_API[[#This Row],[PWSID]], CW_PWSID_LIST, 0)), "")</f>
        <v>No</v>
      </c>
    </row>
    <row r="417" spans="1:24" x14ac:dyDescent="0.25">
      <c r="A417" t="s">
        <v>833</v>
      </c>
      <c r="B417" t="s">
        <v>834</v>
      </c>
      <c r="C417" t="s">
        <v>835</v>
      </c>
      <c r="D417" t="s">
        <v>836</v>
      </c>
      <c r="E417" s="9">
        <v>45323</v>
      </c>
      <c r="F417" s="9">
        <v>45351</v>
      </c>
      <c r="G417">
        <v>19320000</v>
      </c>
      <c r="H417">
        <v>6481000</v>
      </c>
      <c r="I417">
        <v>7895000</v>
      </c>
      <c r="J417">
        <v>2202000</v>
      </c>
      <c r="K417">
        <v>134000</v>
      </c>
      <c r="L417">
        <v>21000</v>
      </c>
      <c r="M417">
        <v>0</v>
      </c>
      <c r="T417" s="9">
        <v>45108</v>
      </c>
      <c r="U417" s="9">
        <v>45473</v>
      </c>
      <c r="V417">
        <f>SUM(POTABLE_NONPOTABLE_API[[#This Row],[RESIDENTIAL_SINGLEFAMILY_GAL]:[OTHER_GAL]])</f>
        <v>36053000</v>
      </c>
      <c r="W417">
        <f>SUM(POTABLE_NONPOTABLE_API[[#This Row],[NONPOTABLE_DEMAND_RESIDENTIAL_RECYCLED_WATER_GAL]:[NONPOTABLE_DEMAND_NONRESIDENTIAL_METERED_IRRIGATION_GAL]])</f>
        <v>0</v>
      </c>
      <c r="X417" t="str">
        <f>IFERROR(INDEX(Crosswalk_API!$H$2:$H$527, MATCH(POTABLE_NONPOTABLE_API[[#This Row],[PWSID]], CW_PWSID_LIST, 0)), "")</f>
        <v>No</v>
      </c>
    </row>
    <row r="418" spans="1:24" x14ac:dyDescent="0.25">
      <c r="A418" t="s">
        <v>833</v>
      </c>
      <c r="B418" t="s">
        <v>834</v>
      </c>
      <c r="C418" t="s">
        <v>835</v>
      </c>
      <c r="D418" t="s">
        <v>836</v>
      </c>
      <c r="E418" s="9">
        <v>45352</v>
      </c>
      <c r="F418" s="9">
        <v>45382</v>
      </c>
      <c r="G418">
        <v>21881000</v>
      </c>
      <c r="H418">
        <v>6983000</v>
      </c>
      <c r="I418">
        <v>7680000</v>
      </c>
      <c r="J418">
        <v>2089000</v>
      </c>
      <c r="K418">
        <v>158000</v>
      </c>
      <c r="L418">
        <v>0</v>
      </c>
      <c r="M418">
        <v>0</v>
      </c>
      <c r="T418" s="9">
        <v>45108</v>
      </c>
      <c r="U418" s="9">
        <v>45473</v>
      </c>
      <c r="V418">
        <f>SUM(POTABLE_NONPOTABLE_API[[#This Row],[RESIDENTIAL_SINGLEFAMILY_GAL]:[OTHER_GAL]])</f>
        <v>38791000</v>
      </c>
      <c r="W418">
        <f>SUM(POTABLE_NONPOTABLE_API[[#This Row],[NONPOTABLE_DEMAND_RESIDENTIAL_RECYCLED_WATER_GAL]:[NONPOTABLE_DEMAND_NONRESIDENTIAL_METERED_IRRIGATION_GAL]])</f>
        <v>0</v>
      </c>
      <c r="X418" t="str">
        <f>IFERROR(INDEX(Crosswalk_API!$H$2:$H$527, MATCH(POTABLE_NONPOTABLE_API[[#This Row],[PWSID]], CW_PWSID_LIST, 0)), "")</f>
        <v>No</v>
      </c>
    </row>
    <row r="419" spans="1:24" x14ac:dyDescent="0.25">
      <c r="A419" t="s">
        <v>833</v>
      </c>
      <c r="B419" t="s">
        <v>834</v>
      </c>
      <c r="C419" t="s">
        <v>835</v>
      </c>
      <c r="D419" t="s">
        <v>836</v>
      </c>
      <c r="E419" s="9">
        <v>45383</v>
      </c>
      <c r="F419" s="9">
        <v>45412</v>
      </c>
      <c r="G419">
        <v>28427000</v>
      </c>
      <c r="H419">
        <v>9002000</v>
      </c>
      <c r="I419">
        <v>10056000</v>
      </c>
      <c r="J419">
        <v>2490000</v>
      </c>
      <c r="K419">
        <v>170000</v>
      </c>
      <c r="L419">
        <v>210000</v>
      </c>
      <c r="M419">
        <v>0</v>
      </c>
      <c r="T419" s="9">
        <v>45108</v>
      </c>
      <c r="U419" s="9">
        <v>45473</v>
      </c>
      <c r="V419">
        <f>SUM(POTABLE_NONPOTABLE_API[[#This Row],[RESIDENTIAL_SINGLEFAMILY_GAL]:[OTHER_GAL]])</f>
        <v>50355000</v>
      </c>
      <c r="W419">
        <f>SUM(POTABLE_NONPOTABLE_API[[#This Row],[NONPOTABLE_DEMAND_RESIDENTIAL_RECYCLED_WATER_GAL]:[NONPOTABLE_DEMAND_NONRESIDENTIAL_METERED_IRRIGATION_GAL]])</f>
        <v>0</v>
      </c>
      <c r="X419" t="str">
        <f>IFERROR(INDEX(Crosswalk_API!$H$2:$H$527, MATCH(POTABLE_NONPOTABLE_API[[#This Row],[PWSID]], CW_PWSID_LIST, 0)), "")</f>
        <v>No</v>
      </c>
    </row>
    <row r="420" spans="1:24" x14ac:dyDescent="0.25">
      <c r="A420" t="s">
        <v>833</v>
      </c>
      <c r="B420" t="s">
        <v>834</v>
      </c>
      <c r="C420" t="s">
        <v>835</v>
      </c>
      <c r="D420" t="s">
        <v>836</v>
      </c>
      <c r="E420" s="9">
        <v>45413</v>
      </c>
      <c r="F420" s="9">
        <v>45443</v>
      </c>
      <c r="G420">
        <v>37541000</v>
      </c>
      <c r="H420">
        <v>9853000</v>
      </c>
      <c r="I420">
        <v>9761000</v>
      </c>
      <c r="J420">
        <v>3813000</v>
      </c>
      <c r="K420">
        <v>149000</v>
      </c>
      <c r="L420">
        <v>136000</v>
      </c>
      <c r="M420">
        <v>0</v>
      </c>
      <c r="T420" s="9">
        <v>45108</v>
      </c>
      <c r="U420" s="9">
        <v>45473</v>
      </c>
      <c r="V420">
        <f>SUM(POTABLE_NONPOTABLE_API[[#This Row],[RESIDENTIAL_SINGLEFAMILY_GAL]:[OTHER_GAL]])</f>
        <v>61253000</v>
      </c>
      <c r="W420">
        <f>SUM(POTABLE_NONPOTABLE_API[[#This Row],[NONPOTABLE_DEMAND_RESIDENTIAL_RECYCLED_WATER_GAL]:[NONPOTABLE_DEMAND_NONRESIDENTIAL_METERED_IRRIGATION_GAL]])</f>
        <v>0</v>
      </c>
      <c r="X420" t="str">
        <f>IFERROR(INDEX(Crosswalk_API!$H$2:$H$527, MATCH(POTABLE_NONPOTABLE_API[[#This Row],[PWSID]], CW_PWSID_LIST, 0)), "")</f>
        <v>No</v>
      </c>
    </row>
    <row r="421" spans="1:24" x14ac:dyDescent="0.25">
      <c r="A421" t="s">
        <v>833</v>
      </c>
      <c r="B421" t="s">
        <v>834</v>
      </c>
      <c r="C421" t="s">
        <v>835</v>
      </c>
      <c r="D421" t="s">
        <v>836</v>
      </c>
      <c r="E421" s="9">
        <v>45444</v>
      </c>
      <c r="F421" s="9">
        <v>45473</v>
      </c>
      <c r="G421">
        <v>43441000</v>
      </c>
      <c r="H421">
        <v>10194000</v>
      </c>
      <c r="I421">
        <v>10914000</v>
      </c>
      <c r="J421">
        <v>4397000</v>
      </c>
      <c r="K421">
        <v>177000</v>
      </c>
      <c r="L421">
        <v>28000</v>
      </c>
      <c r="M421">
        <v>0</v>
      </c>
      <c r="T421" s="9">
        <v>45108</v>
      </c>
      <c r="U421" s="9">
        <v>45473</v>
      </c>
      <c r="V421">
        <f>SUM(POTABLE_NONPOTABLE_API[[#This Row],[RESIDENTIAL_SINGLEFAMILY_GAL]:[OTHER_GAL]])</f>
        <v>69151000</v>
      </c>
      <c r="W421">
        <f>SUM(POTABLE_NONPOTABLE_API[[#This Row],[NONPOTABLE_DEMAND_RESIDENTIAL_RECYCLED_WATER_GAL]:[NONPOTABLE_DEMAND_NONRESIDENTIAL_METERED_IRRIGATION_GAL]])</f>
        <v>0</v>
      </c>
      <c r="X421" t="str">
        <f>IFERROR(INDEX(Crosswalk_API!$H$2:$H$527, MATCH(POTABLE_NONPOTABLE_API[[#This Row],[PWSID]], CW_PWSID_LIST, 0)), "")</f>
        <v>No</v>
      </c>
    </row>
    <row r="422" spans="1:24" x14ac:dyDescent="0.25">
      <c r="A422" t="s">
        <v>837</v>
      </c>
      <c r="B422" t="s">
        <v>838</v>
      </c>
      <c r="C422" t="s">
        <v>839</v>
      </c>
      <c r="D422" t="s">
        <v>840</v>
      </c>
      <c r="E422" s="9">
        <v>45108</v>
      </c>
      <c r="F422" s="9">
        <v>45138</v>
      </c>
      <c r="G422">
        <v>99206287</v>
      </c>
      <c r="H422">
        <v>20621000</v>
      </c>
      <c r="I422">
        <v>18284000</v>
      </c>
      <c r="J422">
        <v>0</v>
      </c>
      <c r="K422">
        <v>29861000</v>
      </c>
      <c r="L422">
        <v>0</v>
      </c>
      <c r="M422">
        <v>779000</v>
      </c>
      <c r="T422" s="9">
        <v>45108</v>
      </c>
      <c r="U422" s="9">
        <v>45473</v>
      </c>
      <c r="V422">
        <f>SUM(POTABLE_NONPOTABLE_API[[#This Row],[RESIDENTIAL_SINGLEFAMILY_GAL]:[OTHER_GAL]])</f>
        <v>167972287</v>
      </c>
      <c r="W422">
        <f>SUM(POTABLE_NONPOTABLE_API[[#This Row],[NONPOTABLE_DEMAND_RESIDENTIAL_RECYCLED_WATER_GAL]:[NONPOTABLE_DEMAND_NONRESIDENTIAL_METERED_IRRIGATION_GAL]])</f>
        <v>0</v>
      </c>
      <c r="X422" t="str">
        <f>IFERROR(INDEX(Crosswalk_API!$H$2:$H$527, MATCH(POTABLE_NONPOTABLE_API[[#This Row],[PWSID]], CW_PWSID_LIST, 0)), "")</f>
        <v>No</v>
      </c>
    </row>
    <row r="423" spans="1:24" x14ac:dyDescent="0.25">
      <c r="A423" t="s">
        <v>837</v>
      </c>
      <c r="B423" t="s">
        <v>838</v>
      </c>
      <c r="C423" t="s">
        <v>839</v>
      </c>
      <c r="D423" t="s">
        <v>840</v>
      </c>
      <c r="E423" s="9">
        <v>45139</v>
      </c>
      <c r="F423" s="9">
        <v>45169</v>
      </c>
      <c r="G423">
        <v>115400938</v>
      </c>
      <c r="H423">
        <v>23337000</v>
      </c>
      <c r="I423">
        <v>17447000</v>
      </c>
      <c r="J423">
        <v>0</v>
      </c>
      <c r="K423">
        <v>36304000</v>
      </c>
      <c r="L423">
        <v>0</v>
      </c>
      <c r="M423">
        <v>1035000</v>
      </c>
      <c r="T423" s="9">
        <v>45108</v>
      </c>
      <c r="U423" s="9">
        <v>45473</v>
      </c>
      <c r="V423">
        <f>SUM(POTABLE_NONPOTABLE_API[[#This Row],[RESIDENTIAL_SINGLEFAMILY_GAL]:[OTHER_GAL]])</f>
        <v>192488938</v>
      </c>
      <c r="W423">
        <f>SUM(POTABLE_NONPOTABLE_API[[#This Row],[NONPOTABLE_DEMAND_RESIDENTIAL_RECYCLED_WATER_GAL]:[NONPOTABLE_DEMAND_NONRESIDENTIAL_METERED_IRRIGATION_GAL]])</f>
        <v>0</v>
      </c>
      <c r="X423" t="str">
        <f>IFERROR(INDEX(Crosswalk_API!$H$2:$H$527, MATCH(POTABLE_NONPOTABLE_API[[#This Row],[PWSID]], CW_PWSID_LIST, 0)), "")</f>
        <v>No</v>
      </c>
    </row>
    <row r="424" spans="1:24" x14ac:dyDescent="0.25">
      <c r="A424" t="s">
        <v>837</v>
      </c>
      <c r="B424" t="s">
        <v>838</v>
      </c>
      <c r="C424" t="s">
        <v>839</v>
      </c>
      <c r="D424" t="s">
        <v>840</v>
      </c>
      <c r="E424" s="9">
        <v>45170</v>
      </c>
      <c r="F424" s="9">
        <v>45199</v>
      </c>
      <c r="G424">
        <v>81898462</v>
      </c>
      <c r="H424">
        <v>20401000</v>
      </c>
      <c r="I424">
        <v>13659000</v>
      </c>
      <c r="J424">
        <v>0</v>
      </c>
      <c r="K424">
        <v>30838000</v>
      </c>
      <c r="L424">
        <v>0</v>
      </c>
      <c r="M424">
        <v>694000</v>
      </c>
      <c r="T424" s="9">
        <v>45108</v>
      </c>
      <c r="U424" s="9">
        <v>45473</v>
      </c>
      <c r="V424">
        <f>SUM(POTABLE_NONPOTABLE_API[[#This Row],[RESIDENTIAL_SINGLEFAMILY_GAL]:[OTHER_GAL]])</f>
        <v>146796462</v>
      </c>
      <c r="W424">
        <f>SUM(POTABLE_NONPOTABLE_API[[#This Row],[NONPOTABLE_DEMAND_RESIDENTIAL_RECYCLED_WATER_GAL]:[NONPOTABLE_DEMAND_NONRESIDENTIAL_METERED_IRRIGATION_GAL]])</f>
        <v>0</v>
      </c>
      <c r="X424" t="str">
        <f>IFERROR(INDEX(Crosswalk_API!$H$2:$H$527, MATCH(POTABLE_NONPOTABLE_API[[#This Row],[PWSID]], CW_PWSID_LIST, 0)), "")</f>
        <v>No</v>
      </c>
    </row>
    <row r="425" spans="1:24" x14ac:dyDescent="0.25">
      <c r="A425" t="s">
        <v>837</v>
      </c>
      <c r="B425" t="s">
        <v>838</v>
      </c>
      <c r="C425" t="s">
        <v>839</v>
      </c>
      <c r="D425" t="s">
        <v>840</v>
      </c>
      <c r="E425" s="9">
        <v>45200</v>
      </c>
      <c r="F425" s="9">
        <v>45230</v>
      </c>
      <c r="G425">
        <v>72697043</v>
      </c>
      <c r="H425">
        <v>15882000</v>
      </c>
      <c r="I425">
        <v>10077000</v>
      </c>
      <c r="J425">
        <v>0</v>
      </c>
      <c r="K425">
        <v>27889000</v>
      </c>
      <c r="L425">
        <v>0</v>
      </c>
      <c r="M425">
        <v>554000</v>
      </c>
      <c r="T425" s="9">
        <v>45108</v>
      </c>
      <c r="U425" s="9">
        <v>45473</v>
      </c>
      <c r="V425">
        <f>SUM(POTABLE_NONPOTABLE_API[[#This Row],[RESIDENTIAL_SINGLEFAMILY_GAL]:[OTHER_GAL]])</f>
        <v>126545043</v>
      </c>
      <c r="W425">
        <f>SUM(POTABLE_NONPOTABLE_API[[#This Row],[NONPOTABLE_DEMAND_RESIDENTIAL_RECYCLED_WATER_GAL]:[NONPOTABLE_DEMAND_NONRESIDENTIAL_METERED_IRRIGATION_GAL]])</f>
        <v>0</v>
      </c>
      <c r="X425" t="str">
        <f>IFERROR(INDEX(Crosswalk_API!$H$2:$H$527, MATCH(POTABLE_NONPOTABLE_API[[#This Row],[PWSID]], CW_PWSID_LIST, 0)), "")</f>
        <v>No</v>
      </c>
    </row>
    <row r="426" spans="1:24" x14ac:dyDescent="0.25">
      <c r="A426" t="s">
        <v>837</v>
      </c>
      <c r="B426" t="s">
        <v>838</v>
      </c>
      <c r="C426" t="s">
        <v>839</v>
      </c>
      <c r="D426" t="s">
        <v>840</v>
      </c>
      <c r="E426" s="9">
        <v>45231</v>
      </c>
      <c r="F426" s="9">
        <v>45260</v>
      </c>
      <c r="G426">
        <v>91230437</v>
      </c>
      <c r="H426">
        <v>23436000</v>
      </c>
      <c r="I426">
        <v>20147000</v>
      </c>
      <c r="J426">
        <v>0</v>
      </c>
      <c r="K426">
        <v>25730000</v>
      </c>
      <c r="L426">
        <v>0</v>
      </c>
      <c r="M426">
        <v>633000</v>
      </c>
      <c r="T426" s="9">
        <v>45108</v>
      </c>
      <c r="U426" s="9">
        <v>45473</v>
      </c>
      <c r="V426">
        <f>SUM(POTABLE_NONPOTABLE_API[[#This Row],[RESIDENTIAL_SINGLEFAMILY_GAL]:[OTHER_GAL]])</f>
        <v>160543437</v>
      </c>
      <c r="W426">
        <f>SUM(POTABLE_NONPOTABLE_API[[#This Row],[NONPOTABLE_DEMAND_RESIDENTIAL_RECYCLED_WATER_GAL]:[NONPOTABLE_DEMAND_NONRESIDENTIAL_METERED_IRRIGATION_GAL]])</f>
        <v>0</v>
      </c>
      <c r="X426" t="str">
        <f>IFERROR(INDEX(Crosswalk_API!$H$2:$H$527, MATCH(POTABLE_NONPOTABLE_API[[#This Row],[PWSID]], CW_PWSID_LIST, 0)), "")</f>
        <v>No</v>
      </c>
    </row>
    <row r="427" spans="1:24" x14ac:dyDescent="0.25">
      <c r="A427" t="s">
        <v>837</v>
      </c>
      <c r="B427" t="s">
        <v>838</v>
      </c>
      <c r="C427" t="s">
        <v>839</v>
      </c>
      <c r="D427" t="s">
        <v>840</v>
      </c>
      <c r="E427" s="9">
        <v>45261</v>
      </c>
      <c r="F427" s="9">
        <v>45291</v>
      </c>
      <c r="G427">
        <v>57633189</v>
      </c>
      <c r="H427">
        <v>17040000</v>
      </c>
      <c r="I427">
        <v>13281000</v>
      </c>
      <c r="J427">
        <v>0</v>
      </c>
      <c r="K427">
        <v>27347000</v>
      </c>
      <c r="L427">
        <v>0</v>
      </c>
      <c r="M427">
        <v>338000</v>
      </c>
      <c r="T427" s="9">
        <v>45108</v>
      </c>
      <c r="U427" s="9">
        <v>45473</v>
      </c>
      <c r="V427">
        <f>SUM(POTABLE_NONPOTABLE_API[[#This Row],[RESIDENTIAL_SINGLEFAMILY_GAL]:[OTHER_GAL]])</f>
        <v>115301189</v>
      </c>
      <c r="W427">
        <f>SUM(POTABLE_NONPOTABLE_API[[#This Row],[NONPOTABLE_DEMAND_RESIDENTIAL_RECYCLED_WATER_GAL]:[NONPOTABLE_DEMAND_NONRESIDENTIAL_METERED_IRRIGATION_GAL]])</f>
        <v>0</v>
      </c>
      <c r="X427" t="str">
        <f>IFERROR(INDEX(Crosswalk_API!$H$2:$H$527, MATCH(POTABLE_NONPOTABLE_API[[#This Row],[PWSID]], CW_PWSID_LIST, 0)), "")</f>
        <v>No</v>
      </c>
    </row>
    <row r="428" spans="1:24" x14ac:dyDescent="0.25">
      <c r="A428" t="s">
        <v>837</v>
      </c>
      <c r="B428" t="s">
        <v>838</v>
      </c>
      <c r="C428" t="s">
        <v>839</v>
      </c>
      <c r="D428" t="s">
        <v>840</v>
      </c>
      <c r="E428" s="9">
        <v>45292</v>
      </c>
      <c r="F428" s="9">
        <v>45322</v>
      </c>
      <c r="G428">
        <v>51863204</v>
      </c>
      <c r="H428">
        <v>15892000</v>
      </c>
      <c r="I428">
        <v>11094000</v>
      </c>
      <c r="J428">
        <v>0</v>
      </c>
      <c r="K428">
        <v>27925000</v>
      </c>
      <c r="L428">
        <v>0</v>
      </c>
      <c r="M428">
        <v>276000</v>
      </c>
      <c r="T428" s="9">
        <v>45108</v>
      </c>
      <c r="U428" s="9">
        <v>45473</v>
      </c>
      <c r="V428">
        <f>SUM(POTABLE_NONPOTABLE_API[[#This Row],[RESIDENTIAL_SINGLEFAMILY_GAL]:[OTHER_GAL]])</f>
        <v>106774204</v>
      </c>
      <c r="W428">
        <f>SUM(POTABLE_NONPOTABLE_API[[#This Row],[NONPOTABLE_DEMAND_RESIDENTIAL_RECYCLED_WATER_GAL]:[NONPOTABLE_DEMAND_NONRESIDENTIAL_METERED_IRRIGATION_GAL]])</f>
        <v>0</v>
      </c>
      <c r="X428" t="str">
        <f>IFERROR(INDEX(Crosswalk_API!$H$2:$H$527, MATCH(POTABLE_NONPOTABLE_API[[#This Row],[PWSID]], CW_PWSID_LIST, 0)), "")</f>
        <v>No</v>
      </c>
    </row>
    <row r="429" spans="1:24" x14ac:dyDescent="0.25">
      <c r="A429" t="s">
        <v>837</v>
      </c>
      <c r="B429" t="s">
        <v>838</v>
      </c>
      <c r="C429" t="s">
        <v>839</v>
      </c>
      <c r="D429" t="s">
        <v>840</v>
      </c>
      <c r="E429" s="9">
        <v>45323</v>
      </c>
      <c r="F429" s="9">
        <v>45351</v>
      </c>
      <c r="G429">
        <v>39986129</v>
      </c>
      <c r="H429">
        <v>13614000</v>
      </c>
      <c r="I429">
        <v>11461000</v>
      </c>
      <c r="J429">
        <v>0</v>
      </c>
      <c r="K429">
        <v>26294000</v>
      </c>
      <c r="L429">
        <v>0</v>
      </c>
      <c r="M429">
        <v>159000</v>
      </c>
      <c r="T429" s="9">
        <v>45108</v>
      </c>
      <c r="U429" s="9">
        <v>45473</v>
      </c>
      <c r="V429">
        <f>SUM(POTABLE_NONPOTABLE_API[[#This Row],[RESIDENTIAL_SINGLEFAMILY_GAL]:[OTHER_GAL]])</f>
        <v>91355129</v>
      </c>
      <c r="W429">
        <f>SUM(POTABLE_NONPOTABLE_API[[#This Row],[NONPOTABLE_DEMAND_RESIDENTIAL_RECYCLED_WATER_GAL]:[NONPOTABLE_DEMAND_NONRESIDENTIAL_METERED_IRRIGATION_GAL]])</f>
        <v>0</v>
      </c>
      <c r="X429" t="str">
        <f>IFERROR(INDEX(Crosswalk_API!$H$2:$H$527, MATCH(POTABLE_NONPOTABLE_API[[#This Row],[PWSID]], CW_PWSID_LIST, 0)), "")</f>
        <v>No</v>
      </c>
    </row>
    <row r="430" spans="1:24" x14ac:dyDescent="0.25">
      <c r="A430" t="s">
        <v>837</v>
      </c>
      <c r="B430" t="s">
        <v>838</v>
      </c>
      <c r="C430" t="s">
        <v>839</v>
      </c>
      <c r="D430" t="s">
        <v>840</v>
      </c>
      <c r="E430" s="9">
        <v>45352</v>
      </c>
      <c r="F430" s="9">
        <v>45382</v>
      </c>
      <c r="G430">
        <v>50276172</v>
      </c>
      <c r="H430">
        <v>12999000</v>
      </c>
      <c r="I430">
        <v>14618000</v>
      </c>
      <c r="J430">
        <v>0</v>
      </c>
      <c r="K430">
        <v>24874000</v>
      </c>
      <c r="L430">
        <v>0</v>
      </c>
      <c r="M430">
        <v>287000</v>
      </c>
      <c r="T430" s="9">
        <v>45108</v>
      </c>
      <c r="U430" s="9">
        <v>45473</v>
      </c>
      <c r="V430">
        <f>SUM(POTABLE_NONPOTABLE_API[[#This Row],[RESIDENTIAL_SINGLEFAMILY_GAL]:[OTHER_GAL]])</f>
        <v>102767172</v>
      </c>
      <c r="W430">
        <f>SUM(POTABLE_NONPOTABLE_API[[#This Row],[NONPOTABLE_DEMAND_RESIDENTIAL_RECYCLED_WATER_GAL]:[NONPOTABLE_DEMAND_NONRESIDENTIAL_METERED_IRRIGATION_GAL]])</f>
        <v>0</v>
      </c>
      <c r="X430" t="str">
        <f>IFERROR(INDEX(Crosswalk_API!$H$2:$H$527, MATCH(POTABLE_NONPOTABLE_API[[#This Row],[PWSID]], CW_PWSID_LIST, 0)), "")</f>
        <v>No</v>
      </c>
    </row>
    <row r="431" spans="1:24" x14ac:dyDescent="0.25">
      <c r="A431" t="s">
        <v>837</v>
      </c>
      <c r="B431" t="s">
        <v>838</v>
      </c>
      <c r="C431" t="s">
        <v>839</v>
      </c>
      <c r="D431" t="s">
        <v>840</v>
      </c>
      <c r="E431" s="9">
        <v>45383</v>
      </c>
      <c r="F431" s="9">
        <v>45412</v>
      </c>
      <c r="G431">
        <v>63152207</v>
      </c>
      <c r="H431">
        <v>15531000</v>
      </c>
      <c r="I431">
        <v>16681000</v>
      </c>
      <c r="J431">
        <v>0</v>
      </c>
      <c r="K431">
        <v>28585000</v>
      </c>
      <c r="L431">
        <v>0</v>
      </c>
      <c r="M431">
        <v>225000</v>
      </c>
      <c r="T431" s="9">
        <v>45108</v>
      </c>
      <c r="U431" s="9">
        <v>45473</v>
      </c>
      <c r="V431">
        <f>SUM(POTABLE_NONPOTABLE_API[[#This Row],[RESIDENTIAL_SINGLEFAMILY_GAL]:[OTHER_GAL]])</f>
        <v>123949207</v>
      </c>
      <c r="W431">
        <f>SUM(POTABLE_NONPOTABLE_API[[#This Row],[NONPOTABLE_DEMAND_RESIDENTIAL_RECYCLED_WATER_GAL]:[NONPOTABLE_DEMAND_NONRESIDENTIAL_METERED_IRRIGATION_GAL]])</f>
        <v>0</v>
      </c>
      <c r="X431" t="str">
        <f>IFERROR(INDEX(Crosswalk_API!$H$2:$H$527, MATCH(POTABLE_NONPOTABLE_API[[#This Row],[PWSID]], CW_PWSID_LIST, 0)), "")</f>
        <v>No</v>
      </c>
    </row>
    <row r="432" spans="1:24" x14ac:dyDescent="0.25">
      <c r="A432" t="s">
        <v>837</v>
      </c>
      <c r="B432" t="s">
        <v>838</v>
      </c>
      <c r="C432" t="s">
        <v>839</v>
      </c>
      <c r="D432" t="s">
        <v>840</v>
      </c>
      <c r="E432" s="9">
        <v>45413</v>
      </c>
      <c r="F432" s="9">
        <v>45443</v>
      </c>
      <c r="G432">
        <v>75698220</v>
      </c>
      <c r="H432">
        <v>16158000</v>
      </c>
      <c r="I432">
        <v>17845000</v>
      </c>
      <c r="J432">
        <v>0</v>
      </c>
      <c r="K432">
        <v>26951000</v>
      </c>
      <c r="L432">
        <v>0</v>
      </c>
      <c r="M432">
        <v>626000</v>
      </c>
      <c r="T432" s="9">
        <v>45108</v>
      </c>
      <c r="U432" s="9">
        <v>45473</v>
      </c>
      <c r="V432">
        <f>SUM(POTABLE_NONPOTABLE_API[[#This Row],[RESIDENTIAL_SINGLEFAMILY_GAL]:[OTHER_GAL]])</f>
        <v>136652220</v>
      </c>
      <c r="W432">
        <f>SUM(POTABLE_NONPOTABLE_API[[#This Row],[NONPOTABLE_DEMAND_RESIDENTIAL_RECYCLED_WATER_GAL]:[NONPOTABLE_DEMAND_NONRESIDENTIAL_METERED_IRRIGATION_GAL]])</f>
        <v>0</v>
      </c>
      <c r="X432" t="str">
        <f>IFERROR(INDEX(Crosswalk_API!$H$2:$H$527, MATCH(POTABLE_NONPOTABLE_API[[#This Row],[PWSID]], CW_PWSID_LIST, 0)), "")</f>
        <v>No</v>
      </c>
    </row>
    <row r="433" spans="1:24" x14ac:dyDescent="0.25">
      <c r="A433" t="s">
        <v>837</v>
      </c>
      <c r="B433" t="s">
        <v>838</v>
      </c>
      <c r="C433" t="s">
        <v>839</v>
      </c>
      <c r="D433" t="s">
        <v>840</v>
      </c>
      <c r="E433" s="9">
        <v>45444</v>
      </c>
      <c r="F433" s="9">
        <v>45473</v>
      </c>
      <c r="G433">
        <v>94721242</v>
      </c>
      <c r="H433">
        <v>19736000</v>
      </c>
      <c r="I433">
        <v>22731000</v>
      </c>
      <c r="J433">
        <v>0</v>
      </c>
      <c r="K433">
        <v>25805000</v>
      </c>
      <c r="L433">
        <v>0</v>
      </c>
      <c r="M433">
        <v>685000</v>
      </c>
      <c r="T433" s="9">
        <v>45108</v>
      </c>
      <c r="U433" s="9">
        <v>45473</v>
      </c>
      <c r="V433">
        <f>SUM(POTABLE_NONPOTABLE_API[[#This Row],[RESIDENTIAL_SINGLEFAMILY_GAL]:[OTHER_GAL]])</f>
        <v>162993242</v>
      </c>
      <c r="W433">
        <f>SUM(POTABLE_NONPOTABLE_API[[#This Row],[NONPOTABLE_DEMAND_RESIDENTIAL_RECYCLED_WATER_GAL]:[NONPOTABLE_DEMAND_NONRESIDENTIAL_METERED_IRRIGATION_GAL]])</f>
        <v>0</v>
      </c>
      <c r="X433" t="str">
        <f>IFERROR(INDEX(Crosswalk_API!$H$2:$H$527, MATCH(POTABLE_NONPOTABLE_API[[#This Row],[PWSID]], CW_PWSID_LIST, 0)), "")</f>
        <v>No</v>
      </c>
    </row>
    <row r="434" spans="1:24" x14ac:dyDescent="0.25">
      <c r="A434" t="s">
        <v>842</v>
      </c>
      <c r="B434" t="s">
        <v>843</v>
      </c>
      <c r="C434" t="s">
        <v>844</v>
      </c>
      <c r="D434" t="s">
        <v>845</v>
      </c>
      <c r="E434" s="9">
        <v>45108</v>
      </c>
      <c r="F434" s="9">
        <v>45138</v>
      </c>
      <c r="G434">
        <v>115556080.752</v>
      </c>
      <c r="H434">
        <v>38716179.311999999</v>
      </c>
      <c r="I434">
        <v>86829387.848000005</v>
      </c>
      <c r="J434">
        <v>41721104.196000002</v>
      </c>
      <c r="K434">
        <v>0</v>
      </c>
      <c r="L434">
        <v>153350.66</v>
      </c>
      <c r="M434">
        <v>0</v>
      </c>
      <c r="T434" s="9">
        <v>45108</v>
      </c>
      <c r="U434" s="9">
        <v>45473</v>
      </c>
      <c r="V434">
        <f>SUM(POTABLE_NONPOTABLE_API[[#This Row],[RESIDENTIAL_SINGLEFAMILY_GAL]:[OTHER_GAL]])</f>
        <v>282976102.76800001</v>
      </c>
      <c r="W434">
        <f>SUM(POTABLE_NONPOTABLE_API[[#This Row],[NONPOTABLE_DEMAND_RESIDENTIAL_RECYCLED_WATER_GAL]:[NONPOTABLE_DEMAND_NONRESIDENTIAL_METERED_IRRIGATION_GAL]])</f>
        <v>0</v>
      </c>
      <c r="X434" t="str">
        <f>IFERROR(INDEX(Crosswalk_API!$H$2:$H$527, MATCH(POTABLE_NONPOTABLE_API[[#This Row],[PWSID]], CW_PWSID_LIST, 0)), "")</f>
        <v>No</v>
      </c>
    </row>
    <row r="435" spans="1:24" x14ac:dyDescent="0.25">
      <c r="A435" t="s">
        <v>842</v>
      </c>
      <c r="B435" t="s">
        <v>843</v>
      </c>
      <c r="C435" t="s">
        <v>844</v>
      </c>
      <c r="D435" t="s">
        <v>845</v>
      </c>
      <c r="E435" s="9">
        <v>45139</v>
      </c>
      <c r="F435" s="9">
        <v>45169</v>
      </c>
      <c r="G435">
        <v>97928983.42400001</v>
      </c>
      <c r="H435">
        <v>33242682.828000002</v>
      </c>
      <c r="I435">
        <v>685778915.15600002</v>
      </c>
      <c r="J435">
        <v>52228242.588</v>
      </c>
      <c r="K435">
        <v>0</v>
      </c>
      <c r="L435">
        <v>94254.551999999996</v>
      </c>
      <c r="M435">
        <v>0</v>
      </c>
      <c r="T435" s="9">
        <v>45108</v>
      </c>
      <c r="U435" s="9">
        <v>45473</v>
      </c>
      <c r="V435">
        <f>SUM(POTABLE_NONPOTABLE_API[[#This Row],[RESIDENTIAL_SINGLEFAMILY_GAL]:[OTHER_GAL]])</f>
        <v>869273078.5480001</v>
      </c>
      <c r="W435">
        <f>SUM(POTABLE_NONPOTABLE_API[[#This Row],[NONPOTABLE_DEMAND_RESIDENTIAL_RECYCLED_WATER_GAL]:[NONPOTABLE_DEMAND_NONRESIDENTIAL_METERED_IRRIGATION_GAL]])</f>
        <v>0</v>
      </c>
      <c r="X435" t="str">
        <f>IFERROR(INDEX(Crosswalk_API!$H$2:$H$527, MATCH(POTABLE_NONPOTABLE_API[[#This Row],[PWSID]], CW_PWSID_LIST, 0)), "")</f>
        <v>No</v>
      </c>
    </row>
    <row r="436" spans="1:24" x14ac:dyDescent="0.25">
      <c r="A436" t="s">
        <v>842</v>
      </c>
      <c r="B436" t="s">
        <v>843</v>
      </c>
      <c r="C436" t="s">
        <v>844</v>
      </c>
      <c r="D436" t="s">
        <v>845</v>
      </c>
      <c r="E436" s="9">
        <v>45170</v>
      </c>
      <c r="F436" s="9">
        <v>45199</v>
      </c>
      <c r="G436">
        <v>104526054.01200001</v>
      </c>
      <c r="H436">
        <v>35875825.868000001</v>
      </c>
      <c r="I436">
        <v>79585252.280000001</v>
      </c>
      <c r="J436">
        <v>51954455.556000002</v>
      </c>
      <c r="K436">
        <v>0</v>
      </c>
      <c r="L436">
        <v>0</v>
      </c>
      <c r="M436">
        <v>0</v>
      </c>
      <c r="T436" s="9">
        <v>45108</v>
      </c>
      <c r="U436" s="9">
        <v>45473</v>
      </c>
      <c r="V436">
        <f>SUM(POTABLE_NONPOTABLE_API[[#This Row],[RESIDENTIAL_SINGLEFAMILY_GAL]:[OTHER_GAL]])</f>
        <v>271941587.71600002</v>
      </c>
      <c r="W436">
        <f>SUM(POTABLE_NONPOTABLE_API[[#This Row],[NONPOTABLE_DEMAND_RESIDENTIAL_RECYCLED_WATER_GAL]:[NONPOTABLE_DEMAND_NONRESIDENTIAL_METERED_IRRIGATION_GAL]])</f>
        <v>0</v>
      </c>
      <c r="X436" t="str">
        <f>IFERROR(INDEX(Crosswalk_API!$H$2:$H$527, MATCH(POTABLE_NONPOTABLE_API[[#This Row],[PWSID]], CW_PWSID_LIST, 0)), "")</f>
        <v>No</v>
      </c>
    </row>
    <row r="437" spans="1:24" x14ac:dyDescent="0.25">
      <c r="A437" t="s">
        <v>842</v>
      </c>
      <c r="B437" t="s">
        <v>843</v>
      </c>
      <c r="C437" t="s">
        <v>844</v>
      </c>
      <c r="D437" t="s">
        <v>845</v>
      </c>
      <c r="E437" s="9">
        <v>45200</v>
      </c>
      <c r="F437" s="9">
        <v>45230</v>
      </c>
      <c r="G437">
        <v>152450753.44400001</v>
      </c>
      <c r="H437">
        <v>49356470.960000001</v>
      </c>
      <c r="I437">
        <v>132603437.78</v>
      </c>
      <c r="J437">
        <v>84515663.012000009</v>
      </c>
      <c r="K437">
        <v>0</v>
      </c>
      <c r="L437">
        <v>427885.74400000001</v>
      </c>
      <c r="M437">
        <v>0</v>
      </c>
      <c r="T437" s="9">
        <v>45108</v>
      </c>
      <c r="U437" s="9">
        <v>45473</v>
      </c>
      <c r="V437">
        <f>SUM(POTABLE_NONPOTABLE_API[[#This Row],[RESIDENTIAL_SINGLEFAMILY_GAL]:[OTHER_GAL]])</f>
        <v>419354210.94000006</v>
      </c>
      <c r="W437">
        <f>SUM(POTABLE_NONPOTABLE_API[[#This Row],[NONPOTABLE_DEMAND_RESIDENTIAL_RECYCLED_WATER_GAL]:[NONPOTABLE_DEMAND_NONRESIDENTIAL_METERED_IRRIGATION_GAL]])</f>
        <v>0</v>
      </c>
      <c r="X437" t="str">
        <f>IFERROR(INDEX(Crosswalk_API!$H$2:$H$527, MATCH(POTABLE_NONPOTABLE_API[[#This Row],[PWSID]], CW_PWSID_LIST, 0)), "")</f>
        <v>No</v>
      </c>
    </row>
    <row r="438" spans="1:24" x14ac:dyDescent="0.25">
      <c r="A438" t="s">
        <v>842</v>
      </c>
      <c r="B438" t="s">
        <v>843</v>
      </c>
      <c r="C438" t="s">
        <v>844</v>
      </c>
      <c r="D438" t="s">
        <v>845</v>
      </c>
      <c r="E438" s="9">
        <v>45231</v>
      </c>
      <c r="F438" s="9">
        <v>45260</v>
      </c>
      <c r="G438">
        <v>86001294.284000009</v>
      </c>
      <c r="H438">
        <v>30840687.856000002</v>
      </c>
      <c r="I438">
        <v>63828284.952</v>
      </c>
      <c r="J438">
        <v>33159649.056000002</v>
      </c>
      <c r="K438">
        <v>0</v>
      </c>
      <c r="L438">
        <v>323906.516</v>
      </c>
      <c r="M438">
        <v>0</v>
      </c>
      <c r="T438" s="9">
        <v>45108</v>
      </c>
      <c r="U438" s="9">
        <v>45473</v>
      </c>
      <c r="V438">
        <f>SUM(POTABLE_NONPOTABLE_API[[#This Row],[RESIDENTIAL_SINGLEFAMILY_GAL]:[OTHER_GAL]])</f>
        <v>214153822.664</v>
      </c>
      <c r="W438">
        <f>SUM(POTABLE_NONPOTABLE_API[[#This Row],[NONPOTABLE_DEMAND_RESIDENTIAL_RECYCLED_WATER_GAL]:[NONPOTABLE_DEMAND_NONRESIDENTIAL_METERED_IRRIGATION_GAL]])</f>
        <v>0</v>
      </c>
      <c r="X438" t="str">
        <f>IFERROR(INDEX(Crosswalk_API!$H$2:$H$527, MATCH(POTABLE_NONPOTABLE_API[[#This Row],[PWSID]], CW_PWSID_LIST, 0)), "")</f>
        <v>No</v>
      </c>
    </row>
    <row r="439" spans="1:24" x14ac:dyDescent="0.25">
      <c r="A439" t="s">
        <v>842</v>
      </c>
      <c r="B439" t="s">
        <v>843</v>
      </c>
      <c r="C439" t="s">
        <v>844</v>
      </c>
      <c r="D439" t="s">
        <v>845</v>
      </c>
      <c r="E439" s="9">
        <v>45261</v>
      </c>
      <c r="F439" s="9">
        <v>45291</v>
      </c>
      <c r="G439">
        <v>84317429.232000008</v>
      </c>
      <c r="H439">
        <v>32663690.580000002</v>
      </c>
      <c r="I439">
        <v>55010996.028000005</v>
      </c>
      <c r="J439">
        <v>21029237.824000001</v>
      </c>
      <c r="K439">
        <v>0</v>
      </c>
      <c r="L439">
        <v>254337.68</v>
      </c>
      <c r="M439">
        <v>0</v>
      </c>
      <c r="T439" s="9">
        <v>45108</v>
      </c>
      <c r="U439" s="9">
        <v>45473</v>
      </c>
      <c r="V439">
        <f>SUM(POTABLE_NONPOTABLE_API[[#This Row],[RESIDENTIAL_SINGLEFAMILY_GAL]:[OTHER_GAL]])</f>
        <v>193275691.34400001</v>
      </c>
      <c r="W439">
        <f>SUM(POTABLE_NONPOTABLE_API[[#This Row],[NONPOTABLE_DEMAND_RESIDENTIAL_RECYCLED_WATER_GAL]:[NONPOTABLE_DEMAND_NONRESIDENTIAL_METERED_IRRIGATION_GAL]])</f>
        <v>0</v>
      </c>
      <c r="X439" t="str">
        <f>IFERROR(INDEX(Crosswalk_API!$H$2:$H$527, MATCH(POTABLE_NONPOTABLE_API[[#This Row],[PWSID]], CW_PWSID_LIST, 0)), "")</f>
        <v>No</v>
      </c>
    </row>
    <row r="440" spans="1:24" x14ac:dyDescent="0.25">
      <c r="A440" t="s">
        <v>842</v>
      </c>
      <c r="B440" t="s">
        <v>843</v>
      </c>
      <c r="C440" t="s">
        <v>844</v>
      </c>
      <c r="D440" t="s">
        <v>845</v>
      </c>
      <c r="E440" s="9">
        <v>45292</v>
      </c>
      <c r="F440" s="9">
        <v>45322</v>
      </c>
      <c r="G440">
        <v>83618748.664000005</v>
      </c>
      <c r="H440">
        <v>32663690.580000002</v>
      </c>
      <c r="I440">
        <v>54267432.340000004</v>
      </c>
      <c r="J440">
        <v>21018765.096000001</v>
      </c>
      <c r="K440">
        <v>0</v>
      </c>
      <c r="L440">
        <v>304457.16399999999</v>
      </c>
      <c r="M440">
        <v>0</v>
      </c>
      <c r="T440" s="9">
        <v>45108</v>
      </c>
      <c r="U440" s="9">
        <v>45473</v>
      </c>
      <c r="V440">
        <f>SUM(POTABLE_NONPOTABLE_API[[#This Row],[RESIDENTIAL_SINGLEFAMILY_GAL]:[OTHER_GAL]])</f>
        <v>191873093.84400001</v>
      </c>
      <c r="W440">
        <f>SUM(POTABLE_NONPOTABLE_API[[#This Row],[NONPOTABLE_DEMAND_RESIDENTIAL_RECYCLED_WATER_GAL]:[NONPOTABLE_DEMAND_NONRESIDENTIAL_METERED_IRRIGATION_GAL]])</f>
        <v>0</v>
      </c>
      <c r="X440" t="str">
        <f>IFERROR(INDEX(Crosswalk_API!$H$2:$H$527, MATCH(POTABLE_NONPOTABLE_API[[#This Row],[PWSID]], CW_PWSID_LIST, 0)), "")</f>
        <v>No</v>
      </c>
    </row>
    <row r="441" spans="1:24" x14ac:dyDescent="0.25">
      <c r="A441" t="s">
        <v>842</v>
      </c>
      <c r="B441" t="s">
        <v>843</v>
      </c>
      <c r="C441" t="s">
        <v>844</v>
      </c>
      <c r="D441" t="s">
        <v>845</v>
      </c>
      <c r="E441" s="9">
        <v>45323</v>
      </c>
      <c r="F441" s="9">
        <v>45351</v>
      </c>
      <c r="G441">
        <v>69545646.387999997</v>
      </c>
      <c r="H441">
        <v>29766485.184</v>
      </c>
      <c r="I441">
        <v>46140595.412</v>
      </c>
      <c r="J441">
        <v>10169766.939999999</v>
      </c>
      <c r="K441">
        <v>0</v>
      </c>
      <c r="L441">
        <v>142877.932</v>
      </c>
      <c r="M441">
        <v>0</v>
      </c>
      <c r="T441" s="9">
        <v>45108</v>
      </c>
      <c r="U441" s="9">
        <v>45473</v>
      </c>
      <c r="V441">
        <f>SUM(POTABLE_NONPOTABLE_API[[#This Row],[RESIDENTIAL_SINGLEFAMILY_GAL]:[OTHER_GAL]])</f>
        <v>155765371.85600001</v>
      </c>
      <c r="W441">
        <f>SUM(POTABLE_NONPOTABLE_API[[#This Row],[NONPOTABLE_DEMAND_RESIDENTIAL_RECYCLED_WATER_GAL]:[NONPOTABLE_DEMAND_NONRESIDENTIAL_METERED_IRRIGATION_GAL]])</f>
        <v>0</v>
      </c>
      <c r="X441" t="str">
        <f>IFERROR(INDEX(Crosswalk_API!$H$2:$H$527, MATCH(POTABLE_NONPOTABLE_API[[#This Row],[PWSID]], CW_PWSID_LIST, 0)), "")</f>
        <v>No</v>
      </c>
    </row>
    <row r="442" spans="1:24" x14ac:dyDescent="0.25">
      <c r="A442" t="s">
        <v>842</v>
      </c>
      <c r="B442" t="s">
        <v>843</v>
      </c>
      <c r="C442" t="s">
        <v>844</v>
      </c>
      <c r="D442" t="s">
        <v>845</v>
      </c>
      <c r="E442" s="9">
        <v>45352</v>
      </c>
      <c r="F442" s="9">
        <v>45382</v>
      </c>
      <c r="G442">
        <v>59184378.136</v>
      </c>
      <c r="H442">
        <v>26943336.936000001</v>
      </c>
      <c r="I442">
        <v>41467514.568000004</v>
      </c>
      <c r="J442">
        <v>4694774.352</v>
      </c>
      <c r="K442">
        <v>0</v>
      </c>
      <c r="L442">
        <v>144374.03599999999</v>
      </c>
      <c r="M442">
        <v>0</v>
      </c>
      <c r="T442" s="9">
        <v>45108</v>
      </c>
      <c r="U442" s="9">
        <v>45473</v>
      </c>
      <c r="V442">
        <f>SUM(POTABLE_NONPOTABLE_API[[#This Row],[RESIDENTIAL_SINGLEFAMILY_GAL]:[OTHER_GAL]])</f>
        <v>132434378.028</v>
      </c>
      <c r="W442">
        <f>SUM(POTABLE_NONPOTABLE_API[[#This Row],[NONPOTABLE_DEMAND_RESIDENTIAL_RECYCLED_WATER_GAL]:[NONPOTABLE_DEMAND_NONRESIDENTIAL_METERED_IRRIGATION_GAL]])</f>
        <v>0</v>
      </c>
      <c r="X442" t="str">
        <f>IFERROR(INDEX(Crosswalk_API!$H$2:$H$527, MATCH(POTABLE_NONPOTABLE_API[[#This Row],[PWSID]], CW_PWSID_LIST, 0)), "")</f>
        <v>No</v>
      </c>
    </row>
    <row r="443" spans="1:24" x14ac:dyDescent="0.25">
      <c r="A443" t="s">
        <v>842</v>
      </c>
      <c r="B443" t="s">
        <v>843</v>
      </c>
      <c r="C443" t="s">
        <v>844</v>
      </c>
      <c r="D443" t="s">
        <v>845</v>
      </c>
      <c r="E443" s="9">
        <v>45383</v>
      </c>
      <c r="F443" s="9">
        <v>45412</v>
      </c>
      <c r="G443">
        <v>69912939.920000002</v>
      </c>
      <c r="H443">
        <v>31116719.044</v>
      </c>
      <c r="I443">
        <v>52239463.368000001</v>
      </c>
      <c r="J443">
        <v>13786598.360000001</v>
      </c>
      <c r="K443">
        <v>0</v>
      </c>
      <c r="L443">
        <v>174296.11600000001</v>
      </c>
      <c r="M443">
        <v>0</v>
      </c>
      <c r="T443" s="9">
        <v>45108</v>
      </c>
      <c r="U443" s="9">
        <v>45473</v>
      </c>
      <c r="V443">
        <f>SUM(POTABLE_NONPOTABLE_API[[#This Row],[RESIDENTIAL_SINGLEFAMILY_GAL]:[OTHER_GAL]])</f>
        <v>167230016.80800003</v>
      </c>
      <c r="W443">
        <f>SUM(POTABLE_NONPOTABLE_API[[#This Row],[NONPOTABLE_DEMAND_RESIDENTIAL_RECYCLED_WATER_GAL]:[NONPOTABLE_DEMAND_NONRESIDENTIAL_METERED_IRRIGATION_GAL]])</f>
        <v>0</v>
      </c>
      <c r="X443" t="str">
        <f>IFERROR(INDEX(Crosswalk_API!$H$2:$H$527, MATCH(POTABLE_NONPOTABLE_API[[#This Row],[PWSID]], CW_PWSID_LIST, 0)), "")</f>
        <v>No</v>
      </c>
    </row>
    <row r="444" spans="1:24" x14ac:dyDescent="0.25">
      <c r="A444" t="s">
        <v>842</v>
      </c>
      <c r="B444" t="s">
        <v>843</v>
      </c>
      <c r="C444" t="s">
        <v>844</v>
      </c>
      <c r="D444" t="s">
        <v>845</v>
      </c>
      <c r="E444" s="9">
        <v>45413</v>
      </c>
      <c r="F444" s="9">
        <v>45443</v>
      </c>
      <c r="G444">
        <v>80667683.524000004</v>
      </c>
      <c r="H444">
        <v>29423129.316</v>
      </c>
      <c r="I444">
        <v>58324118.336000003</v>
      </c>
      <c r="J444">
        <v>30866869.675999999</v>
      </c>
      <c r="K444">
        <v>0</v>
      </c>
      <c r="L444">
        <v>325402.62</v>
      </c>
      <c r="M444">
        <v>0</v>
      </c>
      <c r="T444" s="9">
        <v>45108</v>
      </c>
      <c r="U444" s="9">
        <v>45473</v>
      </c>
      <c r="V444">
        <f>SUM(POTABLE_NONPOTABLE_API[[#This Row],[RESIDENTIAL_SINGLEFAMILY_GAL]:[OTHER_GAL]])</f>
        <v>199607203.472</v>
      </c>
      <c r="W444">
        <f>SUM(POTABLE_NONPOTABLE_API[[#This Row],[NONPOTABLE_DEMAND_RESIDENTIAL_RECYCLED_WATER_GAL]:[NONPOTABLE_DEMAND_NONRESIDENTIAL_METERED_IRRIGATION_GAL]])</f>
        <v>0</v>
      </c>
      <c r="X444" t="str">
        <f>IFERROR(INDEX(Crosswalk_API!$H$2:$H$527, MATCH(POTABLE_NONPOTABLE_API[[#This Row],[PWSID]], CW_PWSID_LIST, 0)), "")</f>
        <v>No</v>
      </c>
    </row>
    <row r="445" spans="1:24" x14ac:dyDescent="0.25">
      <c r="A445" t="s">
        <v>842</v>
      </c>
      <c r="B445" t="s">
        <v>843</v>
      </c>
      <c r="C445" t="s">
        <v>844</v>
      </c>
      <c r="D445" t="s">
        <v>845</v>
      </c>
      <c r="E445" s="9">
        <v>45444</v>
      </c>
      <c r="F445" s="9">
        <v>45473</v>
      </c>
      <c r="G445">
        <v>92029097.299999997</v>
      </c>
      <c r="H445">
        <v>30153976.120000001</v>
      </c>
      <c r="I445">
        <v>67278300.776000008</v>
      </c>
      <c r="J445">
        <v>43243390.016000003</v>
      </c>
      <c r="K445">
        <v>0</v>
      </c>
      <c r="L445">
        <v>428633.79600000003</v>
      </c>
      <c r="M445">
        <v>0</v>
      </c>
      <c r="T445" s="9">
        <v>45108</v>
      </c>
      <c r="U445" s="9">
        <v>45473</v>
      </c>
      <c r="V445">
        <f>SUM(POTABLE_NONPOTABLE_API[[#This Row],[RESIDENTIAL_SINGLEFAMILY_GAL]:[OTHER_GAL]])</f>
        <v>233133398.00800002</v>
      </c>
      <c r="W445">
        <f>SUM(POTABLE_NONPOTABLE_API[[#This Row],[NONPOTABLE_DEMAND_RESIDENTIAL_RECYCLED_WATER_GAL]:[NONPOTABLE_DEMAND_NONRESIDENTIAL_METERED_IRRIGATION_GAL]])</f>
        <v>0</v>
      </c>
      <c r="X445" t="str">
        <f>IFERROR(INDEX(Crosswalk_API!$H$2:$H$527, MATCH(POTABLE_NONPOTABLE_API[[#This Row],[PWSID]], CW_PWSID_LIST, 0)), "")</f>
        <v>No</v>
      </c>
    </row>
    <row r="446" spans="1:24" x14ac:dyDescent="0.25">
      <c r="A446" t="s">
        <v>846</v>
      </c>
      <c r="B446" t="s">
        <v>847</v>
      </c>
      <c r="C446" t="s">
        <v>848</v>
      </c>
      <c r="D446" t="s">
        <v>849</v>
      </c>
      <c r="E446" s="9">
        <v>45108</v>
      </c>
      <c r="F446" s="9">
        <v>45138</v>
      </c>
      <c r="G446">
        <v>267108999.99999997</v>
      </c>
      <c r="H446">
        <v>11380000</v>
      </c>
      <c r="I446">
        <v>21082000</v>
      </c>
      <c r="J446">
        <v>64417000</v>
      </c>
      <c r="K446">
        <v>0</v>
      </c>
      <c r="L446">
        <v>2201000</v>
      </c>
      <c r="M446">
        <v>0</v>
      </c>
      <c r="N446">
        <v>0</v>
      </c>
      <c r="O446">
        <v>0</v>
      </c>
      <c r="P446">
        <v>0</v>
      </c>
      <c r="Q446">
        <v>74878000</v>
      </c>
      <c r="R446">
        <v>0</v>
      </c>
      <c r="T446" s="9">
        <v>45108</v>
      </c>
      <c r="U446" s="9">
        <v>45473</v>
      </c>
      <c r="V446">
        <f>SUM(POTABLE_NONPOTABLE_API[[#This Row],[RESIDENTIAL_SINGLEFAMILY_GAL]:[OTHER_GAL]])</f>
        <v>366189000</v>
      </c>
      <c r="W446">
        <f>SUM(POTABLE_NONPOTABLE_API[[#This Row],[NONPOTABLE_DEMAND_RESIDENTIAL_RECYCLED_WATER_GAL]:[NONPOTABLE_DEMAND_NONRESIDENTIAL_METERED_IRRIGATION_GAL]])</f>
        <v>74878000</v>
      </c>
      <c r="X446" t="str">
        <f>IFERROR(INDEX(Crosswalk_API!$H$2:$H$527, MATCH(POTABLE_NONPOTABLE_API[[#This Row],[PWSID]], CW_PWSID_LIST, 0)), "")</f>
        <v>No</v>
      </c>
    </row>
    <row r="447" spans="1:24" x14ac:dyDescent="0.25">
      <c r="A447" t="s">
        <v>846</v>
      </c>
      <c r="B447" t="s">
        <v>847</v>
      </c>
      <c r="C447" t="s">
        <v>848</v>
      </c>
      <c r="D447" t="s">
        <v>849</v>
      </c>
      <c r="E447" s="9">
        <v>45139</v>
      </c>
      <c r="F447" s="9">
        <v>45169</v>
      </c>
      <c r="G447">
        <v>274950000</v>
      </c>
      <c r="H447">
        <v>13364000</v>
      </c>
      <c r="I447">
        <v>21705000</v>
      </c>
      <c r="J447">
        <v>65874000</v>
      </c>
      <c r="K447">
        <v>0</v>
      </c>
      <c r="L447">
        <v>2636000</v>
      </c>
      <c r="M447">
        <v>0</v>
      </c>
      <c r="N447">
        <v>0</v>
      </c>
      <c r="O447">
        <v>0</v>
      </c>
      <c r="P447">
        <v>0</v>
      </c>
      <c r="Q447">
        <v>74297000</v>
      </c>
      <c r="R447">
        <v>0</v>
      </c>
      <c r="T447" s="9">
        <v>45108</v>
      </c>
      <c r="U447" s="9">
        <v>45473</v>
      </c>
      <c r="V447">
        <f>SUM(POTABLE_NONPOTABLE_API[[#This Row],[RESIDENTIAL_SINGLEFAMILY_GAL]:[OTHER_GAL]])</f>
        <v>378529000</v>
      </c>
      <c r="W447">
        <f>SUM(POTABLE_NONPOTABLE_API[[#This Row],[NONPOTABLE_DEMAND_RESIDENTIAL_RECYCLED_WATER_GAL]:[NONPOTABLE_DEMAND_NONRESIDENTIAL_METERED_IRRIGATION_GAL]])</f>
        <v>74297000</v>
      </c>
      <c r="X447" t="str">
        <f>IFERROR(INDEX(Crosswalk_API!$H$2:$H$527, MATCH(POTABLE_NONPOTABLE_API[[#This Row],[PWSID]], CW_PWSID_LIST, 0)), "")</f>
        <v>No</v>
      </c>
    </row>
    <row r="448" spans="1:24" x14ac:dyDescent="0.25">
      <c r="A448" t="s">
        <v>846</v>
      </c>
      <c r="B448" t="s">
        <v>847</v>
      </c>
      <c r="C448" t="s">
        <v>848</v>
      </c>
      <c r="D448" t="s">
        <v>849</v>
      </c>
      <c r="E448" s="9">
        <v>45170</v>
      </c>
      <c r="F448" s="9">
        <v>45199</v>
      </c>
      <c r="G448">
        <v>253816000</v>
      </c>
      <c r="H448">
        <v>12918000</v>
      </c>
      <c r="I448">
        <v>34477000</v>
      </c>
      <c r="J448">
        <v>63716000</v>
      </c>
      <c r="K448">
        <v>0</v>
      </c>
      <c r="L448">
        <v>103000</v>
      </c>
      <c r="M448">
        <v>0</v>
      </c>
      <c r="N448">
        <v>0</v>
      </c>
      <c r="O448">
        <v>0</v>
      </c>
      <c r="P448">
        <v>0</v>
      </c>
      <c r="Q448">
        <v>67504000</v>
      </c>
      <c r="R448">
        <v>0</v>
      </c>
      <c r="S448">
        <v>0</v>
      </c>
      <c r="T448" s="9">
        <v>45108</v>
      </c>
      <c r="U448" s="9">
        <v>45473</v>
      </c>
      <c r="V448">
        <f>SUM(POTABLE_NONPOTABLE_API[[#This Row],[RESIDENTIAL_SINGLEFAMILY_GAL]:[OTHER_GAL]])</f>
        <v>365030000</v>
      </c>
      <c r="W448">
        <f>SUM(POTABLE_NONPOTABLE_API[[#This Row],[NONPOTABLE_DEMAND_RESIDENTIAL_RECYCLED_WATER_GAL]:[NONPOTABLE_DEMAND_NONRESIDENTIAL_METERED_IRRIGATION_GAL]])</f>
        <v>67504000</v>
      </c>
      <c r="X448" t="str">
        <f>IFERROR(INDEX(Crosswalk_API!$H$2:$H$527, MATCH(POTABLE_NONPOTABLE_API[[#This Row],[PWSID]], CW_PWSID_LIST, 0)), "")</f>
        <v>No</v>
      </c>
    </row>
    <row r="449" spans="1:24" x14ac:dyDescent="0.25">
      <c r="A449" t="s">
        <v>846</v>
      </c>
      <c r="B449" t="s">
        <v>847</v>
      </c>
      <c r="C449" t="s">
        <v>848</v>
      </c>
      <c r="D449" t="s">
        <v>849</v>
      </c>
      <c r="E449" s="9">
        <v>45200</v>
      </c>
      <c r="F449" s="9">
        <v>45230</v>
      </c>
      <c r="G449">
        <v>214178000</v>
      </c>
      <c r="H449">
        <v>11085000</v>
      </c>
      <c r="I449">
        <v>19390000</v>
      </c>
      <c r="J449">
        <v>55830000</v>
      </c>
      <c r="K449">
        <v>0</v>
      </c>
      <c r="L449">
        <v>235000</v>
      </c>
      <c r="M449">
        <v>0</v>
      </c>
      <c r="N449">
        <v>0</v>
      </c>
      <c r="O449">
        <v>0</v>
      </c>
      <c r="P449">
        <v>0</v>
      </c>
      <c r="Q449">
        <v>49624000</v>
      </c>
      <c r="R449">
        <v>0</v>
      </c>
      <c r="T449" s="9">
        <v>45108</v>
      </c>
      <c r="U449" s="9">
        <v>45473</v>
      </c>
      <c r="V449">
        <f>SUM(POTABLE_NONPOTABLE_API[[#This Row],[RESIDENTIAL_SINGLEFAMILY_GAL]:[OTHER_GAL]])</f>
        <v>300718000</v>
      </c>
      <c r="W449">
        <f>SUM(POTABLE_NONPOTABLE_API[[#This Row],[NONPOTABLE_DEMAND_RESIDENTIAL_RECYCLED_WATER_GAL]:[NONPOTABLE_DEMAND_NONRESIDENTIAL_METERED_IRRIGATION_GAL]])</f>
        <v>49624000</v>
      </c>
      <c r="X449" t="str">
        <f>IFERROR(INDEX(Crosswalk_API!$H$2:$H$527, MATCH(POTABLE_NONPOTABLE_API[[#This Row],[PWSID]], CW_PWSID_LIST, 0)), "")</f>
        <v>No</v>
      </c>
    </row>
    <row r="450" spans="1:24" x14ac:dyDescent="0.25">
      <c r="A450" t="s">
        <v>846</v>
      </c>
      <c r="B450" t="s">
        <v>847</v>
      </c>
      <c r="C450" t="s">
        <v>848</v>
      </c>
      <c r="D450" t="s">
        <v>849</v>
      </c>
      <c r="E450" s="9">
        <v>45231</v>
      </c>
      <c r="F450" s="9">
        <v>45260</v>
      </c>
      <c r="G450">
        <v>187730000</v>
      </c>
      <c r="H450">
        <v>11512000</v>
      </c>
      <c r="I450">
        <v>19122000</v>
      </c>
      <c r="J450">
        <v>36181000</v>
      </c>
      <c r="K450">
        <v>0</v>
      </c>
      <c r="L450">
        <v>2000</v>
      </c>
      <c r="M450">
        <v>0</v>
      </c>
      <c r="N450">
        <v>0</v>
      </c>
      <c r="O450">
        <v>0</v>
      </c>
      <c r="P450">
        <v>0</v>
      </c>
      <c r="Q450">
        <v>30245000</v>
      </c>
      <c r="R450">
        <v>0</v>
      </c>
      <c r="S450">
        <v>0</v>
      </c>
      <c r="T450" s="9">
        <v>45108</v>
      </c>
      <c r="U450" s="9">
        <v>45473</v>
      </c>
      <c r="V450">
        <f>SUM(POTABLE_NONPOTABLE_API[[#This Row],[RESIDENTIAL_SINGLEFAMILY_GAL]:[OTHER_GAL]])</f>
        <v>254547000</v>
      </c>
      <c r="W450">
        <f>SUM(POTABLE_NONPOTABLE_API[[#This Row],[NONPOTABLE_DEMAND_RESIDENTIAL_RECYCLED_WATER_GAL]:[NONPOTABLE_DEMAND_NONRESIDENTIAL_METERED_IRRIGATION_GAL]])</f>
        <v>30245000</v>
      </c>
      <c r="X450" t="str">
        <f>IFERROR(INDEX(Crosswalk_API!$H$2:$H$527, MATCH(POTABLE_NONPOTABLE_API[[#This Row],[PWSID]], CW_PWSID_LIST, 0)), "")</f>
        <v>No</v>
      </c>
    </row>
    <row r="451" spans="1:24" x14ac:dyDescent="0.25">
      <c r="A451" t="s">
        <v>846</v>
      </c>
      <c r="B451" t="s">
        <v>847</v>
      </c>
      <c r="C451" t="s">
        <v>848</v>
      </c>
      <c r="D451" t="s">
        <v>849</v>
      </c>
      <c r="E451" s="9">
        <v>45261</v>
      </c>
      <c r="F451" s="9">
        <v>45291</v>
      </c>
      <c r="G451">
        <v>131005000</v>
      </c>
      <c r="H451">
        <v>9299000</v>
      </c>
      <c r="I451">
        <v>15222000</v>
      </c>
      <c r="J451">
        <v>15294000</v>
      </c>
      <c r="K451">
        <v>0</v>
      </c>
      <c r="L451">
        <v>262000</v>
      </c>
      <c r="M451">
        <v>0</v>
      </c>
      <c r="N451">
        <v>0</v>
      </c>
      <c r="O451">
        <v>0</v>
      </c>
      <c r="P451">
        <v>0</v>
      </c>
      <c r="Q451">
        <v>8882000</v>
      </c>
      <c r="R451">
        <v>0</v>
      </c>
      <c r="S451">
        <v>0</v>
      </c>
      <c r="T451" s="9">
        <v>45108</v>
      </c>
      <c r="U451" s="9">
        <v>45473</v>
      </c>
      <c r="V451">
        <f>SUM(POTABLE_NONPOTABLE_API[[#This Row],[RESIDENTIAL_SINGLEFAMILY_GAL]:[OTHER_GAL]])</f>
        <v>171082000</v>
      </c>
      <c r="W451">
        <f>SUM(POTABLE_NONPOTABLE_API[[#This Row],[NONPOTABLE_DEMAND_RESIDENTIAL_RECYCLED_WATER_GAL]:[NONPOTABLE_DEMAND_NONRESIDENTIAL_METERED_IRRIGATION_GAL]])</f>
        <v>8882000</v>
      </c>
      <c r="X451" t="str">
        <f>IFERROR(INDEX(Crosswalk_API!$H$2:$H$527, MATCH(POTABLE_NONPOTABLE_API[[#This Row],[PWSID]], CW_PWSID_LIST, 0)), "")</f>
        <v>No</v>
      </c>
    </row>
    <row r="452" spans="1:24" x14ac:dyDescent="0.25">
      <c r="A452" t="s">
        <v>846</v>
      </c>
      <c r="B452" t="s">
        <v>847</v>
      </c>
      <c r="C452" t="s">
        <v>848</v>
      </c>
      <c r="D452" t="s">
        <v>849</v>
      </c>
      <c r="E452" s="9">
        <v>45292</v>
      </c>
      <c r="F452" s="9">
        <v>45322</v>
      </c>
      <c r="G452">
        <v>116187000</v>
      </c>
      <c r="H452">
        <v>9709000</v>
      </c>
      <c r="I452">
        <v>15078000</v>
      </c>
      <c r="J452">
        <v>7104000</v>
      </c>
      <c r="K452">
        <v>0</v>
      </c>
      <c r="L452">
        <v>225000</v>
      </c>
      <c r="M452">
        <v>0</v>
      </c>
      <c r="N452">
        <v>0</v>
      </c>
      <c r="O452">
        <v>0</v>
      </c>
      <c r="P452">
        <v>0</v>
      </c>
      <c r="Q452">
        <v>3530000</v>
      </c>
      <c r="R452">
        <v>0</v>
      </c>
      <c r="S452">
        <v>0</v>
      </c>
      <c r="T452" s="9">
        <v>45108</v>
      </c>
      <c r="U452" s="9">
        <v>45473</v>
      </c>
      <c r="V452">
        <f>SUM(POTABLE_NONPOTABLE_API[[#This Row],[RESIDENTIAL_SINGLEFAMILY_GAL]:[OTHER_GAL]])</f>
        <v>148303000</v>
      </c>
      <c r="W452">
        <f>SUM(POTABLE_NONPOTABLE_API[[#This Row],[NONPOTABLE_DEMAND_RESIDENTIAL_RECYCLED_WATER_GAL]:[NONPOTABLE_DEMAND_NONRESIDENTIAL_METERED_IRRIGATION_GAL]])</f>
        <v>3530000</v>
      </c>
      <c r="X452" t="str">
        <f>IFERROR(INDEX(Crosswalk_API!$H$2:$H$527, MATCH(POTABLE_NONPOTABLE_API[[#This Row],[PWSID]], CW_PWSID_LIST, 0)), "")</f>
        <v>No</v>
      </c>
    </row>
    <row r="453" spans="1:24" x14ac:dyDescent="0.25">
      <c r="A453" t="s">
        <v>846</v>
      </c>
      <c r="B453" t="s">
        <v>847</v>
      </c>
      <c r="C453" t="s">
        <v>848</v>
      </c>
      <c r="D453" t="s">
        <v>849</v>
      </c>
      <c r="E453" s="9">
        <v>45323</v>
      </c>
      <c r="F453" s="9">
        <v>45351</v>
      </c>
      <c r="G453">
        <v>98352000</v>
      </c>
      <c r="H453">
        <v>8673000</v>
      </c>
      <c r="I453">
        <v>14637000</v>
      </c>
      <c r="J453">
        <v>4640000</v>
      </c>
      <c r="K453">
        <v>0</v>
      </c>
      <c r="L453">
        <v>0</v>
      </c>
      <c r="M453">
        <v>0</v>
      </c>
      <c r="N453">
        <v>0</v>
      </c>
      <c r="O453">
        <v>0</v>
      </c>
      <c r="P453">
        <v>0</v>
      </c>
      <c r="Q453">
        <v>2080000</v>
      </c>
      <c r="R453">
        <v>0</v>
      </c>
      <c r="S453">
        <v>0</v>
      </c>
      <c r="T453" s="9">
        <v>45108</v>
      </c>
      <c r="U453" s="9">
        <v>45473</v>
      </c>
      <c r="V453">
        <f>SUM(POTABLE_NONPOTABLE_API[[#This Row],[RESIDENTIAL_SINGLEFAMILY_GAL]:[OTHER_GAL]])</f>
        <v>126302000</v>
      </c>
      <c r="W453">
        <f>SUM(POTABLE_NONPOTABLE_API[[#This Row],[NONPOTABLE_DEMAND_RESIDENTIAL_RECYCLED_WATER_GAL]:[NONPOTABLE_DEMAND_NONRESIDENTIAL_METERED_IRRIGATION_GAL]])</f>
        <v>2080000</v>
      </c>
      <c r="X453" t="str">
        <f>IFERROR(INDEX(Crosswalk_API!$H$2:$H$527, MATCH(POTABLE_NONPOTABLE_API[[#This Row],[PWSID]], CW_PWSID_LIST, 0)), "")</f>
        <v>No</v>
      </c>
    </row>
    <row r="454" spans="1:24" x14ac:dyDescent="0.25">
      <c r="A454" t="s">
        <v>846</v>
      </c>
      <c r="B454" t="s">
        <v>847</v>
      </c>
      <c r="C454" t="s">
        <v>848</v>
      </c>
      <c r="D454" t="s">
        <v>849</v>
      </c>
      <c r="E454" s="9">
        <v>45352</v>
      </c>
      <c r="F454" s="9">
        <v>45382</v>
      </c>
      <c r="G454">
        <v>107250000</v>
      </c>
      <c r="H454">
        <v>8994000</v>
      </c>
      <c r="I454">
        <v>15144000</v>
      </c>
      <c r="J454">
        <v>6633000</v>
      </c>
      <c r="K454">
        <v>0</v>
      </c>
      <c r="L454">
        <v>825000</v>
      </c>
      <c r="M454">
        <v>0</v>
      </c>
      <c r="N454">
        <v>0</v>
      </c>
      <c r="O454">
        <v>0</v>
      </c>
      <c r="P454">
        <v>0</v>
      </c>
      <c r="Q454">
        <v>3864000</v>
      </c>
      <c r="R454">
        <v>0</v>
      </c>
      <c r="T454" s="9">
        <v>45108</v>
      </c>
      <c r="U454" s="9">
        <v>45473</v>
      </c>
      <c r="V454">
        <f>SUM(POTABLE_NONPOTABLE_API[[#This Row],[RESIDENTIAL_SINGLEFAMILY_GAL]:[OTHER_GAL]])</f>
        <v>138846000</v>
      </c>
      <c r="W454">
        <f>SUM(POTABLE_NONPOTABLE_API[[#This Row],[NONPOTABLE_DEMAND_RESIDENTIAL_RECYCLED_WATER_GAL]:[NONPOTABLE_DEMAND_NONRESIDENTIAL_METERED_IRRIGATION_GAL]])</f>
        <v>3864000</v>
      </c>
      <c r="X454" t="str">
        <f>IFERROR(INDEX(Crosswalk_API!$H$2:$H$527, MATCH(POTABLE_NONPOTABLE_API[[#This Row],[PWSID]], CW_PWSID_LIST, 0)), "")</f>
        <v>No</v>
      </c>
    </row>
    <row r="455" spans="1:24" x14ac:dyDescent="0.25">
      <c r="A455" t="s">
        <v>846</v>
      </c>
      <c r="B455" t="s">
        <v>847</v>
      </c>
      <c r="C455" t="s">
        <v>848</v>
      </c>
      <c r="D455" t="s">
        <v>849</v>
      </c>
      <c r="E455" s="9">
        <v>45383</v>
      </c>
      <c r="F455" s="9">
        <v>45412</v>
      </c>
      <c r="G455">
        <v>141262000</v>
      </c>
      <c r="H455">
        <v>10302000</v>
      </c>
      <c r="I455">
        <v>16559000</v>
      </c>
      <c r="J455">
        <v>19477000</v>
      </c>
      <c r="K455">
        <v>0</v>
      </c>
      <c r="L455">
        <v>135000</v>
      </c>
      <c r="M455">
        <v>0</v>
      </c>
      <c r="N455">
        <v>0</v>
      </c>
      <c r="O455">
        <v>0</v>
      </c>
      <c r="P455">
        <v>0</v>
      </c>
      <c r="Q455">
        <v>21916000</v>
      </c>
      <c r="R455">
        <v>0</v>
      </c>
      <c r="S455">
        <v>0</v>
      </c>
      <c r="T455" s="9">
        <v>45108</v>
      </c>
      <c r="U455" s="9">
        <v>45473</v>
      </c>
      <c r="V455">
        <f>SUM(POTABLE_NONPOTABLE_API[[#This Row],[RESIDENTIAL_SINGLEFAMILY_GAL]:[OTHER_GAL]])</f>
        <v>187735000</v>
      </c>
      <c r="W455">
        <f>SUM(POTABLE_NONPOTABLE_API[[#This Row],[NONPOTABLE_DEMAND_RESIDENTIAL_RECYCLED_WATER_GAL]:[NONPOTABLE_DEMAND_NONRESIDENTIAL_METERED_IRRIGATION_GAL]])</f>
        <v>21916000</v>
      </c>
      <c r="X455" t="str">
        <f>IFERROR(INDEX(Crosswalk_API!$H$2:$H$527, MATCH(POTABLE_NONPOTABLE_API[[#This Row],[PWSID]], CW_PWSID_LIST, 0)), "")</f>
        <v>No</v>
      </c>
    </row>
    <row r="456" spans="1:24" x14ac:dyDescent="0.25">
      <c r="A456" t="s">
        <v>846</v>
      </c>
      <c r="B456" t="s">
        <v>847</v>
      </c>
      <c r="C456" t="s">
        <v>848</v>
      </c>
      <c r="D456" t="s">
        <v>849</v>
      </c>
      <c r="E456" s="9">
        <v>45413</v>
      </c>
      <c r="F456" s="9">
        <v>45443</v>
      </c>
      <c r="G456">
        <v>195117000</v>
      </c>
      <c r="H456">
        <v>11238000</v>
      </c>
      <c r="I456">
        <v>17537000</v>
      </c>
      <c r="J456">
        <v>36656000</v>
      </c>
      <c r="K456">
        <v>0</v>
      </c>
      <c r="L456">
        <v>813000</v>
      </c>
      <c r="M456">
        <v>0</v>
      </c>
      <c r="N456">
        <v>0</v>
      </c>
      <c r="O456">
        <v>0</v>
      </c>
      <c r="P456">
        <v>0</v>
      </c>
      <c r="Q456">
        <v>41832000</v>
      </c>
      <c r="R456">
        <v>0</v>
      </c>
      <c r="S456">
        <v>0</v>
      </c>
      <c r="T456" s="9">
        <v>45108</v>
      </c>
      <c r="U456" s="9">
        <v>45473</v>
      </c>
      <c r="V456">
        <f>SUM(POTABLE_NONPOTABLE_API[[#This Row],[RESIDENTIAL_SINGLEFAMILY_GAL]:[OTHER_GAL]])</f>
        <v>261361000</v>
      </c>
      <c r="W456">
        <f>SUM(POTABLE_NONPOTABLE_API[[#This Row],[NONPOTABLE_DEMAND_RESIDENTIAL_RECYCLED_WATER_GAL]:[NONPOTABLE_DEMAND_NONRESIDENTIAL_METERED_IRRIGATION_GAL]])</f>
        <v>41832000</v>
      </c>
      <c r="X456" t="str">
        <f>IFERROR(INDEX(Crosswalk_API!$H$2:$H$527, MATCH(POTABLE_NONPOTABLE_API[[#This Row],[PWSID]], CW_PWSID_LIST, 0)), "")</f>
        <v>No</v>
      </c>
    </row>
    <row r="457" spans="1:24" x14ac:dyDescent="0.25">
      <c r="A457" t="s">
        <v>846</v>
      </c>
      <c r="B457" t="s">
        <v>847</v>
      </c>
      <c r="C457" t="s">
        <v>848</v>
      </c>
      <c r="D457" t="s">
        <v>849</v>
      </c>
      <c r="E457" s="9">
        <v>45444</v>
      </c>
      <c r="F457" s="9">
        <v>45473</v>
      </c>
      <c r="G457">
        <v>259939000</v>
      </c>
      <c r="H457">
        <v>12409000</v>
      </c>
      <c r="I457">
        <v>20256000</v>
      </c>
      <c r="J457">
        <v>58098000</v>
      </c>
      <c r="K457">
        <v>0</v>
      </c>
      <c r="L457">
        <v>301000</v>
      </c>
      <c r="M457">
        <v>0</v>
      </c>
      <c r="N457">
        <v>0</v>
      </c>
      <c r="O457">
        <v>0</v>
      </c>
      <c r="P457">
        <v>0</v>
      </c>
      <c r="Q457">
        <v>68063000</v>
      </c>
      <c r="R457">
        <v>0</v>
      </c>
      <c r="S457">
        <v>0</v>
      </c>
      <c r="T457" s="9">
        <v>45108</v>
      </c>
      <c r="U457" s="9">
        <v>45473</v>
      </c>
      <c r="V457">
        <f>SUM(POTABLE_NONPOTABLE_API[[#This Row],[RESIDENTIAL_SINGLEFAMILY_GAL]:[OTHER_GAL]])</f>
        <v>351003000</v>
      </c>
      <c r="W457">
        <f>SUM(POTABLE_NONPOTABLE_API[[#This Row],[NONPOTABLE_DEMAND_RESIDENTIAL_RECYCLED_WATER_GAL]:[NONPOTABLE_DEMAND_NONRESIDENTIAL_METERED_IRRIGATION_GAL]])</f>
        <v>68063000</v>
      </c>
      <c r="X457" t="str">
        <f>IFERROR(INDEX(Crosswalk_API!$H$2:$H$527, MATCH(POTABLE_NONPOTABLE_API[[#This Row],[PWSID]], CW_PWSID_LIST, 0)), "")</f>
        <v>No</v>
      </c>
    </row>
    <row r="458" spans="1:24" x14ac:dyDescent="0.25">
      <c r="A458" t="s">
        <v>850</v>
      </c>
      <c r="B458" t="s">
        <v>851</v>
      </c>
      <c r="C458" t="s">
        <v>852</v>
      </c>
      <c r="D458" t="s">
        <v>853</v>
      </c>
      <c r="E458" s="9">
        <v>45108</v>
      </c>
      <c r="F458" s="9">
        <v>45138</v>
      </c>
      <c r="G458">
        <v>167584000</v>
      </c>
      <c r="H458">
        <v>49903000</v>
      </c>
      <c r="I458">
        <v>111426000</v>
      </c>
      <c r="J458">
        <v>40956000</v>
      </c>
      <c r="K458">
        <v>0</v>
      </c>
      <c r="L458">
        <v>164000</v>
      </c>
      <c r="M458">
        <v>0</v>
      </c>
      <c r="T458" s="9">
        <v>45108</v>
      </c>
      <c r="U458" s="9">
        <v>45473</v>
      </c>
      <c r="V458">
        <f>SUM(POTABLE_NONPOTABLE_API[[#This Row],[RESIDENTIAL_SINGLEFAMILY_GAL]:[OTHER_GAL]])</f>
        <v>370033000</v>
      </c>
      <c r="W458">
        <f>SUM(POTABLE_NONPOTABLE_API[[#This Row],[NONPOTABLE_DEMAND_RESIDENTIAL_RECYCLED_WATER_GAL]:[NONPOTABLE_DEMAND_NONRESIDENTIAL_METERED_IRRIGATION_GAL]])</f>
        <v>0</v>
      </c>
      <c r="X458" t="str">
        <f>IFERROR(INDEX(Crosswalk_API!$H$2:$H$527, MATCH(POTABLE_NONPOTABLE_API[[#This Row],[PWSID]], CW_PWSID_LIST, 0)), "")</f>
        <v>No</v>
      </c>
    </row>
    <row r="459" spans="1:24" x14ac:dyDescent="0.25">
      <c r="A459" t="s">
        <v>850</v>
      </c>
      <c r="B459" t="s">
        <v>851</v>
      </c>
      <c r="C459" t="s">
        <v>852</v>
      </c>
      <c r="D459" t="s">
        <v>853</v>
      </c>
      <c r="E459" s="9">
        <v>45139</v>
      </c>
      <c r="F459" s="9">
        <v>45169</v>
      </c>
      <c r="G459">
        <v>154776000</v>
      </c>
      <c r="H459">
        <v>48438000</v>
      </c>
      <c r="I459">
        <v>100904000</v>
      </c>
      <c r="J459">
        <v>41973000</v>
      </c>
      <c r="K459">
        <v>0</v>
      </c>
      <c r="L459">
        <v>134000</v>
      </c>
      <c r="M459">
        <v>0</v>
      </c>
      <c r="T459" s="9">
        <v>45108</v>
      </c>
      <c r="U459" s="9">
        <v>45473</v>
      </c>
      <c r="V459">
        <f>SUM(POTABLE_NONPOTABLE_API[[#This Row],[RESIDENTIAL_SINGLEFAMILY_GAL]:[OTHER_GAL]])</f>
        <v>346225000</v>
      </c>
      <c r="W459">
        <f>SUM(POTABLE_NONPOTABLE_API[[#This Row],[NONPOTABLE_DEMAND_RESIDENTIAL_RECYCLED_WATER_GAL]:[NONPOTABLE_DEMAND_NONRESIDENTIAL_METERED_IRRIGATION_GAL]])</f>
        <v>0</v>
      </c>
      <c r="X459" t="str">
        <f>IFERROR(INDEX(Crosswalk_API!$H$2:$H$527, MATCH(POTABLE_NONPOTABLE_API[[#This Row],[PWSID]], CW_PWSID_LIST, 0)), "")</f>
        <v>No</v>
      </c>
    </row>
    <row r="460" spans="1:24" x14ac:dyDescent="0.25">
      <c r="A460" t="s">
        <v>850</v>
      </c>
      <c r="B460" t="s">
        <v>851</v>
      </c>
      <c r="C460" t="s">
        <v>852</v>
      </c>
      <c r="D460" t="s">
        <v>853</v>
      </c>
      <c r="E460" s="9">
        <v>45170</v>
      </c>
      <c r="F460" s="9">
        <v>45199</v>
      </c>
      <c r="G460">
        <v>143977000</v>
      </c>
      <c r="H460">
        <v>48678000</v>
      </c>
      <c r="I460">
        <v>92858000</v>
      </c>
      <c r="J460">
        <v>35111000</v>
      </c>
      <c r="K460">
        <v>0</v>
      </c>
      <c r="L460">
        <v>158000</v>
      </c>
      <c r="M460">
        <v>0</v>
      </c>
      <c r="T460" s="9">
        <v>45108</v>
      </c>
      <c r="U460" s="9">
        <v>45473</v>
      </c>
      <c r="V460">
        <f>SUM(POTABLE_NONPOTABLE_API[[#This Row],[RESIDENTIAL_SINGLEFAMILY_GAL]:[OTHER_GAL]])</f>
        <v>320782000</v>
      </c>
      <c r="W460">
        <f>SUM(POTABLE_NONPOTABLE_API[[#This Row],[NONPOTABLE_DEMAND_RESIDENTIAL_RECYCLED_WATER_GAL]:[NONPOTABLE_DEMAND_NONRESIDENTIAL_METERED_IRRIGATION_GAL]])</f>
        <v>0</v>
      </c>
      <c r="X460" t="str">
        <f>IFERROR(INDEX(Crosswalk_API!$H$2:$H$527, MATCH(POTABLE_NONPOTABLE_API[[#This Row],[PWSID]], CW_PWSID_LIST, 0)), "")</f>
        <v>No</v>
      </c>
    </row>
    <row r="461" spans="1:24" x14ac:dyDescent="0.25">
      <c r="A461" t="s">
        <v>850</v>
      </c>
      <c r="B461" t="s">
        <v>851</v>
      </c>
      <c r="C461" t="s">
        <v>852</v>
      </c>
      <c r="D461" t="s">
        <v>853</v>
      </c>
      <c r="E461" s="9">
        <v>45200</v>
      </c>
      <c r="F461" s="9">
        <v>45230</v>
      </c>
      <c r="G461">
        <v>145686000</v>
      </c>
      <c r="H461">
        <v>50375000</v>
      </c>
      <c r="I461">
        <v>91429000</v>
      </c>
      <c r="J461">
        <v>30335000</v>
      </c>
      <c r="K461">
        <v>0</v>
      </c>
      <c r="L461">
        <v>174000</v>
      </c>
      <c r="M461">
        <v>0</v>
      </c>
      <c r="T461" s="9">
        <v>45108</v>
      </c>
      <c r="U461" s="9">
        <v>45473</v>
      </c>
      <c r="V461">
        <f>SUM(POTABLE_NONPOTABLE_API[[#This Row],[RESIDENTIAL_SINGLEFAMILY_GAL]:[OTHER_GAL]])</f>
        <v>317999000</v>
      </c>
      <c r="W461">
        <f>SUM(POTABLE_NONPOTABLE_API[[#This Row],[NONPOTABLE_DEMAND_RESIDENTIAL_RECYCLED_WATER_GAL]:[NONPOTABLE_DEMAND_NONRESIDENTIAL_METERED_IRRIGATION_GAL]])</f>
        <v>0</v>
      </c>
      <c r="X461" t="str">
        <f>IFERROR(INDEX(Crosswalk_API!$H$2:$H$527, MATCH(POTABLE_NONPOTABLE_API[[#This Row],[PWSID]], CW_PWSID_LIST, 0)), "")</f>
        <v>No</v>
      </c>
    </row>
    <row r="462" spans="1:24" x14ac:dyDescent="0.25">
      <c r="A462" t="s">
        <v>850</v>
      </c>
      <c r="B462" t="s">
        <v>851</v>
      </c>
      <c r="C462" t="s">
        <v>852</v>
      </c>
      <c r="D462" t="s">
        <v>853</v>
      </c>
      <c r="E462" s="9">
        <v>45231</v>
      </c>
      <c r="F462" s="9">
        <v>45260</v>
      </c>
      <c r="G462">
        <v>132707000</v>
      </c>
      <c r="H462">
        <v>48372000</v>
      </c>
      <c r="I462">
        <v>81994000</v>
      </c>
      <c r="J462">
        <v>24945000</v>
      </c>
      <c r="K462">
        <v>0</v>
      </c>
      <c r="L462">
        <v>155000</v>
      </c>
      <c r="M462">
        <v>0</v>
      </c>
      <c r="T462" s="9">
        <v>45108</v>
      </c>
      <c r="U462" s="9">
        <v>45473</v>
      </c>
      <c r="V462">
        <f>SUM(POTABLE_NONPOTABLE_API[[#This Row],[RESIDENTIAL_SINGLEFAMILY_GAL]:[OTHER_GAL]])</f>
        <v>288173000</v>
      </c>
      <c r="W462">
        <f>SUM(POTABLE_NONPOTABLE_API[[#This Row],[NONPOTABLE_DEMAND_RESIDENTIAL_RECYCLED_WATER_GAL]:[NONPOTABLE_DEMAND_NONRESIDENTIAL_METERED_IRRIGATION_GAL]])</f>
        <v>0</v>
      </c>
      <c r="X462" t="str">
        <f>IFERROR(INDEX(Crosswalk_API!$H$2:$H$527, MATCH(POTABLE_NONPOTABLE_API[[#This Row],[PWSID]], CW_PWSID_LIST, 0)), "")</f>
        <v>No</v>
      </c>
    </row>
    <row r="463" spans="1:24" x14ac:dyDescent="0.25">
      <c r="A463" t="s">
        <v>850</v>
      </c>
      <c r="B463" t="s">
        <v>851</v>
      </c>
      <c r="C463" t="s">
        <v>852</v>
      </c>
      <c r="D463" t="s">
        <v>853</v>
      </c>
      <c r="E463" s="9">
        <v>45261</v>
      </c>
      <c r="F463" s="9">
        <v>45291</v>
      </c>
      <c r="G463">
        <v>125129000</v>
      </c>
      <c r="H463">
        <v>46326000</v>
      </c>
      <c r="I463">
        <v>68182000</v>
      </c>
      <c r="J463">
        <v>18005000</v>
      </c>
      <c r="K463">
        <v>0</v>
      </c>
      <c r="L463">
        <v>151000</v>
      </c>
      <c r="M463">
        <v>0</v>
      </c>
      <c r="T463" s="9">
        <v>45108</v>
      </c>
      <c r="U463" s="9">
        <v>45473</v>
      </c>
      <c r="V463">
        <f>SUM(POTABLE_NONPOTABLE_API[[#This Row],[RESIDENTIAL_SINGLEFAMILY_GAL]:[OTHER_GAL]])</f>
        <v>257793000</v>
      </c>
      <c r="W463">
        <f>SUM(POTABLE_NONPOTABLE_API[[#This Row],[NONPOTABLE_DEMAND_RESIDENTIAL_RECYCLED_WATER_GAL]:[NONPOTABLE_DEMAND_NONRESIDENTIAL_METERED_IRRIGATION_GAL]])</f>
        <v>0</v>
      </c>
      <c r="X463" t="str">
        <f>IFERROR(INDEX(Crosswalk_API!$H$2:$H$527, MATCH(POTABLE_NONPOTABLE_API[[#This Row],[PWSID]], CW_PWSID_LIST, 0)), "")</f>
        <v>No</v>
      </c>
    </row>
    <row r="464" spans="1:24" x14ac:dyDescent="0.25">
      <c r="A464" t="s">
        <v>850</v>
      </c>
      <c r="B464" t="s">
        <v>851</v>
      </c>
      <c r="C464" t="s">
        <v>852</v>
      </c>
      <c r="D464" t="s">
        <v>853</v>
      </c>
      <c r="E464" s="9">
        <v>45292</v>
      </c>
      <c r="F464" s="9">
        <v>45322</v>
      </c>
      <c r="G464">
        <v>113638000</v>
      </c>
      <c r="H464">
        <v>44452000</v>
      </c>
      <c r="I464">
        <v>60544000</v>
      </c>
      <c r="J464">
        <v>12023000</v>
      </c>
      <c r="K464">
        <v>0</v>
      </c>
      <c r="L464">
        <v>178000</v>
      </c>
      <c r="M464">
        <v>0</v>
      </c>
      <c r="T464" s="9">
        <v>45108</v>
      </c>
      <c r="U464" s="9">
        <v>45473</v>
      </c>
      <c r="V464">
        <f>SUM(POTABLE_NONPOTABLE_API[[#This Row],[RESIDENTIAL_SINGLEFAMILY_GAL]:[OTHER_GAL]])</f>
        <v>230835000</v>
      </c>
      <c r="W464">
        <f>SUM(POTABLE_NONPOTABLE_API[[#This Row],[NONPOTABLE_DEMAND_RESIDENTIAL_RECYCLED_WATER_GAL]:[NONPOTABLE_DEMAND_NONRESIDENTIAL_METERED_IRRIGATION_GAL]])</f>
        <v>0</v>
      </c>
      <c r="X464" t="str">
        <f>IFERROR(INDEX(Crosswalk_API!$H$2:$H$527, MATCH(POTABLE_NONPOTABLE_API[[#This Row],[PWSID]], CW_PWSID_LIST, 0)), "")</f>
        <v>No</v>
      </c>
    </row>
    <row r="465" spans="1:24" x14ac:dyDescent="0.25">
      <c r="A465" t="s">
        <v>850</v>
      </c>
      <c r="B465" t="s">
        <v>851</v>
      </c>
      <c r="C465" t="s">
        <v>852</v>
      </c>
      <c r="D465" t="s">
        <v>853</v>
      </c>
      <c r="E465" s="9">
        <v>45323</v>
      </c>
      <c r="F465" s="9">
        <v>45351</v>
      </c>
      <c r="G465">
        <v>95866000</v>
      </c>
      <c r="H465">
        <v>40305000</v>
      </c>
      <c r="I465">
        <v>54085000</v>
      </c>
      <c r="J465">
        <v>4677000</v>
      </c>
      <c r="K465">
        <v>0</v>
      </c>
      <c r="L465">
        <v>96000</v>
      </c>
      <c r="M465">
        <v>0</v>
      </c>
      <c r="T465" s="9">
        <v>45108</v>
      </c>
      <c r="U465" s="9">
        <v>45473</v>
      </c>
      <c r="V465">
        <f>SUM(POTABLE_NONPOTABLE_API[[#This Row],[RESIDENTIAL_SINGLEFAMILY_GAL]:[OTHER_GAL]])</f>
        <v>195029000</v>
      </c>
      <c r="W465">
        <f>SUM(POTABLE_NONPOTABLE_API[[#This Row],[NONPOTABLE_DEMAND_RESIDENTIAL_RECYCLED_WATER_GAL]:[NONPOTABLE_DEMAND_NONRESIDENTIAL_METERED_IRRIGATION_GAL]])</f>
        <v>0</v>
      </c>
      <c r="X465" t="str">
        <f>IFERROR(INDEX(Crosswalk_API!$H$2:$H$527, MATCH(POTABLE_NONPOTABLE_API[[#This Row],[PWSID]], CW_PWSID_LIST, 0)), "")</f>
        <v>No</v>
      </c>
    </row>
    <row r="466" spans="1:24" x14ac:dyDescent="0.25">
      <c r="A466" t="s">
        <v>850</v>
      </c>
      <c r="B466" t="s">
        <v>851</v>
      </c>
      <c r="C466" t="s">
        <v>852</v>
      </c>
      <c r="D466" t="s">
        <v>853</v>
      </c>
      <c r="E466" s="9">
        <v>45352</v>
      </c>
      <c r="F466" s="9">
        <v>45382</v>
      </c>
      <c r="G466">
        <v>109129000</v>
      </c>
      <c r="H466">
        <v>42214000</v>
      </c>
      <c r="I466">
        <v>63543000</v>
      </c>
      <c r="J466">
        <v>8986000</v>
      </c>
      <c r="K466">
        <v>0</v>
      </c>
      <c r="L466">
        <v>112000</v>
      </c>
      <c r="M466">
        <v>0</v>
      </c>
      <c r="T466" s="9">
        <v>45108</v>
      </c>
      <c r="U466" s="9">
        <v>45473</v>
      </c>
      <c r="V466">
        <f>SUM(POTABLE_NONPOTABLE_API[[#This Row],[RESIDENTIAL_SINGLEFAMILY_GAL]:[OTHER_GAL]])</f>
        <v>223984000</v>
      </c>
      <c r="W466">
        <f>SUM(POTABLE_NONPOTABLE_API[[#This Row],[NONPOTABLE_DEMAND_RESIDENTIAL_RECYCLED_WATER_GAL]:[NONPOTABLE_DEMAND_NONRESIDENTIAL_METERED_IRRIGATION_GAL]])</f>
        <v>0</v>
      </c>
      <c r="X466" t="str">
        <f>IFERROR(INDEX(Crosswalk_API!$H$2:$H$527, MATCH(POTABLE_NONPOTABLE_API[[#This Row],[PWSID]], CW_PWSID_LIST, 0)), "")</f>
        <v>No</v>
      </c>
    </row>
    <row r="467" spans="1:24" x14ac:dyDescent="0.25">
      <c r="A467" t="s">
        <v>850</v>
      </c>
      <c r="B467" t="s">
        <v>851</v>
      </c>
      <c r="C467" t="s">
        <v>852</v>
      </c>
      <c r="D467" t="s">
        <v>853</v>
      </c>
      <c r="E467" s="9">
        <v>45383</v>
      </c>
      <c r="F467" s="9">
        <v>45412</v>
      </c>
      <c r="G467">
        <v>114040000</v>
      </c>
      <c r="H467">
        <v>43035000</v>
      </c>
      <c r="I467">
        <v>68964000</v>
      </c>
      <c r="J467">
        <v>13877000</v>
      </c>
      <c r="K467">
        <v>0</v>
      </c>
      <c r="L467">
        <v>3626000</v>
      </c>
      <c r="M467">
        <v>0</v>
      </c>
      <c r="T467" s="9">
        <v>45108</v>
      </c>
      <c r="U467" s="9">
        <v>45473</v>
      </c>
      <c r="V467">
        <f>SUM(POTABLE_NONPOTABLE_API[[#This Row],[RESIDENTIAL_SINGLEFAMILY_GAL]:[OTHER_GAL]])</f>
        <v>243542000</v>
      </c>
      <c r="W467">
        <f>SUM(POTABLE_NONPOTABLE_API[[#This Row],[NONPOTABLE_DEMAND_RESIDENTIAL_RECYCLED_WATER_GAL]:[NONPOTABLE_DEMAND_NONRESIDENTIAL_METERED_IRRIGATION_GAL]])</f>
        <v>0</v>
      </c>
      <c r="X467" t="str">
        <f>IFERROR(INDEX(Crosswalk_API!$H$2:$H$527, MATCH(POTABLE_NONPOTABLE_API[[#This Row],[PWSID]], CW_PWSID_LIST, 0)), "")</f>
        <v>No</v>
      </c>
    </row>
    <row r="468" spans="1:24" x14ac:dyDescent="0.25">
      <c r="A468" t="s">
        <v>850</v>
      </c>
      <c r="B468" t="s">
        <v>851</v>
      </c>
      <c r="C468" t="s">
        <v>852</v>
      </c>
      <c r="D468" t="s">
        <v>853</v>
      </c>
      <c r="E468" s="9">
        <v>45413</v>
      </c>
      <c r="F468" s="9">
        <v>45443</v>
      </c>
      <c r="G468">
        <v>135806000</v>
      </c>
      <c r="H468">
        <v>46801000</v>
      </c>
      <c r="I468">
        <v>88980000</v>
      </c>
      <c r="J468">
        <v>27747000</v>
      </c>
      <c r="K468">
        <v>0</v>
      </c>
      <c r="L468">
        <v>3957000</v>
      </c>
      <c r="M468">
        <v>0</v>
      </c>
      <c r="T468" s="9">
        <v>45108</v>
      </c>
      <c r="U468" s="9">
        <v>45473</v>
      </c>
      <c r="V468">
        <f>SUM(POTABLE_NONPOTABLE_API[[#This Row],[RESIDENTIAL_SINGLEFAMILY_GAL]:[OTHER_GAL]])</f>
        <v>303291000</v>
      </c>
      <c r="W468">
        <f>SUM(POTABLE_NONPOTABLE_API[[#This Row],[NONPOTABLE_DEMAND_RESIDENTIAL_RECYCLED_WATER_GAL]:[NONPOTABLE_DEMAND_NONRESIDENTIAL_METERED_IRRIGATION_GAL]])</f>
        <v>0</v>
      </c>
      <c r="X468" t="str">
        <f>IFERROR(INDEX(Crosswalk_API!$H$2:$H$527, MATCH(POTABLE_NONPOTABLE_API[[#This Row],[PWSID]], CW_PWSID_LIST, 0)), "")</f>
        <v>No</v>
      </c>
    </row>
    <row r="469" spans="1:24" x14ac:dyDescent="0.25">
      <c r="A469" t="s">
        <v>850</v>
      </c>
      <c r="B469" t="s">
        <v>851</v>
      </c>
      <c r="C469" t="s">
        <v>852</v>
      </c>
      <c r="D469" t="s">
        <v>853</v>
      </c>
      <c r="E469" s="9">
        <v>45444</v>
      </c>
      <c r="F469" s="9">
        <v>45473</v>
      </c>
      <c r="G469">
        <v>151023000</v>
      </c>
      <c r="H469">
        <v>47635000</v>
      </c>
      <c r="I469">
        <v>103726000</v>
      </c>
      <c r="J469">
        <v>33458000</v>
      </c>
      <c r="K469">
        <v>0</v>
      </c>
      <c r="L469">
        <v>3311000</v>
      </c>
      <c r="M469">
        <v>0</v>
      </c>
      <c r="T469" s="9">
        <v>45108</v>
      </c>
      <c r="U469" s="9">
        <v>45473</v>
      </c>
      <c r="V469">
        <f>SUM(POTABLE_NONPOTABLE_API[[#This Row],[RESIDENTIAL_SINGLEFAMILY_GAL]:[OTHER_GAL]])</f>
        <v>339153000</v>
      </c>
      <c r="W469">
        <f>SUM(POTABLE_NONPOTABLE_API[[#This Row],[NONPOTABLE_DEMAND_RESIDENTIAL_RECYCLED_WATER_GAL]:[NONPOTABLE_DEMAND_NONRESIDENTIAL_METERED_IRRIGATION_GAL]])</f>
        <v>0</v>
      </c>
      <c r="X469" t="str">
        <f>IFERROR(INDEX(Crosswalk_API!$H$2:$H$527, MATCH(POTABLE_NONPOTABLE_API[[#This Row],[PWSID]], CW_PWSID_LIST, 0)), "")</f>
        <v>No</v>
      </c>
    </row>
    <row r="470" spans="1:24" x14ac:dyDescent="0.25">
      <c r="A470" t="s">
        <v>854</v>
      </c>
      <c r="B470" t="s">
        <v>855</v>
      </c>
      <c r="C470" t="s">
        <v>856</v>
      </c>
      <c r="D470" t="s">
        <v>857</v>
      </c>
      <c r="E470" s="9">
        <v>45108</v>
      </c>
      <c r="F470" s="9">
        <v>45138</v>
      </c>
      <c r="G470">
        <v>196477077.12476</v>
      </c>
      <c r="H470">
        <v>105175086.36876</v>
      </c>
      <c r="I470">
        <v>80000757.763400003</v>
      </c>
      <c r="J470">
        <v>0</v>
      </c>
      <c r="K470">
        <v>0</v>
      </c>
      <c r="L470">
        <v>199857.05284000002</v>
      </c>
      <c r="M470">
        <v>0</v>
      </c>
      <c r="N470">
        <v>0</v>
      </c>
      <c r="O470">
        <v>0</v>
      </c>
      <c r="P470">
        <v>0</v>
      </c>
      <c r="Q470">
        <v>78703882.452560008</v>
      </c>
      <c r="R470">
        <v>0</v>
      </c>
      <c r="T470" s="9">
        <v>45108</v>
      </c>
      <c r="U470" s="9">
        <v>45473</v>
      </c>
      <c r="V470">
        <f>SUM(POTABLE_NONPOTABLE_API[[#This Row],[RESIDENTIAL_SINGLEFAMILY_GAL]:[OTHER_GAL]])</f>
        <v>381852778.30976003</v>
      </c>
      <c r="W470">
        <f>SUM(POTABLE_NONPOTABLE_API[[#This Row],[NONPOTABLE_DEMAND_RESIDENTIAL_RECYCLED_WATER_GAL]:[NONPOTABLE_DEMAND_NONRESIDENTIAL_METERED_IRRIGATION_GAL]])</f>
        <v>78703882.452560008</v>
      </c>
      <c r="X470" t="str">
        <f>IFERROR(INDEX(Crosswalk_API!$H$2:$H$527, MATCH(POTABLE_NONPOTABLE_API[[#This Row],[PWSID]], CW_PWSID_LIST, 0)), "")</f>
        <v>No</v>
      </c>
    </row>
    <row r="471" spans="1:24" x14ac:dyDescent="0.25">
      <c r="A471" t="s">
        <v>854</v>
      </c>
      <c r="B471" t="s">
        <v>855</v>
      </c>
      <c r="C471" t="s">
        <v>856</v>
      </c>
      <c r="D471" t="s">
        <v>857</v>
      </c>
      <c r="E471" s="9">
        <v>45139</v>
      </c>
      <c r="F471" s="9">
        <v>45169</v>
      </c>
      <c r="G471">
        <v>217608326.80000001</v>
      </c>
      <c r="H471">
        <v>111959446.736</v>
      </c>
      <c r="I471">
        <v>93168530.106399998</v>
      </c>
      <c r="J471">
        <v>0</v>
      </c>
      <c r="K471">
        <v>0</v>
      </c>
      <c r="L471">
        <v>155834.19263999999</v>
      </c>
      <c r="M471">
        <v>0</v>
      </c>
      <c r="N471">
        <v>0</v>
      </c>
      <c r="O471">
        <v>0</v>
      </c>
      <c r="Q471">
        <v>119170227.72000001</v>
      </c>
      <c r="R471">
        <v>0</v>
      </c>
      <c r="T471" s="9">
        <v>45108</v>
      </c>
      <c r="U471" s="9">
        <v>45473</v>
      </c>
      <c r="V471">
        <f>SUM(POTABLE_NONPOTABLE_API[[#This Row],[RESIDENTIAL_SINGLEFAMILY_GAL]:[OTHER_GAL]])</f>
        <v>422892137.83504003</v>
      </c>
      <c r="W471">
        <f>SUM(POTABLE_NONPOTABLE_API[[#This Row],[NONPOTABLE_DEMAND_RESIDENTIAL_RECYCLED_WATER_GAL]:[NONPOTABLE_DEMAND_NONRESIDENTIAL_METERED_IRRIGATION_GAL]])</f>
        <v>119170227.72000001</v>
      </c>
      <c r="X471" t="str">
        <f>IFERROR(INDEX(Crosswalk_API!$H$2:$H$527, MATCH(POTABLE_NONPOTABLE_API[[#This Row],[PWSID]], CW_PWSID_LIST, 0)), "")</f>
        <v>No</v>
      </c>
    </row>
    <row r="472" spans="1:24" x14ac:dyDescent="0.25">
      <c r="A472" t="s">
        <v>854</v>
      </c>
      <c r="B472" t="s">
        <v>855</v>
      </c>
      <c r="C472" t="s">
        <v>856</v>
      </c>
      <c r="D472" t="s">
        <v>857</v>
      </c>
      <c r="E472" s="9">
        <v>45170</v>
      </c>
      <c r="F472" s="9">
        <v>45199</v>
      </c>
      <c r="G472">
        <v>193487390.06</v>
      </c>
      <c r="H472">
        <v>111662470.09200001</v>
      </c>
      <c r="I472">
        <v>90286517.646520004</v>
      </c>
      <c r="J472">
        <v>0</v>
      </c>
      <c r="K472">
        <v>0</v>
      </c>
      <c r="L472">
        <v>253065.99160000001</v>
      </c>
      <c r="M472">
        <v>0</v>
      </c>
      <c r="N472">
        <v>0</v>
      </c>
      <c r="O472">
        <v>0</v>
      </c>
      <c r="P472">
        <v>0</v>
      </c>
      <c r="Q472">
        <v>83365719.840000004</v>
      </c>
      <c r="R472">
        <v>0</v>
      </c>
      <c r="S472">
        <v>0</v>
      </c>
      <c r="T472" s="9">
        <v>45108</v>
      </c>
      <c r="U472" s="9">
        <v>45473</v>
      </c>
      <c r="V472">
        <f>SUM(POTABLE_NONPOTABLE_API[[#This Row],[RESIDENTIAL_SINGLEFAMILY_GAL]:[OTHER_GAL]])</f>
        <v>395689443.79012001</v>
      </c>
      <c r="W472">
        <f>SUM(POTABLE_NONPOTABLE_API[[#This Row],[NONPOTABLE_DEMAND_RESIDENTIAL_RECYCLED_WATER_GAL]:[NONPOTABLE_DEMAND_NONRESIDENTIAL_METERED_IRRIGATION_GAL]])</f>
        <v>83365719.840000004</v>
      </c>
      <c r="X472" t="str">
        <f>IFERROR(INDEX(Crosswalk_API!$H$2:$H$527, MATCH(POTABLE_NONPOTABLE_API[[#This Row],[PWSID]], CW_PWSID_LIST, 0)), "")</f>
        <v>No</v>
      </c>
    </row>
    <row r="473" spans="1:24" x14ac:dyDescent="0.25">
      <c r="A473" t="s">
        <v>854</v>
      </c>
      <c r="B473" t="s">
        <v>855</v>
      </c>
      <c r="C473" t="s">
        <v>856</v>
      </c>
      <c r="D473" t="s">
        <v>857</v>
      </c>
      <c r="E473" s="9">
        <v>45200</v>
      </c>
      <c r="F473" s="9">
        <v>45230</v>
      </c>
      <c r="G473">
        <v>182540509.29980001</v>
      </c>
      <c r="H473">
        <v>107569032.30124</v>
      </c>
      <c r="I473">
        <v>87971708.135120004</v>
      </c>
      <c r="J473">
        <v>0</v>
      </c>
      <c r="K473">
        <v>0</v>
      </c>
      <c r="L473">
        <v>216680.74232000002</v>
      </c>
      <c r="M473">
        <v>0</v>
      </c>
      <c r="N473">
        <v>0</v>
      </c>
      <c r="O473">
        <v>0</v>
      </c>
      <c r="P473">
        <v>0</v>
      </c>
      <c r="Q473">
        <v>216635.85920000004</v>
      </c>
      <c r="R473">
        <v>0</v>
      </c>
      <c r="S473">
        <v>0</v>
      </c>
      <c r="T473" s="9">
        <v>45108</v>
      </c>
      <c r="U473" s="9">
        <v>45473</v>
      </c>
      <c r="V473">
        <f>SUM(POTABLE_NONPOTABLE_API[[#This Row],[RESIDENTIAL_SINGLEFAMILY_GAL]:[OTHER_GAL]])</f>
        <v>378297930.47848004</v>
      </c>
      <c r="W473">
        <f>SUM(POTABLE_NONPOTABLE_API[[#This Row],[NONPOTABLE_DEMAND_RESIDENTIAL_RECYCLED_WATER_GAL]:[NONPOTABLE_DEMAND_NONRESIDENTIAL_METERED_IRRIGATION_GAL]])</f>
        <v>216635.85920000004</v>
      </c>
      <c r="X473" t="str">
        <f>IFERROR(INDEX(Crosswalk_API!$H$2:$H$527, MATCH(POTABLE_NONPOTABLE_API[[#This Row],[PWSID]], CW_PWSID_LIST, 0)), "")</f>
        <v>No</v>
      </c>
    </row>
    <row r="474" spans="1:24" x14ac:dyDescent="0.25">
      <c r="A474" t="s">
        <v>854</v>
      </c>
      <c r="B474" t="s">
        <v>855</v>
      </c>
      <c r="C474" t="s">
        <v>856</v>
      </c>
      <c r="D474" t="s">
        <v>857</v>
      </c>
      <c r="E474" s="9">
        <v>45231</v>
      </c>
      <c r="F474" s="9">
        <v>45260</v>
      </c>
      <c r="G474">
        <v>179455729.86480001</v>
      </c>
      <c r="H474">
        <v>107269003.60508001</v>
      </c>
      <c r="I474">
        <v>86743668.569320008</v>
      </c>
      <c r="J474">
        <v>0</v>
      </c>
      <c r="K474">
        <v>0</v>
      </c>
      <c r="L474">
        <v>364750.15520000004</v>
      </c>
      <c r="M474">
        <v>0</v>
      </c>
      <c r="N474">
        <v>0</v>
      </c>
      <c r="O474">
        <v>0</v>
      </c>
      <c r="P474">
        <v>0</v>
      </c>
      <c r="Q474">
        <v>94483455.912</v>
      </c>
      <c r="R474">
        <v>0</v>
      </c>
      <c r="S474">
        <v>0</v>
      </c>
      <c r="T474" s="9">
        <v>45108</v>
      </c>
      <c r="U474" s="9">
        <v>45473</v>
      </c>
      <c r="V474">
        <f>SUM(POTABLE_NONPOTABLE_API[[#This Row],[RESIDENTIAL_SINGLEFAMILY_GAL]:[OTHER_GAL]])</f>
        <v>373833152.19440001</v>
      </c>
      <c r="W474">
        <f>SUM(POTABLE_NONPOTABLE_API[[#This Row],[NONPOTABLE_DEMAND_RESIDENTIAL_RECYCLED_WATER_GAL]:[NONPOTABLE_DEMAND_NONRESIDENTIAL_METERED_IRRIGATION_GAL]])</f>
        <v>94483455.912</v>
      </c>
      <c r="X474" t="str">
        <f>IFERROR(INDEX(Crosswalk_API!$H$2:$H$527, MATCH(POTABLE_NONPOTABLE_API[[#This Row],[PWSID]], CW_PWSID_LIST, 0)), "")</f>
        <v>No</v>
      </c>
    </row>
    <row r="475" spans="1:24" x14ac:dyDescent="0.25">
      <c r="A475" t="s">
        <v>854</v>
      </c>
      <c r="B475" t="s">
        <v>855</v>
      </c>
      <c r="C475" t="s">
        <v>856</v>
      </c>
      <c r="D475" t="s">
        <v>857</v>
      </c>
      <c r="E475" s="9">
        <v>45261</v>
      </c>
      <c r="F475" s="9">
        <v>45291</v>
      </c>
      <c r="G475">
        <v>153326722.336</v>
      </c>
      <c r="H475">
        <v>99619580.944000006</v>
      </c>
      <c r="I475">
        <v>82811129.283240005</v>
      </c>
      <c r="J475">
        <v>0</v>
      </c>
      <c r="K475">
        <v>0</v>
      </c>
      <c r="L475">
        <v>241127.08167999997</v>
      </c>
      <c r="M475">
        <v>0</v>
      </c>
      <c r="N475">
        <v>0</v>
      </c>
      <c r="O475">
        <v>0</v>
      </c>
      <c r="P475">
        <v>0</v>
      </c>
      <c r="Q475">
        <v>78107101.527999997</v>
      </c>
      <c r="R475">
        <v>0</v>
      </c>
      <c r="S475">
        <v>0</v>
      </c>
      <c r="T475" s="9">
        <v>45108</v>
      </c>
      <c r="U475" s="9">
        <v>45473</v>
      </c>
      <c r="V475">
        <f>SUM(POTABLE_NONPOTABLE_API[[#This Row],[RESIDENTIAL_SINGLEFAMILY_GAL]:[OTHER_GAL]])</f>
        <v>335998559.64491999</v>
      </c>
      <c r="W475">
        <f>SUM(POTABLE_NONPOTABLE_API[[#This Row],[NONPOTABLE_DEMAND_RESIDENTIAL_RECYCLED_WATER_GAL]:[NONPOTABLE_DEMAND_NONRESIDENTIAL_METERED_IRRIGATION_GAL]])</f>
        <v>78107101.527999997</v>
      </c>
      <c r="X475" t="str">
        <f>IFERROR(INDEX(Crosswalk_API!$H$2:$H$527, MATCH(POTABLE_NONPOTABLE_API[[#This Row],[PWSID]], CW_PWSID_LIST, 0)), "")</f>
        <v>No</v>
      </c>
    </row>
    <row r="476" spans="1:24" x14ac:dyDescent="0.25">
      <c r="A476" t="s">
        <v>854</v>
      </c>
      <c r="B476" t="s">
        <v>855</v>
      </c>
      <c r="C476" t="s">
        <v>856</v>
      </c>
      <c r="D476" t="s">
        <v>857</v>
      </c>
      <c r="E476" s="9">
        <v>45292</v>
      </c>
      <c r="F476" s="9">
        <v>45322</v>
      </c>
      <c r="G476">
        <v>136841152.36000001</v>
      </c>
      <c r="H476">
        <v>101913856.428</v>
      </c>
      <c r="I476">
        <v>81932863.871600002</v>
      </c>
      <c r="J476">
        <v>0</v>
      </c>
      <c r="K476">
        <v>0</v>
      </c>
      <c r="L476">
        <v>274355.55151999998</v>
      </c>
      <c r="M476">
        <v>0</v>
      </c>
      <c r="N476">
        <v>0</v>
      </c>
      <c r="O476">
        <v>0</v>
      </c>
      <c r="P476">
        <v>0</v>
      </c>
      <c r="Q476">
        <v>97216.837920000005</v>
      </c>
      <c r="R476">
        <v>0</v>
      </c>
      <c r="S476">
        <v>0</v>
      </c>
      <c r="T476" s="9">
        <v>45108</v>
      </c>
      <c r="U476" s="9">
        <v>45473</v>
      </c>
      <c r="V476">
        <f>SUM(POTABLE_NONPOTABLE_API[[#This Row],[RESIDENTIAL_SINGLEFAMILY_GAL]:[OTHER_GAL]])</f>
        <v>320962228.21112001</v>
      </c>
      <c r="W476">
        <f>SUM(POTABLE_NONPOTABLE_API[[#This Row],[NONPOTABLE_DEMAND_RESIDENTIAL_RECYCLED_WATER_GAL]:[NONPOTABLE_DEMAND_NONRESIDENTIAL_METERED_IRRIGATION_GAL]])</f>
        <v>97216.837920000005</v>
      </c>
      <c r="X476" t="str">
        <f>IFERROR(INDEX(Crosswalk_API!$H$2:$H$527, MATCH(POTABLE_NONPOTABLE_API[[#This Row],[PWSID]], CW_PWSID_LIST, 0)), "")</f>
        <v>No</v>
      </c>
    </row>
    <row r="477" spans="1:24" x14ac:dyDescent="0.25">
      <c r="A477" t="s">
        <v>854</v>
      </c>
      <c r="B477" t="s">
        <v>855</v>
      </c>
      <c r="C477" t="s">
        <v>856</v>
      </c>
      <c r="D477" t="s">
        <v>857</v>
      </c>
      <c r="E477" s="9">
        <v>45323</v>
      </c>
      <c r="F477" s="9">
        <v>45351</v>
      </c>
      <c r="G477">
        <v>115737034.5308</v>
      </c>
      <c r="H477">
        <v>94377210.086439997</v>
      </c>
      <c r="I477">
        <v>76706284.391760007</v>
      </c>
      <c r="J477">
        <v>0</v>
      </c>
      <c r="K477">
        <v>0</v>
      </c>
      <c r="L477">
        <v>197336.11760000003</v>
      </c>
      <c r="M477">
        <v>0</v>
      </c>
      <c r="N477">
        <v>0</v>
      </c>
      <c r="O477">
        <v>0</v>
      </c>
      <c r="P477">
        <v>0</v>
      </c>
      <c r="Q477">
        <v>109754.18944</v>
      </c>
      <c r="R477">
        <v>0</v>
      </c>
      <c r="S477">
        <v>0</v>
      </c>
      <c r="T477" s="9">
        <v>45108</v>
      </c>
      <c r="U477" s="9">
        <v>45473</v>
      </c>
      <c r="V477">
        <f>SUM(POTABLE_NONPOTABLE_API[[#This Row],[RESIDENTIAL_SINGLEFAMILY_GAL]:[OTHER_GAL]])</f>
        <v>287017865.12660003</v>
      </c>
      <c r="W477">
        <f>SUM(POTABLE_NONPOTABLE_API[[#This Row],[NONPOTABLE_DEMAND_RESIDENTIAL_RECYCLED_WATER_GAL]:[NONPOTABLE_DEMAND_NONRESIDENTIAL_METERED_IRRIGATION_GAL]])</f>
        <v>109754.18944</v>
      </c>
      <c r="X477" t="str">
        <f>IFERROR(INDEX(Crosswalk_API!$H$2:$H$527, MATCH(POTABLE_NONPOTABLE_API[[#This Row],[PWSID]], CW_PWSID_LIST, 0)), "")</f>
        <v>No</v>
      </c>
    </row>
    <row r="478" spans="1:24" x14ac:dyDescent="0.25">
      <c r="A478" t="s">
        <v>854</v>
      </c>
      <c r="B478" t="s">
        <v>855</v>
      </c>
      <c r="C478" t="s">
        <v>856</v>
      </c>
      <c r="D478" t="s">
        <v>857</v>
      </c>
      <c r="E478" s="9">
        <v>45352</v>
      </c>
      <c r="F478" s="9">
        <v>45382</v>
      </c>
      <c r="G478">
        <v>105706480.068</v>
      </c>
      <c r="H478">
        <v>89229138.664000005</v>
      </c>
      <c r="I478">
        <v>64924427.989160001</v>
      </c>
      <c r="J478">
        <v>0</v>
      </c>
      <c r="K478">
        <v>0</v>
      </c>
      <c r="L478">
        <v>130722.087</v>
      </c>
      <c r="M478">
        <v>0</v>
      </c>
      <c r="N478">
        <v>0</v>
      </c>
      <c r="O478">
        <v>0</v>
      </c>
      <c r="P478">
        <v>0</v>
      </c>
      <c r="Q478">
        <v>44631811.469999999</v>
      </c>
      <c r="R478">
        <v>0</v>
      </c>
      <c r="S478">
        <v>0</v>
      </c>
      <c r="T478" s="9">
        <v>45108</v>
      </c>
      <c r="U478" s="9">
        <v>45473</v>
      </c>
      <c r="V478">
        <f>SUM(POTABLE_NONPOTABLE_API[[#This Row],[RESIDENTIAL_SINGLEFAMILY_GAL]:[OTHER_GAL]])</f>
        <v>259990768.80816001</v>
      </c>
      <c r="W478">
        <f>SUM(POTABLE_NONPOTABLE_API[[#This Row],[NONPOTABLE_DEMAND_RESIDENTIAL_RECYCLED_WATER_GAL]:[NONPOTABLE_DEMAND_NONRESIDENTIAL_METERED_IRRIGATION_GAL]])</f>
        <v>44631811.469999999</v>
      </c>
      <c r="X478" t="str">
        <f>IFERROR(INDEX(Crosswalk_API!$H$2:$H$527, MATCH(POTABLE_NONPOTABLE_API[[#This Row],[PWSID]], CW_PWSID_LIST, 0)), "")</f>
        <v>No</v>
      </c>
    </row>
    <row r="479" spans="1:24" x14ac:dyDescent="0.25">
      <c r="A479" t="s">
        <v>854</v>
      </c>
      <c r="B479" t="s">
        <v>855</v>
      </c>
      <c r="C479" t="s">
        <v>856</v>
      </c>
      <c r="D479" t="s">
        <v>857</v>
      </c>
      <c r="E479" s="9">
        <v>45383</v>
      </c>
      <c r="F479" s="9">
        <v>45412</v>
      </c>
      <c r="G479">
        <v>126651210.45756</v>
      </c>
      <c r="H479">
        <v>96663511.336119995</v>
      </c>
      <c r="I479">
        <v>74400758.205679998</v>
      </c>
      <c r="J479">
        <v>0</v>
      </c>
      <c r="K479">
        <v>0</v>
      </c>
      <c r="L479">
        <v>165813.20632</v>
      </c>
      <c r="M479">
        <v>0</v>
      </c>
      <c r="N479">
        <v>0</v>
      </c>
      <c r="O479">
        <v>0</v>
      </c>
      <c r="P479">
        <v>0</v>
      </c>
      <c r="Q479">
        <v>61856295.330000006</v>
      </c>
      <c r="R479">
        <v>0</v>
      </c>
      <c r="S479">
        <v>0</v>
      </c>
      <c r="T479" s="9">
        <v>45108</v>
      </c>
      <c r="U479" s="9">
        <v>45473</v>
      </c>
      <c r="V479">
        <f>SUM(POTABLE_NONPOTABLE_API[[#This Row],[RESIDENTIAL_SINGLEFAMILY_GAL]:[OTHER_GAL]])</f>
        <v>297881293.20568001</v>
      </c>
      <c r="W479">
        <f>SUM(POTABLE_NONPOTABLE_API[[#This Row],[NONPOTABLE_DEMAND_RESIDENTIAL_RECYCLED_WATER_GAL]:[NONPOTABLE_DEMAND_NONRESIDENTIAL_METERED_IRRIGATION_GAL]])</f>
        <v>61856295.330000006</v>
      </c>
      <c r="X479" t="str">
        <f>IFERROR(INDEX(Crosswalk_API!$H$2:$H$527, MATCH(POTABLE_NONPOTABLE_API[[#This Row],[PWSID]], CW_PWSID_LIST, 0)), "")</f>
        <v>No</v>
      </c>
    </row>
    <row r="480" spans="1:24" x14ac:dyDescent="0.25">
      <c r="A480" t="s">
        <v>854</v>
      </c>
      <c r="B480" t="s">
        <v>855</v>
      </c>
      <c r="C480" t="s">
        <v>856</v>
      </c>
      <c r="D480" t="s">
        <v>857</v>
      </c>
      <c r="E480" s="9">
        <v>45413</v>
      </c>
      <c r="F480" s="9">
        <v>45443</v>
      </c>
      <c r="G480">
        <v>155650919.90000001</v>
      </c>
      <c r="H480">
        <v>102323788.92400001</v>
      </c>
      <c r="I480">
        <v>72616399.848000005</v>
      </c>
      <c r="J480">
        <v>0</v>
      </c>
      <c r="K480">
        <v>0</v>
      </c>
      <c r="L480">
        <v>320166.25599999999</v>
      </c>
      <c r="M480">
        <v>0</v>
      </c>
      <c r="N480">
        <v>0</v>
      </c>
      <c r="O480">
        <v>0</v>
      </c>
      <c r="P480">
        <v>0</v>
      </c>
      <c r="Q480">
        <v>82293670.049999997</v>
      </c>
      <c r="R480">
        <v>0</v>
      </c>
      <c r="S480">
        <v>0</v>
      </c>
      <c r="T480" s="9">
        <v>45108</v>
      </c>
      <c r="U480" s="9">
        <v>45473</v>
      </c>
      <c r="V480">
        <f>SUM(POTABLE_NONPOTABLE_API[[#This Row],[RESIDENTIAL_SINGLEFAMILY_GAL]:[OTHER_GAL]])</f>
        <v>330911274.92799997</v>
      </c>
      <c r="W480">
        <f>SUM(POTABLE_NONPOTABLE_API[[#This Row],[NONPOTABLE_DEMAND_RESIDENTIAL_RECYCLED_WATER_GAL]:[NONPOTABLE_DEMAND_NONRESIDENTIAL_METERED_IRRIGATION_GAL]])</f>
        <v>82293670.049999997</v>
      </c>
      <c r="X480" t="str">
        <f>IFERROR(INDEX(Crosswalk_API!$H$2:$H$527, MATCH(POTABLE_NONPOTABLE_API[[#This Row],[PWSID]], CW_PWSID_LIST, 0)), "")</f>
        <v>No</v>
      </c>
    </row>
    <row r="481" spans="1:24" x14ac:dyDescent="0.25">
      <c r="A481" t="s">
        <v>854</v>
      </c>
      <c r="B481" t="s">
        <v>855</v>
      </c>
      <c r="C481" t="s">
        <v>856</v>
      </c>
      <c r="D481" t="s">
        <v>857</v>
      </c>
      <c r="E481" s="9">
        <v>45444</v>
      </c>
      <c r="F481" s="9">
        <v>45473</v>
      </c>
      <c r="G481">
        <v>186845668.24812001</v>
      </c>
      <c r="H481">
        <v>106092370.17271999</v>
      </c>
      <c r="I481">
        <v>83618127.780839995</v>
      </c>
      <c r="J481">
        <v>0</v>
      </c>
      <c r="K481">
        <v>0</v>
      </c>
      <c r="L481">
        <v>155766.86796</v>
      </c>
      <c r="M481">
        <v>0</v>
      </c>
      <c r="N481">
        <v>0</v>
      </c>
      <c r="O481">
        <v>0</v>
      </c>
      <c r="P481">
        <v>0</v>
      </c>
      <c r="Q481">
        <v>88999683.629999995</v>
      </c>
      <c r="R481">
        <v>0</v>
      </c>
      <c r="S481">
        <v>0</v>
      </c>
      <c r="T481" s="9">
        <v>45108</v>
      </c>
      <c r="U481" s="9">
        <v>45473</v>
      </c>
      <c r="V481">
        <f>SUM(POTABLE_NONPOTABLE_API[[#This Row],[RESIDENTIAL_SINGLEFAMILY_GAL]:[OTHER_GAL]])</f>
        <v>376711933.06963998</v>
      </c>
      <c r="W481">
        <f>SUM(POTABLE_NONPOTABLE_API[[#This Row],[NONPOTABLE_DEMAND_RESIDENTIAL_RECYCLED_WATER_GAL]:[NONPOTABLE_DEMAND_NONRESIDENTIAL_METERED_IRRIGATION_GAL]])</f>
        <v>88999683.629999995</v>
      </c>
      <c r="X481" t="str">
        <f>IFERROR(INDEX(Crosswalk_API!$H$2:$H$527, MATCH(POTABLE_NONPOTABLE_API[[#This Row],[PWSID]], CW_PWSID_LIST, 0)), "")</f>
        <v>No</v>
      </c>
    </row>
    <row r="482" spans="1:24" x14ac:dyDescent="0.25">
      <c r="A482" t="s">
        <v>858</v>
      </c>
      <c r="B482" t="s">
        <v>859</v>
      </c>
      <c r="C482" t="s">
        <v>860</v>
      </c>
      <c r="D482" t="s">
        <v>861</v>
      </c>
      <c r="E482" s="9">
        <v>45108</v>
      </c>
      <c r="F482" s="9">
        <v>45138</v>
      </c>
      <c r="G482">
        <v>41413523</v>
      </c>
      <c r="H482">
        <v>21033416</v>
      </c>
      <c r="I482">
        <v>26050162</v>
      </c>
      <c r="J482">
        <v>6061500</v>
      </c>
      <c r="K482">
        <v>0</v>
      </c>
      <c r="L482">
        <v>87047</v>
      </c>
      <c r="M482">
        <v>0</v>
      </c>
      <c r="T482" s="9">
        <v>45108</v>
      </c>
      <c r="U482" s="9">
        <v>45473</v>
      </c>
      <c r="V482">
        <f>SUM(POTABLE_NONPOTABLE_API[[#This Row],[RESIDENTIAL_SINGLEFAMILY_GAL]:[OTHER_GAL]])</f>
        <v>94645648</v>
      </c>
      <c r="W482">
        <f>SUM(POTABLE_NONPOTABLE_API[[#This Row],[NONPOTABLE_DEMAND_RESIDENTIAL_RECYCLED_WATER_GAL]:[NONPOTABLE_DEMAND_NONRESIDENTIAL_METERED_IRRIGATION_GAL]])</f>
        <v>0</v>
      </c>
      <c r="X482" t="str">
        <f>IFERROR(INDEX(Crosswalk_API!$H$2:$H$527, MATCH(POTABLE_NONPOTABLE_API[[#This Row],[PWSID]], CW_PWSID_LIST, 0)), "")</f>
        <v>No</v>
      </c>
    </row>
    <row r="483" spans="1:24" x14ac:dyDescent="0.25">
      <c r="A483" t="s">
        <v>858</v>
      </c>
      <c r="B483" t="s">
        <v>859</v>
      </c>
      <c r="C483" t="s">
        <v>860</v>
      </c>
      <c r="D483" t="s">
        <v>861</v>
      </c>
      <c r="E483" s="9">
        <v>45139</v>
      </c>
      <c r="F483" s="9">
        <v>45169</v>
      </c>
      <c r="G483">
        <v>47960986.5</v>
      </c>
      <c r="H483">
        <v>21062966</v>
      </c>
      <c r="I483">
        <v>31510741</v>
      </c>
      <c r="J483">
        <v>6447100</v>
      </c>
      <c r="K483">
        <v>0</v>
      </c>
      <c r="L483">
        <v>1145527.5</v>
      </c>
      <c r="M483">
        <v>0</v>
      </c>
      <c r="T483" s="9">
        <v>45108</v>
      </c>
      <c r="U483" s="9">
        <v>45473</v>
      </c>
      <c r="V483">
        <f>SUM(POTABLE_NONPOTABLE_API[[#This Row],[RESIDENTIAL_SINGLEFAMILY_GAL]:[OTHER_GAL]])</f>
        <v>108127321</v>
      </c>
      <c r="W483">
        <f>SUM(POTABLE_NONPOTABLE_API[[#This Row],[NONPOTABLE_DEMAND_RESIDENTIAL_RECYCLED_WATER_GAL]:[NONPOTABLE_DEMAND_NONRESIDENTIAL_METERED_IRRIGATION_GAL]])</f>
        <v>0</v>
      </c>
      <c r="X483" t="str">
        <f>IFERROR(INDEX(Crosswalk_API!$H$2:$H$527, MATCH(POTABLE_NONPOTABLE_API[[#This Row],[PWSID]], CW_PWSID_LIST, 0)), "")</f>
        <v>No</v>
      </c>
    </row>
    <row r="484" spans="1:24" x14ac:dyDescent="0.25">
      <c r="A484" t="s">
        <v>858</v>
      </c>
      <c r="B484" t="s">
        <v>859</v>
      </c>
      <c r="C484" t="s">
        <v>860</v>
      </c>
      <c r="D484" t="s">
        <v>861</v>
      </c>
      <c r="E484" s="9">
        <v>45170</v>
      </c>
      <c r="F484" s="9">
        <v>45199</v>
      </c>
      <c r="G484">
        <v>52067824.5</v>
      </c>
      <c r="H484">
        <v>21173714</v>
      </c>
      <c r="I484">
        <v>38548606</v>
      </c>
      <c r="J484">
        <v>7191127.5</v>
      </c>
      <c r="K484">
        <v>0</v>
      </c>
      <c r="L484">
        <v>1249680.5</v>
      </c>
      <c r="M484">
        <v>0</v>
      </c>
      <c r="T484" s="9">
        <v>45108</v>
      </c>
      <c r="U484" s="9">
        <v>45473</v>
      </c>
      <c r="V484">
        <f>SUM(POTABLE_NONPOTABLE_API[[#This Row],[RESIDENTIAL_SINGLEFAMILY_GAL]:[OTHER_GAL]])</f>
        <v>120230952.5</v>
      </c>
      <c r="W484">
        <f>SUM(POTABLE_NONPOTABLE_API[[#This Row],[NONPOTABLE_DEMAND_RESIDENTIAL_RECYCLED_WATER_GAL]:[NONPOTABLE_DEMAND_NONRESIDENTIAL_METERED_IRRIGATION_GAL]])</f>
        <v>0</v>
      </c>
      <c r="X484" t="str">
        <f>IFERROR(INDEX(Crosswalk_API!$H$2:$H$527, MATCH(POTABLE_NONPOTABLE_API[[#This Row],[PWSID]], CW_PWSID_LIST, 0)), "")</f>
        <v>No</v>
      </c>
    </row>
    <row r="485" spans="1:24" x14ac:dyDescent="0.25">
      <c r="A485" t="s">
        <v>858</v>
      </c>
      <c r="B485" t="s">
        <v>859</v>
      </c>
      <c r="C485" t="s">
        <v>860</v>
      </c>
      <c r="D485" t="s">
        <v>861</v>
      </c>
      <c r="E485" s="9">
        <v>45200</v>
      </c>
      <c r="F485" s="9">
        <v>45230</v>
      </c>
      <c r="G485">
        <v>48038756</v>
      </c>
      <c r="H485">
        <v>20586914</v>
      </c>
      <c r="I485">
        <v>37472416</v>
      </c>
      <c r="J485">
        <v>6645677.5</v>
      </c>
      <c r="K485">
        <v>0</v>
      </c>
      <c r="L485">
        <v>336700</v>
      </c>
      <c r="M485">
        <v>0</v>
      </c>
      <c r="T485" s="9">
        <v>45108</v>
      </c>
      <c r="U485" s="9">
        <v>45473</v>
      </c>
      <c r="V485">
        <f>SUM(POTABLE_NONPOTABLE_API[[#This Row],[RESIDENTIAL_SINGLEFAMILY_GAL]:[OTHER_GAL]])</f>
        <v>113080463.5</v>
      </c>
      <c r="W485">
        <f>SUM(POTABLE_NONPOTABLE_API[[#This Row],[NONPOTABLE_DEMAND_RESIDENTIAL_RECYCLED_WATER_GAL]:[NONPOTABLE_DEMAND_NONRESIDENTIAL_METERED_IRRIGATION_GAL]])</f>
        <v>0</v>
      </c>
      <c r="X485" t="str">
        <f>IFERROR(INDEX(Crosswalk_API!$H$2:$H$527, MATCH(POTABLE_NONPOTABLE_API[[#This Row],[PWSID]], CW_PWSID_LIST, 0)), "")</f>
        <v>No</v>
      </c>
    </row>
    <row r="486" spans="1:24" x14ac:dyDescent="0.25">
      <c r="A486" t="s">
        <v>858</v>
      </c>
      <c r="B486" t="s">
        <v>859</v>
      </c>
      <c r="C486" t="s">
        <v>860</v>
      </c>
      <c r="D486" t="s">
        <v>861</v>
      </c>
      <c r="E486" s="9">
        <v>45231</v>
      </c>
      <c r="F486" s="9">
        <v>45260</v>
      </c>
      <c r="G486">
        <v>47239526</v>
      </c>
      <c r="H486">
        <v>22908073.5</v>
      </c>
      <c r="I486">
        <v>31037316</v>
      </c>
      <c r="J486">
        <v>6185382</v>
      </c>
      <c r="K486">
        <v>0</v>
      </c>
      <c r="L486">
        <v>187750</v>
      </c>
      <c r="M486">
        <v>0</v>
      </c>
      <c r="T486" s="9">
        <v>45108</v>
      </c>
      <c r="U486" s="9">
        <v>45473</v>
      </c>
      <c r="V486">
        <f>SUM(POTABLE_NONPOTABLE_API[[#This Row],[RESIDENTIAL_SINGLEFAMILY_GAL]:[OTHER_GAL]])</f>
        <v>107558047.5</v>
      </c>
      <c r="W486">
        <f>SUM(POTABLE_NONPOTABLE_API[[#This Row],[NONPOTABLE_DEMAND_RESIDENTIAL_RECYCLED_WATER_GAL]:[NONPOTABLE_DEMAND_NONRESIDENTIAL_METERED_IRRIGATION_GAL]])</f>
        <v>0</v>
      </c>
      <c r="X486" t="str">
        <f>IFERROR(INDEX(Crosswalk_API!$H$2:$H$527, MATCH(POTABLE_NONPOTABLE_API[[#This Row],[PWSID]], CW_PWSID_LIST, 0)), "")</f>
        <v>No</v>
      </c>
    </row>
    <row r="487" spans="1:24" x14ac:dyDescent="0.25">
      <c r="A487" t="s">
        <v>858</v>
      </c>
      <c r="B487" t="s">
        <v>859</v>
      </c>
      <c r="C487" t="s">
        <v>860</v>
      </c>
      <c r="D487" t="s">
        <v>861</v>
      </c>
      <c r="E487" s="9">
        <v>45261</v>
      </c>
      <c r="F487" s="9">
        <v>45291</v>
      </c>
      <c r="G487">
        <v>44829793</v>
      </c>
      <c r="H487">
        <v>22040223.5</v>
      </c>
      <c r="I487">
        <v>24251318.5</v>
      </c>
      <c r="J487">
        <v>3620782</v>
      </c>
      <c r="K487">
        <v>0</v>
      </c>
      <c r="L487">
        <v>44500</v>
      </c>
      <c r="M487">
        <v>0</v>
      </c>
      <c r="T487" s="9">
        <v>45108</v>
      </c>
      <c r="U487" s="9">
        <v>45473</v>
      </c>
      <c r="V487">
        <f>SUM(POTABLE_NONPOTABLE_API[[#This Row],[RESIDENTIAL_SINGLEFAMILY_GAL]:[OTHER_GAL]])</f>
        <v>94786617</v>
      </c>
      <c r="W487">
        <f>SUM(POTABLE_NONPOTABLE_API[[#This Row],[NONPOTABLE_DEMAND_RESIDENTIAL_RECYCLED_WATER_GAL]:[NONPOTABLE_DEMAND_NONRESIDENTIAL_METERED_IRRIGATION_GAL]])</f>
        <v>0</v>
      </c>
      <c r="X487" t="str">
        <f>IFERROR(INDEX(Crosswalk_API!$H$2:$H$527, MATCH(POTABLE_NONPOTABLE_API[[#This Row],[PWSID]], CW_PWSID_LIST, 0)), "")</f>
        <v>No</v>
      </c>
    </row>
    <row r="488" spans="1:24" x14ac:dyDescent="0.25">
      <c r="A488" t="s">
        <v>858</v>
      </c>
      <c r="B488" t="s">
        <v>859</v>
      </c>
      <c r="C488" t="s">
        <v>860</v>
      </c>
      <c r="D488" t="s">
        <v>861</v>
      </c>
      <c r="E488" s="9">
        <v>45292</v>
      </c>
      <c r="F488" s="9">
        <v>45322</v>
      </c>
      <c r="G488">
        <v>34369381</v>
      </c>
      <c r="H488">
        <v>18231810</v>
      </c>
      <c r="I488">
        <v>22311919</v>
      </c>
      <c r="J488">
        <v>3043100</v>
      </c>
      <c r="K488">
        <v>0</v>
      </c>
      <c r="L488">
        <v>2250</v>
      </c>
      <c r="M488">
        <v>0</v>
      </c>
      <c r="T488" s="9">
        <v>45108</v>
      </c>
      <c r="U488" s="9">
        <v>45473</v>
      </c>
      <c r="V488">
        <f>SUM(POTABLE_NONPOTABLE_API[[#This Row],[RESIDENTIAL_SINGLEFAMILY_GAL]:[OTHER_GAL]])</f>
        <v>77958460</v>
      </c>
      <c r="W488">
        <f>SUM(POTABLE_NONPOTABLE_API[[#This Row],[NONPOTABLE_DEMAND_RESIDENTIAL_RECYCLED_WATER_GAL]:[NONPOTABLE_DEMAND_NONRESIDENTIAL_METERED_IRRIGATION_GAL]])</f>
        <v>0</v>
      </c>
      <c r="X488" t="str">
        <f>IFERROR(INDEX(Crosswalk_API!$H$2:$H$527, MATCH(POTABLE_NONPOTABLE_API[[#This Row],[PWSID]], CW_PWSID_LIST, 0)), "")</f>
        <v>No</v>
      </c>
    </row>
    <row r="489" spans="1:24" x14ac:dyDescent="0.25">
      <c r="A489" t="s">
        <v>858</v>
      </c>
      <c r="B489" t="s">
        <v>859</v>
      </c>
      <c r="C489" t="s">
        <v>860</v>
      </c>
      <c r="D489" t="s">
        <v>861</v>
      </c>
      <c r="E489" s="9">
        <v>45323</v>
      </c>
      <c r="F489" s="9">
        <v>45351</v>
      </c>
      <c r="G489">
        <v>28133758</v>
      </c>
      <c r="H489">
        <v>20660310</v>
      </c>
      <c r="I489">
        <v>23461850</v>
      </c>
      <c r="J489">
        <v>1572000</v>
      </c>
      <c r="K489">
        <v>0</v>
      </c>
      <c r="L489">
        <v>386438</v>
      </c>
      <c r="M489">
        <v>0</v>
      </c>
      <c r="T489" s="9">
        <v>45108</v>
      </c>
      <c r="U489" s="9">
        <v>45473</v>
      </c>
      <c r="V489">
        <f>SUM(POTABLE_NONPOTABLE_API[[#This Row],[RESIDENTIAL_SINGLEFAMILY_GAL]:[OTHER_GAL]])</f>
        <v>74214356</v>
      </c>
      <c r="W489">
        <f>SUM(POTABLE_NONPOTABLE_API[[#This Row],[NONPOTABLE_DEMAND_RESIDENTIAL_RECYCLED_WATER_GAL]:[NONPOTABLE_DEMAND_NONRESIDENTIAL_METERED_IRRIGATION_GAL]])</f>
        <v>0</v>
      </c>
      <c r="X489" t="str">
        <f>IFERROR(INDEX(Crosswalk_API!$H$2:$H$527, MATCH(POTABLE_NONPOTABLE_API[[#This Row],[PWSID]], CW_PWSID_LIST, 0)), "")</f>
        <v>No</v>
      </c>
    </row>
    <row r="490" spans="1:24" x14ac:dyDescent="0.25">
      <c r="A490" t="s">
        <v>858</v>
      </c>
      <c r="B490" t="s">
        <v>859</v>
      </c>
      <c r="C490" t="s">
        <v>860</v>
      </c>
      <c r="D490" t="s">
        <v>861</v>
      </c>
      <c r="E490" s="9">
        <v>45352</v>
      </c>
      <c r="F490" s="9">
        <v>45382</v>
      </c>
      <c r="G490">
        <v>24839084</v>
      </c>
      <c r="H490">
        <v>19307355.5</v>
      </c>
      <c r="I490">
        <v>20648350</v>
      </c>
      <c r="J490">
        <v>1358200</v>
      </c>
      <c r="K490">
        <v>0</v>
      </c>
      <c r="L490">
        <v>513738</v>
      </c>
      <c r="M490">
        <v>0</v>
      </c>
      <c r="T490" s="9">
        <v>45108</v>
      </c>
      <c r="U490" s="9">
        <v>45473</v>
      </c>
      <c r="V490">
        <f>SUM(POTABLE_NONPOTABLE_API[[#This Row],[RESIDENTIAL_SINGLEFAMILY_GAL]:[OTHER_GAL]])</f>
        <v>66666727.5</v>
      </c>
      <c r="W490">
        <f>SUM(POTABLE_NONPOTABLE_API[[#This Row],[NONPOTABLE_DEMAND_RESIDENTIAL_RECYCLED_WATER_GAL]:[NONPOTABLE_DEMAND_NONRESIDENTIAL_METERED_IRRIGATION_GAL]])</f>
        <v>0</v>
      </c>
      <c r="X490" t="str">
        <f>IFERROR(INDEX(Crosswalk_API!$H$2:$H$527, MATCH(POTABLE_NONPOTABLE_API[[#This Row],[PWSID]], CW_PWSID_LIST, 0)), "")</f>
        <v>No</v>
      </c>
    </row>
    <row r="491" spans="1:24" x14ac:dyDescent="0.25">
      <c r="A491" t="s">
        <v>858</v>
      </c>
      <c r="B491" t="s">
        <v>859</v>
      </c>
      <c r="C491" t="s">
        <v>860</v>
      </c>
      <c r="D491" t="s">
        <v>861</v>
      </c>
      <c r="E491" s="9">
        <v>45383</v>
      </c>
      <c r="F491" s="9">
        <v>45412</v>
      </c>
      <c r="G491">
        <v>22965883.5</v>
      </c>
      <c r="H491">
        <v>18026055.5</v>
      </c>
      <c r="I491">
        <v>20575350</v>
      </c>
      <c r="J491">
        <v>1669750</v>
      </c>
      <c r="K491">
        <v>0</v>
      </c>
      <c r="L491">
        <v>566350</v>
      </c>
      <c r="M491">
        <v>0</v>
      </c>
      <c r="T491" s="9">
        <v>45108</v>
      </c>
      <c r="U491" s="9">
        <v>45473</v>
      </c>
      <c r="V491">
        <f>SUM(POTABLE_NONPOTABLE_API[[#This Row],[RESIDENTIAL_SINGLEFAMILY_GAL]:[OTHER_GAL]])</f>
        <v>63803389</v>
      </c>
      <c r="W491">
        <f>SUM(POTABLE_NONPOTABLE_API[[#This Row],[NONPOTABLE_DEMAND_RESIDENTIAL_RECYCLED_WATER_GAL]:[NONPOTABLE_DEMAND_NONRESIDENTIAL_METERED_IRRIGATION_GAL]])</f>
        <v>0</v>
      </c>
      <c r="X491" t="str">
        <f>IFERROR(INDEX(Crosswalk_API!$H$2:$H$527, MATCH(POTABLE_NONPOTABLE_API[[#This Row],[PWSID]], CW_PWSID_LIST, 0)), "")</f>
        <v>No</v>
      </c>
    </row>
    <row r="492" spans="1:24" x14ac:dyDescent="0.25">
      <c r="A492" t="s">
        <v>858</v>
      </c>
      <c r="B492" t="s">
        <v>859</v>
      </c>
      <c r="C492" t="s">
        <v>860</v>
      </c>
      <c r="D492" t="s">
        <v>861</v>
      </c>
      <c r="E492" s="9">
        <v>45413</v>
      </c>
      <c r="F492" s="9">
        <v>45443</v>
      </c>
      <c r="G492">
        <v>27103625</v>
      </c>
      <c r="H492">
        <v>20956450</v>
      </c>
      <c r="I492">
        <v>23394000</v>
      </c>
      <c r="J492">
        <v>1771000</v>
      </c>
      <c r="K492">
        <v>0</v>
      </c>
      <c r="L492">
        <v>631200</v>
      </c>
      <c r="M492">
        <v>0</v>
      </c>
      <c r="T492" s="9">
        <v>45108</v>
      </c>
      <c r="U492" s="9">
        <v>45473</v>
      </c>
      <c r="V492">
        <f>SUM(POTABLE_NONPOTABLE_API[[#This Row],[RESIDENTIAL_SINGLEFAMILY_GAL]:[OTHER_GAL]])</f>
        <v>73856275</v>
      </c>
      <c r="W492">
        <f>SUM(POTABLE_NONPOTABLE_API[[#This Row],[NONPOTABLE_DEMAND_RESIDENTIAL_RECYCLED_WATER_GAL]:[NONPOTABLE_DEMAND_NONRESIDENTIAL_METERED_IRRIGATION_GAL]])</f>
        <v>0</v>
      </c>
      <c r="X492" t="str">
        <f>IFERROR(INDEX(Crosswalk_API!$H$2:$H$527, MATCH(POTABLE_NONPOTABLE_API[[#This Row],[PWSID]], CW_PWSID_LIST, 0)), "")</f>
        <v>No</v>
      </c>
    </row>
    <row r="493" spans="1:24" x14ac:dyDescent="0.25">
      <c r="A493" t="s">
        <v>858</v>
      </c>
      <c r="B493" t="s">
        <v>859</v>
      </c>
      <c r="C493" t="s">
        <v>860</v>
      </c>
      <c r="D493" t="s">
        <v>861</v>
      </c>
      <c r="E493" s="9">
        <v>45444</v>
      </c>
      <c r="F493" s="9">
        <v>45473</v>
      </c>
      <c r="G493">
        <v>33900025</v>
      </c>
      <c r="H493">
        <v>20893400</v>
      </c>
      <c r="I493">
        <v>26630650</v>
      </c>
      <c r="J493">
        <v>4273550</v>
      </c>
      <c r="K493">
        <v>0</v>
      </c>
      <c r="L493">
        <v>251400</v>
      </c>
      <c r="M493">
        <v>0</v>
      </c>
      <c r="T493" s="9">
        <v>45108</v>
      </c>
      <c r="U493" s="9">
        <v>45473</v>
      </c>
      <c r="V493">
        <f>SUM(POTABLE_NONPOTABLE_API[[#This Row],[RESIDENTIAL_SINGLEFAMILY_GAL]:[OTHER_GAL]])</f>
        <v>85949025</v>
      </c>
      <c r="W493">
        <f>SUM(POTABLE_NONPOTABLE_API[[#This Row],[NONPOTABLE_DEMAND_RESIDENTIAL_RECYCLED_WATER_GAL]:[NONPOTABLE_DEMAND_NONRESIDENTIAL_METERED_IRRIGATION_GAL]])</f>
        <v>0</v>
      </c>
      <c r="X493" t="str">
        <f>IFERROR(INDEX(Crosswalk_API!$H$2:$H$527, MATCH(POTABLE_NONPOTABLE_API[[#This Row],[PWSID]], CW_PWSID_LIST, 0)), "")</f>
        <v>No</v>
      </c>
    </row>
    <row r="494" spans="1:24" x14ac:dyDescent="0.25">
      <c r="A494" t="s">
        <v>863</v>
      </c>
      <c r="B494" t="s">
        <v>864</v>
      </c>
      <c r="C494" t="s">
        <v>865</v>
      </c>
      <c r="D494" t="s">
        <v>866</v>
      </c>
      <c r="E494" s="9">
        <v>45108</v>
      </c>
      <c r="F494" s="9">
        <v>45138</v>
      </c>
      <c r="G494">
        <v>275518</v>
      </c>
      <c r="H494">
        <v>0</v>
      </c>
      <c r="I494">
        <v>0</v>
      </c>
      <c r="J494">
        <v>0</v>
      </c>
      <c r="K494">
        <v>0</v>
      </c>
      <c r="L494">
        <v>0</v>
      </c>
      <c r="M494">
        <v>0</v>
      </c>
      <c r="T494" s="9">
        <v>45108</v>
      </c>
      <c r="U494" s="9">
        <v>45473</v>
      </c>
      <c r="V494">
        <f>SUM(POTABLE_NONPOTABLE_API[[#This Row],[RESIDENTIAL_SINGLEFAMILY_GAL]:[OTHER_GAL]])</f>
        <v>275518</v>
      </c>
      <c r="W494">
        <f>SUM(POTABLE_NONPOTABLE_API[[#This Row],[NONPOTABLE_DEMAND_RESIDENTIAL_RECYCLED_WATER_GAL]:[NONPOTABLE_DEMAND_NONRESIDENTIAL_METERED_IRRIGATION_GAL]])</f>
        <v>0</v>
      </c>
      <c r="X494" t="str">
        <f>IFERROR(INDEX(Crosswalk_API!$H$2:$H$527, MATCH(POTABLE_NONPOTABLE_API[[#This Row],[PWSID]], CW_PWSID_LIST, 0)), "")</f>
        <v>No</v>
      </c>
    </row>
    <row r="495" spans="1:24" x14ac:dyDescent="0.25">
      <c r="A495" t="s">
        <v>863</v>
      </c>
      <c r="B495" t="s">
        <v>864</v>
      </c>
      <c r="C495" t="s">
        <v>865</v>
      </c>
      <c r="D495" t="s">
        <v>866</v>
      </c>
      <c r="E495" s="9">
        <v>45139</v>
      </c>
      <c r="F495" s="9">
        <v>45169</v>
      </c>
      <c r="G495">
        <v>249929</v>
      </c>
      <c r="H495">
        <v>0</v>
      </c>
      <c r="I495">
        <v>0</v>
      </c>
      <c r="J495">
        <v>0</v>
      </c>
      <c r="K495">
        <v>0</v>
      </c>
      <c r="L495">
        <v>0</v>
      </c>
      <c r="M495">
        <v>0</v>
      </c>
      <c r="T495" s="9">
        <v>45108</v>
      </c>
      <c r="U495" s="9">
        <v>45473</v>
      </c>
      <c r="V495">
        <f>SUM(POTABLE_NONPOTABLE_API[[#This Row],[RESIDENTIAL_SINGLEFAMILY_GAL]:[OTHER_GAL]])</f>
        <v>249929</v>
      </c>
      <c r="W495">
        <f>SUM(POTABLE_NONPOTABLE_API[[#This Row],[NONPOTABLE_DEMAND_RESIDENTIAL_RECYCLED_WATER_GAL]:[NONPOTABLE_DEMAND_NONRESIDENTIAL_METERED_IRRIGATION_GAL]])</f>
        <v>0</v>
      </c>
      <c r="X495" t="str">
        <f>IFERROR(INDEX(Crosswalk_API!$H$2:$H$527, MATCH(POTABLE_NONPOTABLE_API[[#This Row],[PWSID]], CW_PWSID_LIST, 0)), "")</f>
        <v>No</v>
      </c>
    </row>
    <row r="496" spans="1:24" x14ac:dyDescent="0.25">
      <c r="A496" t="s">
        <v>863</v>
      </c>
      <c r="B496" t="s">
        <v>864</v>
      </c>
      <c r="C496" t="s">
        <v>865</v>
      </c>
      <c r="D496" t="s">
        <v>866</v>
      </c>
      <c r="E496" s="9">
        <v>45170</v>
      </c>
      <c r="F496" s="9">
        <v>45199</v>
      </c>
      <c r="G496">
        <v>170918</v>
      </c>
      <c r="H496">
        <v>0</v>
      </c>
      <c r="I496">
        <v>0</v>
      </c>
      <c r="J496">
        <v>0</v>
      </c>
      <c r="K496">
        <v>0</v>
      </c>
      <c r="L496">
        <v>0</v>
      </c>
      <c r="M496">
        <v>0</v>
      </c>
      <c r="T496" s="9">
        <v>45108</v>
      </c>
      <c r="U496" s="9">
        <v>45473</v>
      </c>
      <c r="V496">
        <f>SUM(POTABLE_NONPOTABLE_API[[#This Row],[RESIDENTIAL_SINGLEFAMILY_GAL]:[OTHER_GAL]])</f>
        <v>170918</v>
      </c>
      <c r="W496">
        <f>SUM(POTABLE_NONPOTABLE_API[[#This Row],[NONPOTABLE_DEMAND_RESIDENTIAL_RECYCLED_WATER_GAL]:[NONPOTABLE_DEMAND_NONRESIDENTIAL_METERED_IRRIGATION_GAL]])</f>
        <v>0</v>
      </c>
      <c r="X496" t="str">
        <f>IFERROR(INDEX(Crosswalk_API!$H$2:$H$527, MATCH(POTABLE_NONPOTABLE_API[[#This Row],[PWSID]], CW_PWSID_LIST, 0)), "")</f>
        <v>No</v>
      </c>
    </row>
    <row r="497" spans="1:24" x14ac:dyDescent="0.25">
      <c r="A497" t="s">
        <v>863</v>
      </c>
      <c r="B497" t="s">
        <v>864</v>
      </c>
      <c r="C497" t="s">
        <v>865</v>
      </c>
      <c r="D497" t="s">
        <v>866</v>
      </c>
      <c r="E497" s="9">
        <v>45200</v>
      </c>
      <c r="F497" s="9">
        <v>45230</v>
      </c>
      <c r="G497">
        <v>178959</v>
      </c>
      <c r="H497">
        <v>0</v>
      </c>
      <c r="I497">
        <v>0</v>
      </c>
      <c r="J497">
        <v>0</v>
      </c>
      <c r="K497">
        <v>0</v>
      </c>
      <c r="L497">
        <v>0</v>
      </c>
      <c r="M497">
        <v>0</v>
      </c>
      <c r="T497" s="9">
        <v>45108</v>
      </c>
      <c r="U497" s="9">
        <v>45473</v>
      </c>
      <c r="V497">
        <f>SUM(POTABLE_NONPOTABLE_API[[#This Row],[RESIDENTIAL_SINGLEFAMILY_GAL]:[OTHER_GAL]])</f>
        <v>178959</v>
      </c>
      <c r="W497">
        <f>SUM(POTABLE_NONPOTABLE_API[[#This Row],[NONPOTABLE_DEMAND_RESIDENTIAL_RECYCLED_WATER_GAL]:[NONPOTABLE_DEMAND_NONRESIDENTIAL_METERED_IRRIGATION_GAL]])</f>
        <v>0</v>
      </c>
      <c r="X497" t="str">
        <f>IFERROR(INDEX(Crosswalk_API!$H$2:$H$527, MATCH(POTABLE_NONPOTABLE_API[[#This Row],[PWSID]], CW_PWSID_LIST, 0)), "")</f>
        <v>No</v>
      </c>
    </row>
    <row r="498" spans="1:24" x14ac:dyDescent="0.25">
      <c r="A498" t="s">
        <v>863</v>
      </c>
      <c r="B498" t="s">
        <v>864</v>
      </c>
      <c r="C498" t="s">
        <v>865</v>
      </c>
      <c r="D498" t="s">
        <v>866</v>
      </c>
      <c r="E498" s="9">
        <v>45231</v>
      </c>
      <c r="F498" s="9">
        <v>45260</v>
      </c>
      <c r="G498">
        <v>118880</v>
      </c>
      <c r="H498">
        <v>0</v>
      </c>
      <c r="I498">
        <v>0</v>
      </c>
      <c r="J498">
        <v>0</v>
      </c>
      <c r="K498">
        <v>0</v>
      </c>
      <c r="L498">
        <v>0</v>
      </c>
      <c r="M498">
        <v>0</v>
      </c>
      <c r="T498" s="9">
        <v>45108</v>
      </c>
      <c r="U498" s="9">
        <v>45473</v>
      </c>
      <c r="V498">
        <f>SUM(POTABLE_NONPOTABLE_API[[#This Row],[RESIDENTIAL_SINGLEFAMILY_GAL]:[OTHER_GAL]])</f>
        <v>118880</v>
      </c>
      <c r="W498">
        <f>SUM(POTABLE_NONPOTABLE_API[[#This Row],[NONPOTABLE_DEMAND_RESIDENTIAL_RECYCLED_WATER_GAL]:[NONPOTABLE_DEMAND_NONRESIDENTIAL_METERED_IRRIGATION_GAL]])</f>
        <v>0</v>
      </c>
      <c r="X498" t="str">
        <f>IFERROR(INDEX(Crosswalk_API!$H$2:$H$527, MATCH(POTABLE_NONPOTABLE_API[[#This Row],[PWSID]], CW_PWSID_LIST, 0)), "")</f>
        <v>No</v>
      </c>
    </row>
    <row r="499" spans="1:24" x14ac:dyDescent="0.25">
      <c r="A499" t="s">
        <v>863</v>
      </c>
      <c r="B499" t="s">
        <v>864</v>
      </c>
      <c r="C499" t="s">
        <v>865</v>
      </c>
      <c r="D499" t="s">
        <v>866</v>
      </c>
      <c r="E499" s="9">
        <v>45261</v>
      </c>
      <c r="F499" s="9">
        <v>45291</v>
      </c>
      <c r="G499">
        <v>100150</v>
      </c>
      <c r="H499">
        <v>0</v>
      </c>
      <c r="I499">
        <v>0</v>
      </c>
      <c r="J499">
        <v>0</v>
      </c>
      <c r="K499">
        <v>0</v>
      </c>
      <c r="L499">
        <v>0</v>
      </c>
      <c r="M499">
        <v>0</v>
      </c>
      <c r="T499" s="9">
        <v>45108</v>
      </c>
      <c r="U499" s="9">
        <v>45473</v>
      </c>
      <c r="V499">
        <f>SUM(POTABLE_NONPOTABLE_API[[#This Row],[RESIDENTIAL_SINGLEFAMILY_GAL]:[OTHER_GAL]])</f>
        <v>100150</v>
      </c>
      <c r="W499">
        <f>SUM(POTABLE_NONPOTABLE_API[[#This Row],[NONPOTABLE_DEMAND_RESIDENTIAL_RECYCLED_WATER_GAL]:[NONPOTABLE_DEMAND_NONRESIDENTIAL_METERED_IRRIGATION_GAL]])</f>
        <v>0</v>
      </c>
      <c r="X499" t="str">
        <f>IFERROR(INDEX(Crosswalk_API!$H$2:$H$527, MATCH(POTABLE_NONPOTABLE_API[[#This Row],[PWSID]], CW_PWSID_LIST, 0)), "")</f>
        <v>No</v>
      </c>
    </row>
    <row r="500" spans="1:24" x14ac:dyDescent="0.25">
      <c r="A500" t="s">
        <v>863</v>
      </c>
      <c r="B500" t="s">
        <v>864</v>
      </c>
      <c r="C500" t="s">
        <v>865</v>
      </c>
      <c r="D500" t="s">
        <v>866</v>
      </c>
      <c r="E500" s="9">
        <v>45292</v>
      </c>
      <c r="F500" s="9">
        <v>45322</v>
      </c>
      <c r="G500">
        <v>106212</v>
      </c>
      <c r="H500">
        <v>0</v>
      </c>
      <c r="I500">
        <v>1801</v>
      </c>
      <c r="J500">
        <v>0</v>
      </c>
      <c r="K500">
        <v>0</v>
      </c>
      <c r="L500">
        <v>0</v>
      </c>
      <c r="M500">
        <v>0</v>
      </c>
      <c r="T500" s="9">
        <v>45108</v>
      </c>
      <c r="U500" s="9">
        <v>45473</v>
      </c>
      <c r="V500">
        <f>SUM(POTABLE_NONPOTABLE_API[[#This Row],[RESIDENTIAL_SINGLEFAMILY_GAL]:[OTHER_GAL]])</f>
        <v>108013</v>
      </c>
      <c r="W500">
        <f>SUM(POTABLE_NONPOTABLE_API[[#This Row],[NONPOTABLE_DEMAND_RESIDENTIAL_RECYCLED_WATER_GAL]:[NONPOTABLE_DEMAND_NONRESIDENTIAL_METERED_IRRIGATION_GAL]])</f>
        <v>0</v>
      </c>
      <c r="X500" t="str">
        <f>IFERROR(INDEX(Crosswalk_API!$H$2:$H$527, MATCH(POTABLE_NONPOTABLE_API[[#This Row],[PWSID]], CW_PWSID_LIST, 0)), "")</f>
        <v>No</v>
      </c>
    </row>
    <row r="501" spans="1:24" x14ac:dyDescent="0.25">
      <c r="A501" t="s">
        <v>863</v>
      </c>
      <c r="B501" t="s">
        <v>864</v>
      </c>
      <c r="C501" t="s">
        <v>865</v>
      </c>
      <c r="D501" t="s">
        <v>866</v>
      </c>
      <c r="E501" s="9">
        <v>45323</v>
      </c>
      <c r="F501" s="9">
        <v>45351</v>
      </c>
      <c r="G501">
        <v>91504</v>
      </c>
      <c r="H501">
        <v>0</v>
      </c>
      <c r="I501">
        <v>1704</v>
      </c>
      <c r="J501">
        <v>0</v>
      </c>
      <c r="K501">
        <v>0</v>
      </c>
      <c r="L501">
        <v>0</v>
      </c>
      <c r="M501">
        <v>0</v>
      </c>
      <c r="T501" s="9">
        <v>45108</v>
      </c>
      <c r="U501" s="9">
        <v>45473</v>
      </c>
      <c r="V501">
        <f>SUM(POTABLE_NONPOTABLE_API[[#This Row],[RESIDENTIAL_SINGLEFAMILY_GAL]:[OTHER_GAL]])</f>
        <v>93208</v>
      </c>
      <c r="W501">
        <f>SUM(POTABLE_NONPOTABLE_API[[#This Row],[NONPOTABLE_DEMAND_RESIDENTIAL_RECYCLED_WATER_GAL]:[NONPOTABLE_DEMAND_NONRESIDENTIAL_METERED_IRRIGATION_GAL]])</f>
        <v>0</v>
      </c>
      <c r="X501" t="str">
        <f>IFERROR(INDEX(Crosswalk_API!$H$2:$H$527, MATCH(POTABLE_NONPOTABLE_API[[#This Row],[PWSID]], CW_PWSID_LIST, 0)), "")</f>
        <v>No</v>
      </c>
    </row>
    <row r="502" spans="1:24" x14ac:dyDescent="0.25">
      <c r="A502" t="s">
        <v>863</v>
      </c>
      <c r="B502" t="s">
        <v>864</v>
      </c>
      <c r="C502" t="s">
        <v>865</v>
      </c>
      <c r="D502" t="s">
        <v>866</v>
      </c>
      <c r="E502" s="9">
        <v>45352</v>
      </c>
      <c r="F502" s="9">
        <v>45382</v>
      </c>
      <c r="G502">
        <v>93253</v>
      </c>
      <c r="H502">
        <v>0</v>
      </c>
      <c r="I502">
        <v>2556</v>
      </c>
      <c r="J502">
        <v>0</v>
      </c>
      <c r="K502">
        <v>0</v>
      </c>
      <c r="L502">
        <v>0</v>
      </c>
      <c r="M502">
        <v>0</v>
      </c>
      <c r="T502" s="9">
        <v>45108</v>
      </c>
      <c r="U502" s="9">
        <v>45473</v>
      </c>
      <c r="V502">
        <f>SUM(POTABLE_NONPOTABLE_API[[#This Row],[RESIDENTIAL_SINGLEFAMILY_GAL]:[OTHER_GAL]])</f>
        <v>95809</v>
      </c>
      <c r="W502">
        <f>SUM(POTABLE_NONPOTABLE_API[[#This Row],[NONPOTABLE_DEMAND_RESIDENTIAL_RECYCLED_WATER_GAL]:[NONPOTABLE_DEMAND_NONRESIDENTIAL_METERED_IRRIGATION_GAL]])</f>
        <v>0</v>
      </c>
      <c r="X502" t="str">
        <f>IFERROR(INDEX(Crosswalk_API!$H$2:$H$527, MATCH(POTABLE_NONPOTABLE_API[[#This Row],[PWSID]], CW_PWSID_LIST, 0)), "")</f>
        <v>No</v>
      </c>
    </row>
    <row r="503" spans="1:24" x14ac:dyDescent="0.25">
      <c r="A503" t="s">
        <v>863</v>
      </c>
      <c r="B503" t="s">
        <v>864</v>
      </c>
      <c r="C503" t="s">
        <v>865</v>
      </c>
      <c r="D503" t="s">
        <v>866</v>
      </c>
      <c r="E503" s="9">
        <v>45383</v>
      </c>
      <c r="F503" s="9">
        <v>45412</v>
      </c>
      <c r="G503">
        <v>126695</v>
      </c>
      <c r="H503">
        <v>0</v>
      </c>
      <c r="I503">
        <v>3509</v>
      </c>
      <c r="J503">
        <v>0</v>
      </c>
      <c r="K503">
        <v>0</v>
      </c>
      <c r="L503">
        <v>0</v>
      </c>
      <c r="M503">
        <v>0</v>
      </c>
      <c r="T503" s="9">
        <v>45108</v>
      </c>
      <c r="U503" s="9">
        <v>45473</v>
      </c>
      <c r="V503">
        <f>SUM(POTABLE_NONPOTABLE_API[[#This Row],[RESIDENTIAL_SINGLEFAMILY_GAL]:[OTHER_GAL]])</f>
        <v>130204</v>
      </c>
      <c r="W503">
        <f>SUM(POTABLE_NONPOTABLE_API[[#This Row],[NONPOTABLE_DEMAND_RESIDENTIAL_RECYCLED_WATER_GAL]:[NONPOTABLE_DEMAND_NONRESIDENTIAL_METERED_IRRIGATION_GAL]])</f>
        <v>0</v>
      </c>
      <c r="X503" t="str">
        <f>IFERROR(INDEX(Crosswalk_API!$H$2:$H$527, MATCH(POTABLE_NONPOTABLE_API[[#This Row],[PWSID]], CW_PWSID_LIST, 0)), "")</f>
        <v>No</v>
      </c>
    </row>
    <row r="504" spans="1:24" x14ac:dyDescent="0.25">
      <c r="A504" t="s">
        <v>863</v>
      </c>
      <c r="B504" t="s">
        <v>864</v>
      </c>
      <c r="C504" t="s">
        <v>865</v>
      </c>
      <c r="D504" t="s">
        <v>866</v>
      </c>
      <c r="E504" s="9">
        <v>45413</v>
      </c>
      <c r="F504" s="9">
        <v>45443</v>
      </c>
      <c r="G504">
        <v>182903</v>
      </c>
      <c r="H504">
        <v>0</v>
      </c>
      <c r="I504">
        <v>9150</v>
      </c>
      <c r="J504">
        <v>0</v>
      </c>
      <c r="K504">
        <v>0</v>
      </c>
      <c r="L504">
        <v>0</v>
      </c>
      <c r="M504">
        <v>0</v>
      </c>
      <c r="T504" s="9">
        <v>45108</v>
      </c>
      <c r="U504" s="9">
        <v>45473</v>
      </c>
      <c r="V504">
        <f>SUM(POTABLE_NONPOTABLE_API[[#This Row],[RESIDENTIAL_SINGLEFAMILY_GAL]:[OTHER_GAL]])</f>
        <v>192053</v>
      </c>
      <c r="W504">
        <f>SUM(POTABLE_NONPOTABLE_API[[#This Row],[NONPOTABLE_DEMAND_RESIDENTIAL_RECYCLED_WATER_GAL]:[NONPOTABLE_DEMAND_NONRESIDENTIAL_METERED_IRRIGATION_GAL]])</f>
        <v>0</v>
      </c>
      <c r="X504" t="str">
        <f>IFERROR(INDEX(Crosswalk_API!$H$2:$H$527, MATCH(POTABLE_NONPOTABLE_API[[#This Row],[PWSID]], CW_PWSID_LIST, 0)), "")</f>
        <v>No</v>
      </c>
    </row>
    <row r="505" spans="1:24" x14ac:dyDescent="0.25">
      <c r="A505" t="s">
        <v>863</v>
      </c>
      <c r="B505" t="s">
        <v>864</v>
      </c>
      <c r="C505" t="s">
        <v>865</v>
      </c>
      <c r="D505" t="s">
        <v>866</v>
      </c>
      <c r="E505" s="9">
        <v>45444</v>
      </c>
      <c r="F505" s="9">
        <v>45473</v>
      </c>
      <c r="G505">
        <v>244918</v>
      </c>
      <c r="H505">
        <v>0</v>
      </c>
      <c r="I505">
        <v>12175</v>
      </c>
      <c r="J505">
        <v>0</v>
      </c>
      <c r="K505">
        <v>0</v>
      </c>
      <c r="L505">
        <v>0</v>
      </c>
      <c r="M505">
        <v>0</v>
      </c>
      <c r="T505" s="9">
        <v>45108</v>
      </c>
      <c r="U505" s="9">
        <v>45473</v>
      </c>
      <c r="V505">
        <f>SUM(POTABLE_NONPOTABLE_API[[#This Row],[RESIDENTIAL_SINGLEFAMILY_GAL]:[OTHER_GAL]])</f>
        <v>257093</v>
      </c>
      <c r="W505">
        <f>SUM(POTABLE_NONPOTABLE_API[[#This Row],[NONPOTABLE_DEMAND_RESIDENTIAL_RECYCLED_WATER_GAL]:[NONPOTABLE_DEMAND_NONRESIDENTIAL_METERED_IRRIGATION_GAL]])</f>
        <v>0</v>
      </c>
      <c r="X505" t="str">
        <f>IFERROR(INDEX(Crosswalk_API!$H$2:$H$527, MATCH(POTABLE_NONPOTABLE_API[[#This Row],[PWSID]], CW_PWSID_LIST, 0)), "")</f>
        <v>No</v>
      </c>
    </row>
    <row r="506" spans="1:24" x14ac:dyDescent="0.25">
      <c r="A506" t="s">
        <v>863</v>
      </c>
      <c r="B506" t="s">
        <v>864</v>
      </c>
      <c r="C506" t="s">
        <v>868</v>
      </c>
      <c r="D506" t="s">
        <v>869</v>
      </c>
      <c r="E506" s="9">
        <v>45108</v>
      </c>
      <c r="F506" s="9">
        <v>45138</v>
      </c>
      <c r="G506">
        <v>5126590</v>
      </c>
      <c r="H506">
        <v>0</v>
      </c>
      <c r="I506">
        <v>0</v>
      </c>
      <c r="J506">
        <v>0</v>
      </c>
      <c r="K506">
        <v>0</v>
      </c>
      <c r="L506">
        <v>0</v>
      </c>
      <c r="M506">
        <v>0</v>
      </c>
      <c r="T506" s="9">
        <v>45108</v>
      </c>
      <c r="U506" s="9">
        <v>45473</v>
      </c>
      <c r="V506">
        <f>SUM(POTABLE_NONPOTABLE_API[[#This Row],[RESIDENTIAL_SINGLEFAMILY_GAL]:[OTHER_GAL]])</f>
        <v>5126590</v>
      </c>
      <c r="W506">
        <f>SUM(POTABLE_NONPOTABLE_API[[#This Row],[NONPOTABLE_DEMAND_RESIDENTIAL_RECYCLED_WATER_GAL]:[NONPOTABLE_DEMAND_NONRESIDENTIAL_METERED_IRRIGATION_GAL]])</f>
        <v>0</v>
      </c>
      <c r="X506" t="str">
        <f>IFERROR(INDEX(Crosswalk_API!$H$2:$H$527, MATCH(POTABLE_NONPOTABLE_API[[#This Row],[PWSID]], CW_PWSID_LIST, 0)), "")</f>
        <v>No</v>
      </c>
    </row>
    <row r="507" spans="1:24" x14ac:dyDescent="0.25">
      <c r="A507" t="s">
        <v>863</v>
      </c>
      <c r="B507" t="s">
        <v>864</v>
      </c>
      <c r="C507" t="s">
        <v>868</v>
      </c>
      <c r="D507" t="s">
        <v>869</v>
      </c>
      <c r="E507" s="9">
        <v>45139</v>
      </c>
      <c r="F507" s="9">
        <v>45169</v>
      </c>
      <c r="G507">
        <v>4394208</v>
      </c>
      <c r="H507">
        <v>0</v>
      </c>
      <c r="I507">
        <v>0</v>
      </c>
      <c r="J507">
        <v>0</v>
      </c>
      <c r="K507">
        <v>0</v>
      </c>
      <c r="L507">
        <v>0</v>
      </c>
      <c r="M507">
        <v>0</v>
      </c>
      <c r="T507" s="9">
        <v>45108</v>
      </c>
      <c r="U507" s="9">
        <v>45473</v>
      </c>
      <c r="V507">
        <f>SUM(POTABLE_NONPOTABLE_API[[#This Row],[RESIDENTIAL_SINGLEFAMILY_GAL]:[OTHER_GAL]])</f>
        <v>4394208</v>
      </c>
      <c r="W507">
        <f>SUM(POTABLE_NONPOTABLE_API[[#This Row],[NONPOTABLE_DEMAND_RESIDENTIAL_RECYCLED_WATER_GAL]:[NONPOTABLE_DEMAND_NONRESIDENTIAL_METERED_IRRIGATION_GAL]])</f>
        <v>0</v>
      </c>
      <c r="X507" t="str">
        <f>IFERROR(INDEX(Crosswalk_API!$H$2:$H$527, MATCH(POTABLE_NONPOTABLE_API[[#This Row],[PWSID]], CW_PWSID_LIST, 0)), "")</f>
        <v>No</v>
      </c>
    </row>
    <row r="508" spans="1:24" x14ac:dyDescent="0.25">
      <c r="A508" t="s">
        <v>863</v>
      </c>
      <c r="B508" t="s">
        <v>864</v>
      </c>
      <c r="C508" t="s">
        <v>868</v>
      </c>
      <c r="D508" t="s">
        <v>869</v>
      </c>
      <c r="E508" s="9">
        <v>45170</v>
      </c>
      <c r="F508" s="9">
        <v>45199</v>
      </c>
      <c r="G508">
        <v>3630396</v>
      </c>
      <c r="H508">
        <v>0</v>
      </c>
      <c r="I508">
        <v>0</v>
      </c>
      <c r="J508">
        <v>0</v>
      </c>
      <c r="K508">
        <v>0</v>
      </c>
      <c r="L508">
        <v>0</v>
      </c>
      <c r="M508">
        <v>0</v>
      </c>
      <c r="T508" s="9">
        <v>45108</v>
      </c>
      <c r="U508" s="9">
        <v>45473</v>
      </c>
      <c r="V508">
        <f>SUM(POTABLE_NONPOTABLE_API[[#This Row],[RESIDENTIAL_SINGLEFAMILY_GAL]:[OTHER_GAL]])</f>
        <v>3630396</v>
      </c>
      <c r="W508">
        <f>SUM(POTABLE_NONPOTABLE_API[[#This Row],[NONPOTABLE_DEMAND_RESIDENTIAL_RECYCLED_WATER_GAL]:[NONPOTABLE_DEMAND_NONRESIDENTIAL_METERED_IRRIGATION_GAL]])</f>
        <v>0</v>
      </c>
      <c r="X508" t="str">
        <f>IFERROR(INDEX(Crosswalk_API!$H$2:$H$527, MATCH(POTABLE_NONPOTABLE_API[[#This Row],[PWSID]], CW_PWSID_LIST, 0)), "")</f>
        <v>No</v>
      </c>
    </row>
    <row r="509" spans="1:24" x14ac:dyDescent="0.25">
      <c r="A509" t="s">
        <v>863</v>
      </c>
      <c r="B509" t="s">
        <v>864</v>
      </c>
      <c r="C509" t="s">
        <v>868</v>
      </c>
      <c r="D509" t="s">
        <v>869</v>
      </c>
      <c r="E509" s="9">
        <v>45200</v>
      </c>
      <c r="F509" s="9">
        <v>45230</v>
      </c>
      <c r="G509">
        <v>2911867</v>
      </c>
      <c r="H509">
        <v>0</v>
      </c>
      <c r="I509">
        <v>0</v>
      </c>
      <c r="J509">
        <v>0</v>
      </c>
      <c r="K509">
        <v>0</v>
      </c>
      <c r="L509">
        <v>0</v>
      </c>
      <c r="M509">
        <v>0</v>
      </c>
      <c r="T509" s="9">
        <v>45108</v>
      </c>
      <c r="U509" s="9">
        <v>45473</v>
      </c>
      <c r="V509">
        <f>SUM(POTABLE_NONPOTABLE_API[[#This Row],[RESIDENTIAL_SINGLEFAMILY_GAL]:[OTHER_GAL]])</f>
        <v>2911867</v>
      </c>
      <c r="W509">
        <f>SUM(POTABLE_NONPOTABLE_API[[#This Row],[NONPOTABLE_DEMAND_RESIDENTIAL_RECYCLED_WATER_GAL]:[NONPOTABLE_DEMAND_NONRESIDENTIAL_METERED_IRRIGATION_GAL]])</f>
        <v>0</v>
      </c>
      <c r="X509" t="str">
        <f>IFERROR(INDEX(Crosswalk_API!$H$2:$H$527, MATCH(POTABLE_NONPOTABLE_API[[#This Row],[PWSID]], CW_PWSID_LIST, 0)), "")</f>
        <v>No</v>
      </c>
    </row>
    <row r="510" spans="1:24" x14ac:dyDescent="0.25">
      <c r="A510" t="s">
        <v>863</v>
      </c>
      <c r="B510" t="s">
        <v>864</v>
      </c>
      <c r="C510" t="s">
        <v>868</v>
      </c>
      <c r="D510" t="s">
        <v>869</v>
      </c>
      <c r="E510" s="9">
        <v>45231</v>
      </c>
      <c r="F510" s="9">
        <v>45260</v>
      </c>
      <c r="G510">
        <v>2430327</v>
      </c>
      <c r="H510">
        <v>0</v>
      </c>
      <c r="I510">
        <v>0</v>
      </c>
      <c r="J510">
        <v>0</v>
      </c>
      <c r="K510">
        <v>0</v>
      </c>
      <c r="L510">
        <v>0</v>
      </c>
      <c r="M510">
        <v>0</v>
      </c>
      <c r="T510" s="9">
        <v>45108</v>
      </c>
      <c r="U510" s="9">
        <v>45473</v>
      </c>
      <c r="V510">
        <f>SUM(POTABLE_NONPOTABLE_API[[#This Row],[RESIDENTIAL_SINGLEFAMILY_GAL]:[OTHER_GAL]])</f>
        <v>2430327</v>
      </c>
      <c r="W510">
        <f>SUM(POTABLE_NONPOTABLE_API[[#This Row],[NONPOTABLE_DEMAND_RESIDENTIAL_RECYCLED_WATER_GAL]:[NONPOTABLE_DEMAND_NONRESIDENTIAL_METERED_IRRIGATION_GAL]])</f>
        <v>0</v>
      </c>
      <c r="X510" t="str">
        <f>IFERROR(INDEX(Crosswalk_API!$H$2:$H$527, MATCH(POTABLE_NONPOTABLE_API[[#This Row],[PWSID]], CW_PWSID_LIST, 0)), "")</f>
        <v>No</v>
      </c>
    </row>
    <row r="511" spans="1:24" x14ac:dyDescent="0.25">
      <c r="A511" t="s">
        <v>863</v>
      </c>
      <c r="B511" t="s">
        <v>864</v>
      </c>
      <c r="C511" t="s">
        <v>868</v>
      </c>
      <c r="D511" t="s">
        <v>869</v>
      </c>
      <c r="E511" s="9">
        <v>45261</v>
      </c>
      <c r="F511" s="9">
        <v>45291</v>
      </c>
      <c r="G511">
        <v>2182253</v>
      </c>
      <c r="H511">
        <v>0</v>
      </c>
      <c r="I511">
        <v>0</v>
      </c>
      <c r="J511">
        <v>0</v>
      </c>
      <c r="K511">
        <v>0</v>
      </c>
      <c r="L511">
        <v>0</v>
      </c>
      <c r="M511">
        <v>0</v>
      </c>
      <c r="T511" s="9">
        <v>45108</v>
      </c>
      <c r="U511" s="9">
        <v>45473</v>
      </c>
      <c r="V511">
        <f>SUM(POTABLE_NONPOTABLE_API[[#This Row],[RESIDENTIAL_SINGLEFAMILY_GAL]:[OTHER_GAL]])</f>
        <v>2182253</v>
      </c>
      <c r="W511">
        <f>SUM(POTABLE_NONPOTABLE_API[[#This Row],[NONPOTABLE_DEMAND_RESIDENTIAL_RECYCLED_WATER_GAL]:[NONPOTABLE_DEMAND_NONRESIDENTIAL_METERED_IRRIGATION_GAL]])</f>
        <v>0</v>
      </c>
      <c r="X511" t="str">
        <f>IFERROR(INDEX(Crosswalk_API!$H$2:$H$527, MATCH(POTABLE_NONPOTABLE_API[[#This Row],[PWSID]], CW_PWSID_LIST, 0)), "")</f>
        <v>No</v>
      </c>
    </row>
    <row r="512" spans="1:24" x14ac:dyDescent="0.25">
      <c r="A512" t="s">
        <v>863</v>
      </c>
      <c r="B512" t="s">
        <v>864</v>
      </c>
      <c r="C512" t="s">
        <v>868</v>
      </c>
      <c r="D512" t="s">
        <v>869</v>
      </c>
      <c r="E512" s="9">
        <v>45292</v>
      </c>
      <c r="F512" s="9">
        <v>45322</v>
      </c>
      <c r="G512">
        <v>2251765</v>
      </c>
      <c r="H512">
        <v>0</v>
      </c>
      <c r="I512">
        <v>262599</v>
      </c>
      <c r="J512">
        <v>1650</v>
      </c>
      <c r="K512">
        <v>0</v>
      </c>
      <c r="L512">
        <v>0</v>
      </c>
      <c r="M512">
        <v>0</v>
      </c>
      <c r="T512" s="9">
        <v>45108</v>
      </c>
      <c r="U512" s="9">
        <v>45473</v>
      </c>
      <c r="V512">
        <f>SUM(POTABLE_NONPOTABLE_API[[#This Row],[RESIDENTIAL_SINGLEFAMILY_GAL]:[OTHER_GAL]])</f>
        <v>2516014</v>
      </c>
      <c r="W512">
        <f>SUM(POTABLE_NONPOTABLE_API[[#This Row],[NONPOTABLE_DEMAND_RESIDENTIAL_RECYCLED_WATER_GAL]:[NONPOTABLE_DEMAND_NONRESIDENTIAL_METERED_IRRIGATION_GAL]])</f>
        <v>0</v>
      </c>
      <c r="X512" t="str">
        <f>IFERROR(INDEX(Crosswalk_API!$H$2:$H$527, MATCH(POTABLE_NONPOTABLE_API[[#This Row],[PWSID]], CW_PWSID_LIST, 0)), "")</f>
        <v>No</v>
      </c>
    </row>
    <row r="513" spans="1:24" x14ac:dyDescent="0.25">
      <c r="A513" t="s">
        <v>863</v>
      </c>
      <c r="B513" t="s">
        <v>864</v>
      </c>
      <c r="C513" t="s">
        <v>868</v>
      </c>
      <c r="D513" t="s">
        <v>869</v>
      </c>
      <c r="E513" s="9">
        <v>45323</v>
      </c>
      <c r="F513" s="9">
        <v>45351</v>
      </c>
      <c r="G513">
        <v>1573126</v>
      </c>
      <c r="H513">
        <v>0</v>
      </c>
      <c r="I513">
        <v>228609</v>
      </c>
      <c r="J513">
        <v>2227</v>
      </c>
      <c r="K513">
        <v>0</v>
      </c>
      <c r="L513">
        <v>0</v>
      </c>
      <c r="M513">
        <v>0</v>
      </c>
      <c r="T513" s="9">
        <v>45108</v>
      </c>
      <c r="U513" s="9">
        <v>45473</v>
      </c>
      <c r="V513">
        <f>SUM(POTABLE_NONPOTABLE_API[[#This Row],[RESIDENTIAL_SINGLEFAMILY_GAL]:[OTHER_GAL]])</f>
        <v>1803962</v>
      </c>
      <c r="W513">
        <f>SUM(POTABLE_NONPOTABLE_API[[#This Row],[NONPOTABLE_DEMAND_RESIDENTIAL_RECYCLED_WATER_GAL]:[NONPOTABLE_DEMAND_NONRESIDENTIAL_METERED_IRRIGATION_GAL]])</f>
        <v>0</v>
      </c>
      <c r="X513" t="str">
        <f>IFERROR(INDEX(Crosswalk_API!$H$2:$H$527, MATCH(POTABLE_NONPOTABLE_API[[#This Row],[PWSID]], CW_PWSID_LIST, 0)), "")</f>
        <v>No</v>
      </c>
    </row>
    <row r="514" spans="1:24" x14ac:dyDescent="0.25">
      <c r="A514" t="s">
        <v>863</v>
      </c>
      <c r="B514" t="s">
        <v>864</v>
      </c>
      <c r="C514" t="s">
        <v>868</v>
      </c>
      <c r="D514" t="s">
        <v>869</v>
      </c>
      <c r="E514" s="9">
        <v>45352</v>
      </c>
      <c r="F514" s="9">
        <v>45382</v>
      </c>
      <c r="G514">
        <v>1672784</v>
      </c>
      <c r="H514">
        <v>0</v>
      </c>
      <c r="I514">
        <v>263406</v>
      </c>
      <c r="J514">
        <v>1645</v>
      </c>
      <c r="K514">
        <v>0</v>
      </c>
      <c r="L514">
        <v>0</v>
      </c>
      <c r="M514">
        <v>0</v>
      </c>
      <c r="T514" s="9">
        <v>45108</v>
      </c>
      <c r="U514" s="9">
        <v>45473</v>
      </c>
      <c r="V514">
        <f>SUM(POTABLE_NONPOTABLE_API[[#This Row],[RESIDENTIAL_SINGLEFAMILY_GAL]:[OTHER_GAL]])</f>
        <v>1937835</v>
      </c>
      <c r="W514">
        <f>SUM(POTABLE_NONPOTABLE_API[[#This Row],[NONPOTABLE_DEMAND_RESIDENTIAL_RECYCLED_WATER_GAL]:[NONPOTABLE_DEMAND_NONRESIDENTIAL_METERED_IRRIGATION_GAL]])</f>
        <v>0</v>
      </c>
      <c r="X514" t="str">
        <f>IFERROR(INDEX(Crosswalk_API!$H$2:$H$527, MATCH(POTABLE_NONPOTABLE_API[[#This Row],[PWSID]], CW_PWSID_LIST, 0)), "")</f>
        <v>No</v>
      </c>
    </row>
    <row r="515" spans="1:24" x14ac:dyDescent="0.25">
      <c r="A515" t="s">
        <v>863</v>
      </c>
      <c r="B515" t="s">
        <v>864</v>
      </c>
      <c r="C515" t="s">
        <v>868</v>
      </c>
      <c r="D515" t="s">
        <v>869</v>
      </c>
      <c r="E515" s="9">
        <v>45383</v>
      </c>
      <c r="F515" s="9">
        <v>45412</v>
      </c>
      <c r="G515">
        <v>1666852</v>
      </c>
      <c r="H515">
        <v>0</v>
      </c>
      <c r="I515">
        <v>218078</v>
      </c>
      <c r="J515">
        <v>1519</v>
      </c>
      <c r="K515">
        <v>0</v>
      </c>
      <c r="L515">
        <v>0</v>
      </c>
      <c r="M515">
        <v>0</v>
      </c>
      <c r="T515" s="9">
        <v>45108</v>
      </c>
      <c r="U515" s="9">
        <v>45473</v>
      </c>
      <c r="V515">
        <f>SUM(POTABLE_NONPOTABLE_API[[#This Row],[RESIDENTIAL_SINGLEFAMILY_GAL]:[OTHER_GAL]])</f>
        <v>1886449</v>
      </c>
      <c r="W515">
        <f>SUM(POTABLE_NONPOTABLE_API[[#This Row],[NONPOTABLE_DEMAND_RESIDENTIAL_RECYCLED_WATER_GAL]:[NONPOTABLE_DEMAND_NONRESIDENTIAL_METERED_IRRIGATION_GAL]])</f>
        <v>0</v>
      </c>
      <c r="X515" t="str">
        <f>IFERROR(INDEX(Crosswalk_API!$H$2:$H$527, MATCH(POTABLE_NONPOTABLE_API[[#This Row],[PWSID]], CW_PWSID_LIST, 0)), "")</f>
        <v>No</v>
      </c>
    </row>
    <row r="516" spans="1:24" x14ac:dyDescent="0.25">
      <c r="A516" t="s">
        <v>863</v>
      </c>
      <c r="B516" t="s">
        <v>864</v>
      </c>
      <c r="C516" t="s">
        <v>868</v>
      </c>
      <c r="D516" t="s">
        <v>869</v>
      </c>
      <c r="E516" s="9">
        <v>45413</v>
      </c>
      <c r="F516" s="9">
        <v>45443</v>
      </c>
      <c r="G516">
        <v>2530275</v>
      </c>
      <c r="H516">
        <v>0</v>
      </c>
      <c r="I516">
        <v>353381</v>
      </c>
      <c r="J516">
        <v>1659</v>
      </c>
      <c r="K516">
        <v>0</v>
      </c>
      <c r="L516">
        <v>9200</v>
      </c>
      <c r="M516">
        <v>0</v>
      </c>
      <c r="T516" s="9">
        <v>45108</v>
      </c>
      <c r="U516" s="9">
        <v>45473</v>
      </c>
      <c r="V516">
        <f>SUM(POTABLE_NONPOTABLE_API[[#This Row],[RESIDENTIAL_SINGLEFAMILY_GAL]:[OTHER_GAL]])</f>
        <v>2894515</v>
      </c>
      <c r="W516">
        <f>SUM(POTABLE_NONPOTABLE_API[[#This Row],[NONPOTABLE_DEMAND_RESIDENTIAL_RECYCLED_WATER_GAL]:[NONPOTABLE_DEMAND_NONRESIDENTIAL_METERED_IRRIGATION_GAL]])</f>
        <v>0</v>
      </c>
      <c r="X516" t="str">
        <f>IFERROR(INDEX(Crosswalk_API!$H$2:$H$527, MATCH(POTABLE_NONPOTABLE_API[[#This Row],[PWSID]], CW_PWSID_LIST, 0)), "")</f>
        <v>No</v>
      </c>
    </row>
    <row r="517" spans="1:24" x14ac:dyDescent="0.25">
      <c r="A517" t="s">
        <v>863</v>
      </c>
      <c r="B517" t="s">
        <v>864</v>
      </c>
      <c r="C517" t="s">
        <v>868</v>
      </c>
      <c r="D517" t="s">
        <v>869</v>
      </c>
      <c r="E517" s="9">
        <v>45444</v>
      </c>
      <c r="F517" s="9">
        <v>45473</v>
      </c>
      <c r="G517">
        <v>3431754</v>
      </c>
      <c r="H517">
        <v>0</v>
      </c>
      <c r="I517">
        <v>801569</v>
      </c>
      <c r="J517">
        <v>2516</v>
      </c>
      <c r="K517">
        <v>0</v>
      </c>
      <c r="L517">
        <v>23038</v>
      </c>
      <c r="M517">
        <v>0</v>
      </c>
      <c r="T517" s="9">
        <v>45108</v>
      </c>
      <c r="U517" s="9">
        <v>45473</v>
      </c>
      <c r="V517">
        <f>SUM(POTABLE_NONPOTABLE_API[[#This Row],[RESIDENTIAL_SINGLEFAMILY_GAL]:[OTHER_GAL]])</f>
        <v>4258877</v>
      </c>
      <c r="W517">
        <f>SUM(POTABLE_NONPOTABLE_API[[#This Row],[NONPOTABLE_DEMAND_RESIDENTIAL_RECYCLED_WATER_GAL]:[NONPOTABLE_DEMAND_NONRESIDENTIAL_METERED_IRRIGATION_GAL]])</f>
        <v>0</v>
      </c>
      <c r="X517" t="str">
        <f>IFERROR(INDEX(Crosswalk_API!$H$2:$H$527, MATCH(POTABLE_NONPOTABLE_API[[#This Row],[PWSID]], CW_PWSID_LIST, 0)), "")</f>
        <v>No</v>
      </c>
    </row>
    <row r="518" spans="1:24" x14ac:dyDescent="0.25">
      <c r="A518" t="s">
        <v>863</v>
      </c>
      <c r="B518" t="s">
        <v>864</v>
      </c>
      <c r="C518" t="s">
        <v>870</v>
      </c>
      <c r="D518" t="s">
        <v>871</v>
      </c>
      <c r="E518" s="9">
        <v>45108</v>
      </c>
      <c r="F518" s="9">
        <v>45138</v>
      </c>
      <c r="G518">
        <v>76058779</v>
      </c>
      <c r="H518">
        <v>0</v>
      </c>
      <c r="I518">
        <v>0</v>
      </c>
      <c r="J518">
        <v>0</v>
      </c>
      <c r="K518">
        <v>0</v>
      </c>
      <c r="L518">
        <v>0</v>
      </c>
      <c r="M518">
        <v>0</v>
      </c>
      <c r="T518" s="9">
        <v>45108</v>
      </c>
      <c r="U518" s="9">
        <v>45473</v>
      </c>
      <c r="V518">
        <f>SUM(POTABLE_NONPOTABLE_API[[#This Row],[RESIDENTIAL_SINGLEFAMILY_GAL]:[OTHER_GAL]])</f>
        <v>76058779</v>
      </c>
      <c r="W518">
        <f>SUM(POTABLE_NONPOTABLE_API[[#This Row],[NONPOTABLE_DEMAND_RESIDENTIAL_RECYCLED_WATER_GAL]:[NONPOTABLE_DEMAND_NONRESIDENTIAL_METERED_IRRIGATION_GAL]])</f>
        <v>0</v>
      </c>
      <c r="X518" t="str">
        <f>IFERROR(INDEX(Crosswalk_API!$H$2:$H$527, MATCH(POTABLE_NONPOTABLE_API[[#This Row],[PWSID]], CW_PWSID_LIST, 0)), "")</f>
        <v>No</v>
      </c>
    </row>
    <row r="519" spans="1:24" x14ac:dyDescent="0.25">
      <c r="A519" t="s">
        <v>863</v>
      </c>
      <c r="B519" t="s">
        <v>864</v>
      </c>
      <c r="C519" t="s">
        <v>870</v>
      </c>
      <c r="D519" t="s">
        <v>871</v>
      </c>
      <c r="E519" s="9">
        <v>45139</v>
      </c>
      <c r="F519" s="9">
        <v>45169</v>
      </c>
      <c r="G519">
        <v>61604375</v>
      </c>
      <c r="H519">
        <v>0</v>
      </c>
      <c r="I519">
        <v>0</v>
      </c>
      <c r="J519">
        <v>0</v>
      </c>
      <c r="K519">
        <v>0</v>
      </c>
      <c r="L519">
        <v>0</v>
      </c>
      <c r="M519">
        <v>0</v>
      </c>
      <c r="T519" s="9">
        <v>45108</v>
      </c>
      <c r="U519" s="9">
        <v>45473</v>
      </c>
      <c r="V519">
        <f>SUM(POTABLE_NONPOTABLE_API[[#This Row],[RESIDENTIAL_SINGLEFAMILY_GAL]:[OTHER_GAL]])</f>
        <v>61604375</v>
      </c>
      <c r="W519">
        <f>SUM(POTABLE_NONPOTABLE_API[[#This Row],[NONPOTABLE_DEMAND_RESIDENTIAL_RECYCLED_WATER_GAL]:[NONPOTABLE_DEMAND_NONRESIDENTIAL_METERED_IRRIGATION_GAL]])</f>
        <v>0</v>
      </c>
      <c r="X519" t="str">
        <f>IFERROR(INDEX(Crosswalk_API!$H$2:$H$527, MATCH(POTABLE_NONPOTABLE_API[[#This Row],[PWSID]], CW_PWSID_LIST, 0)), "")</f>
        <v>No</v>
      </c>
    </row>
    <row r="520" spans="1:24" x14ac:dyDescent="0.25">
      <c r="A520" t="s">
        <v>863</v>
      </c>
      <c r="B520" t="s">
        <v>864</v>
      </c>
      <c r="C520" t="s">
        <v>870</v>
      </c>
      <c r="D520" t="s">
        <v>871</v>
      </c>
      <c r="E520" s="9">
        <v>45170</v>
      </c>
      <c r="F520" s="9">
        <v>45199</v>
      </c>
      <c r="G520">
        <v>51665310</v>
      </c>
      <c r="H520">
        <v>0</v>
      </c>
      <c r="I520">
        <v>0</v>
      </c>
      <c r="J520">
        <v>0</v>
      </c>
      <c r="K520">
        <v>0</v>
      </c>
      <c r="L520">
        <v>0</v>
      </c>
      <c r="M520">
        <v>0</v>
      </c>
      <c r="T520" s="9">
        <v>45108</v>
      </c>
      <c r="U520" s="9">
        <v>45473</v>
      </c>
      <c r="V520">
        <f>SUM(POTABLE_NONPOTABLE_API[[#This Row],[RESIDENTIAL_SINGLEFAMILY_GAL]:[OTHER_GAL]])</f>
        <v>51665310</v>
      </c>
      <c r="W520">
        <f>SUM(POTABLE_NONPOTABLE_API[[#This Row],[NONPOTABLE_DEMAND_RESIDENTIAL_RECYCLED_WATER_GAL]:[NONPOTABLE_DEMAND_NONRESIDENTIAL_METERED_IRRIGATION_GAL]])</f>
        <v>0</v>
      </c>
      <c r="X520" t="str">
        <f>IFERROR(INDEX(Crosswalk_API!$H$2:$H$527, MATCH(POTABLE_NONPOTABLE_API[[#This Row],[PWSID]], CW_PWSID_LIST, 0)), "")</f>
        <v>No</v>
      </c>
    </row>
    <row r="521" spans="1:24" x14ac:dyDescent="0.25">
      <c r="A521" t="s">
        <v>863</v>
      </c>
      <c r="B521" t="s">
        <v>864</v>
      </c>
      <c r="C521" t="s">
        <v>870</v>
      </c>
      <c r="D521" t="s">
        <v>871</v>
      </c>
      <c r="E521" s="9">
        <v>45200</v>
      </c>
      <c r="F521" s="9">
        <v>45230</v>
      </c>
      <c r="G521">
        <v>41037045</v>
      </c>
      <c r="H521">
        <v>0</v>
      </c>
      <c r="I521">
        <v>0</v>
      </c>
      <c r="J521">
        <v>0</v>
      </c>
      <c r="K521">
        <v>0</v>
      </c>
      <c r="L521">
        <v>0</v>
      </c>
      <c r="M521">
        <v>0</v>
      </c>
      <c r="T521" s="9">
        <v>45108</v>
      </c>
      <c r="U521" s="9">
        <v>45473</v>
      </c>
      <c r="V521">
        <f>SUM(POTABLE_NONPOTABLE_API[[#This Row],[RESIDENTIAL_SINGLEFAMILY_GAL]:[OTHER_GAL]])</f>
        <v>41037045</v>
      </c>
      <c r="W521">
        <f>SUM(POTABLE_NONPOTABLE_API[[#This Row],[NONPOTABLE_DEMAND_RESIDENTIAL_RECYCLED_WATER_GAL]:[NONPOTABLE_DEMAND_NONRESIDENTIAL_METERED_IRRIGATION_GAL]])</f>
        <v>0</v>
      </c>
      <c r="X521" t="str">
        <f>IFERROR(INDEX(Crosswalk_API!$H$2:$H$527, MATCH(POTABLE_NONPOTABLE_API[[#This Row],[PWSID]], CW_PWSID_LIST, 0)), "")</f>
        <v>No</v>
      </c>
    </row>
    <row r="522" spans="1:24" x14ac:dyDescent="0.25">
      <c r="A522" t="s">
        <v>863</v>
      </c>
      <c r="B522" t="s">
        <v>864</v>
      </c>
      <c r="C522" t="s">
        <v>870</v>
      </c>
      <c r="D522" t="s">
        <v>871</v>
      </c>
      <c r="E522" s="9">
        <v>45231</v>
      </c>
      <c r="F522" s="9">
        <v>45260</v>
      </c>
      <c r="G522">
        <v>31634109</v>
      </c>
      <c r="H522">
        <v>0</v>
      </c>
      <c r="I522">
        <v>0</v>
      </c>
      <c r="J522">
        <v>0</v>
      </c>
      <c r="K522">
        <v>0</v>
      </c>
      <c r="L522">
        <v>0</v>
      </c>
      <c r="M522">
        <v>0</v>
      </c>
      <c r="T522" s="9">
        <v>45108</v>
      </c>
      <c r="U522" s="9">
        <v>45473</v>
      </c>
      <c r="V522">
        <f>SUM(POTABLE_NONPOTABLE_API[[#This Row],[RESIDENTIAL_SINGLEFAMILY_GAL]:[OTHER_GAL]])</f>
        <v>31634109</v>
      </c>
      <c r="W522">
        <f>SUM(POTABLE_NONPOTABLE_API[[#This Row],[NONPOTABLE_DEMAND_RESIDENTIAL_RECYCLED_WATER_GAL]:[NONPOTABLE_DEMAND_NONRESIDENTIAL_METERED_IRRIGATION_GAL]])</f>
        <v>0</v>
      </c>
      <c r="X522" t="str">
        <f>IFERROR(INDEX(Crosswalk_API!$H$2:$H$527, MATCH(POTABLE_NONPOTABLE_API[[#This Row],[PWSID]], CW_PWSID_LIST, 0)), "")</f>
        <v>No</v>
      </c>
    </row>
    <row r="523" spans="1:24" x14ac:dyDescent="0.25">
      <c r="A523" t="s">
        <v>863</v>
      </c>
      <c r="B523" t="s">
        <v>864</v>
      </c>
      <c r="C523" t="s">
        <v>870</v>
      </c>
      <c r="D523" t="s">
        <v>871</v>
      </c>
      <c r="E523" s="9">
        <v>45261</v>
      </c>
      <c r="F523" s="9">
        <v>45291</v>
      </c>
      <c r="G523">
        <v>33290600</v>
      </c>
      <c r="H523">
        <v>0</v>
      </c>
      <c r="I523">
        <v>0</v>
      </c>
      <c r="J523">
        <v>0</v>
      </c>
      <c r="K523">
        <v>0</v>
      </c>
      <c r="L523">
        <v>0</v>
      </c>
      <c r="M523">
        <v>0</v>
      </c>
      <c r="T523" s="9">
        <v>45108</v>
      </c>
      <c r="U523" s="9">
        <v>45473</v>
      </c>
      <c r="V523">
        <f>SUM(POTABLE_NONPOTABLE_API[[#This Row],[RESIDENTIAL_SINGLEFAMILY_GAL]:[OTHER_GAL]])</f>
        <v>33290600</v>
      </c>
      <c r="W523">
        <f>SUM(POTABLE_NONPOTABLE_API[[#This Row],[NONPOTABLE_DEMAND_RESIDENTIAL_RECYCLED_WATER_GAL]:[NONPOTABLE_DEMAND_NONRESIDENTIAL_METERED_IRRIGATION_GAL]])</f>
        <v>0</v>
      </c>
      <c r="X523" t="str">
        <f>IFERROR(INDEX(Crosswalk_API!$H$2:$H$527, MATCH(POTABLE_NONPOTABLE_API[[#This Row],[PWSID]], CW_PWSID_LIST, 0)), "")</f>
        <v>No</v>
      </c>
    </row>
    <row r="524" spans="1:24" x14ac:dyDescent="0.25">
      <c r="A524" t="s">
        <v>863</v>
      </c>
      <c r="B524" t="s">
        <v>864</v>
      </c>
      <c r="C524" t="s">
        <v>870</v>
      </c>
      <c r="D524" t="s">
        <v>871</v>
      </c>
      <c r="E524" s="9">
        <v>45292</v>
      </c>
      <c r="F524" s="9">
        <v>45322</v>
      </c>
      <c r="G524">
        <v>20138928</v>
      </c>
      <c r="H524">
        <v>57824</v>
      </c>
      <c r="I524">
        <v>629596</v>
      </c>
      <c r="J524">
        <v>322285</v>
      </c>
      <c r="K524">
        <v>0</v>
      </c>
      <c r="L524">
        <v>853</v>
      </c>
      <c r="M524">
        <v>0</v>
      </c>
      <c r="T524" s="9">
        <v>45108</v>
      </c>
      <c r="U524" s="9">
        <v>45473</v>
      </c>
      <c r="V524">
        <f>SUM(POTABLE_NONPOTABLE_API[[#This Row],[RESIDENTIAL_SINGLEFAMILY_GAL]:[OTHER_GAL]])</f>
        <v>21149486</v>
      </c>
      <c r="W524">
        <f>SUM(POTABLE_NONPOTABLE_API[[#This Row],[NONPOTABLE_DEMAND_RESIDENTIAL_RECYCLED_WATER_GAL]:[NONPOTABLE_DEMAND_NONRESIDENTIAL_METERED_IRRIGATION_GAL]])</f>
        <v>0</v>
      </c>
      <c r="X524" t="str">
        <f>IFERROR(INDEX(Crosswalk_API!$H$2:$H$527, MATCH(POTABLE_NONPOTABLE_API[[#This Row],[PWSID]], CW_PWSID_LIST, 0)), "")</f>
        <v>No</v>
      </c>
    </row>
    <row r="525" spans="1:24" x14ac:dyDescent="0.25">
      <c r="A525" t="s">
        <v>863</v>
      </c>
      <c r="B525" t="s">
        <v>864</v>
      </c>
      <c r="C525" t="s">
        <v>870</v>
      </c>
      <c r="D525" t="s">
        <v>871</v>
      </c>
      <c r="E525" s="9">
        <v>45323</v>
      </c>
      <c r="F525" s="9">
        <v>45351</v>
      </c>
      <c r="G525">
        <v>18358957</v>
      </c>
      <c r="H525">
        <v>54152</v>
      </c>
      <c r="I525">
        <v>677593</v>
      </c>
      <c r="J525">
        <v>85506</v>
      </c>
      <c r="K525">
        <v>0</v>
      </c>
      <c r="L525">
        <v>838</v>
      </c>
      <c r="M525">
        <v>0</v>
      </c>
      <c r="T525" s="9">
        <v>45108</v>
      </c>
      <c r="U525" s="9">
        <v>45473</v>
      </c>
      <c r="V525">
        <f>SUM(POTABLE_NONPOTABLE_API[[#This Row],[RESIDENTIAL_SINGLEFAMILY_GAL]:[OTHER_GAL]])</f>
        <v>19177046</v>
      </c>
      <c r="W525">
        <f>SUM(POTABLE_NONPOTABLE_API[[#This Row],[NONPOTABLE_DEMAND_RESIDENTIAL_RECYCLED_WATER_GAL]:[NONPOTABLE_DEMAND_NONRESIDENTIAL_METERED_IRRIGATION_GAL]])</f>
        <v>0</v>
      </c>
      <c r="X525" t="str">
        <f>IFERROR(INDEX(Crosswalk_API!$H$2:$H$527, MATCH(POTABLE_NONPOTABLE_API[[#This Row],[PWSID]], CW_PWSID_LIST, 0)), "")</f>
        <v>No</v>
      </c>
    </row>
    <row r="526" spans="1:24" x14ac:dyDescent="0.25">
      <c r="A526" t="s">
        <v>863</v>
      </c>
      <c r="B526" t="s">
        <v>864</v>
      </c>
      <c r="C526" t="s">
        <v>870</v>
      </c>
      <c r="D526" t="s">
        <v>871</v>
      </c>
      <c r="E526" s="9">
        <v>45352</v>
      </c>
      <c r="F526" s="9">
        <v>45382</v>
      </c>
      <c r="G526">
        <v>21877719</v>
      </c>
      <c r="H526">
        <v>57782</v>
      </c>
      <c r="I526">
        <v>728599</v>
      </c>
      <c r="J526">
        <v>105063</v>
      </c>
      <c r="K526">
        <v>0</v>
      </c>
      <c r="L526">
        <v>63752</v>
      </c>
      <c r="M526">
        <v>0</v>
      </c>
      <c r="T526" s="9">
        <v>45108</v>
      </c>
      <c r="U526" s="9">
        <v>45473</v>
      </c>
      <c r="V526">
        <f>SUM(POTABLE_NONPOTABLE_API[[#This Row],[RESIDENTIAL_SINGLEFAMILY_GAL]:[OTHER_GAL]])</f>
        <v>22832915</v>
      </c>
      <c r="W526">
        <f>SUM(POTABLE_NONPOTABLE_API[[#This Row],[NONPOTABLE_DEMAND_RESIDENTIAL_RECYCLED_WATER_GAL]:[NONPOTABLE_DEMAND_NONRESIDENTIAL_METERED_IRRIGATION_GAL]])</f>
        <v>0</v>
      </c>
      <c r="X526" t="str">
        <f>IFERROR(INDEX(Crosswalk_API!$H$2:$H$527, MATCH(POTABLE_NONPOTABLE_API[[#This Row],[PWSID]], CW_PWSID_LIST, 0)), "")</f>
        <v>No</v>
      </c>
    </row>
    <row r="527" spans="1:24" x14ac:dyDescent="0.25">
      <c r="A527" t="s">
        <v>863</v>
      </c>
      <c r="B527" t="s">
        <v>864</v>
      </c>
      <c r="C527" t="s">
        <v>870</v>
      </c>
      <c r="D527" t="s">
        <v>871</v>
      </c>
      <c r="E527" s="9">
        <v>45383</v>
      </c>
      <c r="F527" s="9">
        <v>45412</v>
      </c>
      <c r="G527">
        <v>22487429</v>
      </c>
      <c r="H527">
        <v>54308</v>
      </c>
      <c r="I527">
        <v>869438</v>
      </c>
      <c r="J527">
        <v>177905</v>
      </c>
      <c r="K527">
        <v>0</v>
      </c>
      <c r="L527">
        <v>76214</v>
      </c>
      <c r="M527">
        <v>0</v>
      </c>
      <c r="T527" s="9">
        <v>45108</v>
      </c>
      <c r="U527" s="9">
        <v>45473</v>
      </c>
      <c r="V527">
        <f>SUM(POTABLE_NONPOTABLE_API[[#This Row],[RESIDENTIAL_SINGLEFAMILY_GAL]:[OTHER_GAL]])</f>
        <v>23665294</v>
      </c>
      <c r="W527">
        <f>SUM(POTABLE_NONPOTABLE_API[[#This Row],[NONPOTABLE_DEMAND_RESIDENTIAL_RECYCLED_WATER_GAL]:[NONPOTABLE_DEMAND_NONRESIDENTIAL_METERED_IRRIGATION_GAL]])</f>
        <v>0</v>
      </c>
      <c r="X527" t="str">
        <f>IFERROR(INDEX(Crosswalk_API!$H$2:$H$527, MATCH(POTABLE_NONPOTABLE_API[[#This Row],[PWSID]], CW_PWSID_LIST, 0)), "")</f>
        <v>No</v>
      </c>
    </row>
    <row r="528" spans="1:24" x14ac:dyDescent="0.25">
      <c r="A528" t="s">
        <v>863</v>
      </c>
      <c r="B528" t="s">
        <v>864</v>
      </c>
      <c r="C528" t="s">
        <v>870</v>
      </c>
      <c r="D528" t="s">
        <v>871</v>
      </c>
      <c r="E528" s="9">
        <v>45413</v>
      </c>
      <c r="F528" s="9">
        <v>45443</v>
      </c>
      <c r="G528">
        <v>40191134</v>
      </c>
      <c r="H528">
        <v>52104</v>
      </c>
      <c r="I528">
        <v>1686129</v>
      </c>
      <c r="J528">
        <v>658010</v>
      </c>
      <c r="K528">
        <v>0</v>
      </c>
      <c r="L528">
        <v>128776</v>
      </c>
      <c r="M528">
        <v>0</v>
      </c>
      <c r="T528" s="9">
        <v>45108</v>
      </c>
      <c r="U528" s="9">
        <v>45473</v>
      </c>
      <c r="V528">
        <f>SUM(POTABLE_NONPOTABLE_API[[#This Row],[RESIDENTIAL_SINGLEFAMILY_GAL]:[OTHER_GAL]])</f>
        <v>42716153</v>
      </c>
      <c r="W528">
        <f>SUM(POTABLE_NONPOTABLE_API[[#This Row],[NONPOTABLE_DEMAND_RESIDENTIAL_RECYCLED_WATER_GAL]:[NONPOTABLE_DEMAND_NONRESIDENTIAL_METERED_IRRIGATION_GAL]])</f>
        <v>0</v>
      </c>
      <c r="X528" t="str">
        <f>IFERROR(INDEX(Crosswalk_API!$H$2:$H$527, MATCH(POTABLE_NONPOTABLE_API[[#This Row],[PWSID]], CW_PWSID_LIST, 0)), "")</f>
        <v>No</v>
      </c>
    </row>
    <row r="529" spans="1:24" x14ac:dyDescent="0.25">
      <c r="A529" t="s">
        <v>863</v>
      </c>
      <c r="B529" t="s">
        <v>864</v>
      </c>
      <c r="C529" t="s">
        <v>870</v>
      </c>
      <c r="D529" t="s">
        <v>871</v>
      </c>
      <c r="E529" s="9">
        <v>45444</v>
      </c>
      <c r="F529" s="9">
        <v>45473</v>
      </c>
      <c r="G529">
        <v>54634070</v>
      </c>
      <c r="H529">
        <v>49851</v>
      </c>
      <c r="I529">
        <v>2321851</v>
      </c>
      <c r="J529">
        <v>1002274</v>
      </c>
      <c r="K529">
        <v>0</v>
      </c>
      <c r="L529">
        <v>237101</v>
      </c>
      <c r="M529">
        <v>0</v>
      </c>
      <c r="T529" s="9">
        <v>45108</v>
      </c>
      <c r="U529" s="9">
        <v>45473</v>
      </c>
      <c r="V529">
        <f>SUM(POTABLE_NONPOTABLE_API[[#This Row],[RESIDENTIAL_SINGLEFAMILY_GAL]:[OTHER_GAL]])</f>
        <v>58245147</v>
      </c>
      <c r="W529">
        <f>SUM(POTABLE_NONPOTABLE_API[[#This Row],[NONPOTABLE_DEMAND_RESIDENTIAL_RECYCLED_WATER_GAL]:[NONPOTABLE_DEMAND_NONRESIDENTIAL_METERED_IRRIGATION_GAL]])</f>
        <v>0</v>
      </c>
      <c r="X529" t="str">
        <f>IFERROR(INDEX(Crosswalk_API!$H$2:$H$527, MATCH(POTABLE_NONPOTABLE_API[[#This Row],[PWSID]], CW_PWSID_LIST, 0)), "")</f>
        <v>No</v>
      </c>
    </row>
    <row r="530" spans="1:24" x14ac:dyDescent="0.25">
      <c r="A530" t="s">
        <v>863</v>
      </c>
      <c r="B530" t="s">
        <v>864</v>
      </c>
      <c r="C530" t="s">
        <v>872</v>
      </c>
      <c r="D530" t="s">
        <v>873</v>
      </c>
      <c r="E530" s="9">
        <v>45108</v>
      </c>
      <c r="F530" s="9">
        <v>45138</v>
      </c>
      <c r="G530">
        <v>34202734</v>
      </c>
      <c r="H530">
        <v>0</v>
      </c>
      <c r="I530">
        <v>0</v>
      </c>
      <c r="J530">
        <v>0</v>
      </c>
      <c r="K530">
        <v>0</v>
      </c>
      <c r="L530">
        <v>0</v>
      </c>
      <c r="M530">
        <v>0</v>
      </c>
      <c r="T530" s="9">
        <v>45108</v>
      </c>
      <c r="U530" s="9">
        <v>45473</v>
      </c>
      <c r="V530">
        <f>SUM(POTABLE_NONPOTABLE_API[[#This Row],[RESIDENTIAL_SINGLEFAMILY_GAL]:[OTHER_GAL]])</f>
        <v>34202734</v>
      </c>
      <c r="W530">
        <f>SUM(POTABLE_NONPOTABLE_API[[#This Row],[NONPOTABLE_DEMAND_RESIDENTIAL_RECYCLED_WATER_GAL]:[NONPOTABLE_DEMAND_NONRESIDENTIAL_METERED_IRRIGATION_GAL]])</f>
        <v>0</v>
      </c>
      <c r="X530" t="str">
        <f>IFERROR(INDEX(Crosswalk_API!$H$2:$H$527, MATCH(POTABLE_NONPOTABLE_API[[#This Row],[PWSID]], CW_PWSID_LIST, 0)), "")</f>
        <v>No</v>
      </c>
    </row>
    <row r="531" spans="1:24" x14ac:dyDescent="0.25">
      <c r="A531" t="s">
        <v>863</v>
      </c>
      <c r="B531" t="s">
        <v>864</v>
      </c>
      <c r="C531" t="s">
        <v>872</v>
      </c>
      <c r="D531" t="s">
        <v>873</v>
      </c>
      <c r="E531" s="9">
        <v>45139</v>
      </c>
      <c r="F531" s="9">
        <v>45169</v>
      </c>
      <c r="G531">
        <v>28935467</v>
      </c>
      <c r="H531">
        <v>0</v>
      </c>
      <c r="I531">
        <v>0</v>
      </c>
      <c r="J531">
        <v>0</v>
      </c>
      <c r="K531">
        <v>0</v>
      </c>
      <c r="L531">
        <v>0</v>
      </c>
      <c r="M531">
        <v>0</v>
      </c>
      <c r="T531" s="9">
        <v>45108</v>
      </c>
      <c r="U531" s="9">
        <v>45473</v>
      </c>
      <c r="V531">
        <f>SUM(POTABLE_NONPOTABLE_API[[#This Row],[RESIDENTIAL_SINGLEFAMILY_GAL]:[OTHER_GAL]])</f>
        <v>28935467</v>
      </c>
      <c r="W531">
        <f>SUM(POTABLE_NONPOTABLE_API[[#This Row],[NONPOTABLE_DEMAND_RESIDENTIAL_RECYCLED_WATER_GAL]:[NONPOTABLE_DEMAND_NONRESIDENTIAL_METERED_IRRIGATION_GAL]])</f>
        <v>0</v>
      </c>
      <c r="X531" t="str">
        <f>IFERROR(INDEX(Crosswalk_API!$H$2:$H$527, MATCH(POTABLE_NONPOTABLE_API[[#This Row],[PWSID]], CW_PWSID_LIST, 0)), "")</f>
        <v>No</v>
      </c>
    </row>
    <row r="532" spans="1:24" x14ac:dyDescent="0.25">
      <c r="A532" t="s">
        <v>863</v>
      </c>
      <c r="B532" t="s">
        <v>864</v>
      </c>
      <c r="C532" t="s">
        <v>872</v>
      </c>
      <c r="D532" t="s">
        <v>873</v>
      </c>
      <c r="E532" s="9">
        <v>45170</v>
      </c>
      <c r="F532" s="9">
        <v>45199</v>
      </c>
      <c r="G532">
        <v>26587174</v>
      </c>
      <c r="H532">
        <v>0</v>
      </c>
      <c r="I532">
        <v>0</v>
      </c>
      <c r="J532">
        <v>0</v>
      </c>
      <c r="K532">
        <v>0</v>
      </c>
      <c r="L532">
        <v>0</v>
      </c>
      <c r="M532">
        <v>0</v>
      </c>
      <c r="T532" s="9">
        <v>45108</v>
      </c>
      <c r="U532" s="9">
        <v>45473</v>
      </c>
      <c r="V532">
        <f>SUM(POTABLE_NONPOTABLE_API[[#This Row],[RESIDENTIAL_SINGLEFAMILY_GAL]:[OTHER_GAL]])</f>
        <v>26587174</v>
      </c>
      <c r="W532">
        <f>SUM(POTABLE_NONPOTABLE_API[[#This Row],[NONPOTABLE_DEMAND_RESIDENTIAL_RECYCLED_WATER_GAL]:[NONPOTABLE_DEMAND_NONRESIDENTIAL_METERED_IRRIGATION_GAL]])</f>
        <v>0</v>
      </c>
      <c r="X532" t="str">
        <f>IFERROR(INDEX(Crosswalk_API!$H$2:$H$527, MATCH(POTABLE_NONPOTABLE_API[[#This Row],[PWSID]], CW_PWSID_LIST, 0)), "")</f>
        <v>No</v>
      </c>
    </row>
    <row r="533" spans="1:24" x14ac:dyDescent="0.25">
      <c r="A533" t="s">
        <v>863</v>
      </c>
      <c r="B533" t="s">
        <v>864</v>
      </c>
      <c r="C533" t="s">
        <v>872</v>
      </c>
      <c r="D533" t="s">
        <v>873</v>
      </c>
      <c r="E533" s="9">
        <v>45200</v>
      </c>
      <c r="F533" s="9">
        <v>45230</v>
      </c>
      <c r="G533">
        <v>26745428</v>
      </c>
      <c r="H533">
        <v>0</v>
      </c>
      <c r="I533">
        <v>0</v>
      </c>
      <c r="J533">
        <v>0</v>
      </c>
      <c r="K533">
        <v>0</v>
      </c>
      <c r="L533">
        <v>0</v>
      </c>
      <c r="M533">
        <v>0</v>
      </c>
      <c r="T533" s="9">
        <v>45108</v>
      </c>
      <c r="U533" s="9">
        <v>45473</v>
      </c>
      <c r="V533">
        <f>SUM(POTABLE_NONPOTABLE_API[[#This Row],[RESIDENTIAL_SINGLEFAMILY_GAL]:[OTHER_GAL]])</f>
        <v>26745428</v>
      </c>
      <c r="W533">
        <f>SUM(POTABLE_NONPOTABLE_API[[#This Row],[NONPOTABLE_DEMAND_RESIDENTIAL_RECYCLED_WATER_GAL]:[NONPOTABLE_DEMAND_NONRESIDENTIAL_METERED_IRRIGATION_GAL]])</f>
        <v>0</v>
      </c>
      <c r="X533" t="str">
        <f>IFERROR(INDEX(Crosswalk_API!$H$2:$H$527, MATCH(POTABLE_NONPOTABLE_API[[#This Row],[PWSID]], CW_PWSID_LIST, 0)), "")</f>
        <v>No</v>
      </c>
    </row>
    <row r="534" spans="1:24" x14ac:dyDescent="0.25">
      <c r="A534" t="s">
        <v>863</v>
      </c>
      <c r="B534" t="s">
        <v>864</v>
      </c>
      <c r="C534" t="s">
        <v>872</v>
      </c>
      <c r="D534" t="s">
        <v>873</v>
      </c>
      <c r="E534" s="9">
        <v>45231</v>
      </c>
      <c r="F534" s="9">
        <v>45260</v>
      </c>
      <c r="G534">
        <v>21905083</v>
      </c>
      <c r="H534">
        <v>0</v>
      </c>
      <c r="I534">
        <v>0</v>
      </c>
      <c r="J534">
        <v>0</v>
      </c>
      <c r="K534">
        <v>0</v>
      </c>
      <c r="L534">
        <v>0</v>
      </c>
      <c r="M534">
        <v>0</v>
      </c>
      <c r="T534" s="9">
        <v>45108</v>
      </c>
      <c r="U534" s="9">
        <v>45473</v>
      </c>
      <c r="V534">
        <f>SUM(POTABLE_NONPOTABLE_API[[#This Row],[RESIDENTIAL_SINGLEFAMILY_GAL]:[OTHER_GAL]])</f>
        <v>21905083</v>
      </c>
      <c r="W534">
        <f>SUM(POTABLE_NONPOTABLE_API[[#This Row],[NONPOTABLE_DEMAND_RESIDENTIAL_RECYCLED_WATER_GAL]:[NONPOTABLE_DEMAND_NONRESIDENTIAL_METERED_IRRIGATION_GAL]])</f>
        <v>0</v>
      </c>
      <c r="X534" t="str">
        <f>IFERROR(INDEX(Crosswalk_API!$H$2:$H$527, MATCH(POTABLE_NONPOTABLE_API[[#This Row],[PWSID]], CW_PWSID_LIST, 0)), "")</f>
        <v>No</v>
      </c>
    </row>
    <row r="535" spans="1:24" x14ac:dyDescent="0.25">
      <c r="A535" t="s">
        <v>863</v>
      </c>
      <c r="B535" t="s">
        <v>864</v>
      </c>
      <c r="C535" t="s">
        <v>872</v>
      </c>
      <c r="D535" t="s">
        <v>873</v>
      </c>
      <c r="E535" s="9">
        <v>45261</v>
      </c>
      <c r="F535" s="9">
        <v>45291</v>
      </c>
      <c r="G535">
        <v>20678804</v>
      </c>
      <c r="H535">
        <v>0</v>
      </c>
      <c r="I535">
        <v>0</v>
      </c>
      <c r="J535">
        <v>0</v>
      </c>
      <c r="K535">
        <v>0</v>
      </c>
      <c r="L535">
        <v>0</v>
      </c>
      <c r="M535">
        <v>0</v>
      </c>
      <c r="T535" s="9">
        <v>45108</v>
      </c>
      <c r="U535" s="9">
        <v>45473</v>
      </c>
      <c r="V535">
        <f>SUM(POTABLE_NONPOTABLE_API[[#This Row],[RESIDENTIAL_SINGLEFAMILY_GAL]:[OTHER_GAL]])</f>
        <v>20678804</v>
      </c>
      <c r="W535">
        <f>SUM(POTABLE_NONPOTABLE_API[[#This Row],[NONPOTABLE_DEMAND_RESIDENTIAL_RECYCLED_WATER_GAL]:[NONPOTABLE_DEMAND_NONRESIDENTIAL_METERED_IRRIGATION_GAL]])</f>
        <v>0</v>
      </c>
      <c r="X535" t="str">
        <f>IFERROR(INDEX(Crosswalk_API!$H$2:$H$527, MATCH(POTABLE_NONPOTABLE_API[[#This Row],[PWSID]], CW_PWSID_LIST, 0)), "")</f>
        <v>No</v>
      </c>
    </row>
    <row r="536" spans="1:24" x14ac:dyDescent="0.25">
      <c r="A536" t="s">
        <v>863</v>
      </c>
      <c r="B536" t="s">
        <v>864</v>
      </c>
      <c r="C536" t="s">
        <v>872</v>
      </c>
      <c r="D536" t="s">
        <v>873</v>
      </c>
      <c r="E536" s="9">
        <v>45292</v>
      </c>
      <c r="F536" s="9">
        <v>45322</v>
      </c>
      <c r="G536">
        <v>24478113</v>
      </c>
      <c r="H536">
        <v>125431</v>
      </c>
      <c r="I536">
        <v>5094262</v>
      </c>
      <c r="J536">
        <v>85658</v>
      </c>
      <c r="K536">
        <v>0</v>
      </c>
      <c r="L536">
        <v>0</v>
      </c>
      <c r="M536">
        <v>0</v>
      </c>
      <c r="T536" s="9">
        <v>45108</v>
      </c>
      <c r="U536" s="9">
        <v>45473</v>
      </c>
      <c r="V536">
        <f>SUM(POTABLE_NONPOTABLE_API[[#This Row],[RESIDENTIAL_SINGLEFAMILY_GAL]:[OTHER_GAL]])</f>
        <v>29783464</v>
      </c>
      <c r="W536">
        <f>SUM(POTABLE_NONPOTABLE_API[[#This Row],[NONPOTABLE_DEMAND_RESIDENTIAL_RECYCLED_WATER_GAL]:[NONPOTABLE_DEMAND_NONRESIDENTIAL_METERED_IRRIGATION_GAL]])</f>
        <v>0</v>
      </c>
      <c r="X536" t="str">
        <f>IFERROR(INDEX(Crosswalk_API!$H$2:$H$527, MATCH(POTABLE_NONPOTABLE_API[[#This Row],[PWSID]], CW_PWSID_LIST, 0)), "")</f>
        <v>No</v>
      </c>
    </row>
    <row r="537" spans="1:24" x14ac:dyDescent="0.25">
      <c r="A537" t="s">
        <v>863</v>
      </c>
      <c r="B537" t="s">
        <v>864</v>
      </c>
      <c r="C537" t="s">
        <v>872</v>
      </c>
      <c r="D537" t="s">
        <v>873</v>
      </c>
      <c r="E537" s="9">
        <v>45323</v>
      </c>
      <c r="F537" s="9">
        <v>45351</v>
      </c>
      <c r="G537">
        <v>16629007</v>
      </c>
      <c r="H537">
        <v>116868</v>
      </c>
      <c r="I537">
        <v>3183198</v>
      </c>
      <c r="J537">
        <v>41959</v>
      </c>
      <c r="K537">
        <v>0</v>
      </c>
      <c r="L537">
        <v>0</v>
      </c>
      <c r="M537">
        <v>0</v>
      </c>
      <c r="T537" s="9">
        <v>45108</v>
      </c>
      <c r="U537" s="9">
        <v>45473</v>
      </c>
      <c r="V537">
        <f>SUM(POTABLE_NONPOTABLE_API[[#This Row],[RESIDENTIAL_SINGLEFAMILY_GAL]:[OTHER_GAL]])</f>
        <v>19971032</v>
      </c>
      <c r="W537">
        <f>SUM(POTABLE_NONPOTABLE_API[[#This Row],[NONPOTABLE_DEMAND_RESIDENTIAL_RECYCLED_WATER_GAL]:[NONPOTABLE_DEMAND_NONRESIDENTIAL_METERED_IRRIGATION_GAL]])</f>
        <v>0</v>
      </c>
      <c r="X537" t="str">
        <f>IFERROR(INDEX(Crosswalk_API!$H$2:$H$527, MATCH(POTABLE_NONPOTABLE_API[[#This Row],[PWSID]], CW_PWSID_LIST, 0)), "")</f>
        <v>No</v>
      </c>
    </row>
    <row r="538" spans="1:24" x14ac:dyDescent="0.25">
      <c r="A538" t="s">
        <v>863</v>
      </c>
      <c r="B538" t="s">
        <v>864</v>
      </c>
      <c r="C538" t="s">
        <v>872</v>
      </c>
      <c r="D538" t="s">
        <v>873</v>
      </c>
      <c r="E538" s="9">
        <v>45352</v>
      </c>
      <c r="F538" s="9">
        <v>45382</v>
      </c>
      <c r="G538">
        <v>16869947</v>
      </c>
      <c r="H538">
        <v>128893</v>
      </c>
      <c r="I538">
        <v>2869172</v>
      </c>
      <c r="J538">
        <v>26849</v>
      </c>
      <c r="K538">
        <v>0</v>
      </c>
      <c r="L538">
        <v>0</v>
      </c>
      <c r="M538">
        <v>0</v>
      </c>
      <c r="T538" s="9">
        <v>45108</v>
      </c>
      <c r="U538" s="9">
        <v>45473</v>
      </c>
      <c r="V538">
        <f>SUM(POTABLE_NONPOTABLE_API[[#This Row],[RESIDENTIAL_SINGLEFAMILY_GAL]:[OTHER_GAL]])</f>
        <v>19894861</v>
      </c>
      <c r="W538">
        <f>SUM(POTABLE_NONPOTABLE_API[[#This Row],[NONPOTABLE_DEMAND_RESIDENTIAL_RECYCLED_WATER_GAL]:[NONPOTABLE_DEMAND_NONRESIDENTIAL_METERED_IRRIGATION_GAL]])</f>
        <v>0</v>
      </c>
      <c r="X538" t="str">
        <f>IFERROR(INDEX(Crosswalk_API!$H$2:$H$527, MATCH(POTABLE_NONPOTABLE_API[[#This Row],[PWSID]], CW_PWSID_LIST, 0)), "")</f>
        <v>No</v>
      </c>
    </row>
    <row r="539" spans="1:24" x14ac:dyDescent="0.25">
      <c r="A539" t="s">
        <v>863</v>
      </c>
      <c r="B539" t="s">
        <v>864</v>
      </c>
      <c r="C539" t="s">
        <v>872</v>
      </c>
      <c r="D539" t="s">
        <v>873</v>
      </c>
      <c r="E539" s="9">
        <v>45383</v>
      </c>
      <c r="F539" s="9">
        <v>45412</v>
      </c>
      <c r="G539">
        <v>15994493</v>
      </c>
      <c r="H539">
        <v>118642</v>
      </c>
      <c r="I539">
        <v>2627846</v>
      </c>
      <c r="J539">
        <v>134831</v>
      </c>
      <c r="K539">
        <v>0</v>
      </c>
      <c r="L539">
        <v>11594</v>
      </c>
      <c r="M539">
        <v>0</v>
      </c>
      <c r="T539" s="9">
        <v>45108</v>
      </c>
      <c r="U539" s="9">
        <v>45473</v>
      </c>
      <c r="V539">
        <f>SUM(POTABLE_NONPOTABLE_API[[#This Row],[RESIDENTIAL_SINGLEFAMILY_GAL]:[OTHER_GAL]])</f>
        <v>18887406</v>
      </c>
      <c r="W539">
        <f>SUM(POTABLE_NONPOTABLE_API[[#This Row],[NONPOTABLE_DEMAND_RESIDENTIAL_RECYCLED_WATER_GAL]:[NONPOTABLE_DEMAND_NONRESIDENTIAL_METERED_IRRIGATION_GAL]])</f>
        <v>0</v>
      </c>
      <c r="X539" t="str">
        <f>IFERROR(INDEX(Crosswalk_API!$H$2:$H$527, MATCH(POTABLE_NONPOTABLE_API[[#This Row],[PWSID]], CW_PWSID_LIST, 0)), "")</f>
        <v>No</v>
      </c>
    </row>
    <row r="540" spans="1:24" x14ac:dyDescent="0.25">
      <c r="A540" t="s">
        <v>863</v>
      </c>
      <c r="B540" t="s">
        <v>864</v>
      </c>
      <c r="C540" t="s">
        <v>872</v>
      </c>
      <c r="D540" t="s">
        <v>873</v>
      </c>
      <c r="E540" s="9">
        <v>45413</v>
      </c>
      <c r="F540" s="9">
        <v>45443</v>
      </c>
      <c r="G540">
        <v>19900429</v>
      </c>
      <c r="H540">
        <v>148736</v>
      </c>
      <c r="I540">
        <v>3570434</v>
      </c>
      <c r="J540">
        <v>284633</v>
      </c>
      <c r="K540">
        <v>0</v>
      </c>
      <c r="L540">
        <v>4114</v>
      </c>
      <c r="M540">
        <v>0</v>
      </c>
      <c r="T540" s="9">
        <v>45108</v>
      </c>
      <c r="U540" s="9">
        <v>45473</v>
      </c>
      <c r="V540">
        <f>SUM(POTABLE_NONPOTABLE_API[[#This Row],[RESIDENTIAL_SINGLEFAMILY_GAL]:[OTHER_GAL]])</f>
        <v>23908346</v>
      </c>
      <c r="W540">
        <f>SUM(POTABLE_NONPOTABLE_API[[#This Row],[NONPOTABLE_DEMAND_RESIDENTIAL_RECYCLED_WATER_GAL]:[NONPOTABLE_DEMAND_NONRESIDENTIAL_METERED_IRRIGATION_GAL]])</f>
        <v>0</v>
      </c>
      <c r="X540" t="str">
        <f>IFERROR(INDEX(Crosswalk_API!$H$2:$H$527, MATCH(POTABLE_NONPOTABLE_API[[#This Row],[PWSID]], CW_PWSID_LIST, 0)), "")</f>
        <v>No</v>
      </c>
    </row>
    <row r="541" spans="1:24" x14ac:dyDescent="0.25">
      <c r="A541" t="s">
        <v>863</v>
      </c>
      <c r="B541" t="s">
        <v>864</v>
      </c>
      <c r="C541" t="s">
        <v>872</v>
      </c>
      <c r="D541" t="s">
        <v>873</v>
      </c>
      <c r="E541" s="9">
        <v>45444</v>
      </c>
      <c r="F541" s="9">
        <v>45473</v>
      </c>
      <c r="G541">
        <v>25698482</v>
      </c>
      <c r="H541">
        <v>144639</v>
      </c>
      <c r="I541">
        <v>4280894</v>
      </c>
      <c r="J541">
        <v>639486</v>
      </c>
      <c r="K541">
        <v>0</v>
      </c>
      <c r="L541">
        <v>7330</v>
      </c>
      <c r="M541">
        <v>0</v>
      </c>
      <c r="T541" s="9">
        <v>45108</v>
      </c>
      <c r="U541" s="9">
        <v>45473</v>
      </c>
      <c r="V541">
        <f>SUM(POTABLE_NONPOTABLE_API[[#This Row],[RESIDENTIAL_SINGLEFAMILY_GAL]:[OTHER_GAL]])</f>
        <v>30770831</v>
      </c>
      <c r="W541">
        <f>SUM(POTABLE_NONPOTABLE_API[[#This Row],[NONPOTABLE_DEMAND_RESIDENTIAL_RECYCLED_WATER_GAL]:[NONPOTABLE_DEMAND_NONRESIDENTIAL_METERED_IRRIGATION_GAL]])</f>
        <v>0</v>
      </c>
      <c r="X541" t="str">
        <f>IFERROR(INDEX(Crosswalk_API!$H$2:$H$527, MATCH(POTABLE_NONPOTABLE_API[[#This Row],[PWSID]], CW_PWSID_LIST, 0)), "")</f>
        <v>No</v>
      </c>
    </row>
    <row r="542" spans="1:24" x14ac:dyDescent="0.25">
      <c r="A542" t="s">
        <v>863</v>
      </c>
      <c r="B542" t="s">
        <v>864</v>
      </c>
      <c r="C542" t="s">
        <v>874</v>
      </c>
      <c r="D542" t="s">
        <v>875</v>
      </c>
      <c r="E542" s="9">
        <v>45108</v>
      </c>
      <c r="F542" s="9">
        <v>45138</v>
      </c>
      <c r="G542">
        <v>49031804</v>
      </c>
      <c r="H542">
        <v>0</v>
      </c>
      <c r="I542">
        <v>0</v>
      </c>
      <c r="J542">
        <v>0</v>
      </c>
      <c r="K542">
        <v>0</v>
      </c>
      <c r="L542">
        <v>0</v>
      </c>
      <c r="M542">
        <v>0</v>
      </c>
      <c r="T542" s="9">
        <v>45108</v>
      </c>
      <c r="U542" s="9">
        <v>45473</v>
      </c>
      <c r="V542">
        <f>SUM(POTABLE_NONPOTABLE_API[[#This Row],[RESIDENTIAL_SINGLEFAMILY_GAL]:[OTHER_GAL]])</f>
        <v>49031804</v>
      </c>
      <c r="W542">
        <f>SUM(POTABLE_NONPOTABLE_API[[#This Row],[NONPOTABLE_DEMAND_RESIDENTIAL_RECYCLED_WATER_GAL]:[NONPOTABLE_DEMAND_NONRESIDENTIAL_METERED_IRRIGATION_GAL]])</f>
        <v>0</v>
      </c>
      <c r="X542" t="str">
        <f>IFERROR(INDEX(Crosswalk_API!$H$2:$H$527, MATCH(POTABLE_NONPOTABLE_API[[#This Row],[PWSID]], CW_PWSID_LIST, 0)), "")</f>
        <v>No</v>
      </c>
    </row>
    <row r="543" spans="1:24" x14ac:dyDescent="0.25">
      <c r="A543" t="s">
        <v>863</v>
      </c>
      <c r="B543" t="s">
        <v>864</v>
      </c>
      <c r="C543" t="s">
        <v>874</v>
      </c>
      <c r="D543" t="s">
        <v>875</v>
      </c>
      <c r="E543" s="9">
        <v>45139</v>
      </c>
      <c r="F543" s="9">
        <v>45169</v>
      </c>
      <c r="G543">
        <v>48513111</v>
      </c>
      <c r="H543">
        <v>0</v>
      </c>
      <c r="I543">
        <v>0</v>
      </c>
      <c r="J543">
        <v>0</v>
      </c>
      <c r="K543">
        <v>0</v>
      </c>
      <c r="L543">
        <v>0</v>
      </c>
      <c r="M543">
        <v>0</v>
      </c>
      <c r="T543" s="9">
        <v>45108</v>
      </c>
      <c r="U543" s="9">
        <v>45473</v>
      </c>
      <c r="V543">
        <f>SUM(POTABLE_NONPOTABLE_API[[#This Row],[RESIDENTIAL_SINGLEFAMILY_GAL]:[OTHER_GAL]])</f>
        <v>48513111</v>
      </c>
      <c r="W543">
        <f>SUM(POTABLE_NONPOTABLE_API[[#This Row],[NONPOTABLE_DEMAND_RESIDENTIAL_RECYCLED_WATER_GAL]:[NONPOTABLE_DEMAND_NONRESIDENTIAL_METERED_IRRIGATION_GAL]])</f>
        <v>0</v>
      </c>
      <c r="X543" t="str">
        <f>IFERROR(INDEX(Crosswalk_API!$H$2:$H$527, MATCH(POTABLE_NONPOTABLE_API[[#This Row],[PWSID]], CW_PWSID_LIST, 0)), "")</f>
        <v>No</v>
      </c>
    </row>
    <row r="544" spans="1:24" x14ac:dyDescent="0.25">
      <c r="A544" t="s">
        <v>863</v>
      </c>
      <c r="B544" t="s">
        <v>864</v>
      </c>
      <c r="C544" t="s">
        <v>874</v>
      </c>
      <c r="D544" t="s">
        <v>875</v>
      </c>
      <c r="E544" s="9">
        <v>45170</v>
      </c>
      <c r="F544" s="9">
        <v>45199</v>
      </c>
      <c r="G544">
        <v>40041323</v>
      </c>
      <c r="H544">
        <v>0</v>
      </c>
      <c r="I544">
        <v>0</v>
      </c>
      <c r="J544">
        <v>0</v>
      </c>
      <c r="K544">
        <v>0</v>
      </c>
      <c r="L544">
        <v>0</v>
      </c>
      <c r="M544">
        <v>0</v>
      </c>
      <c r="T544" s="9">
        <v>45108</v>
      </c>
      <c r="U544" s="9">
        <v>45473</v>
      </c>
      <c r="V544">
        <f>SUM(POTABLE_NONPOTABLE_API[[#This Row],[RESIDENTIAL_SINGLEFAMILY_GAL]:[OTHER_GAL]])</f>
        <v>40041323</v>
      </c>
      <c r="W544">
        <f>SUM(POTABLE_NONPOTABLE_API[[#This Row],[NONPOTABLE_DEMAND_RESIDENTIAL_RECYCLED_WATER_GAL]:[NONPOTABLE_DEMAND_NONRESIDENTIAL_METERED_IRRIGATION_GAL]])</f>
        <v>0</v>
      </c>
      <c r="X544" t="str">
        <f>IFERROR(INDEX(Crosswalk_API!$H$2:$H$527, MATCH(POTABLE_NONPOTABLE_API[[#This Row],[PWSID]], CW_PWSID_LIST, 0)), "")</f>
        <v>No</v>
      </c>
    </row>
    <row r="545" spans="1:24" x14ac:dyDescent="0.25">
      <c r="A545" t="s">
        <v>863</v>
      </c>
      <c r="B545" t="s">
        <v>864</v>
      </c>
      <c r="C545" t="s">
        <v>874</v>
      </c>
      <c r="D545" t="s">
        <v>875</v>
      </c>
      <c r="E545" s="9">
        <v>45200</v>
      </c>
      <c r="F545" s="9">
        <v>45230</v>
      </c>
      <c r="G545">
        <v>30799641</v>
      </c>
      <c r="H545">
        <v>0</v>
      </c>
      <c r="I545">
        <v>0</v>
      </c>
      <c r="J545">
        <v>0</v>
      </c>
      <c r="K545">
        <v>0</v>
      </c>
      <c r="L545">
        <v>0</v>
      </c>
      <c r="M545">
        <v>0</v>
      </c>
      <c r="T545" s="9">
        <v>45108</v>
      </c>
      <c r="U545" s="9">
        <v>45473</v>
      </c>
      <c r="V545">
        <f>SUM(POTABLE_NONPOTABLE_API[[#This Row],[RESIDENTIAL_SINGLEFAMILY_GAL]:[OTHER_GAL]])</f>
        <v>30799641</v>
      </c>
      <c r="W545">
        <f>SUM(POTABLE_NONPOTABLE_API[[#This Row],[NONPOTABLE_DEMAND_RESIDENTIAL_RECYCLED_WATER_GAL]:[NONPOTABLE_DEMAND_NONRESIDENTIAL_METERED_IRRIGATION_GAL]])</f>
        <v>0</v>
      </c>
      <c r="X545" t="str">
        <f>IFERROR(INDEX(Crosswalk_API!$H$2:$H$527, MATCH(POTABLE_NONPOTABLE_API[[#This Row],[PWSID]], CW_PWSID_LIST, 0)), "")</f>
        <v>No</v>
      </c>
    </row>
    <row r="546" spans="1:24" x14ac:dyDescent="0.25">
      <c r="A546" t="s">
        <v>863</v>
      </c>
      <c r="B546" t="s">
        <v>864</v>
      </c>
      <c r="C546" t="s">
        <v>874</v>
      </c>
      <c r="D546" t="s">
        <v>875</v>
      </c>
      <c r="E546" s="9">
        <v>45231</v>
      </c>
      <c r="F546" s="9">
        <v>45260</v>
      </c>
      <c r="G546">
        <v>20971751</v>
      </c>
      <c r="H546">
        <v>0</v>
      </c>
      <c r="I546">
        <v>0</v>
      </c>
      <c r="J546">
        <v>0</v>
      </c>
      <c r="K546">
        <v>0</v>
      </c>
      <c r="L546">
        <v>0</v>
      </c>
      <c r="M546">
        <v>0</v>
      </c>
      <c r="T546" s="9">
        <v>45108</v>
      </c>
      <c r="U546" s="9">
        <v>45473</v>
      </c>
      <c r="V546">
        <f>SUM(POTABLE_NONPOTABLE_API[[#This Row],[RESIDENTIAL_SINGLEFAMILY_GAL]:[OTHER_GAL]])</f>
        <v>20971751</v>
      </c>
      <c r="W546">
        <f>SUM(POTABLE_NONPOTABLE_API[[#This Row],[NONPOTABLE_DEMAND_RESIDENTIAL_RECYCLED_WATER_GAL]:[NONPOTABLE_DEMAND_NONRESIDENTIAL_METERED_IRRIGATION_GAL]])</f>
        <v>0</v>
      </c>
      <c r="X546" t="str">
        <f>IFERROR(INDEX(Crosswalk_API!$H$2:$H$527, MATCH(POTABLE_NONPOTABLE_API[[#This Row],[PWSID]], CW_PWSID_LIST, 0)), "")</f>
        <v>No</v>
      </c>
    </row>
    <row r="547" spans="1:24" x14ac:dyDescent="0.25">
      <c r="A547" t="s">
        <v>863</v>
      </c>
      <c r="B547" t="s">
        <v>864</v>
      </c>
      <c r="C547" t="s">
        <v>874</v>
      </c>
      <c r="D547" t="s">
        <v>875</v>
      </c>
      <c r="E547" s="9">
        <v>45261</v>
      </c>
      <c r="F547" s="9">
        <v>45291</v>
      </c>
      <c r="G547">
        <v>17177439</v>
      </c>
      <c r="H547">
        <v>0</v>
      </c>
      <c r="I547">
        <v>0</v>
      </c>
      <c r="J547">
        <v>0</v>
      </c>
      <c r="K547">
        <v>0</v>
      </c>
      <c r="L547">
        <v>0</v>
      </c>
      <c r="M547">
        <v>0</v>
      </c>
      <c r="T547" s="9">
        <v>45108</v>
      </c>
      <c r="U547" s="9">
        <v>45473</v>
      </c>
      <c r="V547">
        <f>SUM(POTABLE_NONPOTABLE_API[[#This Row],[RESIDENTIAL_SINGLEFAMILY_GAL]:[OTHER_GAL]])</f>
        <v>17177439</v>
      </c>
      <c r="W547">
        <f>SUM(POTABLE_NONPOTABLE_API[[#This Row],[NONPOTABLE_DEMAND_RESIDENTIAL_RECYCLED_WATER_GAL]:[NONPOTABLE_DEMAND_NONRESIDENTIAL_METERED_IRRIGATION_GAL]])</f>
        <v>0</v>
      </c>
      <c r="X547" t="str">
        <f>IFERROR(INDEX(Crosswalk_API!$H$2:$H$527, MATCH(POTABLE_NONPOTABLE_API[[#This Row],[PWSID]], CW_PWSID_LIST, 0)), "")</f>
        <v>No</v>
      </c>
    </row>
    <row r="548" spans="1:24" x14ac:dyDescent="0.25">
      <c r="A548" t="s">
        <v>863</v>
      </c>
      <c r="B548" t="s">
        <v>864</v>
      </c>
      <c r="C548" t="s">
        <v>874</v>
      </c>
      <c r="D548" t="s">
        <v>875</v>
      </c>
      <c r="E548" s="9">
        <v>45292</v>
      </c>
      <c r="F548" s="9">
        <v>45322</v>
      </c>
      <c r="G548">
        <v>13920627</v>
      </c>
      <c r="H548">
        <v>0</v>
      </c>
      <c r="I548">
        <v>791866</v>
      </c>
      <c r="J548">
        <v>1056752</v>
      </c>
      <c r="K548">
        <v>0</v>
      </c>
      <c r="L548">
        <v>17354</v>
      </c>
      <c r="M548">
        <v>0</v>
      </c>
      <c r="T548" s="9">
        <v>45108</v>
      </c>
      <c r="U548" s="9">
        <v>45473</v>
      </c>
      <c r="V548">
        <f>SUM(POTABLE_NONPOTABLE_API[[#This Row],[RESIDENTIAL_SINGLEFAMILY_GAL]:[OTHER_GAL]])</f>
        <v>15786599</v>
      </c>
      <c r="W548">
        <f>SUM(POTABLE_NONPOTABLE_API[[#This Row],[NONPOTABLE_DEMAND_RESIDENTIAL_RECYCLED_WATER_GAL]:[NONPOTABLE_DEMAND_NONRESIDENTIAL_METERED_IRRIGATION_GAL]])</f>
        <v>0</v>
      </c>
      <c r="X548" t="str">
        <f>IFERROR(INDEX(Crosswalk_API!$H$2:$H$527, MATCH(POTABLE_NONPOTABLE_API[[#This Row],[PWSID]], CW_PWSID_LIST, 0)), "")</f>
        <v>No</v>
      </c>
    </row>
    <row r="549" spans="1:24" x14ac:dyDescent="0.25">
      <c r="A549" t="s">
        <v>863</v>
      </c>
      <c r="B549" t="s">
        <v>864</v>
      </c>
      <c r="C549" t="s">
        <v>874</v>
      </c>
      <c r="D549" t="s">
        <v>875</v>
      </c>
      <c r="E549" s="9">
        <v>45323</v>
      </c>
      <c r="F549" s="9">
        <v>45351</v>
      </c>
      <c r="G549">
        <v>9987582</v>
      </c>
      <c r="H549">
        <v>0</v>
      </c>
      <c r="I549">
        <v>756573</v>
      </c>
      <c r="J549">
        <v>351393</v>
      </c>
      <c r="K549">
        <v>0</v>
      </c>
      <c r="L549">
        <v>8961</v>
      </c>
      <c r="M549">
        <v>0</v>
      </c>
      <c r="T549" s="9">
        <v>45108</v>
      </c>
      <c r="U549" s="9">
        <v>45473</v>
      </c>
      <c r="V549">
        <f>SUM(POTABLE_NONPOTABLE_API[[#This Row],[RESIDENTIAL_SINGLEFAMILY_GAL]:[OTHER_GAL]])</f>
        <v>11104509</v>
      </c>
      <c r="W549">
        <f>SUM(POTABLE_NONPOTABLE_API[[#This Row],[NONPOTABLE_DEMAND_RESIDENTIAL_RECYCLED_WATER_GAL]:[NONPOTABLE_DEMAND_NONRESIDENTIAL_METERED_IRRIGATION_GAL]])</f>
        <v>0</v>
      </c>
      <c r="X549" t="str">
        <f>IFERROR(INDEX(Crosswalk_API!$H$2:$H$527, MATCH(POTABLE_NONPOTABLE_API[[#This Row],[PWSID]], CW_PWSID_LIST, 0)), "")</f>
        <v>No</v>
      </c>
    </row>
    <row r="550" spans="1:24" x14ac:dyDescent="0.25">
      <c r="A550" t="s">
        <v>863</v>
      </c>
      <c r="B550" t="s">
        <v>864</v>
      </c>
      <c r="C550" t="s">
        <v>874</v>
      </c>
      <c r="D550" t="s">
        <v>875</v>
      </c>
      <c r="E550" s="9">
        <v>45352</v>
      </c>
      <c r="F550" s="9">
        <v>45382</v>
      </c>
      <c r="G550">
        <v>10689443</v>
      </c>
      <c r="H550">
        <v>0</v>
      </c>
      <c r="I550">
        <v>774137</v>
      </c>
      <c r="J550">
        <v>714529</v>
      </c>
      <c r="K550">
        <v>0</v>
      </c>
      <c r="L550">
        <v>24235</v>
      </c>
      <c r="M550">
        <v>0</v>
      </c>
      <c r="T550" s="9">
        <v>45108</v>
      </c>
      <c r="U550" s="9">
        <v>45473</v>
      </c>
      <c r="V550">
        <f>SUM(POTABLE_NONPOTABLE_API[[#This Row],[RESIDENTIAL_SINGLEFAMILY_GAL]:[OTHER_GAL]])</f>
        <v>12202344</v>
      </c>
      <c r="W550">
        <f>SUM(POTABLE_NONPOTABLE_API[[#This Row],[NONPOTABLE_DEMAND_RESIDENTIAL_RECYCLED_WATER_GAL]:[NONPOTABLE_DEMAND_NONRESIDENTIAL_METERED_IRRIGATION_GAL]])</f>
        <v>0</v>
      </c>
      <c r="X550" t="str">
        <f>IFERROR(INDEX(Crosswalk_API!$H$2:$H$527, MATCH(POTABLE_NONPOTABLE_API[[#This Row],[PWSID]], CW_PWSID_LIST, 0)), "")</f>
        <v>No</v>
      </c>
    </row>
    <row r="551" spans="1:24" x14ac:dyDescent="0.25">
      <c r="A551" t="s">
        <v>863</v>
      </c>
      <c r="B551" t="s">
        <v>864</v>
      </c>
      <c r="C551" t="s">
        <v>874</v>
      </c>
      <c r="D551" t="s">
        <v>875</v>
      </c>
      <c r="E551" s="9">
        <v>45383</v>
      </c>
      <c r="F551" s="9">
        <v>45412</v>
      </c>
      <c r="G551">
        <v>14260672</v>
      </c>
      <c r="H551">
        <v>0</v>
      </c>
      <c r="I551">
        <v>907477</v>
      </c>
      <c r="J551">
        <v>1308200</v>
      </c>
      <c r="K551">
        <v>0</v>
      </c>
      <c r="L551">
        <v>353430</v>
      </c>
      <c r="M551">
        <v>0</v>
      </c>
      <c r="T551" s="9">
        <v>45108</v>
      </c>
      <c r="U551" s="9">
        <v>45473</v>
      </c>
      <c r="V551">
        <f>SUM(POTABLE_NONPOTABLE_API[[#This Row],[RESIDENTIAL_SINGLEFAMILY_GAL]:[OTHER_GAL]])</f>
        <v>16829779</v>
      </c>
      <c r="W551">
        <f>SUM(POTABLE_NONPOTABLE_API[[#This Row],[NONPOTABLE_DEMAND_RESIDENTIAL_RECYCLED_WATER_GAL]:[NONPOTABLE_DEMAND_NONRESIDENTIAL_METERED_IRRIGATION_GAL]])</f>
        <v>0</v>
      </c>
      <c r="X551" t="str">
        <f>IFERROR(INDEX(Crosswalk_API!$H$2:$H$527, MATCH(POTABLE_NONPOTABLE_API[[#This Row],[PWSID]], CW_PWSID_LIST, 0)), "")</f>
        <v>No</v>
      </c>
    </row>
    <row r="552" spans="1:24" x14ac:dyDescent="0.25">
      <c r="A552" t="s">
        <v>863</v>
      </c>
      <c r="B552" t="s">
        <v>864</v>
      </c>
      <c r="C552" t="s">
        <v>874</v>
      </c>
      <c r="D552" t="s">
        <v>875</v>
      </c>
      <c r="E552" s="9">
        <v>45413</v>
      </c>
      <c r="F552" s="9">
        <v>45443</v>
      </c>
      <c r="G552">
        <v>23996237</v>
      </c>
      <c r="H552">
        <v>0</v>
      </c>
      <c r="I552">
        <v>1269343</v>
      </c>
      <c r="J552">
        <v>5164142</v>
      </c>
      <c r="K552">
        <v>0</v>
      </c>
      <c r="L552">
        <v>164186</v>
      </c>
      <c r="M552">
        <v>0</v>
      </c>
      <c r="T552" s="9">
        <v>45108</v>
      </c>
      <c r="U552" s="9">
        <v>45473</v>
      </c>
      <c r="V552">
        <f>SUM(POTABLE_NONPOTABLE_API[[#This Row],[RESIDENTIAL_SINGLEFAMILY_GAL]:[OTHER_GAL]])</f>
        <v>30593908</v>
      </c>
      <c r="W552">
        <f>SUM(POTABLE_NONPOTABLE_API[[#This Row],[NONPOTABLE_DEMAND_RESIDENTIAL_RECYCLED_WATER_GAL]:[NONPOTABLE_DEMAND_NONRESIDENTIAL_METERED_IRRIGATION_GAL]])</f>
        <v>0</v>
      </c>
      <c r="X552" t="str">
        <f>IFERROR(INDEX(Crosswalk_API!$H$2:$H$527, MATCH(POTABLE_NONPOTABLE_API[[#This Row],[PWSID]], CW_PWSID_LIST, 0)), "")</f>
        <v>No</v>
      </c>
    </row>
    <row r="553" spans="1:24" x14ac:dyDescent="0.25">
      <c r="A553" t="s">
        <v>863</v>
      </c>
      <c r="B553" t="s">
        <v>864</v>
      </c>
      <c r="C553" t="s">
        <v>874</v>
      </c>
      <c r="D553" t="s">
        <v>875</v>
      </c>
      <c r="E553" s="9">
        <v>45444</v>
      </c>
      <c r="F553" s="9">
        <v>45473</v>
      </c>
      <c r="G553">
        <v>32590529</v>
      </c>
      <c r="H553">
        <v>0</v>
      </c>
      <c r="I553">
        <v>1449012</v>
      </c>
      <c r="J553">
        <v>7957340</v>
      </c>
      <c r="K553">
        <v>0</v>
      </c>
      <c r="L553">
        <v>151994</v>
      </c>
      <c r="M553">
        <v>0</v>
      </c>
      <c r="T553" s="9">
        <v>45108</v>
      </c>
      <c r="U553" s="9">
        <v>45473</v>
      </c>
      <c r="V553">
        <f>SUM(POTABLE_NONPOTABLE_API[[#This Row],[RESIDENTIAL_SINGLEFAMILY_GAL]:[OTHER_GAL]])</f>
        <v>42148875</v>
      </c>
      <c r="W553">
        <f>SUM(POTABLE_NONPOTABLE_API[[#This Row],[NONPOTABLE_DEMAND_RESIDENTIAL_RECYCLED_WATER_GAL]:[NONPOTABLE_DEMAND_NONRESIDENTIAL_METERED_IRRIGATION_GAL]])</f>
        <v>0</v>
      </c>
      <c r="X553" t="str">
        <f>IFERROR(INDEX(Crosswalk_API!$H$2:$H$527, MATCH(POTABLE_NONPOTABLE_API[[#This Row],[PWSID]], CW_PWSID_LIST, 0)), "")</f>
        <v>No</v>
      </c>
    </row>
    <row r="554" spans="1:24" x14ac:dyDescent="0.25">
      <c r="A554" t="s">
        <v>863</v>
      </c>
      <c r="B554" t="s">
        <v>864</v>
      </c>
      <c r="C554" t="s">
        <v>876</v>
      </c>
      <c r="D554" t="s">
        <v>877</v>
      </c>
      <c r="E554" s="9">
        <v>45108</v>
      </c>
      <c r="F554" s="9">
        <v>45138</v>
      </c>
      <c r="G554">
        <v>2170614</v>
      </c>
      <c r="H554">
        <v>0</v>
      </c>
      <c r="I554">
        <v>0</v>
      </c>
      <c r="J554">
        <v>0</v>
      </c>
      <c r="K554">
        <v>0</v>
      </c>
      <c r="L554">
        <v>0</v>
      </c>
      <c r="M554">
        <v>0</v>
      </c>
      <c r="T554" s="9">
        <v>45108</v>
      </c>
      <c r="U554" s="9">
        <v>45473</v>
      </c>
      <c r="V554">
        <f>SUM(POTABLE_NONPOTABLE_API[[#This Row],[RESIDENTIAL_SINGLEFAMILY_GAL]:[OTHER_GAL]])</f>
        <v>2170614</v>
      </c>
      <c r="W554">
        <f>SUM(POTABLE_NONPOTABLE_API[[#This Row],[NONPOTABLE_DEMAND_RESIDENTIAL_RECYCLED_WATER_GAL]:[NONPOTABLE_DEMAND_NONRESIDENTIAL_METERED_IRRIGATION_GAL]])</f>
        <v>0</v>
      </c>
      <c r="X554" t="str">
        <f>IFERROR(INDEX(Crosswalk_API!$H$2:$H$527, MATCH(POTABLE_NONPOTABLE_API[[#This Row],[PWSID]], CW_PWSID_LIST, 0)), "")</f>
        <v>No</v>
      </c>
    </row>
    <row r="555" spans="1:24" x14ac:dyDescent="0.25">
      <c r="A555" t="s">
        <v>863</v>
      </c>
      <c r="B555" t="s">
        <v>864</v>
      </c>
      <c r="C555" t="s">
        <v>876</v>
      </c>
      <c r="D555" t="s">
        <v>877</v>
      </c>
      <c r="E555" s="9">
        <v>45139</v>
      </c>
      <c r="F555" s="9">
        <v>45169</v>
      </c>
      <c r="G555">
        <v>2022106</v>
      </c>
      <c r="H555">
        <v>0</v>
      </c>
      <c r="I555">
        <v>0</v>
      </c>
      <c r="J555">
        <v>0</v>
      </c>
      <c r="K555">
        <v>0</v>
      </c>
      <c r="L555">
        <v>0</v>
      </c>
      <c r="M555">
        <v>0</v>
      </c>
      <c r="T555" s="9">
        <v>45108</v>
      </c>
      <c r="U555" s="9">
        <v>45473</v>
      </c>
      <c r="V555">
        <f>SUM(POTABLE_NONPOTABLE_API[[#This Row],[RESIDENTIAL_SINGLEFAMILY_GAL]:[OTHER_GAL]])</f>
        <v>2022106</v>
      </c>
      <c r="W555">
        <f>SUM(POTABLE_NONPOTABLE_API[[#This Row],[NONPOTABLE_DEMAND_RESIDENTIAL_RECYCLED_WATER_GAL]:[NONPOTABLE_DEMAND_NONRESIDENTIAL_METERED_IRRIGATION_GAL]])</f>
        <v>0</v>
      </c>
      <c r="X555" t="str">
        <f>IFERROR(INDEX(Crosswalk_API!$H$2:$H$527, MATCH(POTABLE_NONPOTABLE_API[[#This Row],[PWSID]], CW_PWSID_LIST, 0)), "")</f>
        <v>No</v>
      </c>
    </row>
    <row r="556" spans="1:24" x14ac:dyDescent="0.25">
      <c r="A556" t="s">
        <v>863</v>
      </c>
      <c r="B556" t="s">
        <v>864</v>
      </c>
      <c r="C556" t="s">
        <v>876</v>
      </c>
      <c r="D556" t="s">
        <v>877</v>
      </c>
      <c r="E556" s="9">
        <v>45170</v>
      </c>
      <c r="F556" s="9">
        <v>45199</v>
      </c>
      <c r="G556">
        <v>1760463</v>
      </c>
      <c r="H556">
        <v>0</v>
      </c>
      <c r="I556">
        <v>0</v>
      </c>
      <c r="J556">
        <v>0</v>
      </c>
      <c r="K556">
        <v>0</v>
      </c>
      <c r="L556">
        <v>0</v>
      </c>
      <c r="M556">
        <v>0</v>
      </c>
      <c r="T556" s="9">
        <v>45108</v>
      </c>
      <c r="U556" s="9">
        <v>45473</v>
      </c>
      <c r="V556">
        <f>SUM(POTABLE_NONPOTABLE_API[[#This Row],[RESIDENTIAL_SINGLEFAMILY_GAL]:[OTHER_GAL]])</f>
        <v>1760463</v>
      </c>
      <c r="W556">
        <f>SUM(POTABLE_NONPOTABLE_API[[#This Row],[NONPOTABLE_DEMAND_RESIDENTIAL_RECYCLED_WATER_GAL]:[NONPOTABLE_DEMAND_NONRESIDENTIAL_METERED_IRRIGATION_GAL]])</f>
        <v>0</v>
      </c>
      <c r="X556" t="str">
        <f>IFERROR(INDEX(Crosswalk_API!$H$2:$H$527, MATCH(POTABLE_NONPOTABLE_API[[#This Row],[PWSID]], CW_PWSID_LIST, 0)), "")</f>
        <v>No</v>
      </c>
    </row>
    <row r="557" spans="1:24" x14ac:dyDescent="0.25">
      <c r="A557" t="s">
        <v>863</v>
      </c>
      <c r="B557" t="s">
        <v>864</v>
      </c>
      <c r="C557" t="s">
        <v>876</v>
      </c>
      <c r="D557" t="s">
        <v>877</v>
      </c>
      <c r="E557" s="9">
        <v>45200</v>
      </c>
      <c r="F557" s="9">
        <v>45230</v>
      </c>
      <c r="G557">
        <v>1304662</v>
      </c>
      <c r="H557">
        <v>0</v>
      </c>
      <c r="I557">
        <v>0</v>
      </c>
      <c r="J557">
        <v>0</v>
      </c>
      <c r="K557">
        <v>0</v>
      </c>
      <c r="L557">
        <v>0</v>
      </c>
      <c r="M557">
        <v>0</v>
      </c>
      <c r="T557" s="9">
        <v>45108</v>
      </c>
      <c r="U557" s="9">
        <v>45473</v>
      </c>
      <c r="V557">
        <f>SUM(POTABLE_NONPOTABLE_API[[#This Row],[RESIDENTIAL_SINGLEFAMILY_GAL]:[OTHER_GAL]])</f>
        <v>1304662</v>
      </c>
      <c r="W557">
        <f>SUM(POTABLE_NONPOTABLE_API[[#This Row],[NONPOTABLE_DEMAND_RESIDENTIAL_RECYCLED_WATER_GAL]:[NONPOTABLE_DEMAND_NONRESIDENTIAL_METERED_IRRIGATION_GAL]])</f>
        <v>0</v>
      </c>
      <c r="X557" t="str">
        <f>IFERROR(INDEX(Crosswalk_API!$H$2:$H$527, MATCH(POTABLE_NONPOTABLE_API[[#This Row],[PWSID]], CW_PWSID_LIST, 0)), "")</f>
        <v>No</v>
      </c>
    </row>
    <row r="558" spans="1:24" x14ac:dyDescent="0.25">
      <c r="A558" t="s">
        <v>863</v>
      </c>
      <c r="B558" t="s">
        <v>864</v>
      </c>
      <c r="C558" t="s">
        <v>876</v>
      </c>
      <c r="D558" t="s">
        <v>877</v>
      </c>
      <c r="E558" s="9">
        <v>45231</v>
      </c>
      <c r="F558" s="9">
        <v>45260</v>
      </c>
      <c r="G558">
        <v>948883</v>
      </c>
      <c r="H558">
        <v>0</v>
      </c>
      <c r="I558">
        <v>0</v>
      </c>
      <c r="J558">
        <v>0</v>
      </c>
      <c r="K558">
        <v>0</v>
      </c>
      <c r="L558">
        <v>0</v>
      </c>
      <c r="M558">
        <v>0</v>
      </c>
      <c r="T558" s="9">
        <v>45108</v>
      </c>
      <c r="U558" s="9">
        <v>45473</v>
      </c>
      <c r="V558">
        <f>SUM(POTABLE_NONPOTABLE_API[[#This Row],[RESIDENTIAL_SINGLEFAMILY_GAL]:[OTHER_GAL]])</f>
        <v>948883</v>
      </c>
      <c r="W558">
        <f>SUM(POTABLE_NONPOTABLE_API[[#This Row],[NONPOTABLE_DEMAND_RESIDENTIAL_RECYCLED_WATER_GAL]:[NONPOTABLE_DEMAND_NONRESIDENTIAL_METERED_IRRIGATION_GAL]])</f>
        <v>0</v>
      </c>
      <c r="X558" t="str">
        <f>IFERROR(INDEX(Crosswalk_API!$H$2:$H$527, MATCH(POTABLE_NONPOTABLE_API[[#This Row],[PWSID]], CW_PWSID_LIST, 0)), "")</f>
        <v>No</v>
      </c>
    </row>
    <row r="559" spans="1:24" x14ac:dyDescent="0.25">
      <c r="A559" t="s">
        <v>863</v>
      </c>
      <c r="B559" t="s">
        <v>864</v>
      </c>
      <c r="C559" t="s">
        <v>876</v>
      </c>
      <c r="D559" t="s">
        <v>877</v>
      </c>
      <c r="E559" s="9">
        <v>45261</v>
      </c>
      <c r="F559" s="9">
        <v>45291</v>
      </c>
      <c r="G559">
        <v>734753</v>
      </c>
      <c r="H559">
        <v>0</v>
      </c>
      <c r="I559">
        <v>0</v>
      </c>
      <c r="J559">
        <v>0</v>
      </c>
      <c r="K559">
        <v>0</v>
      </c>
      <c r="L559">
        <v>0</v>
      </c>
      <c r="M559">
        <v>0</v>
      </c>
      <c r="T559" s="9">
        <v>45108</v>
      </c>
      <c r="U559" s="9">
        <v>45473</v>
      </c>
      <c r="V559">
        <f>SUM(POTABLE_NONPOTABLE_API[[#This Row],[RESIDENTIAL_SINGLEFAMILY_GAL]:[OTHER_GAL]])</f>
        <v>734753</v>
      </c>
      <c r="W559">
        <f>SUM(POTABLE_NONPOTABLE_API[[#This Row],[NONPOTABLE_DEMAND_RESIDENTIAL_RECYCLED_WATER_GAL]:[NONPOTABLE_DEMAND_NONRESIDENTIAL_METERED_IRRIGATION_GAL]])</f>
        <v>0</v>
      </c>
      <c r="X559" t="str">
        <f>IFERROR(INDEX(Crosswalk_API!$H$2:$H$527, MATCH(POTABLE_NONPOTABLE_API[[#This Row],[PWSID]], CW_PWSID_LIST, 0)), "")</f>
        <v>No</v>
      </c>
    </row>
    <row r="560" spans="1:24" x14ac:dyDescent="0.25">
      <c r="A560" t="s">
        <v>863</v>
      </c>
      <c r="B560" t="s">
        <v>864</v>
      </c>
      <c r="C560" t="s">
        <v>876</v>
      </c>
      <c r="D560" t="s">
        <v>877</v>
      </c>
      <c r="E560" s="9">
        <v>45292</v>
      </c>
      <c r="F560" s="9">
        <v>45322</v>
      </c>
      <c r="G560">
        <v>547342</v>
      </c>
      <c r="H560">
        <v>0</v>
      </c>
      <c r="I560">
        <v>48326</v>
      </c>
      <c r="J560">
        <v>0</v>
      </c>
      <c r="K560">
        <v>0</v>
      </c>
      <c r="L560">
        <v>0</v>
      </c>
      <c r="M560">
        <v>0</v>
      </c>
      <c r="T560" s="9">
        <v>45108</v>
      </c>
      <c r="U560" s="9">
        <v>45473</v>
      </c>
      <c r="V560">
        <f>SUM(POTABLE_NONPOTABLE_API[[#This Row],[RESIDENTIAL_SINGLEFAMILY_GAL]:[OTHER_GAL]])</f>
        <v>595668</v>
      </c>
      <c r="W560">
        <f>SUM(POTABLE_NONPOTABLE_API[[#This Row],[NONPOTABLE_DEMAND_RESIDENTIAL_RECYCLED_WATER_GAL]:[NONPOTABLE_DEMAND_NONRESIDENTIAL_METERED_IRRIGATION_GAL]])</f>
        <v>0</v>
      </c>
      <c r="X560" t="str">
        <f>IFERROR(INDEX(Crosswalk_API!$H$2:$H$527, MATCH(POTABLE_NONPOTABLE_API[[#This Row],[PWSID]], CW_PWSID_LIST, 0)), "")</f>
        <v>No</v>
      </c>
    </row>
    <row r="561" spans="1:24" x14ac:dyDescent="0.25">
      <c r="A561" t="s">
        <v>863</v>
      </c>
      <c r="B561" t="s">
        <v>864</v>
      </c>
      <c r="C561" t="s">
        <v>876</v>
      </c>
      <c r="D561" t="s">
        <v>877</v>
      </c>
      <c r="E561" s="9">
        <v>45323</v>
      </c>
      <c r="F561" s="9">
        <v>45351</v>
      </c>
      <c r="G561">
        <v>540527</v>
      </c>
      <c r="H561">
        <v>0</v>
      </c>
      <c r="I561">
        <v>0</v>
      </c>
      <c r="J561">
        <v>0</v>
      </c>
      <c r="K561">
        <v>0</v>
      </c>
      <c r="L561">
        <v>0</v>
      </c>
      <c r="M561">
        <v>0</v>
      </c>
      <c r="T561" s="9">
        <v>45108</v>
      </c>
      <c r="U561" s="9">
        <v>45473</v>
      </c>
      <c r="V561">
        <f>SUM(POTABLE_NONPOTABLE_API[[#This Row],[RESIDENTIAL_SINGLEFAMILY_GAL]:[OTHER_GAL]])</f>
        <v>540527</v>
      </c>
      <c r="W561">
        <f>SUM(POTABLE_NONPOTABLE_API[[#This Row],[NONPOTABLE_DEMAND_RESIDENTIAL_RECYCLED_WATER_GAL]:[NONPOTABLE_DEMAND_NONRESIDENTIAL_METERED_IRRIGATION_GAL]])</f>
        <v>0</v>
      </c>
      <c r="X561" t="str">
        <f>IFERROR(INDEX(Crosswalk_API!$H$2:$H$527, MATCH(POTABLE_NONPOTABLE_API[[#This Row],[PWSID]], CW_PWSID_LIST, 0)), "")</f>
        <v>No</v>
      </c>
    </row>
    <row r="562" spans="1:24" x14ac:dyDescent="0.25">
      <c r="A562" t="s">
        <v>863</v>
      </c>
      <c r="B562" t="s">
        <v>864</v>
      </c>
      <c r="C562" t="s">
        <v>876</v>
      </c>
      <c r="D562" t="s">
        <v>877</v>
      </c>
      <c r="E562" s="9">
        <v>45352</v>
      </c>
      <c r="F562" s="9">
        <v>45382</v>
      </c>
      <c r="G562">
        <v>702942</v>
      </c>
      <c r="H562">
        <v>0</v>
      </c>
      <c r="I562">
        <v>39766</v>
      </c>
      <c r="J562">
        <v>0</v>
      </c>
      <c r="K562">
        <v>0</v>
      </c>
      <c r="L562">
        <v>0</v>
      </c>
      <c r="M562">
        <v>0</v>
      </c>
      <c r="T562" s="9">
        <v>45108</v>
      </c>
      <c r="U562" s="9">
        <v>45473</v>
      </c>
      <c r="V562">
        <f>SUM(POTABLE_NONPOTABLE_API[[#This Row],[RESIDENTIAL_SINGLEFAMILY_GAL]:[OTHER_GAL]])</f>
        <v>742708</v>
      </c>
      <c r="W562">
        <f>SUM(POTABLE_NONPOTABLE_API[[#This Row],[NONPOTABLE_DEMAND_RESIDENTIAL_RECYCLED_WATER_GAL]:[NONPOTABLE_DEMAND_NONRESIDENTIAL_METERED_IRRIGATION_GAL]])</f>
        <v>0</v>
      </c>
      <c r="X562" t="str">
        <f>IFERROR(INDEX(Crosswalk_API!$H$2:$H$527, MATCH(POTABLE_NONPOTABLE_API[[#This Row],[PWSID]], CW_PWSID_LIST, 0)), "")</f>
        <v>No</v>
      </c>
    </row>
    <row r="563" spans="1:24" x14ac:dyDescent="0.25">
      <c r="A563" t="s">
        <v>863</v>
      </c>
      <c r="B563" t="s">
        <v>864</v>
      </c>
      <c r="C563" t="s">
        <v>876</v>
      </c>
      <c r="D563" t="s">
        <v>877</v>
      </c>
      <c r="E563" s="9">
        <v>45383</v>
      </c>
      <c r="F563" s="9">
        <v>45412</v>
      </c>
      <c r="G563">
        <v>586674</v>
      </c>
      <c r="H563">
        <v>0</v>
      </c>
      <c r="I563">
        <v>39310</v>
      </c>
      <c r="J563">
        <v>0</v>
      </c>
      <c r="K563">
        <v>0</v>
      </c>
      <c r="L563">
        <v>0</v>
      </c>
      <c r="M563">
        <v>0</v>
      </c>
      <c r="T563" s="9">
        <v>45108</v>
      </c>
      <c r="U563" s="9">
        <v>45473</v>
      </c>
      <c r="V563">
        <f>SUM(POTABLE_NONPOTABLE_API[[#This Row],[RESIDENTIAL_SINGLEFAMILY_GAL]:[OTHER_GAL]])</f>
        <v>625984</v>
      </c>
      <c r="W563">
        <f>SUM(POTABLE_NONPOTABLE_API[[#This Row],[NONPOTABLE_DEMAND_RESIDENTIAL_RECYCLED_WATER_GAL]:[NONPOTABLE_DEMAND_NONRESIDENTIAL_METERED_IRRIGATION_GAL]])</f>
        <v>0</v>
      </c>
      <c r="X563" t="str">
        <f>IFERROR(INDEX(Crosswalk_API!$H$2:$H$527, MATCH(POTABLE_NONPOTABLE_API[[#This Row],[PWSID]], CW_PWSID_LIST, 0)), "")</f>
        <v>No</v>
      </c>
    </row>
    <row r="564" spans="1:24" x14ac:dyDescent="0.25">
      <c r="A564" t="s">
        <v>863</v>
      </c>
      <c r="B564" t="s">
        <v>864</v>
      </c>
      <c r="C564" t="s">
        <v>876</v>
      </c>
      <c r="D564" t="s">
        <v>877</v>
      </c>
      <c r="E564" s="9">
        <v>45413</v>
      </c>
      <c r="F564" s="9">
        <v>45443</v>
      </c>
      <c r="G564">
        <v>1282970</v>
      </c>
      <c r="H564">
        <v>0</v>
      </c>
      <c r="I564">
        <v>47606</v>
      </c>
      <c r="J564">
        <v>0</v>
      </c>
      <c r="K564">
        <v>0</v>
      </c>
      <c r="L564">
        <v>0</v>
      </c>
      <c r="M564">
        <v>0</v>
      </c>
      <c r="T564" s="9">
        <v>45108</v>
      </c>
      <c r="U564" s="9">
        <v>45473</v>
      </c>
      <c r="V564">
        <f>SUM(POTABLE_NONPOTABLE_API[[#This Row],[RESIDENTIAL_SINGLEFAMILY_GAL]:[OTHER_GAL]])</f>
        <v>1330576</v>
      </c>
      <c r="W564">
        <f>SUM(POTABLE_NONPOTABLE_API[[#This Row],[NONPOTABLE_DEMAND_RESIDENTIAL_RECYCLED_WATER_GAL]:[NONPOTABLE_DEMAND_NONRESIDENTIAL_METERED_IRRIGATION_GAL]])</f>
        <v>0</v>
      </c>
      <c r="X564" t="str">
        <f>IFERROR(INDEX(Crosswalk_API!$H$2:$H$527, MATCH(POTABLE_NONPOTABLE_API[[#This Row],[PWSID]], CW_PWSID_LIST, 0)), "")</f>
        <v>No</v>
      </c>
    </row>
    <row r="565" spans="1:24" x14ac:dyDescent="0.25">
      <c r="A565" t="s">
        <v>863</v>
      </c>
      <c r="B565" t="s">
        <v>864</v>
      </c>
      <c r="C565" t="s">
        <v>876</v>
      </c>
      <c r="D565" t="s">
        <v>877</v>
      </c>
      <c r="E565" s="9">
        <v>45444</v>
      </c>
      <c r="F565" s="9">
        <v>45473</v>
      </c>
      <c r="G565">
        <v>1282970</v>
      </c>
      <c r="H565">
        <v>0</v>
      </c>
      <c r="I565">
        <v>0</v>
      </c>
      <c r="J565">
        <v>74211</v>
      </c>
      <c r="K565">
        <v>0</v>
      </c>
      <c r="L565">
        <v>0</v>
      </c>
      <c r="M565">
        <v>0</v>
      </c>
      <c r="T565" s="9">
        <v>45108</v>
      </c>
      <c r="U565" s="9">
        <v>45473</v>
      </c>
      <c r="V565">
        <f>SUM(POTABLE_NONPOTABLE_API[[#This Row],[RESIDENTIAL_SINGLEFAMILY_GAL]:[OTHER_GAL]])</f>
        <v>1357181</v>
      </c>
      <c r="W565">
        <f>SUM(POTABLE_NONPOTABLE_API[[#This Row],[NONPOTABLE_DEMAND_RESIDENTIAL_RECYCLED_WATER_GAL]:[NONPOTABLE_DEMAND_NONRESIDENTIAL_METERED_IRRIGATION_GAL]])</f>
        <v>0</v>
      </c>
      <c r="X565" t="str">
        <f>IFERROR(INDEX(Crosswalk_API!$H$2:$H$527, MATCH(POTABLE_NONPOTABLE_API[[#This Row],[PWSID]], CW_PWSID_LIST, 0)), "")</f>
        <v>No</v>
      </c>
    </row>
    <row r="566" spans="1:24" x14ac:dyDescent="0.25">
      <c r="A566" t="s">
        <v>878</v>
      </c>
      <c r="B566" t="s">
        <v>879</v>
      </c>
      <c r="C566" t="s">
        <v>880</v>
      </c>
      <c r="D566" t="s">
        <v>881</v>
      </c>
      <c r="E566" s="9">
        <v>45108</v>
      </c>
      <c r="F566" s="9">
        <v>45138</v>
      </c>
      <c r="G566">
        <v>107100000</v>
      </c>
      <c r="H566">
        <v>15600000</v>
      </c>
      <c r="I566">
        <v>18400000</v>
      </c>
      <c r="J566">
        <v>33400000</v>
      </c>
      <c r="K566">
        <v>490000</v>
      </c>
      <c r="L566">
        <v>700000</v>
      </c>
      <c r="M566">
        <v>0</v>
      </c>
      <c r="T566" s="9">
        <v>45108</v>
      </c>
      <c r="U566" s="9">
        <v>45473</v>
      </c>
      <c r="V566">
        <f>SUM(POTABLE_NONPOTABLE_API[[#This Row],[RESIDENTIAL_SINGLEFAMILY_GAL]:[OTHER_GAL]])</f>
        <v>175690000</v>
      </c>
      <c r="W566">
        <f>SUM(POTABLE_NONPOTABLE_API[[#This Row],[NONPOTABLE_DEMAND_RESIDENTIAL_RECYCLED_WATER_GAL]:[NONPOTABLE_DEMAND_NONRESIDENTIAL_METERED_IRRIGATION_GAL]])</f>
        <v>0</v>
      </c>
      <c r="X566" t="str">
        <f>IFERROR(INDEX(Crosswalk_API!$H$2:$H$527, MATCH(POTABLE_NONPOTABLE_API[[#This Row],[PWSID]], CW_PWSID_LIST, 0)), "")</f>
        <v>No</v>
      </c>
    </row>
    <row r="567" spans="1:24" x14ac:dyDescent="0.25">
      <c r="A567" t="s">
        <v>878</v>
      </c>
      <c r="B567" t="s">
        <v>879</v>
      </c>
      <c r="C567" t="s">
        <v>880</v>
      </c>
      <c r="D567" t="s">
        <v>881</v>
      </c>
      <c r="E567" s="9">
        <v>45139</v>
      </c>
      <c r="F567" s="9">
        <v>45169</v>
      </c>
      <c r="G567">
        <v>116600000</v>
      </c>
      <c r="H567">
        <v>16800000</v>
      </c>
      <c r="I567">
        <v>19200000</v>
      </c>
      <c r="J567">
        <v>12500000</v>
      </c>
      <c r="K567">
        <v>640000</v>
      </c>
      <c r="L567">
        <v>1200000</v>
      </c>
      <c r="M567">
        <v>0</v>
      </c>
      <c r="T567" s="9">
        <v>45108</v>
      </c>
      <c r="U567" s="9">
        <v>45473</v>
      </c>
      <c r="V567">
        <f>SUM(POTABLE_NONPOTABLE_API[[#This Row],[RESIDENTIAL_SINGLEFAMILY_GAL]:[OTHER_GAL]])</f>
        <v>166940000</v>
      </c>
      <c r="W567">
        <f>SUM(POTABLE_NONPOTABLE_API[[#This Row],[NONPOTABLE_DEMAND_RESIDENTIAL_RECYCLED_WATER_GAL]:[NONPOTABLE_DEMAND_NONRESIDENTIAL_METERED_IRRIGATION_GAL]])</f>
        <v>0</v>
      </c>
      <c r="X567" t="str">
        <f>IFERROR(INDEX(Crosswalk_API!$H$2:$H$527, MATCH(POTABLE_NONPOTABLE_API[[#This Row],[PWSID]], CW_PWSID_LIST, 0)), "")</f>
        <v>No</v>
      </c>
    </row>
    <row r="568" spans="1:24" x14ac:dyDescent="0.25">
      <c r="A568" t="s">
        <v>878</v>
      </c>
      <c r="B568" t="s">
        <v>879</v>
      </c>
      <c r="C568" t="s">
        <v>880</v>
      </c>
      <c r="D568" t="s">
        <v>881</v>
      </c>
      <c r="E568" s="9">
        <v>45170</v>
      </c>
      <c r="F568" s="9">
        <v>45199</v>
      </c>
      <c r="G568">
        <v>103400000</v>
      </c>
      <c r="H568">
        <v>16800000</v>
      </c>
      <c r="I568">
        <v>20200000</v>
      </c>
      <c r="J568">
        <v>7700000</v>
      </c>
      <c r="K568">
        <v>660000</v>
      </c>
      <c r="L568">
        <v>600000</v>
      </c>
      <c r="M568">
        <v>0</v>
      </c>
      <c r="T568" s="9">
        <v>45108</v>
      </c>
      <c r="U568" s="9">
        <v>45473</v>
      </c>
      <c r="V568">
        <f>SUM(POTABLE_NONPOTABLE_API[[#This Row],[RESIDENTIAL_SINGLEFAMILY_GAL]:[OTHER_GAL]])</f>
        <v>149360000</v>
      </c>
      <c r="W568">
        <f>SUM(POTABLE_NONPOTABLE_API[[#This Row],[NONPOTABLE_DEMAND_RESIDENTIAL_RECYCLED_WATER_GAL]:[NONPOTABLE_DEMAND_NONRESIDENTIAL_METERED_IRRIGATION_GAL]])</f>
        <v>0</v>
      </c>
      <c r="X568" t="str">
        <f>IFERROR(INDEX(Crosswalk_API!$H$2:$H$527, MATCH(POTABLE_NONPOTABLE_API[[#This Row],[PWSID]], CW_PWSID_LIST, 0)), "")</f>
        <v>No</v>
      </c>
    </row>
    <row r="569" spans="1:24" x14ac:dyDescent="0.25">
      <c r="A569" t="s">
        <v>878</v>
      </c>
      <c r="B569" t="s">
        <v>879</v>
      </c>
      <c r="C569" t="s">
        <v>880</v>
      </c>
      <c r="D569" t="s">
        <v>881</v>
      </c>
      <c r="E569" s="9">
        <v>45200</v>
      </c>
      <c r="F569" s="9">
        <v>45230</v>
      </c>
      <c r="G569">
        <v>94000000</v>
      </c>
      <c r="H569">
        <v>17000000</v>
      </c>
      <c r="I569">
        <v>18100000</v>
      </c>
      <c r="J569">
        <v>10400000</v>
      </c>
      <c r="K569">
        <v>500000</v>
      </c>
      <c r="L569">
        <v>900000</v>
      </c>
      <c r="M569">
        <v>0</v>
      </c>
      <c r="T569" s="9">
        <v>45108</v>
      </c>
      <c r="U569" s="9">
        <v>45473</v>
      </c>
      <c r="V569">
        <f>SUM(POTABLE_NONPOTABLE_API[[#This Row],[RESIDENTIAL_SINGLEFAMILY_GAL]:[OTHER_GAL]])</f>
        <v>140900000</v>
      </c>
      <c r="W569">
        <f>SUM(POTABLE_NONPOTABLE_API[[#This Row],[NONPOTABLE_DEMAND_RESIDENTIAL_RECYCLED_WATER_GAL]:[NONPOTABLE_DEMAND_NONRESIDENTIAL_METERED_IRRIGATION_GAL]])</f>
        <v>0</v>
      </c>
      <c r="X569" t="str">
        <f>IFERROR(INDEX(Crosswalk_API!$H$2:$H$527, MATCH(POTABLE_NONPOTABLE_API[[#This Row],[PWSID]], CW_PWSID_LIST, 0)), "")</f>
        <v>No</v>
      </c>
    </row>
    <row r="570" spans="1:24" x14ac:dyDescent="0.25">
      <c r="A570" t="s">
        <v>878</v>
      </c>
      <c r="B570" t="s">
        <v>879</v>
      </c>
      <c r="C570" t="s">
        <v>880</v>
      </c>
      <c r="D570" t="s">
        <v>881</v>
      </c>
      <c r="E570" s="9">
        <v>45231</v>
      </c>
      <c r="F570" s="9">
        <v>45260</v>
      </c>
      <c r="G570">
        <v>124000000</v>
      </c>
      <c r="H570">
        <v>10100000</v>
      </c>
      <c r="I570">
        <v>21700000</v>
      </c>
      <c r="J570">
        <v>6200000</v>
      </c>
      <c r="K570">
        <v>530000</v>
      </c>
      <c r="L570">
        <v>900000</v>
      </c>
      <c r="M570">
        <v>0</v>
      </c>
      <c r="T570" s="9">
        <v>45108</v>
      </c>
      <c r="U570" s="9">
        <v>45473</v>
      </c>
      <c r="V570">
        <f>SUM(POTABLE_NONPOTABLE_API[[#This Row],[RESIDENTIAL_SINGLEFAMILY_GAL]:[OTHER_GAL]])</f>
        <v>163430000</v>
      </c>
      <c r="W570">
        <f>SUM(POTABLE_NONPOTABLE_API[[#This Row],[NONPOTABLE_DEMAND_RESIDENTIAL_RECYCLED_WATER_GAL]:[NONPOTABLE_DEMAND_NONRESIDENTIAL_METERED_IRRIGATION_GAL]])</f>
        <v>0</v>
      </c>
      <c r="X570" t="str">
        <f>IFERROR(INDEX(Crosswalk_API!$H$2:$H$527, MATCH(POTABLE_NONPOTABLE_API[[#This Row],[PWSID]], CW_PWSID_LIST, 0)), "")</f>
        <v>No</v>
      </c>
    </row>
    <row r="571" spans="1:24" x14ac:dyDescent="0.25">
      <c r="A571" t="s">
        <v>878</v>
      </c>
      <c r="B571" t="s">
        <v>879</v>
      </c>
      <c r="C571" t="s">
        <v>880</v>
      </c>
      <c r="D571" t="s">
        <v>881</v>
      </c>
      <c r="E571" s="9">
        <v>45261</v>
      </c>
      <c r="F571" s="9">
        <v>45291</v>
      </c>
      <c r="G571">
        <v>78600000</v>
      </c>
      <c r="H571">
        <v>15700000</v>
      </c>
      <c r="I571">
        <v>14800000</v>
      </c>
      <c r="J571">
        <v>3800000</v>
      </c>
      <c r="K571">
        <v>430000</v>
      </c>
      <c r="L571">
        <v>900000</v>
      </c>
      <c r="M571">
        <v>0</v>
      </c>
      <c r="T571" s="9">
        <v>45108</v>
      </c>
      <c r="U571" s="9">
        <v>45473</v>
      </c>
      <c r="V571">
        <f>SUM(POTABLE_NONPOTABLE_API[[#This Row],[RESIDENTIAL_SINGLEFAMILY_GAL]:[OTHER_GAL]])</f>
        <v>114230000</v>
      </c>
      <c r="W571">
        <f>SUM(POTABLE_NONPOTABLE_API[[#This Row],[NONPOTABLE_DEMAND_RESIDENTIAL_RECYCLED_WATER_GAL]:[NONPOTABLE_DEMAND_NONRESIDENTIAL_METERED_IRRIGATION_GAL]])</f>
        <v>0</v>
      </c>
      <c r="X571" t="str">
        <f>IFERROR(INDEX(Crosswalk_API!$H$2:$H$527, MATCH(POTABLE_NONPOTABLE_API[[#This Row],[PWSID]], CW_PWSID_LIST, 0)), "")</f>
        <v>No</v>
      </c>
    </row>
    <row r="572" spans="1:24" x14ac:dyDescent="0.25">
      <c r="A572" t="s">
        <v>878</v>
      </c>
      <c r="B572" t="s">
        <v>879</v>
      </c>
      <c r="C572" t="s">
        <v>880</v>
      </c>
      <c r="D572" t="s">
        <v>881</v>
      </c>
      <c r="E572" s="9">
        <v>45292</v>
      </c>
      <c r="F572" s="9">
        <v>45322</v>
      </c>
      <c r="G572">
        <v>69100000</v>
      </c>
      <c r="H572">
        <v>15000000</v>
      </c>
      <c r="I572">
        <v>13400000</v>
      </c>
      <c r="J572">
        <v>5300000</v>
      </c>
      <c r="K572">
        <v>330000</v>
      </c>
      <c r="L572">
        <v>500000</v>
      </c>
      <c r="M572">
        <v>0</v>
      </c>
      <c r="T572" s="9">
        <v>45108</v>
      </c>
      <c r="U572" s="9">
        <v>45473</v>
      </c>
      <c r="V572">
        <f>SUM(POTABLE_NONPOTABLE_API[[#This Row],[RESIDENTIAL_SINGLEFAMILY_GAL]:[OTHER_GAL]])</f>
        <v>103630000</v>
      </c>
      <c r="W572">
        <f>SUM(POTABLE_NONPOTABLE_API[[#This Row],[NONPOTABLE_DEMAND_RESIDENTIAL_RECYCLED_WATER_GAL]:[NONPOTABLE_DEMAND_NONRESIDENTIAL_METERED_IRRIGATION_GAL]])</f>
        <v>0</v>
      </c>
      <c r="X572" t="str">
        <f>IFERROR(INDEX(Crosswalk_API!$H$2:$H$527, MATCH(POTABLE_NONPOTABLE_API[[#This Row],[PWSID]], CW_PWSID_LIST, 0)), "")</f>
        <v>No</v>
      </c>
    </row>
    <row r="573" spans="1:24" x14ac:dyDescent="0.25">
      <c r="A573" t="s">
        <v>878</v>
      </c>
      <c r="B573" t="s">
        <v>879</v>
      </c>
      <c r="C573" t="s">
        <v>880</v>
      </c>
      <c r="D573" t="s">
        <v>881</v>
      </c>
      <c r="E573" s="9">
        <v>45323</v>
      </c>
      <c r="F573" s="9">
        <v>45351</v>
      </c>
      <c r="G573">
        <v>59900000</v>
      </c>
      <c r="H573">
        <v>13800000</v>
      </c>
      <c r="I573">
        <v>14700000</v>
      </c>
      <c r="J573">
        <v>4400000</v>
      </c>
      <c r="K573">
        <v>870000</v>
      </c>
      <c r="L573">
        <v>300000</v>
      </c>
      <c r="M573">
        <v>0</v>
      </c>
      <c r="T573" s="9">
        <v>45108</v>
      </c>
      <c r="U573" s="9">
        <v>45473</v>
      </c>
      <c r="V573">
        <f>SUM(POTABLE_NONPOTABLE_API[[#This Row],[RESIDENTIAL_SINGLEFAMILY_GAL]:[OTHER_GAL]])</f>
        <v>93970000</v>
      </c>
      <c r="W573">
        <f>SUM(POTABLE_NONPOTABLE_API[[#This Row],[NONPOTABLE_DEMAND_RESIDENTIAL_RECYCLED_WATER_GAL]:[NONPOTABLE_DEMAND_NONRESIDENTIAL_METERED_IRRIGATION_GAL]])</f>
        <v>0</v>
      </c>
      <c r="X573" t="str">
        <f>IFERROR(INDEX(Crosswalk_API!$H$2:$H$527, MATCH(POTABLE_NONPOTABLE_API[[#This Row],[PWSID]], CW_PWSID_LIST, 0)), "")</f>
        <v>No</v>
      </c>
    </row>
    <row r="574" spans="1:24" x14ac:dyDescent="0.25">
      <c r="A574" t="s">
        <v>878</v>
      </c>
      <c r="B574" t="s">
        <v>879</v>
      </c>
      <c r="C574" t="s">
        <v>880</v>
      </c>
      <c r="D574" t="s">
        <v>881</v>
      </c>
      <c r="E574" s="9">
        <v>45352</v>
      </c>
      <c r="F574" s="9">
        <v>45382</v>
      </c>
      <c r="G574">
        <v>60500000</v>
      </c>
      <c r="H574">
        <v>12300000</v>
      </c>
      <c r="I574">
        <v>14200000</v>
      </c>
      <c r="J574">
        <v>5400000</v>
      </c>
      <c r="K574">
        <v>470000</v>
      </c>
      <c r="L574">
        <v>200000</v>
      </c>
      <c r="M574">
        <v>0</v>
      </c>
      <c r="T574" s="9">
        <v>45108</v>
      </c>
      <c r="U574" s="9">
        <v>45473</v>
      </c>
      <c r="V574">
        <f>SUM(POTABLE_NONPOTABLE_API[[#This Row],[RESIDENTIAL_SINGLEFAMILY_GAL]:[OTHER_GAL]])</f>
        <v>93070000</v>
      </c>
      <c r="W574">
        <f>SUM(POTABLE_NONPOTABLE_API[[#This Row],[NONPOTABLE_DEMAND_RESIDENTIAL_RECYCLED_WATER_GAL]:[NONPOTABLE_DEMAND_NONRESIDENTIAL_METERED_IRRIGATION_GAL]])</f>
        <v>0</v>
      </c>
      <c r="X574" t="str">
        <f>IFERROR(INDEX(Crosswalk_API!$H$2:$H$527, MATCH(POTABLE_NONPOTABLE_API[[#This Row],[PWSID]], CW_PWSID_LIST, 0)), "")</f>
        <v>No</v>
      </c>
    </row>
    <row r="575" spans="1:24" x14ac:dyDescent="0.25">
      <c r="A575" t="s">
        <v>878</v>
      </c>
      <c r="B575" t="s">
        <v>879</v>
      </c>
      <c r="C575" t="s">
        <v>880</v>
      </c>
      <c r="D575" t="s">
        <v>881</v>
      </c>
      <c r="E575" s="9">
        <v>45383</v>
      </c>
      <c r="F575" s="9">
        <v>45412</v>
      </c>
      <c r="G575">
        <v>69900000</v>
      </c>
      <c r="H575">
        <v>13800000</v>
      </c>
      <c r="I575">
        <v>14900000</v>
      </c>
      <c r="J575">
        <v>4700000</v>
      </c>
      <c r="K575">
        <v>380000</v>
      </c>
      <c r="L575">
        <v>400000</v>
      </c>
      <c r="M575">
        <v>0</v>
      </c>
      <c r="T575" s="9">
        <v>45108</v>
      </c>
      <c r="U575" s="9">
        <v>45473</v>
      </c>
      <c r="V575">
        <f>SUM(POTABLE_NONPOTABLE_API[[#This Row],[RESIDENTIAL_SINGLEFAMILY_GAL]:[OTHER_GAL]])</f>
        <v>104080000</v>
      </c>
      <c r="W575">
        <f>SUM(POTABLE_NONPOTABLE_API[[#This Row],[NONPOTABLE_DEMAND_RESIDENTIAL_RECYCLED_WATER_GAL]:[NONPOTABLE_DEMAND_NONRESIDENTIAL_METERED_IRRIGATION_GAL]])</f>
        <v>0</v>
      </c>
      <c r="X575" t="str">
        <f>IFERROR(INDEX(Crosswalk_API!$H$2:$H$527, MATCH(POTABLE_NONPOTABLE_API[[#This Row],[PWSID]], CW_PWSID_LIST, 0)), "")</f>
        <v>No</v>
      </c>
    </row>
    <row r="576" spans="1:24" x14ac:dyDescent="0.25">
      <c r="A576" t="s">
        <v>878</v>
      </c>
      <c r="B576" t="s">
        <v>879</v>
      </c>
      <c r="C576" t="s">
        <v>880</v>
      </c>
      <c r="D576" t="s">
        <v>881</v>
      </c>
      <c r="E576" s="9">
        <v>45413</v>
      </c>
      <c r="F576" s="9">
        <v>45443</v>
      </c>
      <c r="G576">
        <v>76800000</v>
      </c>
      <c r="H576">
        <v>13700000</v>
      </c>
      <c r="I576">
        <v>15700000</v>
      </c>
      <c r="J576">
        <v>8700000</v>
      </c>
      <c r="K576">
        <v>410000</v>
      </c>
      <c r="L576">
        <v>500000</v>
      </c>
      <c r="M576">
        <v>0</v>
      </c>
      <c r="T576" s="9">
        <v>45108</v>
      </c>
      <c r="U576" s="9">
        <v>45473</v>
      </c>
      <c r="V576">
        <f>SUM(POTABLE_NONPOTABLE_API[[#This Row],[RESIDENTIAL_SINGLEFAMILY_GAL]:[OTHER_GAL]])</f>
        <v>115810000</v>
      </c>
      <c r="W576">
        <f>SUM(POTABLE_NONPOTABLE_API[[#This Row],[NONPOTABLE_DEMAND_RESIDENTIAL_RECYCLED_WATER_GAL]:[NONPOTABLE_DEMAND_NONRESIDENTIAL_METERED_IRRIGATION_GAL]])</f>
        <v>0</v>
      </c>
      <c r="X576" t="str">
        <f>IFERROR(INDEX(Crosswalk_API!$H$2:$H$527, MATCH(POTABLE_NONPOTABLE_API[[#This Row],[PWSID]], CW_PWSID_LIST, 0)), "")</f>
        <v>No</v>
      </c>
    </row>
    <row r="577" spans="1:24" x14ac:dyDescent="0.25">
      <c r="A577" t="s">
        <v>878</v>
      </c>
      <c r="B577" t="s">
        <v>879</v>
      </c>
      <c r="C577" t="s">
        <v>880</v>
      </c>
      <c r="D577" t="s">
        <v>881</v>
      </c>
      <c r="E577" s="9">
        <v>45444</v>
      </c>
      <c r="F577" s="9">
        <v>45473</v>
      </c>
      <c r="G577">
        <v>99800000</v>
      </c>
      <c r="H577">
        <v>16700000</v>
      </c>
      <c r="I577">
        <v>18900000</v>
      </c>
      <c r="J577">
        <v>11200000</v>
      </c>
      <c r="K577">
        <v>440000</v>
      </c>
      <c r="L577">
        <v>700000</v>
      </c>
      <c r="M577">
        <v>0</v>
      </c>
      <c r="T577" s="9">
        <v>45108</v>
      </c>
      <c r="U577" s="9">
        <v>45473</v>
      </c>
      <c r="V577">
        <f>SUM(POTABLE_NONPOTABLE_API[[#This Row],[RESIDENTIAL_SINGLEFAMILY_GAL]:[OTHER_GAL]])</f>
        <v>147740000</v>
      </c>
      <c r="W577">
        <f>SUM(POTABLE_NONPOTABLE_API[[#This Row],[NONPOTABLE_DEMAND_RESIDENTIAL_RECYCLED_WATER_GAL]:[NONPOTABLE_DEMAND_NONRESIDENTIAL_METERED_IRRIGATION_GAL]])</f>
        <v>0</v>
      </c>
      <c r="X577" t="str">
        <f>IFERROR(INDEX(Crosswalk_API!$H$2:$H$527, MATCH(POTABLE_NONPOTABLE_API[[#This Row],[PWSID]], CW_PWSID_LIST, 0)), "")</f>
        <v>No</v>
      </c>
    </row>
    <row r="578" spans="1:24" x14ac:dyDescent="0.25">
      <c r="A578" t="s">
        <v>882</v>
      </c>
      <c r="B578" t="s">
        <v>883</v>
      </c>
      <c r="C578" t="s">
        <v>884</v>
      </c>
      <c r="D578" t="s">
        <v>885</v>
      </c>
      <c r="E578" s="9">
        <v>45108</v>
      </c>
      <c r="F578" s="9">
        <v>45138</v>
      </c>
      <c r="G578">
        <v>48768000</v>
      </c>
      <c r="H578">
        <v>6188000</v>
      </c>
      <c r="I578">
        <v>6123000</v>
      </c>
      <c r="J578">
        <v>39000</v>
      </c>
      <c r="K578">
        <v>1203000</v>
      </c>
      <c r="L578">
        <v>2571000</v>
      </c>
      <c r="M578">
        <v>0</v>
      </c>
      <c r="T578" s="9">
        <v>45108</v>
      </c>
      <c r="U578" s="9">
        <v>45473</v>
      </c>
      <c r="V578">
        <f>SUM(POTABLE_NONPOTABLE_API[[#This Row],[RESIDENTIAL_SINGLEFAMILY_GAL]:[OTHER_GAL]])</f>
        <v>64892000</v>
      </c>
      <c r="W578">
        <f>SUM(POTABLE_NONPOTABLE_API[[#This Row],[NONPOTABLE_DEMAND_RESIDENTIAL_RECYCLED_WATER_GAL]:[NONPOTABLE_DEMAND_NONRESIDENTIAL_METERED_IRRIGATION_GAL]])</f>
        <v>0</v>
      </c>
      <c r="X578" t="str">
        <f>IFERROR(INDEX(Crosswalk_API!$H$2:$H$527, MATCH(POTABLE_NONPOTABLE_API[[#This Row],[PWSID]], CW_PWSID_LIST, 0)), "")</f>
        <v>No</v>
      </c>
    </row>
    <row r="579" spans="1:24" x14ac:dyDescent="0.25">
      <c r="A579" t="s">
        <v>882</v>
      </c>
      <c r="B579" t="s">
        <v>883</v>
      </c>
      <c r="C579" t="s">
        <v>884</v>
      </c>
      <c r="D579" t="s">
        <v>885</v>
      </c>
      <c r="E579" s="9">
        <v>45139</v>
      </c>
      <c r="F579" s="9">
        <v>45169</v>
      </c>
      <c r="G579">
        <v>58514000</v>
      </c>
      <c r="H579">
        <v>6207000</v>
      </c>
      <c r="I579">
        <v>6027000</v>
      </c>
      <c r="J579">
        <v>51000</v>
      </c>
      <c r="K579">
        <v>1163000</v>
      </c>
      <c r="L579">
        <v>2818000</v>
      </c>
      <c r="M579">
        <v>0</v>
      </c>
      <c r="T579" s="9">
        <v>45108</v>
      </c>
      <c r="U579" s="9">
        <v>45473</v>
      </c>
      <c r="V579">
        <f>SUM(POTABLE_NONPOTABLE_API[[#This Row],[RESIDENTIAL_SINGLEFAMILY_GAL]:[OTHER_GAL]])</f>
        <v>74780000</v>
      </c>
      <c r="W579">
        <f>SUM(POTABLE_NONPOTABLE_API[[#This Row],[NONPOTABLE_DEMAND_RESIDENTIAL_RECYCLED_WATER_GAL]:[NONPOTABLE_DEMAND_NONRESIDENTIAL_METERED_IRRIGATION_GAL]])</f>
        <v>0</v>
      </c>
      <c r="X579" t="str">
        <f>IFERROR(INDEX(Crosswalk_API!$H$2:$H$527, MATCH(POTABLE_NONPOTABLE_API[[#This Row],[PWSID]], CW_PWSID_LIST, 0)), "")</f>
        <v>No</v>
      </c>
    </row>
    <row r="580" spans="1:24" x14ac:dyDescent="0.25">
      <c r="A580" t="s">
        <v>882</v>
      </c>
      <c r="B580" t="s">
        <v>883</v>
      </c>
      <c r="C580" t="s">
        <v>884</v>
      </c>
      <c r="D580" t="s">
        <v>885</v>
      </c>
      <c r="E580" s="9">
        <v>45170</v>
      </c>
      <c r="F580" s="9">
        <v>45199</v>
      </c>
      <c r="G580">
        <v>48841000</v>
      </c>
      <c r="H580">
        <v>6652000</v>
      </c>
      <c r="I580">
        <v>6132000</v>
      </c>
      <c r="J580">
        <v>48000</v>
      </c>
      <c r="K580">
        <v>384000</v>
      </c>
      <c r="L580">
        <v>3563000</v>
      </c>
      <c r="M580">
        <v>0</v>
      </c>
      <c r="T580" s="9">
        <v>45108</v>
      </c>
      <c r="U580" s="9">
        <v>45473</v>
      </c>
      <c r="V580">
        <f>SUM(POTABLE_NONPOTABLE_API[[#This Row],[RESIDENTIAL_SINGLEFAMILY_GAL]:[OTHER_GAL]])</f>
        <v>65620000</v>
      </c>
      <c r="W580">
        <f>SUM(POTABLE_NONPOTABLE_API[[#This Row],[NONPOTABLE_DEMAND_RESIDENTIAL_RECYCLED_WATER_GAL]:[NONPOTABLE_DEMAND_NONRESIDENTIAL_METERED_IRRIGATION_GAL]])</f>
        <v>0</v>
      </c>
      <c r="X580" t="str">
        <f>IFERROR(INDEX(Crosswalk_API!$H$2:$H$527, MATCH(POTABLE_NONPOTABLE_API[[#This Row],[PWSID]], CW_PWSID_LIST, 0)), "")</f>
        <v>No</v>
      </c>
    </row>
    <row r="581" spans="1:24" x14ac:dyDescent="0.25">
      <c r="A581" t="s">
        <v>882</v>
      </c>
      <c r="B581" t="s">
        <v>883</v>
      </c>
      <c r="C581" t="s">
        <v>884</v>
      </c>
      <c r="D581" t="s">
        <v>885</v>
      </c>
      <c r="E581" s="9">
        <v>45200</v>
      </c>
      <c r="F581" s="9">
        <v>45230</v>
      </c>
      <c r="G581">
        <v>48915000</v>
      </c>
      <c r="H581">
        <v>6437000</v>
      </c>
      <c r="I581">
        <v>5876000</v>
      </c>
      <c r="J581">
        <v>91000</v>
      </c>
      <c r="K581">
        <v>415000</v>
      </c>
      <c r="L581">
        <v>2298000</v>
      </c>
      <c r="M581">
        <v>0</v>
      </c>
      <c r="T581" s="9">
        <v>45108</v>
      </c>
      <c r="U581" s="9">
        <v>45473</v>
      </c>
      <c r="V581">
        <f>SUM(POTABLE_NONPOTABLE_API[[#This Row],[RESIDENTIAL_SINGLEFAMILY_GAL]:[OTHER_GAL]])</f>
        <v>64032000</v>
      </c>
      <c r="W581">
        <f>SUM(POTABLE_NONPOTABLE_API[[#This Row],[NONPOTABLE_DEMAND_RESIDENTIAL_RECYCLED_WATER_GAL]:[NONPOTABLE_DEMAND_NONRESIDENTIAL_METERED_IRRIGATION_GAL]])</f>
        <v>0</v>
      </c>
      <c r="X581" t="str">
        <f>IFERROR(INDEX(Crosswalk_API!$H$2:$H$527, MATCH(POTABLE_NONPOTABLE_API[[#This Row],[PWSID]], CW_PWSID_LIST, 0)), "")</f>
        <v>No</v>
      </c>
    </row>
    <row r="582" spans="1:24" x14ac:dyDescent="0.25">
      <c r="A582" t="s">
        <v>882</v>
      </c>
      <c r="B582" t="s">
        <v>883</v>
      </c>
      <c r="C582" t="s">
        <v>884</v>
      </c>
      <c r="D582" t="s">
        <v>885</v>
      </c>
      <c r="E582" s="9">
        <v>45231</v>
      </c>
      <c r="F582" s="9">
        <v>45260</v>
      </c>
      <c r="G582">
        <v>48523000</v>
      </c>
      <c r="H582">
        <v>6013000</v>
      </c>
      <c r="I582">
        <v>5966000</v>
      </c>
      <c r="J582">
        <v>37000</v>
      </c>
      <c r="K582">
        <v>505000</v>
      </c>
      <c r="L582">
        <v>2563000</v>
      </c>
      <c r="M582">
        <v>0</v>
      </c>
      <c r="T582" s="9">
        <v>45108</v>
      </c>
      <c r="U582" s="9">
        <v>45473</v>
      </c>
      <c r="V582">
        <f>SUM(POTABLE_NONPOTABLE_API[[#This Row],[RESIDENTIAL_SINGLEFAMILY_GAL]:[OTHER_GAL]])</f>
        <v>63607000</v>
      </c>
      <c r="W582">
        <f>SUM(POTABLE_NONPOTABLE_API[[#This Row],[NONPOTABLE_DEMAND_RESIDENTIAL_RECYCLED_WATER_GAL]:[NONPOTABLE_DEMAND_NONRESIDENTIAL_METERED_IRRIGATION_GAL]])</f>
        <v>0</v>
      </c>
      <c r="X582" t="str">
        <f>IFERROR(INDEX(Crosswalk_API!$H$2:$H$527, MATCH(POTABLE_NONPOTABLE_API[[#This Row],[PWSID]], CW_PWSID_LIST, 0)), "")</f>
        <v>No</v>
      </c>
    </row>
    <row r="583" spans="1:24" x14ac:dyDescent="0.25">
      <c r="A583" t="s">
        <v>882</v>
      </c>
      <c r="B583" t="s">
        <v>883</v>
      </c>
      <c r="C583" t="s">
        <v>884</v>
      </c>
      <c r="D583" t="s">
        <v>885</v>
      </c>
      <c r="E583" s="9">
        <v>45261</v>
      </c>
      <c r="F583" s="9">
        <v>45291</v>
      </c>
      <c r="G583">
        <v>44871000</v>
      </c>
      <c r="H583">
        <v>6141000</v>
      </c>
      <c r="I583">
        <v>5623000</v>
      </c>
      <c r="J583">
        <v>47000</v>
      </c>
      <c r="K583">
        <v>30000</v>
      </c>
      <c r="L583">
        <v>2243000</v>
      </c>
      <c r="M583">
        <v>0</v>
      </c>
      <c r="T583" s="9">
        <v>45108</v>
      </c>
      <c r="U583" s="9">
        <v>45473</v>
      </c>
      <c r="V583">
        <f>SUM(POTABLE_NONPOTABLE_API[[#This Row],[RESIDENTIAL_SINGLEFAMILY_GAL]:[OTHER_GAL]])</f>
        <v>58955000</v>
      </c>
      <c r="W583">
        <f>SUM(POTABLE_NONPOTABLE_API[[#This Row],[NONPOTABLE_DEMAND_RESIDENTIAL_RECYCLED_WATER_GAL]:[NONPOTABLE_DEMAND_NONRESIDENTIAL_METERED_IRRIGATION_GAL]])</f>
        <v>0</v>
      </c>
      <c r="X583" t="str">
        <f>IFERROR(INDEX(Crosswalk_API!$H$2:$H$527, MATCH(POTABLE_NONPOTABLE_API[[#This Row],[PWSID]], CW_PWSID_LIST, 0)), "")</f>
        <v>No</v>
      </c>
    </row>
    <row r="584" spans="1:24" x14ac:dyDescent="0.25">
      <c r="A584" t="s">
        <v>882</v>
      </c>
      <c r="B584" t="s">
        <v>883</v>
      </c>
      <c r="C584" t="s">
        <v>884</v>
      </c>
      <c r="D584" t="s">
        <v>885</v>
      </c>
      <c r="E584" s="9">
        <v>45292</v>
      </c>
      <c r="F584" s="9">
        <v>45322</v>
      </c>
      <c r="G584">
        <v>41936000</v>
      </c>
      <c r="H584">
        <v>5911000</v>
      </c>
      <c r="I584">
        <v>5241000</v>
      </c>
      <c r="J584">
        <v>21000</v>
      </c>
      <c r="K584">
        <v>1097000</v>
      </c>
      <c r="L584">
        <v>1878000</v>
      </c>
      <c r="M584">
        <v>0</v>
      </c>
      <c r="T584" s="9">
        <v>45108</v>
      </c>
      <c r="U584" s="9">
        <v>45473</v>
      </c>
      <c r="V584">
        <f>SUM(POTABLE_NONPOTABLE_API[[#This Row],[RESIDENTIAL_SINGLEFAMILY_GAL]:[OTHER_GAL]])</f>
        <v>56084000</v>
      </c>
      <c r="W584">
        <f>SUM(POTABLE_NONPOTABLE_API[[#This Row],[NONPOTABLE_DEMAND_RESIDENTIAL_RECYCLED_WATER_GAL]:[NONPOTABLE_DEMAND_NONRESIDENTIAL_METERED_IRRIGATION_GAL]])</f>
        <v>0</v>
      </c>
      <c r="X584" t="str">
        <f>IFERROR(INDEX(Crosswalk_API!$H$2:$H$527, MATCH(POTABLE_NONPOTABLE_API[[#This Row],[PWSID]], CW_PWSID_LIST, 0)), "")</f>
        <v>No</v>
      </c>
    </row>
    <row r="585" spans="1:24" x14ac:dyDescent="0.25">
      <c r="A585" t="s">
        <v>882</v>
      </c>
      <c r="B585" t="s">
        <v>883</v>
      </c>
      <c r="C585" t="s">
        <v>884</v>
      </c>
      <c r="D585" t="s">
        <v>885</v>
      </c>
      <c r="E585" s="9">
        <v>45323</v>
      </c>
      <c r="F585" s="9">
        <v>45351</v>
      </c>
      <c r="G585">
        <v>32222726</v>
      </c>
      <c r="H585">
        <v>5557305</v>
      </c>
      <c r="I585">
        <v>4798096</v>
      </c>
      <c r="J585">
        <v>4300</v>
      </c>
      <c r="K585">
        <v>151588</v>
      </c>
      <c r="L585">
        <v>1487836</v>
      </c>
      <c r="M585">
        <v>0</v>
      </c>
      <c r="T585" s="9">
        <v>45108</v>
      </c>
      <c r="U585" s="9">
        <v>45473</v>
      </c>
      <c r="V585">
        <f>SUM(POTABLE_NONPOTABLE_API[[#This Row],[RESIDENTIAL_SINGLEFAMILY_GAL]:[OTHER_GAL]])</f>
        <v>44221851</v>
      </c>
      <c r="W585">
        <f>SUM(POTABLE_NONPOTABLE_API[[#This Row],[NONPOTABLE_DEMAND_RESIDENTIAL_RECYCLED_WATER_GAL]:[NONPOTABLE_DEMAND_NONRESIDENTIAL_METERED_IRRIGATION_GAL]])</f>
        <v>0</v>
      </c>
      <c r="X585" t="str">
        <f>IFERROR(INDEX(Crosswalk_API!$H$2:$H$527, MATCH(POTABLE_NONPOTABLE_API[[#This Row],[PWSID]], CW_PWSID_LIST, 0)), "")</f>
        <v>No</v>
      </c>
    </row>
    <row r="586" spans="1:24" x14ac:dyDescent="0.25">
      <c r="A586" t="s">
        <v>882</v>
      </c>
      <c r="B586" t="s">
        <v>883</v>
      </c>
      <c r="C586" t="s">
        <v>884</v>
      </c>
      <c r="D586" t="s">
        <v>885</v>
      </c>
      <c r="E586" s="9">
        <v>45352</v>
      </c>
      <c r="F586" s="9">
        <v>45382</v>
      </c>
      <c r="G586">
        <v>29962748</v>
      </c>
      <c r="H586">
        <v>5349508</v>
      </c>
      <c r="I586">
        <v>4598736</v>
      </c>
      <c r="J586">
        <v>2500</v>
      </c>
      <c r="K586">
        <v>151144</v>
      </c>
      <c r="L586">
        <v>724624</v>
      </c>
      <c r="M586">
        <v>0</v>
      </c>
      <c r="T586" s="9">
        <v>45108</v>
      </c>
      <c r="U586" s="9">
        <v>45473</v>
      </c>
      <c r="V586">
        <f>SUM(POTABLE_NONPOTABLE_API[[#This Row],[RESIDENTIAL_SINGLEFAMILY_GAL]:[OTHER_GAL]])</f>
        <v>40789260</v>
      </c>
      <c r="W586">
        <f>SUM(POTABLE_NONPOTABLE_API[[#This Row],[NONPOTABLE_DEMAND_RESIDENTIAL_RECYCLED_WATER_GAL]:[NONPOTABLE_DEMAND_NONRESIDENTIAL_METERED_IRRIGATION_GAL]])</f>
        <v>0</v>
      </c>
      <c r="X586" t="str">
        <f>IFERROR(INDEX(Crosswalk_API!$H$2:$H$527, MATCH(POTABLE_NONPOTABLE_API[[#This Row],[PWSID]], CW_PWSID_LIST, 0)), "")</f>
        <v>No</v>
      </c>
    </row>
    <row r="587" spans="1:24" x14ac:dyDescent="0.25">
      <c r="A587" t="s">
        <v>882</v>
      </c>
      <c r="B587" t="s">
        <v>883</v>
      </c>
      <c r="C587" t="s">
        <v>884</v>
      </c>
      <c r="D587" t="s">
        <v>885</v>
      </c>
      <c r="E587" s="9">
        <v>45383</v>
      </c>
      <c r="F587" s="9">
        <v>45412</v>
      </c>
      <c r="G587">
        <v>35345361</v>
      </c>
      <c r="H587">
        <v>5363929</v>
      </c>
      <c r="I587">
        <v>5037624</v>
      </c>
      <c r="J587">
        <v>22000</v>
      </c>
      <c r="K587">
        <v>209976</v>
      </c>
      <c r="L587">
        <v>1486000</v>
      </c>
      <c r="M587">
        <v>0</v>
      </c>
      <c r="T587" s="9">
        <v>45108</v>
      </c>
      <c r="U587" s="9">
        <v>45473</v>
      </c>
      <c r="V587">
        <f>SUM(POTABLE_NONPOTABLE_API[[#This Row],[RESIDENTIAL_SINGLEFAMILY_GAL]:[OTHER_GAL]])</f>
        <v>47464890</v>
      </c>
      <c r="W587">
        <f>SUM(POTABLE_NONPOTABLE_API[[#This Row],[NONPOTABLE_DEMAND_RESIDENTIAL_RECYCLED_WATER_GAL]:[NONPOTABLE_DEMAND_NONRESIDENTIAL_METERED_IRRIGATION_GAL]])</f>
        <v>0</v>
      </c>
      <c r="X587" t="str">
        <f>IFERROR(INDEX(Crosswalk_API!$H$2:$H$527, MATCH(POTABLE_NONPOTABLE_API[[#This Row],[PWSID]], CW_PWSID_LIST, 0)), "")</f>
        <v>No</v>
      </c>
    </row>
    <row r="588" spans="1:24" x14ac:dyDescent="0.25">
      <c r="A588" t="s">
        <v>882</v>
      </c>
      <c r="B588" t="s">
        <v>883</v>
      </c>
      <c r="C588" t="s">
        <v>884</v>
      </c>
      <c r="D588" t="s">
        <v>885</v>
      </c>
      <c r="E588" s="9">
        <v>45413</v>
      </c>
      <c r="F588" s="9">
        <v>45443</v>
      </c>
      <c r="G588">
        <v>41089792</v>
      </c>
      <c r="H588">
        <v>5673796</v>
      </c>
      <c r="I588">
        <v>4799836</v>
      </c>
      <c r="J588">
        <v>387848</v>
      </c>
      <c r="K588">
        <v>196976</v>
      </c>
      <c r="L588">
        <v>1550184</v>
      </c>
      <c r="M588">
        <v>0</v>
      </c>
      <c r="T588" s="9">
        <v>45108</v>
      </c>
      <c r="U588" s="9">
        <v>45473</v>
      </c>
      <c r="V588">
        <f>SUM(POTABLE_NONPOTABLE_API[[#This Row],[RESIDENTIAL_SINGLEFAMILY_GAL]:[OTHER_GAL]])</f>
        <v>53698432</v>
      </c>
      <c r="W588">
        <f>SUM(POTABLE_NONPOTABLE_API[[#This Row],[NONPOTABLE_DEMAND_RESIDENTIAL_RECYCLED_WATER_GAL]:[NONPOTABLE_DEMAND_NONRESIDENTIAL_METERED_IRRIGATION_GAL]])</f>
        <v>0</v>
      </c>
      <c r="X588" t="str">
        <f>IFERROR(INDEX(Crosswalk_API!$H$2:$H$527, MATCH(POTABLE_NONPOTABLE_API[[#This Row],[PWSID]], CW_PWSID_LIST, 0)), "")</f>
        <v>No</v>
      </c>
    </row>
    <row r="589" spans="1:24" x14ac:dyDescent="0.25">
      <c r="A589" t="s">
        <v>882</v>
      </c>
      <c r="B589" t="s">
        <v>883</v>
      </c>
      <c r="C589" t="s">
        <v>884</v>
      </c>
      <c r="D589" t="s">
        <v>885</v>
      </c>
      <c r="E589" s="9">
        <v>45444</v>
      </c>
      <c r="F589" s="9">
        <v>45473</v>
      </c>
      <c r="G589">
        <v>48952386</v>
      </c>
      <c r="H589">
        <v>6430944</v>
      </c>
      <c r="I589">
        <v>5435024</v>
      </c>
      <c r="J589">
        <v>518047.99999999994</v>
      </c>
      <c r="K589">
        <v>459044</v>
      </c>
      <c r="L589">
        <v>3129460</v>
      </c>
      <c r="M589">
        <v>0</v>
      </c>
      <c r="T589" s="9">
        <v>45108</v>
      </c>
      <c r="U589" s="9">
        <v>45473</v>
      </c>
      <c r="V589">
        <f>SUM(POTABLE_NONPOTABLE_API[[#This Row],[RESIDENTIAL_SINGLEFAMILY_GAL]:[OTHER_GAL]])</f>
        <v>64924906</v>
      </c>
      <c r="W589">
        <f>SUM(POTABLE_NONPOTABLE_API[[#This Row],[NONPOTABLE_DEMAND_RESIDENTIAL_RECYCLED_WATER_GAL]:[NONPOTABLE_DEMAND_NONRESIDENTIAL_METERED_IRRIGATION_GAL]])</f>
        <v>0</v>
      </c>
      <c r="X589" t="str">
        <f>IFERROR(INDEX(Crosswalk_API!$H$2:$H$527, MATCH(POTABLE_NONPOTABLE_API[[#This Row],[PWSID]], CW_PWSID_LIST, 0)), "")</f>
        <v>No</v>
      </c>
    </row>
    <row r="590" spans="1:24" x14ac:dyDescent="0.25">
      <c r="A590" t="s">
        <v>882</v>
      </c>
      <c r="B590" t="s">
        <v>883</v>
      </c>
      <c r="C590" t="s">
        <v>886</v>
      </c>
      <c r="D590" t="s">
        <v>887</v>
      </c>
      <c r="E590" s="9">
        <v>45108</v>
      </c>
      <c r="F590" s="9">
        <v>45138</v>
      </c>
      <c r="G590">
        <v>156459000</v>
      </c>
      <c r="H590">
        <v>20798000</v>
      </c>
      <c r="I590">
        <v>29450000</v>
      </c>
      <c r="J590">
        <v>972000</v>
      </c>
      <c r="K590">
        <v>1874000</v>
      </c>
      <c r="L590">
        <v>9176000</v>
      </c>
      <c r="M590">
        <v>0</v>
      </c>
      <c r="T590" s="9">
        <v>45108</v>
      </c>
      <c r="U590" s="9">
        <v>45473</v>
      </c>
      <c r="V590">
        <f>SUM(POTABLE_NONPOTABLE_API[[#This Row],[RESIDENTIAL_SINGLEFAMILY_GAL]:[OTHER_GAL]])</f>
        <v>218729000</v>
      </c>
      <c r="W590">
        <f>SUM(POTABLE_NONPOTABLE_API[[#This Row],[NONPOTABLE_DEMAND_RESIDENTIAL_RECYCLED_WATER_GAL]:[NONPOTABLE_DEMAND_NONRESIDENTIAL_METERED_IRRIGATION_GAL]])</f>
        <v>0</v>
      </c>
      <c r="X590" t="str">
        <f>IFERROR(INDEX(Crosswalk_API!$H$2:$H$527, MATCH(POTABLE_NONPOTABLE_API[[#This Row],[PWSID]], CW_PWSID_LIST, 0)), "")</f>
        <v>No</v>
      </c>
    </row>
    <row r="591" spans="1:24" x14ac:dyDescent="0.25">
      <c r="A591" t="s">
        <v>882</v>
      </c>
      <c r="B591" t="s">
        <v>883</v>
      </c>
      <c r="C591" t="s">
        <v>886</v>
      </c>
      <c r="D591" t="s">
        <v>887</v>
      </c>
      <c r="E591" s="9">
        <v>45139</v>
      </c>
      <c r="F591" s="9">
        <v>45169</v>
      </c>
      <c r="G591">
        <v>198138000</v>
      </c>
      <c r="H591">
        <v>21969000</v>
      </c>
      <c r="I591">
        <v>29381000</v>
      </c>
      <c r="J591">
        <v>3810000</v>
      </c>
      <c r="K591">
        <v>2241000</v>
      </c>
      <c r="L591">
        <v>22945000</v>
      </c>
      <c r="M591">
        <v>0</v>
      </c>
      <c r="T591" s="9">
        <v>45108</v>
      </c>
      <c r="U591" s="9">
        <v>45473</v>
      </c>
      <c r="V591">
        <f>SUM(POTABLE_NONPOTABLE_API[[#This Row],[RESIDENTIAL_SINGLEFAMILY_GAL]:[OTHER_GAL]])</f>
        <v>278484000</v>
      </c>
      <c r="W591">
        <f>SUM(POTABLE_NONPOTABLE_API[[#This Row],[NONPOTABLE_DEMAND_RESIDENTIAL_RECYCLED_WATER_GAL]:[NONPOTABLE_DEMAND_NONRESIDENTIAL_METERED_IRRIGATION_GAL]])</f>
        <v>0</v>
      </c>
      <c r="X591" t="str">
        <f>IFERROR(INDEX(Crosswalk_API!$H$2:$H$527, MATCH(POTABLE_NONPOTABLE_API[[#This Row],[PWSID]], CW_PWSID_LIST, 0)), "")</f>
        <v>No</v>
      </c>
    </row>
    <row r="592" spans="1:24" x14ac:dyDescent="0.25">
      <c r="A592" t="s">
        <v>882</v>
      </c>
      <c r="B592" t="s">
        <v>883</v>
      </c>
      <c r="C592" t="s">
        <v>886</v>
      </c>
      <c r="D592" t="s">
        <v>887</v>
      </c>
      <c r="E592" s="9">
        <v>45170</v>
      </c>
      <c r="F592" s="9">
        <v>45199</v>
      </c>
      <c r="G592">
        <v>172550000</v>
      </c>
      <c r="H592">
        <v>21699000</v>
      </c>
      <c r="I592">
        <v>30423000</v>
      </c>
      <c r="J592">
        <v>3015000</v>
      </c>
      <c r="K592">
        <v>2160000</v>
      </c>
      <c r="L592">
        <v>11822000</v>
      </c>
      <c r="M592">
        <v>0</v>
      </c>
      <c r="T592" s="9">
        <v>45108</v>
      </c>
      <c r="U592" s="9">
        <v>45473</v>
      </c>
      <c r="V592">
        <f>SUM(POTABLE_NONPOTABLE_API[[#This Row],[RESIDENTIAL_SINGLEFAMILY_GAL]:[OTHER_GAL]])</f>
        <v>241669000</v>
      </c>
      <c r="W592">
        <f>SUM(POTABLE_NONPOTABLE_API[[#This Row],[NONPOTABLE_DEMAND_RESIDENTIAL_RECYCLED_WATER_GAL]:[NONPOTABLE_DEMAND_NONRESIDENTIAL_METERED_IRRIGATION_GAL]])</f>
        <v>0</v>
      </c>
      <c r="X592" t="str">
        <f>IFERROR(INDEX(Crosswalk_API!$H$2:$H$527, MATCH(POTABLE_NONPOTABLE_API[[#This Row],[PWSID]], CW_PWSID_LIST, 0)), "")</f>
        <v>No</v>
      </c>
    </row>
    <row r="593" spans="1:24" x14ac:dyDescent="0.25">
      <c r="A593" t="s">
        <v>882</v>
      </c>
      <c r="B593" t="s">
        <v>883</v>
      </c>
      <c r="C593" t="s">
        <v>886</v>
      </c>
      <c r="D593" t="s">
        <v>887</v>
      </c>
      <c r="E593" s="9">
        <v>45200</v>
      </c>
      <c r="F593" s="9">
        <v>45230</v>
      </c>
      <c r="G593">
        <v>165093000</v>
      </c>
      <c r="H593">
        <v>21584000</v>
      </c>
      <c r="I593">
        <v>27578000</v>
      </c>
      <c r="J593">
        <v>2614000</v>
      </c>
      <c r="K593">
        <v>1996000</v>
      </c>
      <c r="L593">
        <v>21044000</v>
      </c>
      <c r="M593">
        <v>0</v>
      </c>
      <c r="T593" s="9">
        <v>45108</v>
      </c>
      <c r="U593" s="9">
        <v>45473</v>
      </c>
      <c r="V593">
        <f>SUM(POTABLE_NONPOTABLE_API[[#This Row],[RESIDENTIAL_SINGLEFAMILY_GAL]:[OTHER_GAL]])</f>
        <v>239909000</v>
      </c>
      <c r="W593">
        <f>SUM(POTABLE_NONPOTABLE_API[[#This Row],[NONPOTABLE_DEMAND_RESIDENTIAL_RECYCLED_WATER_GAL]:[NONPOTABLE_DEMAND_NONRESIDENTIAL_METERED_IRRIGATION_GAL]])</f>
        <v>0</v>
      </c>
      <c r="X593" t="str">
        <f>IFERROR(INDEX(Crosswalk_API!$H$2:$H$527, MATCH(POTABLE_NONPOTABLE_API[[#This Row],[PWSID]], CW_PWSID_LIST, 0)), "")</f>
        <v>No</v>
      </c>
    </row>
    <row r="594" spans="1:24" x14ac:dyDescent="0.25">
      <c r="A594" t="s">
        <v>882</v>
      </c>
      <c r="B594" t="s">
        <v>883</v>
      </c>
      <c r="C594" t="s">
        <v>886</v>
      </c>
      <c r="D594" t="s">
        <v>887</v>
      </c>
      <c r="E594" s="9">
        <v>45231</v>
      </c>
      <c r="F594" s="9">
        <v>45260</v>
      </c>
      <c r="G594">
        <v>158830000</v>
      </c>
      <c r="H594">
        <v>20534000</v>
      </c>
      <c r="I594">
        <v>15564000</v>
      </c>
      <c r="J594">
        <v>1177000</v>
      </c>
      <c r="K594">
        <v>1835000</v>
      </c>
      <c r="L594">
        <v>0</v>
      </c>
      <c r="M594">
        <v>0</v>
      </c>
      <c r="T594" s="9">
        <v>45108</v>
      </c>
      <c r="U594" s="9">
        <v>45473</v>
      </c>
      <c r="V594">
        <f>SUM(POTABLE_NONPOTABLE_API[[#This Row],[RESIDENTIAL_SINGLEFAMILY_GAL]:[OTHER_GAL]])</f>
        <v>197940000</v>
      </c>
      <c r="W594">
        <f>SUM(POTABLE_NONPOTABLE_API[[#This Row],[NONPOTABLE_DEMAND_RESIDENTIAL_RECYCLED_WATER_GAL]:[NONPOTABLE_DEMAND_NONRESIDENTIAL_METERED_IRRIGATION_GAL]])</f>
        <v>0</v>
      </c>
      <c r="X594" t="str">
        <f>IFERROR(INDEX(Crosswalk_API!$H$2:$H$527, MATCH(POTABLE_NONPOTABLE_API[[#This Row],[PWSID]], CW_PWSID_LIST, 0)), "")</f>
        <v>No</v>
      </c>
    </row>
    <row r="595" spans="1:24" x14ac:dyDescent="0.25">
      <c r="A595" t="s">
        <v>882</v>
      </c>
      <c r="B595" t="s">
        <v>883</v>
      </c>
      <c r="C595" t="s">
        <v>886</v>
      </c>
      <c r="D595" t="s">
        <v>887</v>
      </c>
      <c r="E595" s="9">
        <v>45261</v>
      </c>
      <c r="F595" s="9">
        <v>45291</v>
      </c>
      <c r="G595">
        <v>139566000</v>
      </c>
      <c r="H595">
        <v>19946000</v>
      </c>
      <c r="I595">
        <v>27767000</v>
      </c>
      <c r="J595">
        <v>2316000</v>
      </c>
      <c r="K595">
        <v>1692000</v>
      </c>
      <c r="L595">
        <v>9474000</v>
      </c>
      <c r="M595">
        <v>0</v>
      </c>
      <c r="T595" s="9">
        <v>45108</v>
      </c>
      <c r="U595" s="9">
        <v>45473</v>
      </c>
      <c r="V595">
        <f>SUM(POTABLE_NONPOTABLE_API[[#This Row],[RESIDENTIAL_SINGLEFAMILY_GAL]:[OTHER_GAL]])</f>
        <v>200761000</v>
      </c>
      <c r="W595">
        <f>SUM(POTABLE_NONPOTABLE_API[[#This Row],[NONPOTABLE_DEMAND_RESIDENTIAL_RECYCLED_WATER_GAL]:[NONPOTABLE_DEMAND_NONRESIDENTIAL_METERED_IRRIGATION_GAL]])</f>
        <v>0</v>
      </c>
      <c r="X595" t="str">
        <f>IFERROR(INDEX(Crosswalk_API!$H$2:$H$527, MATCH(POTABLE_NONPOTABLE_API[[#This Row],[PWSID]], CW_PWSID_LIST, 0)), "")</f>
        <v>No</v>
      </c>
    </row>
    <row r="596" spans="1:24" x14ac:dyDescent="0.25">
      <c r="A596" t="s">
        <v>882</v>
      </c>
      <c r="B596" t="s">
        <v>883</v>
      </c>
      <c r="C596" t="s">
        <v>886</v>
      </c>
      <c r="D596" t="s">
        <v>887</v>
      </c>
      <c r="E596" s="9">
        <v>45292</v>
      </c>
      <c r="F596" s="9">
        <v>45322</v>
      </c>
      <c r="G596">
        <v>120467000</v>
      </c>
      <c r="H596">
        <v>20839000</v>
      </c>
      <c r="I596">
        <v>27310000</v>
      </c>
      <c r="J596">
        <v>1568000</v>
      </c>
      <c r="K596">
        <v>1579000</v>
      </c>
      <c r="L596">
        <v>6350000</v>
      </c>
      <c r="M596">
        <v>0</v>
      </c>
      <c r="T596" s="9">
        <v>45108</v>
      </c>
      <c r="U596" s="9">
        <v>45473</v>
      </c>
      <c r="V596">
        <f>SUM(POTABLE_NONPOTABLE_API[[#This Row],[RESIDENTIAL_SINGLEFAMILY_GAL]:[OTHER_GAL]])</f>
        <v>178113000</v>
      </c>
      <c r="W596">
        <f>SUM(POTABLE_NONPOTABLE_API[[#This Row],[NONPOTABLE_DEMAND_RESIDENTIAL_RECYCLED_WATER_GAL]:[NONPOTABLE_DEMAND_NONRESIDENTIAL_METERED_IRRIGATION_GAL]])</f>
        <v>0</v>
      </c>
      <c r="X596" t="str">
        <f>IFERROR(INDEX(Crosswalk_API!$H$2:$H$527, MATCH(POTABLE_NONPOTABLE_API[[#This Row],[PWSID]], CW_PWSID_LIST, 0)), "")</f>
        <v>No</v>
      </c>
    </row>
    <row r="597" spans="1:24" x14ac:dyDescent="0.25">
      <c r="A597" t="s">
        <v>882</v>
      </c>
      <c r="B597" t="s">
        <v>883</v>
      </c>
      <c r="C597" t="s">
        <v>886</v>
      </c>
      <c r="D597" t="s">
        <v>887</v>
      </c>
      <c r="E597" s="9">
        <v>45323</v>
      </c>
      <c r="F597" s="9">
        <v>45351</v>
      </c>
      <c r="G597">
        <v>96285024</v>
      </c>
      <c r="H597">
        <v>17574072</v>
      </c>
      <c r="I597">
        <v>23626192</v>
      </c>
      <c r="J597">
        <v>507424</v>
      </c>
      <c r="K597">
        <v>1547346</v>
      </c>
      <c r="L597">
        <v>11206180</v>
      </c>
      <c r="M597">
        <v>0</v>
      </c>
      <c r="T597" s="9">
        <v>45108</v>
      </c>
      <c r="U597" s="9">
        <v>45473</v>
      </c>
      <c r="V597">
        <f>SUM(POTABLE_NONPOTABLE_API[[#This Row],[RESIDENTIAL_SINGLEFAMILY_GAL]:[OTHER_GAL]])</f>
        <v>150746238</v>
      </c>
      <c r="W597">
        <f>SUM(POTABLE_NONPOTABLE_API[[#This Row],[NONPOTABLE_DEMAND_RESIDENTIAL_RECYCLED_WATER_GAL]:[NONPOTABLE_DEMAND_NONRESIDENTIAL_METERED_IRRIGATION_GAL]])</f>
        <v>0</v>
      </c>
      <c r="X597" t="str">
        <f>IFERROR(INDEX(Crosswalk_API!$H$2:$H$527, MATCH(POTABLE_NONPOTABLE_API[[#This Row],[PWSID]], CW_PWSID_LIST, 0)), "")</f>
        <v>No</v>
      </c>
    </row>
    <row r="598" spans="1:24" x14ac:dyDescent="0.25">
      <c r="A598" t="s">
        <v>882</v>
      </c>
      <c r="B598" t="s">
        <v>883</v>
      </c>
      <c r="C598" t="s">
        <v>886</v>
      </c>
      <c r="D598" t="s">
        <v>887</v>
      </c>
      <c r="E598" s="9">
        <v>45352</v>
      </c>
      <c r="F598" s="9">
        <v>45382</v>
      </c>
      <c r="G598">
        <v>85249387</v>
      </c>
      <c r="H598">
        <v>17492364</v>
      </c>
      <c r="I598">
        <v>22474716</v>
      </c>
      <c r="J598">
        <v>367920</v>
      </c>
      <c r="K598">
        <v>1328888</v>
      </c>
      <c r="L598">
        <v>2688116</v>
      </c>
      <c r="M598">
        <v>0</v>
      </c>
      <c r="T598" s="9">
        <v>45108</v>
      </c>
      <c r="U598" s="9">
        <v>45473</v>
      </c>
      <c r="V598">
        <f>SUM(POTABLE_NONPOTABLE_API[[#This Row],[RESIDENTIAL_SINGLEFAMILY_GAL]:[OTHER_GAL]])</f>
        <v>129601391</v>
      </c>
      <c r="W598">
        <f>SUM(POTABLE_NONPOTABLE_API[[#This Row],[NONPOTABLE_DEMAND_RESIDENTIAL_RECYCLED_WATER_GAL]:[NONPOTABLE_DEMAND_NONRESIDENTIAL_METERED_IRRIGATION_GAL]])</f>
        <v>0</v>
      </c>
      <c r="X598" t="str">
        <f>IFERROR(INDEX(Crosswalk_API!$H$2:$H$527, MATCH(POTABLE_NONPOTABLE_API[[#This Row],[PWSID]], CW_PWSID_LIST, 0)), "")</f>
        <v>No</v>
      </c>
    </row>
    <row r="599" spans="1:24" x14ac:dyDescent="0.25">
      <c r="A599" t="s">
        <v>882</v>
      </c>
      <c r="B599" t="s">
        <v>883</v>
      </c>
      <c r="C599" t="s">
        <v>886</v>
      </c>
      <c r="D599" t="s">
        <v>887</v>
      </c>
      <c r="E599" s="9">
        <v>45383</v>
      </c>
      <c r="F599" s="9">
        <v>45412</v>
      </c>
      <c r="G599">
        <v>94621109</v>
      </c>
      <c r="H599">
        <v>18928297</v>
      </c>
      <c r="I599">
        <v>25402076</v>
      </c>
      <c r="J599">
        <v>525916</v>
      </c>
      <c r="K599">
        <v>1450532</v>
      </c>
      <c r="L599">
        <v>3436000</v>
      </c>
      <c r="M599">
        <v>0</v>
      </c>
      <c r="T599" s="9">
        <v>45108</v>
      </c>
      <c r="U599" s="9">
        <v>45473</v>
      </c>
      <c r="V599">
        <f>SUM(POTABLE_NONPOTABLE_API[[#This Row],[RESIDENTIAL_SINGLEFAMILY_GAL]:[OTHER_GAL]])</f>
        <v>144363930</v>
      </c>
      <c r="W599">
        <f>SUM(POTABLE_NONPOTABLE_API[[#This Row],[NONPOTABLE_DEMAND_RESIDENTIAL_RECYCLED_WATER_GAL]:[NONPOTABLE_DEMAND_NONRESIDENTIAL_METERED_IRRIGATION_GAL]])</f>
        <v>0</v>
      </c>
      <c r="X599" t="str">
        <f>IFERROR(INDEX(Crosswalk_API!$H$2:$H$527, MATCH(POTABLE_NONPOTABLE_API[[#This Row],[PWSID]], CW_PWSID_LIST, 0)), "")</f>
        <v>No</v>
      </c>
    </row>
    <row r="600" spans="1:24" x14ac:dyDescent="0.25">
      <c r="A600" t="s">
        <v>882</v>
      </c>
      <c r="B600" t="s">
        <v>883</v>
      </c>
      <c r="C600" t="s">
        <v>886</v>
      </c>
      <c r="D600" t="s">
        <v>887</v>
      </c>
      <c r="E600" s="9">
        <v>45413</v>
      </c>
      <c r="F600" s="9">
        <v>45443</v>
      </c>
      <c r="G600">
        <v>128424265.99999999</v>
      </c>
      <c r="H600">
        <v>19043148</v>
      </c>
      <c r="I600">
        <v>23053920</v>
      </c>
      <c r="J600">
        <v>1597292</v>
      </c>
      <c r="K600">
        <v>1974536</v>
      </c>
      <c r="L600">
        <v>5839904</v>
      </c>
      <c r="M600">
        <v>0</v>
      </c>
      <c r="T600" s="9">
        <v>45108</v>
      </c>
      <c r="U600" s="9">
        <v>45473</v>
      </c>
      <c r="V600">
        <f>SUM(POTABLE_NONPOTABLE_API[[#This Row],[RESIDENTIAL_SINGLEFAMILY_GAL]:[OTHER_GAL]])</f>
        <v>179933066</v>
      </c>
      <c r="W600">
        <f>SUM(POTABLE_NONPOTABLE_API[[#This Row],[NONPOTABLE_DEMAND_RESIDENTIAL_RECYCLED_WATER_GAL]:[NONPOTABLE_DEMAND_NONRESIDENTIAL_METERED_IRRIGATION_GAL]])</f>
        <v>0</v>
      </c>
      <c r="X600" t="str">
        <f>IFERROR(INDEX(Crosswalk_API!$H$2:$H$527, MATCH(POTABLE_NONPOTABLE_API[[#This Row],[PWSID]], CW_PWSID_LIST, 0)), "")</f>
        <v>No</v>
      </c>
    </row>
    <row r="601" spans="1:24" x14ac:dyDescent="0.25">
      <c r="A601" t="s">
        <v>882</v>
      </c>
      <c r="B601" t="s">
        <v>883</v>
      </c>
      <c r="C601" t="s">
        <v>886</v>
      </c>
      <c r="D601" t="s">
        <v>887</v>
      </c>
      <c r="E601" s="9">
        <v>45444</v>
      </c>
      <c r="F601" s="9">
        <v>45473</v>
      </c>
      <c r="G601">
        <v>157393958</v>
      </c>
      <c r="H601">
        <v>19613468</v>
      </c>
      <c r="I601">
        <v>26886432</v>
      </c>
      <c r="J601">
        <v>3503680</v>
      </c>
      <c r="K601">
        <v>1713688</v>
      </c>
      <c r="L601">
        <v>9361812</v>
      </c>
      <c r="M601">
        <v>0</v>
      </c>
      <c r="T601" s="9">
        <v>45108</v>
      </c>
      <c r="U601" s="9">
        <v>45473</v>
      </c>
      <c r="V601">
        <f>SUM(POTABLE_NONPOTABLE_API[[#This Row],[RESIDENTIAL_SINGLEFAMILY_GAL]:[OTHER_GAL]])</f>
        <v>218473038</v>
      </c>
      <c r="W601">
        <f>SUM(POTABLE_NONPOTABLE_API[[#This Row],[NONPOTABLE_DEMAND_RESIDENTIAL_RECYCLED_WATER_GAL]:[NONPOTABLE_DEMAND_NONRESIDENTIAL_METERED_IRRIGATION_GAL]])</f>
        <v>0</v>
      </c>
      <c r="X601" t="str">
        <f>IFERROR(INDEX(Crosswalk_API!$H$2:$H$527, MATCH(POTABLE_NONPOTABLE_API[[#This Row],[PWSID]], CW_PWSID_LIST, 0)), "")</f>
        <v>No</v>
      </c>
    </row>
    <row r="602" spans="1:24" x14ac:dyDescent="0.25">
      <c r="A602" t="s">
        <v>882</v>
      </c>
      <c r="B602" t="s">
        <v>883</v>
      </c>
      <c r="C602" t="s">
        <v>888</v>
      </c>
      <c r="D602" t="s">
        <v>889</v>
      </c>
      <c r="E602" s="9">
        <v>45108</v>
      </c>
      <c r="F602" s="9">
        <v>45138</v>
      </c>
      <c r="G602">
        <v>70486000</v>
      </c>
      <c r="H602">
        <v>9391000</v>
      </c>
      <c r="I602">
        <v>26960000</v>
      </c>
      <c r="J602">
        <v>2450000</v>
      </c>
      <c r="K602">
        <v>453000</v>
      </c>
      <c r="L602">
        <v>8070000</v>
      </c>
      <c r="M602">
        <v>0</v>
      </c>
      <c r="T602" s="9">
        <v>45108</v>
      </c>
      <c r="U602" s="9">
        <v>45473</v>
      </c>
      <c r="V602">
        <f>SUM(POTABLE_NONPOTABLE_API[[#This Row],[RESIDENTIAL_SINGLEFAMILY_GAL]:[OTHER_GAL]])</f>
        <v>117810000</v>
      </c>
      <c r="W602">
        <f>SUM(POTABLE_NONPOTABLE_API[[#This Row],[NONPOTABLE_DEMAND_RESIDENTIAL_RECYCLED_WATER_GAL]:[NONPOTABLE_DEMAND_NONRESIDENTIAL_METERED_IRRIGATION_GAL]])</f>
        <v>0</v>
      </c>
      <c r="X602" t="str">
        <f>IFERROR(INDEX(Crosswalk_API!$H$2:$H$527, MATCH(POTABLE_NONPOTABLE_API[[#This Row],[PWSID]], CW_PWSID_LIST, 0)), "")</f>
        <v>No</v>
      </c>
    </row>
    <row r="603" spans="1:24" x14ac:dyDescent="0.25">
      <c r="A603" t="s">
        <v>882</v>
      </c>
      <c r="B603" t="s">
        <v>883</v>
      </c>
      <c r="C603" t="s">
        <v>888</v>
      </c>
      <c r="D603" t="s">
        <v>889</v>
      </c>
      <c r="E603" s="9">
        <v>45139</v>
      </c>
      <c r="F603" s="9">
        <v>45169</v>
      </c>
      <c r="G603">
        <v>85783000</v>
      </c>
      <c r="H603">
        <v>10569000</v>
      </c>
      <c r="I603">
        <v>33649000</v>
      </c>
      <c r="J603">
        <v>3997000</v>
      </c>
      <c r="K603">
        <v>1958000</v>
      </c>
      <c r="L603">
        <v>1093000</v>
      </c>
      <c r="M603">
        <v>0</v>
      </c>
      <c r="T603" s="9">
        <v>45108</v>
      </c>
      <c r="U603" s="9">
        <v>45473</v>
      </c>
      <c r="V603">
        <f>SUM(POTABLE_NONPOTABLE_API[[#This Row],[RESIDENTIAL_SINGLEFAMILY_GAL]:[OTHER_GAL]])</f>
        <v>137049000</v>
      </c>
      <c r="W603">
        <f>SUM(POTABLE_NONPOTABLE_API[[#This Row],[NONPOTABLE_DEMAND_RESIDENTIAL_RECYCLED_WATER_GAL]:[NONPOTABLE_DEMAND_NONRESIDENTIAL_METERED_IRRIGATION_GAL]])</f>
        <v>0</v>
      </c>
      <c r="X603" t="str">
        <f>IFERROR(INDEX(Crosswalk_API!$H$2:$H$527, MATCH(POTABLE_NONPOTABLE_API[[#This Row],[PWSID]], CW_PWSID_LIST, 0)), "")</f>
        <v>No</v>
      </c>
    </row>
    <row r="604" spans="1:24" x14ac:dyDescent="0.25">
      <c r="A604" t="s">
        <v>882</v>
      </c>
      <c r="B604" t="s">
        <v>883</v>
      </c>
      <c r="C604" t="s">
        <v>888</v>
      </c>
      <c r="D604" t="s">
        <v>889</v>
      </c>
      <c r="E604" s="9">
        <v>45170</v>
      </c>
      <c r="F604" s="9">
        <v>45199</v>
      </c>
      <c r="G604">
        <v>74945000</v>
      </c>
      <c r="H604">
        <v>11010000</v>
      </c>
      <c r="I604">
        <v>31083000</v>
      </c>
      <c r="J604">
        <v>4043999.9999999995</v>
      </c>
      <c r="K604">
        <v>1179000</v>
      </c>
      <c r="L604">
        <v>12019000</v>
      </c>
      <c r="M604">
        <v>0</v>
      </c>
      <c r="T604" s="9">
        <v>45108</v>
      </c>
      <c r="U604" s="9">
        <v>45473</v>
      </c>
      <c r="V604">
        <f>SUM(POTABLE_NONPOTABLE_API[[#This Row],[RESIDENTIAL_SINGLEFAMILY_GAL]:[OTHER_GAL]])</f>
        <v>134280000</v>
      </c>
      <c r="W604">
        <f>SUM(POTABLE_NONPOTABLE_API[[#This Row],[NONPOTABLE_DEMAND_RESIDENTIAL_RECYCLED_WATER_GAL]:[NONPOTABLE_DEMAND_NONRESIDENTIAL_METERED_IRRIGATION_GAL]])</f>
        <v>0</v>
      </c>
      <c r="X604" t="str">
        <f>IFERROR(INDEX(Crosswalk_API!$H$2:$H$527, MATCH(POTABLE_NONPOTABLE_API[[#This Row],[PWSID]], CW_PWSID_LIST, 0)), "")</f>
        <v>No</v>
      </c>
    </row>
    <row r="605" spans="1:24" x14ac:dyDescent="0.25">
      <c r="A605" t="s">
        <v>882</v>
      </c>
      <c r="B605" t="s">
        <v>883</v>
      </c>
      <c r="C605" t="s">
        <v>888</v>
      </c>
      <c r="D605" t="s">
        <v>889</v>
      </c>
      <c r="E605" s="9">
        <v>45200</v>
      </c>
      <c r="F605" s="9">
        <v>45230</v>
      </c>
      <c r="G605">
        <v>68667000</v>
      </c>
      <c r="H605">
        <v>10361000</v>
      </c>
      <c r="I605">
        <v>28527000</v>
      </c>
      <c r="J605">
        <v>3290000</v>
      </c>
      <c r="K605">
        <v>1080000</v>
      </c>
      <c r="L605">
        <v>-2258000</v>
      </c>
      <c r="M605">
        <v>0</v>
      </c>
      <c r="T605" s="9">
        <v>45108</v>
      </c>
      <c r="U605" s="9">
        <v>45473</v>
      </c>
      <c r="V605">
        <f>SUM(POTABLE_NONPOTABLE_API[[#This Row],[RESIDENTIAL_SINGLEFAMILY_GAL]:[OTHER_GAL]])</f>
        <v>109667000</v>
      </c>
      <c r="W605">
        <f>SUM(POTABLE_NONPOTABLE_API[[#This Row],[NONPOTABLE_DEMAND_RESIDENTIAL_RECYCLED_WATER_GAL]:[NONPOTABLE_DEMAND_NONRESIDENTIAL_METERED_IRRIGATION_GAL]])</f>
        <v>0</v>
      </c>
      <c r="X605" t="str">
        <f>IFERROR(INDEX(Crosswalk_API!$H$2:$H$527, MATCH(POTABLE_NONPOTABLE_API[[#This Row],[PWSID]], CW_PWSID_LIST, 0)), "")</f>
        <v>No</v>
      </c>
    </row>
    <row r="606" spans="1:24" x14ac:dyDescent="0.25">
      <c r="A606" t="s">
        <v>882</v>
      </c>
      <c r="B606" t="s">
        <v>883</v>
      </c>
      <c r="C606" t="s">
        <v>888</v>
      </c>
      <c r="D606" t="s">
        <v>889</v>
      </c>
      <c r="E606" s="9">
        <v>45231</v>
      </c>
      <c r="F606" s="9">
        <v>45260</v>
      </c>
      <c r="G606">
        <v>68460000</v>
      </c>
      <c r="H606">
        <v>10003000</v>
      </c>
      <c r="I606">
        <v>26423000</v>
      </c>
      <c r="J606">
        <v>3291000</v>
      </c>
      <c r="K606">
        <v>1137000</v>
      </c>
      <c r="L606">
        <v>26878000</v>
      </c>
      <c r="M606">
        <v>0</v>
      </c>
      <c r="T606" s="9">
        <v>45108</v>
      </c>
      <c r="U606" s="9">
        <v>45473</v>
      </c>
      <c r="V606">
        <f>SUM(POTABLE_NONPOTABLE_API[[#This Row],[RESIDENTIAL_SINGLEFAMILY_GAL]:[OTHER_GAL]])</f>
        <v>136192000</v>
      </c>
      <c r="W606">
        <f>SUM(POTABLE_NONPOTABLE_API[[#This Row],[NONPOTABLE_DEMAND_RESIDENTIAL_RECYCLED_WATER_GAL]:[NONPOTABLE_DEMAND_NONRESIDENTIAL_METERED_IRRIGATION_GAL]])</f>
        <v>0</v>
      </c>
      <c r="X606" t="str">
        <f>IFERROR(INDEX(Crosswalk_API!$H$2:$H$527, MATCH(POTABLE_NONPOTABLE_API[[#This Row],[PWSID]], CW_PWSID_LIST, 0)), "")</f>
        <v>No</v>
      </c>
    </row>
    <row r="607" spans="1:24" x14ac:dyDescent="0.25">
      <c r="A607" t="s">
        <v>882</v>
      </c>
      <c r="B607" t="s">
        <v>883</v>
      </c>
      <c r="C607" t="s">
        <v>888</v>
      </c>
      <c r="D607" t="s">
        <v>889</v>
      </c>
      <c r="E607" s="9">
        <v>45261</v>
      </c>
      <c r="F607" s="9">
        <v>45291</v>
      </c>
      <c r="G607">
        <v>59400000</v>
      </c>
      <c r="H607">
        <v>8869000</v>
      </c>
      <c r="I607">
        <v>25463000</v>
      </c>
      <c r="J607">
        <v>4152000</v>
      </c>
      <c r="K607">
        <v>1002999.9999999999</v>
      </c>
      <c r="L607">
        <v>5878000</v>
      </c>
      <c r="M607">
        <v>0</v>
      </c>
      <c r="T607" s="9">
        <v>45108</v>
      </c>
      <c r="U607" s="9">
        <v>45473</v>
      </c>
      <c r="V607">
        <f>SUM(POTABLE_NONPOTABLE_API[[#This Row],[RESIDENTIAL_SINGLEFAMILY_GAL]:[OTHER_GAL]])</f>
        <v>104765000</v>
      </c>
      <c r="W607">
        <f>SUM(POTABLE_NONPOTABLE_API[[#This Row],[NONPOTABLE_DEMAND_RESIDENTIAL_RECYCLED_WATER_GAL]:[NONPOTABLE_DEMAND_NONRESIDENTIAL_METERED_IRRIGATION_GAL]])</f>
        <v>0</v>
      </c>
      <c r="X607" t="str">
        <f>IFERROR(INDEX(Crosswalk_API!$H$2:$H$527, MATCH(POTABLE_NONPOTABLE_API[[#This Row],[PWSID]], CW_PWSID_LIST, 0)), "")</f>
        <v>No</v>
      </c>
    </row>
    <row r="608" spans="1:24" x14ac:dyDescent="0.25">
      <c r="A608" t="s">
        <v>882</v>
      </c>
      <c r="B608" t="s">
        <v>883</v>
      </c>
      <c r="C608" t="s">
        <v>888</v>
      </c>
      <c r="D608" t="s">
        <v>889</v>
      </c>
      <c r="E608" s="9">
        <v>45292</v>
      </c>
      <c r="F608" s="9">
        <v>45322</v>
      </c>
      <c r="G608">
        <v>53199000</v>
      </c>
      <c r="H608">
        <v>9198000</v>
      </c>
      <c r="I608">
        <v>21233000</v>
      </c>
      <c r="J608">
        <v>2735000</v>
      </c>
      <c r="K608">
        <v>268000</v>
      </c>
      <c r="L608">
        <v>3180000</v>
      </c>
      <c r="M608">
        <v>0</v>
      </c>
      <c r="T608" s="9">
        <v>45108</v>
      </c>
      <c r="U608" s="9">
        <v>45473</v>
      </c>
      <c r="V608">
        <f>SUM(POTABLE_NONPOTABLE_API[[#This Row],[RESIDENTIAL_SINGLEFAMILY_GAL]:[OTHER_GAL]])</f>
        <v>89813000</v>
      </c>
      <c r="W608">
        <f>SUM(POTABLE_NONPOTABLE_API[[#This Row],[NONPOTABLE_DEMAND_RESIDENTIAL_RECYCLED_WATER_GAL]:[NONPOTABLE_DEMAND_NONRESIDENTIAL_METERED_IRRIGATION_GAL]])</f>
        <v>0</v>
      </c>
      <c r="X608" t="str">
        <f>IFERROR(INDEX(Crosswalk_API!$H$2:$H$527, MATCH(POTABLE_NONPOTABLE_API[[#This Row],[PWSID]], CW_PWSID_LIST, 0)), "")</f>
        <v>No</v>
      </c>
    </row>
    <row r="609" spans="1:24" x14ac:dyDescent="0.25">
      <c r="A609" t="s">
        <v>882</v>
      </c>
      <c r="B609" t="s">
        <v>883</v>
      </c>
      <c r="C609" t="s">
        <v>888</v>
      </c>
      <c r="D609" t="s">
        <v>889</v>
      </c>
      <c r="E609" s="9">
        <v>45323</v>
      </c>
      <c r="F609" s="9">
        <v>45351</v>
      </c>
      <c r="G609">
        <v>46481853</v>
      </c>
      <c r="H609">
        <v>8319724.0000000009</v>
      </c>
      <c r="I609">
        <v>19893356</v>
      </c>
      <c r="J609">
        <v>1547016</v>
      </c>
      <c r="K609">
        <v>1366324</v>
      </c>
      <c r="L609">
        <v>3667004</v>
      </c>
      <c r="M609">
        <v>0</v>
      </c>
      <c r="T609" s="9">
        <v>45108</v>
      </c>
      <c r="U609" s="9">
        <v>45473</v>
      </c>
      <c r="V609">
        <f>SUM(POTABLE_NONPOTABLE_API[[#This Row],[RESIDENTIAL_SINGLEFAMILY_GAL]:[OTHER_GAL]])</f>
        <v>81275277</v>
      </c>
      <c r="W609">
        <f>SUM(POTABLE_NONPOTABLE_API[[#This Row],[NONPOTABLE_DEMAND_RESIDENTIAL_RECYCLED_WATER_GAL]:[NONPOTABLE_DEMAND_NONRESIDENTIAL_METERED_IRRIGATION_GAL]])</f>
        <v>0</v>
      </c>
      <c r="X609" t="str">
        <f>IFERROR(INDEX(Crosswalk_API!$H$2:$H$527, MATCH(POTABLE_NONPOTABLE_API[[#This Row],[PWSID]], CW_PWSID_LIST, 0)), "")</f>
        <v>No</v>
      </c>
    </row>
    <row r="610" spans="1:24" x14ac:dyDescent="0.25">
      <c r="A610" t="s">
        <v>882</v>
      </c>
      <c r="B610" t="s">
        <v>883</v>
      </c>
      <c r="C610" t="s">
        <v>888</v>
      </c>
      <c r="D610" t="s">
        <v>889</v>
      </c>
      <c r="E610" s="9">
        <v>45352</v>
      </c>
      <c r="F610" s="9">
        <v>45382</v>
      </c>
      <c r="G610">
        <v>34205753</v>
      </c>
      <c r="H610">
        <v>7066956</v>
      </c>
      <c r="I610">
        <v>19475263</v>
      </c>
      <c r="J610">
        <v>771032</v>
      </c>
      <c r="K610">
        <v>783028</v>
      </c>
      <c r="L610">
        <v>2201184</v>
      </c>
      <c r="M610">
        <v>0</v>
      </c>
      <c r="T610" s="9">
        <v>45108</v>
      </c>
      <c r="U610" s="9">
        <v>45473</v>
      </c>
      <c r="V610">
        <f>SUM(POTABLE_NONPOTABLE_API[[#This Row],[RESIDENTIAL_SINGLEFAMILY_GAL]:[OTHER_GAL]])</f>
        <v>64503216</v>
      </c>
      <c r="W610">
        <f>SUM(POTABLE_NONPOTABLE_API[[#This Row],[NONPOTABLE_DEMAND_RESIDENTIAL_RECYCLED_WATER_GAL]:[NONPOTABLE_DEMAND_NONRESIDENTIAL_METERED_IRRIGATION_GAL]])</f>
        <v>0</v>
      </c>
      <c r="X610" t="str">
        <f>IFERROR(INDEX(Crosswalk_API!$H$2:$H$527, MATCH(POTABLE_NONPOTABLE_API[[#This Row],[PWSID]], CW_PWSID_LIST, 0)), "")</f>
        <v>No</v>
      </c>
    </row>
    <row r="611" spans="1:24" x14ac:dyDescent="0.25">
      <c r="A611" t="s">
        <v>882</v>
      </c>
      <c r="B611" t="s">
        <v>883</v>
      </c>
      <c r="C611" t="s">
        <v>888</v>
      </c>
      <c r="D611" t="s">
        <v>889</v>
      </c>
      <c r="E611" s="9">
        <v>45383</v>
      </c>
      <c r="F611" s="9">
        <v>45412</v>
      </c>
      <c r="G611">
        <v>41946080</v>
      </c>
      <c r="H611">
        <v>8060980.0000000009</v>
      </c>
      <c r="I611">
        <v>22226708</v>
      </c>
      <c r="J611">
        <v>1233424</v>
      </c>
      <c r="K611">
        <v>748420</v>
      </c>
      <c r="L611">
        <v>1696000</v>
      </c>
      <c r="M611">
        <v>0</v>
      </c>
      <c r="T611" s="9">
        <v>45108</v>
      </c>
      <c r="U611" s="9">
        <v>45473</v>
      </c>
      <c r="V611">
        <f>SUM(POTABLE_NONPOTABLE_API[[#This Row],[RESIDENTIAL_SINGLEFAMILY_GAL]:[OTHER_GAL]])</f>
        <v>75911612</v>
      </c>
      <c r="W611">
        <f>SUM(POTABLE_NONPOTABLE_API[[#This Row],[NONPOTABLE_DEMAND_RESIDENTIAL_RECYCLED_WATER_GAL]:[NONPOTABLE_DEMAND_NONRESIDENTIAL_METERED_IRRIGATION_GAL]])</f>
        <v>0</v>
      </c>
      <c r="X611" t="str">
        <f>IFERROR(INDEX(Crosswalk_API!$H$2:$H$527, MATCH(POTABLE_NONPOTABLE_API[[#This Row],[PWSID]], CW_PWSID_LIST, 0)), "")</f>
        <v>No</v>
      </c>
    </row>
    <row r="612" spans="1:24" x14ac:dyDescent="0.25">
      <c r="A612" t="s">
        <v>882</v>
      </c>
      <c r="B612" t="s">
        <v>883</v>
      </c>
      <c r="C612" t="s">
        <v>888</v>
      </c>
      <c r="D612" t="s">
        <v>889</v>
      </c>
      <c r="E612" s="9">
        <v>45413</v>
      </c>
      <c r="F612" s="9">
        <v>45443</v>
      </c>
      <c r="G612">
        <v>52030168</v>
      </c>
      <c r="H612">
        <v>8728664</v>
      </c>
      <c r="I612">
        <v>17903652</v>
      </c>
      <c r="J612">
        <v>4592844</v>
      </c>
      <c r="K612">
        <v>863908</v>
      </c>
      <c r="L612">
        <v>4209328</v>
      </c>
      <c r="M612">
        <v>0</v>
      </c>
      <c r="T612" s="9">
        <v>45108</v>
      </c>
      <c r="U612" s="9">
        <v>45473</v>
      </c>
      <c r="V612">
        <f>SUM(POTABLE_NONPOTABLE_API[[#This Row],[RESIDENTIAL_SINGLEFAMILY_GAL]:[OTHER_GAL]])</f>
        <v>88328564</v>
      </c>
      <c r="W612">
        <f>SUM(POTABLE_NONPOTABLE_API[[#This Row],[NONPOTABLE_DEMAND_RESIDENTIAL_RECYCLED_WATER_GAL]:[NONPOTABLE_DEMAND_NONRESIDENTIAL_METERED_IRRIGATION_GAL]])</f>
        <v>0</v>
      </c>
      <c r="X612" t="str">
        <f>IFERROR(INDEX(Crosswalk_API!$H$2:$H$527, MATCH(POTABLE_NONPOTABLE_API[[#This Row],[PWSID]], CW_PWSID_LIST, 0)), "")</f>
        <v>No</v>
      </c>
    </row>
    <row r="613" spans="1:24" x14ac:dyDescent="0.25">
      <c r="A613" t="s">
        <v>882</v>
      </c>
      <c r="B613" t="s">
        <v>883</v>
      </c>
      <c r="C613" t="s">
        <v>888</v>
      </c>
      <c r="D613" t="s">
        <v>889</v>
      </c>
      <c r="E613" s="9">
        <v>45444</v>
      </c>
      <c r="F613" s="9">
        <v>45473</v>
      </c>
      <c r="G613">
        <v>65269810.000000007</v>
      </c>
      <c r="H613">
        <v>10306264</v>
      </c>
      <c r="I613">
        <v>24339983</v>
      </c>
      <c r="J613">
        <v>6420696</v>
      </c>
      <c r="K613">
        <v>952356</v>
      </c>
      <c r="L613">
        <v>7500856</v>
      </c>
      <c r="M613">
        <v>0</v>
      </c>
      <c r="T613" s="9">
        <v>45108</v>
      </c>
      <c r="U613" s="9">
        <v>45473</v>
      </c>
      <c r="V613">
        <f>SUM(POTABLE_NONPOTABLE_API[[#This Row],[RESIDENTIAL_SINGLEFAMILY_GAL]:[OTHER_GAL]])</f>
        <v>114789965</v>
      </c>
      <c r="W613">
        <f>SUM(POTABLE_NONPOTABLE_API[[#This Row],[NONPOTABLE_DEMAND_RESIDENTIAL_RECYCLED_WATER_GAL]:[NONPOTABLE_DEMAND_NONRESIDENTIAL_METERED_IRRIGATION_GAL]])</f>
        <v>0</v>
      </c>
      <c r="X613" t="str">
        <f>IFERROR(INDEX(Crosswalk_API!$H$2:$H$527, MATCH(POTABLE_NONPOTABLE_API[[#This Row],[PWSID]], CW_PWSID_LIST, 0)), "")</f>
        <v>No</v>
      </c>
    </row>
    <row r="614" spans="1:24" x14ac:dyDescent="0.25">
      <c r="A614" t="s">
        <v>890</v>
      </c>
      <c r="B614" t="s">
        <v>891</v>
      </c>
      <c r="C614" t="s">
        <v>892</v>
      </c>
      <c r="D614" t="s">
        <v>893</v>
      </c>
      <c r="E614" s="9">
        <v>45108</v>
      </c>
      <c r="F614" s="9">
        <v>45138</v>
      </c>
      <c r="G614">
        <v>2757000</v>
      </c>
      <c r="H614">
        <v>19000</v>
      </c>
      <c r="I614">
        <v>62000</v>
      </c>
      <c r="J614">
        <v>0</v>
      </c>
      <c r="K614">
        <v>0</v>
      </c>
      <c r="L614">
        <v>122000</v>
      </c>
      <c r="M614">
        <v>0</v>
      </c>
      <c r="T614" s="9">
        <v>45108</v>
      </c>
      <c r="U614" s="9">
        <v>45473</v>
      </c>
      <c r="V614">
        <f>SUM(POTABLE_NONPOTABLE_API[[#This Row],[RESIDENTIAL_SINGLEFAMILY_GAL]:[OTHER_GAL]])</f>
        <v>2960000</v>
      </c>
      <c r="W614">
        <f>SUM(POTABLE_NONPOTABLE_API[[#This Row],[NONPOTABLE_DEMAND_RESIDENTIAL_RECYCLED_WATER_GAL]:[NONPOTABLE_DEMAND_NONRESIDENTIAL_METERED_IRRIGATION_GAL]])</f>
        <v>0</v>
      </c>
      <c r="X614" t="str">
        <f>IFERROR(INDEX(Crosswalk_API!$H$2:$H$527, MATCH(POTABLE_NONPOTABLE_API[[#This Row],[PWSID]], CW_PWSID_LIST, 0)), "")</f>
        <v>No</v>
      </c>
    </row>
    <row r="615" spans="1:24" x14ac:dyDescent="0.25">
      <c r="A615" t="s">
        <v>890</v>
      </c>
      <c r="B615" t="s">
        <v>891</v>
      </c>
      <c r="C615" t="s">
        <v>892</v>
      </c>
      <c r="D615" t="s">
        <v>893</v>
      </c>
      <c r="E615" s="9">
        <v>45139</v>
      </c>
      <c r="F615" s="9">
        <v>45169</v>
      </c>
      <c r="G615">
        <v>2658000</v>
      </c>
      <c r="H615">
        <v>17000</v>
      </c>
      <c r="I615">
        <v>52000</v>
      </c>
      <c r="J615">
        <v>0</v>
      </c>
      <c r="K615">
        <v>0</v>
      </c>
      <c r="L615">
        <v>77000</v>
      </c>
      <c r="M615">
        <v>0</v>
      </c>
      <c r="T615" s="9">
        <v>45108</v>
      </c>
      <c r="U615" s="9">
        <v>45473</v>
      </c>
      <c r="V615">
        <f>SUM(POTABLE_NONPOTABLE_API[[#This Row],[RESIDENTIAL_SINGLEFAMILY_GAL]:[OTHER_GAL]])</f>
        <v>2804000</v>
      </c>
      <c r="W615">
        <f>SUM(POTABLE_NONPOTABLE_API[[#This Row],[NONPOTABLE_DEMAND_RESIDENTIAL_RECYCLED_WATER_GAL]:[NONPOTABLE_DEMAND_NONRESIDENTIAL_METERED_IRRIGATION_GAL]])</f>
        <v>0</v>
      </c>
      <c r="X615" t="str">
        <f>IFERROR(INDEX(Crosswalk_API!$H$2:$H$527, MATCH(POTABLE_NONPOTABLE_API[[#This Row],[PWSID]], CW_PWSID_LIST, 0)), "")</f>
        <v>No</v>
      </c>
    </row>
    <row r="616" spans="1:24" x14ac:dyDescent="0.25">
      <c r="A616" t="s">
        <v>890</v>
      </c>
      <c r="B616" t="s">
        <v>891</v>
      </c>
      <c r="C616" t="s">
        <v>892</v>
      </c>
      <c r="D616" t="s">
        <v>893</v>
      </c>
      <c r="E616" s="9">
        <v>45170</v>
      </c>
      <c r="F616" s="9">
        <v>45199</v>
      </c>
      <c r="G616">
        <v>2562000</v>
      </c>
      <c r="H616">
        <v>18000</v>
      </c>
      <c r="I616">
        <v>56000</v>
      </c>
      <c r="J616">
        <v>0</v>
      </c>
      <c r="K616">
        <v>0</v>
      </c>
      <c r="L616">
        <v>92000</v>
      </c>
      <c r="M616">
        <v>0</v>
      </c>
      <c r="T616" s="9">
        <v>45108</v>
      </c>
      <c r="U616" s="9">
        <v>45473</v>
      </c>
      <c r="V616">
        <f>SUM(POTABLE_NONPOTABLE_API[[#This Row],[RESIDENTIAL_SINGLEFAMILY_GAL]:[OTHER_GAL]])</f>
        <v>2728000</v>
      </c>
      <c r="W616">
        <f>SUM(POTABLE_NONPOTABLE_API[[#This Row],[NONPOTABLE_DEMAND_RESIDENTIAL_RECYCLED_WATER_GAL]:[NONPOTABLE_DEMAND_NONRESIDENTIAL_METERED_IRRIGATION_GAL]])</f>
        <v>0</v>
      </c>
      <c r="X616" t="str">
        <f>IFERROR(INDEX(Crosswalk_API!$H$2:$H$527, MATCH(POTABLE_NONPOTABLE_API[[#This Row],[PWSID]], CW_PWSID_LIST, 0)), "")</f>
        <v>No</v>
      </c>
    </row>
    <row r="617" spans="1:24" x14ac:dyDescent="0.25">
      <c r="A617" t="s">
        <v>890</v>
      </c>
      <c r="B617" t="s">
        <v>891</v>
      </c>
      <c r="C617" t="s">
        <v>892</v>
      </c>
      <c r="D617" t="s">
        <v>893</v>
      </c>
      <c r="E617" s="9">
        <v>45200</v>
      </c>
      <c r="F617" s="9">
        <v>45230</v>
      </c>
      <c r="G617">
        <v>2279000</v>
      </c>
      <c r="H617">
        <v>17000</v>
      </c>
      <c r="I617">
        <v>121000</v>
      </c>
      <c r="J617">
        <v>0</v>
      </c>
      <c r="K617">
        <v>0</v>
      </c>
      <c r="L617">
        <v>382000</v>
      </c>
      <c r="M617">
        <v>0</v>
      </c>
      <c r="T617" s="9">
        <v>45108</v>
      </c>
      <c r="U617" s="9">
        <v>45473</v>
      </c>
      <c r="V617">
        <f>SUM(POTABLE_NONPOTABLE_API[[#This Row],[RESIDENTIAL_SINGLEFAMILY_GAL]:[OTHER_GAL]])</f>
        <v>2799000</v>
      </c>
      <c r="W617">
        <f>SUM(POTABLE_NONPOTABLE_API[[#This Row],[NONPOTABLE_DEMAND_RESIDENTIAL_RECYCLED_WATER_GAL]:[NONPOTABLE_DEMAND_NONRESIDENTIAL_METERED_IRRIGATION_GAL]])</f>
        <v>0</v>
      </c>
      <c r="X617" t="str">
        <f>IFERROR(INDEX(Crosswalk_API!$H$2:$H$527, MATCH(POTABLE_NONPOTABLE_API[[#This Row],[PWSID]], CW_PWSID_LIST, 0)), "")</f>
        <v>No</v>
      </c>
    </row>
    <row r="618" spans="1:24" x14ac:dyDescent="0.25">
      <c r="A618" t="s">
        <v>890</v>
      </c>
      <c r="B618" t="s">
        <v>891</v>
      </c>
      <c r="C618" t="s">
        <v>892</v>
      </c>
      <c r="D618" t="s">
        <v>893</v>
      </c>
      <c r="E618" s="9">
        <v>45231</v>
      </c>
      <c r="F618" s="9">
        <v>45260</v>
      </c>
      <c r="G618">
        <v>2198000</v>
      </c>
      <c r="H618">
        <v>18000</v>
      </c>
      <c r="I618">
        <v>76000</v>
      </c>
      <c r="J618">
        <v>0</v>
      </c>
      <c r="K618">
        <v>0</v>
      </c>
      <c r="L618">
        <v>50000</v>
      </c>
      <c r="M618">
        <v>0</v>
      </c>
      <c r="T618" s="9">
        <v>45108</v>
      </c>
      <c r="U618" s="9">
        <v>45473</v>
      </c>
      <c r="V618">
        <f>SUM(POTABLE_NONPOTABLE_API[[#This Row],[RESIDENTIAL_SINGLEFAMILY_GAL]:[OTHER_GAL]])</f>
        <v>2342000</v>
      </c>
      <c r="W618">
        <f>SUM(POTABLE_NONPOTABLE_API[[#This Row],[NONPOTABLE_DEMAND_RESIDENTIAL_RECYCLED_WATER_GAL]:[NONPOTABLE_DEMAND_NONRESIDENTIAL_METERED_IRRIGATION_GAL]])</f>
        <v>0</v>
      </c>
      <c r="X618" t="str">
        <f>IFERROR(INDEX(Crosswalk_API!$H$2:$H$527, MATCH(POTABLE_NONPOTABLE_API[[#This Row],[PWSID]], CW_PWSID_LIST, 0)), "")</f>
        <v>No</v>
      </c>
    </row>
    <row r="619" spans="1:24" x14ac:dyDescent="0.25">
      <c r="A619" t="s">
        <v>890</v>
      </c>
      <c r="B619" t="s">
        <v>891</v>
      </c>
      <c r="C619" t="s">
        <v>892</v>
      </c>
      <c r="D619" t="s">
        <v>893</v>
      </c>
      <c r="E619" s="9">
        <v>45261</v>
      </c>
      <c r="F619" s="9">
        <v>45291</v>
      </c>
      <c r="G619">
        <v>178000</v>
      </c>
      <c r="H619">
        <v>0</v>
      </c>
      <c r="I619">
        <v>0</v>
      </c>
      <c r="J619">
        <v>0</v>
      </c>
      <c r="K619">
        <v>0</v>
      </c>
      <c r="L619">
        <v>0</v>
      </c>
      <c r="M619">
        <v>0</v>
      </c>
      <c r="T619" s="9">
        <v>45108</v>
      </c>
      <c r="U619" s="9">
        <v>45473</v>
      </c>
      <c r="V619">
        <f>SUM(POTABLE_NONPOTABLE_API[[#This Row],[RESIDENTIAL_SINGLEFAMILY_GAL]:[OTHER_GAL]])</f>
        <v>178000</v>
      </c>
      <c r="W619">
        <f>SUM(POTABLE_NONPOTABLE_API[[#This Row],[NONPOTABLE_DEMAND_RESIDENTIAL_RECYCLED_WATER_GAL]:[NONPOTABLE_DEMAND_NONRESIDENTIAL_METERED_IRRIGATION_GAL]])</f>
        <v>0</v>
      </c>
      <c r="X619" t="str">
        <f>IFERROR(INDEX(Crosswalk_API!$H$2:$H$527, MATCH(POTABLE_NONPOTABLE_API[[#This Row],[PWSID]], CW_PWSID_LIST, 0)), "")</f>
        <v>No</v>
      </c>
    </row>
    <row r="620" spans="1:24" x14ac:dyDescent="0.25">
      <c r="A620" t="s">
        <v>890</v>
      </c>
      <c r="B620" t="s">
        <v>891</v>
      </c>
      <c r="C620" t="s">
        <v>892</v>
      </c>
      <c r="D620" t="s">
        <v>893</v>
      </c>
      <c r="E620" s="9">
        <v>45292</v>
      </c>
      <c r="F620" s="9">
        <v>45322</v>
      </c>
      <c r="G620">
        <v>2914000</v>
      </c>
      <c r="H620">
        <v>36000</v>
      </c>
      <c r="I620">
        <v>100000</v>
      </c>
      <c r="J620">
        <v>0</v>
      </c>
      <c r="K620">
        <v>0</v>
      </c>
      <c r="L620">
        <v>35000</v>
      </c>
      <c r="M620">
        <v>0</v>
      </c>
      <c r="T620" s="9">
        <v>45108</v>
      </c>
      <c r="U620" s="9">
        <v>45473</v>
      </c>
      <c r="V620">
        <f>SUM(POTABLE_NONPOTABLE_API[[#This Row],[RESIDENTIAL_SINGLEFAMILY_GAL]:[OTHER_GAL]])</f>
        <v>3085000</v>
      </c>
      <c r="W620">
        <f>SUM(POTABLE_NONPOTABLE_API[[#This Row],[NONPOTABLE_DEMAND_RESIDENTIAL_RECYCLED_WATER_GAL]:[NONPOTABLE_DEMAND_NONRESIDENTIAL_METERED_IRRIGATION_GAL]])</f>
        <v>0</v>
      </c>
      <c r="X620" t="str">
        <f>IFERROR(INDEX(Crosswalk_API!$H$2:$H$527, MATCH(POTABLE_NONPOTABLE_API[[#This Row],[PWSID]], CW_PWSID_LIST, 0)), "")</f>
        <v>No</v>
      </c>
    </row>
    <row r="621" spans="1:24" x14ac:dyDescent="0.25">
      <c r="A621" t="s">
        <v>890</v>
      </c>
      <c r="B621" t="s">
        <v>891</v>
      </c>
      <c r="C621" t="s">
        <v>892</v>
      </c>
      <c r="D621" t="s">
        <v>893</v>
      </c>
      <c r="E621" s="9">
        <v>45323</v>
      </c>
      <c r="F621" s="9">
        <v>45351</v>
      </c>
      <c r="G621">
        <v>1799000</v>
      </c>
      <c r="H621">
        <v>20000</v>
      </c>
      <c r="I621">
        <v>46000</v>
      </c>
      <c r="J621">
        <v>0</v>
      </c>
      <c r="K621">
        <v>0</v>
      </c>
      <c r="L621">
        <v>5000</v>
      </c>
      <c r="M621">
        <v>0</v>
      </c>
      <c r="T621" s="9">
        <v>45108</v>
      </c>
      <c r="U621" s="9">
        <v>45473</v>
      </c>
      <c r="V621">
        <f>SUM(POTABLE_NONPOTABLE_API[[#This Row],[RESIDENTIAL_SINGLEFAMILY_GAL]:[OTHER_GAL]])</f>
        <v>1870000</v>
      </c>
      <c r="W621">
        <f>SUM(POTABLE_NONPOTABLE_API[[#This Row],[NONPOTABLE_DEMAND_RESIDENTIAL_RECYCLED_WATER_GAL]:[NONPOTABLE_DEMAND_NONRESIDENTIAL_METERED_IRRIGATION_GAL]])</f>
        <v>0</v>
      </c>
      <c r="X621" t="str">
        <f>IFERROR(INDEX(Crosswalk_API!$H$2:$H$527, MATCH(POTABLE_NONPOTABLE_API[[#This Row],[PWSID]], CW_PWSID_LIST, 0)), "")</f>
        <v>No</v>
      </c>
    </row>
    <row r="622" spans="1:24" x14ac:dyDescent="0.25">
      <c r="A622" t="s">
        <v>890</v>
      </c>
      <c r="B622" t="s">
        <v>891</v>
      </c>
      <c r="C622" t="s">
        <v>892</v>
      </c>
      <c r="D622" t="s">
        <v>893</v>
      </c>
      <c r="E622" s="9">
        <v>45352</v>
      </c>
      <c r="F622" s="9">
        <v>45382</v>
      </c>
      <c r="G622">
        <v>1982000</v>
      </c>
      <c r="H622">
        <v>20000</v>
      </c>
      <c r="I622">
        <v>47000</v>
      </c>
      <c r="J622">
        <v>0</v>
      </c>
      <c r="K622">
        <v>0</v>
      </c>
      <c r="L622">
        <v>65000</v>
      </c>
      <c r="M622">
        <v>0</v>
      </c>
      <c r="T622" s="9">
        <v>45108</v>
      </c>
      <c r="U622" s="9">
        <v>45473</v>
      </c>
      <c r="V622">
        <f>SUM(POTABLE_NONPOTABLE_API[[#This Row],[RESIDENTIAL_SINGLEFAMILY_GAL]:[OTHER_GAL]])</f>
        <v>2114000</v>
      </c>
      <c r="W622">
        <f>SUM(POTABLE_NONPOTABLE_API[[#This Row],[NONPOTABLE_DEMAND_RESIDENTIAL_RECYCLED_WATER_GAL]:[NONPOTABLE_DEMAND_NONRESIDENTIAL_METERED_IRRIGATION_GAL]])</f>
        <v>0</v>
      </c>
      <c r="X622" t="str">
        <f>IFERROR(INDEX(Crosswalk_API!$H$2:$H$527, MATCH(POTABLE_NONPOTABLE_API[[#This Row],[PWSID]], CW_PWSID_LIST, 0)), "")</f>
        <v>No</v>
      </c>
    </row>
    <row r="623" spans="1:24" x14ac:dyDescent="0.25">
      <c r="A623" t="s">
        <v>890</v>
      </c>
      <c r="B623" t="s">
        <v>891</v>
      </c>
      <c r="C623" t="s">
        <v>892</v>
      </c>
      <c r="D623" t="s">
        <v>893</v>
      </c>
      <c r="E623" s="9">
        <v>45383</v>
      </c>
      <c r="F623" s="9">
        <v>45412</v>
      </c>
      <c r="G623">
        <v>1857000</v>
      </c>
      <c r="H623">
        <v>20000</v>
      </c>
      <c r="I623">
        <v>44000</v>
      </c>
      <c r="J623">
        <v>0</v>
      </c>
      <c r="K623">
        <v>0</v>
      </c>
      <c r="L623">
        <v>26000</v>
      </c>
      <c r="M623">
        <v>0</v>
      </c>
      <c r="T623" s="9">
        <v>45108</v>
      </c>
      <c r="U623" s="9">
        <v>45473</v>
      </c>
      <c r="V623">
        <f>SUM(POTABLE_NONPOTABLE_API[[#This Row],[RESIDENTIAL_SINGLEFAMILY_GAL]:[OTHER_GAL]])</f>
        <v>1947000</v>
      </c>
      <c r="W623">
        <f>SUM(POTABLE_NONPOTABLE_API[[#This Row],[NONPOTABLE_DEMAND_RESIDENTIAL_RECYCLED_WATER_GAL]:[NONPOTABLE_DEMAND_NONRESIDENTIAL_METERED_IRRIGATION_GAL]])</f>
        <v>0</v>
      </c>
      <c r="X623" t="str">
        <f>IFERROR(INDEX(Crosswalk_API!$H$2:$H$527, MATCH(POTABLE_NONPOTABLE_API[[#This Row],[PWSID]], CW_PWSID_LIST, 0)), "")</f>
        <v>No</v>
      </c>
    </row>
    <row r="624" spans="1:24" x14ac:dyDescent="0.25">
      <c r="A624" t="s">
        <v>890</v>
      </c>
      <c r="B624" t="s">
        <v>891</v>
      </c>
      <c r="C624" t="s">
        <v>892</v>
      </c>
      <c r="D624" t="s">
        <v>893</v>
      </c>
      <c r="E624" s="9">
        <v>45413</v>
      </c>
      <c r="F624" s="9">
        <v>45443</v>
      </c>
      <c r="G624">
        <v>2191000</v>
      </c>
      <c r="H624">
        <v>19000</v>
      </c>
      <c r="I624">
        <v>62000</v>
      </c>
      <c r="J624">
        <v>0</v>
      </c>
      <c r="K624">
        <v>0</v>
      </c>
      <c r="L624">
        <v>69000</v>
      </c>
      <c r="M624">
        <v>0</v>
      </c>
      <c r="T624" s="9">
        <v>45108</v>
      </c>
      <c r="U624" s="9">
        <v>45473</v>
      </c>
      <c r="V624">
        <f>SUM(POTABLE_NONPOTABLE_API[[#This Row],[RESIDENTIAL_SINGLEFAMILY_GAL]:[OTHER_GAL]])</f>
        <v>2341000</v>
      </c>
      <c r="W624">
        <f>SUM(POTABLE_NONPOTABLE_API[[#This Row],[NONPOTABLE_DEMAND_RESIDENTIAL_RECYCLED_WATER_GAL]:[NONPOTABLE_DEMAND_NONRESIDENTIAL_METERED_IRRIGATION_GAL]])</f>
        <v>0</v>
      </c>
      <c r="X624" t="str">
        <f>IFERROR(INDEX(Crosswalk_API!$H$2:$H$527, MATCH(POTABLE_NONPOTABLE_API[[#This Row],[PWSID]], CW_PWSID_LIST, 0)), "")</f>
        <v>No</v>
      </c>
    </row>
    <row r="625" spans="1:24" x14ac:dyDescent="0.25">
      <c r="A625" t="s">
        <v>890</v>
      </c>
      <c r="B625" t="s">
        <v>891</v>
      </c>
      <c r="C625" t="s">
        <v>892</v>
      </c>
      <c r="D625" t="s">
        <v>893</v>
      </c>
      <c r="E625" s="9">
        <v>45444</v>
      </c>
      <c r="F625" s="9">
        <v>45473</v>
      </c>
      <c r="G625">
        <v>2805000</v>
      </c>
      <c r="H625">
        <v>17000</v>
      </c>
      <c r="I625">
        <v>76000</v>
      </c>
      <c r="J625">
        <v>0</v>
      </c>
      <c r="K625">
        <v>0</v>
      </c>
      <c r="L625">
        <v>115000</v>
      </c>
      <c r="M625">
        <v>0</v>
      </c>
      <c r="T625" s="9">
        <v>45108</v>
      </c>
      <c r="U625" s="9">
        <v>45473</v>
      </c>
      <c r="V625">
        <f>SUM(POTABLE_NONPOTABLE_API[[#This Row],[RESIDENTIAL_SINGLEFAMILY_GAL]:[OTHER_GAL]])</f>
        <v>3013000</v>
      </c>
      <c r="W625">
        <f>SUM(POTABLE_NONPOTABLE_API[[#This Row],[NONPOTABLE_DEMAND_RESIDENTIAL_RECYCLED_WATER_GAL]:[NONPOTABLE_DEMAND_NONRESIDENTIAL_METERED_IRRIGATION_GAL]])</f>
        <v>0</v>
      </c>
      <c r="X625" t="str">
        <f>IFERROR(INDEX(Crosswalk_API!$H$2:$H$527, MATCH(POTABLE_NONPOTABLE_API[[#This Row],[PWSID]], CW_PWSID_LIST, 0)), "")</f>
        <v>No</v>
      </c>
    </row>
    <row r="626" spans="1:24" x14ac:dyDescent="0.25">
      <c r="A626" t="s">
        <v>890</v>
      </c>
      <c r="B626" t="s">
        <v>891</v>
      </c>
      <c r="C626" t="s">
        <v>894</v>
      </c>
      <c r="D626" t="s">
        <v>895</v>
      </c>
      <c r="E626" s="9">
        <v>45108</v>
      </c>
      <c r="F626" s="9">
        <v>45138</v>
      </c>
      <c r="G626">
        <v>576000</v>
      </c>
      <c r="H626">
        <v>0</v>
      </c>
      <c r="I626">
        <v>8000</v>
      </c>
      <c r="J626">
        <v>0</v>
      </c>
      <c r="K626">
        <v>0</v>
      </c>
      <c r="L626">
        <v>0</v>
      </c>
      <c r="M626">
        <v>0</v>
      </c>
      <c r="T626" s="9">
        <v>45108</v>
      </c>
      <c r="U626" s="9">
        <v>45473</v>
      </c>
      <c r="V626">
        <f>SUM(POTABLE_NONPOTABLE_API[[#This Row],[RESIDENTIAL_SINGLEFAMILY_GAL]:[OTHER_GAL]])</f>
        <v>584000</v>
      </c>
      <c r="W626">
        <f>SUM(POTABLE_NONPOTABLE_API[[#This Row],[NONPOTABLE_DEMAND_RESIDENTIAL_RECYCLED_WATER_GAL]:[NONPOTABLE_DEMAND_NONRESIDENTIAL_METERED_IRRIGATION_GAL]])</f>
        <v>0</v>
      </c>
      <c r="X626" t="str">
        <f>IFERROR(INDEX(Crosswalk_API!$H$2:$H$527, MATCH(POTABLE_NONPOTABLE_API[[#This Row],[PWSID]], CW_PWSID_LIST, 0)), "")</f>
        <v>No</v>
      </c>
    </row>
    <row r="627" spans="1:24" x14ac:dyDescent="0.25">
      <c r="A627" t="s">
        <v>890</v>
      </c>
      <c r="B627" t="s">
        <v>891</v>
      </c>
      <c r="C627" t="s">
        <v>894</v>
      </c>
      <c r="D627" t="s">
        <v>895</v>
      </c>
      <c r="E627" s="9">
        <v>45139</v>
      </c>
      <c r="F627" s="9">
        <v>45169</v>
      </c>
      <c r="G627">
        <v>504000</v>
      </c>
      <c r="H627">
        <v>0</v>
      </c>
      <c r="I627">
        <v>5000</v>
      </c>
      <c r="J627">
        <v>0</v>
      </c>
      <c r="K627">
        <v>0</v>
      </c>
      <c r="L627">
        <v>0</v>
      </c>
      <c r="M627">
        <v>0</v>
      </c>
      <c r="T627" s="9">
        <v>45108</v>
      </c>
      <c r="U627" s="9">
        <v>45473</v>
      </c>
      <c r="V627">
        <f>SUM(POTABLE_NONPOTABLE_API[[#This Row],[RESIDENTIAL_SINGLEFAMILY_GAL]:[OTHER_GAL]])</f>
        <v>509000</v>
      </c>
      <c r="W627">
        <f>SUM(POTABLE_NONPOTABLE_API[[#This Row],[NONPOTABLE_DEMAND_RESIDENTIAL_RECYCLED_WATER_GAL]:[NONPOTABLE_DEMAND_NONRESIDENTIAL_METERED_IRRIGATION_GAL]])</f>
        <v>0</v>
      </c>
      <c r="X627" t="str">
        <f>IFERROR(INDEX(Crosswalk_API!$H$2:$H$527, MATCH(POTABLE_NONPOTABLE_API[[#This Row],[PWSID]], CW_PWSID_LIST, 0)), "")</f>
        <v>No</v>
      </c>
    </row>
    <row r="628" spans="1:24" x14ac:dyDescent="0.25">
      <c r="A628" t="s">
        <v>890</v>
      </c>
      <c r="B628" t="s">
        <v>891</v>
      </c>
      <c r="C628" t="s">
        <v>894</v>
      </c>
      <c r="D628" t="s">
        <v>895</v>
      </c>
      <c r="E628" s="9">
        <v>45170</v>
      </c>
      <c r="F628" s="9">
        <v>45199</v>
      </c>
      <c r="G628">
        <v>652000</v>
      </c>
      <c r="H628">
        <v>0</v>
      </c>
      <c r="I628">
        <v>13000</v>
      </c>
      <c r="J628">
        <v>0</v>
      </c>
      <c r="K628">
        <v>0</v>
      </c>
      <c r="L628">
        <v>0</v>
      </c>
      <c r="M628">
        <v>0</v>
      </c>
      <c r="T628" s="9">
        <v>45108</v>
      </c>
      <c r="U628" s="9">
        <v>45473</v>
      </c>
      <c r="V628">
        <f>SUM(POTABLE_NONPOTABLE_API[[#This Row],[RESIDENTIAL_SINGLEFAMILY_GAL]:[OTHER_GAL]])</f>
        <v>665000</v>
      </c>
      <c r="W628">
        <f>SUM(POTABLE_NONPOTABLE_API[[#This Row],[NONPOTABLE_DEMAND_RESIDENTIAL_RECYCLED_WATER_GAL]:[NONPOTABLE_DEMAND_NONRESIDENTIAL_METERED_IRRIGATION_GAL]])</f>
        <v>0</v>
      </c>
      <c r="X628" t="str">
        <f>IFERROR(INDEX(Crosswalk_API!$H$2:$H$527, MATCH(POTABLE_NONPOTABLE_API[[#This Row],[PWSID]], CW_PWSID_LIST, 0)), "")</f>
        <v>No</v>
      </c>
    </row>
    <row r="629" spans="1:24" x14ac:dyDescent="0.25">
      <c r="A629" t="s">
        <v>890</v>
      </c>
      <c r="B629" t="s">
        <v>891</v>
      </c>
      <c r="C629" t="s">
        <v>894</v>
      </c>
      <c r="D629" t="s">
        <v>895</v>
      </c>
      <c r="E629" s="9">
        <v>45200</v>
      </c>
      <c r="F629" s="9">
        <v>45230</v>
      </c>
      <c r="G629">
        <v>590000</v>
      </c>
      <c r="H629">
        <v>0</v>
      </c>
      <c r="I629">
        <v>8000</v>
      </c>
      <c r="J629">
        <v>0</v>
      </c>
      <c r="K629">
        <v>0</v>
      </c>
      <c r="L629">
        <v>0</v>
      </c>
      <c r="M629">
        <v>0</v>
      </c>
      <c r="T629" s="9">
        <v>45108</v>
      </c>
      <c r="U629" s="9">
        <v>45473</v>
      </c>
      <c r="V629">
        <f>SUM(POTABLE_NONPOTABLE_API[[#This Row],[RESIDENTIAL_SINGLEFAMILY_GAL]:[OTHER_GAL]])</f>
        <v>598000</v>
      </c>
      <c r="W629">
        <f>SUM(POTABLE_NONPOTABLE_API[[#This Row],[NONPOTABLE_DEMAND_RESIDENTIAL_RECYCLED_WATER_GAL]:[NONPOTABLE_DEMAND_NONRESIDENTIAL_METERED_IRRIGATION_GAL]])</f>
        <v>0</v>
      </c>
      <c r="X629" t="str">
        <f>IFERROR(INDEX(Crosswalk_API!$H$2:$H$527, MATCH(POTABLE_NONPOTABLE_API[[#This Row],[PWSID]], CW_PWSID_LIST, 0)), "")</f>
        <v>No</v>
      </c>
    </row>
    <row r="630" spans="1:24" x14ac:dyDescent="0.25">
      <c r="A630" t="s">
        <v>890</v>
      </c>
      <c r="B630" t="s">
        <v>891</v>
      </c>
      <c r="C630" t="s">
        <v>894</v>
      </c>
      <c r="D630" t="s">
        <v>895</v>
      </c>
      <c r="E630" s="9">
        <v>45231</v>
      </c>
      <c r="F630" s="9">
        <v>45260</v>
      </c>
      <c r="G630">
        <v>545000</v>
      </c>
      <c r="H630">
        <v>0</v>
      </c>
      <c r="I630">
        <v>17000</v>
      </c>
      <c r="J630">
        <v>0</v>
      </c>
      <c r="K630">
        <v>0</v>
      </c>
      <c r="L630">
        <v>0</v>
      </c>
      <c r="M630">
        <v>0</v>
      </c>
      <c r="T630" s="9">
        <v>45108</v>
      </c>
      <c r="U630" s="9">
        <v>45473</v>
      </c>
      <c r="V630">
        <f>SUM(POTABLE_NONPOTABLE_API[[#This Row],[RESIDENTIAL_SINGLEFAMILY_GAL]:[OTHER_GAL]])</f>
        <v>562000</v>
      </c>
      <c r="W630">
        <f>SUM(POTABLE_NONPOTABLE_API[[#This Row],[NONPOTABLE_DEMAND_RESIDENTIAL_RECYCLED_WATER_GAL]:[NONPOTABLE_DEMAND_NONRESIDENTIAL_METERED_IRRIGATION_GAL]])</f>
        <v>0</v>
      </c>
      <c r="X630" t="str">
        <f>IFERROR(INDEX(Crosswalk_API!$H$2:$H$527, MATCH(POTABLE_NONPOTABLE_API[[#This Row],[PWSID]], CW_PWSID_LIST, 0)), "")</f>
        <v>No</v>
      </c>
    </row>
    <row r="631" spans="1:24" x14ac:dyDescent="0.25">
      <c r="A631" t="s">
        <v>890</v>
      </c>
      <c r="B631" t="s">
        <v>891</v>
      </c>
      <c r="C631" t="s">
        <v>894</v>
      </c>
      <c r="D631" t="s">
        <v>895</v>
      </c>
      <c r="E631" s="9">
        <v>45261</v>
      </c>
      <c r="F631" s="9">
        <v>45291</v>
      </c>
      <c r="G631">
        <v>464000</v>
      </c>
      <c r="H631">
        <v>0</v>
      </c>
      <c r="I631">
        <v>11000</v>
      </c>
      <c r="J631">
        <v>0</v>
      </c>
      <c r="K631">
        <v>0</v>
      </c>
      <c r="L631">
        <v>0</v>
      </c>
      <c r="M631">
        <v>0</v>
      </c>
      <c r="T631" s="9">
        <v>45108</v>
      </c>
      <c r="U631" s="9">
        <v>45473</v>
      </c>
      <c r="V631">
        <f>SUM(POTABLE_NONPOTABLE_API[[#This Row],[RESIDENTIAL_SINGLEFAMILY_GAL]:[OTHER_GAL]])</f>
        <v>475000</v>
      </c>
      <c r="W631">
        <f>SUM(POTABLE_NONPOTABLE_API[[#This Row],[NONPOTABLE_DEMAND_RESIDENTIAL_RECYCLED_WATER_GAL]:[NONPOTABLE_DEMAND_NONRESIDENTIAL_METERED_IRRIGATION_GAL]])</f>
        <v>0</v>
      </c>
      <c r="X631" t="str">
        <f>IFERROR(INDEX(Crosswalk_API!$H$2:$H$527, MATCH(POTABLE_NONPOTABLE_API[[#This Row],[PWSID]], CW_PWSID_LIST, 0)), "")</f>
        <v>No</v>
      </c>
    </row>
    <row r="632" spans="1:24" x14ac:dyDescent="0.25">
      <c r="A632" t="s">
        <v>890</v>
      </c>
      <c r="B632" t="s">
        <v>891</v>
      </c>
      <c r="C632" t="s">
        <v>894</v>
      </c>
      <c r="D632" t="s">
        <v>895</v>
      </c>
      <c r="E632" s="9">
        <v>45292</v>
      </c>
      <c r="F632" s="9">
        <v>45322</v>
      </c>
      <c r="G632">
        <v>317000</v>
      </c>
      <c r="H632">
        <v>0</v>
      </c>
      <c r="I632">
        <v>5000</v>
      </c>
      <c r="J632">
        <v>0</v>
      </c>
      <c r="K632">
        <v>0</v>
      </c>
      <c r="L632">
        <v>0</v>
      </c>
      <c r="M632">
        <v>0</v>
      </c>
      <c r="T632" s="9">
        <v>45108</v>
      </c>
      <c r="U632" s="9">
        <v>45473</v>
      </c>
      <c r="V632">
        <f>SUM(POTABLE_NONPOTABLE_API[[#This Row],[RESIDENTIAL_SINGLEFAMILY_GAL]:[OTHER_GAL]])</f>
        <v>322000</v>
      </c>
      <c r="W632">
        <f>SUM(POTABLE_NONPOTABLE_API[[#This Row],[NONPOTABLE_DEMAND_RESIDENTIAL_RECYCLED_WATER_GAL]:[NONPOTABLE_DEMAND_NONRESIDENTIAL_METERED_IRRIGATION_GAL]])</f>
        <v>0</v>
      </c>
      <c r="X632" t="str">
        <f>IFERROR(INDEX(Crosswalk_API!$H$2:$H$527, MATCH(POTABLE_NONPOTABLE_API[[#This Row],[PWSID]], CW_PWSID_LIST, 0)), "")</f>
        <v>No</v>
      </c>
    </row>
    <row r="633" spans="1:24" x14ac:dyDescent="0.25">
      <c r="A633" t="s">
        <v>890</v>
      </c>
      <c r="B633" t="s">
        <v>891</v>
      </c>
      <c r="C633" t="s">
        <v>894</v>
      </c>
      <c r="D633" t="s">
        <v>895</v>
      </c>
      <c r="E633" s="9">
        <v>45323</v>
      </c>
      <c r="F633" s="9">
        <v>45351</v>
      </c>
      <c r="G633">
        <v>174000</v>
      </c>
      <c r="H633">
        <v>0</v>
      </c>
      <c r="I633">
        <v>7000</v>
      </c>
      <c r="J633">
        <v>0</v>
      </c>
      <c r="K633">
        <v>0</v>
      </c>
      <c r="L633">
        <v>0</v>
      </c>
      <c r="M633">
        <v>0</v>
      </c>
      <c r="T633" s="9">
        <v>45108</v>
      </c>
      <c r="U633" s="9">
        <v>45473</v>
      </c>
      <c r="V633">
        <f>SUM(POTABLE_NONPOTABLE_API[[#This Row],[RESIDENTIAL_SINGLEFAMILY_GAL]:[OTHER_GAL]])</f>
        <v>181000</v>
      </c>
      <c r="W633">
        <f>SUM(POTABLE_NONPOTABLE_API[[#This Row],[NONPOTABLE_DEMAND_RESIDENTIAL_RECYCLED_WATER_GAL]:[NONPOTABLE_DEMAND_NONRESIDENTIAL_METERED_IRRIGATION_GAL]])</f>
        <v>0</v>
      </c>
      <c r="X633" t="str">
        <f>IFERROR(INDEX(Crosswalk_API!$H$2:$H$527, MATCH(POTABLE_NONPOTABLE_API[[#This Row],[PWSID]], CW_PWSID_LIST, 0)), "")</f>
        <v>No</v>
      </c>
    </row>
    <row r="634" spans="1:24" x14ac:dyDescent="0.25">
      <c r="A634" t="s">
        <v>890</v>
      </c>
      <c r="B634" t="s">
        <v>891</v>
      </c>
      <c r="C634" t="s">
        <v>894</v>
      </c>
      <c r="D634" t="s">
        <v>895</v>
      </c>
      <c r="E634" s="9">
        <v>45352</v>
      </c>
      <c r="F634" s="9">
        <v>45382</v>
      </c>
      <c r="G634">
        <v>179000</v>
      </c>
      <c r="H634">
        <v>0</v>
      </c>
      <c r="I634">
        <v>7000</v>
      </c>
      <c r="J634">
        <v>0</v>
      </c>
      <c r="K634">
        <v>0</v>
      </c>
      <c r="L634">
        <v>0</v>
      </c>
      <c r="M634">
        <v>0</v>
      </c>
      <c r="T634" s="9">
        <v>45108</v>
      </c>
      <c r="U634" s="9">
        <v>45473</v>
      </c>
      <c r="V634">
        <f>SUM(POTABLE_NONPOTABLE_API[[#This Row],[RESIDENTIAL_SINGLEFAMILY_GAL]:[OTHER_GAL]])</f>
        <v>186000</v>
      </c>
      <c r="W634">
        <f>SUM(POTABLE_NONPOTABLE_API[[#This Row],[NONPOTABLE_DEMAND_RESIDENTIAL_RECYCLED_WATER_GAL]:[NONPOTABLE_DEMAND_NONRESIDENTIAL_METERED_IRRIGATION_GAL]])</f>
        <v>0</v>
      </c>
      <c r="X634" t="str">
        <f>IFERROR(INDEX(Crosswalk_API!$H$2:$H$527, MATCH(POTABLE_NONPOTABLE_API[[#This Row],[PWSID]], CW_PWSID_LIST, 0)), "")</f>
        <v>No</v>
      </c>
    </row>
    <row r="635" spans="1:24" x14ac:dyDescent="0.25">
      <c r="A635" t="s">
        <v>890</v>
      </c>
      <c r="B635" t="s">
        <v>891</v>
      </c>
      <c r="C635" t="s">
        <v>894</v>
      </c>
      <c r="D635" t="s">
        <v>895</v>
      </c>
      <c r="E635" s="9">
        <v>45383</v>
      </c>
      <c r="F635" s="9">
        <v>45412</v>
      </c>
      <c r="G635">
        <v>223000</v>
      </c>
      <c r="H635">
        <v>0</v>
      </c>
      <c r="I635">
        <v>4000</v>
      </c>
      <c r="J635">
        <v>0</v>
      </c>
      <c r="K635">
        <v>0</v>
      </c>
      <c r="L635">
        <v>0</v>
      </c>
      <c r="M635">
        <v>0</v>
      </c>
      <c r="T635" s="9">
        <v>45108</v>
      </c>
      <c r="U635" s="9">
        <v>45473</v>
      </c>
      <c r="V635">
        <f>SUM(POTABLE_NONPOTABLE_API[[#This Row],[RESIDENTIAL_SINGLEFAMILY_GAL]:[OTHER_GAL]])</f>
        <v>227000</v>
      </c>
      <c r="W635">
        <f>SUM(POTABLE_NONPOTABLE_API[[#This Row],[NONPOTABLE_DEMAND_RESIDENTIAL_RECYCLED_WATER_GAL]:[NONPOTABLE_DEMAND_NONRESIDENTIAL_METERED_IRRIGATION_GAL]])</f>
        <v>0</v>
      </c>
      <c r="X635" t="str">
        <f>IFERROR(INDEX(Crosswalk_API!$H$2:$H$527, MATCH(POTABLE_NONPOTABLE_API[[#This Row],[PWSID]], CW_PWSID_LIST, 0)), "")</f>
        <v>No</v>
      </c>
    </row>
    <row r="636" spans="1:24" x14ac:dyDescent="0.25">
      <c r="A636" t="s">
        <v>890</v>
      </c>
      <c r="B636" t="s">
        <v>891</v>
      </c>
      <c r="C636" t="s">
        <v>894</v>
      </c>
      <c r="D636" t="s">
        <v>895</v>
      </c>
      <c r="E636" s="9">
        <v>45413</v>
      </c>
      <c r="F636" s="9">
        <v>45443</v>
      </c>
      <c r="G636">
        <v>275000</v>
      </c>
      <c r="H636">
        <v>0</v>
      </c>
      <c r="I636">
        <v>6000</v>
      </c>
      <c r="J636">
        <v>0</v>
      </c>
      <c r="K636">
        <v>0</v>
      </c>
      <c r="L636">
        <v>0</v>
      </c>
      <c r="M636">
        <v>0</v>
      </c>
      <c r="T636" s="9">
        <v>45108</v>
      </c>
      <c r="U636" s="9">
        <v>45473</v>
      </c>
      <c r="V636">
        <f>SUM(POTABLE_NONPOTABLE_API[[#This Row],[RESIDENTIAL_SINGLEFAMILY_GAL]:[OTHER_GAL]])</f>
        <v>281000</v>
      </c>
      <c r="W636">
        <f>SUM(POTABLE_NONPOTABLE_API[[#This Row],[NONPOTABLE_DEMAND_RESIDENTIAL_RECYCLED_WATER_GAL]:[NONPOTABLE_DEMAND_NONRESIDENTIAL_METERED_IRRIGATION_GAL]])</f>
        <v>0</v>
      </c>
      <c r="X636" t="str">
        <f>IFERROR(INDEX(Crosswalk_API!$H$2:$H$527, MATCH(POTABLE_NONPOTABLE_API[[#This Row],[PWSID]], CW_PWSID_LIST, 0)), "")</f>
        <v>No</v>
      </c>
    </row>
    <row r="637" spans="1:24" x14ac:dyDescent="0.25">
      <c r="A637" t="s">
        <v>890</v>
      </c>
      <c r="B637" t="s">
        <v>891</v>
      </c>
      <c r="C637" t="s">
        <v>894</v>
      </c>
      <c r="D637" t="s">
        <v>895</v>
      </c>
      <c r="E637" s="9">
        <v>45444</v>
      </c>
      <c r="F637" s="9">
        <v>45473</v>
      </c>
      <c r="G637">
        <v>384000</v>
      </c>
      <c r="H637">
        <v>0</v>
      </c>
      <c r="I637">
        <v>5000</v>
      </c>
      <c r="J637">
        <v>0</v>
      </c>
      <c r="K637">
        <v>0</v>
      </c>
      <c r="L637">
        <v>0</v>
      </c>
      <c r="M637">
        <v>0</v>
      </c>
      <c r="T637" s="9">
        <v>45108</v>
      </c>
      <c r="U637" s="9">
        <v>45473</v>
      </c>
      <c r="V637">
        <f>SUM(POTABLE_NONPOTABLE_API[[#This Row],[RESIDENTIAL_SINGLEFAMILY_GAL]:[OTHER_GAL]])</f>
        <v>389000</v>
      </c>
      <c r="W637">
        <f>SUM(POTABLE_NONPOTABLE_API[[#This Row],[NONPOTABLE_DEMAND_RESIDENTIAL_RECYCLED_WATER_GAL]:[NONPOTABLE_DEMAND_NONRESIDENTIAL_METERED_IRRIGATION_GAL]])</f>
        <v>0</v>
      </c>
      <c r="X637" t="str">
        <f>IFERROR(INDEX(Crosswalk_API!$H$2:$H$527, MATCH(POTABLE_NONPOTABLE_API[[#This Row],[PWSID]], CW_PWSID_LIST, 0)), "")</f>
        <v>No</v>
      </c>
    </row>
    <row r="638" spans="1:24" x14ac:dyDescent="0.25">
      <c r="A638" t="s">
        <v>890</v>
      </c>
      <c r="B638" t="s">
        <v>891</v>
      </c>
      <c r="C638" t="s">
        <v>896</v>
      </c>
      <c r="D638" t="s">
        <v>897</v>
      </c>
      <c r="E638" s="9">
        <v>45108</v>
      </c>
      <c r="F638" s="9">
        <v>45138</v>
      </c>
      <c r="G638">
        <v>189000</v>
      </c>
      <c r="H638">
        <v>0</v>
      </c>
      <c r="I638">
        <v>0</v>
      </c>
      <c r="J638">
        <v>0</v>
      </c>
      <c r="K638">
        <v>0</v>
      </c>
      <c r="L638">
        <v>8000</v>
      </c>
      <c r="M638">
        <v>0</v>
      </c>
      <c r="T638" s="9">
        <v>45108</v>
      </c>
      <c r="U638" s="9">
        <v>45473</v>
      </c>
      <c r="V638">
        <f>SUM(POTABLE_NONPOTABLE_API[[#This Row],[RESIDENTIAL_SINGLEFAMILY_GAL]:[OTHER_GAL]])</f>
        <v>197000</v>
      </c>
      <c r="W638">
        <f>SUM(POTABLE_NONPOTABLE_API[[#This Row],[NONPOTABLE_DEMAND_RESIDENTIAL_RECYCLED_WATER_GAL]:[NONPOTABLE_DEMAND_NONRESIDENTIAL_METERED_IRRIGATION_GAL]])</f>
        <v>0</v>
      </c>
      <c r="X638" t="str">
        <f>IFERROR(INDEX(Crosswalk_API!$H$2:$H$527, MATCH(POTABLE_NONPOTABLE_API[[#This Row],[PWSID]], CW_PWSID_LIST, 0)), "")</f>
        <v>No</v>
      </c>
    </row>
    <row r="639" spans="1:24" x14ac:dyDescent="0.25">
      <c r="A639" t="s">
        <v>890</v>
      </c>
      <c r="B639" t="s">
        <v>891</v>
      </c>
      <c r="C639" t="s">
        <v>896</v>
      </c>
      <c r="D639" t="s">
        <v>897</v>
      </c>
      <c r="E639" s="9">
        <v>45139</v>
      </c>
      <c r="F639" s="9">
        <v>45169</v>
      </c>
      <c r="G639">
        <v>152000</v>
      </c>
      <c r="H639">
        <v>0</v>
      </c>
      <c r="I639">
        <v>0</v>
      </c>
      <c r="J639">
        <v>0</v>
      </c>
      <c r="K639">
        <v>0</v>
      </c>
      <c r="L639">
        <v>9000</v>
      </c>
      <c r="M639">
        <v>0</v>
      </c>
      <c r="T639" s="9">
        <v>45108</v>
      </c>
      <c r="U639" s="9">
        <v>45473</v>
      </c>
      <c r="V639">
        <f>SUM(POTABLE_NONPOTABLE_API[[#This Row],[RESIDENTIAL_SINGLEFAMILY_GAL]:[OTHER_GAL]])</f>
        <v>161000</v>
      </c>
      <c r="W639">
        <f>SUM(POTABLE_NONPOTABLE_API[[#This Row],[NONPOTABLE_DEMAND_RESIDENTIAL_RECYCLED_WATER_GAL]:[NONPOTABLE_DEMAND_NONRESIDENTIAL_METERED_IRRIGATION_GAL]])</f>
        <v>0</v>
      </c>
      <c r="X639" t="str">
        <f>IFERROR(INDEX(Crosswalk_API!$H$2:$H$527, MATCH(POTABLE_NONPOTABLE_API[[#This Row],[PWSID]], CW_PWSID_LIST, 0)), "")</f>
        <v>No</v>
      </c>
    </row>
    <row r="640" spans="1:24" x14ac:dyDescent="0.25">
      <c r="A640" t="s">
        <v>890</v>
      </c>
      <c r="B640" t="s">
        <v>891</v>
      </c>
      <c r="C640" t="s">
        <v>896</v>
      </c>
      <c r="D640" t="s">
        <v>897</v>
      </c>
      <c r="E640" s="9">
        <v>45170</v>
      </c>
      <c r="F640" s="9">
        <v>45199</v>
      </c>
      <c r="G640">
        <v>190000</v>
      </c>
      <c r="H640">
        <v>0</v>
      </c>
      <c r="I640">
        <v>0</v>
      </c>
      <c r="J640">
        <v>0</v>
      </c>
      <c r="K640">
        <v>0</v>
      </c>
      <c r="L640">
        <v>3000</v>
      </c>
      <c r="M640">
        <v>0</v>
      </c>
      <c r="T640" s="9">
        <v>45108</v>
      </c>
      <c r="U640" s="9">
        <v>45473</v>
      </c>
      <c r="V640">
        <f>SUM(POTABLE_NONPOTABLE_API[[#This Row],[RESIDENTIAL_SINGLEFAMILY_GAL]:[OTHER_GAL]])</f>
        <v>193000</v>
      </c>
      <c r="W640">
        <f>SUM(POTABLE_NONPOTABLE_API[[#This Row],[NONPOTABLE_DEMAND_RESIDENTIAL_RECYCLED_WATER_GAL]:[NONPOTABLE_DEMAND_NONRESIDENTIAL_METERED_IRRIGATION_GAL]])</f>
        <v>0</v>
      </c>
      <c r="X640" t="str">
        <f>IFERROR(INDEX(Crosswalk_API!$H$2:$H$527, MATCH(POTABLE_NONPOTABLE_API[[#This Row],[PWSID]], CW_PWSID_LIST, 0)), "")</f>
        <v>No</v>
      </c>
    </row>
    <row r="641" spans="1:24" x14ac:dyDescent="0.25">
      <c r="A641" t="s">
        <v>890</v>
      </c>
      <c r="B641" t="s">
        <v>891</v>
      </c>
      <c r="C641" t="s">
        <v>896</v>
      </c>
      <c r="D641" t="s">
        <v>897</v>
      </c>
      <c r="E641" s="9">
        <v>45200</v>
      </c>
      <c r="F641" s="9">
        <v>45230</v>
      </c>
      <c r="G641">
        <v>164000</v>
      </c>
      <c r="H641">
        <v>0</v>
      </c>
      <c r="I641">
        <v>0</v>
      </c>
      <c r="J641">
        <v>0</v>
      </c>
      <c r="K641">
        <v>0</v>
      </c>
      <c r="L641">
        <v>6000</v>
      </c>
      <c r="M641">
        <v>0</v>
      </c>
      <c r="T641" s="9">
        <v>45108</v>
      </c>
      <c r="U641" s="9">
        <v>45473</v>
      </c>
      <c r="V641">
        <f>SUM(POTABLE_NONPOTABLE_API[[#This Row],[RESIDENTIAL_SINGLEFAMILY_GAL]:[OTHER_GAL]])</f>
        <v>170000</v>
      </c>
      <c r="W641">
        <f>SUM(POTABLE_NONPOTABLE_API[[#This Row],[NONPOTABLE_DEMAND_RESIDENTIAL_RECYCLED_WATER_GAL]:[NONPOTABLE_DEMAND_NONRESIDENTIAL_METERED_IRRIGATION_GAL]])</f>
        <v>0</v>
      </c>
      <c r="X641" t="str">
        <f>IFERROR(INDEX(Crosswalk_API!$H$2:$H$527, MATCH(POTABLE_NONPOTABLE_API[[#This Row],[PWSID]], CW_PWSID_LIST, 0)), "")</f>
        <v>No</v>
      </c>
    </row>
    <row r="642" spans="1:24" x14ac:dyDescent="0.25">
      <c r="A642" t="s">
        <v>890</v>
      </c>
      <c r="B642" t="s">
        <v>891</v>
      </c>
      <c r="C642" t="s">
        <v>896</v>
      </c>
      <c r="D642" t="s">
        <v>897</v>
      </c>
      <c r="E642" s="9">
        <v>45231</v>
      </c>
      <c r="F642" s="9">
        <v>45260</v>
      </c>
      <c r="G642">
        <v>141000</v>
      </c>
      <c r="H642">
        <v>0</v>
      </c>
      <c r="I642">
        <v>0</v>
      </c>
      <c r="J642">
        <v>0</v>
      </c>
      <c r="K642">
        <v>0</v>
      </c>
      <c r="L642">
        <v>5000</v>
      </c>
      <c r="M642">
        <v>0</v>
      </c>
      <c r="T642" s="9">
        <v>45108</v>
      </c>
      <c r="U642" s="9">
        <v>45473</v>
      </c>
      <c r="V642">
        <f>SUM(POTABLE_NONPOTABLE_API[[#This Row],[RESIDENTIAL_SINGLEFAMILY_GAL]:[OTHER_GAL]])</f>
        <v>146000</v>
      </c>
      <c r="W642">
        <f>SUM(POTABLE_NONPOTABLE_API[[#This Row],[NONPOTABLE_DEMAND_RESIDENTIAL_RECYCLED_WATER_GAL]:[NONPOTABLE_DEMAND_NONRESIDENTIAL_METERED_IRRIGATION_GAL]])</f>
        <v>0</v>
      </c>
      <c r="X642" t="str">
        <f>IFERROR(INDEX(Crosswalk_API!$H$2:$H$527, MATCH(POTABLE_NONPOTABLE_API[[#This Row],[PWSID]], CW_PWSID_LIST, 0)), "")</f>
        <v>No</v>
      </c>
    </row>
    <row r="643" spans="1:24" x14ac:dyDescent="0.25">
      <c r="A643" t="s">
        <v>890</v>
      </c>
      <c r="B643" t="s">
        <v>891</v>
      </c>
      <c r="C643" t="s">
        <v>896</v>
      </c>
      <c r="D643" t="s">
        <v>897</v>
      </c>
      <c r="E643" s="9">
        <v>45261</v>
      </c>
      <c r="F643" s="9">
        <v>45291</v>
      </c>
      <c r="G643">
        <v>175000</v>
      </c>
      <c r="H643">
        <v>0</v>
      </c>
      <c r="I643">
        <v>0</v>
      </c>
      <c r="J643">
        <v>0</v>
      </c>
      <c r="K643">
        <v>0</v>
      </c>
      <c r="L643">
        <v>5000</v>
      </c>
      <c r="M643">
        <v>0</v>
      </c>
      <c r="T643" s="9">
        <v>45108</v>
      </c>
      <c r="U643" s="9">
        <v>45473</v>
      </c>
      <c r="V643">
        <f>SUM(POTABLE_NONPOTABLE_API[[#This Row],[RESIDENTIAL_SINGLEFAMILY_GAL]:[OTHER_GAL]])</f>
        <v>180000</v>
      </c>
      <c r="W643">
        <f>SUM(POTABLE_NONPOTABLE_API[[#This Row],[NONPOTABLE_DEMAND_RESIDENTIAL_RECYCLED_WATER_GAL]:[NONPOTABLE_DEMAND_NONRESIDENTIAL_METERED_IRRIGATION_GAL]])</f>
        <v>0</v>
      </c>
      <c r="X643" t="str">
        <f>IFERROR(INDEX(Crosswalk_API!$H$2:$H$527, MATCH(POTABLE_NONPOTABLE_API[[#This Row],[PWSID]], CW_PWSID_LIST, 0)), "")</f>
        <v>No</v>
      </c>
    </row>
    <row r="644" spans="1:24" x14ac:dyDescent="0.25">
      <c r="A644" t="s">
        <v>890</v>
      </c>
      <c r="B644" t="s">
        <v>891</v>
      </c>
      <c r="C644" t="s">
        <v>896</v>
      </c>
      <c r="D644" t="s">
        <v>897</v>
      </c>
      <c r="E644" s="9">
        <v>45292</v>
      </c>
      <c r="F644" s="9">
        <v>45322</v>
      </c>
      <c r="G644">
        <v>113000</v>
      </c>
      <c r="H644">
        <v>0</v>
      </c>
      <c r="I644">
        <v>0</v>
      </c>
      <c r="J644">
        <v>0</v>
      </c>
      <c r="K644">
        <v>0</v>
      </c>
      <c r="L644">
        <v>5000</v>
      </c>
      <c r="M644">
        <v>0</v>
      </c>
      <c r="T644" s="9">
        <v>45108</v>
      </c>
      <c r="U644" s="9">
        <v>45473</v>
      </c>
      <c r="V644">
        <f>SUM(POTABLE_NONPOTABLE_API[[#This Row],[RESIDENTIAL_SINGLEFAMILY_GAL]:[OTHER_GAL]])</f>
        <v>118000</v>
      </c>
      <c r="W644">
        <f>SUM(POTABLE_NONPOTABLE_API[[#This Row],[NONPOTABLE_DEMAND_RESIDENTIAL_RECYCLED_WATER_GAL]:[NONPOTABLE_DEMAND_NONRESIDENTIAL_METERED_IRRIGATION_GAL]])</f>
        <v>0</v>
      </c>
      <c r="X644" t="str">
        <f>IFERROR(INDEX(Crosswalk_API!$H$2:$H$527, MATCH(POTABLE_NONPOTABLE_API[[#This Row],[PWSID]], CW_PWSID_LIST, 0)), "")</f>
        <v>No</v>
      </c>
    </row>
    <row r="645" spans="1:24" x14ac:dyDescent="0.25">
      <c r="A645" t="s">
        <v>890</v>
      </c>
      <c r="B645" t="s">
        <v>891</v>
      </c>
      <c r="C645" t="s">
        <v>896</v>
      </c>
      <c r="D645" t="s">
        <v>897</v>
      </c>
      <c r="E645" s="9">
        <v>45323</v>
      </c>
      <c r="F645" s="9">
        <v>45351</v>
      </c>
      <c r="G645">
        <v>134000</v>
      </c>
      <c r="H645">
        <v>0</v>
      </c>
      <c r="I645">
        <v>0</v>
      </c>
      <c r="J645">
        <v>0</v>
      </c>
      <c r="K645">
        <v>0</v>
      </c>
      <c r="L645">
        <v>6000</v>
      </c>
      <c r="M645">
        <v>0</v>
      </c>
      <c r="T645" s="9">
        <v>45108</v>
      </c>
      <c r="U645" s="9">
        <v>45473</v>
      </c>
      <c r="V645">
        <f>SUM(POTABLE_NONPOTABLE_API[[#This Row],[RESIDENTIAL_SINGLEFAMILY_GAL]:[OTHER_GAL]])</f>
        <v>140000</v>
      </c>
      <c r="W645">
        <f>SUM(POTABLE_NONPOTABLE_API[[#This Row],[NONPOTABLE_DEMAND_RESIDENTIAL_RECYCLED_WATER_GAL]:[NONPOTABLE_DEMAND_NONRESIDENTIAL_METERED_IRRIGATION_GAL]])</f>
        <v>0</v>
      </c>
      <c r="X645" t="str">
        <f>IFERROR(INDEX(Crosswalk_API!$H$2:$H$527, MATCH(POTABLE_NONPOTABLE_API[[#This Row],[PWSID]], CW_PWSID_LIST, 0)), "")</f>
        <v>No</v>
      </c>
    </row>
    <row r="646" spans="1:24" x14ac:dyDescent="0.25">
      <c r="A646" t="s">
        <v>890</v>
      </c>
      <c r="B646" t="s">
        <v>891</v>
      </c>
      <c r="C646" t="s">
        <v>896</v>
      </c>
      <c r="D646" t="s">
        <v>897</v>
      </c>
      <c r="E646" s="9">
        <v>45352</v>
      </c>
      <c r="F646" s="9">
        <v>45382</v>
      </c>
      <c r="G646">
        <v>141000</v>
      </c>
      <c r="H646">
        <v>0</v>
      </c>
      <c r="I646">
        <v>0</v>
      </c>
      <c r="J646">
        <v>0</v>
      </c>
      <c r="K646">
        <v>0</v>
      </c>
      <c r="L646">
        <v>5000</v>
      </c>
      <c r="M646">
        <v>0</v>
      </c>
      <c r="T646" s="9">
        <v>45108</v>
      </c>
      <c r="U646" s="9">
        <v>45473</v>
      </c>
      <c r="V646">
        <f>SUM(POTABLE_NONPOTABLE_API[[#This Row],[RESIDENTIAL_SINGLEFAMILY_GAL]:[OTHER_GAL]])</f>
        <v>146000</v>
      </c>
      <c r="W646">
        <f>SUM(POTABLE_NONPOTABLE_API[[#This Row],[NONPOTABLE_DEMAND_RESIDENTIAL_RECYCLED_WATER_GAL]:[NONPOTABLE_DEMAND_NONRESIDENTIAL_METERED_IRRIGATION_GAL]])</f>
        <v>0</v>
      </c>
      <c r="X646" t="str">
        <f>IFERROR(INDEX(Crosswalk_API!$H$2:$H$527, MATCH(POTABLE_NONPOTABLE_API[[#This Row],[PWSID]], CW_PWSID_LIST, 0)), "")</f>
        <v>No</v>
      </c>
    </row>
    <row r="647" spans="1:24" x14ac:dyDescent="0.25">
      <c r="A647" t="s">
        <v>890</v>
      </c>
      <c r="B647" t="s">
        <v>891</v>
      </c>
      <c r="C647" t="s">
        <v>896</v>
      </c>
      <c r="D647" t="s">
        <v>897</v>
      </c>
      <c r="E647" s="9">
        <v>45383</v>
      </c>
      <c r="F647" s="9">
        <v>45412</v>
      </c>
      <c r="G647">
        <v>121000</v>
      </c>
      <c r="H647">
        <v>0</v>
      </c>
      <c r="I647">
        <v>0</v>
      </c>
      <c r="J647">
        <v>0</v>
      </c>
      <c r="K647">
        <v>0</v>
      </c>
      <c r="L647">
        <v>6000</v>
      </c>
      <c r="M647">
        <v>0</v>
      </c>
      <c r="T647" s="9">
        <v>45108</v>
      </c>
      <c r="U647" s="9">
        <v>45473</v>
      </c>
      <c r="V647">
        <f>SUM(POTABLE_NONPOTABLE_API[[#This Row],[RESIDENTIAL_SINGLEFAMILY_GAL]:[OTHER_GAL]])</f>
        <v>127000</v>
      </c>
      <c r="W647">
        <f>SUM(POTABLE_NONPOTABLE_API[[#This Row],[NONPOTABLE_DEMAND_RESIDENTIAL_RECYCLED_WATER_GAL]:[NONPOTABLE_DEMAND_NONRESIDENTIAL_METERED_IRRIGATION_GAL]])</f>
        <v>0</v>
      </c>
      <c r="X647" t="str">
        <f>IFERROR(INDEX(Crosswalk_API!$H$2:$H$527, MATCH(POTABLE_NONPOTABLE_API[[#This Row],[PWSID]], CW_PWSID_LIST, 0)), "")</f>
        <v>No</v>
      </c>
    </row>
    <row r="648" spans="1:24" x14ac:dyDescent="0.25">
      <c r="A648" t="s">
        <v>890</v>
      </c>
      <c r="B648" t="s">
        <v>891</v>
      </c>
      <c r="C648" t="s">
        <v>896</v>
      </c>
      <c r="D648" t="s">
        <v>897</v>
      </c>
      <c r="E648" s="9">
        <v>45413</v>
      </c>
      <c r="F648" s="9">
        <v>45443</v>
      </c>
      <c r="G648">
        <v>128000</v>
      </c>
      <c r="H648">
        <v>0</v>
      </c>
      <c r="I648">
        <v>0</v>
      </c>
      <c r="J648">
        <v>0</v>
      </c>
      <c r="K648">
        <v>0</v>
      </c>
      <c r="L648">
        <v>5000</v>
      </c>
      <c r="M648">
        <v>0</v>
      </c>
      <c r="T648" s="9">
        <v>45108</v>
      </c>
      <c r="U648" s="9">
        <v>45473</v>
      </c>
      <c r="V648">
        <f>SUM(POTABLE_NONPOTABLE_API[[#This Row],[RESIDENTIAL_SINGLEFAMILY_GAL]:[OTHER_GAL]])</f>
        <v>133000</v>
      </c>
      <c r="W648">
        <f>SUM(POTABLE_NONPOTABLE_API[[#This Row],[NONPOTABLE_DEMAND_RESIDENTIAL_RECYCLED_WATER_GAL]:[NONPOTABLE_DEMAND_NONRESIDENTIAL_METERED_IRRIGATION_GAL]])</f>
        <v>0</v>
      </c>
      <c r="X648" t="str">
        <f>IFERROR(INDEX(Crosswalk_API!$H$2:$H$527, MATCH(POTABLE_NONPOTABLE_API[[#This Row],[PWSID]], CW_PWSID_LIST, 0)), "")</f>
        <v>No</v>
      </c>
    </row>
    <row r="649" spans="1:24" x14ac:dyDescent="0.25">
      <c r="A649" t="s">
        <v>890</v>
      </c>
      <c r="B649" t="s">
        <v>891</v>
      </c>
      <c r="C649" t="s">
        <v>896</v>
      </c>
      <c r="D649" t="s">
        <v>897</v>
      </c>
      <c r="E649" s="9">
        <v>45444</v>
      </c>
      <c r="F649" s="9">
        <v>45473</v>
      </c>
      <c r="G649">
        <v>161000</v>
      </c>
      <c r="H649">
        <v>0</v>
      </c>
      <c r="I649">
        <v>0</v>
      </c>
      <c r="J649">
        <v>0</v>
      </c>
      <c r="K649">
        <v>0</v>
      </c>
      <c r="L649">
        <v>5000</v>
      </c>
      <c r="M649">
        <v>0</v>
      </c>
      <c r="T649" s="9">
        <v>45108</v>
      </c>
      <c r="U649" s="9">
        <v>45473</v>
      </c>
      <c r="V649">
        <f>SUM(POTABLE_NONPOTABLE_API[[#This Row],[RESIDENTIAL_SINGLEFAMILY_GAL]:[OTHER_GAL]])</f>
        <v>166000</v>
      </c>
      <c r="W649">
        <f>SUM(POTABLE_NONPOTABLE_API[[#This Row],[NONPOTABLE_DEMAND_RESIDENTIAL_RECYCLED_WATER_GAL]:[NONPOTABLE_DEMAND_NONRESIDENTIAL_METERED_IRRIGATION_GAL]])</f>
        <v>0</v>
      </c>
      <c r="X649" t="str">
        <f>IFERROR(INDEX(Crosswalk_API!$H$2:$H$527, MATCH(POTABLE_NONPOTABLE_API[[#This Row],[PWSID]], CW_PWSID_LIST, 0)), "")</f>
        <v>No</v>
      </c>
    </row>
    <row r="650" spans="1:24" x14ac:dyDescent="0.25">
      <c r="A650" t="s">
        <v>890</v>
      </c>
      <c r="B650" t="s">
        <v>891</v>
      </c>
      <c r="C650" t="s">
        <v>898</v>
      </c>
      <c r="D650" t="s">
        <v>899</v>
      </c>
      <c r="E650" s="9">
        <v>45108</v>
      </c>
      <c r="F650" s="9">
        <v>45138</v>
      </c>
      <c r="G650">
        <v>131494000</v>
      </c>
      <c r="H650">
        <v>38742000</v>
      </c>
      <c r="I650">
        <v>69129000</v>
      </c>
      <c r="J650">
        <v>7388000</v>
      </c>
      <c r="K650">
        <v>575000</v>
      </c>
      <c r="L650">
        <v>14246000</v>
      </c>
      <c r="M650">
        <v>0</v>
      </c>
      <c r="T650" s="9">
        <v>45108</v>
      </c>
      <c r="U650" s="9">
        <v>45473</v>
      </c>
      <c r="V650">
        <f>SUM(POTABLE_NONPOTABLE_API[[#This Row],[RESIDENTIAL_SINGLEFAMILY_GAL]:[OTHER_GAL]])</f>
        <v>261574000</v>
      </c>
      <c r="W650">
        <f>SUM(POTABLE_NONPOTABLE_API[[#This Row],[NONPOTABLE_DEMAND_RESIDENTIAL_RECYCLED_WATER_GAL]:[NONPOTABLE_DEMAND_NONRESIDENTIAL_METERED_IRRIGATION_GAL]])</f>
        <v>0</v>
      </c>
      <c r="X650" t="str">
        <f>IFERROR(INDEX(Crosswalk_API!$H$2:$H$527, MATCH(POTABLE_NONPOTABLE_API[[#This Row],[PWSID]], CW_PWSID_LIST, 0)), "")</f>
        <v>No</v>
      </c>
    </row>
    <row r="651" spans="1:24" x14ac:dyDescent="0.25">
      <c r="A651" t="s">
        <v>890</v>
      </c>
      <c r="B651" t="s">
        <v>891</v>
      </c>
      <c r="C651" t="s">
        <v>898</v>
      </c>
      <c r="D651" t="s">
        <v>899</v>
      </c>
      <c r="E651" s="9">
        <v>45139</v>
      </c>
      <c r="F651" s="9">
        <v>45169</v>
      </c>
      <c r="G651">
        <v>124934000</v>
      </c>
      <c r="H651">
        <v>29882000</v>
      </c>
      <c r="I651">
        <v>78227000</v>
      </c>
      <c r="J651">
        <v>9741000</v>
      </c>
      <c r="K651">
        <v>362000</v>
      </c>
      <c r="L651">
        <v>17033000</v>
      </c>
      <c r="M651">
        <v>0</v>
      </c>
      <c r="T651" s="9">
        <v>45108</v>
      </c>
      <c r="U651" s="9">
        <v>45473</v>
      </c>
      <c r="V651">
        <f>SUM(POTABLE_NONPOTABLE_API[[#This Row],[RESIDENTIAL_SINGLEFAMILY_GAL]:[OTHER_GAL]])</f>
        <v>260179000</v>
      </c>
      <c r="W651">
        <f>SUM(POTABLE_NONPOTABLE_API[[#This Row],[NONPOTABLE_DEMAND_RESIDENTIAL_RECYCLED_WATER_GAL]:[NONPOTABLE_DEMAND_NONRESIDENTIAL_METERED_IRRIGATION_GAL]])</f>
        <v>0</v>
      </c>
      <c r="X651" t="str">
        <f>IFERROR(INDEX(Crosswalk_API!$H$2:$H$527, MATCH(POTABLE_NONPOTABLE_API[[#This Row],[PWSID]], CW_PWSID_LIST, 0)), "")</f>
        <v>No</v>
      </c>
    </row>
    <row r="652" spans="1:24" x14ac:dyDescent="0.25">
      <c r="A652" t="s">
        <v>890</v>
      </c>
      <c r="B652" t="s">
        <v>891</v>
      </c>
      <c r="C652" t="s">
        <v>898</v>
      </c>
      <c r="D652" t="s">
        <v>899</v>
      </c>
      <c r="E652" s="9">
        <v>45170</v>
      </c>
      <c r="F652" s="9">
        <v>45199</v>
      </c>
      <c r="G652">
        <v>123163000</v>
      </c>
      <c r="H652">
        <v>29788000</v>
      </c>
      <c r="I652">
        <v>59796000</v>
      </c>
      <c r="J652">
        <v>10205000</v>
      </c>
      <c r="K652">
        <v>380000</v>
      </c>
      <c r="L652">
        <v>16196000.000000002</v>
      </c>
      <c r="M652">
        <v>0</v>
      </c>
      <c r="T652" s="9">
        <v>45108</v>
      </c>
      <c r="U652" s="9">
        <v>45473</v>
      </c>
      <c r="V652">
        <f>SUM(POTABLE_NONPOTABLE_API[[#This Row],[RESIDENTIAL_SINGLEFAMILY_GAL]:[OTHER_GAL]])</f>
        <v>239528000</v>
      </c>
      <c r="W652">
        <f>SUM(POTABLE_NONPOTABLE_API[[#This Row],[NONPOTABLE_DEMAND_RESIDENTIAL_RECYCLED_WATER_GAL]:[NONPOTABLE_DEMAND_NONRESIDENTIAL_METERED_IRRIGATION_GAL]])</f>
        <v>0</v>
      </c>
      <c r="X652" t="str">
        <f>IFERROR(INDEX(Crosswalk_API!$H$2:$H$527, MATCH(POTABLE_NONPOTABLE_API[[#This Row],[PWSID]], CW_PWSID_LIST, 0)), "")</f>
        <v>No</v>
      </c>
    </row>
    <row r="653" spans="1:24" x14ac:dyDescent="0.25">
      <c r="A653" t="s">
        <v>890</v>
      </c>
      <c r="B653" t="s">
        <v>891</v>
      </c>
      <c r="C653" t="s">
        <v>898</v>
      </c>
      <c r="D653" t="s">
        <v>899</v>
      </c>
      <c r="E653" s="9">
        <v>45200</v>
      </c>
      <c r="F653" s="9">
        <v>45230</v>
      </c>
      <c r="G653">
        <v>132365000.00000001</v>
      </c>
      <c r="H653">
        <v>37834000</v>
      </c>
      <c r="I653">
        <v>63158000</v>
      </c>
      <c r="J653">
        <v>8095000.0000000009</v>
      </c>
      <c r="K653">
        <v>367000</v>
      </c>
      <c r="L653">
        <v>14496000</v>
      </c>
      <c r="M653">
        <v>0</v>
      </c>
      <c r="T653" s="9">
        <v>45108</v>
      </c>
      <c r="U653" s="9">
        <v>45473</v>
      </c>
      <c r="V653">
        <f>SUM(POTABLE_NONPOTABLE_API[[#This Row],[RESIDENTIAL_SINGLEFAMILY_GAL]:[OTHER_GAL]])</f>
        <v>256315000</v>
      </c>
      <c r="W653">
        <f>SUM(POTABLE_NONPOTABLE_API[[#This Row],[NONPOTABLE_DEMAND_RESIDENTIAL_RECYCLED_WATER_GAL]:[NONPOTABLE_DEMAND_NONRESIDENTIAL_METERED_IRRIGATION_GAL]])</f>
        <v>0</v>
      </c>
      <c r="X653" t="str">
        <f>IFERROR(INDEX(Crosswalk_API!$H$2:$H$527, MATCH(POTABLE_NONPOTABLE_API[[#This Row],[PWSID]], CW_PWSID_LIST, 0)), "")</f>
        <v>No</v>
      </c>
    </row>
    <row r="654" spans="1:24" x14ac:dyDescent="0.25">
      <c r="A654" t="s">
        <v>890</v>
      </c>
      <c r="B654" t="s">
        <v>891</v>
      </c>
      <c r="C654" t="s">
        <v>898</v>
      </c>
      <c r="D654" t="s">
        <v>899</v>
      </c>
      <c r="E654" s="9">
        <v>45231</v>
      </c>
      <c r="F654" s="9">
        <v>45260</v>
      </c>
      <c r="G654">
        <v>115585000</v>
      </c>
      <c r="H654">
        <v>25437000</v>
      </c>
      <c r="I654">
        <v>58351000</v>
      </c>
      <c r="J654">
        <v>6197000</v>
      </c>
      <c r="K654">
        <v>304000</v>
      </c>
      <c r="L654">
        <v>12201000</v>
      </c>
      <c r="M654">
        <v>0</v>
      </c>
      <c r="T654" s="9">
        <v>45108</v>
      </c>
      <c r="U654" s="9">
        <v>45473</v>
      </c>
      <c r="V654">
        <f>SUM(POTABLE_NONPOTABLE_API[[#This Row],[RESIDENTIAL_SINGLEFAMILY_GAL]:[OTHER_GAL]])</f>
        <v>218075000</v>
      </c>
      <c r="W654">
        <f>SUM(POTABLE_NONPOTABLE_API[[#This Row],[NONPOTABLE_DEMAND_RESIDENTIAL_RECYCLED_WATER_GAL]:[NONPOTABLE_DEMAND_NONRESIDENTIAL_METERED_IRRIGATION_GAL]])</f>
        <v>0</v>
      </c>
      <c r="X654" t="str">
        <f>IFERROR(INDEX(Crosswalk_API!$H$2:$H$527, MATCH(POTABLE_NONPOTABLE_API[[#This Row],[PWSID]], CW_PWSID_LIST, 0)), "")</f>
        <v>No</v>
      </c>
    </row>
    <row r="655" spans="1:24" x14ac:dyDescent="0.25">
      <c r="A655" t="s">
        <v>890</v>
      </c>
      <c r="B655" t="s">
        <v>891</v>
      </c>
      <c r="C655" t="s">
        <v>898</v>
      </c>
      <c r="D655" t="s">
        <v>899</v>
      </c>
      <c r="E655" s="9">
        <v>45261</v>
      </c>
      <c r="F655" s="9">
        <v>45291</v>
      </c>
      <c r="G655">
        <v>109749000</v>
      </c>
      <c r="H655">
        <v>34555000</v>
      </c>
      <c r="I655">
        <v>50398000</v>
      </c>
      <c r="J655">
        <v>3984000</v>
      </c>
      <c r="K655">
        <v>179000</v>
      </c>
      <c r="L655">
        <v>9451000</v>
      </c>
      <c r="M655">
        <v>0</v>
      </c>
      <c r="T655" s="9">
        <v>45108</v>
      </c>
      <c r="U655" s="9">
        <v>45473</v>
      </c>
      <c r="V655">
        <f>SUM(POTABLE_NONPOTABLE_API[[#This Row],[RESIDENTIAL_SINGLEFAMILY_GAL]:[OTHER_GAL]])</f>
        <v>208316000</v>
      </c>
      <c r="W655">
        <f>SUM(POTABLE_NONPOTABLE_API[[#This Row],[NONPOTABLE_DEMAND_RESIDENTIAL_RECYCLED_WATER_GAL]:[NONPOTABLE_DEMAND_NONRESIDENTIAL_METERED_IRRIGATION_GAL]])</f>
        <v>0</v>
      </c>
      <c r="X655" t="str">
        <f>IFERROR(INDEX(Crosswalk_API!$H$2:$H$527, MATCH(POTABLE_NONPOTABLE_API[[#This Row],[PWSID]], CW_PWSID_LIST, 0)), "")</f>
        <v>No</v>
      </c>
    </row>
    <row r="656" spans="1:24" x14ac:dyDescent="0.25">
      <c r="A656" t="s">
        <v>890</v>
      </c>
      <c r="B656" t="s">
        <v>891</v>
      </c>
      <c r="C656" t="s">
        <v>898</v>
      </c>
      <c r="D656" t="s">
        <v>899</v>
      </c>
      <c r="E656" s="9">
        <v>45292</v>
      </c>
      <c r="F656" s="9">
        <v>45322</v>
      </c>
      <c r="G656">
        <v>107553000</v>
      </c>
      <c r="H656">
        <v>34205000</v>
      </c>
      <c r="I656">
        <v>55431000</v>
      </c>
      <c r="J656">
        <v>2541000</v>
      </c>
      <c r="K656">
        <v>449000</v>
      </c>
      <c r="L656">
        <v>6928000</v>
      </c>
      <c r="M656">
        <v>0</v>
      </c>
      <c r="T656" s="9">
        <v>45108</v>
      </c>
      <c r="U656" s="9">
        <v>45473</v>
      </c>
      <c r="V656">
        <f>SUM(POTABLE_NONPOTABLE_API[[#This Row],[RESIDENTIAL_SINGLEFAMILY_GAL]:[OTHER_GAL]])</f>
        <v>207107000</v>
      </c>
      <c r="W656">
        <f>SUM(POTABLE_NONPOTABLE_API[[#This Row],[NONPOTABLE_DEMAND_RESIDENTIAL_RECYCLED_WATER_GAL]:[NONPOTABLE_DEMAND_NONRESIDENTIAL_METERED_IRRIGATION_GAL]])</f>
        <v>0</v>
      </c>
      <c r="X656" t="str">
        <f>IFERROR(INDEX(Crosswalk_API!$H$2:$H$527, MATCH(POTABLE_NONPOTABLE_API[[#This Row],[PWSID]], CW_PWSID_LIST, 0)), "")</f>
        <v>No</v>
      </c>
    </row>
    <row r="657" spans="1:24" x14ac:dyDescent="0.25">
      <c r="A657" t="s">
        <v>890</v>
      </c>
      <c r="B657" t="s">
        <v>891</v>
      </c>
      <c r="C657" t="s">
        <v>898</v>
      </c>
      <c r="D657" t="s">
        <v>899</v>
      </c>
      <c r="E657" s="9">
        <v>45323</v>
      </c>
      <c r="F657" s="9">
        <v>45351</v>
      </c>
      <c r="G657">
        <v>89135000</v>
      </c>
      <c r="H657">
        <v>40853000</v>
      </c>
      <c r="I657">
        <v>53199000</v>
      </c>
      <c r="J657">
        <v>1067000</v>
      </c>
      <c r="K657">
        <v>147000</v>
      </c>
      <c r="L657">
        <v>9247000</v>
      </c>
      <c r="M657">
        <v>0</v>
      </c>
      <c r="T657" s="9">
        <v>45108</v>
      </c>
      <c r="U657" s="9">
        <v>45473</v>
      </c>
      <c r="V657">
        <f>SUM(POTABLE_NONPOTABLE_API[[#This Row],[RESIDENTIAL_SINGLEFAMILY_GAL]:[OTHER_GAL]])</f>
        <v>193648000</v>
      </c>
      <c r="W657">
        <f>SUM(POTABLE_NONPOTABLE_API[[#This Row],[NONPOTABLE_DEMAND_RESIDENTIAL_RECYCLED_WATER_GAL]:[NONPOTABLE_DEMAND_NONRESIDENTIAL_METERED_IRRIGATION_GAL]])</f>
        <v>0</v>
      </c>
      <c r="X657" t="str">
        <f>IFERROR(INDEX(Crosswalk_API!$H$2:$H$527, MATCH(POTABLE_NONPOTABLE_API[[#This Row],[PWSID]], CW_PWSID_LIST, 0)), "")</f>
        <v>No</v>
      </c>
    </row>
    <row r="658" spans="1:24" x14ac:dyDescent="0.25">
      <c r="A658" t="s">
        <v>890</v>
      </c>
      <c r="B658" t="s">
        <v>891</v>
      </c>
      <c r="C658" t="s">
        <v>898</v>
      </c>
      <c r="D658" t="s">
        <v>899</v>
      </c>
      <c r="E658" s="9">
        <v>45352</v>
      </c>
      <c r="F658" s="9">
        <v>45382</v>
      </c>
      <c r="G658">
        <v>80954000</v>
      </c>
      <c r="H658">
        <v>26530000</v>
      </c>
      <c r="I658">
        <v>47635000</v>
      </c>
      <c r="J658">
        <v>1106000</v>
      </c>
      <c r="K658">
        <v>198000</v>
      </c>
      <c r="L658">
        <v>6897000</v>
      </c>
      <c r="M658">
        <v>0</v>
      </c>
      <c r="T658" s="9">
        <v>45108</v>
      </c>
      <c r="U658" s="9">
        <v>45473</v>
      </c>
      <c r="V658">
        <f>SUM(POTABLE_NONPOTABLE_API[[#This Row],[RESIDENTIAL_SINGLEFAMILY_GAL]:[OTHER_GAL]])</f>
        <v>163320000</v>
      </c>
      <c r="W658">
        <f>SUM(POTABLE_NONPOTABLE_API[[#This Row],[NONPOTABLE_DEMAND_RESIDENTIAL_RECYCLED_WATER_GAL]:[NONPOTABLE_DEMAND_NONRESIDENTIAL_METERED_IRRIGATION_GAL]])</f>
        <v>0</v>
      </c>
      <c r="X658" t="str">
        <f>IFERROR(INDEX(Crosswalk_API!$H$2:$H$527, MATCH(POTABLE_NONPOTABLE_API[[#This Row],[PWSID]], CW_PWSID_LIST, 0)), "")</f>
        <v>No</v>
      </c>
    </row>
    <row r="659" spans="1:24" x14ac:dyDescent="0.25">
      <c r="A659" t="s">
        <v>890</v>
      </c>
      <c r="B659" t="s">
        <v>891</v>
      </c>
      <c r="C659" t="s">
        <v>898</v>
      </c>
      <c r="D659" t="s">
        <v>899</v>
      </c>
      <c r="E659" s="9">
        <v>45383</v>
      </c>
      <c r="F659" s="9">
        <v>45412</v>
      </c>
      <c r="G659">
        <v>93941000</v>
      </c>
      <c r="H659">
        <v>31632000</v>
      </c>
      <c r="I659">
        <v>55768000</v>
      </c>
      <c r="J659">
        <v>1872000</v>
      </c>
      <c r="K659">
        <v>322000</v>
      </c>
      <c r="L659">
        <v>10094000</v>
      </c>
      <c r="M659">
        <v>0</v>
      </c>
      <c r="T659" s="9">
        <v>45108</v>
      </c>
      <c r="U659" s="9">
        <v>45473</v>
      </c>
      <c r="V659">
        <f>SUM(POTABLE_NONPOTABLE_API[[#This Row],[RESIDENTIAL_SINGLEFAMILY_GAL]:[OTHER_GAL]])</f>
        <v>193629000</v>
      </c>
      <c r="W659">
        <f>SUM(POTABLE_NONPOTABLE_API[[#This Row],[NONPOTABLE_DEMAND_RESIDENTIAL_RECYCLED_WATER_GAL]:[NONPOTABLE_DEMAND_NONRESIDENTIAL_METERED_IRRIGATION_GAL]])</f>
        <v>0</v>
      </c>
      <c r="X659" t="str">
        <f>IFERROR(INDEX(Crosswalk_API!$H$2:$H$527, MATCH(POTABLE_NONPOTABLE_API[[#This Row],[PWSID]], CW_PWSID_LIST, 0)), "")</f>
        <v>No</v>
      </c>
    </row>
    <row r="660" spans="1:24" x14ac:dyDescent="0.25">
      <c r="A660" t="s">
        <v>890</v>
      </c>
      <c r="B660" t="s">
        <v>891</v>
      </c>
      <c r="C660" t="s">
        <v>898</v>
      </c>
      <c r="D660" t="s">
        <v>899</v>
      </c>
      <c r="E660" s="9">
        <v>45413</v>
      </c>
      <c r="F660" s="9">
        <v>45443</v>
      </c>
      <c r="G660">
        <v>94542000</v>
      </c>
      <c r="H660">
        <v>24429000</v>
      </c>
      <c r="I660">
        <v>52581000</v>
      </c>
      <c r="J660">
        <v>3422000</v>
      </c>
      <c r="K660">
        <v>384000</v>
      </c>
      <c r="L660">
        <v>10460000</v>
      </c>
      <c r="M660">
        <v>0</v>
      </c>
      <c r="T660" s="9">
        <v>45108</v>
      </c>
      <c r="U660" s="9">
        <v>45473</v>
      </c>
      <c r="V660">
        <f>SUM(POTABLE_NONPOTABLE_API[[#This Row],[RESIDENTIAL_SINGLEFAMILY_GAL]:[OTHER_GAL]])</f>
        <v>185818000</v>
      </c>
      <c r="W660">
        <f>SUM(POTABLE_NONPOTABLE_API[[#This Row],[NONPOTABLE_DEMAND_RESIDENTIAL_RECYCLED_WATER_GAL]:[NONPOTABLE_DEMAND_NONRESIDENTIAL_METERED_IRRIGATION_GAL]])</f>
        <v>0</v>
      </c>
      <c r="X660" t="str">
        <f>IFERROR(INDEX(Crosswalk_API!$H$2:$H$527, MATCH(POTABLE_NONPOTABLE_API[[#This Row],[PWSID]], CW_PWSID_LIST, 0)), "")</f>
        <v>No</v>
      </c>
    </row>
    <row r="661" spans="1:24" x14ac:dyDescent="0.25">
      <c r="A661" t="s">
        <v>890</v>
      </c>
      <c r="B661" t="s">
        <v>891</v>
      </c>
      <c r="C661" t="s">
        <v>898</v>
      </c>
      <c r="D661" t="s">
        <v>899</v>
      </c>
      <c r="E661" s="9">
        <v>45444</v>
      </c>
      <c r="F661" s="9">
        <v>45473</v>
      </c>
      <c r="G661">
        <v>122652000</v>
      </c>
      <c r="H661">
        <v>39979000</v>
      </c>
      <c r="I661">
        <v>63610000</v>
      </c>
      <c r="J661">
        <v>7483000</v>
      </c>
      <c r="K661">
        <v>431000</v>
      </c>
      <c r="L661">
        <v>15885000</v>
      </c>
      <c r="M661">
        <v>0</v>
      </c>
      <c r="T661" s="9">
        <v>45108</v>
      </c>
      <c r="U661" s="9">
        <v>45473</v>
      </c>
      <c r="V661">
        <f>SUM(POTABLE_NONPOTABLE_API[[#This Row],[RESIDENTIAL_SINGLEFAMILY_GAL]:[OTHER_GAL]])</f>
        <v>250040000</v>
      </c>
      <c r="W661">
        <f>SUM(POTABLE_NONPOTABLE_API[[#This Row],[NONPOTABLE_DEMAND_RESIDENTIAL_RECYCLED_WATER_GAL]:[NONPOTABLE_DEMAND_NONRESIDENTIAL_METERED_IRRIGATION_GAL]])</f>
        <v>0</v>
      </c>
      <c r="X661" t="str">
        <f>IFERROR(INDEX(Crosswalk_API!$H$2:$H$527, MATCH(POTABLE_NONPOTABLE_API[[#This Row],[PWSID]], CW_PWSID_LIST, 0)), "")</f>
        <v>No</v>
      </c>
    </row>
    <row r="662" spans="1:24" x14ac:dyDescent="0.25">
      <c r="A662" t="s">
        <v>890</v>
      </c>
      <c r="B662" t="s">
        <v>891</v>
      </c>
      <c r="C662" t="s">
        <v>900</v>
      </c>
      <c r="D662" t="s">
        <v>901</v>
      </c>
      <c r="E662" s="9">
        <v>45108</v>
      </c>
      <c r="F662" s="9">
        <v>45138</v>
      </c>
      <c r="G662">
        <v>2433000</v>
      </c>
      <c r="H662">
        <v>502000</v>
      </c>
      <c r="I662">
        <v>0</v>
      </c>
      <c r="J662">
        <v>401000</v>
      </c>
      <c r="K662">
        <v>0</v>
      </c>
      <c r="L662">
        <v>148000</v>
      </c>
      <c r="M662">
        <v>0</v>
      </c>
      <c r="T662" s="9">
        <v>45108</v>
      </c>
      <c r="U662" s="9">
        <v>45473</v>
      </c>
      <c r="V662">
        <f>SUM(POTABLE_NONPOTABLE_API[[#This Row],[RESIDENTIAL_SINGLEFAMILY_GAL]:[OTHER_GAL]])</f>
        <v>3484000</v>
      </c>
      <c r="W662">
        <f>SUM(POTABLE_NONPOTABLE_API[[#This Row],[NONPOTABLE_DEMAND_RESIDENTIAL_RECYCLED_WATER_GAL]:[NONPOTABLE_DEMAND_NONRESIDENTIAL_METERED_IRRIGATION_GAL]])</f>
        <v>0</v>
      </c>
      <c r="X662" t="str">
        <f>IFERROR(INDEX(Crosswalk_API!$H$2:$H$527, MATCH(POTABLE_NONPOTABLE_API[[#This Row],[PWSID]], CW_PWSID_LIST, 0)), "")</f>
        <v>No</v>
      </c>
    </row>
    <row r="663" spans="1:24" x14ac:dyDescent="0.25">
      <c r="A663" t="s">
        <v>890</v>
      </c>
      <c r="B663" t="s">
        <v>891</v>
      </c>
      <c r="C663" t="s">
        <v>900</v>
      </c>
      <c r="D663" t="s">
        <v>901</v>
      </c>
      <c r="E663" s="9">
        <v>45139</v>
      </c>
      <c r="F663" s="9">
        <v>45169</v>
      </c>
      <c r="G663">
        <v>6626000</v>
      </c>
      <c r="H663">
        <v>876000</v>
      </c>
      <c r="I663">
        <v>73000</v>
      </c>
      <c r="J663">
        <v>1735000</v>
      </c>
      <c r="K663">
        <v>0</v>
      </c>
      <c r="L663">
        <v>272000</v>
      </c>
      <c r="M663">
        <v>0</v>
      </c>
      <c r="T663" s="9">
        <v>45108</v>
      </c>
      <c r="U663" s="9">
        <v>45473</v>
      </c>
      <c r="V663">
        <f>SUM(POTABLE_NONPOTABLE_API[[#This Row],[RESIDENTIAL_SINGLEFAMILY_GAL]:[OTHER_GAL]])</f>
        <v>9582000</v>
      </c>
      <c r="W663">
        <f>SUM(POTABLE_NONPOTABLE_API[[#This Row],[NONPOTABLE_DEMAND_RESIDENTIAL_RECYCLED_WATER_GAL]:[NONPOTABLE_DEMAND_NONRESIDENTIAL_METERED_IRRIGATION_GAL]])</f>
        <v>0</v>
      </c>
      <c r="X663" t="str">
        <f>IFERROR(INDEX(Crosswalk_API!$H$2:$H$527, MATCH(POTABLE_NONPOTABLE_API[[#This Row],[PWSID]], CW_PWSID_LIST, 0)), "")</f>
        <v>No</v>
      </c>
    </row>
    <row r="664" spans="1:24" x14ac:dyDescent="0.25">
      <c r="A664" t="s">
        <v>890</v>
      </c>
      <c r="B664" t="s">
        <v>891</v>
      </c>
      <c r="C664" t="s">
        <v>900</v>
      </c>
      <c r="D664" t="s">
        <v>901</v>
      </c>
      <c r="E664" s="9">
        <v>45170</v>
      </c>
      <c r="F664" s="9">
        <v>45199</v>
      </c>
      <c r="G664">
        <v>118000</v>
      </c>
      <c r="H664">
        <v>32000</v>
      </c>
      <c r="I664">
        <v>11000</v>
      </c>
      <c r="J664">
        <v>1620000</v>
      </c>
      <c r="K664">
        <v>0</v>
      </c>
      <c r="L664">
        <v>0</v>
      </c>
      <c r="M664">
        <v>0</v>
      </c>
      <c r="T664" s="9">
        <v>45108</v>
      </c>
      <c r="U664" s="9">
        <v>45473</v>
      </c>
      <c r="V664">
        <f>SUM(POTABLE_NONPOTABLE_API[[#This Row],[RESIDENTIAL_SINGLEFAMILY_GAL]:[OTHER_GAL]])</f>
        <v>1781000</v>
      </c>
      <c r="W664">
        <f>SUM(POTABLE_NONPOTABLE_API[[#This Row],[NONPOTABLE_DEMAND_RESIDENTIAL_RECYCLED_WATER_GAL]:[NONPOTABLE_DEMAND_NONRESIDENTIAL_METERED_IRRIGATION_GAL]])</f>
        <v>0</v>
      </c>
      <c r="X664" t="str">
        <f>IFERROR(INDEX(Crosswalk_API!$H$2:$H$527, MATCH(POTABLE_NONPOTABLE_API[[#This Row],[PWSID]], CW_PWSID_LIST, 0)), "")</f>
        <v>No</v>
      </c>
    </row>
    <row r="665" spans="1:24" x14ac:dyDescent="0.25">
      <c r="A665" t="s">
        <v>890</v>
      </c>
      <c r="B665" t="s">
        <v>891</v>
      </c>
      <c r="C665" t="s">
        <v>900</v>
      </c>
      <c r="D665" t="s">
        <v>901</v>
      </c>
      <c r="E665" s="9">
        <v>45200</v>
      </c>
      <c r="F665" s="9">
        <v>45230</v>
      </c>
      <c r="G665">
        <v>3081000</v>
      </c>
      <c r="H665">
        <v>376000</v>
      </c>
      <c r="I665">
        <v>30000</v>
      </c>
      <c r="J665">
        <v>1205000</v>
      </c>
      <c r="K665">
        <v>0</v>
      </c>
      <c r="L665">
        <v>147000</v>
      </c>
      <c r="M665">
        <v>0</v>
      </c>
      <c r="T665" s="9">
        <v>45108</v>
      </c>
      <c r="U665" s="9">
        <v>45473</v>
      </c>
      <c r="V665">
        <f>SUM(POTABLE_NONPOTABLE_API[[#This Row],[RESIDENTIAL_SINGLEFAMILY_GAL]:[OTHER_GAL]])</f>
        <v>4839000</v>
      </c>
      <c r="W665">
        <f>SUM(POTABLE_NONPOTABLE_API[[#This Row],[NONPOTABLE_DEMAND_RESIDENTIAL_RECYCLED_WATER_GAL]:[NONPOTABLE_DEMAND_NONRESIDENTIAL_METERED_IRRIGATION_GAL]])</f>
        <v>0</v>
      </c>
      <c r="X665" t="str">
        <f>IFERROR(INDEX(Crosswalk_API!$H$2:$H$527, MATCH(POTABLE_NONPOTABLE_API[[#This Row],[PWSID]], CW_PWSID_LIST, 0)), "")</f>
        <v>No</v>
      </c>
    </row>
    <row r="666" spans="1:24" x14ac:dyDescent="0.25">
      <c r="A666" t="s">
        <v>890</v>
      </c>
      <c r="B666" t="s">
        <v>891</v>
      </c>
      <c r="C666" t="s">
        <v>900</v>
      </c>
      <c r="D666" t="s">
        <v>901</v>
      </c>
      <c r="E666" s="9">
        <v>45231</v>
      </c>
      <c r="F666" s="9">
        <v>45260</v>
      </c>
      <c r="G666">
        <v>3028000</v>
      </c>
      <c r="H666">
        <v>341000</v>
      </c>
      <c r="I666">
        <v>33000</v>
      </c>
      <c r="J666">
        <v>619000</v>
      </c>
      <c r="K666">
        <v>0</v>
      </c>
      <c r="L666">
        <v>152000</v>
      </c>
      <c r="M666">
        <v>0</v>
      </c>
      <c r="T666" s="9">
        <v>45108</v>
      </c>
      <c r="U666" s="9">
        <v>45473</v>
      </c>
      <c r="V666">
        <f>SUM(POTABLE_NONPOTABLE_API[[#This Row],[RESIDENTIAL_SINGLEFAMILY_GAL]:[OTHER_GAL]])</f>
        <v>4173000</v>
      </c>
      <c r="W666">
        <f>SUM(POTABLE_NONPOTABLE_API[[#This Row],[NONPOTABLE_DEMAND_RESIDENTIAL_RECYCLED_WATER_GAL]:[NONPOTABLE_DEMAND_NONRESIDENTIAL_METERED_IRRIGATION_GAL]])</f>
        <v>0</v>
      </c>
      <c r="X666" t="str">
        <f>IFERROR(INDEX(Crosswalk_API!$H$2:$H$527, MATCH(POTABLE_NONPOTABLE_API[[#This Row],[PWSID]], CW_PWSID_LIST, 0)), "")</f>
        <v>No</v>
      </c>
    </row>
    <row r="667" spans="1:24" x14ac:dyDescent="0.25">
      <c r="A667" t="s">
        <v>890</v>
      </c>
      <c r="B667" t="s">
        <v>891</v>
      </c>
      <c r="C667" t="s">
        <v>900</v>
      </c>
      <c r="D667" t="s">
        <v>901</v>
      </c>
      <c r="E667" s="9">
        <v>45261</v>
      </c>
      <c r="F667" s="9">
        <v>45291</v>
      </c>
      <c r="G667">
        <v>2402000</v>
      </c>
      <c r="H667">
        <v>210000</v>
      </c>
      <c r="I667">
        <v>19000</v>
      </c>
      <c r="J667">
        <v>276000</v>
      </c>
      <c r="K667">
        <v>0</v>
      </c>
      <c r="L667">
        <v>36000</v>
      </c>
      <c r="M667">
        <v>0</v>
      </c>
      <c r="T667" s="9">
        <v>45108</v>
      </c>
      <c r="U667" s="9">
        <v>45473</v>
      </c>
      <c r="V667">
        <f>SUM(POTABLE_NONPOTABLE_API[[#This Row],[RESIDENTIAL_SINGLEFAMILY_GAL]:[OTHER_GAL]])</f>
        <v>2943000</v>
      </c>
      <c r="W667">
        <f>SUM(POTABLE_NONPOTABLE_API[[#This Row],[NONPOTABLE_DEMAND_RESIDENTIAL_RECYCLED_WATER_GAL]:[NONPOTABLE_DEMAND_NONRESIDENTIAL_METERED_IRRIGATION_GAL]])</f>
        <v>0</v>
      </c>
      <c r="X667" t="str">
        <f>IFERROR(INDEX(Crosswalk_API!$H$2:$H$527, MATCH(POTABLE_NONPOTABLE_API[[#This Row],[PWSID]], CW_PWSID_LIST, 0)), "")</f>
        <v>No</v>
      </c>
    </row>
    <row r="668" spans="1:24" x14ac:dyDescent="0.25">
      <c r="A668" t="s">
        <v>890</v>
      </c>
      <c r="B668" t="s">
        <v>891</v>
      </c>
      <c r="C668" t="s">
        <v>900</v>
      </c>
      <c r="D668" t="s">
        <v>901</v>
      </c>
      <c r="E668" s="9">
        <v>45292</v>
      </c>
      <c r="F668" s="9">
        <v>45322</v>
      </c>
      <c r="G668">
        <v>1996000</v>
      </c>
      <c r="H668">
        <v>207000</v>
      </c>
      <c r="I668">
        <v>10000</v>
      </c>
      <c r="J668">
        <v>16000</v>
      </c>
      <c r="K668">
        <v>0</v>
      </c>
      <c r="L668">
        <v>46000</v>
      </c>
      <c r="M668">
        <v>0</v>
      </c>
      <c r="T668" s="9">
        <v>45108</v>
      </c>
      <c r="U668" s="9">
        <v>45473</v>
      </c>
      <c r="V668">
        <f>SUM(POTABLE_NONPOTABLE_API[[#This Row],[RESIDENTIAL_SINGLEFAMILY_GAL]:[OTHER_GAL]])</f>
        <v>2275000</v>
      </c>
      <c r="W668">
        <f>SUM(POTABLE_NONPOTABLE_API[[#This Row],[NONPOTABLE_DEMAND_RESIDENTIAL_RECYCLED_WATER_GAL]:[NONPOTABLE_DEMAND_NONRESIDENTIAL_METERED_IRRIGATION_GAL]])</f>
        <v>0</v>
      </c>
      <c r="X668" t="str">
        <f>IFERROR(INDEX(Crosswalk_API!$H$2:$H$527, MATCH(POTABLE_NONPOTABLE_API[[#This Row],[PWSID]], CW_PWSID_LIST, 0)), "")</f>
        <v>No</v>
      </c>
    </row>
    <row r="669" spans="1:24" x14ac:dyDescent="0.25">
      <c r="A669" t="s">
        <v>890</v>
      </c>
      <c r="B669" t="s">
        <v>891</v>
      </c>
      <c r="C669" t="s">
        <v>900</v>
      </c>
      <c r="D669" t="s">
        <v>901</v>
      </c>
      <c r="E669" s="9">
        <v>45323</v>
      </c>
      <c r="F669" s="9">
        <v>45351</v>
      </c>
      <c r="G669">
        <v>1866000</v>
      </c>
      <c r="H669">
        <v>194000</v>
      </c>
      <c r="I669">
        <v>14000</v>
      </c>
      <c r="J669">
        <v>0</v>
      </c>
      <c r="K669">
        <v>0</v>
      </c>
      <c r="L669">
        <v>25000</v>
      </c>
      <c r="M669">
        <v>0</v>
      </c>
      <c r="T669" s="9">
        <v>45108</v>
      </c>
      <c r="U669" s="9">
        <v>45473</v>
      </c>
      <c r="V669">
        <f>SUM(POTABLE_NONPOTABLE_API[[#This Row],[RESIDENTIAL_SINGLEFAMILY_GAL]:[OTHER_GAL]])</f>
        <v>2099000</v>
      </c>
      <c r="W669">
        <f>SUM(POTABLE_NONPOTABLE_API[[#This Row],[NONPOTABLE_DEMAND_RESIDENTIAL_RECYCLED_WATER_GAL]:[NONPOTABLE_DEMAND_NONRESIDENTIAL_METERED_IRRIGATION_GAL]])</f>
        <v>0</v>
      </c>
      <c r="X669" t="str">
        <f>IFERROR(INDEX(Crosswalk_API!$H$2:$H$527, MATCH(POTABLE_NONPOTABLE_API[[#This Row],[PWSID]], CW_PWSID_LIST, 0)), "")</f>
        <v>No</v>
      </c>
    </row>
    <row r="670" spans="1:24" x14ac:dyDescent="0.25">
      <c r="A670" t="s">
        <v>890</v>
      </c>
      <c r="B670" t="s">
        <v>891</v>
      </c>
      <c r="C670" t="s">
        <v>900</v>
      </c>
      <c r="D670" t="s">
        <v>901</v>
      </c>
      <c r="E670" s="9">
        <v>45352</v>
      </c>
      <c r="F670" s="9">
        <v>45382</v>
      </c>
      <c r="G670">
        <v>1486000</v>
      </c>
      <c r="H670">
        <v>127000</v>
      </c>
      <c r="I670">
        <v>8000</v>
      </c>
      <c r="J670">
        <v>5000</v>
      </c>
      <c r="K670">
        <v>0</v>
      </c>
      <c r="L670">
        <v>32000</v>
      </c>
      <c r="M670">
        <v>0</v>
      </c>
      <c r="T670" s="9">
        <v>45108</v>
      </c>
      <c r="U670" s="9">
        <v>45473</v>
      </c>
      <c r="V670">
        <f>SUM(POTABLE_NONPOTABLE_API[[#This Row],[RESIDENTIAL_SINGLEFAMILY_GAL]:[OTHER_GAL]])</f>
        <v>1658000</v>
      </c>
      <c r="W670">
        <f>SUM(POTABLE_NONPOTABLE_API[[#This Row],[NONPOTABLE_DEMAND_RESIDENTIAL_RECYCLED_WATER_GAL]:[NONPOTABLE_DEMAND_NONRESIDENTIAL_METERED_IRRIGATION_GAL]])</f>
        <v>0</v>
      </c>
      <c r="X670" t="str">
        <f>IFERROR(INDEX(Crosswalk_API!$H$2:$H$527, MATCH(POTABLE_NONPOTABLE_API[[#This Row],[PWSID]], CW_PWSID_LIST, 0)), "")</f>
        <v>No</v>
      </c>
    </row>
    <row r="671" spans="1:24" x14ac:dyDescent="0.25">
      <c r="A671" t="s">
        <v>890</v>
      </c>
      <c r="B671" t="s">
        <v>891</v>
      </c>
      <c r="C671" t="s">
        <v>900</v>
      </c>
      <c r="D671" t="s">
        <v>901</v>
      </c>
      <c r="E671" s="9">
        <v>45383</v>
      </c>
      <c r="F671" s="9">
        <v>45412</v>
      </c>
      <c r="G671">
        <v>1572000</v>
      </c>
      <c r="H671">
        <v>157000</v>
      </c>
      <c r="I671">
        <v>39000</v>
      </c>
      <c r="J671">
        <v>7000</v>
      </c>
      <c r="K671">
        <v>0</v>
      </c>
      <c r="L671">
        <v>33000</v>
      </c>
      <c r="M671">
        <v>0</v>
      </c>
      <c r="T671" s="9">
        <v>45108</v>
      </c>
      <c r="U671" s="9">
        <v>45473</v>
      </c>
      <c r="V671">
        <f>SUM(POTABLE_NONPOTABLE_API[[#This Row],[RESIDENTIAL_SINGLEFAMILY_GAL]:[OTHER_GAL]])</f>
        <v>1808000</v>
      </c>
      <c r="W671">
        <f>SUM(POTABLE_NONPOTABLE_API[[#This Row],[NONPOTABLE_DEMAND_RESIDENTIAL_RECYCLED_WATER_GAL]:[NONPOTABLE_DEMAND_NONRESIDENTIAL_METERED_IRRIGATION_GAL]])</f>
        <v>0</v>
      </c>
      <c r="X671" t="str">
        <f>IFERROR(INDEX(Crosswalk_API!$H$2:$H$527, MATCH(POTABLE_NONPOTABLE_API[[#This Row],[PWSID]], CW_PWSID_LIST, 0)), "")</f>
        <v>No</v>
      </c>
    </row>
    <row r="672" spans="1:24" x14ac:dyDescent="0.25">
      <c r="A672" t="s">
        <v>890</v>
      </c>
      <c r="B672" t="s">
        <v>891</v>
      </c>
      <c r="C672" t="s">
        <v>900</v>
      </c>
      <c r="D672" t="s">
        <v>901</v>
      </c>
      <c r="E672" s="9">
        <v>45413</v>
      </c>
      <c r="F672" s="9">
        <v>45443</v>
      </c>
      <c r="G672">
        <v>1986000</v>
      </c>
      <c r="H672">
        <v>179000</v>
      </c>
      <c r="I672">
        <v>22000</v>
      </c>
      <c r="J672">
        <v>148000</v>
      </c>
      <c r="K672">
        <v>0</v>
      </c>
      <c r="L672">
        <v>87000</v>
      </c>
      <c r="M672">
        <v>0</v>
      </c>
      <c r="T672" s="9">
        <v>45108</v>
      </c>
      <c r="U672" s="9">
        <v>45473</v>
      </c>
      <c r="V672">
        <f>SUM(POTABLE_NONPOTABLE_API[[#This Row],[RESIDENTIAL_SINGLEFAMILY_GAL]:[OTHER_GAL]])</f>
        <v>2422000</v>
      </c>
      <c r="W672">
        <f>SUM(POTABLE_NONPOTABLE_API[[#This Row],[NONPOTABLE_DEMAND_RESIDENTIAL_RECYCLED_WATER_GAL]:[NONPOTABLE_DEMAND_NONRESIDENTIAL_METERED_IRRIGATION_GAL]])</f>
        <v>0</v>
      </c>
      <c r="X672" t="str">
        <f>IFERROR(INDEX(Crosswalk_API!$H$2:$H$527, MATCH(POTABLE_NONPOTABLE_API[[#This Row],[PWSID]], CW_PWSID_LIST, 0)), "")</f>
        <v>No</v>
      </c>
    </row>
    <row r="673" spans="1:24" x14ac:dyDescent="0.25">
      <c r="A673" t="s">
        <v>890</v>
      </c>
      <c r="B673" t="s">
        <v>891</v>
      </c>
      <c r="C673" t="s">
        <v>900</v>
      </c>
      <c r="D673" t="s">
        <v>901</v>
      </c>
      <c r="E673" s="9">
        <v>45444</v>
      </c>
      <c r="F673" s="9">
        <v>45473</v>
      </c>
      <c r="G673">
        <v>2754000</v>
      </c>
      <c r="H673">
        <v>306000</v>
      </c>
      <c r="I673">
        <v>19000</v>
      </c>
      <c r="J673">
        <v>903000</v>
      </c>
      <c r="K673">
        <v>0</v>
      </c>
      <c r="L673">
        <v>73000</v>
      </c>
      <c r="M673">
        <v>0</v>
      </c>
      <c r="T673" s="9">
        <v>45108</v>
      </c>
      <c r="U673" s="9">
        <v>45473</v>
      </c>
      <c r="V673">
        <f>SUM(POTABLE_NONPOTABLE_API[[#This Row],[RESIDENTIAL_SINGLEFAMILY_GAL]:[OTHER_GAL]])</f>
        <v>4055000</v>
      </c>
      <c r="W673">
        <f>SUM(POTABLE_NONPOTABLE_API[[#This Row],[NONPOTABLE_DEMAND_RESIDENTIAL_RECYCLED_WATER_GAL]:[NONPOTABLE_DEMAND_NONRESIDENTIAL_METERED_IRRIGATION_GAL]])</f>
        <v>0</v>
      </c>
      <c r="X673" t="str">
        <f>IFERROR(INDEX(Crosswalk_API!$H$2:$H$527, MATCH(POTABLE_NONPOTABLE_API[[#This Row],[PWSID]], CW_PWSID_LIST, 0)), "")</f>
        <v>No</v>
      </c>
    </row>
    <row r="674" spans="1:24" x14ac:dyDescent="0.25">
      <c r="A674" t="s">
        <v>890</v>
      </c>
      <c r="B674" t="s">
        <v>891</v>
      </c>
      <c r="C674" t="s">
        <v>902</v>
      </c>
      <c r="D674" t="s">
        <v>903</v>
      </c>
      <c r="E674" s="9">
        <v>45108</v>
      </c>
      <c r="F674" s="9">
        <v>45138</v>
      </c>
      <c r="G674">
        <v>4070999.9999999995</v>
      </c>
      <c r="H674">
        <v>0</v>
      </c>
      <c r="I674">
        <v>40000</v>
      </c>
      <c r="J674">
        <v>50000</v>
      </c>
      <c r="K674">
        <v>0</v>
      </c>
      <c r="L674">
        <v>0</v>
      </c>
      <c r="M674">
        <v>0</v>
      </c>
      <c r="T674" s="9">
        <v>45108</v>
      </c>
      <c r="U674" s="9">
        <v>45473</v>
      </c>
      <c r="V674">
        <f>SUM(POTABLE_NONPOTABLE_API[[#This Row],[RESIDENTIAL_SINGLEFAMILY_GAL]:[OTHER_GAL]])</f>
        <v>4160999.9999999995</v>
      </c>
      <c r="W674">
        <f>SUM(POTABLE_NONPOTABLE_API[[#This Row],[NONPOTABLE_DEMAND_RESIDENTIAL_RECYCLED_WATER_GAL]:[NONPOTABLE_DEMAND_NONRESIDENTIAL_METERED_IRRIGATION_GAL]])</f>
        <v>0</v>
      </c>
      <c r="X674" t="str">
        <f>IFERROR(INDEX(Crosswalk_API!$H$2:$H$527, MATCH(POTABLE_NONPOTABLE_API[[#This Row],[PWSID]], CW_PWSID_LIST, 0)), "")</f>
        <v>No</v>
      </c>
    </row>
    <row r="675" spans="1:24" x14ac:dyDescent="0.25">
      <c r="A675" t="s">
        <v>890</v>
      </c>
      <c r="B675" t="s">
        <v>891</v>
      </c>
      <c r="C675" t="s">
        <v>902</v>
      </c>
      <c r="D675" t="s">
        <v>903</v>
      </c>
      <c r="E675" s="9">
        <v>45139</v>
      </c>
      <c r="F675" s="9">
        <v>45169</v>
      </c>
      <c r="G675">
        <v>4881500</v>
      </c>
      <c r="H675">
        <v>0</v>
      </c>
      <c r="I675">
        <v>51900</v>
      </c>
      <c r="J675">
        <v>56000</v>
      </c>
      <c r="K675">
        <v>0</v>
      </c>
      <c r="L675">
        <v>100</v>
      </c>
      <c r="M675">
        <v>0</v>
      </c>
      <c r="T675" s="9">
        <v>45108</v>
      </c>
      <c r="U675" s="9">
        <v>45473</v>
      </c>
      <c r="V675">
        <f>SUM(POTABLE_NONPOTABLE_API[[#This Row],[RESIDENTIAL_SINGLEFAMILY_GAL]:[OTHER_GAL]])</f>
        <v>4989500</v>
      </c>
      <c r="W675">
        <f>SUM(POTABLE_NONPOTABLE_API[[#This Row],[NONPOTABLE_DEMAND_RESIDENTIAL_RECYCLED_WATER_GAL]:[NONPOTABLE_DEMAND_NONRESIDENTIAL_METERED_IRRIGATION_GAL]])</f>
        <v>0</v>
      </c>
      <c r="X675" t="str">
        <f>IFERROR(INDEX(Crosswalk_API!$H$2:$H$527, MATCH(POTABLE_NONPOTABLE_API[[#This Row],[PWSID]], CW_PWSID_LIST, 0)), "")</f>
        <v>No</v>
      </c>
    </row>
    <row r="676" spans="1:24" x14ac:dyDescent="0.25">
      <c r="A676" t="s">
        <v>890</v>
      </c>
      <c r="B676" t="s">
        <v>891</v>
      </c>
      <c r="C676" t="s">
        <v>902</v>
      </c>
      <c r="D676" t="s">
        <v>903</v>
      </c>
      <c r="E676" s="9">
        <v>45170</v>
      </c>
      <c r="F676" s="9">
        <v>45199</v>
      </c>
      <c r="G676">
        <v>4652000</v>
      </c>
      <c r="H676">
        <v>0</v>
      </c>
      <c r="I676">
        <v>89000</v>
      </c>
      <c r="J676">
        <v>37000</v>
      </c>
      <c r="K676">
        <v>0</v>
      </c>
      <c r="L676">
        <v>0</v>
      </c>
      <c r="M676">
        <v>0</v>
      </c>
      <c r="T676" s="9">
        <v>45108</v>
      </c>
      <c r="U676" s="9">
        <v>45473</v>
      </c>
      <c r="V676">
        <f>SUM(POTABLE_NONPOTABLE_API[[#This Row],[RESIDENTIAL_SINGLEFAMILY_GAL]:[OTHER_GAL]])</f>
        <v>4778000</v>
      </c>
      <c r="W676">
        <f>SUM(POTABLE_NONPOTABLE_API[[#This Row],[NONPOTABLE_DEMAND_RESIDENTIAL_RECYCLED_WATER_GAL]:[NONPOTABLE_DEMAND_NONRESIDENTIAL_METERED_IRRIGATION_GAL]])</f>
        <v>0</v>
      </c>
      <c r="X676" t="str">
        <f>IFERROR(INDEX(Crosswalk_API!$H$2:$H$527, MATCH(POTABLE_NONPOTABLE_API[[#This Row],[PWSID]], CW_PWSID_LIST, 0)), "")</f>
        <v>No</v>
      </c>
    </row>
    <row r="677" spans="1:24" x14ac:dyDescent="0.25">
      <c r="A677" t="s">
        <v>890</v>
      </c>
      <c r="B677" t="s">
        <v>891</v>
      </c>
      <c r="C677" t="s">
        <v>902</v>
      </c>
      <c r="D677" t="s">
        <v>903</v>
      </c>
      <c r="E677" s="9">
        <v>45200</v>
      </c>
      <c r="F677" s="9">
        <v>45230</v>
      </c>
      <c r="G677">
        <v>4493000</v>
      </c>
      <c r="H677">
        <v>0</v>
      </c>
      <c r="I677">
        <v>43000</v>
      </c>
      <c r="J677">
        <v>37000</v>
      </c>
      <c r="K677">
        <v>0</v>
      </c>
      <c r="L677">
        <v>0</v>
      </c>
      <c r="M677">
        <v>0</v>
      </c>
      <c r="T677" s="9">
        <v>45108</v>
      </c>
      <c r="U677" s="9">
        <v>45473</v>
      </c>
      <c r="V677">
        <f>SUM(POTABLE_NONPOTABLE_API[[#This Row],[RESIDENTIAL_SINGLEFAMILY_GAL]:[OTHER_GAL]])</f>
        <v>4573000</v>
      </c>
      <c r="W677">
        <f>SUM(POTABLE_NONPOTABLE_API[[#This Row],[NONPOTABLE_DEMAND_RESIDENTIAL_RECYCLED_WATER_GAL]:[NONPOTABLE_DEMAND_NONRESIDENTIAL_METERED_IRRIGATION_GAL]])</f>
        <v>0</v>
      </c>
      <c r="X677" t="str">
        <f>IFERROR(INDEX(Crosswalk_API!$H$2:$H$527, MATCH(POTABLE_NONPOTABLE_API[[#This Row],[PWSID]], CW_PWSID_LIST, 0)), "")</f>
        <v>No</v>
      </c>
    </row>
    <row r="678" spans="1:24" x14ac:dyDescent="0.25">
      <c r="A678" t="s">
        <v>890</v>
      </c>
      <c r="B678" t="s">
        <v>891</v>
      </c>
      <c r="C678" t="s">
        <v>902</v>
      </c>
      <c r="D678" t="s">
        <v>903</v>
      </c>
      <c r="E678" s="9">
        <v>45231</v>
      </c>
      <c r="F678" s="9">
        <v>45260</v>
      </c>
      <c r="G678">
        <v>4228000</v>
      </c>
      <c r="H678">
        <v>0</v>
      </c>
      <c r="I678">
        <v>35000</v>
      </c>
      <c r="J678">
        <v>40000</v>
      </c>
      <c r="K678">
        <v>0</v>
      </c>
      <c r="L678">
        <v>0</v>
      </c>
      <c r="M678">
        <v>0</v>
      </c>
      <c r="T678" s="9">
        <v>45108</v>
      </c>
      <c r="U678" s="9">
        <v>45473</v>
      </c>
      <c r="V678">
        <f>SUM(POTABLE_NONPOTABLE_API[[#This Row],[RESIDENTIAL_SINGLEFAMILY_GAL]:[OTHER_GAL]])</f>
        <v>4303000</v>
      </c>
      <c r="W678">
        <f>SUM(POTABLE_NONPOTABLE_API[[#This Row],[NONPOTABLE_DEMAND_RESIDENTIAL_RECYCLED_WATER_GAL]:[NONPOTABLE_DEMAND_NONRESIDENTIAL_METERED_IRRIGATION_GAL]])</f>
        <v>0</v>
      </c>
      <c r="X678" t="str">
        <f>IFERROR(INDEX(Crosswalk_API!$H$2:$H$527, MATCH(POTABLE_NONPOTABLE_API[[#This Row],[PWSID]], CW_PWSID_LIST, 0)), "")</f>
        <v>No</v>
      </c>
    </row>
    <row r="679" spans="1:24" x14ac:dyDescent="0.25">
      <c r="A679" t="s">
        <v>890</v>
      </c>
      <c r="B679" t="s">
        <v>891</v>
      </c>
      <c r="C679" t="s">
        <v>902</v>
      </c>
      <c r="D679" t="s">
        <v>903</v>
      </c>
      <c r="E679" s="9">
        <v>45261</v>
      </c>
      <c r="F679" s="9">
        <v>45291</v>
      </c>
      <c r="G679">
        <v>3465000</v>
      </c>
      <c r="H679">
        <v>0</v>
      </c>
      <c r="I679">
        <v>20000</v>
      </c>
      <c r="J679">
        <v>38000</v>
      </c>
      <c r="K679">
        <v>0</v>
      </c>
      <c r="L679">
        <v>0</v>
      </c>
      <c r="M679">
        <v>0</v>
      </c>
      <c r="T679" s="9">
        <v>45108</v>
      </c>
      <c r="U679" s="9">
        <v>45473</v>
      </c>
      <c r="V679">
        <f>SUM(POTABLE_NONPOTABLE_API[[#This Row],[RESIDENTIAL_SINGLEFAMILY_GAL]:[OTHER_GAL]])</f>
        <v>3523000</v>
      </c>
      <c r="W679">
        <f>SUM(POTABLE_NONPOTABLE_API[[#This Row],[NONPOTABLE_DEMAND_RESIDENTIAL_RECYCLED_WATER_GAL]:[NONPOTABLE_DEMAND_NONRESIDENTIAL_METERED_IRRIGATION_GAL]])</f>
        <v>0</v>
      </c>
      <c r="X679" t="str">
        <f>IFERROR(INDEX(Crosswalk_API!$H$2:$H$527, MATCH(POTABLE_NONPOTABLE_API[[#This Row],[PWSID]], CW_PWSID_LIST, 0)), "")</f>
        <v>No</v>
      </c>
    </row>
    <row r="680" spans="1:24" x14ac:dyDescent="0.25">
      <c r="A680" t="s">
        <v>890</v>
      </c>
      <c r="B680" t="s">
        <v>891</v>
      </c>
      <c r="C680" t="s">
        <v>902</v>
      </c>
      <c r="D680" t="s">
        <v>903</v>
      </c>
      <c r="E680" s="9">
        <v>45292</v>
      </c>
      <c r="F680" s="9">
        <v>45322</v>
      </c>
      <c r="G680">
        <v>2457000</v>
      </c>
      <c r="H680">
        <v>0</v>
      </c>
      <c r="I680">
        <v>18000</v>
      </c>
      <c r="J680">
        <v>13000</v>
      </c>
      <c r="K680">
        <v>0</v>
      </c>
      <c r="L680">
        <v>0</v>
      </c>
      <c r="M680">
        <v>0</v>
      </c>
      <c r="T680" s="9">
        <v>45108</v>
      </c>
      <c r="U680" s="9">
        <v>45473</v>
      </c>
      <c r="V680">
        <f>SUM(POTABLE_NONPOTABLE_API[[#This Row],[RESIDENTIAL_SINGLEFAMILY_GAL]:[OTHER_GAL]])</f>
        <v>2488000</v>
      </c>
      <c r="W680">
        <f>SUM(POTABLE_NONPOTABLE_API[[#This Row],[NONPOTABLE_DEMAND_RESIDENTIAL_RECYCLED_WATER_GAL]:[NONPOTABLE_DEMAND_NONRESIDENTIAL_METERED_IRRIGATION_GAL]])</f>
        <v>0</v>
      </c>
      <c r="X680" t="str">
        <f>IFERROR(INDEX(Crosswalk_API!$H$2:$H$527, MATCH(POTABLE_NONPOTABLE_API[[#This Row],[PWSID]], CW_PWSID_LIST, 0)), "")</f>
        <v>No</v>
      </c>
    </row>
    <row r="681" spans="1:24" x14ac:dyDescent="0.25">
      <c r="A681" t="s">
        <v>890</v>
      </c>
      <c r="B681" t="s">
        <v>891</v>
      </c>
      <c r="C681" t="s">
        <v>902</v>
      </c>
      <c r="D681" t="s">
        <v>903</v>
      </c>
      <c r="E681" s="9">
        <v>45323</v>
      </c>
      <c r="F681" s="9">
        <v>45351</v>
      </c>
      <c r="G681">
        <v>2221000</v>
      </c>
      <c r="H681">
        <v>0</v>
      </c>
      <c r="I681">
        <v>18000</v>
      </c>
      <c r="J681">
        <v>6000</v>
      </c>
      <c r="K681">
        <v>0</v>
      </c>
      <c r="L681">
        <v>0</v>
      </c>
      <c r="M681">
        <v>0</v>
      </c>
      <c r="T681" s="9">
        <v>45108</v>
      </c>
      <c r="U681" s="9">
        <v>45473</v>
      </c>
      <c r="V681">
        <f>SUM(POTABLE_NONPOTABLE_API[[#This Row],[RESIDENTIAL_SINGLEFAMILY_GAL]:[OTHER_GAL]])</f>
        <v>2245000</v>
      </c>
      <c r="W681">
        <f>SUM(POTABLE_NONPOTABLE_API[[#This Row],[NONPOTABLE_DEMAND_RESIDENTIAL_RECYCLED_WATER_GAL]:[NONPOTABLE_DEMAND_NONRESIDENTIAL_METERED_IRRIGATION_GAL]])</f>
        <v>0</v>
      </c>
      <c r="X681" t="str">
        <f>IFERROR(INDEX(Crosswalk_API!$H$2:$H$527, MATCH(POTABLE_NONPOTABLE_API[[#This Row],[PWSID]], CW_PWSID_LIST, 0)), "")</f>
        <v>No</v>
      </c>
    </row>
    <row r="682" spans="1:24" x14ac:dyDescent="0.25">
      <c r="A682" t="s">
        <v>890</v>
      </c>
      <c r="B682" t="s">
        <v>891</v>
      </c>
      <c r="C682" t="s">
        <v>902</v>
      </c>
      <c r="D682" t="s">
        <v>903</v>
      </c>
      <c r="E682" s="9">
        <v>45352</v>
      </c>
      <c r="F682" s="9">
        <v>45382</v>
      </c>
      <c r="G682">
        <v>1627000</v>
      </c>
      <c r="H682">
        <v>0</v>
      </c>
      <c r="I682">
        <v>12000</v>
      </c>
      <c r="J682">
        <v>0</v>
      </c>
      <c r="K682">
        <v>0</v>
      </c>
      <c r="L682">
        <v>0</v>
      </c>
      <c r="M682">
        <v>0</v>
      </c>
      <c r="T682" s="9">
        <v>45108</v>
      </c>
      <c r="U682" s="9">
        <v>45473</v>
      </c>
      <c r="V682">
        <f>SUM(POTABLE_NONPOTABLE_API[[#This Row],[RESIDENTIAL_SINGLEFAMILY_GAL]:[OTHER_GAL]])</f>
        <v>1639000</v>
      </c>
      <c r="W682">
        <f>SUM(POTABLE_NONPOTABLE_API[[#This Row],[NONPOTABLE_DEMAND_RESIDENTIAL_RECYCLED_WATER_GAL]:[NONPOTABLE_DEMAND_NONRESIDENTIAL_METERED_IRRIGATION_GAL]])</f>
        <v>0</v>
      </c>
      <c r="X682" t="str">
        <f>IFERROR(INDEX(Crosswalk_API!$H$2:$H$527, MATCH(POTABLE_NONPOTABLE_API[[#This Row],[PWSID]], CW_PWSID_LIST, 0)), "")</f>
        <v>No</v>
      </c>
    </row>
    <row r="683" spans="1:24" x14ac:dyDescent="0.25">
      <c r="A683" t="s">
        <v>890</v>
      </c>
      <c r="B683" t="s">
        <v>891</v>
      </c>
      <c r="C683" t="s">
        <v>902</v>
      </c>
      <c r="D683" t="s">
        <v>903</v>
      </c>
      <c r="E683" s="9">
        <v>45383</v>
      </c>
      <c r="F683" s="9">
        <v>45412</v>
      </c>
      <c r="G683">
        <v>1782000</v>
      </c>
      <c r="H683">
        <v>0</v>
      </c>
      <c r="I683">
        <v>11000</v>
      </c>
      <c r="J683">
        <v>0</v>
      </c>
      <c r="K683">
        <v>0</v>
      </c>
      <c r="L683">
        <v>0</v>
      </c>
      <c r="M683">
        <v>0</v>
      </c>
      <c r="T683" s="9">
        <v>45108</v>
      </c>
      <c r="U683" s="9">
        <v>45473</v>
      </c>
      <c r="V683">
        <f>SUM(POTABLE_NONPOTABLE_API[[#This Row],[RESIDENTIAL_SINGLEFAMILY_GAL]:[OTHER_GAL]])</f>
        <v>1793000</v>
      </c>
      <c r="W683">
        <f>SUM(POTABLE_NONPOTABLE_API[[#This Row],[NONPOTABLE_DEMAND_RESIDENTIAL_RECYCLED_WATER_GAL]:[NONPOTABLE_DEMAND_NONRESIDENTIAL_METERED_IRRIGATION_GAL]])</f>
        <v>0</v>
      </c>
      <c r="X683" t="str">
        <f>IFERROR(INDEX(Crosswalk_API!$H$2:$H$527, MATCH(POTABLE_NONPOTABLE_API[[#This Row],[PWSID]], CW_PWSID_LIST, 0)), "")</f>
        <v>No</v>
      </c>
    </row>
    <row r="684" spans="1:24" x14ac:dyDescent="0.25">
      <c r="A684" t="s">
        <v>890</v>
      </c>
      <c r="B684" t="s">
        <v>891</v>
      </c>
      <c r="C684" t="s">
        <v>902</v>
      </c>
      <c r="D684" t="s">
        <v>903</v>
      </c>
      <c r="E684" s="9">
        <v>45413</v>
      </c>
      <c r="F684" s="9">
        <v>45443</v>
      </c>
      <c r="G684">
        <v>2423000</v>
      </c>
      <c r="H684">
        <v>0</v>
      </c>
      <c r="I684">
        <v>41000</v>
      </c>
      <c r="J684">
        <v>4000</v>
      </c>
      <c r="K684">
        <v>0</v>
      </c>
      <c r="L684">
        <v>0</v>
      </c>
      <c r="M684">
        <v>0</v>
      </c>
      <c r="T684" s="9">
        <v>45108</v>
      </c>
      <c r="U684" s="9">
        <v>45473</v>
      </c>
      <c r="V684">
        <f>SUM(POTABLE_NONPOTABLE_API[[#This Row],[RESIDENTIAL_SINGLEFAMILY_GAL]:[OTHER_GAL]])</f>
        <v>2468000</v>
      </c>
      <c r="W684">
        <f>SUM(POTABLE_NONPOTABLE_API[[#This Row],[NONPOTABLE_DEMAND_RESIDENTIAL_RECYCLED_WATER_GAL]:[NONPOTABLE_DEMAND_NONRESIDENTIAL_METERED_IRRIGATION_GAL]])</f>
        <v>0</v>
      </c>
      <c r="X684" t="str">
        <f>IFERROR(INDEX(Crosswalk_API!$H$2:$H$527, MATCH(POTABLE_NONPOTABLE_API[[#This Row],[PWSID]], CW_PWSID_LIST, 0)), "")</f>
        <v>No</v>
      </c>
    </row>
    <row r="685" spans="1:24" x14ac:dyDescent="0.25">
      <c r="A685" t="s">
        <v>890</v>
      </c>
      <c r="B685" t="s">
        <v>891</v>
      </c>
      <c r="C685" t="s">
        <v>902</v>
      </c>
      <c r="D685" t="s">
        <v>903</v>
      </c>
      <c r="E685" s="9">
        <v>45444</v>
      </c>
      <c r="F685" s="9">
        <v>45473</v>
      </c>
      <c r="G685">
        <v>3786000</v>
      </c>
      <c r="H685">
        <v>0</v>
      </c>
      <c r="I685">
        <v>36000</v>
      </c>
      <c r="J685">
        <v>26000</v>
      </c>
      <c r="K685">
        <v>0</v>
      </c>
      <c r="L685">
        <v>0</v>
      </c>
      <c r="M685">
        <v>0</v>
      </c>
      <c r="T685" s="9">
        <v>45108</v>
      </c>
      <c r="U685" s="9">
        <v>45473</v>
      </c>
      <c r="V685">
        <f>SUM(POTABLE_NONPOTABLE_API[[#This Row],[RESIDENTIAL_SINGLEFAMILY_GAL]:[OTHER_GAL]])</f>
        <v>3848000</v>
      </c>
      <c r="W685">
        <f>SUM(POTABLE_NONPOTABLE_API[[#This Row],[NONPOTABLE_DEMAND_RESIDENTIAL_RECYCLED_WATER_GAL]:[NONPOTABLE_DEMAND_NONRESIDENTIAL_METERED_IRRIGATION_GAL]])</f>
        <v>0</v>
      </c>
      <c r="X685" t="str">
        <f>IFERROR(INDEX(Crosswalk_API!$H$2:$H$527, MATCH(POTABLE_NONPOTABLE_API[[#This Row],[PWSID]], CW_PWSID_LIST, 0)), "")</f>
        <v>No</v>
      </c>
    </row>
    <row r="686" spans="1:24" x14ac:dyDescent="0.25">
      <c r="A686" t="s">
        <v>890</v>
      </c>
      <c r="B686" t="s">
        <v>891</v>
      </c>
      <c r="C686" t="s">
        <v>904</v>
      </c>
      <c r="D686" t="s">
        <v>905</v>
      </c>
      <c r="E686" s="9">
        <v>45108</v>
      </c>
      <c r="F686" s="9">
        <v>45138</v>
      </c>
      <c r="G686">
        <v>827000</v>
      </c>
      <c r="H686">
        <v>0</v>
      </c>
      <c r="I686">
        <v>0</v>
      </c>
      <c r="J686">
        <v>0</v>
      </c>
      <c r="K686">
        <v>0</v>
      </c>
      <c r="L686">
        <v>0</v>
      </c>
      <c r="M686">
        <v>0</v>
      </c>
      <c r="T686" s="9">
        <v>45108</v>
      </c>
      <c r="U686" s="9">
        <v>45473</v>
      </c>
      <c r="V686">
        <f>SUM(POTABLE_NONPOTABLE_API[[#This Row],[RESIDENTIAL_SINGLEFAMILY_GAL]:[OTHER_GAL]])</f>
        <v>827000</v>
      </c>
      <c r="W686">
        <f>SUM(POTABLE_NONPOTABLE_API[[#This Row],[NONPOTABLE_DEMAND_RESIDENTIAL_RECYCLED_WATER_GAL]:[NONPOTABLE_DEMAND_NONRESIDENTIAL_METERED_IRRIGATION_GAL]])</f>
        <v>0</v>
      </c>
      <c r="X686" t="str">
        <f>IFERROR(INDEX(Crosswalk_API!$H$2:$H$527, MATCH(POTABLE_NONPOTABLE_API[[#This Row],[PWSID]], CW_PWSID_LIST, 0)), "")</f>
        <v>No</v>
      </c>
    </row>
    <row r="687" spans="1:24" x14ac:dyDescent="0.25">
      <c r="A687" t="s">
        <v>890</v>
      </c>
      <c r="B687" t="s">
        <v>891</v>
      </c>
      <c r="C687" t="s">
        <v>904</v>
      </c>
      <c r="D687" t="s">
        <v>905</v>
      </c>
      <c r="E687" s="9">
        <v>45139</v>
      </c>
      <c r="F687" s="9">
        <v>45169</v>
      </c>
      <c r="G687">
        <v>5204000</v>
      </c>
      <c r="H687">
        <v>0</v>
      </c>
      <c r="I687">
        <v>0</v>
      </c>
      <c r="J687">
        <v>74000</v>
      </c>
      <c r="K687">
        <v>0</v>
      </c>
      <c r="L687">
        <v>65000</v>
      </c>
      <c r="M687">
        <v>0</v>
      </c>
      <c r="T687" s="9">
        <v>45108</v>
      </c>
      <c r="U687" s="9">
        <v>45473</v>
      </c>
      <c r="V687">
        <f>SUM(POTABLE_NONPOTABLE_API[[#This Row],[RESIDENTIAL_SINGLEFAMILY_GAL]:[OTHER_GAL]])</f>
        <v>5343000</v>
      </c>
      <c r="W687">
        <f>SUM(POTABLE_NONPOTABLE_API[[#This Row],[NONPOTABLE_DEMAND_RESIDENTIAL_RECYCLED_WATER_GAL]:[NONPOTABLE_DEMAND_NONRESIDENTIAL_METERED_IRRIGATION_GAL]])</f>
        <v>0</v>
      </c>
      <c r="X687" t="str">
        <f>IFERROR(INDEX(Crosswalk_API!$H$2:$H$527, MATCH(POTABLE_NONPOTABLE_API[[#This Row],[PWSID]], CW_PWSID_LIST, 0)), "")</f>
        <v>No</v>
      </c>
    </row>
    <row r="688" spans="1:24" x14ac:dyDescent="0.25">
      <c r="A688" t="s">
        <v>890</v>
      </c>
      <c r="B688" t="s">
        <v>891</v>
      </c>
      <c r="C688" t="s">
        <v>904</v>
      </c>
      <c r="D688" t="s">
        <v>905</v>
      </c>
      <c r="E688" s="9">
        <v>45170</v>
      </c>
      <c r="F688" s="9">
        <v>45199</v>
      </c>
      <c r="G688">
        <v>1463000</v>
      </c>
      <c r="H688">
        <v>0</v>
      </c>
      <c r="I688">
        <v>0</v>
      </c>
      <c r="J688">
        <v>23000</v>
      </c>
      <c r="K688">
        <v>0</v>
      </c>
      <c r="L688">
        <v>63000</v>
      </c>
      <c r="M688">
        <v>0</v>
      </c>
      <c r="T688" s="9">
        <v>45108</v>
      </c>
      <c r="U688" s="9">
        <v>45473</v>
      </c>
      <c r="V688">
        <f>SUM(POTABLE_NONPOTABLE_API[[#This Row],[RESIDENTIAL_SINGLEFAMILY_GAL]:[OTHER_GAL]])</f>
        <v>1549000</v>
      </c>
      <c r="W688">
        <f>SUM(POTABLE_NONPOTABLE_API[[#This Row],[NONPOTABLE_DEMAND_RESIDENTIAL_RECYCLED_WATER_GAL]:[NONPOTABLE_DEMAND_NONRESIDENTIAL_METERED_IRRIGATION_GAL]])</f>
        <v>0</v>
      </c>
      <c r="X688" t="str">
        <f>IFERROR(INDEX(Crosswalk_API!$H$2:$H$527, MATCH(POTABLE_NONPOTABLE_API[[#This Row],[PWSID]], CW_PWSID_LIST, 0)), "")</f>
        <v>No</v>
      </c>
    </row>
    <row r="689" spans="1:24" x14ac:dyDescent="0.25">
      <c r="A689" t="s">
        <v>890</v>
      </c>
      <c r="B689" t="s">
        <v>891</v>
      </c>
      <c r="C689" t="s">
        <v>904</v>
      </c>
      <c r="D689" t="s">
        <v>905</v>
      </c>
      <c r="E689" s="9">
        <v>45200</v>
      </c>
      <c r="F689" s="9">
        <v>45230</v>
      </c>
      <c r="G689">
        <v>2098000</v>
      </c>
      <c r="H689">
        <v>0</v>
      </c>
      <c r="I689">
        <v>0</v>
      </c>
      <c r="J689">
        <v>7000</v>
      </c>
      <c r="K689">
        <v>0</v>
      </c>
      <c r="L689">
        <v>0</v>
      </c>
      <c r="M689">
        <v>0</v>
      </c>
      <c r="T689" s="9">
        <v>45108</v>
      </c>
      <c r="U689" s="9">
        <v>45473</v>
      </c>
      <c r="V689">
        <f>SUM(POTABLE_NONPOTABLE_API[[#This Row],[RESIDENTIAL_SINGLEFAMILY_GAL]:[OTHER_GAL]])</f>
        <v>2105000</v>
      </c>
      <c r="W689">
        <f>SUM(POTABLE_NONPOTABLE_API[[#This Row],[NONPOTABLE_DEMAND_RESIDENTIAL_RECYCLED_WATER_GAL]:[NONPOTABLE_DEMAND_NONRESIDENTIAL_METERED_IRRIGATION_GAL]])</f>
        <v>0</v>
      </c>
      <c r="X689" t="str">
        <f>IFERROR(INDEX(Crosswalk_API!$H$2:$H$527, MATCH(POTABLE_NONPOTABLE_API[[#This Row],[PWSID]], CW_PWSID_LIST, 0)), "")</f>
        <v>No</v>
      </c>
    </row>
    <row r="690" spans="1:24" x14ac:dyDescent="0.25">
      <c r="A690" t="s">
        <v>890</v>
      </c>
      <c r="B690" t="s">
        <v>891</v>
      </c>
      <c r="C690" t="s">
        <v>904</v>
      </c>
      <c r="D690" t="s">
        <v>905</v>
      </c>
      <c r="E690" s="9">
        <v>45231</v>
      </c>
      <c r="F690" s="9">
        <v>45260</v>
      </c>
      <c r="G690">
        <v>4457000</v>
      </c>
      <c r="H690">
        <v>0</v>
      </c>
      <c r="I690">
        <v>20000</v>
      </c>
      <c r="J690">
        <v>0</v>
      </c>
      <c r="K690">
        <v>0</v>
      </c>
      <c r="L690">
        <v>111000</v>
      </c>
      <c r="M690">
        <v>0</v>
      </c>
      <c r="T690" s="9">
        <v>45108</v>
      </c>
      <c r="U690" s="9">
        <v>45473</v>
      </c>
      <c r="V690">
        <f>SUM(POTABLE_NONPOTABLE_API[[#This Row],[RESIDENTIAL_SINGLEFAMILY_GAL]:[OTHER_GAL]])</f>
        <v>4588000</v>
      </c>
      <c r="W690">
        <f>SUM(POTABLE_NONPOTABLE_API[[#This Row],[NONPOTABLE_DEMAND_RESIDENTIAL_RECYCLED_WATER_GAL]:[NONPOTABLE_DEMAND_NONRESIDENTIAL_METERED_IRRIGATION_GAL]])</f>
        <v>0</v>
      </c>
      <c r="X690" t="str">
        <f>IFERROR(INDEX(Crosswalk_API!$H$2:$H$527, MATCH(POTABLE_NONPOTABLE_API[[#This Row],[PWSID]], CW_PWSID_LIST, 0)), "")</f>
        <v>No</v>
      </c>
    </row>
    <row r="691" spans="1:24" x14ac:dyDescent="0.25">
      <c r="A691" t="s">
        <v>890</v>
      </c>
      <c r="B691" t="s">
        <v>891</v>
      </c>
      <c r="C691" t="s">
        <v>904</v>
      </c>
      <c r="D691" t="s">
        <v>905</v>
      </c>
      <c r="E691" s="9">
        <v>45261</v>
      </c>
      <c r="F691" s="9">
        <v>45291</v>
      </c>
      <c r="G691">
        <v>350000</v>
      </c>
      <c r="H691">
        <v>0</v>
      </c>
      <c r="I691">
        <v>0</v>
      </c>
      <c r="J691">
        <v>0</v>
      </c>
      <c r="K691">
        <v>0</v>
      </c>
      <c r="L691">
        <v>0</v>
      </c>
      <c r="M691">
        <v>0</v>
      </c>
      <c r="T691" s="9">
        <v>45108</v>
      </c>
      <c r="U691" s="9">
        <v>45473</v>
      </c>
      <c r="V691">
        <f>SUM(POTABLE_NONPOTABLE_API[[#This Row],[RESIDENTIAL_SINGLEFAMILY_GAL]:[OTHER_GAL]])</f>
        <v>350000</v>
      </c>
      <c r="W691">
        <f>SUM(POTABLE_NONPOTABLE_API[[#This Row],[NONPOTABLE_DEMAND_RESIDENTIAL_RECYCLED_WATER_GAL]:[NONPOTABLE_DEMAND_NONRESIDENTIAL_METERED_IRRIGATION_GAL]])</f>
        <v>0</v>
      </c>
      <c r="X691" t="str">
        <f>IFERROR(INDEX(Crosswalk_API!$H$2:$H$527, MATCH(POTABLE_NONPOTABLE_API[[#This Row],[PWSID]], CW_PWSID_LIST, 0)), "")</f>
        <v>No</v>
      </c>
    </row>
    <row r="692" spans="1:24" x14ac:dyDescent="0.25">
      <c r="A692" t="s">
        <v>890</v>
      </c>
      <c r="B692" t="s">
        <v>891</v>
      </c>
      <c r="C692" t="s">
        <v>904</v>
      </c>
      <c r="D692" t="s">
        <v>905</v>
      </c>
      <c r="E692" s="9">
        <v>45292</v>
      </c>
      <c r="F692" s="9">
        <v>45322</v>
      </c>
      <c r="G692">
        <v>1899000</v>
      </c>
      <c r="H692">
        <v>0</v>
      </c>
      <c r="I692">
        <v>0</v>
      </c>
      <c r="J692">
        <v>0</v>
      </c>
      <c r="K692">
        <v>0</v>
      </c>
      <c r="L692">
        <v>47000</v>
      </c>
      <c r="M692">
        <v>0</v>
      </c>
      <c r="T692" s="9">
        <v>45108</v>
      </c>
      <c r="U692" s="9">
        <v>45473</v>
      </c>
      <c r="V692">
        <f>SUM(POTABLE_NONPOTABLE_API[[#This Row],[RESIDENTIAL_SINGLEFAMILY_GAL]:[OTHER_GAL]])</f>
        <v>1946000</v>
      </c>
      <c r="W692">
        <f>SUM(POTABLE_NONPOTABLE_API[[#This Row],[NONPOTABLE_DEMAND_RESIDENTIAL_RECYCLED_WATER_GAL]:[NONPOTABLE_DEMAND_NONRESIDENTIAL_METERED_IRRIGATION_GAL]])</f>
        <v>0</v>
      </c>
      <c r="X692" t="str">
        <f>IFERROR(INDEX(Crosswalk_API!$H$2:$H$527, MATCH(POTABLE_NONPOTABLE_API[[#This Row],[PWSID]], CW_PWSID_LIST, 0)), "")</f>
        <v>No</v>
      </c>
    </row>
    <row r="693" spans="1:24" x14ac:dyDescent="0.25">
      <c r="A693" t="s">
        <v>890</v>
      </c>
      <c r="B693" t="s">
        <v>891</v>
      </c>
      <c r="C693" t="s">
        <v>904</v>
      </c>
      <c r="D693" t="s">
        <v>905</v>
      </c>
      <c r="E693" s="9">
        <v>45323</v>
      </c>
      <c r="F693" s="9">
        <v>45351</v>
      </c>
      <c r="G693">
        <v>1562000</v>
      </c>
      <c r="H693">
        <v>0</v>
      </c>
      <c r="I693">
        <v>0</v>
      </c>
      <c r="J693">
        <v>0</v>
      </c>
      <c r="K693">
        <v>0</v>
      </c>
      <c r="L693">
        <v>57000</v>
      </c>
      <c r="M693">
        <v>0</v>
      </c>
      <c r="T693" s="9">
        <v>45108</v>
      </c>
      <c r="U693" s="9">
        <v>45473</v>
      </c>
      <c r="V693">
        <f>SUM(POTABLE_NONPOTABLE_API[[#This Row],[RESIDENTIAL_SINGLEFAMILY_GAL]:[OTHER_GAL]])</f>
        <v>1619000</v>
      </c>
      <c r="W693">
        <f>SUM(POTABLE_NONPOTABLE_API[[#This Row],[NONPOTABLE_DEMAND_RESIDENTIAL_RECYCLED_WATER_GAL]:[NONPOTABLE_DEMAND_NONRESIDENTIAL_METERED_IRRIGATION_GAL]])</f>
        <v>0</v>
      </c>
      <c r="X693" t="str">
        <f>IFERROR(INDEX(Crosswalk_API!$H$2:$H$527, MATCH(POTABLE_NONPOTABLE_API[[#This Row],[PWSID]], CW_PWSID_LIST, 0)), "")</f>
        <v>No</v>
      </c>
    </row>
    <row r="694" spans="1:24" x14ac:dyDescent="0.25">
      <c r="A694" t="s">
        <v>890</v>
      </c>
      <c r="B694" t="s">
        <v>891</v>
      </c>
      <c r="C694" t="s">
        <v>904</v>
      </c>
      <c r="D694" t="s">
        <v>905</v>
      </c>
      <c r="E694" s="9">
        <v>45352</v>
      </c>
      <c r="F694" s="9">
        <v>45382</v>
      </c>
      <c r="G694">
        <v>1326000</v>
      </c>
      <c r="H694">
        <v>0</v>
      </c>
      <c r="I694">
        <v>0</v>
      </c>
      <c r="J694">
        <v>0</v>
      </c>
      <c r="K694">
        <v>0</v>
      </c>
      <c r="L694">
        <v>61000</v>
      </c>
      <c r="M694">
        <v>0</v>
      </c>
      <c r="T694" s="9">
        <v>45108</v>
      </c>
      <c r="U694" s="9">
        <v>45473</v>
      </c>
      <c r="V694">
        <f>SUM(POTABLE_NONPOTABLE_API[[#This Row],[RESIDENTIAL_SINGLEFAMILY_GAL]:[OTHER_GAL]])</f>
        <v>1387000</v>
      </c>
      <c r="W694">
        <f>SUM(POTABLE_NONPOTABLE_API[[#This Row],[NONPOTABLE_DEMAND_RESIDENTIAL_RECYCLED_WATER_GAL]:[NONPOTABLE_DEMAND_NONRESIDENTIAL_METERED_IRRIGATION_GAL]])</f>
        <v>0</v>
      </c>
      <c r="X694" t="str">
        <f>IFERROR(INDEX(Crosswalk_API!$H$2:$H$527, MATCH(POTABLE_NONPOTABLE_API[[#This Row],[PWSID]], CW_PWSID_LIST, 0)), "")</f>
        <v>No</v>
      </c>
    </row>
    <row r="695" spans="1:24" x14ac:dyDescent="0.25">
      <c r="A695" t="s">
        <v>890</v>
      </c>
      <c r="B695" t="s">
        <v>891</v>
      </c>
      <c r="C695" t="s">
        <v>904</v>
      </c>
      <c r="D695" t="s">
        <v>905</v>
      </c>
      <c r="E695" s="9">
        <v>45383</v>
      </c>
      <c r="F695" s="9">
        <v>45412</v>
      </c>
      <c r="G695">
        <v>1496000</v>
      </c>
      <c r="H695">
        <v>0</v>
      </c>
      <c r="I695">
        <v>0</v>
      </c>
      <c r="J695">
        <v>0</v>
      </c>
      <c r="K695">
        <v>0</v>
      </c>
      <c r="L695">
        <v>62000</v>
      </c>
      <c r="M695">
        <v>0</v>
      </c>
      <c r="T695" s="9">
        <v>45108</v>
      </c>
      <c r="U695" s="9">
        <v>45473</v>
      </c>
      <c r="V695">
        <f>SUM(POTABLE_NONPOTABLE_API[[#This Row],[RESIDENTIAL_SINGLEFAMILY_GAL]:[OTHER_GAL]])</f>
        <v>1558000</v>
      </c>
      <c r="W695">
        <f>SUM(POTABLE_NONPOTABLE_API[[#This Row],[NONPOTABLE_DEMAND_RESIDENTIAL_RECYCLED_WATER_GAL]:[NONPOTABLE_DEMAND_NONRESIDENTIAL_METERED_IRRIGATION_GAL]])</f>
        <v>0</v>
      </c>
      <c r="X695" t="str">
        <f>IFERROR(INDEX(Crosswalk_API!$H$2:$H$527, MATCH(POTABLE_NONPOTABLE_API[[#This Row],[PWSID]], CW_PWSID_LIST, 0)), "")</f>
        <v>No</v>
      </c>
    </row>
    <row r="696" spans="1:24" x14ac:dyDescent="0.25">
      <c r="A696" t="s">
        <v>890</v>
      </c>
      <c r="B696" t="s">
        <v>891</v>
      </c>
      <c r="C696" t="s">
        <v>904</v>
      </c>
      <c r="D696" t="s">
        <v>905</v>
      </c>
      <c r="E696" s="9">
        <v>45413</v>
      </c>
      <c r="F696" s="9">
        <v>45443</v>
      </c>
      <c r="G696">
        <v>1696000</v>
      </c>
      <c r="H696">
        <v>0</v>
      </c>
      <c r="I696">
        <v>0</v>
      </c>
      <c r="J696">
        <v>0</v>
      </c>
      <c r="K696">
        <v>0</v>
      </c>
      <c r="L696">
        <v>71000</v>
      </c>
      <c r="M696">
        <v>0</v>
      </c>
      <c r="T696" s="9">
        <v>45108</v>
      </c>
      <c r="U696" s="9">
        <v>45473</v>
      </c>
      <c r="V696">
        <f>SUM(POTABLE_NONPOTABLE_API[[#This Row],[RESIDENTIAL_SINGLEFAMILY_GAL]:[OTHER_GAL]])</f>
        <v>1767000</v>
      </c>
      <c r="W696">
        <f>SUM(POTABLE_NONPOTABLE_API[[#This Row],[NONPOTABLE_DEMAND_RESIDENTIAL_RECYCLED_WATER_GAL]:[NONPOTABLE_DEMAND_NONRESIDENTIAL_METERED_IRRIGATION_GAL]])</f>
        <v>0</v>
      </c>
      <c r="X696" t="str">
        <f>IFERROR(INDEX(Crosswalk_API!$H$2:$H$527, MATCH(POTABLE_NONPOTABLE_API[[#This Row],[PWSID]], CW_PWSID_LIST, 0)), "")</f>
        <v>No</v>
      </c>
    </row>
    <row r="697" spans="1:24" x14ac:dyDescent="0.25">
      <c r="A697" t="s">
        <v>890</v>
      </c>
      <c r="B697" t="s">
        <v>891</v>
      </c>
      <c r="C697" t="s">
        <v>904</v>
      </c>
      <c r="D697" t="s">
        <v>905</v>
      </c>
      <c r="E697" s="9">
        <v>45444</v>
      </c>
      <c r="F697" s="9">
        <v>45473</v>
      </c>
      <c r="G697">
        <v>2099000</v>
      </c>
      <c r="H697">
        <v>0</v>
      </c>
      <c r="I697">
        <v>0</v>
      </c>
      <c r="J697">
        <v>0</v>
      </c>
      <c r="K697">
        <v>0</v>
      </c>
      <c r="L697">
        <v>63000</v>
      </c>
      <c r="M697">
        <v>0</v>
      </c>
      <c r="T697" s="9">
        <v>45108</v>
      </c>
      <c r="U697" s="9">
        <v>45473</v>
      </c>
      <c r="V697">
        <f>SUM(POTABLE_NONPOTABLE_API[[#This Row],[RESIDENTIAL_SINGLEFAMILY_GAL]:[OTHER_GAL]])</f>
        <v>2162000</v>
      </c>
      <c r="W697">
        <f>SUM(POTABLE_NONPOTABLE_API[[#This Row],[NONPOTABLE_DEMAND_RESIDENTIAL_RECYCLED_WATER_GAL]:[NONPOTABLE_DEMAND_NONRESIDENTIAL_METERED_IRRIGATION_GAL]])</f>
        <v>0</v>
      </c>
      <c r="X697" t="str">
        <f>IFERROR(INDEX(Crosswalk_API!$H$2:$H$527, MATCH(POTABLE_NONPOTABLE_API[[#This Row],[PWSID]], CW_PWSID_LIST, 0)), "")</f>
        <v>No</v>
      </c>
    </row>
    <row r="698" spans="1:24" x14ac:dyDescent="0.25">
      <c r="A698" t="s">
        <v>906</v>
      </c>
      <c r="B698" t="s">
        <v>907</v>
      </c>
      <c r="C698" t="s">
        <v>908</v>
      </c>
      <c r="D698" t="s">
        <v>909</v>
      </c>
      <c r="E698" s="9">
        <v>45108</v>
      </c>
      <c r="F698" s="9">
        <v>45138</v>
      </c>
      <c r="G698">
        <v>38495300</v>
      </c>
      <c r="H698">
        <v>882908</v>
      </c>
      <c r="I698">
        <v>4256672</v>
      </c>
      <c r="J698">
        <v>6722616</v>
      </c>
      <c r="K698">
        <v>0</v>
      </c>
      <c r="L698">
        <v>264120</v>
      </c>
      <c r="M698">
        <v>0</v>
      </c>
      <c r="T698" s="9">
        <v>45108</v>
      </c>
      <c r="U698" s="9">
        <v>45473</v>
      </c>
      <c r="V698">
        <f>SUM(POTABLE_NONPOTABLE_API[[#This Row],[RESIDENTIAL_SINGLEFAMILY_GAL]:[OTHER_GAL]])</f>
        <v>50621616</v>
      </c>
      <c r="W698">
        <f>SUM(POTABLE_NONPOTABLE_API[[#This Row],[NONPOTABLE_DEMAND_RESIDENTIAL_RECYCLED_WATER_GAL]:[NONPOTABLE_DEMAND_NONRESIDENTIAL_METERED_IRRIGATION_GAL]])</f>
        <v>0</v>
      </c>
      <c r="X698" t="str">
        <f>IFERROR(INDEX(Crosswalk_API!$H$2:$H$527, MATCH(POTABLE_NONPOTABLE_API[[#This Row],[PWSID]], CW_PWSID_LIST, 0)), "")</f>
        <v>No</v>
      </c>
    </row>
    <row r="699" spans="1:24" x14ac:dyDescent="0.25">
      <c r="A699" t="s">
        <v>906</v>
      </c>
      <c r="B699" t="s">
        <v>907</v>
      </c>
      <c r="C699" t="s">
        <v>908</v>
      </c>
      <c r="D699" t="s">
        <v>909</v>
      </c>
      <c r="E699" s="9">
        <v>45139</v>
      </c>
      <c r="F699" s="9">
        <v>45169</v>
      </c>
      <c r="G699">
        <v>41574000</v>
      </c>
      <c r="H699">
        <v>871000</v>
      </c>
      <c r="I699">
        <v>14911000</v>
      </c>
      <c r="J699">
        <v>0</v>
      </c>
      <c r="K699">
        <v>0</v>
      </c>
      <c r="L699">
        <v>165000</v>
      </c>
      <c r="M699">
        <v>0</v>
      </c>
      <c r="T699" s="9">
        <v>45108</v>
      </c>
      <c r="U699" s="9">
        <v>45473</v>
      </c>
      <c r="V699">
        <f>SUM(POTABLE_NONPOTABLE_API[[#This Row],[RESIDENTIAL_SINGLEFAMILY_GAL]:[OTHER_GAL]])</f>
        <v>57521000</v>
      </c>
      <c r="W699">
        <f>SUM(POTABLE_NONPOTABLE_API[[#This Row],[NONPOTABLE_DEMAND_RESIDENTIAL_RECYCLED_WATER_GAL]:[NONPOTABLE_DEMAND_NONRESIDENTIAL_METERED_IRRIGATION_GAL]])</f>
        <v>0</v>
      </c>
      <c r="X699" t="str">
        <f>IFERROR(INDEX(Crosswalk_API!$H$2:$H$527, MATCH(POTABLE_NONPOTABLE_API[[#This Row],[PWSID]], CW_PWSID_LIST, 0)), "")</f>
        <v>No</v>
      </c>
    </row>
    <row r="700" spans="1:24" x14ac:dyDescent="0.25">
      <c r="A700" t="s">
        <v>906</v>
      </c>
      <c r="B700" t="s">
        <v>907</v>
      </c>
      <c r="C700" t="s">
        <v>908</v>
      </c>
      <c r="D700" t="s">
        <v>909</v>
      </c>
      <c r="E700" s="9">
        <v>45170</v>
      </c>
      <c r="F700" s="9">
        <v>45199</v>
      </c>
      <c r="G700">
        <v>40944000</v>
      </c>
      <c r="H700">
        <v>974000</v>
      </c>
      <c r="I700">
        <v>4373000</v>
      </c>
      <c r="J700">
        <v>6805000</v>
      </c>
      <c r="K700">
        <v>0</v>
      </c>
      <c r="L700">
        <v>238000</v>
      </c>
      <c r="M700">
        <v>0</v>
      </c>
      <c r="T700" s="9">
        <v>45108</v>
      </c>
      <c r="U700" s="9">
        <v>45473</v>
      </c>
      <c r="V700">
        <f>SUM(POTABLE_NONPOTABLE_API[[#This Row],[RESIDENTIAL_SINGLEFAMILY_GAL]:[OTHER_GAL]])</f>
        <v>53334000</v>
      </c>
      <c r="W700">
        <f>SUM(POTABLE_NONPOTABLE_API[[#This Row],[NONPOTABLE_DEMAND_RESIDENTIAL_RECYCLED_WATER_GAL]:[NONPOTABLE_DEMAND_NONRESIDENTIAL_METERED_IRRIGATION_GAL]])</f>
        <v>0</v>
      </c>
      <c r="X700" t="str">
        <f>IFERROR(INDEX(Crosswalk_API!$H$2:$H$527, MATCH(POTABLE_NONPOTABLE_API[[#This Row],[PWSID]], CW_PWSID_LIST, 0)), "")</f>
        <v>No</v>
      </c>
    </row>
    <row r="701" spans="1:24" x14ac:dyDescent="0.25">
      <c r="A701" t="s">
        <v>906</v>
      </c>
      <c r="B701" t="s">
        <v>907</v>
      </c>
      <c r="C701" t="s">
        <v>908</v>
      </c>
      <c r="D701" t="s">
        <v>909</v>
      </c>
      <c r="E701" s="9">
        <v>45200</v>
      </c>
      <c r="F701" s="9">
        <v>45230</v>
      </c>
      <c r="G701">
        <v>31293000</v>
      </c>
      <c r="H701">
        <v>520000</v>
      </c>
      <c r="I701">
        <v>3441000</v>
      </c>
      <c r="J701">
        <v>4452000</v>
      </c>
      <c r="K701">
        <v>0</v>
      </c>
      <c r="L701">
        <v>184000</v>
      </c>
      <c r="M701">
        <v>0</v>
      </c>
      <c r="T701" s="9">
        <v>45108</v>
      </c>
      <c r="U701" s="9">
        <v>45473</v>
      </c>
      <c r="V701">
        <f>SUM(POTABLE_NONPOTABLE_API[[#This Row],[RESIDENTIAL_SINGLEFAMILY_GAL]:[OTHER_GAL]])</f>
        <v>39890000</v>
      </c>
      <c r="W701">
        <f>SUM(POTABLE_NONPOTABLE_API[[#This Row],[NONPOTABLE_DEMAND_RESIDENTIAL_RECYCLED_WATER_GAL]:[NONPOTABLE_DEMAND_NONRESIDENTIAL_METERED_IRRIGATION_GAL]])</f>
        <v>0</v>
      </c>
      <c r="X701" t="str">
        <f>IFERROR(INDEX(Crosswalk_API!$H$2:$H$527, MATCH(POTABLE_NONPOTABLE_API[[#This Row],[PWSID]], CW_PWSID_LIST, 0)), "")</f>
        <v>No</v>
      </c>
    </row>
    <row r="702" spans="1:24" x14ac:dyDescent="0.25">
      <c r="A702" t="s">
        <v>906</v>
      </c>
      <c r="B702" t="s">
        <v>907</v>
      </c>
      <c r="C702" t="s">
        <v>908</v>
      </c>
      <c r="D702" t="s">
        <v>909</v>
      </c>
      <c r="E702" s="9">
        <v>45231</v>
      </c>
      <c r="F702" s="9">
        <v>45260</v>
      </c>
      <c r="G702">
        <v>22620000</v>
      </c>
      <c r="H702">
        <v>316000</v>
      </c>
      <c r="I702">
        <v>1928000</v>
      </c>
      <c r="J702">
        <v>-398000</v>
      </c>
      <c r="K702">
        <v>0</v>
      </c>
      <c r="L702">
        <v>180000</v>
      </c>
      <c r="M702">
        <v>0</v>
      </c>
      <c r="T702" s="9">
        <v>45108</v>
      </c>
      <c r="U702" s="9">
        <v>45473</v>
      </c>
      <c r="V702">
        <f>SUM(POTABLE_NONPOTABLE_API[[#This Row],[RESIDENTIAL_SINGLEFAMILY_GAL]:[OTHER_GAL]])</f>
        <v>24646000</v>
      </c>
      <c r="W702">
        <f>SUM(POTABLE_NONPOTABLE_API[[#This Row],[NONPOTABLE_DEMAND_RESIDENTIAL_RECYCLED_WATER_GAL]:[NONPOTABLE_DEMAND_NONRESIDENTIAL_METERED_IRRIGATION_GAL]])</f>
        <v>0</v>
      </c>
      <c r="X702" t="str">
        <f>IFERROR(INDEX(Crosswalk_API!$H$2:$H$527, MATCH(POTABLE_NONPOTABLE_API[[#This Row],[PWSID]], CW_PWSID_LIST, 0)), "")</f>
        <v>No</v>
      </c>
    </row>
    <row r="703" spans="1:24" x14ac:dyDescent="0.25">
      <c r="A703" t="s">
        <v>906</v>
      </c>
      <c r="B703" t="s">
        <v>907</v>
      </c>
      <c r="C703" t="s">
        <v>908</v>
      </c>
      <c r="D703" t="s">
        <v>909</v>
      </c>
      <c r="E703" s="9">
        <v>45261</v>
      </c>
      <c r="F703" s="9">
        <v>45291</v>
      </c>
      <c r="G703">
        <v>15755000</v>
      </c>
      <c r="H703">
        <v>9000</v>
      </c>
      <c r="I703">
        <v>1667000</v>
      </c>
      <c r="J703">
        <v>960000</v>
      </c>
      <c r="K703">
        <v>0</v>
      </c>
      <c r="L703">
        <v>152000</v>
      </c>
      <c r="M703">
        <v>0</v>
      </c>
      <c r="T703" s="9">
        <v>45108</v>
      </c>
      <c r="U703" s="9">
        <v>45473</v>
      </c>
      <c r="V703">
        <f>SUM(POTABLE_NONPOTABLE_API[[#This Row],[RESIDENTIAL_SINGLEFAMILY_GAL]:[OTHER_GAL]])</f>
        <v>18543000</v>
      </c>
      <c r="W703">
        <f>SUM(POTABLE_NONPOTABLE_API[[#This Row],[NONPOTABLE_DEMAND_RESIDENTIAL_RECYCLED_WATER_GAL]:[NONPOTABLE_DEMAND_NONRESIDENTIAL_METERED_IRRIGATION_GAL]])</f>
        <v>0</v>
      </c>
      <c r="X703" t="str">
        <f>IFERROR(INDEX(Crosswalk_API!$H$2:$H$527, MATCH(POTABLE_NONPOTABLE_API[[#This Row],[PWSID]], CW_PWSID_LIST, 0)), "")</f>
        <v>No</v>
      </c>
    </row>
    <row r="704" spans="1:24" x14ac:dyDescent="0.25">
      <c r="A704" t="s">
        <v>906</v>
      </c>
      <c r="B704" t="s">
        <v>907</v>
      </c>
      <c r="C704" t="s">
        <v>908</v>
      </c>
      <c r="D704" t="s">
        <v>909</v>
      </c>
      <c r="E704" s="9">
        <v>45292</v>
      </c>
      <c r="F704" s="9">
        <v>45322</v>
      </c>
      <c r="G704">
        <v>12367000</v>
      </c>
      <c r="H704">
        <v>4000</v>
      </c>
      <c r="I704">
        <v>613000</v>
      </c>
      <c r="J704">
        <v>4340000</v>
      </c>
      <c r="K704">
        <v>0</v>
      </c>
      <c r="L704">
        <v>24836</v>
      </c>
      <c r="M704">
        <v>0</v>
      </c>
      <c r="T704" s="9">
        <v>45108</v>
      </c>
      <c r="U704" s="9">
        <v>45473</v>
      </c>
      <c r="V704">
        <f>SUM(POTABLE_NONPOTABLE_API[[#This Row],[RESIDENTIAL_SINGLEFAMILY_GAL]:[OTHER_GAL]])</f>
        <v>17348836</v>
      </c>
      <c r="W704">
        <f>SUM(POTABLE_NONPOTABLE_API[[#This Row],[NONPOTABLE_DEMAND_RESIDENTIAL_RECYCLED_WATER_GAL]:[NONPOTABLE_DEMAND_NONRESIDENTIAL_METERED_IRRIGATION_GAL]])</f>
        <v>0</v>
      </c>
      <c r="X704" t="str">
        <f>IFERROR(INDEX(Crosswalk_API!$H$2:$H$527, MATCH(POTABLE_NONPOTABLE_API[[#This Row],[PWSID]], CW_PWSID_LIST, 0)), "")</f>
        <v>No</v>
      </c>
    </row>
    <row r="705" spans="1:24" x14ac:dyDescent="0.25">
      <c r="A705" t="s">
        <v>906</v>
      </c>
      <c r="B705" t="s">
        <v>907</v>
      </c>
      <c r="C705" t="s">
        <v>908</v>
      </c>
      <c r="D705" t="s">
        <v>909</v>
      </c>
      <c r="E705" s="9">
        <v>45323</v>
      </c>
      <c r="F705" s="9">
        <v>45351</v>
      </c>
      <c r="G705">
        <v>10617004</v>
      </c>
      <c r="H705">
        <v>3740</v>
      </c>
      <c r="I705">
        <v>125132</v>
      </c>
      <c r="J705">
        <v>394664</v>
      </c>
      <c r="K705">
        <v>0</v>
      </c>
      <c r="L705">
        <v>13184</v>
      </c>
      <c r="M705">
        <v>0</v>
      </c>
      <c r="T705" s="9">
        <v>45108</v>
      </c>
      <c r="U705" s="9">
        <v>45473</v>
      </c>
      <c r="V705">
        <f>SUM(POTABLE_NONPOTABLE_API[[#This Row],[RESIDENTIAL_SINGLEFAMILY_GAL]:[OTHER_GAL]])</f>
        <v>11153724</v>
      </c>
      <c r="W705">
        <f>SUM(POTABLE_NONPOTABLE_API[[#This Row],[NONPOTABLE_DEMAND_RESIDENTIAL_RECYCLED_WATER_GAL]:[NONPOTABLE_DEMAND_NONRESIDENTIAL_METERED_IRRIGATION_GAL]])</f>
        <v>0</v>
      </c>
      <c r="X705" t="str">
        <f>IFERROR(INDEX(Crosswalk_API!$H$2:$H$527, MATCH(POTABLE_NONPOTABLE_API[[#This Row],[PWSID]], CW_PWSID_LIST, 0)), "")</f>
        <v>No</v>
      </c>
    </row>
    <row r="706" spans="1:24" x14ac:dyDescent="0.25">
      <c r="A706" t="s">
        <v>906</v>
      </c>
      <c r="B706" t="s">
        <v>907</v>
      </c>
      <c r="C706" t="s">
        <v>908</v>
      </c>
      <c r="D706" t="s">
        <v>909</v>
      </c>
      <c r="E706" s="9">
        <v>45352</v>
      </c>
      <c r="F706" s="9">
        <v>45382</v>
      </c>
      <c r="G706">
        <v>11289292</v>
      </c>
      <c r="H706">
        <v>3840</v>
      </c>
      <c r="I706">
        <v>152272</v>
      </c>
      <c r="J706">
        <v>203988</v>
      </c>
      <c r="K706">
        <v>0</v>
      </c>
      <c r="L706">
        <v>30296</v>
      </c>
      <c r="M706">
        <v>0</v>
      </c>
      <c r="T706" s="9">
        <v>45108</v>
      </c>
      <c r="U706" s="9">
        <v>45473</v>
      </c>
      <c r="V706">
        <f>SUM(POTABLE_NONPOTABLE_API[[#This Row],[RESIDENTIAL_SINGLEFAMILY_GAL]:[OTHER_GAL]])</f>
        <v>11679688</v>
      </c>
      <c r="W706">
        <f>SUM(POTABLE_NONPOTABLE_API[[#This Row],[NONPOTABLE_DEMAND_RESIDENTIAL_RECYCLED_WATER_GAL]:[NONPOTABLE_DEMAND_NONRESIDENTIAL_METERED_IRRIGATION_GAL]])</f>
        <v>0</v>
      </c>
      <c r="X706" t="str">
        <f>IFERROR(INDEX(Crosswalk_API!$H$2:$H$527, MATCH(POTABLE_NONPOTABLE_API[[#This Row],[PWSID]], CW_PWSID_LIST, 0)), "")</f>
        <v>No</v>
      </c>
    </row>
    <row r="707" spans="1:24" x14ac:dyDescent="0.25">
      <c r="A707" t="s">
        <v>906</v>
      </c>
      <c r="B707" t="s">
        <v>907</v>
      </c>
      <c r="C707" t="s">
        <v>908</v>
      </c>
      <c r="D707" t="s">
        <v>909</v>
      </c>
      <c r="E707" s="9">
        <v>45383</v>
      </c>
      <c r="F707" s="9">
        <v>45412</v>
      </c>
      <c r="G707">
        <v>12694396</v>
      </c>
      <c r="H707">
        <v>145384</v>
      </c>
      <c r="I707">
        <v>926428</v>
      </c>
      <c r="J707">
        <v>937563</v>
      </c>
      <c r="K707">
        <v>0</v>
      </c>
      <c r="L707">
        <v>9236</v>
      </c>
      <c r="M707">
        <v>0</v>
      </c>
      <c r="T707" s="9">
        <v>45108</v>
      </c>
      <c r="U707" s="9">
        <v>45473</v>
      </c>
      <c r="V707">
        <f>SUM(POTABLE_NONPOTABLE_API[[#This Row],[RESIDENTIAL_SINGLEFAMILY_GAL]:[OTHER_GAL]])</f>
        <v>14713007</v>
      </c>
      <c r="W707">
        <f>SUM(POTABLE_NONPOTABLE_API[[#This Row],[NONPOTABLE_DEMAND_RESIDENTIAL_RECYCLED_WATER_GAL]:[NONPOTABLE_DEMAND_NONRESIDENTIAL_METERED_IRRIGATION_GAL]])</f>
        <v>0</v>
      </c>
      <c r="X707" t="str">
        <f>IFERROR(INDEX(Crosswalk_API!$H$2:$H$527, MATCH(POTABLE_NONPOTABLE_API[[#This Row],[PWSID]], CW_PWSID_LIST, 0)), "")</f>
        <v>No</v>
      </c>
    </row>
    <row r="708" spans="1:24" x14ac:dyDescent="0.25">
      <c r="A708" t="s">
        <v>906</v>
      </c>
      <c r="B708" t="s">
        <v>907</v>
      </c>
      <c r="C708" t="s">
        <v>908</v>
      </c>
      <c r="D708" t="s">
        <v>909</v>
      </c>
      <c r="E708" s="9">
        <v>45413</v>
      </c>
      <c r="F708" s="9">
        <v>45443</v>
      </c>
      <c r="G708">
        <v>22076184</v>
      </c>
      <c r="H708">
        <v>273720</v>
      </c>
      <c r="I708">
        <v>4842841</v>
      </c>
      <c r="J708">
        <v>0</v>
      </c>
      <c r="K708">
        <v>0</v>
      </c>
      <c r="L708">
        <v>87072</v>
      </c>
      <c r="M708">
        <v>0</v>
      </c>
      <c r="T708" s="9">
        <v>45108</v>
      </c>
      <c r="U708" s="9">
        <v>45473</v>
      </c>
      <c r="V708">
        <f>SUM(POTABLE_NONPOTABLE_API[[#This Row],[RESIDENTIAL_SINGLEFAMILY_GAL]:[OTHER_GAL]])</f>
        <v>27279817</v>
      </c>
      <c r="W708">
        <f>SUM(POTABLE_NONPOTABLE_API[[#This Row],[NONPOTABLE_DEMAND_RESIDENTIAL_RECYCLED_WATER_GAL]:[NONPOTABLE_DEMAND_NONRESIDENTIAL_METERED_IRRIGATION_GAL]])</f>
        <v>0</v>
      </c>
      <c r="X708" t="str">
        <f>IFERROR(INDEX(Crosswalk_API!$H$2:$H$527, MATCH(POTABLE_NONPOTABLE_API[[#This Row],[PWSID]], CW_PWSID_LIST, 0)), "")</f>
        <v>No</v>
      </c>
    </row>
    <row r="709" spans="1:24" x14ac:dyDescent="0.25">
      <c r="A709" t="s">
        <v>906</v>
      </c>
      <c r="B709" t="s">
        <v>907</v>
      </c>
      <c r="C709" t="s">
        <v>908</v>
      </c>
      <c r="D709" t="s">
        <v>909</v>
      </c>
      <c r="E709" s="9">
        <v>45444</v>
      </c>
      <c r="F709" s="9">
        <v>45473</v>
      </c>
      <c r="G709">
        <v>36613010</v>
      </c>
      <c r="H709">
        <v>625776</v>
      </c>
      <c r="I709">
        <v>512128</v>
      </c>
      <c r="J709">
        <v>0</v>
      </c>
      <c r="K709">
        <v>0</v>
      </c>
      <c r="L709">
        <v>0</v>
      </c>
      <c r="M709">
        <v>0</v>
      </c>
      <c r="T709" s="9">
        <v>45108</v>
      </c>
      <c r="U709" s="9">
        <v>45473</v>
      </c>
      <c r="V709">
        <f>SUM(POTABLE_NONPOTABLE_API[[#This Row],[RESIDENTIAL_SINGLEFAMILY_GAL]:[OTHER_GAL]])</f>
        <v>37750914</v>
      </c>
      <c r="W709">
        <f>SUM(POTABLE_NONPOTABLE_API[[#This Row],[NONPOTABLE_DEMAND_RESIDENTIAL_RECYCLED_WATER_GAL]:[NONPOTABLE_DEMAND_NONRESIDENTIAL_METERED_IRRIGATION_GAL]])</f>
        <v>0</v>
      </c>
      <c r="X709" t="str">
        <f>IFERROR(INDEX(Crosswalk_API!$H$2:$H$527, MATCH(POTABLE_NONPOTABLE_API[[#This Row],[PWSID]], CW_PWSID_LIST, 0)), "")</f>
        <v>No</v>
      </c>
    </row>
    <row r="710" spans="1:24" x14ac:dyDescent="0.25">
      <c r="A710" t="s">
        <v>906</v>
      </c>
      <c r="B710" t="s">
        <v>907</v>
      </c>
      <c r="C710" t="s">
        <v>911</v>
      </c>
      <c r="D710" t="s">
        <v>912</v>
      </c>
      <c r="E710" s="9">
        <v>45108</v>
      </c>
      <c r="F710" s="9">
        <v>45138</v>
      </c>
      <c r="G710">
        <v>137406552</v>
      </c>
      <c r="H710">
        <v>48311190</v>
      </c>
      <c r="I710">
        <v>36787724</v>
      </c>
      <c r="J710">
        <v>6409676</v>
      </c>
      <c r="K710">
        <v>0</v>
      </c>
      <c r="L710">
        <v>26794448</v>
      </c>
      <c r="M710">
        <v>0</v>
      </c>
      <c r="T710" s="9">
        <v>45108</v>
      </c>
      <c r="U710" s="9">
        <v>45473</v>
      </c>
      <c r="V710">
        <f>SUM(POTABLE_NONPOTABLE_API[[#This Row],[RESIDENTIAL_SINGLEFAMILY_GAL]:[OTHER_GAL]])</f>
        <v>255709590</v>
      </c>
      <c r="W710">
        <f>SUM(POTABLE_NONPOTABLE_API[[#This Row],[NONPOTABLE_DEMAND_RESIDENTIAL_RECYCLED_WATER_GAL]:[NONPOTABLE_DEMAND_NONRESIDENTIAL_METERED_IRRIGATION_GAL]])</f>
        <v>0</v>
      </c>
      <c r="X710" t="str">
        <f>IFERROR(INDEX(Crosswalk_API!$H$2:$H$527, MATCH(POTABLE_NONPOTABLE_API[[#This Row],[PWSID]], CW_PWSID_LIST, 0)), "")</f>
        <v>No</v>
      </c>
    </row>
    <row r="711" spans="1:24" x14ac:dyDescent="0.25">
      <c r="A711" t="s">
        <v>906</v>
      </c>
      <c r="B711" t="s">
        <v>907</v>
      </c>
      <c r="C711" t="s">
        <v>911</v>
      </c>
      <c r="D711" t="s">
        <v>912</v>
      </c>
      <c r="E711" s="9">
        <v>45139</v>
      </c>
      <c r="F711" s="9">
        <v>45169</v>
      </c>
      <c r="G711">
        <v>144854000</v>
      </c>
      <c r="H711">
        <v>64084999.999999993</v>
      </c>
      <c r="I711">
        <v>65706999.999999993</v>
      </c>
      <c r="J711">
        <v>0</v>
      </c>
      <c r="K711">
        <v>0</v>
      </c>
      <c r="L711">
        <v>48647000</v>
      </c>
      <c r="M711">
        <v>0</v>
      </c>
      <c r="T711" s="9">
        <v>45108</v>
      </c>
      <c r="U711" s="9">
        <v>45473</v>
      </c>
      <c r="V711">
        <f>SUM(POTABLE_NONPOTABLE_API[[#This Row],[RESIDENTIAL_SINGLEFAMILY_GAL]:[OTHER_GAL]])</f>
        <v>323293000</v>
      </c>
      <c r="W711">
        <f>SUM(POTABLE_NONPOTABLE_API[[#This Row],[NONPOTABLE_DEMAND_RESIDENTIAL_RECYCLED_WATER_GAL]:[NONPOTABLE_DEMAND_NONRESIDENTIAL_METERED_IRRIGATION_GAL]])</f>
        <v>0</v>
      </c>
      <c r="X711" t="str">
        <f>IFERROR(INDEX(Crosswalk_API!$H$2:$H$527, MATCH(POTABLE_NONPOTABLE_API[[#This Row],[PWSID]], CW_PWSID_LIST, 0)), "")</f>
        <v>No</v>
      </c>
    </row>
    <row r="712" spans="1:24" x14ac:dyDescent="0.25">
      <c r="A712" t="s">
        <v>906</v>
      </c>
      <c r="B712" t="s">
        <v>907</v>
      </c>
      <c r="C712" t="s">
        <v>911</v>
      </c>
      <c r="D712" t="s">
        <v>912</v>
      </c>
      <c r="E712" s="9">
        <v>45170</v>
      </c>
      <c r="F712" s="9">
        <v>45199</v>
      </c>
      <c r="G712">
        <v>123588000</v>
      </c>
      <c r="H712">
        <v>50289000</v>
      </c>
      <c r="I712">
        <v>46412000</v>
      </c>
      <c r="J712">
        <v>10492000</v>
      </c>
      <c r="K712">
        <v>0</v>
      </c>
      <c r="L712">
        <v>30334000</v>
      </c>
      <c r="M712">
        <v>0</v>
      </c>
      <c r="T712" s="9">
        <v>45108</v>
      </c>
      <c r="U712" s="9">
        <v>45473</v>
      </c>
      <c r="V712">
        <f>SUM(POTABLE_NONPOTABLE_API[[#This Row],[RESIDENTIAL_SINGLEFAMILY_GAL]:[OTHER_GAL]])</f>
        <v>261115000</v>
      </c>
      <c r="W712">
        <f>SUM(POTABLE_NONPOTABLE_API[[#This Row],[NONPOTABLE_DEMAND_RESIDENTIAL_RECYCLED_WATER_GAL]:[NONPOTABLE_DEMAND_NONRESIDENTIAL_METERED_IRRIGATION_GAL]])</f>
        <v>0</v>
      </c>
      <c r="X712" t="str">
        <f>IFERROR(INDEX(Crosswalk_API!$H$2:$H$527, MATCH(POTABLE_NONPOTABLE_API[[#This Row],[PWSID]], CW_PWSID_LIST, 0)), "")</f>
        <v>No</v>
      </c>
    </row>
    <row r="713" spans="1:24" x14ac:dyDescent="0.25">
      <c r="A713" t="s">
        <v>906</v>
      </c>
      <c r="B713" t="s">
        <v>907</v>
      </c>
      <c r="C713" t="s">
        <v>911</v>
      </c>
      <c r="D713" t="s">
        <v>912</v>
      </c>
      <c r="E713" s="9">
        <v>45200</v>
      </c>
      <c r="F713" s="9">
        <v>45230</v>
      </c>
      <c r="G713">
        <v>94219000</v>
      </c>
      <c r="H713">
        <v>52090000</v>
      </c>
      <c r="I713">
        <v>39597000</v>
      </c>
      <c r="J713">
        <v>7380000</v>
      </c>
      <c r="K713">
        <v>0</v>
      </c>
      <c r="L713">
        <v>24986000</v>
      </c>
      <c r="M713">
        <v>0</v>
      </c>
      <c r="T713" s="9">
        <v>45108</v>
      </c>
      <c r="U713" s="9">
        <v>45473</v>
      </c>
      <c r="V713">
        <f>SUM(POTABLE_NONPOTABLE_API[[#This Row],[RESIDENTIAL_SINGLEFAMILY_GAL]:[OTHER_GAL]])</f>
        <v>218272000</v>
      </c>
      <c r="W713">
        <f>SUM(POTABLE_NONPOTABLE_API[[#This Row],[NONPOTABLE_DEMAND_RESIDENTIAL_RECYCLED_WATER_GAL]:[NONPOTABLE_DEMAND_NONRESIDENTIAL_METERED_IRRIGATION_GAL]])</f>
        <v>0</v>
      </c>
      <c r="X713" t="str">
        <f>IFERROR(INDEX(Crosswalk_API!$H$2:$H$527, MATCH(POTABLE_NONPOTABLE_API[[#This Row],[PWSID]], CW_PWSID_LIST, 0)), "")</f>
        <v>No</v>
      </c>
    </row>
    <row r="714" spans="1:24" x14ac:dyDescent="0.25">
      <c r="A714" t="s">
        <v>906</v>
      </c>
      <c r="B714" t="s">
        <v>907</v>
      </c>
      <c r="C714" t="s">
        <v>911</v>
      </c>
      <c r="D714" t="s">
        <v>912</v>
      </c>
      <c r="E714" s="9">
        <v>45231</v>
      </c>
      <c r="F714" s="9">
        <v>45260</v>
      </c>
      <c r="G714">
        <v>90618000</v>
      </c>
      <c r="H714">
        <v>39721000</v>
      </c>
      <c r="I714">
        <v>29218000</v>
      </c>
      <c r="J714">
        <v>6039000</v>
      </c>
      <c r="K714">
        <v>0</v>
      </c>
      <c r="L714">
        <v>14808000</v>
      </c>
      <c r="M714">
        <v>0</v>
      </c>
      <c r="T714" s="9">
        <v>45108</v>
      </c>
      <c r="U714" s="9">
        <v>45473</v>
      </c>
      <c r="V714">
        <f>SUM(POTABLE_NONPOTABLE_API[[#This Row],[RESIDENTIAL_SINGLEFAMILY_GAL]:[OTHER_GAL]])</f>
        <v>180404000</v>
      </c>
      <c r="W714">
        <f>SUM(POTABLE_NONPOTABLE_API[[#This Row],[NONPOTABLE_DEMAND_RESIDENTIAL_RECYCLED_WATER_GAL]:[NONPOTABLE_DEMAND_NONRESIDENTIAL_METERED_IRRIGATION_GAL]])</f>
        <v>0</v>
      </c>
      <c r="X714" t="str">
        <f>IFERROR(INDEX(Crosswalk_API!$H$2:$H$527, MATCH(POTABLE_NONPOTABLE_API[[#This Row],[PWSID]], CW_PWSID_LIST, 0)), "")</f>
        <v>No</v>
      </c>
    </row>
    <row r="715" spans="1:24" x14ac:dyDescent="0.25">
      <c r="A715" t="s">
        <v>906</v>
      </c>
      <c r="B715" t="s">
        <v>907</v>
      </c>
      <c r="C715" t="s">
        <v>911</v>
      </c>
      <c r="D715" t="s">
        <v>912</v>
      </c>
      <c r="E715" s="9">
        <v>45261</v>
      </c>
      <c r="F715" s="9">
        <v>45291</v>
      </c>
      <c r="G715">
        <v>84919000</v>
      </c>
      <c r="H715">
        <v>46992000</v>
      </c>
      <c r="I715">
        <v>27017000</v>
      </c>
      <c r="J715">
        <v>1634000</v>
      </c>
      <c r="K715">
        <v>0</v>
      </c>
      <c r="L715">
        <v>381000</v>
      </c>
      <c r="M715">
        <v>0</v>
      </c>
      <c r="T715" s="9">
        <v>45108</v>
      </c>
      <c r="U715" s="9">
        <v>45473</v>
      </c>
      <c r="V715">
        <f>SUM(POTABLE_NONPOTABLE_API[[#This Row],[RESIDENTIAL_SINGLEFAMILY_GAL]:[OTHER_GAL]])</f>
        <v>160943000</v>
      </c>
      <c r="W715">
        <f>SUM(POTABLE_NONPOTABLE_API[[#This Row],[NONPOTABLE_DEMAND_RESIDENTIAL_RECYCLED_WATER_GAL]:[NONPOTABLE_DEMAND_NONRESIDENTIAL_METERED_IRRIGATION_GAL]])</f>
        <v>0</v>
      </c>
      <c r="X715" t="str">
        <f>IFERROR(INDEX(Crosswalk_API!$H$2:$H$527, MATCH(POTABLE_NONPOTABLE_API[[#This Row],[PWSID]], CW_PWSID_LIST, 0)), "")</f>
        <v>No</v>
      </c>
    </row>
    <row r="716" spans="1:24" x14ac:dyDescent="0.25">
      <c r="A716" t="s">
        <v>906</v>
      </c>
      <c r="B716" t="s">
        <v>907</v>
      </c>
      <c r="C716" t="s">
        <v>911</v>
      </c>
      <c r="D716" t="s">
        <v>912</v>
      </c>
      <c r="E716" s="9">
        <v>45292</v>
      </c>
      <c r="F716" s="9">
        <v>45322</v>
      </c>
      <c r="G716">
        <v>71557000</v>
      </c>
      <c r="H716">
        <v>29791000</v>
      </c>
      <c r="I716">
        <v>19637000</v>
      </c>
      <c r="J716">
        <v>1076000</v>
      </c>
      <c r="K716">
        <v>0</v>
      </c>
      <c r="L716">
        <v>3435088</v>
      </c>
      <c r="M716">
        <v>0</v>
      </c>
      <c r="T716" s="9">
        <v>45108</v>
      </c>
      <c r="U716" s="9">
        <v>45473</v>
      </c>
      <c r="V716">
        <f>SUM(POTABLE_NONPOTABLE_API[[#This Row],[RESIDENTIAL_SINGLEFAMILY_GAL]:[OTHER_GAL]])</f>
        <v>125496088</v>
      </c>
      <c r="W716">
        <f>SUM(POTABLE_NONPOTABLE_API[[#This Row],[NONPOTABLE_DEMAND_RESIDENTIAL_RECYCLED_WATER_GAL]:[NONPOTABLE_DEMAND_NONRESIDENTIAL_METERED_IRRIGATION_GAL]])</f>
        <v>0</v>
      </c>
      <c r="X716" t="str">
        <f>IFERROR(INDEX(Crosswalk_API!$H$2:$H$527, MATCH(POTABLE_NONPOTABLE_API[[#This Row],[PWSID]], CW_PWSID_LIST, 0)), "")</f>
        <v>No</v>
      </c>
    </row>
    <row r="717" spans="1:24" x14ac:dyDescent="0.25">
      <c r="A717" t="s">
        <v>906</v>
      </c>
      <c r="B717" t="s">
        <v>907</v>
      </c>
      <c r="C717" t="s">
        <v>911</v>
      </c>
      <c r="D717" t="s">
        <v>912</v>
      </c>
      <c r="E717" s="9">
        <v>45323</v>
      </c>
      <c r="F717" s="9">
        <v>45351</v>
      </c>
      <c r="G717">
        <v>54161218</v>
      </c>
      <c r="H717">
        <v>36357484</v>
      </c>
      <c r="I717">
        <v>13991118</v>
      </c>
      <c r="J717">
        <v>448948</v>
      </c>
      <c r="K717">
        <v>0</v>
      </c>
      <c r="L717">
        <v>2968016</v>
      </c>
      <c r="M717">
        <v>0</v>
      </c>
      <c r="T717" s="9">
        <v>45108</v>
      </c>
      <c r="U717" s="9">
        <v>45473</v>
      </c>
      <c r="V717">
        <f>SUM(POTABLE_NONPOTABLE_API[[#This Row],[RESIDENTIAL_SINGLEFAMILY_GAL]:[OTHER_GAL]])</f>
        <v>107926784</v>
      </c>
      <c r="W717">
        <f>SUM(POTABLE_NONPOTABLE_API[[#This Row],[NONPOTABLE_DEMAND_RESIDENTIAL_RECYCLED_WATER_GAL]:[NONPOTABLE_DEMAND_NONRESIDENTIAL_METERED_IRRIGATION_GAL]])</f>
        <v>0</v>
      </c>
      <c r="X717" t="str">
        <f>IFERROR(INDEX(Crosswalk_API!$H$2:$H$527, MATCH(POTABLE_NONPOTABLE_API[[#This Row],[PWSID]], CW_PWSID_LIST, 0)), "")</f>
        <v>No</v>
      </c>
    </row>
    <row r="718" spans="1:24" x14ac:dyDescent="0.25">
      <c r="A718" t="s">
        <v>906</v>
      </c>
      <c r="B718" t="s">
        <v>907</v>
      </c>
      <c r="C718" t="s">
        <v>911</v>
      </c>
      <c r="D718" t="s">
        <v>912</v>
      </c>
      <c r="E718" s="9">
        <v>45352</v>
      </c>
      <c r="F718" s="9">
        <v>45382</v>
      </c>
      <c r="G718">
        <v>80537504</v>
      </c>
      <c r="H718">
        <v>35555168</v>
      </c>
      <c r="I718">
        <v>18404120</v>
      </c>
      <c r="J718">
        <v>686848</v>
      </c>
      <c r="K718">
        <v>0</v>
      </c>
      <c r="L718">
        <v>5194868</v>
      </c>
      <c r="M718">
        <v>0</v>
      </c>
      <c r="T718" s="9">
        <v>45108</v>
      </c>
      <c r="U718" s="9">
        <v>45473</v>
      </c>
      <c r="V718">
        <f>SUM(POTABLE_NONPOTABLE_API[[#This Row],[RESIDENTIAL_SINGLEFAMILY_GAL]:[OTHER_GAL]])</f>
        <v>140378508</v>
      </c>
      <c r="W718">
        <f>SUM(POTABLE_NONPOTABLE_API[[#This Row],[NONPOTABLE_DEMAND_RESIDENTIAL_RECYCLED_WATER_GAL]:[NONPOTABLE_DEMAND_NONRESIDENTIAL_METERED_IRRIGATION_GAL]])</f>
        <v>0</v>
      </c>
      <c r="X718" t="str">
        <f>IFERROR(INDEX(Crosswalk_API!$H$2:$H$527, MATCH(POTABLE_NONPOTABLE_API[[#This Row],[PWSID]], CW_PWSID_LIST, 0)), "")</f>
        <v>No</v>
      </c>
    </row>
    <row r="719" spans="1:24" x14ac:dyDescent="0.25">
      <c r="A719" t="s">
        <v>906</v>
      </c>
      <c r="B719" t="s">
        <v>907</v>
      </c>
      <c r="C719" t="s">
        <v>911</v>
      </c>
      <c r="D719" t="s">
        <v>912</v>
      </c>
      <c r="E719" s="9">
        <v>45383</v>
      </c>
      <c r="F719" s="9">
        <v>45412</v>
      </c>
      <c r="G719">
        <v>51820028</v>
      </c>
      <c r="H719">
        <v>31882420</v>
      </c>
      <c r="I719">
        <v>25031484</v>
      </c>
      <c r="J719">
        <v>1052052</v>
      </c>
      <c r="K719">
        <v>0</v>
      </c>
      <c r="L719">
        <v>4731156</v>
      </c>
      <c r="M719">
        <v>0</v>
      </c>
      <c r="T719" s="9">
        <v>45108</v>
      </c>
      <c r="U719" s="9">
        <v>45473</v>
      </c>
      <c r="V719">
        <f>SUM(POTABLE_NONPOTABLE_API[[#This Row],[RESIDENTIAL_SINGLEFAMILY_GAL]:[OTHER_GAL]])</f>
        <v>114517140</v>
      </c>
      <c r="W719">
        <f>SUM(POTABLE_NONPOTABLE_API[[#This Row],[NONPOTABLE_DEMAND_RESIDENTIAL_RECYCLED_WATER_GAL]:[NONPOTABLE_DEMAND_NONRESIDENTIAL_METERED_IRRIGATION_GAL]])</f>
        <v>0</v>
      </c>
      <c r="X719" t="str">
        <f>IFERROR(INDEX(Crosswalk_API!$H$2:$H$527, MATCH(POTABLE_NONPOTABLE_API[[#This Row],[PWSID]], CW_PWSID_LIST, 0)), "")</f>
        <v>No</v>
      </c>
    </row>
    <row r="720" spans="1:24" x14ac:dyDescent="0.25">
      <c r="A720" t="s">
        <v>906</v>
      </c>
      <c r="B720" t="s">
        <v>907</v>
      </c>
      <c r="C720" t="s">
        <v>911</v>
      </c>
      <c r="D720" t="s">
        <v>912</v>
      </c>
      <c r="E720" s="9">
        <v>45413</v>
      </c>
      <c r="F720" s="9">
        <v>45443</v>
      </c>
      <c r="G720">
        <v>114599192</v>
      </c>
      <c r="H720">
        <v>47689240</v>
      </c>
      <c r="I720">
        <v>36011189</v>
      </c>
      <c r="J720">
        <v>0</v>
      </c>
      <c r="K720">
        <v>0</v>
      </c>
      <c r="L720">
        <v>9128396</v>
      </c>
      <c r="M720">
        <v>0</v>
      </c>
      <c r="T720" s="9">
        <v>45108</v>
      </c>
      <c r="U720" s="9">
        <v>45473</v>
      </c>
      <c r="V720">
        <f>SUM(POTABLE_NONPOTABLE_API[[#This Row],[RESIDENTIAL_SINGLEFAMILY_GAL]:[OTHER_GAL]])</f>
        <v>207428017</v>
      </c>
      <c r="W720">
        <f>SUM(POTABLE_NONPOTABLE_API[[#This Row],[NONPOTABLE_DEMAND_RESIDENTIAL_RECYCLED_WATER_GAL]:[NONPOTABLE_DEMAND_NONRESIDENTIAL_METERED_IRRIGATION_GAL]])</f>
        <v>0</v>
      </c>
      <c r="X720" t="str">
        <f>IFERROR(INDEX(Crosswalk_API!$H$2:$H$527, MATCH(POTABLE_NONPOTABLE_API[[#This Row],[PWSID]], CW_PWSID_LIST, 0)), "")</f>
        <v>No</v>
      </c>
    </row>
    <row r="721" spans="1:24" x14ac:dyDescent="0.25">
      <c r="A721" t="s">
        <v>906</v>
      </c>
      <c r="B721" t="s">
        <v>907</v>
      </c>
      <c r="C721" t="s">
        <v>911</v>
      </c>
      <c r="D721" t="s">
        <v>912</v>
      </c>
      <c r="E721" s="9">
        <v>45444</v>
      </c>
      <c r="F721" s="9">
        <v>45473</v>
      </c>
      <c r="G721">
        <v>136152174</v>
      </c>
      <c r="H721">
        <v>53274740</v>
      </c>
      <c r="I721">
        <v>31172294</v>
      </c>
      <c r="J721">
        <v>17751800</v>
      </c>
      <c r="K721">
        <v>0</v>
      </c>
      <c r="L721">
        <v>21038968</v>
      </c>
      <c r="M721">
        <v>0</v>
      </c>
      <c r="T721" s="9">
        <v>45108</v>
      </c>
      <c r="U721" s="9">
        <v>45473</v>
      </c>
      <c r="V721">
        <f>SUM(POTABLE_NONPOTABLE_API[[#This Row],[RESIDENTIAL_SINGLEFAMILY_GAL]:[OTHER_GAL]])</f>
        <v>259389976</v>
      </c>
      <c r="W721">
        <f>SUM(POTABLE_NONPOTABLE_API[[#This Row],[NONPOTABLE_DEMAND_RESIDENTIAL_RECYCLED_WATER_GAL]:[NONPOTABLE_DEMAND_NONRESIDENTIAL_METERED_IRRIGATION_GAL]])</f>
        <v>0</v>
      </c>
      <c r="X721" t="str">
        <f>IFERROR(INDEX(Crosswalk_API!$H$2:$H$527, MATCH(POTABLE_NONPOTABLE_API[[#This Row],[PWSID]], CW_PWSID_LIST, 0)), "")</f>
        <v>No</v>
      </c>
    </row>
    <row r="722" spans="1:24" x14ac:dyDescent="0.25">
      <c r="A722" t="s">
        <v>906</v>
      </c>
      <c r="B722" t="s">
        <v>907</v>
      </c>
      <c r="C722" t="s">
        <v>914</v>
      </c>
      <c r="D722" t="s">
        <v>915</v>
      </c>
      <c r="E722" s="9">
        <v>45108</v>
      </c>
      <c r="F722" s="9">
        <v>45138</v>
      </c>
      <c r="G722">
        <v>1524056</v>
      </c>
      <c r="H722">
        <v>533328</v>
      </c>
      <c r="I722">
        <v>1066472</v>
      </c>
      <c r="J722">
        <v>47124</v>
      </c>
      <c r="K722">
        <v>0</v>
      </c>
      <c r="L722">
        <v>95028</v>
      </c>
      <c r="M722">
        <v>0</v>
      </c>
      <c r="T722" s="9">
        <v>45108</v>
      </c>
      <c r="U722" s="9">
        <v>45473</v>
      </c>
      <c r="V722">
        <f>SUM(POTABLE_NONPOTABLE_API[[#This Row],[RESIDENTIAL_SINGLEFAMILY_GAL]:[OTHER_GAL]])</f>
        <v>3266008</v>
      </c>
      <c r="W722">
        <f>SUM(POTABLE_NONPOTABLE_API[[#This Row],[NONPOTABLE_DEMAND_RESIDENTIAL_RECYCLED_WATER_GAL]:[NONPOTABLE_DEMAND_NONRESIDENTIAL_METERED_IRRIGATION_GAL]])</f>
        <v>0</v>
      </c>
      <c r="X722" t="str">
        <f>IFERROR(INDEX(Crosswalk_API!$H$2:$H$527, MATCH(POTABLE_NONPOTABLE_API[[#This Row],[PWSID]], CW_PWSID_LIST, 0)), "")</f>
        <v>No</v>
      </c>
    </row>
    <row r="723" spans="1:24" x14ac:dyDescent="0.25">
      <c r="A723" t="s">
        <v>906</v>
      </c>
      <c r="B723" t="s">
        <v>907</v>
      </c>
      <c r="C723" t="s">
        <v>914</v>
      </c>
      <c r="D723" t="s">
        <v>915</v>
      </c>
      <c r="E723" s="9">
        <v>45139</v>
      </c>
      <c r="F723" s="9">
        <v>45169</v>
      </c>
      <c r="G723">
        <v>2544000</v>
      </c>
      <c r="H723">
        <v>327000</v>
      </c>
      <c r="I723">
        <v>1472000</v>
      </c>
      <c r="J723">
        <v>52000</v>
      </c>
      <c r="K723">
        <v>0</v>
      </c>
      <c r="L723">
        <v>293000</v>
      </c>
      <c r="M723">
        <v>0</v>
      </c>
      <c r="T723" s="9">
        <v>45108</v>
      </c>
      <c r="U723" s="9">
        <v>45473</v>
      </c>
      <c r="V723">
        <f>SUM(POTABLE_NONPOTABLE_API[[#This Row],[RESIDENTIAL_SINGLEFAMILY_GAL]:[OTHER_GAL]])</f>
        <v>4688000</v>
      </c>
      <c r="W723">
        <f>SUM(POTABLE_NONPOTABLE_API[[#This Row],[NONPOTABLE_DEMAND_RESIDENTIAL_RECYCLED_WATER_GAL]:[NONPOTABLE_DEMAND_NONRESIDENTIAL_METERED_IRRIGATION_GAL]])</f>
        <v>0</v>
      </c>
      <c r="X723" t="str">
        <f>IFERROR(INDEX(Crosswalk_API!$H$2:$H$527, MATCH(POTABLE_NONPOTABLE_API[[#This Row],[PWSID]], CW_PWSID_LIST, 0)), "")</f>
        <v>No</v>
      </c>
    </row>
    <row r="724" spans="1:24" x14ac:dyDescent="0.25">
      <c r="A724" t="s">
        <v>906</v>
      </c>
      <c r="B724" t="s">
        <v>907</v>
      </c>
      <c r="C724" t="s">
        <v>914</v>
      </c>
      <c r="D724" t="s">
        <v>915</v>
      </c>
      <c r="E724" s="9">
        <v>45170</v>
      </c>
      <c r="F724" s="9">
        <v>45199</v>
      </c>
      <c r="G724">
        <v>2487000</v>
      </c>
      <c r="H724">
        <v>452000</v>
      </c>
      <c r="I724">
        <v>1390000</v>
      </c>
      <c r="J724">
        <v>55000</v>
      </c>
      <c r="K724">
        <v>0</v>
      </c>
      <c r="L724">
        <v>209000</v>
      </c>
      <c r="M724">
        <v>0</v>
      </c>
      <c r="T724" s="9">
        <v>45108</v>
      </c>
      <c r="U724" s="9">
        <v>45473</v>
      </c>
      <c r="V724">
        <f>SUM(POTABLE_NONPOTABLE_API[[#This Row],[RESIDENTIAL_SINGLEFAMILY_GAL]:[OTHER_GAL]])</f>
        <v>4593000</v>
      </c>
      <c r="W724">
        <f>SUM(POTABLE_NONPOTABLE_API[[#This Row],[NONPOTABLE_DEMAND_RESIDENTIAL_RECYCLED_WATER_GAL]:[NONPOTABLE_DEMAND_NONRESIDENTIAL_METERED_IRRIGATION_GAL]])</f>
        <v>0</v>
      </c>
      <c r="X724" t="str">
        <f>IFERROR(INDEX(Crosswalk_API!$H$2:$H$527, MATCH(POTABLE_NONPOTABLE_API[[#This Row],[PWSID]], CW_PWSID_LIST, 0)), "")</f>
        <v>No</v>
      </c>
    </row>
    <row r="725" spans="1:24" x14ac:dyDescent="0.25">
      <c r="A725" t="s">
        <v>906</v>
      </c>
      <c r="B725" t="s">
        <v>907</v>
      </c>
      <c r="C725" t="s">
        <v>914</v>
      </c>
      <c r="D725" t="s">
        <v>915</v>
      </c>
      <c r="E725" s="9">
        <v>45200</v>
      </c>
      <c r="F725" s="9">
        <v>45230</v>
      </c>
      <c r="G725">
        <v>1960000</v>
      </c>
      <c r="H725">
        <v>373000</v>
      </c>
      <c r="I725">
        <v>879000</v>
      </c>
      <c r="J725">
        <v>28000</v>
      </c>
      <c r="K725">
        <v>0</v>
      </c>
      <c r="L725">
        <v>272000</v>
      </c>
      <c r="M725">
        <v>0</v>
      </c>
      <c r="T725" s="9">
        <v>45108</v>
      </c>
      <c r="U725" s="9">
        <v>45473</v>
      </c>
      <c r="V725">
        <f>SUM(POTABLE_NONPOTABLE_API[[#This Row],[RESIDENTIAL_SINGLEFAMILY_GAL]:[OTHER_GAL]])</f>
        <v>3512000</v>
      </c>
      <c r="W725">
        <f>SUM(POTABLE_NONPOTABLE_API[[#This Row],[NONPOTABLE_DEMAND_RESIDENTIAL_RECYCLED_WATER_GAL]:[NONPOTABLE_DEMAND_NONRESIDENTIAL_METERED_IRRIGATION_GAL]])</f>
        <v>0</v>
      </c>
      <c r="X725" t="str">
        <f>IFERROR(INDEX(Crosswalk_API!$H$2:$H$527, MATCH(POTABLE_NONPOTABLE_API[[#This Row],[PWSID]], CW_PWSID_LIST, 0)), "")</f>
        <v>No</v>
      </c>
    </row>
    <row r="726" spans="1:24" x14ac:dyDescent="0.25">
      <c r="A726" t="s">
        <v>906</v>
      </c>
      <c r="B726" t="s">
        <v>907</v>
      </c>
      <c r="C726" t="s">
        <v>914</v>
      </c>
      <c r="D726" t="s">
        <v>915</v>
      </c>
      <c r="E726" s="9">
        <v>45231</v>
      </c>
      <c r="F726" s="9">
        <v>45260</v>
      </c>
      <c r="G726">
        <v>1858000</v>
      </c>
      <c r="H726">
        <v>445000</v>
      </c>
      <c r="I726">
        <v>1028000</v>
      </c>
      <c r="J726">
        <v>29000</v>
      </c>
      <c r="K726">
        <v>0</v>
      </c>
      <c r="L726">
        <v>162000</v>
      </c>
      <c r="M726">
        <v>0</v>
      </c>
      <c r="T726" s="9">
        <v>45108</v>
      </c>
      <c r="U726" s="9">
        <v>45473</v>
      </c>
      <c r="V726">
        <f>SUM(POTABLE_NONPOTABLE_API[[#This Row],[RESIDENTIAL_SINGLEFAMILY_GAL]:[OTHER_GAL]])</f>
        <v>3522000</v>
      </c>
      <c r="W726">
        <f>SUM(POTABLE_NONPOTABLE_API[[#This Row],[NONPOTABLE_DEMAND_RESIDENTIAL_RECYCLED_WATER_GAL]:[NONPOTABLE_DEMAND_NONRESIDENTIAL_METERED_IRRIGATION_GAL]])</f>
        <v>0</v>
      </c>
      <c r="X726" t="str">
        <f>IFERROR(INDEX(Crosswalk_API!$H$2:$H$527, MATCH(POTABLE_NONPOTABLE_API[[#This Row],[PWSID]], CW_PWSID_LIST, 0)), "")</f>
        <v>No</v>
      </c>
    </row>
    <row r="727" spans="1:24" x14ac:dyDescent="0.25">
      <c r="A727" t="s">
        <v>906</v>
      </c>
      <c r="B727" t="s">
        <v>907</v>
      </c>
      <c r="C727" t="s">
        <v>914</v>
      </c>
      <c r="D727" t="s">
        <v>915</v>
      </c>
      <c r="E727" s="9">
        <v>45261</v>
      </c>
      <c r="F727" s="9">
        <v>45291</v>
      </c>
      <c r="G727">
        <v>1868000</v>
      </c>
      <c r="H727">
        <v>81000</v>
      </c>
      <c r="I727">
        <v>658000</v>
      </c>
      <c r="J727">
        <v>7000</v>
      </c>
      <c r="K727">
        <v>0</v>
      </c>
      <c r="L727">
        <v>0</v>
      </c>
      <c r="M727">
        <v>0</v>
      </c>
      <c r="T727" s="9">
        <v>45108</v>
      </c>
      <c r="U727" s="9">
        <v>45473</v>
      </c>
      <c r="V727">
        <f>SUM(POTABLE_NONPOTABLE_API[[#This Row],[RESIDENTIAL_SINGLEFAMILY_GAL]:[OTHER_GAL]])</f>
        <v>2614000</v>
      </c>
      <c r="W727">
        <f>SUM(POTABLE_NONPOTABLE_API[[#This Row],[NONPOTABLE_DEMAND_RESIDENTIAL_RECYCLED_WATER_GAL]:[NONPOTABLE_DEMAND_NONRESIDENTIAL_METERED_IRRIGATION_GAL]])</f>
        <v>0</v>
      </c>
      <c r="X727" t="str">
        <f>IFERROR(INDEX(Crosswalk_API!$H$2:$H$527, MATCH(POTABLE_NONPOTABLE_API[[#This Row],[PWSID]], CW_PWSID_LIST, 0)), "")</f>
        <v>No</v>
      </c>
    </row>
    <row r="728" spans="1:24" x14ac:dyDescent="0.25">
      <c r="A728" t="s">
        <v>906</v>
      </c>
      <c r="B728" t="s">
        <v>907</v>
      </c>
      <c r="C728" t="s">
        <v>914</v>
      </c>
      <c r="D728" t="s">
        <v>915</v>
      </c>
      <c r="E728" s="9">
        <v>45292</v>
      </c>
      <c r="F728" s="9">
        <v>45322</v>
      </c>
      <c r="G728">
        <v>1614000</v>
      </c>
      <c r="H728">
        <v>81000</v>
      </c>
      <c r="I728">
        <v>642000</v>
      </c>
      <c r="J728">
        <v>1000</v>
      </c>
      <c r="K728">
        <v>0</v>
      </c>
      <c r="L728">
        <v>66792</v>
      </c>
      <c r="M728">
        <v>0</v>
      </c>
      <c r="T728" s="9">
        <v>45108</v>
      </c>
      <c r="U728" s="9">
        <v>45473</v>
      </c>
      <c r="V728">
        <f>SUM(POTABLE_NONPOTABLE_API[[#This Row],[RESIDENTIAL_SINGLEFAMILY_GAL]:[OTHER_GAL]])</f>
        <v>2404792</v>
      </c>
      <c r="W728">
        <f>SUM(POTABLE_NONPOTABLE_API[[#This Row],[NONPOTABLE_DEMAND_RESIDENTIAL_RECYCLED_WATER_GAL]:[NONPOTABLE_DEMAND_NONRESIDENTIAL_METERED_IRRIGATION_GAL]])</f>
        <v>0</v>
      </c>
      <c r="X728" t="str">
        <f>IFERROR(INDEX(Crosswalk_API!$H$2:$H$527, MATCH(POTABLE_NONPOTABLE_API[[#This Row],[PWSID]], CW_PWSID_LIST, 0)), "")</f>
        <v>No</v>
      </c>
    </row>
    <row r="729" spans="1:24" x14ac:dyDescent="0.25">
      <c r="A729" t="s">
        <v>906</v>
      </c>
      <c r="B729" t="s">
        <v>907</v>
      </c>
      <c r="C729" t="s">
        <v>914</v>
      </c>
      <c r="D729" t="s">
        <v>915</v>
      </c>
      <c r="E729" s="9">
        <v>45323</v>
      </c>
      <c r="F729" s="9">
        <v>45351</v>
      </c>
      <c r="G729">
        <v>921312</v>
      </c>
      <c r="H729">
        <v>306476</v>
      </c>
      <c r="I729">
        <v>215616</v>
      </c>
      <c r="J729">
        <v>0</v>
      </c>
      <c r="K729">
        <v>0</v>
      </c>
      <c r="L729">
        <v>55592</v>
      </c>
      <c r="M729">
        <v>0</v>
      </c>
      <c r="T729" s="9">
        <v>45108</v>
      </c>
      <c r="U729" s="9">
        <v>45473</v>
      </c>
      <c r="V729">
        <f>SUM(POTABLE_NONPOTABLE_API[[#This Row],[RESIDENTIAL_SINGLEFAMILY_GAL]:[OTHER_GAL]])</f>
        <v>1498996</v>
      </c>
      <c r="W729">
        <f>SUM(POTABLE_NONPOTABLE_API[[#This Row],[NONPOTABLE_DEMAND_RESIDENTIAL_RECYCLED_WATER_GAL]:[NONPOTABLE_DEMAND_NONRESIDENTIAL_METERED_IRRIGATION_GAL]])</f>
        <v>0</v>
      </c>
      <c r="X729" t="str">
        <f>IFERROR(INDEX(Crosswalk_API!$H$2:$H$527, MATCH(POTABLE_NONPOTABLE_API[[#This Row],[PWSID]], CW_PWSID_LIST, 0)), "")</f>
        <v>No</v>
      </c>
    </row>
    <row r="730" spans="1:24" x14ac:dyDescent="0.25">
      <c r="A730" t="s">
        <v>906</v>
      </c>
      <c r="B730" t="s">
        <v>907</v>
      </c>
      <c r="C730" t="s">
        <v>914</v>
      </c>
      <c r="D730" t="s">
        <v>915</v>
      </c>
      <c r="E730" s="9">
        <v>45352</v>
      </c>
      <c r="F730" s="9">
        <v>45382</v>
      </c>
      <c r="G730">
        <v>1825040</v>
      </c>
      <c r="H730">
        <v>260668</v>
      </c>
      <c r="I730">
        <v>730360</v>
      </c>
      <c r="J730">
        <v>0</v>
      </c>
      <c r="K730">
        <v>0</v>
      </c>
      <c r="L730">
        <v>62288</v>
      </c>
      <c r="M730">
        <v>0</v>
      </c>
      <c r="T730" s="9">
        <v>45108</v>
      </c>
      <c r="U730" s="9">
        <v>45473</v>
      </c>
      <c r="V730">
        <f>SUM(POTABLE_NONPOTABLE_API[[#This Row],[RESIDENTIAL_SINGLEFAMILY_GAL]:[OTHER_GAL]])</f>
        <v>2878356</v>
      </c>
      <c r="W730">
        <f>SUM(POTABLE_NONPOTABLE_API[[#This Row],[NONPOTABLE_DEMAND_RESIDENTIAL_RECYCLED_WATER_GAL]:[NONPOTABLE_DEMAND_NONRESIDENTIAL_METERED_IRRIGATION_GAL]])</f>
        <v>0</v>
      </c>
      <c r="X730" t="str">
        <f>IFERROR(INDEX(Crosswalk_API!$H$2:$H$527, MATCH(POTABLE_NONPOTABLE_API[[#This Row],[PWSID]], CW_PWSID_LIST, 0)), "")</f>
        <v>No</v>
      </c>
    </row>
    <row r="731" spans="1:24" x14ac:dyDescent="0.25">
      <c r="A731" t="s">
        <v>906</v>
      </c>
      <c r="B731" t="s">
        <v>907</v>
      </c>
      <c r="C731" t="s">
        <v>914</v>
      </c>
      <c r="D731" t="s">
        <v>915</v>
      </c>
      <c r="E731" s="9">
        <v>45383</v>
      </c>
      <c r="F731" s="9">
        <v>45412</v>
      </c>
      <c r="G731">
        <v>1103676</v>
      </c>
      <c r="H731">
        <v>228868</v>
      </c>
      <c r="I731">
        <v>532576</v>
      </c>
      <c r="J731">
        <v>8976</v>
      </c>
      <c r="K731">
        <v>0</v>
      </c>
      <c r="L731">
        <v>56144</v>
      </c>
      <c r="M731">
        <v>0</v>
      </c>
      <c r="T731" s="9">
        <v>45108</v>
      </c>
      <c r="U731" s="9">
        <v>45473</v>
      </c>
      <c r="V731">
        <f>SUM(POTABLE_NONPOTABLE_API[[#This Row],[RESIDENTIAL_SINGLEFAMILY_GAL]:[OTHER_GAL]])</f>
        <v>1930240</v>
      </c>
      <c r="W731">
        <f>SUM(POTABLE_NONPOTABLE_API[[#This Row],[NONPOTABLE_DEMAND_RESIDENTIAL_RECYCLED_WATER_GAL]:[NONPOTABLE_DEMAND_NONRESIDENTIAL_METERED_IRRIGATION_GAL]])</f>
        <v>0</v>
      </c>
      <c r="X731" t="str">
        <f>IFERROR(INDEX(Crosswalk_API!$H$2:$H$527, MATCH(POTABLE_NONPOTABLE_API[[#This Row],[PWSID]], CW_PWSID_LIST, 0)), "")</f>
        <v>No</v>
      </c>
    </row>
    <row r="732" spans="1:24" x14ac:dyDescent="0.25">
      <c r="A732" t="s">
        <v>906</v>
      </c>
      <c r="B732" t="s">
        <v>907</v>
      </c>
      <c r="C732" t="s">
        <v>914</v>
      </c>
      <c r="D732" t="s">
        <v>915</v>
      </c>
      <c r="E732" s="9">
        <v>45413</v>
      </c>
      <c r="F732" s="9">
        <v>45443</v>
      </c>
      <c r="G732">
        <v>2332676</v>
      </c>
      <c r="H732">
        <v>293264</v>
      </c>
      <c r="I732">
        <v>1085980</v>
      </c>
      <c r="J732">
        <v>52348</v>
      </c>
      <c r="K732">
        <v>0</v>
      </c>
      <c r="L732">
        <v>63035.999999999993</v>
      </c>
      <c r="M732">
        <v>0</v>
      </c>
      <c r="T732" s="9">
        <v>45108</v>
      </c>
      <c r="U732" s="9">
        <v>45473</v>
      </c>
      <c r="V732">
        <f>SUM(POTABLE_NONPOTABLE_API[[#This Row],[RESIDENTIAL_SINGLEFAMILY_GAL]:[OTHER_GAL]])</f>
        <v>3827304</v>
      </c>
      <c r="W732">
        <f>SUM(POTABLE_NONPOTABLE_API[[#This Row],[NONPOTABLE_DEMAND_RESIDENTIAL_RECYCLED_WATER_GAL]:[NONPOTABLE_DEMAND_NONRESIDENTIAL_METERED_IRRIGATION_GAL]])</f>
        <v>0</v>
      </c>
      <c r="X732" t="str">
        <f>IFERROR(INDEX(Crosswalk_API!$H$2:$H$527, MATCH(POTABLE_NONPOTABLE_API[[#This Row],[PWSID]], CW_PWSID_LIST, 0)), "")</f>
        <v>No</v>
      </c>
    </row>
    <row r="733" spans="1:24" x14ac:dyDescent="0.25">
      <c r="A733" t="s">
        <v>906</v>
      </c>
      <c r="B733" t="s">
        <v>907</v>
      </c>
      <c r="C733" t="s">
        <v>914</v>
      </c>
      <c r="D733" t="s">
        <v>915</v>
      </c>
      <c r="E733" s="9">
        <v>45444</v>
      </c>
      <c r="F733" s="9">
        <v>45473</v>
      </c>
      <c r="G733">
        <v>1999980</v>
      </c>
      <c r="H733">
        <v>343004</v>
      </c>
      <c r="I733">
        <v>982140</v>
      </c>
      <c r="J733">
        <v>57596</v>
      </c>
      <c r="K733">
        <v>0</v>
      </c>
      <c r="L733">
        <v>38448</v>
      </c>
      <c r="M733">
        <v>0</v>
      </c>
      <c r="T733" s="9">
        <v>45108</v>
      </c>
      <c r="U733" s="9">
        <v>45473</v>
      </c>
      <c r="V733">
        <f>SUM(POTABLE_NONPOTABLE_API[[#This Row],[RESIDENTIAL_SINGLEFAMILY_GAL]:[OTHER_GAL]])</f>
        <v>3421168</v>
      </c>
      <c r="W733">
        <f>SUM(POTABLE_NONPOTABLE_API[[#This Row],[NONPOTABLE_DEMAND_RESIDENTIAL_RECYCLED_WATER_GAL]:[NONPOTABLE_DEMAND_NONRESIDENTIAL_METERED_IRRIGATION_GAL]])</f>
        <v>0</v>
      </c>
      <c r="X733" t="str">
        <f>IFERROR(INDEX(Crosswalk_API!$H$2:$H$527, MATCH(POTABLE_NONPOTABLE_API[[#This Row],[PWSID]], CW_PWSID_LIST, 0)), "")</f>
        <v>No</v>
      </c>
    </row>
    <row r="734" spans="1:24" x14ac:dyDescent="0.25">
      <c r="A734" t="s">
        <v>906</v>
      </c>
      <c r="B734" t="s">
        <v>907</v>
      </c>
      <c r="C734" t="s">
        <v>916</v>
      </c>
      <c r="D734" t="s">
        <v>917</v>
      </c>
      <c r="E734" s="9">
        <v>45108</v>
      </c>
      <c r="F734" s="9">
        <v>45138</v>
      </c>
      <c r="G734">
        <v>128846275.99999999</v>
      </c>
      <c r="H734">
        <v>17334156</v>
      </c>
      <c r="I734">
        <v>13816476</v>
      </c>
      <c r="J734">
        <v>3199916</v>
      </c>
      <c r="K734">
        <v>0</v>
      </c>
      <c r="L734">
        <v>12505756</v>
      </c>
      <c r="M734">
        <v>0</v>
      </c>
      <c r="T734" s="9">
        <v>45108</v>
      </c>
      <c r="U734" s="9">
        <v>45473</v>
      </c>
      <c r="V734">
        <f>SUM(POTABLE_NONPOTABLE_API[[#This Row],[RESIDENTIAL_SINGLEFAMILY_GAL]:[OTHER_GAL]])</f>
        <v>175702580</v>
      </c>
      <c r="W734">
        <f>SUM(POTABLE_NONPOTABLE_API[[#This Row],[NONPOTABLE_DEMAND_RESIDENTIAL_RECYCLED_WATER_GAL]:[NONPOTABLE_DEMAND_NONRESIDENTIAL_METERED_IRRIGATION_GAL]])</f>
        <v>0</v>
      </c>
      <c r="X734" t="str">
        <f>IFERROR(INDEX(Crosswalk_API!$H$2:$H$527, MATCH(POTABLE_NONPOTABLE_API[[#This Row],[PWSID]], CW_PWSID_LIST, 0)), "")</f>
        <v>No</v>
      </c>
    </row>
    <row r="735" spans="1:24" x14ac:dyDescent="0.25">
      <c r="A735" t="s">
        <v>906</v>
      </c>
      <c r="B735" t="s">
        <v>907</v>
      </c>
      <c r="C735" t="s">
        <v>916</v>
      </c>
      <c r="D735" t="s">
        <v>917</v>
      </c>
      <c r="E735" s="9">
        <v>45139</v>
      </c>
      <c r="F735" s="9">
        <v>45169</v>
      </c>
      <c r="G735">
        <v>138427000</v>
      </c>
      <c r="H735">
        <v>27718000</v>
      </c>
      <c r="I735">
        <v>24224000</v>
      </c>
      <c r="J735">
        <v>2422000</v>
      </c>
      <c r="K735">
        <v>0</v>
      </c>
      <c r="L735">
        <v>21348000</v>
      </c>
      <c r="M735">
        <v>0</v>
      </c>
      <c r="T735" s="9">
        <v>45108</v>
      </c>
      <c r="U735" s="9">
        <v>45473</v>
      </c>
      <c r="V735">
        <f>SUM(POTABLE_NONPOTABLE_API[[#This Row],[RESIDENTIAL_SINGLEFAMILY_GAL]:[OTHER_GAL]])</f>
        <v>214139000</v>
      </c>
      <c r="W735">
        <f>SUM(POTABLE_NONPOTABLE_API[[#This Row],[NONPOTABLE_DEMAND_RESIDENTIAL_RECYCLED_WATER_GAL]:[NONPOTABLE_DEMAND_NONRESIDENTIAL_METERED_IRRIGATION_GAL]])</f>
        <v>0</v>
      </c>
      <c r="X735" t="str">
        <f>IFERROR(INDEX(Crosswalk_API!$H$2:$H$527, MATCH(POTABLE_NONPOTABLE_API[[#This Row],[PWSID]], CW_PWSID_LIST, 0)), "")</f>
        <v>No</v>
      </c>
    </row>
    <row r="736" spans="1:24" x14ac:dyDescent="0.25">
      <c r="A736" t="s">
        <v>906</v>
      </c>
      <c r="B736" t="s">
        <v>907</v>
      </c>
      <c r="C736" t="s">
        <v>916</v>
      </c>
      <c r="D736" t="s">
        <v>917</v>
      </c>
      <c r="E736" s="9">
        <v>45170</v>
      </c>
      <c r="F736" s="9">
        <v>45199</v>
      </c>
      <c r="G736">
        <v>132961999.99999999</v>
      </c>
      <c r="H736">
        <v>23216000</v>
      </c>
      <c r="I736">
        <v>14460000</v>
      </c>
      <c r="J736">
        <v>3938000</v>
      </c>
      <c r="K736">
        <v>0</v>
      </c>
      <c r="L736">
        <v>16779000</v>
      </c>
      <c r="M736">
        <v>0</v>
      </c>
      <c r="T736" s="9">
        <v>45108</v>
      </c>
      <c r="U736" s="9">
        <v>45473</v>
      </c>
      <c r="V736">
        <f>SUM(POTABLE_NONPOTABLE_API[[#This Row],[RESIDENTIAL_SINGLEFAMILY_GAL]:[OTHER_GAL]])</f>
        <v>191355000</v>
      </c>
      <c r="W736">
        <f>SUM(POTABLE_NONPOTABLE_API[[#This Row],[NONPOTABLE_DEMAND_RESIDENTIAL_RECYCLED_WATER_GAL]:[NONPOTABLE_DEMAND_NONRESIDENTIAL_METERED_IRRIGATION_GAL]])</f>
        <v>0</v>
      </c>
      <c r="X736" t="str">
        <f>IFERROR(INDEX(Crosswalk_API!$H$2:$H$527, MATCH(POTABLE_NONPOTABLE_API[[#This Row],[PWSID]], CW_PWSID_LIST, 0)), "")</f>
        <v>No</v>
      </c>
    </row>
    <row r="737" spans="1:24" x14ac:dyDescent="0.25">
      <c r="A737" t="s">
        <v>906</v>
      </c>
      <c r="B737" t="s">
        <v>907</v>
      </c>
      <c r="C737" t="s">
        <v>916</v>
      </c>
      <c r="D737" t="s">
        <v>917</v>
      </c>
      <c r="E737" s="9">
        <v>45200</v>
      </c>
      <c r="F737" s="9">
        <v>45230</v>
      </c>
      <c r="G737">
        <v>102599000</v>
      </c>
      <c r="H737">
        <v>20302000</v>
      </c>
      <c r="I737">
        <v>9676000</v>
      </c>
      <c r="J737">
        <v>3559000</v>
      </c>
      <c r="K737">
        <v>0</v>
      </c>
      <c r="L737">
        <v>11488000</v>
      </c>
      <c r="M737">
        <v>0</v>
      </c>
      <c r="T737" s="9">
        <v>45108</v>
      </c>
      <c r="U737" s="9">
        <v>45473</v>
      </c>
      <c r="V737">
        <f>SUM(POTABLE_NONPOTABLE_API[[#This Row],[RESIDENTIAL_SINGLEFAMILY_GAL]:[OTHER_GAL]])</f>
        <v>147624000</v>
      </c>
      <c r="W737">
        <f>SUM(POTABLE_NONPOTABLE_API[[#This Row],[NONPOTABLE_DEMAND_RESIDENTIAL_RECYCLED_WATER_GAL]:[NONPOTABLE_DEMAND_NONRESIDENTIAL_METERED_IRRIGATION_GAL]])</f>
        <v>0</v>
      </c>
      <c r="X737" t="str">
        <f>IFERROR(INDEX(Crosswalk_API!$H$2:$H$527, MATCH(POTABLE_NONPOTABLE_API[[#This Row],[PWSID]], CW_PWSID_LIST, 0)), "")</f>
        <v>No</v>
      </c>
    </row>
    <row r="738" spans="1:24" x14ac:dyDescent="0.25">
      <c r="A738" t="s">
        <v>906</v>
      </c>
      <c r="B738" t="s">
        <v>907</v>
      </c>
      <c r="C738" t="s">
        <v>916</v>
      </c>
      <c r="D738" t="s">
        <v>917</v>
      </c>
      <c r="E738" s="9">
        <v>45231</v>
      </c>
      <c r="F738" s="9">
        <v>45260</v>
      </c>
      <c r="G738">
        <v>87228000</v>
      </c>
      <c r="H738">
        <v>15913000</v>
      </c>
      <c r="I738">
        <v>13224000</v>
      </c>
      <c r="J738">
        <v>2144000</v>
      </c>
      <c r="K738">
        <v>0</v>
      </c>
      <c r="L738">
        <v>5890000</v>
      </c>
      <c r="M738">
        <v>0</v>
      </c>
      <c r="T738" s="9">
        <v>45108</v>
      </c>
      <c r="U738" s="9">
        <v>45473</v>
      </c>
      <c r="V738">
        <f>SUM(POTABLE_NONPOTABLE_API[[#This Row],[RESIDENTIAL_SINGLEFAMILY_GAL]:[OTHER_GAL]])</f>
        <v>124399000</v>
      </c>
      <c r="W738">
        <f>SUM(POTABLE_NONPOTABLE_API[[#This Row],[NONPOTABLE_DEMAND_RESIDENTIAL_RECYCLED_WATER_GAL]:[NONPOTABLE_DEMAND_NONRESIDENTIAL_METERED_IRRIGATION_GAL]])</f>
        <v>0</v>
      </c>
      <c r="X738" t="str">
        <f>IFERROR(INDEX(Crosswalk_API!$H$2:$H$527, MATCH(POTABLE_NONPOTABLE_API[[#This Row],[PWSID]], CW_PWSID_LIST, 0)), "")</f>
        <v>No</v>
      </c>
    </row>
    <row r="739" spans="1:24" x14ac:dyDescent="0.25">
      <c r="A739" t="s">
        <v>906</v>
      </c>
      <c r="B739" t="s">
        <v>907</v>
      </c>
      <c r="C739" t="s">
        <v>916</v>
      </c>
      <c r="D739" t="s">
        <v>917</v>
      </c>
      <c r="E739" s="9">
        <v>45261</v>
      </c>
      <c r="F739" s="9">
        <v>45291</v>
      </c>
      <c r="G739">
        <v>74881000</v>
      </c>
      <c r="H739">
        <v>13479000</v>
      </c>
      <c r="I739">
        <v>10826000</v>
      </c>
      <c r="J739">
        <v>1691000</v>
      </c>
      <c r="K739">
        <v>0</v>
      </c>
      <c r="L739">
        <v>3040000</v>
      </c>
      <c r="M739">
        <v>0</v>
      </c>
      <c r="T739" s="9">
        <v>45108</v>
      </c>
      <c r="U739" s="9">
        <v>45473</v>
      </c>
      <c r="V739">
        <f>SUM(POTABLE_NONPOTABLE_API[[#This Row],[RESIDENTIAL_SINGLEFAMILY_GAL]:[OTHER_GAL]])</f>
        <v>103917000</v>
      </c>
      <c r="W739">
        <f>SUM(POTABLE_NONPOTABLE_API[[#This Row],[NONPOTABLE_DEMAND_RESIDENTIAL_RECYCLED_WATER_GAL]:[NONPOTABLE_DEMAND_NONRESIDENTIAL_METERED_IRRIGATION_GAL]])</f>
        <v>0</v>
      </c>
      <c r="X739" t="str">
        <f>IFERROR(INDEX(Crosswalk_API!$H$2:$H$527, MATCH(POTABLE_NONPOTABLE_API[[#This Row],[PWSID]], CW_PWSID_LIST, 0)), "")</f>
        <v>No</v>
      </c>
    </row>
    <row r="740" spans="1:24" x14ac:dyDescent="0.25">
      <c r="A740" t="s">
        <v>906</v>
      </c>
      <c r="B740" t="s">
        <v>907</v>
      </c>
      <c r="C740" t="s">
        <v>916</v>
      </c>
      <c r="D740" t="s">
        <v>917</v>
      </c>
      <c r="E740" s="9">
        <v>45292</v>
      </c>
      <c r="F740" s="9">
        <v>45322</v>
      </c>
      <c r="G740">
        <v>63333000</v>
      </c>
      <c r="H740">
        <v>10688000</v>
      </c>
      <c r="I740">
        <v>28000</v>
      </c>
      <c r="J740">
        <v>0</v>
      </c>
      <c r="K740">
        <v>0</v>
      </c>
      <c r="L740">
        <v>0</v>
      </c>
      <c r="M740">
        <v>0</v>
      </c>
      <c r="T740" s="9">
        <v>45108</v>
      </c>
      <c r="U740" s="9">
        <v>45473</v>
      </c>
      <c r="V740">
        <f>SUM(POTABLE_NONPOTABLE_API[[#This Row],[RESIDENTIAL_SINGLEFAMILY_GAL]:[OTHER_GAL]])</f>
        <v>74049000</v>
      </c>
      <c r="W740">
        <f>SUM(POTABLE_NONPOTABLE_API[[#This Row],[NONPOTABLE_DEMAND_RESIDENTIAL_RECYCLED_WATER_GAL]:[NONPOTABLE_DEMAND_NONRESIDENTIAL_METERED_IRRIGATION_GAL]])</f>
        <v>0</v>
      </c>
      <c r="X740" t="str">
        <f>IFERROR(INDEX(Crosswalk_API!$H$2:$H$527, MATCH(POTABLE_NONPOTABLE_API[[#This Row],[PWSID]], CW_PWSID_LIST, 0)), "")</f>
        <v>No</v>
      </c>
    </row>
    <row r="741" spans="1:24" x14ac:dyDescent="0.25">
      <c r="A741" t="s">
        <v>906</v>
      </c>
      <c r="B741" t="s">
        <v>907</v>
      </c>
      <c r="C741" t="s">
        <v>916</v>
      </c>
      <c r="D741" t="s">
        <v>917</v>
      </c>
      <c r="E741" s="9">
        <v>45323</v>
      </c>
      <c r="F741" s="9">
        <v>45351</v>
      </c>
      <c r="G741">
        <v>54681988</v>
      </c>
      <c r="H741">
        <v>10866088</v>
      </c>
      <c r="I741">
        <v>6905576</v>
      </c>
      <c r="J741">
        <v>436640</v>
      </c>
      <c r="K741">
        <v>0</v>
      </c>
      <c r="L741">
        <v>1214176</v>
      </c>
      <c r="M741">
        <v>0</v>
      </c>
      <c r="T741" s="9">
        <v>45108</v>
      </c>
      <c r="U741" s="9">
        <v>45473</v>
      </c>
      <c r="V741">
        <f>SUM(POTABLE_NONPOTABLE_API[[#This Row],[RESIDENTIAL_SINGLEFAMILY_GAL]:[OTHER_GAL]])</f>
        <v>74104468</v>
      </c>
      <c r="W741">
        <f>SUM(POTABLE_NONPOTABLE_API[[#This Row],[NONPOTABLE_DEMAND_RESIDENTIAL_RECYCLED_WATER_GAL]:[NONPOTABLE_DEMAND_NONRESIDENTIAL_METERED_IRRIGATION_GAL]])</f>
        <v>0</v>
      </c>
      <c r="X741" t="str">
        <f>IFERROR(INDEX(Crosswalk_API!$H$2:$H$527, MATCH(POTABLE_NONPOTABLE_API[[#This Row],[PWSID]], CW_PWSID_LIST, 0)), "")</f>
        <v>No</v>
      </c>
    </row>
    <row r="742" spans="1:24" x14ac:dyDescent="0.25">
      <c r="A742" t="s">
        <v>906</v>
      </c>
      <c r="B742" t="s">
        <v>907</v>
      </c>
      <c r="C742" t="s">
        <v>916</v>
      </c>
      <c r="D742" t="s">
        <v>917</v>
      </c>
      <c r="E742" s="9">
        <v>45352</v>
      </c>
      <c r="F742" s="9">
        <v>45382</v>
      </c>
      <c r="G742">
        <v>63691054</v>
      </c>
      <c r="H742">
        <v>9725468</v>
      </c>
      <c r="I742">
        <v>5401484</v>
      </c>
      <c r="J742">
        <v>509036.00000000006</v>
      </c>
      <c r="K742">
        <v>0</v>
      </c>
      <c r="L742">
        <v>1146772</v>
      </c>
      <c r="M742">
        <v>0</v>
      </c>
      <c r="T742" s="9">
        <v>45108</v>
      </c>
      <c r="U742" s="9">
        <v>45473</v>
      </c>
      <c r="V742">
        <f>SUM(POTABLE_NONPOTABLE_API[[#This Row],[RESIDENTIAL_SINGLEFAMILY_GAL]:[OTHER_GAL]])</f>
        <v>80473814</v>
      </c>
      <c r="W742">
        <f>SUM(POTABLE_NONPOTABLE_API[[#This Row],[NONPOTABLE_DEMAND_RESIDENTIAL_RECYCLED_WATER_GAL]:[NONPOTABLE_DEMAND_NONRESIDENTIAL_METERED_IRRIGATION_GAL]])</f>
        <v>0</v>
      </c>
      <c r="X742" t="str">
        <f>IFERROR(INDEX(Crosswalk_API!$H$2:$H$527, MATCH(POTABLE_NONPOTABLE_API[[#This Row],[PWSID]], CW_PWSID_LIST, 0)), "")</f>
        <v>No</v>
      </c>
    </row>
    <row r="743" spans="1:24" x14ac:dyDescent="0.25">
      <c r="A743" t="s">
        <v>906</v>
      </c>
      <c r="B743" t="s">
        <v>907</v>
      </c>
      <c r="C743" t="s">
        <v>916</v>
      </c>
      <c r="D743" t="s">
        <v>917</v>
      </c>
      <c r="E743" s="9">
        <v>45383</v>
      </c>
      <c r="F743" s="9">
        <v>45412</v>
      </c>
      <c r="G743">
        <v>51978758</v>
      </c>
      <c r="H743">
        <v>10244228</v>
      </c>
      <c r="I743">
        <v>6759224</v>
      </c>
      <c r="J743">
        <v>399364</v>
      </c>
      <c r="K743">
        <v>0</v>
      </c>
      <c r="L743">
        <v>2644576</v>
      </c>
      <c r="M743">
        <v>0</v>
      </c>
      <c r="T743" s="9">
        <v>45108</v>
      </c>
      <c r="U743" s="9">
        <v>45473</v>
      </c>
      <c r="V743">
        <f>SUM(POTABLE_NONPOTABLE_API[[#This Row],[RESIDENTIAL_SINGLEFAMILY_GAL]:[OTHER_GAL]])</f>
        <v>72026150</v>
      </c>
      <c r="W743">
        <f>SUM(POTABLE_NONPOTABLE_API[[#This Row],[NONPOTABLE_DEMAND_RESIDENTIAL_RECYCLED_WATER_GAL]:[NONPOTABLE_DEMAND_NONRESIDENTIAL_METERED_IRRIGATION_GAL]])</f>
        <v>0</v>
      </c>
      <c r="X743" t="str">
        <f>IFERROR(INDEX(Crosswalk_API!$H$2:$H$527, MATCH(POTABLE_NONPOTABLE_API[[#This Row],[PWSID]], CW_PWSID_LIST, 0)), "")</f>
        <v>No</v>
      </c>
    </row>
    <row r="744" spans="1:24" x14ac:dyDescent="0.25">
      <c r="A744" t="s">
        <v>906</v>
      </c>
      <c r="B744" t="s">
        <v>907</v>
      </c>
      <c r="C744" t="s">
        <v>916</v>
      </c>
      <c r="D744" t="s">
        <v>917</v>
      </c>
      <c r="E744" s="9">
        <v>45413</v>
      </c>
      <c r="F744" s="9">
        <v>45443</v>
      </c>
      <c r="G744">
        <v>86087237</v>
      </c>
      <c r="H744">
        <v>18725096</v>
      </c>
      <c r="I744">
        <v>6241472</v>
      </c>
      <c r="J744">
        <v>6828288</v>
      </c>
      <c r="K744">
        <v>0</v>
      </c>
      <c r="L744">
        <v>4606116</v>
      </c>
      <c r="M744">
        <v>0</v>
      </c>
      <c r="T744" s="9">
        <v>45108</v>
      </c>
      <c r="U744" s="9">
        <v>45473</v>
      </c>
      <c r="V744">
        <f>SUM(POTABLE_NONPOTABLE_API[[#This Row],[RESIDENTIAL_SINGLEFAMILY_GAL]:[OTHER_GAL]])</f>
        <v>122488209</v>
      </c>
      <c r="W744">
        <f>SUM(POTABLE_NONPOTABLE_API[[#This Row],[NONPOTABLE_DEMAND_RESIDENTIAL_RECYCLED_WATER_GAL]:[NONPOTABLE_DEMAND_NONRESIDENTIAL_METERED_IRRIGATION_GAL]])</f>
        <v>0</v>
      </c>
      <c r="X744" t="str">
        <f>IFERROR(INDEX(Crosswalk_API!$H$2:$H$527, MATCH(POTABLE_NONPOTABLE_API[[#This Row],[PWSID]], CW_PWSID_LIST, 0)), "")</f>
        <v>No</v>
      </c>
    </row>
    <row r="745" spans="1:24" x14ac:dyDescent="0.25">
      <c r="A745" t="s">
        <v>906</v>
      </c>
      <c r="B745" t="s">
        <v>907</v>
      </c>
      <c r="C745" t="s">
        <v>916</v>
      </c>
      <c r="D745" t="s">
        <v>917</v>
      </c>
      <c r="E745" s="9">
        <v>45444</v>
      </c>
      <c r="F745" s="9">
        <v>45473</v>
      </c>
      <c r="G745">
        <v>113297764</v>
      </c>
      <c r="H745">
        <v>23393476</v>
      </c>
      <c r="I745">
        <v>1082956</v>
      </c>
      <c r="J745">
        <v>14276972</v>
      </c>
      <c r="K745">
        <v>0</v>
      </c>
      <c r="L745">
        <v>10609244</v>
      </c>
      <c r="M745">
        <v>0</v>
      </c>
      <c r="T745" s="9">
        <v>45108</v>
      </c>
      <c r="U745" s="9">
        <v>45473</v>
      </c>
      <c r="V745">
        <f>SUM(POTABLE_NONPOTABLE_API[[#This Row],[RESIDENTIAL_SINGLEFAMILY_GAL]:[OTHER_GAL]])</f>
        <v>162660412</v>
      </c>
      <c r="W745">
        <f>SUM(POTABLE_NONPOTABLE_API[[#This Row],[NONPOTABLE_DEMAND_RESIDENTIAL_RECYCLED_WATER_GAL]:[NONPOTABLE_DEMAND_NONRESIDENTIAL_METERED_IRRIGATION_GAL]])</f>
        <v>0</v>
      </c>
      <c r="X745" t="str">
        <f>IFERROR(INDEX(Crosswalk_API!$H$2:$H$527, MATCH(POTABLE_NONPOTABLE_API[[#This Row],[PWSID]], CW_PWSID_LIST, 0)), "")</f>
        <v>No</v>
      </c>
    </row>
    <row r="746" spans="1:24" x14ac:dyDescent="0.25">
      <c r="A746" t="s">
        <v>906</v>
      </c>
      <c r="B746" t="s">
        <v>907</v>
      </c>
      <c r="C746" t="s">
        <v>918</v>
      </c>
      <c r="D746" t="s">
        <v>919</v>
      </c>
      <c r="E746" s="9">
        <v>45108</v>
      </c>
      <c r="F746" s="9">
        <v>45138</v>
      </c>
      <c r="G746">
        <v>135509491</v>
      </c>
      <c r="H746">
        <v>24547332</v>
      </c>
      <c r="I746">
        <v>36851352</v>
      </c>
      <c r="J746">
        <v>6148084</v>
      </c>
      <c r="K746">
        <v>15275656</v>
      </c>
      <c r="L746">
        <v>21131404</v>
      </c>
      <c r="M746">
        <v>0</v>
      </c>
      <c r="T746" s="9">
        <v>45108</v>
      </c>
      <c r="U746" s="9">
        <v>45473</v>
      </c>
      <c r="V746">
        <f>SUM(POTABLE_NONPOTABLE_API[[#This Row],[RESIDENTIAL_SINGLEFAMILY_GAL]:[OTHER_GAL]])</f>
        <v>239463319</v>
      </c>
      <c r="W746">
        <f>SUM(POTABLE_NONPOTABLE_API[[#This Row],[NONPOTABLE_DEMAND_RESIDENTIAL_RECYCLED_WATER_GAL]:[NONPOTABLE_DEMAND_NONRESIDENTIAL_METERED_IRRIGATION_GAL]])</f>
        <v>0</v>
      </c>
      <c r="X746" t="str">
        <f>IFERROR(INDEX(Crosswalk_API!$H$2:$H$527, MATCH(POTABLE_NONPOTABLE_API[[#This Row],[PWSID]], CW_PWSID_LIST, 0)), "")</f>
        <v>No</v>
      </c>
    </row>
    <row r="747" spans="1:24" x14ac:dyDescent="0.25">
      <c r="A747" t="s">
        <v>906</v>
      </c>
      <c r="B747" t="s">
        <v>907</v>
      </c>
      <c r="C747" t="s">
        <v>918</v>
      </c>
      <c r="D747" t="s">
        <v>919</v>
      </c>
      <c r="E747" s="9">
        <v>45139</v>
      </c>
      <c r="F747" s="9">
        <v>45169</v>
      </c>
      <c r="G747">
        <v>143200000</v>
      </c>
      <c r="H747">
        <v>25161000</v>
      </c>
      <c r="I747">
        <v>49899000</v>
      </c>
      <c r="J747">
        <v>0</v>
      </c>
      <c r="K747">
        <v>14016000</v>
      </c>
      <c r="L747">
        <v>43135000</v>
      </c>
      <c r="M747">
        <v>0</v>
      </c>
      <c r="T747" s="9">
        <v>45108</v>
      </c>
      <c r="U747" s="9">
        <v>45473</v>
      </c>
      <c r="V747">
        <f>SUM(POTABLE_NONPOTABLE_API[[#This Row],[RESIDENTIAL_SINGLEFAMILY_GAL]:[OTHER_GAL]])</f>
        <v>275411000</v>
      </c>
      <c r="W747">
        <f>SUM(POTABLE_NONPOTABLE_API[[#This Row],[NONPOTABLE_DEMAND_RESIDENTIAL_RECYCLED_WATER_GAL]:[NONPOTABLE_DEMAND_NONRESIDENTIAL_METERED_IRRIGATION_GAL]])</f>
        <v>0</v>
      </c>
      <c r="X747" t="str">
        <f>IFERROR(INDEX(Crosswalk_API!$H$2:$H$527, MATCH(POTABLE_NONPOTABLE_API[[#This Row],[PWSID]], CW_PWSID_LIST, 0)), "")</f>
        <v>No</v>
      </c>
    </row>
    <row r="748" spans="1:24" x14ac:dyDescent="0.25">
      <c r="A748" t="s">
        <v>906</v>
      </c>
      <c r="B748" t="s">
        <v>907</v>
      </c>
      <c r="C748" t="s">
        <v>918</v>
      </c>
      <c r="D748" t="s">
        <v>919</v>
      </c>
      <c r="E748" s="9">
        <v>45170</v>
      </c>
      <c r="F748" s="9">
        <v>45199</v>
      </c>
      <c r="G748">
        <v>132434000</v>
      </c>
      <c r="H748">
        <v>26055000</v>
      </c>
      <c r="I748">
        <v>36169000</v>
      </c>
      <c r="J748">
        <v>8990000</v>
      </c>
      <c r="K748">
        <v>14302000</v>
      </c>
      <c r="L748">
        <v>28070000</v>
      </c>
      <c r="M748">
        <v>0</v>
      </c>
      <c r="T748" s="9">
        <v>45108</v>
      </c>
      <c r="U748" s="9">
        <v>45473</v>
      </c>
      <c r="V748">
        <f>SUM(POTABLE_NONPOTABLE_API[[#This Row],[RESIDENTIAL_SINGLEFAMILY_GAL]:[OTHER_GAL]])</f>
        <v>246020000</v>
      </c>
      <c r="W748">
        <f>SUM(POTABLE_NONPOTABLE_API[[#This Row],[NONPOTABLE_DEMAND_RESIDENTIAL_RECYCLED_WATER_GAL]:[NONPOTABLE_DEMAND_NONRESIDENTIAL_METERED_IRRIGATION_GAL]])</f>
        <v>0</v>
      </c>
      <c r="X748" t="str">
        <f>IFERROR(INDEX(Crosswalk_API!$H$2:$H$527, MATCH(POTABLE_NONPOTABLE_API[[#This Row],[PWSID]], CW_PWSID_LIST, 0)), "")</f>
        <v>No</v>
      </c>
    </row>
    <row r="749" spans="1:24" x14ac:dyDescent="0.25">
      <c r="A749" t="s">
        <v>906</v>
      </c>
      <c r="B749" t="s">
        <v>907</v>
      </c>
      <c r="C749" t="s">
        <v>918</v>
      </c>
      <c r="D749" t="s">
        <v>919</v>
      </c>
      <c r="E749" s="9">
        <v>45200</v>
      </c>
      <c r="F749" s="9">
        <v>45230</v>
      </c>
      <c r="G749">
        <v>98434000</v>
      </c>
      <c r="H749">
        <v>21208000</v>
      </c>
      <c r="I749">
        <v>29798000</v>
      </c>
      <c r="J749">
        <v>5104000</v>
      </c>
      <c r="K749">
        <v>11514000</v>
      </c>
      <c r="L749">
        <v>19667000</v>
      </c>
      <c r="M749">
        <v>0</v>
      </c>
      <c r="T749" s="9">
        <v>45108</v>
      </c>
      <c r="U749" s="9">
        <v>45473</v>
      </c>
      <c r="V749">
        <f>SUM(POTABLE_NONPOTABLE_API[[#This Row],[RESIDENTIAL_SINGLEFAMILY_GAL]:[OTHER_GAL]])</f>
        <v>185725000</v>
      </c>
      <c r="W749">
        <f>SUM(POTABLE_NONPOTABLE_API[[#This Row],[NONPOTABLE_DEMAND_RESIDENTIAL_RECYCLED_WATER_GAL]:[NONPOTABLE_DEMAND_NONRESIDENTIAL_METERED_IRRIGATION_GAL]])</f>
        <v>0</v>
      </c>
      <c r="X749" t="str">
        <f>IFERROR(INDEX(Crosswalk_API!$H$2:$H$527, MATCH(POTABLE_NONPOTABLE_API[[#This Row],[PWSID]], CW_PWSID_LIST, 0)), "")</f>
        <v>No</v>
      </c>
    </row>
    <row r="750" spans="1:24" x14ac:dyDescent="0.25">
      <c r="A750" t="s">
        <v>906</v>
      </c>
      <c r="B750" t="s">
        <v>907</v>
      </c>
      <c r="C750" t="s">
        <v>918</v>
      </c>
      <c r="D750" t="s">
        <v>919</v>
      </c>
      <c r="E750" s="9">
        <v>45231</v>
      </c>
      <c r="F750" s="9">
        <v>45260</v>
      </c>
      <c r="G750">
        <v>103038000</v>
      </c>
      <c r="H750">
        <v>18969000</v>
      </c>
      <c r="I750">
        <v>33509000</v>
      </c>
      <c r="J750">
        <v>4547000</v>
      </c>
      <c r="K750">
        <v>0</v>
      </c>
      <c r="L750">
        <v>15193000</v>
      </c>
      <c r="M750">
        <v>0</v>
      </c>
      <c r="T750" s="9">
        <v>45108</v>
      </c>
      <c r="U750" s="9">
        <v>45473</v>
      </c>
      <c r="V750">
        <f>SUM(POTABLE_NONPOTABLE_API[[#This Row],[RESIDENTIAL_SINGLEFAMILY_GAL]:[OTHER_GAL]])</f>
        <v>175256000</v>
      </c>
      <c r="W750">
        <f>SUM(POTABLE_NONPOTABLE_API[[#This Row],[NONPOTABLE_DEMAND_RESIDENTIAL_RECYCLED_WATER_GAL]:[NONPOTABLE_DEMAND_NONRESIDENTIAL_METERED_IRRIGATION_GAL]])</f>
        <v>0</v>
      </c>
      <c r="X750" t="str">
        <f>IFERROR(INDEX(Crosswalk_API!$H$2:$H$527, MATCH(POTABLE_NONPOTABLE_API[[#This Row],[PWSID]], CW_PWSID_LIST, 0)), "")</f>
        <v>No</v>
      </c>
    </row>
    <row r="751" spans="1:24" x14ac:dyDescent="0.25">
      <c r="A751" t="s">
        <v>906</v>
      </c>
      <c r="B751" t="s">
        <v>907</v>
      </c>
      <c r="C751" t="s">
        <v>918</v>
      </c>
      <c r="D751" t="s">
        <v>919</v>
      </c>
      <c r="E751" s="9">
        <v>45261</v>
      </c>
      <c r="F751" s="9">
        <v>45291</v>
      </c>
      <c r="G751">
        <v>93785000</v>
      </c>
      <c r="H751">
        <v>16352000</v>
      </c>
      <c r="I751">
        <v>27569000</v>
      </c>
      <c r="J751">
        <v>2694000</v>
      </c>
      <c r="K751">
        <v>23031000</v>
      </c>
      <c r="L751">
        <v>7709000</v>
      </c>
      <c r="M751">
        <v>0</v>
      </c>
      <c r="T751" s="9">
        <v>45108</v>
      </c>
      <c r="U751" s="9">
        <v>45473</v>
      </c>
      <c r="V751">
        <f>SUM(POTABLE_NONPOTABLE_API[[#This Row],[RESIDENTIAL_SINGLEFAMILY_GAL]:[OTHER_GAL]])</f>
        <v>171140000</v>
      </c>
      <c r="W751">
        <f>SUM(POTABLE_NONPOTABLE_API[[#This Row],[NONPOTABLE_DEMAND_RESIDENTIAL_RECYCLED_WATER_GAL]:[NONPOTABLE_DEMAND_NONRESIDENTIAL_METERED_IRRIGATION_GAL]])</f>
        <v>0</v>
      </c>
      <c r="X751" t="str">
        <f>IFERROR(INDEX(Crosswalk_API!$H$2:$H$527, MATCH(POTABLE_NONPOTABLE_API[[#This Row],[PWSID]], CW_PWSID_LIST, 0)), "")</f>
        <v>No</v>
      </c>
    </row>
    <row r="752" spans="1:24" x14ac:dyDescent="0.25">
      <c r="A752" t="s">
        <v>906</v>
      </c>
      <c r="B752" t="s">
        <v>907</v>
      </c>
      <c r="C752" t="s">
        <v>918</v>
      </c>
      <c r="D752" t="s">
        <v>919</v>
      </c>
      <c r="E752" s="9">
        <v>45292</v>
      </c>
      <c r="F752" s="9">
        <v>45322</v>
      </c>
      <c r="G752">
        <v>81157000</v>
      </c>
      <c r="H752">
        <v>15822000</v>
      </c>
      <c r="I752">
        <v>23263000</v>
      </c>
      <c r="J752">
        <v>1335000</v>
      </c>
      <c r="K752">
        <v>14774000</v>
      </c>
      <c r="L752">
        <v>2970412</v>
      </c>
      <c r="M752">
        <v>0</v>
      </c>
      <c r="T752" s="9">
        <v>45108</v>
      </c>
      <c r="U752" s="9">
        <v>45473</v>
      </c>
      <c r="V752">
        <f>SUM(POTABLE_NONPOTABLE_API[[#This Row],[RESIDENTIAL_SINGLEFAMILY_GAL]:[OTHER_GAL]])</f>
        <v>139321412</v>
      </c>
      <c r="W752">
        <f>SUM(POTABLE_NONPOTABLE_API[[#This Row],[NONPOTABLE_DEMAND_RESIDENTIAL_RECYCLED_WATER_GAL]:[NONPOTABLE_DEMAND_NONRESIDENTIAL_METERED_IRRIGATION_GAL]])</f>
        <v>0</v>
      </c>
      <c r="X752" t="str">
        <f>IFERROR(INDEX(Crosswalk_API!$H$2:$H$527, MATCH(POTABLE_NONPOTABLE_API[[#This Row],[PWSID]], CW_PWSID_LIST, 0)), "")</f>
        <v>No</v>
      </c>
    </row>
    <row r="753" spans="1:24" x14ac:dyDescent="0.25">
      <c r="A753" t="s">
        <v>906</v>
      </c>
      <c r="B753" t="s">
        <v>907</v>
      </c>
      <c r="C753" t="s">
        <v>918</v>
      </c>
      <c r="D753" t="s">
        <v>919</v>
      </c>
      <c r="E753" s="9">
        <v>45323</v>
      </c>
      <c r="F753" s="9">
        <v>45351</v>
      </c>
      <c r="G753">
        <v>75437849</v>
      </c>
      <c r="H753">
        <v>16205509</v>
      </c>
      <c r="I753">
        <v>22695080</v>
      </c>
      <c r="J753">
        <v>707736</v>
      </c>
      <c r="K753">
        <v>13348060</v>
      </c>
      <c r="L753">
        <v>2281436</v>
      </c>
      <c r="M753">
        <v>0</v>
      </c>
      <c r="T753" s="9">
        <v>45108</v>
      </c>
      <c r="U753" s="9">
        <v>45473</v>
      </c>
      <c r="V753">
        <f>SUM(POTABLE_NONPOTABLE_API[[#This Row],[RESIDENTIAL_SINGLEFAMILY_GAL]:[OTHER_GAL]])</f>
        <v>130675670</v>
      </c>
      <c r="W753">
        <f>SUM(POTABLE_NONPOTABLE_API[[#This Row],[NONPOTABLE_DEMAND_RESIDENTIAL_RECYCLED_WATER_GAL]:[NONPOTABLE_DEMAND_NONRESIDENTIAL_METERED_IRRIGATION_GAL]])</f>
        <v>0</v>
      </c>
      <c r="X753" t="str">
        <f>IFERROR(INDEX(Crosswalk_API!$H$2:$H$527, MATCH(POTABLE_NONPOTABLE_API[[#This Row],[PWSID]], CW_PWSID_LIST, 0)), "")</f>
        <v>No</v>
      </c>
    </row>
    <row r="754" spans="1:24" x14ac:dyDescent="0.25">
      <c r="A754" t="s">
        <v>906</v>
      </c>
      <c r="B754" t="s">
        <v>907</v>
      </c>
      <c r="C754" t="s">
        <v>918</v>
      </c>
      <c r="D754" t="s">
        <v>919</v>
      </c>
      <c r="E754" s="9">
        <v>45352</v>
      </c>
      <c r="F754" s="9">
        <v>45382</v>
      </c>
      <c r="G754">
        <v>76108759</v>
      </c>
      <c r="H754">
        <v>15422985</v>
      </c>
      <c r="I754">
        <v>22365108</v>
      </c>
      <c r="J754">
        <v>1237372</v>
      </c>
      <c r="K754">
        <v>10886392</v>
      </c>
      <c r="L754">
        <v>2262900</v>
      </c>
      <c r="M754">
        <v>0</v>
      </c>
      <c r="T754" s="9">
        <v>45108</v>
      </c>
      <c r="U754" s="9">
        <v>45473</v>
      </c>
      <c r="V754">
        <f>SUM(POTABLE_NONPOTABLE_API[[#This Row],[RESIDENTIAL_SINGLEFAMILY_GAL]:[OTHER_GAL]])</f>
        <v>128283516</v>
      </c>
      <c r="W754">
        <f>SUM(POTABLE_NONPOTABLE_API[[#This Row],[NONPOTABLE_DEMAND_RESIDENTIAL_RECYCLED_WATER_GAL]:[NONPOTABLE_DEMAND_NONRESIDENTIAL_METERED_IRRIGATION_GAL]])</f>
        <v>0</v>
      </c>
      <c r="X754" t="str">
        <f>IFERROR(INDEX(Crosswalk_API!$H$2:$H$527, MATCH(POTABLE_NONPOTABLE_API[[#This Row],[PWSID]], CW_PWSID_LIST, 0)), "")</f>
        <v>No</v>
      </c>
    </row>
    <row r="755" spans="1:24" x14ac:dyDescent="0.25">
      <c r="A755" t="s">
        <v>906</v>
      </c>
      <c r="B755" t="s">
        <v>907</v>
      </c>
      <c r="C755" t="s">
        <v>918</v>
      </c>
      <c r="D755" t="s">
        <v>919</v>
      </c>
      <c r="E755" s="9">
        <v>45383</v>
      </c>
      <c r="F755" s="9">
        <v>45412</v>
      </c>
      <c r="G755">
        <v>70864270</v>
      </c>
      <c r="H755">
        <v>14456892</v>
      </c>
      <c r="I755">
        <v>22562024</v>
      </c>
      <c r="J755">
        <v>1898168</v>
      </c>
      <c r="K755">
        <v>11851312</v>
      </c>
      <c r="L755">
        <v>2826328</v>
      </c>
      <c r="M755">
        <v>0</v>
      </c>
      <c r="T755" s="9">
        <v>45108</v>
      </c>
      <c r="U755" s="9">
        <v>45473</v>
      </c>
      <c r="V755">
        <f>SUM(POTABLE_NONPOTABLE_API[[#This Row],[RESIDENTIAL_SINGLEFAMILY_GAL]:[OTHER_GAL]])</f>
        <v>124458994</v>
      </c>
      <c r="W755">
        <f>SUM(POTABLE_NONPOTABLE_API[[#This Row],[NONPOTABLE_DEMAND_RESIDENTIAL_RECYCLED_WATER_GAL]:[NONPOTABLE_DEMAND_NONRESIDENTIAL_METERED_IRRIGATION_GAL]])</f>
        <v>0</v>
      </c>
      <c r="X755" t="str">
        <f>IFERROR(INDEX(Crosswalk_API!$H$2:$H$527, MATCH(POTABLE_NONPOTABLE_API[[#This Row],[PWSID]], CW_PWSID_LIST, 0)), "")</f>
        <v>No</v>
      </c>
    </row>
    <row r="756" spans="1:24" x14ac:dyDescent="0.25">
      <c r="A756" t="s">
        <v>906</v>
      </c>
      <c r="B756" t="s">
        <v>907</v>
      </c>
      <c r="C756" t="s">
        <v>918</v>
      </c>
      <c r="D756" t="s">
        <v>919</v>
      </c>
      <c r="E756" s="9">
        <v>45413</v>
      </c>
      <c r="F756" s="9">
        <v>45443</v>
      </c>
      <c r="G756">
        <v>104019204</v>
      </c>
      <c r="H756">
        <v>18815673</v>
      </c>
      <c r="I756">
        <v>32962179.999999996</v>
      </c>
      <c r="J756">
        <v>0</v>
      </c>
      <c r="K756">
        <v>9384408</v>
      </c>
      <c r="L756">
        <v>11475568</v>
      </c>
      <c r="M756">
        <v>0</v>
      </c>
      <c r="T756" s="9">
        <v>45108</v>
      </c>
      <c r="U756" s="9">
        <v>45473</v>
      </c>
      <c r="V756">
        <f>SUM(POTABLE_NONPOTABLE_API[[#This Row],[RESIDENTIAL_SINGLEFAMILY_GAL]:[OTHER_GAL]])</f>
        <v>176657033</v>
      </c>
      <c r="W756">
        <f>SUM(POTABLE_NONPOTABLE_API[[#This Row],[NONPOTABLE_DEMAND_RESIDENTIAL_RECYCLED_WATER_GAL]:[NONPOTABLE_DEMAND_NONRESIDENTIAL_METERED_IRRIGATION_GAL]])</f>
        <v>0</v>
      </c>
      <c r="X756" t="str">
        <f>IFERROR(INDEX(Crosswalk_API!$H$2:$H$527, MATCH(POTABLE_NONPOTABLE_API[[#This Row],[PWSID]], CW_PWSID_LIST, 0)), "")</f>
        <v>No</v>
      </c>
    </row>
    <row r="757" spans="1:24" x14ac:dyDescent="0.25">
      <c r="A757" t="s">
        <v>906</v>
      </c>
      <c r="B757" t="s">
        <v>907</v>
      </c>
      <c r="C757" t="s">
        <v>918</v>
      </c>
      <c r="D757" t="s">
        <v>919</v>
      </c>
      <c r="E757" s="9">
        <v>45444</v>
      </c>
      <c r="F757" s="9">
        <v>45473</v>
      </c>
      <c r="G757">
        <v>128771651.99999999</v>
      </c>
      <c r="H757">
        <v>22888342</v>
      </c>
      <c r="I757">
        <v>13947240</v>
      </c>
      <c r="J757">
        <v>22393900</v>
      </c>
      <c r="K757">
        <v>8453148</v>
      </c>
      <c r="L757">
        <v>25433852</v>
      </c>
      <c r="M757">
        <v>0</v>
      </c>
      <c r="T757" s="9">
        <v>45108</v>
      </c>
      <c r="U757" s="9">
        <v>45473</v>
      </c>
      <c r="V757">
        <f>SUM(POTABLE_NONPOTABLE_API[[#This Row],[RESIDENTIAL_SINGLEFAMILY_GAL]:[OTHER_GAL]])</f>
        <v>221888134</v>
      </c>
      <c r="W757">
        <f>SUM(POTABLE_NONPOTABLE_API[[#This Row],[NONPOTABLE_DEMAND_RESIDENTIAL_RECYCLED_WATER_GAL]:[NONPOTABLE_DEMAND_NONRESIDENTIAL_METERED_IRRIGATION_GAL]])</f>
        <v>0</v>
      </c>
      <c r="X757" t="str">
        <f>IFERROR(INDEX(Crosswalk_API!$H$2:$H$527, MATCH(POTABLE_NONPOTABLE_API[[#This Row],[PWSID]], CW_PWSID_LIST, 0)), "")</f>
        <v>No</v>
      </c>
    </row>
    <row r="758" spans="1:24" x14ac:dyDescent="0.25">
      <c r="A758" t="s">
        <v>906</v>
      </c>
      <c r="B758" t="s">
        <v>907</v>
      </c>
      <c r="C758" t="s">
        <v>931</v>
      </c>
      <c r="D758" t="s">
        <v>932</v>
      </c>
      <c r="E758" s="9">
        <v>45108</v>
      </c>
      <c r="F758" s="9">
        <v>45138</v>
      </c>
      <c r="T758" s="9">
        <v>45108</v>
      </c>
      <c r="U758" s="9">
        <v>45473</v>
      </c>
      <c r="V758">
        <f>SUM(POTABLE_NONPOTABLE_API[[#This Row],[RESIDENTIAL_SINGLEFAMILY_GAL]:[OTHER_GAL]])</f>
        <v>0</v>
      </c>
      <c r="W758">
        <f>SUM(POTABLE_NONPOTABLE_API[[#This Row],[NONPOTABLE_DEMAND_RESIDENTIAL_RECYCLED_WATER_GAL]:[NONPOTABLE_DEMAND_NONRESIDENTIAL_METERED_IRRIGATION_GAL]])</f>
        <v>0</v>
      </c>
      <c r="X758" t="str">
        <f>IFERROR(INDEX(Crosswalk_API!$H$2:$H$527, MATCH(POTABLE_NONPOTABLE_API[[#This Row],[PWSID]], CW_PWSID_LIST, 0)), "")</f>
        <v>No</v>
      </c>
    </row>
    <row r="759" spans="1:24" x14ac:dyDescent="0.25">
      <c r="A759" t="s">
        <v>906</v>
      </c>
      <c r="B759" t="s">
        <v>907</v>
      </c>
      <c r="C759" t="s">
        <v>931</v>
      </c>
      <c r="D759" t="s">
        <v>932</v>
      </c>
      <c r="E759" s="9">
        <v>45139</v>
      </c>
      <c r="F759" s="9">
        <v>45169</v>
      </c>
      <c r="T759" s="9">
        <v>45108</v>
      </c>
      <c r="U759" s="9">
        <v>45473</v>
      </c>
      <c r="V759">
        <f>SUM(POTABLE_NONPOTABLE_API[[#This Row],[RESIDENTIAL_SINGLEFAMILY_GAL]:[OTHER_GAL]])</f>
        <v>0</v>
      </c>
      <c r="W759">
        <f>SUM(POTABLE_NONPOTABLE_API[[#This Row],[NONPOTABLE_DEMAND_RESIDENTIAL_RECYCLED_WATER_GAL]:[NONPOTABLE_DEMAND_NONRESIDENTIAL_METERED_IRRIGATION_GAL]])</f>
        <v>0</v>
      </c>
      <c r="X759" t="str">
        <f>IFERROR(INDEX(Crosswalk_API!$H$2:$H$527, MATCH(POTABLE_NONPOTABLE_API[[#This Row],[PWSID]], CW_PWSID_LIST, 0)), "")</f>
        <v>No</v>
      </c>
    </row>
    <row r="760" spans="1:24" x14ac:dyDescent="0.25">
      <c r="A760" t="s">
        <v>906</v>
      </c>
      <c r="B760" t="s">
        <v>907</v>
      </c>
      <c r="C760" t="s">
        <v>931</v>
      </c>
      <c r="D760" t="s">
        <v>932</v>
      </c>
      <c r="E760" s="9">
        <v>45170</v>
      </c>
      <c r="F760" s="9">
        <v>45199</v>
      </c>
      <c r="T760" s="9">
        <v>45108</v>
      </c>
      <c r="U760" s="9">
        <v>45473</v>
      </c>
      <c r="V760">
        <f>SUM(POTABLE_NONPOTABLE_API[[#This Row],[RESIDENTIAL_SINGLEFAMILY_GAL]:[OTHER_GAL]])</f>
        <v>0</v>
      </c>
      <c r="W760">
        <f>SUM(POTABLE_NONPOTABLE_API[[#This Row],[NONPOTABLE_DEMAND_RESIDENTIAL_RECYCLED_WATER_GAL]:[NONPOTABLE_DEMAND_NONRESIDENTIAL_METERED_IRRIGATION_GAL]])</f>
        <v>0</v>
      </c>
      <c r="X760" t="str">
        <f>IFERROR(INDEX(Crosswalk_API!$H$2:$H$527, MATCH(POTABLE_NONPOTABLE_API[[#This Row],[PWSID]], CW_PWSID_LIST, 0)), "")</f>
        <v>No</v>
      </c>
    </row>
    <row r="761" spans="1:24" x14ac:dyDescent="0.25">
      <c r="A761" t="s">
        <v>906</v>
      </c>
      <c r="B761" t="s">
        <v>907</v>
      </c>
      <c r="C761" t="s">
        <v>931</v>
      </c>
      <c r="D761" t="s">
        <v>932</v>
      </c>
      <c r="E761" s="9">
        <v>45200</v>
      </c>
      <c r="F761" s="9">
        <v>45230</v>
      </c>
      <c r="T761" s="9">
        <v>45108</v>
      </c>
      <c r="U761" s="9">
        <v>45473</v>
      </c>
      <c r="V761">
        <f>SUM(POTABLE_NONPOTABLE_API[[#This Row],[RESIDENTIAL_SINGLEFAMILY_GAL]:[OTHER_GAL]])</f>
        <v>0</v>
      </c>
      <c r="W761">
        <f>SUM(POTABLE_NONPOTABLE_API[[#This Row],[NONPOTABLE_DEMAND_RESIDENTIAL_RECYCLED_WATER_GAL]:[NONPOTABLE_DEMAND_NONRESIDENTIAL_METERED_IRRIGATION_GAL]])</f>
        <v>0</v>
      </c>
      <c r="X761" t="str">
        <f>IFERROR(INDEX(Crosswalk_API!$H$2:$H$527, MATCH(POTABLE_NONPOTABLE_API[[#This Row],[PWSID]], CW_PWSID_LIST, 0)), "")</f>
        <v>No</v>
      </c>
    </row>
    <row r="762" spans="1:24" x14ac:dyDescent="0.25">
      <c r="A762" t="s">
        <v>906</v>
      </c>
      <c r="B762" t="s">
        <v>907</v>
      </c>
      <c r="C762" t="s">
        <v>931</v>
      </c>
      <c r="D762" t="s">
        <v>932</v>
      </c>
      <c r="E762" s="9">
        <v>45231</v>
      </c>
      <c r="F762" s="9">
        <v>45260</v>
      </c>
      <c r="T762" s="9">
        <v>45108</v>
      </c>
      <c r="U762" s="9">
        <v>45473</v>
      </c>
      <c r="V762">
        <f>SUM(POTABLE_NONPOTABLE_API[[#This Row],[RESIDENTIAL_SINGLEFAMILY_GAL]:[OTHER_GAL]])</f>
        <v>0</v>
      </c>
      <c r="W762">
        <f>SUM(POTABLE_NONPOTABLE_API[[#This Row],[NONPOTABLE_DEMAND_RESIDENTIAL_RECYCLED_WATER_GAL]:[NONPOTABLE_DEMAND_NONRESIDENTIAL_METERED_IRRIGATION_GAL]])</f>
        <v>0</v>
      </c>
      <c r="X762" t="str">
        <f>IFERROR(INDEX(Crosswalk_API!$H$2:$H$527, MATCH(POTABLE_NONPOTABLE_API[[#This Row],[PWSID]], CW_PWSID_LIST, 0)), "")</f>
        <v>No</v>
      </c>
    </row>
    <row r="763" spans="1:24" x14ac:dyDescent="0.25">
      <c r="A763" t="s">
        <v>906</v>
      </c>
      <c r="B763" t="s">
        <v>907</v>
      </c>
      <c r="C763" t="s">
        <v>931</v>
      </c>
      <c r="D763" t="s">
        <v>932</v>
      </c>
      <c r="E763" s="9">
        <v>45261</v>
      </c>
      <c r="F763" s="9">
        <v>45291</v>
      </c>
      <c r="T763" s="9">
        <v>45108</v>
      </c>
      <c r="U763" s="9">
        <v>45473</v>
      </c>
      <c r="V763">
        <f>SUM(POTABLE_NONPOTABLE_API[[#This Row],[RESIDENTIAL_SINGLEFAMILY_GAL]:[OTHER_GAL]])</f>
        <v>0</v>
      </c>
      <c r="W763">
        <f>SUM(POTABLE_NONPOTABLE_API[[#This Row],[NONPOTABLE_DEMAND_RESIDENTIAL_RECYCLED_WATER_GAL]:[NONPOTABLE_DEMAND_NONRESIDENTIAL_METERED_IRRIGATION_GAL]])</f>
        <v>0</v>
      </c>
      <c r="X763" t="str">
        <f>IFERROR(INDEX(Crosswalk_API!$H$2:$H$527, MATCH(POTABLE_NONPOTABLE_API[[#This Row],[PWSID]], CW_PWSID_LIST, 0)), "")</f>
        <v>No</v>
      </c>
    </row>
    <row r="764" spans="1:24" x14ac:dyDescent="0.25">
      <c r="A764" t="s">
        <v>906</v>
      </c>
      <c r="B764" t="s">
        <v>907</v>
      </c>
      <c r="C764" t="s">
        <v>931</v>
      </c>
      <c r="D764" t="s">
        <v>932</v>
      </c>
      <c r="E764" s="9">
        <v>45292</v>
      </c>
      <c r="F764" s="9">
        <v>45322</v>
      </c>
      <c r="G764">
        <v>43751000</v>
      </c>
      <c r="H764">
        <v>245000</v>
      </c>
      <c r="I764">
        <v>18547000</v>
      </c>
      <c r="J764">
        <v>361000</v>
      </c>
      <c r="K764">
        <v>0</v>
      </c>
      <c r="L764">
        <v>4538480</v>
      </c>
      <c r="M764">
        <v>0</v>
      </c>
      <c r="T764" s="9">
        <v>45108</v>
      </c>
      <c r="U764" s="9">
        <v>45473</v>
      </c>
      <c r="V764">
        <f>SUM(POTABLE_NONPOTABLE_API[[#This Row],[RESIDENTIAL_SINGLEFAMILY_GAL]:[OTHER_GAL]])</f>
        <v>67442480</v>
      </c>
      <c r="W764">
        <f>SUM(POTABLE_NONPOTABLE_API[[#This Row],[NONPOTABLE_DEMAND_RESIDENTIAL_RECYCLED_WATER_GAL]:[NONPOTABLE_DEMAND_NONRESIDENTIAL_METERED_IRRIGATION_GAL]])</f>
        <v>0</v>
      </c>
      <c r="X764" t="str">
        <f>IFERROR(INDEX(Crosswalk_API!$H$2:$H$527, MATCH(POTABLE_NONPOTABLE_API[[#This Row],[PWSID]], CW_PWSID_LIST, 0)), "")</f>
        <v>No</v>
      </c>
    </row>
    <row r="765" spans="1:24" x14ac:dyDescent="0.25">
      <c r="A765" t="s">
        <v>906</v>
      </c>
      <c r="B765" t="s">
        <v>907</v>
      </c>
      <c r="C765" t="s">
        <v>931</v>
      </c>
      <c r="D765" t="s">
        <v>932</v>
      </c>
      <c r="E765" s="9">
        <v>45323</v>
      </c>
      <c r="F765" s="9">
        <v>45351</v>
      </c>
      <c r="G765">
        <v>15040225.120000001</v>
      </c>
      <c r="H765">
        <v>208232</v>
      </c>
      <c r="I765">
        <v>10533176</v>
      </c>
      <c r="J765">
        <v>170148</v>
      </c>
      <c r="K765">
        <v>0</v>
      </c>
      <c r="L765">
        <v>364464</v>
      </c>
      <c r="M765">
        <v>0</v>
      </c>
      <c r="T765" s="9">
        <v>45108</v>
      </c>
      <c r="U765" s="9">
        <v>45473</v>
      </c>
      <c r="V765">
        <f>SUM(POTABLE_NONPOTABLE_API[[#This Row],[RESIDENTIAL_SINGLEFAMILY_GAL]:[OTHER_GAL]])</f>
        <v>26316245.120000001</v>
      </c>
      <c r="W765">
        <f>SUM(POTABLE_NONPOTABLE_API[[#This Row],[NONPOTABLE_DEMAND_RESIDENTIAL_RECYCLED_WATER_GAL]:[NONPOTABLE_DEMAND_NONRESIDENTIAL_METERED_IRRIGATION_GAL]])</f>
        <v>0</v>
      </c>
      <c r="X765" t="str">
        <f>IFERROR(INDEX(Crosswalk_API!$H$2:$H$527, MATCH(POTABLE_NONPOTABLE_API[[#This Row],[PWSID]], CW_PWSID_LIST, 0)), "")</f>
        <v>No</v>
      </c>
    </row>
    <row r="766" spans="1:24" x14ac:dyDescent="0.25">
      <c r="A766" t="s">
        <v>906</v>
      </c>
      <c r="B766" t="s">
        <v>907</v>
      </c>
      <c r="C766" t="s">
        <v>931</v>
      </c>
      <c r="D766" t="s">
        <v>932</v>
      </c>
      <c r="E766" s="9">
        <v>45352</v>
      </c>
      <c r="F766" s="9">
        <v>45382</v>
      </c>
      <c r="G766">
        <v>43022891.729999997</v>
      </c>
      <c r="H766">
        <v>219396</v>
      </c>
      <c r="I766">
        <v>11872536</v>
      </c>
      <c r="J766">
        <v>212196</v>
      </c>
      <c r="K766">
        <v>0</v>
      </c>
      <c r="L766">
        <v>4723816</v>
      </c>
      <c r="M766">
        <v>0</v>
      </c>
      <c r="T766" s="9">
        <v>45108</v>
      </c>
      <c r="U766" s="9">
        <v>45473</v>
      </c>
      <c r="V766">
        <f>SUM(POTABLE_NONPOTABLE_API[[#This Row],[RESIDENTIAL_SINGLEFAMILY_GAL]:[OTHER_GAL]])</f>
        <v>60050835.729999997</v>
      </c>
      <c r="W766">
        <f>SUM(POTABLE_NONPOTABLE_API[[#This Row],[NONPOTABLE_DEMAND_RESIDENTIAL_RECYCLED_WATER_GAL]:[NONPOTABLE_DEMAND_NONRESIDENTIAL_METERED_IRRIGATION_GAL]])</f>
        <v>0</v>
      </c>
      <c r="X766" t="str">
        <f>IFERROR(INDEX(Crosswalk_API!$H$2:$H$527, MATCH(POTABLE_NONPOTABLE_API[[#This Row],[PWSID]], CW_PWSID_LIST, 0)), "")</f>
        <v>No</v>
      </c>
    </row>
    <row r="767" spans="1:24" x14ac:dyDescent="0.25">
      <c r="A767" t="s">
        <v>906</v>
      </c>
      <c r="B767" t="s">
        <v>907</v>
      </c>
      <c r="C767" t="s">
        <v>931</v>
      </c>
      <c r="D767" t="s">
        <v>932</v>
      </c>
      <c r="E767" s="9">
        <v>45383</v>
      </c>
      <c r="F767" s="9">
        <v>45412</v>
      </c>
      <c r="G767">
        <v>13959736.279999999</v>
      </c>
      <c r="H767">
        <v>275880</v>
      </c>
      <c r="I767">
        <v>8071312.0000000009</v>
      </c>
      <c r="J767">
        <v>388404</v>
      </c>
      <c r="K767">
        <v>0</v>
      </c>
      <c r="L767">
        <v>1118904</v>
      </c>
      <c r="M767">
        <v>0</v>
      </c>
      <c r="T767" s="9">
        <v>45108</v>
      </c>
      <c r="U767" s="9">
        <v>45473</v>
      </c>
      <c r="V767">
        <f>SUM(POTABLE_NONPOTABLE_API[[#This Row],[RESIDENTIAL_SINGLEFAMILY_GAL]:[OTHER_GAL]])</f>
        <v>23814236.280000001</v>
      </c>
      <c r="W767">
        <f>SUM(POTABLE_NONPOTABLE_API[[#This Row],[NONPOTABLE_DEMAND_RESIDENTIAL_RECYCLED_WATER_GAL]:[NONPOTABLE_DEMAND_NONRESIDENTIAL_METERED_IRRIGATION_GAL]])</f>
        <v>0</v>
      </c>
      <c r="X767" t="str">
        <f>IFERROR(INDEX(Crosswalk_API!$H$2:$H$527, MATCH(POTABLE_NONPOTABLE_API[[#This Row],[PWSID]], CW_PWSID_LIST, 0)), "")</f>
        <v>No</v>
      </c>
    </row>
    <row r="768" spans="1:24" x14ac:dyDescent="0.25">
      <c r="A768" t="s">
        <v>906</v>
      </c>
      <c r="B768" t="s">
        <v>907</v>
      </c>
      <c r="C768" t="s">
        <v>931</v>
      </c>
      <c r="D768" t="s">
        <v>932</v>
      </c>
      <c r="E768" s="9">
        <v>45413</v>
      </c>
      <c r="F768" s="9">
        <v>45443</v>
      </c>
      <c r="G768">
        <v>47206048.840000004</v>
      </c>
      <c r="H768">
        <v>388312</v>
      </c>
      <c r="I768">
        <v>17763956</v>
      </c>
      <c r="J768">
        <v>649036</v>
      </c>
      <c r="K768">
        <v>0</v>
      </c>
      <c r="L768">
        <v>2143852</v>
      </c>
      <c r="M768">
        <v>0</v>
      </c>
      <c r="T768" s="9">
        <v>45108</v>
      </c>
      <c r="U768" s="9">
        <v>45473</v>
      </c>
      <c r="V768">
        <f>SUM(POTABLE_NONPOTABLE_API[[#This Row],[RESIDENTIAL_SINGLEFAMILY_GAL]:[OTHER_GAL]])</f>
        <v>68151204.840000004</v>
      </c>
      <c r="W768">
        <f>SUM(POTABLE_NONPOTABLE_API[[#This Row],[NONPOTABLE_DEMAND_RESIDENTIAL_RECYCLED_WATER_GAL]:[NONPOTABLE_DEMAND_NONRESIDENTIAL_METERED_IRRIGATION_GAL]])</f>
        <v>0</v>
      </c>
      <c r="X768" t="str">
        <f>IFERROR(INDEX(Crosswalk_API!$H$2:$H$527, MATCH(POTABLE_NONPOTABLE_API[[#This Row],[PWSID]], CW_PWSID_LIST, 0)), "")</f>
        <v>No</v>
      </c>
    </row>
    <row r="769" spans="1:24" x14ac:dyDescent="0.25">
      <c r="A769" t="s">
        <v>906</v>
      </c>
      <c r="B769" t="s">
        <v>907</v>
      </c>
      <c r="C769" t="s">
        <v>931</v>
      </c>
      <c r="D769" t="s">
        <v>932</v>
      </c>
      <c r="E769" s="9">
        <v>45444</v>
      </c>
      <c r="F769" s="9">
        <v>45473</v>
      </c>
      <c r="G769">
        <v>26908081.09</v>
      </c>
      <c r="H769">
        <v>0</v>
      </c>
      <c r="I769">
        <v>1185072</v>
      </c>
      <c r="J769">
        <v>0</v>
      </c>
      <c r="K769">
        <v>0</v>
      </c>
      <c r="L769">
        <v>0</v>
      </c>
      <c r="M769">
        <v>0</v>
      </c>
      <c r="T769" s="9">
        <v>45108</v>
      </c>
      <c r="U769" s="9">
        <v>45473</v>
      </c>
      <c r="V769">
        <f>SUM(POTABLE_NONPOTABLE_API[[#This Row],[RESIDENTIAL_SINGLEFAMILY_GAL]:[OTHER_GAL]])</f>
        <v>28093153.09</v>
      </c>
      <c r="W769">
        <f>SUM(POTABLE_NONPOTABLE_API[[#This Row],[NONPOTABLE_DEMAND_RESIDENTIAL_RECYCLED_WATER_GAL]:[NONPOTABLE_DEMAND_NONRESIDENTIAL_METERED_IRRIGATION_GAL]])</f>
        <v>0</v>
      </c>
      <c r="X769" t="str">
        <f>IFERROR(INDEX(Crosswalk_API!$H$2:$H$527, MATCH(POTABLE_NONPOTABLE_API[[#This Row],[PWSID]], CW_PWSID_LIST, 0)), "")</f>
        <v>No</v>
      </c>
    </row>
    <row r="770" spans="1:24" x14ac:dyDescent="0.25">
      <c r="A770" t="s">
        <v>906</v>
      </c>
      <c r="B770" t="s">
        <v>907</v>
      </c>
      <c r="C770" t="s">
        <v>922</v>
      </c>
      <c r="D770" t="s">
        <v>923</v>
      </c>
      <c r="E770" s="9">
        <v>45108</v>
      </c>
      <c r="F770" s="9">
        <v>45138</v>
      </c>
      <c r="G770">
        <v>112458710</v>
      </c>
      <c r="H770">
        <v>8564844</v>
      </c>
      <c r="I770">
        <v>4989224</v>
      </c>
      <c r="J770">
        <v>942668</v>
      </c>
      <c r="K770">
        <v>0</v>
      </c>
      <c r="L770">
        <v>13322816</v>
      </c>
      <c r="M770">
        <v>0</v>
      </c>
      <c r="T770" s="9">
        <v>45108</v>
      </c>
      <c r="U770" s="9">
        <v>45473</v>
      </c>
      <c r="V770">
        <f>SUM(POTABLE_NONPOTABLE_API[[#This Row],[RESIDENTIAL_SINGLEFAMILY_GAL]:[OTHER_GAL]])</f>
        <v>140278262</v>
      </c>
      <c r="W770">
        <f>SUM(POTABLE_NONPOTABLE_API[[#This Row],[NONPOTABLE_DEMAND_RESIDENTIAL_RECYCLED_WATER_GAL]:[NONPOTABLE_DEMAND_NONRESIDENTIAL_METERED_IRRIGATION_GAL]])</f>
        <v>0</v>
      </c>
      <c r="X770" t="str">
        <f>IFERROR(INDEX(Crosswalk_API!$H$2:$H$527, MATCH(POTABLE_NONPOTABLE_API[[#This Row],[PWSID]], CW_PWSID_LIST, 0)), "")</f>
        <v>No</v>
      </c>
    </row>
    <row r="771" spans="1:24" x14ac:dyDescent="0.25">
      <c r="A771" t="s">
        <v>906</v>
      </c>
      <c r="B771" t="s">
        <v>907</v>
      </c>
      <c r="C771" t="s">
        <v>922</v>
      </c>
      <c r="D771" t="s">
        <v>923</v>
      </c>
      <c r="E771" s="9">
        <v>45139</v>
      </c>
      <c r="F771" s="9">
        <v>45169</v>
      </c>
      <c r="G771">
        <v>122741000</v>
      </c>
      <c r="H771">
        <v>11164000</v>
      </c>
      <c r="I771">
        <v>7263000</v>
      </c>
      <c r="J771">
        <v>995000</v>
      </c>
      <c r="K771">
        <v>0</v>
      </c>
      <c r="L771">
        <v>23851000</v>
      </c>
      <c r="M771">
        <v>0</v>
      </c>
      <c r="T771" s="9">
        <v>45108</v>
      </c>
      <c r="U771" s="9">
        <v>45473</v>
      </c>
      <c r="V771">
        <f>SUM(POTABLE_NONPOTABLE_API[[#This Row],[RESIDENTIAL_SINGLEFAMILY_GAL]:[OTHER_GAL]])</f>
        <v>166014000</v>
      </c>
      <c r="W771">
        <f>SUM(POTABLE_NONPOTABLE_API[[#This Row],[NONPOTABLE_DEMAND_RESIDENTIAL_RECYCLED_WATER_GAL]:[NONPOTABLE_DEMAND_NONRESIDENTIAL_METERED_IRRIGATION_GAL]])</f>
        <v>0</v>
      </c>
      <c r="X771" t="str">
        <f>IFERROR(INDEX(Crosswalk_API!$H$2:$H$527, MATCH(POTABLE_NONPOTABLE_API[[#This Row],[PWSID]], CW_PWSID_LIST, 0)), "")</f>
        <v>No</v>
      </c>
    </row>
    <row r="772" spans="1:24" x14ac:dyDescent="0.25">
      <c r="A772" t="s">
        <v>906</v>
      </c>
      <c r="B772" t="s">
        <v>907</v>
      </c>
      <c r="C772" t="s">
        <v>922</v>
      </c>
      <c r="D772" t="s">
        <v>923</v>
      </c>
      <c r="E772" s="9">
        <v>45170</v>
      </c>
      <c r="F772" s="9">
        <v>45199</v>
      </c>
      <c r="G772">
        <v>108706000</v>
      </c>
      <c r="H772">
        <v>9874000</v>
      </c>
      <c r="I772">
        <v>5561000</v>
      </c>
      <c r="J772">
        <v>1256000</v>
      </c>
      <c r="K772">
        <v>0</v>
      </c>
      <c r="L772">
        <v>12057000</v>
      </c>
      <c r="M772">
        <v>0</v>
      </c>
      <c r="T772" s="9">
        <v>45108</v>
      </c>
      <c r="U772" s="9">
        <v>45473</v>
      </c>
      <c r="V772">
        <f>SUM(POTABLE_NONPOTABLE_API[[#This Row],[RESIDENTIAL_SINGLEFAMILY_GAL]:[OTHER_GAL]])</f>
        <v>137454000</v>
      </c>
      <c r="W772">
        <f>SUM(POTABLE_NONPOTABLE_API[[#This Row],[NONPOTABLE_DEMAND_RESIDENTIAL_RECYCLED_WATER_GAL]:[NONPOTABLE_DEMAND_NONRESIDENTIAL_METERED_IRRIGATION_GAL]])</f>
        <v>0</v>
      </c>
      <c r="X772" t="str">
        <f>IFERROR(INDEX(Crosswalk_API!$H$2:$H$527, MATCH(POTABLE_NONPOTABLE_API[[#This Row],[PWSID]], CW_PWSID_LIST, 0)), "")</f>
        <v>No</v>
      </c>
    </row>
    <row r="773" spans="1:24" x14ac:dyDescent="0.25">
      <c r="A773" t="s">
        <v>906</v>
      </c>
      <c r="B773" t="s">
        <v>907</v>
      </c>
      <c r="C773" t="s">
        <v>922</v>
      </c>
      <c r="D773" t="s">
        <v>923</v>
      </c>
      <c r="E773" s="9">
        <v>45200</v>
      </c>
      <c r="F773" s="9">
        <v>45230</v>
      </c>
      <c r="G773">
        <v>86504000</v>
      </c>
      <c r="H773">
        <v>7678000</v>
      </c>
      <c r="I773">
        <v>5086000</v>
      </c>
      <c r="J773">
        <v>1034999.9999999999</v>
      </c>
      <c r="K773">
        <v>0</v>
      </c>
      <c r="L773">
        <v>17956000</v>
      </c>
      <c r="M773">
        <v>0</v>
      </c>
      <c r="T773" s="9">
        <v>45108</v>
      </c>
      <c r="U773" s="9">
        <v>45473</v>
      </c>
      <c r="V773">
        <f>SUM(POTABLE_NONPOTABLE_API[[#This Row],[RESIDENTIAL_SINGLEFAMILY_GAL]:[OTHER_GAL]])</f>
        <v>118259000</v>
      </c>
      <c r="W773">
        <f>SUM(POTABLE_NONPOTABLE_API[[#This Row],[NONPOTABLE_DEMAND_RESIDENTIAL_RECYCLED_WATER_GAL]:[NONPOTABLE_DEMAND_NONRESIDENTIAL_METERED_IRRIGATION_GAL]])</f>
        <v>0</v>
      </c>
      <c r="X773" t="str">
        <f>IFERROR(INDEX(Crosswalk_API!$H$2:$H$527, MATCH(POTABLE_NONPOTABLE_API[[#This Row],[PWSID]], CW_PWSID_LIST, 0)), "")</f>
        <v>No</v>
      </c>
    </row>
    <row r="774" spans="1:24" x14ac:dyDescent="0.25">
      <c r="A774" t="s">
        <v>906</v>
      </c>
      <c r="B774" t="s">
        <v>907</v>
      </c>
      <c r="C774" t="s">
        <v>922</v>
      </c>
      <c r="D774" t="s">
        <v>923</v>
      </c>
      <c r="E774" s="9">
        <v>45231</v>
      </c>
      <c r="F774" s="9">
        <v>45260</v>
      </c>
      <c r="G774">
        <v>72914000</v>
      </c>
      <c r="H774">
        <v>6855000</v>
      </c>
      <c r="I774">
        <v>4656000</v>
      </c>
      <c r="J774">
        <v>724000</v>
      </c>
      <c r="K774">
        <v>0</v>
      </c>
      <c r="L774">
        <v>9526000</v>
      </c>
      <c r="M774">
        <v>0</v>
      </c>
      <c r="T774" s="9">
        <v>45108</v>
      </c>
      <c r="U774" s="9">
        <v>45473</v>
      </c>
      <c r="V774">
        <f>SUM(POTABLE_NONPOTABLE_API[[#This Row],[RESIDENTIAL_SINGLEFAMILY_GAL]:[OTHER_GAL]])</f>
        <v>94675000</v>
      </c>
      <c r="W774">
        <f>SUM(POTABLE_NONPOTABLE_API[[#This Row],[NONPOTABLE_DEMAND_RESIDENTIAL_RECYCLED_WATER_GAL]:[NONPOTABLE_DEMAND_NONRESIDENTIAL_METERED_IRRIGATION_GAL]])</f>
        <v>0</v>
      </c>
      <c r="X774" t="str">
        <f>IFERROR(INDEX(Crosswalk_API!$H$2:$H$527, MATCH(POTABLE_NONPOTABLE_API[[#This Row],[PWSID]], CW_PWSID_LIST, 0)), "")</f>
        <v>No</v>
      </c>
    </row>
    <row r="775" spans="1:24" x14ac:dyDescent="0.25">
      <c r="A775" t="s">
        <v>906</v>
      </c>
      <c r="B775" t="s">
        <v>907</v>
      </c>
      <c r="C775" t="s">
        <v>922</v>
      </c>
      <c r="D775" t="s">
        <v>923</v>
      </c>
      <c r="E775" s="9">
        <v>45261</v>
      </c>
      <c r="F775" s="9">
        <v>45291</v>
      </c>
      <c r="G775">
        <v>61681000</v>
      </c>
      <c r="H775">
        <v>5528000</v>
      </c>
      <c r="I775">
        <v>2909000</v>
      </c>
      <c r="J775">
        <v>391000</v>
      </c>
      <c r="K775">
        <v>0</v>
      </c>
      <c r="L775">
        <v>5566000</v>
      </c>
      <c r="M775">
        <v>0</v>
      </c>
      <c r="T775" s="9">
        <v>45108</v>
      </c>
      <c r="U775" s="9">
        <v>45473</v>
      </c>
      <c r="V775">
        <f>SUM(POTABLE_NONPOTABLE_API[[#This Row],[RESIDENTIAL_SINGLEFAMILY_GAL]:[OTHER_GAL]])</f>
        <v>76075000</v>
      </c>
      <c r="W775">
        <f>SUM(POTABLE_NONPOTABLE_API[[#This Row],[NONPOTABLE_DEMAND_RESIDENTIAL_RECYCLED_WATER_GAL]:[NONPOTABLE_DEMAND_NONRESIDENTIAL_METERED_IRRIGATION_GAL]])</f>
        <v>0</v>
      </c>
      <c r="X775" t="str">
        <f>IFERROR(INDEX(Crosswalk_API!$H$2:$H$527, MATCH(POTABLE_NONPOTABLE_API[[#This Row],[PWSID]], CW_PWSID_LIST, 0)), "")</f>
        <v>No</v>
      </c>
    </row>
    <row r="776" spans="1:24" x14ac:dyDescent="0.25">
      <c r="A776" t="s">
        <v>906</v>
      </c>
      <c r="B776" t="s">
        <v>907</v>
      </c>
      <c r="C776" t="s">
        <v>922</v>
      </c>
      <c r="D776" t="s">
        <v>923</v>
      </c>
      <c r="E776" s="9">
        <v>45292</v>
      </c>
      <c r="F776" s="9">
        <v>45322</v>
      </c>
      <c r="G776">
        <v>54900000</v>
      </c>
      <c r="H776">
        <v>5840000</v>
      </c>
      <c r="I776">
        <v>4434000</v>
      </c>
      <c r="J776">
        <v>147000</v>
      </c>
      <c r="K776">
        <v>0</v>
      </c>
      <c r="L776">
        <v>2237964</v>
      </c>
      <c r="M776">
        <v>0</v>
      </c>
      <c r="T776" s="9">
        <v>45108</v>
      </c>
      <c r="U776" s="9">
        <v>45473</v>
      </c>
      <c r="V776">
        <f>SUM(POTABLE_NONPOTABLE_API[[#This Row],[RESIDENTIAL_SINGLEFAMILY_GAL]:[OTHER_GAL]])</f>
        <v>67558964</v>
      </c>
      <c r="W776">
        <f>SUM(POTABLE_NONPOTABLE_API[[#This Row],[NONPOTABLE_DEMAND_RESIDENTIAL_RECYCLED_WATER_GAL]:[NONPOTABLE_DEMAND_NONRESIDENTIAL_METERED_IRRIGATION_GAL]])</f>
        <v>0</v>
      </c>
      <c r="X776" t="str">
        <f>IFERROR(INDEX(Crosswalk_API!$H$2:$H$527, MATCH(POTABLE_NONPOTABLE_API[[#This Row],[PWSID]], CW_PWSID_LIST, 0)), "")</f>
        <v>No</v>
      </c>
    </row>
    <row r="777" spans="1:24" x14ac:dyDescent="0.25">
      <c r="A777" t="s">
        <v>906</v>
      </c>
      <c r="B777" t="s">
        <v>907</v>
      </c>
      <c r="C777" t="s">
        <v>922</v>
      </c>
      <c r="D777" t="s">
        <v>923</v>
      </c>
      <c r="E777" s="9">
        <v>45323</v>
      </c>
      <c r="F777" s="9">
        <v>45351</v>
      </c>
      <c r="G777">
        <v>57994984</v>
      </c>
      <c r="H777">
        <v>5939880</v>
      </c>
      <c r="I777">
        <v>2536784</v>
      </c>
      <c r="J777">
        <v>58100</v>
      </c>
      <c r="K777">
        <v>0</v>
      </c>
      <c r="L777">
        <v>1246860</v>
      </c>
      <c r="M777">
        <v>0</v>
      </c>
      <c r="T777" s="9">
        <v>45108</v>
      </c>
      <c r="U777" s="9">
        <v>45473</v>
      </c>
      <c r="V777">
        <f>SUM(POTABLE_NONPOTABLE_API[[#This Row],[RESIDENTIAL_SINGLEFAMILY_GAL]:[OTHER_GAL]])</f>
        <v>67776608</v>
      </c>
      <c r="W777">
        <f>SUM(POTABLE_NONPOTABLE_API[[#This Row],[NONPOTABLE_DEMAND_RESIDENTIAL_RECYCLED_WATER_GAL]:[NONPOTABLE_DEMAND_NONRESIDENTIAL_METERED_IRRIGATION_GAL]])</f>
        <v>0</v>
      </c>
      <c r="X777" t="str">
        <f>IFERROR(INDEX(Crosswalk_API!$H$2:$H$527, MATCH(POTABLE_NONPOTABLE_API[[#This Row],[PWSID]], CW_PWSID_LIST, 0)), "")</f>
        <v>No</v>
      </c>
    </row>
    <row r="778" spans="1:24" x14ac:dyDescent="0.25">
      <c r="A778" t="s">
        <v>906</v>
      </c>
      <c r="B778" t="s">
        <v>907</v>
      </c>
      <c r="C778" t="s">
        <v>922</v>
      </c>
      <c r="D778" t="s">
        <v>923</v>
      </c>
      <c r="E778" s="9">
        <v>45352</v>
      </c>
      <c r="F778" s="9">
        <v>45382</v>
      </c>
      <c r="G778">
        <v>51008028</v>
      </c>
      <c r="H778">
        <v>5284888</v>
      </c>
      <c r="I778">
        <v>2229992</v>
      </c>
      <c r="J778">
        <v>31300</v>
      </c>
      <c r="K778">
        <v>0</v>
      </c>
      <c r="L778">
        <v>1073116</v>
      </c>
      <c r="M778">
        <v>0</v>
      </c>
      <c r="T778" s="9">
        <v>45108</v>
      </c>
      <c r="U778" s="9">
        <v>45473</v>
      </c>
      <c r="V778">
        <f>SUM(POTABLE_NONPOTABLE_API[[#This Row],[RESIDENTIAL_SINGLEFAMILY_GAL]:[OTHER_GAL]])</f>
        <v>59627324</v>
      </c>
      <c r="W778">
        <f>SUM(POTABLE_NONPOTABLE_API[[#This Row],[NONPOTABLE_DEMAND_RESIDENTIAL_RECYCLED_WATER_GAL]:[NONPOTABLE_DEMAND_NONRESIDENTIAL_METERED_IRRIGATION_GAL]])</f>
        <v>0</v>
      </c>
      <c r="X778" t="str">
        <f>IFERROR(INDEX(Crosswalk_API!$H$2:$H$527, MATCH(POTABLE_NONPOTABLE_API[[#This Row],[PWSID]], CW_PWSID_LIST, 0)), "")</f>
        <v>No</v>
      </c>
    </row>
    <row r="779" spans="1:24" x14ac:dyDescent="0.25">
      <c r="A779" t="s">
        <v>906</v>
      </c>
      <c r="B779" t="s">
        <v>907</v>
      </c>
      <c r="C779" t="s">
        <v>922</v>
      </c>
      <c r="D779" t="s">
        <v>923</v>
      </c>
      <c r="E779" s="9">
        <v>45383</v>
      </c>
      <c r="F779" s="9">
        <v>45412</v>
      </c>
      <c r="G779">
        <v>53921601</v>
      </c>
      <c r="H779">
        <v>5560572</v>
      </c>
      <c r="I779">
        <v>2238384</v>
      </c>
      <c r="J779">
        <v>82100</v>
      </c>
      <c r="K779">
        <v>0</v>
      </c>
      <c r="L779">
        <v>3179952</v>
      </c>
      <c r="M779">
        <v>0</v>
      </c>
      <c r="T779" s="9">
        <v>45108</v>
      </c>
      <c r="U779" s="9">
        <v>45473</v>
      </c>
      <c r="V779">
        <f>SUM(POTABLE_NONPOTABLE_API[[#This Row],[RESIDENTIAL_SINGLEFAMILY_GAL]:[OTHER_GAL]])</f>
        <v>64982609</v>
      </c>
      <c r="W779">
        <f>SUM(POTABLE_NONPOTABLE_API[[#This Row],[NONPOTABLE_DEMAND_RESIDENTIAL_RECYCLED_WATER_GAL]:[NONPOTABLE_DEMAND_NONRESIDENTIAL_METERED_IRRIGATION_GAL]])</f>
        <v>0</v>
      </c>
      <c r="X779" t="str">
        <f>IFERROR(INDEX(Crosswalk_API!$H$2:$H$527, MATCH(POTABLE_NONPOTABLE_API[[#This Row],[PWSID]], CW_PWSID_LIST, 0)), "")</f>
        <v>No</v>
      </c>
    </row>
    <row r="780" spans="1:24" x14ac:dyDescent="0.25">
      <c r="A780" t="s">
        <v>906</v>
      </c>
      <c r="B780" t="s">
        <v>907</v>
      </c>
      <c r="C780" t="s">
        <v>922</v>
      </c>
      <c r="D780" t="s">
        <v>923</v>
      </c>
      <c r="E780" s="9">
        <v>45413</v>
      </c>
      <c r="F780" s="9">
        <v>45443</v>
      </c>
      <c r="G780">
        <v>72375912</v>
      </c>
      <c r="H780">
        <v>7705200</v>
      </c>
      <c r="I780">
        <v>519912.00000000006</v>
      </c>
      <c r="J780">
        <v>3195484</v>
      </c>
      <c r="K780">
        <v>0</v>
      </c>
      <c r="L780">
        <v>4887976</v>
      </c>
      <c r="M780">
        <v>0</v>
      </c>
      <c r="T780" s="9">
        <v>45108</v>
      </c>
      <c r="U780" s="9">
        <v>45473</v>
      </c>
      <c r="V780">
        <f>SUM(POTABLE_NONPOTABLE_API[[#This Row],[RESIDENTIAL_SINGLEFAMILY_GAL]:[OTHER_GAL]])</f>
        <v>88684484</v>
      </c>
      <c r="W780">
        <f>SUM(POTABLE_NONPOTABLE_API[[#This Row],[NONPOTABLE_DEMAND_RESIDENTIAL_RECYCLED_WATER_GAL]:[NONPOTABLE_DEMAND_NONRESIDENTIAL_METERED_IRRIGATION_GAL]])</f>
        <v>0</v>
      </c>
      <c r="X780" t="str">
        <f>IFERROR(INDEX(Crosswalk_API!$H$2:$H$527, MATCH(POTABLE_NONPOTABLE_API[[#This Row],[PWSID]], CW_PWSID_LIST, 0)), "")</f>
        <v>No</v>
      </c>
    </row>
    <row r="781" spans="1:24" x14ac:dyDescent="0.25">
      <c r="A781" t="s">
        <v>906</v>
      </c>
      <c r="B781" t="s">
        <v>907</v>
      </c>
      <c r="C781" t="s">
        <v>922</v>
      </c>
      <c r="D781" t="s">
        <v>923</v>
      </c>
      <c r="E781" s="9">
        <v>45444</v>
      </c>
      <c r="F781" s="9">
        <v>45473</v>
      </c>
      <c r="G781">
        <v>103193604</v>
      </c>
      <c r="H781">
        <v>9795096</v>
      </c>
      <c r="I781">
        <v>-4856484</v>
      </c>
      <c r="J781">
        <v>10882428</v>
      </c>
      <c r="K781">
        <v>0</v>
      </c>
      <c r="L781">
        <v>14273356</v>
      </c>
      <c r="M781">
        <v>0</v>
      </c>
      <c r="T781" s="9">
        <v>45108</v>
      </c>
      <c r="U781" s="9">
        <v>45473</v>
      </c>
      <c r="V781">
        <f>SUM(POTABLE_NONPOTABLE_API[[#This Row],[RESIDENTIAL_SINGLEFAMILY_GAL]:[OTHER_GAL]])</f>
        <v>133288000</v>
      </c>
      <c r="W781">
        <f>SUM(POTABLE_NONPOTABLE_API[[#This Row],[NONPOTABLE_DEMAND_RESIDENTIAL_RECYCLED_WATER_GAL]:[NONPOTABLE_DEMAND_NONRESIDENTIAL_METERED_IRRIGATION_GAL]])</f>
        <v>0</v>
      </c>
      <c r="X781" t="str">
        <f>IFERROR(INDEX(Crosswalk_API!$H$2:$H$527, MATCH(POTABLE_NONPOTABLE_API[[#This Row],[PWSID]], CW_PWSID_LIST, 0)), "")</f>
        <v>No</v>
      </c>
    </row>
    <row r="782" spans="1:24" x14ac:dyDescent="0.25">
      <c r="A782" t="s">
        <v>906</v>
      </c>
      <c r="B782" t="s">
        <v>907</v>
      </c>
      <c r="C782" t="s">
        <v>924</v>
      </c>
      <c r="D782" t="s">
        <v>925</v>
      </c>
      <c r="E782" s="9">
        <v>45108</v>
      </c>
      <c r="F782" s="9">
        <v>45138</v>
      </c>
      <c r="G782">
        <v>4704276</v>
      </c>
      <c r="H782">
        <v>20419740</v>
      </c>
      <c r="I782">
        <v>13186429</v>
      </c>
      <c r="J782">
        <v>812676</v>
      </c>
      <c r="K782">
        <v>0</v>
      </c>
      <c r="L782">
        <v>2224752</v>
      </c>
      <c r="M782">
        <v>0</v>
      </c>
      <c r="T782" s="9">
        <v>45108</v>
      </c>
      <c r="U782" s="9">
        <v>45473</v>
      </c>
      <c r="V782">
        <f>SUM(POTABLE_NONPOTABLE_API[[#This Row],[RESIDENTIAL_SINGLEFAMILY_GAL]:[OTHER_GAL]])</f>
        <v>41347873</v>
      </c>
      <c r="W782">
        <f>SUM(POTABLE_NONPOTABLE_API[[#This Row],[NONPOTABLE_DEMAND_RESIDENTIAL_RECYCLED_WATER_GAL]:[NONPOTABLE_DEMAND_NONRESIDENTIAL_METERED_IRRIGATION_GAL]])</f>
        <v>0</v>
      </c>
      <c r="X782" t="str">
        <f>IFERROR(INDEX(Crosswalk_API!$H$2:$H$527, MATCH(POTABLE_NONPOTABLE_API[[#This Row],[PWSID]], CW_PWSID_LIST, 0)), "")</f>
        <v>No</v>
      </c>
    </row>
    <row r="783" spans="1:24" x14ac:dyDescent="0.25">
      <c r="A783" t="s">
        <v>906</v>
      </c>
      <c r="B783" t="s">
        <v>907</v>
      </c>
      <c r="C783" t="s">
        <v>924</v>
      </c>
      <c r="D783" t="s">
        <v>925</v>
      </c>
      <c r="E783" s="9">
        <v>45139</v>
      </c>
      <c r="F783" s="9">
        <v>45169</v>
      </c>
      <c r="G783">
        <v>5508000</v>
      </c>
      <c r="H783">
        <v>21617000</v>
      </c>
      <c r="I783">
        <v>16768999.999999998</v>
      </c>
      <c r="J783">
        <v>1155000</v>
      </c>
      <c r="K783">
        <v>0</v>
      </c>
      <c r="L783">
        <v>2912000</v>
      </c>
      <c r="M783">
        <v>0</v>
      </c>
      <c r="T783" s="9">
        <v>45108</v>
      </c>
      <c r="U783" s="9">
        <v>45473</v>
      </c>
      <c r="V783">
        <f>SUM(POTABLE_NONPOTABLE_API[[#This Row],[RESIDENTIAL_SINGLEFAMILY_GAL]:[OTHER_GAL]])</f>
        <v>47961000</v>
      </c>
      <c r="W783">
        <f>SUM(POTABLE_NONPOTABLE_API[[#This Row],[NONPOTABLE_DEMAND_RESIDENTIAL_RECYCLED_WATER_GAL]:[NONPOTABLE_DEMAND_NONRESIDENTIAL_METERED_IRRIGATION_GAL]])</f>
        <v>0</v>
      </c>
      <c r="X783" t="str">
        <f>IFERROR(INDEX(Crosswalk_API!$H$2:$H$527, MATCH(POTABLE_NONPOTABLE_API[[#This Row],[PWSID]], CW_PWSID_LIST, 0)), "")</f>
        <v>No</v>
      </c>
    </row>
    <row r="784" spans="1:24" x14ac:dyDescent="0.25">
      <c r="A784" t="s">
        <v>906</v>
      </c>
      <c r="B784" t="s">
        <v>907</v>
      </c>
      <c r="C784" t="s">
        <v>924</v>
      </c>
      <c r="D784" t="s">
        <v>925</v>
      </c>
      <c r="E784" s="9">
        <v>45170</v>
      </c>
      <c r="F784" s="9">
        <v>45199</v>
      </c>
      <c r="G784">
        <v>4741000</v>
      </c>
      <c r="H784">
        <v>21504000</v>
      </c>
      <c r="I784">
        <v>14975000</v>
      </c>
      <c r="J784">
        <v>1058000</v>
      </c>
      <c r="K784">
        <v>0</v>
      </c>
      <c r="L784">
        <v>2860000</v>
      </c>
      <c r="M784">
        <v>0</v>
      </c>
      <c r="T784" s="9">
        <v>45108</v>
      </c>
      <c r="U784" s="9">
        <v>45473</v>
      </c>
      <c r="V784">
        <f>SUM(POTABLE_NONPOTABLE_API[[#This Row],[RESIDENTIAL_SINGLEFAMILY_GAL]:[OTHER_GAL]])</f>
        <v>45138000</v>
      </c>
      <c r="W784">
        <f>SUM(POTABLE_NONPOTABLE_API[[#This Row],[NONPOTABLE_DEMAND_RESIDENTIAL_RECYCLED_WATER_GAL]:[NONPOTABLE_DEMAND_NONRESIDENTIAL_METERED_IRRIGATION_GAL]])</f>
        <v>0</v>
      </c>
      <c r="X784" t="str">
        <f>IFERROR(INDEX(Crosswalk_API!$H$2:$H$527, MATCH(POTABLE_NONPOTABLE_API[[#This Row],[PWSID]], CW_PWSID_LIST, 0)), "")</f>
        <v>No</v>
      </c>
    </row>
    <row r="785" spans="1:24" x14ac:dyDescent="0.25">
      <c r="A785" t="s">
        <v>906</v>
      </c>
      <c r="B785" t="s">
        <v>907</v>
      </c>
      <c r="C785" t="s">
        <v>924</v>
      </c>
      <c r="D785" t="s">
        <v>925</v>
      </c>
      <c r="E785" s="9">
        <v>45200</v>
      </c>
      <c r="F785" s="9">
        <v>45230</v>
      </c>
      <c r="G785">
        <v>3898000</v>
      </c>
      <c r="H785">
        <v>18410000</v>
      </c>
      <c r="I785">
        <v>12912000</v>
      </c>
      <c r="J785">
        <v>728000</v>
      </c>
      <c r="K785">
        <v>0</v>
      </c>
      <c r="L785">
        <v>2529000</v>
      </c>
      <c r="M785">
        <v>0</v>
      </c>
      <c r="T785" s="9">
        <v>45108</v>
      </c>
      <c r="U785" s="9">
        <v>45473</v>
      </c>
      <c r="V785">
        <f>SUM(POTABLE_NONPOTABLE_API[[#This Row],[RESIDENTIAL_SINGLEFAMILY_GAL]:[OTHER_GAL]])</f>
        <v>38477000</v>
      </c>
      <c r="W785">
        <f>SUM(POTABLE_NONPOTABLE_API[[#This Row],[NONPOTABLE_DEMAND_RESIDENTIAL_RECYCLED_WATER_GAL]:[NONPOTABLE_DEMAND_NONRESIDENTIAL_METERED_IRRIGATION_GAL]])</f>
        <v>0</v>
      </c>
      <c r="X785" t="str">
        <f>IFERROR(INDEX(Crosswalk_API!$H$2:$H$527, MATCH(POTABLE_NONPOTABLE_API[[#This Row],[PWSID]], CW_PWSID_LIST, 0)), "")</f>
        <v>No</v>
      </c>
    </row>
    <row r="786" spans="1:24" x14ac:dyDescent="0.25">
      <c r="A786" t="s">
        <v>906</v>
      </c>
      <c r="B786" t="s">
        <v>907</v>
      </c>
      <c r="C786" t="s">
        <v>924</v>
      </c>
      <c r="D786" t="s">
        <v>925</v>
      </c>
      <c r="E786" s="9">
        <v>45231</v>
      </c>
      <c r="F786" s="9">
        <v>45260</v>
      </c>
      <c r="G786">
        <v>3543000</v>
      </c>
      <c r="H786">
        <v>17775000</v>
      </c>
      <c r="I786">
        <v>9682000</v>
      </c>
      <c r="J786">
        <v>557000</v>
      </c>
      <c r="K786">
        <v>0</v>
      </c>
      <c r="L786">
        <v>1280000</v>
      </c>
      <c r="M786">
        <v>0</v>
      </c>
      <c r="T786" s="9">
        <v>45108</v>
      </c>
      <c r="U786" s="9">
        <v>45473</v>
      </c>
      <c r="V786">
        <f>SUM(POTABLE_NONPOTABLE_API[[#This Row],[RESIDENTIAL_SINGLEFAMILY_GAL]:[OTHER_GAL]])</f>
        <v>32837000</v>
      </c>
      <c r="W786">
        <f>SUM(POTABLE_NONPOTABLE_API[[#This Row],[NONPOTABLE_DEMAND_RESIDENTIAL_RECYCLED_WATER_GAL]:[NONPOTABLE_DEMAND_NONRESIDENTIAL_METERED_IRRIGATION_GAL]])</f>
        <v>0</v>
      </c>
      <c r="X786" t="str">
        <f>IFERROR(INDEX(Crosswalk_API!$H$2:$H$527, MATCH(POTABLE_NONPOTABLE_API[[#This Row],[PWSID]], CW_PWSID_LIST, 0)), "")</f>
        <v>No</v>
      </c>
    </row>
    <row r="787" spans="1:24" x14ac:dyDescent="0.25">
      <c r="A787" t="s">
        <v>906</v>
      </c>
      <c r="B787" t="s">
        <v>907</v>
      </c>
      <c r="C787" t="s">
        <v>924</v>
      </c>
      <c r="D787" t="s">
        <v>925</v>
      </c>
      <c r="E787" s="9">
        <v>45261</v>
      </c>
      <c r="F787" s="9">
        <v>45291</v>
      </c>
      <c r="G787">
        <v>3362000</v>
      </c>
      <c r="H787">
        <v>13892000</v>
      </c>
      <c r="I787">
        <v>10622000</v>
      </c>
      <c r="J787">
        <v>402000</v>
      </c>
      <c r="K787">
        <v>0</v>
      </c>
      <c r="L787">
        <v>688000</v>
      </c>
      <c r="M787">
        <v>0</v>
      </c>
      <c r="T787" s="9">
        <v>45108</v>
      </c>
      <c r="U787" s="9">
        <v>45473</v>
      </c>
      <c r="V787">
        <f>SUM(POTABLE_NONPOTABLE_API[[#This Row],[RESIDENTIAL_SINGLEFAMILY_GAL]:[OTHER_GAL]])</f>
        <v>28966000</v>
      </c>
      <c r="W787">
        <f>SUM(POTABLE_NONPOTABLE_API[[#This Row],[NONPOTABLE_DEMAND_RESIDENTIAL_RECYCLED_WATER_GAL]:[NONPOTABLE_DEMAND_NONRESIDENTIAL_METERED_IRRIGATION_GAL]])</f>
        <v>0</v>
      </c>
      <c r="X787" t="str">
        <f>IFERROR(INDEX(Crosswalk_API!$H$2:$H$527, MATCH(POTABLE_NONPOTABLE_API[[#This Row],[PWSID]], CW_PWSID_LIST, 0)), "")</f>
        <v>No</v>
      </c>
    </row>
    <row r="788" spans="1:24" x14ac:dyDescent="0.25">
      <c r="A788" t="s">
        <v>906</v>
      </c>
      <c r="B788" t="s">
        <v>907</v>
      </c>
      <c r="C788" t="s">
        <v>924</v>
      </c>
      <c r="D788" t="s">
        <v>925</v>
      </c>
      <c r="E788" s="9">
        <v>45292</v>
      </c>
      <c r="F788" s="9">
        <v>45322</v>
      </c>
      <c r="G788">
        <v>2899000</v>
      </c>
      <c r="H788">
        <v>14530000</v>
      </c>
      <c r="I788">
        <v>7877000</v>
      </c>
      <c r="J788">
        <v>371000</v>
      </c>
      <c r="K788">
        <v>0</v>
      </c>
      <c r="L788">
        <v>310004</v>
      </c>
      <c r="M788">
        <v>0</v>
      </c>
      <c r="T788" s="9">
        <v>45108</v>
      </c>
      <c r="U788" s="9">
        <v>45473</v>
      </c>
      <c r="V788">
        <f>SUM(POTABLE_NONPOTABLE_API[[#This Row],[RESIDENTIAL_SINGLEFAMILY_GAL]:[OTHER_GAL]])</f>
        <v>25987004</v>
      </c>
      <c r="W788">
        <f>SUM(POTABLE_NONPOTABLE_API[[#This Row],[NONPOTABLE_DEMAND_RESIDENTIAL_RECYCLED_WATER_GAL]:[NONPOTABLE_DEMAND_NONRESIDENTIAL_METERED_IRRIGATION_GAL]])</f>
        <v>0</v>
      </c>
      <c r="X788" t="str">
        <f>IFERROR(INDEX(Crosswalk_API!$H$2:$H$527, MATCH(POTABLE_NONPOTABLE_API[[#This Row],[PWSID]], CW_PWSID_LIST, 0)), "")</f>
        <v>No</v>
      </c>
    </row>
    <row r="789" spans="1:24" x14ac:dyDescent="0.25">
      <c r="A789" t="s">
        <v>906</v>
      </c>
      <c r="B789" t="s">
        <v>907</v>
      </c>
      <c r="C789" t="s">
        <v>924</v>
      </c>
      <c r="D789" t="s">
        <v>925</v>
      </c>
      <c r="E789" s="9">
        <v>45323</v>
      </c>
      <c r="F789" s="9">
        <v>45351</v>
      </c>
      <c r="G789">
        <v>2597220</v>
      </c>
      <c r="H789">
        <v>13990172</v>
      </c>
      <c r="I789">
        <v>7637606</v>
      </c>
      <c r="J789">
        <v>372372</v>
      </c>
      <c r="K789">
        <v>0</v>
      </c>
      <c r="L789">
        <v>171128</v>
      </c>
      <c r="M789">
        <v>0</v>
      </c>
      <c r="T789" s="9">
        <v>45108</v>
      </c>
      <c r="U789" s="9">
        <v>45473</v>
      </c>
      <c r="V789">
        <f>SUM(POTABLE_NONPOTABLE_API[[#This Row],[RESIDENTIAL_SINGLEFAMILY_GAL]:[OTHER_GAL]])</f>
        <v>24768498</v>
      </c>
      <c r="W789">
        <f>SUM(POTABLE_NONPOTABLE_API[[#This Row],[NONPOTABLE_DEMAND_RESIDENTIAL_RECYCLED_WATER_GAL]:[NONPOTABLE_DEMAND_NONRESIDENTIAL_METERED_IRRIGATION_GAL]])</f>
        <v>0</v>
      </c>
      <c r="X789" t="str">
        <f>IFERROR(INDEX(Crosswalk_API!$H$2:$H$527, MATCH(POTABLE_NONPOTABLE_API[[#This Row],[PWSID]], CW_PWSID_LIST, 0)), "")</f>
        <v>No</v>
      </c>
    </row>
    <row r="790" spans="1:24" x14ac:dyDescent="0.25">
      <c r="A790" t="s">
        <v>906</v>
      </c>
      <c r="B790" t="s">
        <v>907</v>
      </c>
      <c r="C790" t="s">
        <v>924</v>
      </c>
      <c r="D790" t="s">
        <v>925</v>
      </c>
      <c r="E790" s="9">
        <v>45352</v>
      </c>
      <c r="F790" s="9">
        <v>45382</v>
      </c>
      <c r="G790">
        <v>2545552</v>
      </c>
      <c r="H790">
        <v>13857640</v>
      </c>
      <c r="I790">
        <v>7856761</v>
      </c>
      <c r="J790">
        <v>412676</v>
      </c>
      <c r="K790">
        <v>0</v>
      </c>
      <c r="L790">
        <v>157408</v>
      </c>
      <c r="M790">
        <v>0</v>
      </c>
      <c r="T790" s="9">
        <v>45108</v>
      </c>
      <c r="U790" s="9">
        <v>45473</v>
      </c>
      <c r="V790">
        <f>SUM(POTABLE_NONPOTABLE_API[[#This Row],[RESIDENTIAL_SINGLEFAMILY_GAL]:[OTHER_GAL]])</f>
        <v>24830037</v>
      </c>
      <c r="W790">
        <f>SUM(POTABLE_NONPOTABLE_API[[#This Row],[NONPOTABLE_DEMAND_RESIDENTIAL_RECYCLED_WATER_GAL]:[NONPOTABLE_DEMAND_NONRESIDENTIAL_METERED_IRRIGATION_GAL]])</f>
        <v>0</v>
      </c>
      <c r="X790" t="str">
        <f>IFERROR(INDEX(Crosswalk_API!$H$2:$H$527, MATCH(POTABLE_NONPOTABLE_API[[#This Row],[PWSID]], CW_PWSID_LIST, 0)), "")</f>
        <v>No</v>
      </c>
    </row>
    <row r="791" spans="1:24" x14ac:dyDescent="0.25">
      <c r="A791" t="s">
        <v>906</v>
      </c>
      <c r="B791" t="s">
        <v>907</v>
      </c>
      <c r="C791" t="s">
        <v>924</v>
      </c>
      <c r="D791" t="s">
        <v>925</v>
      </c>
      <c r="E791" s="9">
        <v>45383</v>
      </c>
      <c r="F791" s="9">
        <v>45412</v>
      </c>
      <c r="G791">
        <v>2571664</v>
      </c>
      <c r="H791">
        <v>10487596</v>
      </c>
      <c r="I791">
        <v>8146034</v>
      </c>
      <c r="J791">
        <v>620572</v>
      </c>
      <c r="K791">
        <v>0</v>
      </c>
      <c r="L791">
        <v>183836</v>
      </c>
      <c r="M791">
        <v>0</v>
      </c>
      <c r="T791" s="9">
        <v>45108</v>
      </c>
      <c r="U791" s="9">
        <v>45473</v>
      </c>
      <c r="V791">
        <f>SUM(POTABLE_NONPOTABLE_API[[#This Row],[RESIDENTIAL_SINGLEFAMILY_GAL]:[OTHER_GAL]])</f>
        <v>22009702</v>
      </c>
      <c r="W791">
        <f>SUM(POTABLE_NONPOTABLE_API[[#This Row],[NONPOTABLE_DEMAND_RESIDENTIAL_RECYCLED_WATER_GAL]:[NONPOTABLE_DEMAND_NONRESIDENTIAL_METERED_IRRIGATION_GAL]])</f>
        <v>0</v>
      </c>
      <c r="X791" t="str">
        <f>IFERROR(INDEX(Crosswalk_API!$H$2:$H$527, MATCH(POTABLE_NONPOTABLE_API[[#This Row],[PWSID]], CW_PWSID_LIST, 0)), "")</f>
        <v>No</v>
      </c>
    </row>
    <row r="792" spans="1:24" x14ac:dyDescent="0.25">
      <c r="A792" t="s">
        <v>906</v>
      </c>
      <c r="B792" t="s">
        <v>907</v>
      </c>
      <c r="C792" t="s">
        <v>924</v>
      </c>
      <c r="D792" t="s">
        <v>925</v>
      </c>
      <c r="E792" s="9">
        <v>45413</v>
      </c>
      <c r="F792" s="9">
        <v>45443</v>
      </c>
      <c r="G792">
        <v>3539404</v>
      </c>
      <c r="H792">
        <v>15405192</v>
      </c>
      <c r="I792">
        <v>8965169</v>
      </c>
      <c r="J792">
        <v>1955876</v>
      </c>
      <c r="K792">
        <v>0</v>
      </c>
      <c r="L792">
        <v>728292</v>
      </c>
      <c r="M792">
        <v>0</v>
      </c>
      <c r="T792" s="9">
        <v>45108</v>
      </c>
      <c r="U792" s="9">
        <v>45473</v>
      </c>
      <c r="V792">
        <f>SUM(POTABLE_NONPOTABLE_API[[#This Row],[RESIDENTIAL_SINGLEFAMILY_GAL]:[OTHER_GAL]])</f>
        <v>30593933</v>
      </c>
      <c r="W792">
        <f>SUM(POTABLE_NONPOTABLE_API[[#This Row],[NONPOTABLE_DEMAND_RESIDENTIAL_RECYCLED_WATER_GAL]:[NONPOTABLE_DEMAND_NONRESIDENTIAL_METERED_IRRIGATION_GAL]])</f>
        <v>0</v>
      </c>
      <c r="X792" t="str">
        <f>IFERROR(INDEX(Crosswalk_API!$H$2:$H$527, MATCH(POTABLE_NONPOTABLE_API[[#This Row],[PWSID]], CW_PWSID_LIST, 0)), "")</f>
        <v>No</v>
      </c>
    </row>
    <row r="793" spans="1:24" x14ac:dyDescent="0.25">
      <c r="A793" t="s">
        <v>906</v>
      </c>
      <c r="B793" t="s">
        <v>907</v>
      </c>
      <c r="C793" t="s">
        <v>924</v>
      </c>
      <c r="D793" t="s">
        <v>925</v>
      </c>
      <c r="E793" s="9">
        <v>45444</v>
      </c>
      <c r="F793" s="9">
        <v>45473</v>
      </c>
      <c r="G793">
        <v>4475084</v>
      </c>
      <c r="H793">
        <v>18058900</v>
      </c>
      <c r="I793">
        <v>10879724</v>
      </c>
      <c r="J793">
        <v>2637488</v>
      </c>
      <c r="K793">
        <v>0</v>
      </c>
      <c r="L793">
        <v>1729756</v>
      </c>
      <c r="M793">
        <v>0</v>
      </c>
      <c r="T793" s="9">
        <v>45108</v>
      </c>
      <c r="U793" s="9">
        <v>45473</v>
      </c>
      <c r="V793">
        <f>SUM(POTABLE_NONPOTABLE_API[[#This Row],[RESIDENTIAL_SINGLEFAMILY_GAL]:[OTHER_GAL]])</f>
        <v>37780952</v>
      </c>
      <c r="W793">
        <f>SUM(POTABLE_NONPOTABLE_API[[#This Row],[NONPOTABLE_DEMAND_RESIDENTIAL_RECYCLED_WATER_GAL]:[NONPOTABLE_DEMAND_NONRESIDENTIAL_METERED_IRRIGATION_GAL]])</f>
        <v>0</v>
      </c>
      <c r="X793" t="str">
        <f>IFERROR(INDEX(Crosswalk_API!$H$2:$H$527, MATCH(POTABLE_NONPOTABLE_API[[#This Row],[PWSID]], CW_PWSID_LIST, 0)), "")</f>
        <v>No</v>
      </c>
    </row>
    <row r="794" spans="1:24" x14ac:dyDescent="0.25">
      <c r="A794" t="s">
        <v>906</v>
      </c>
      <c r="B794" t="s">
        <v>907</v>
      </c>
      <c r="C794" t="s">
        <v>926</v>
      </c>
      <c r="D794" t="s">
        <v>927</v>
      </c>
      <c r="E794" s="9">
        <v>45108</v>
      </c>
      <c r="F794" s="9">
        <v>45138</v>
      </c>
      <c r="G794">
        <v>3490288</v>
      </c>
      <c r="H794">
        <v>144812</v>
      </c>
      <c r="I794">
        <v>64035.999999999993</v>
      </c>
      <c r="J794">
        <v>0</v>
      </c>
      <c r="K794">
        <v>0</v>
      </c>
      <c r="L794">
        <v>0</v>
      </c>
      <c r="M794">
        <v>0</v>
      </c>
      <c r="T794" s="9">
        <v>45108</v>
      </c>
      <c r="U794" s="9">
        <v>45473</v>
      </c>
      <c r="V794">
        <f>SUM(POTABLE_NONPOTABLE_API[[#This Row],[RESIDENTIAL_SINGLEFAMILY_GAL]:[OTHER_GAL]])</f>
        <v>3699136</v>
      </c>
      <c r="W794">
        <f>SUM(POTABLE_NONPOTABLE_API[[#This Row],[NONPOTABLE_DEMAND_RESIDENTIAL_RECYCLED_WATER_GAL]:[NONPOTABLE_DEMAND_NONRESIDENTIAL_METERED_IRRIGATION_GAL]])</f>
        <v>0</v>
      </c>
      <c r="X794" t="str">
        <f>IFERROR(INDEX(Crosswalk_API!$H$2:$H$527, MATCH(POTABLE_NONPOTABLE_API[[#This Row],[PWSID]], CW_PWSID_LIST, 0)), "")</f>
        <v>No</v>
      </c>
    </row>
    <row r="795" spans="1:24" x14ac:dyDescent="0.25">
      <c r="A795" t="s">
        <v>906</v>
      </c>
      <c r="B795" t="s">
        <v>907</v>
      </c>
      <c r="C795" t="s">
        <v>926</v>
      </c>
      <c r="D795" t="s">
        <v>927</v>
      </c>
      <c r="E795" s="9">
        <v>45139</v>
      </c>
      <c r="F795" s="9">
        <v>45169</v>
      </c>
      <c r="G795">
        <v>3627000</v>
      </c>
      <c r="H795">
        <v>171000</v>
      </c>
      <c r="I795">
        <v>49000</v>
      </c>
      <c r="J795">
        <v>0</v>
      </c>
      <c r="K795">
        <v>0</v>
      </c>
      <c r="L795">
        <v>0</v>
      </c>
      <c r="M795">
        <v>0</v>
      </c>
      <c r="T795" s="9">
        <v>45108</v>
      </c>
      <c r="U795" s="9">
        <v>45473</v>
      </c>
      <c r="V795">
        <f>SUM(POTABLE_NONPOTABLE_API[[#This Row],[RESIDENTIAL_SINGLEFAMILY_GAL]:[OTHER_GAL]])</f>
        <v>3847000</v>
      </c>
      <c r="W795">
        <f>SUM(POTABLE_NONPOTABLE_API[[#This Row],[NONPOTABLE_DEMAND_RESIDENTIAL_RECYCLED_WATER_GAL]:[NONPOTABLE_DEMAND_NONRESIDENTIAL_METERED_IRRIGATION_GAL]])</f>
        <v>0</v>
      </c>
      <c r="X795" t="str">
        <f>IFERROR(INDEX(Crosswalk_API!$H$2:$H$527, MATCH(POTABLE_NONPOTABLE_API[[#This Row],[PWSID]], CW_PWSID_LIST, 0)), "")</f>
        <v>No</v>
      </c>
    </row>
    <row r="796" spans="1:24" x14ac:dyDescent="0.25">
      <c r="A796" t="s">
        <v>906</v>
      </c>
      <c r="B796" t="s">
        <v>907</v>
      </c>
      <c r="C796" t="s">
        <v>926</v>
      </c>
      <c r="D796" t="s">
        <v>927</v>
      </c>
      <c r="E796" s="9">
        <v>45170</v>
      </c>
      <c r="F796" s="9">
        <v>45199</v>
      </c>
      <c r="G796">
        <v>3338000</v>
      </c>
      <c r="H796">
        <v>143000</v>
      </c>
      <c r="I796">
        <v>45000</v>
      </c>
      <c r="J796">
        <v>0</v>
      </c>
      <c r="K796">
        <v>0</v>
      </c>
      <c r="L796">
        <v>0</v>
      </c>
      <c r="M796">
        <v>0</v>
      </c>
      <c r="T796" s="9">
        <v>45108</v>
      </c>
      <c r="U796" s="9">
        <v>45473</v>
      </c>
      <c r="V796">
        <f>SUM(POTABLE_NONPOTABLE_API[[#This Row],[RESIDENTIAL_SINGLEFAMILY_GAL]:[OTHER_GAL]])</f>
        <v>3526000</v>
      </c>
      <c r="W796">
        <f>SUM(POTABLE_NONPOTABLE_API[[#This Row],[NONPOTABLE_DEMAND_RESIDENTIAL_RECYCLED_WATER_GAL]:[NONPOTABLE_DEMAND_NONRESIDENTIAL_METERED_IRRIGATION_GAL]])</f>
        <v>0</v>
      </c>
      <c r="X796" t="str">
        <f>IFERROR(INDEX(Crosswalk_API!$H$2:$H$527, MATCH(POTABLE_NONPOTABLE_API[[#This Row],[PWSID]], CW_PWSID_LIST, 0)), "")</f>
        <v>No</v>
      </c>
    </row>
    <row r="797" spans="1:24" x14ac:dyDescent="0.25">
      <c r="A797" t="s">
        <v>906</v>
      </c>
      <c r="B797" t="s">
        <v>907</v>
      </c>
      <c r="C797" t="s">
        <v>926</v>
      </c>
      <c r="D797" t="s">
        <v>927</v>
      </c>
      <c r="E797" s="9">
        <v>45200</v>
      </c>
      <c r="F797" s="9">
        <v>45230</v>
      </c>
      <c r="G797">
        <v>3008000</v>
      </c>
      <c r="H797">
        <v>116000</v>
      </c>
      <c r="I797">
        <v>46000</v>
      </c>
      <c r="J797">
        <v>0</v>
      </c>
      <c r="K797">
        <v>0</v>
      </c>
      <c r="L797">
        <v>0</v>
      </c>
      <c r="M797">
        <v>0</v>
      </c>
      <c r="T797" s="9">
        <v>45108</v>
      </c>
      <c r="U797" s="9">
        <v>45473</v>
      </c>
      <c r="V797">
        <f>SUM(POTABLE_NONPOTABLE_API[[#This Row],[RESIDENTIAL_SINGLEFAMILY_GAL]:[OTHER_GAL]])</f>
        <v>3170000</v>
      </c>
      <c r="W797">
        <f>SUM(POTABLE_NONPOTABLE_API[[#This Row],[NONPOTABLE_DEMAND_RESIDENTIAL_RECYCLED_WATER_GAL]:[NONPOTABLE_DEMAND_NONRESIDENTIAL_METERED_IRRIGATION_GAL]])</f>
        <v>0</v>
      </c>
      <c r="X797" t="str">
        <f>IFERROR(INDEX(Crosswalk_API!$H$2:$H$527, MATCH(POTABLE_NONPOTABLE_API[[#This Row],[PWSID]], CW_PWSID_LIST, 0)), "")</f>
        <v>No</v>
      </c>
    </row>
    <row r="798" spans="1:24" x14ac:dyDescent="0.25">
      <c r="A798" t="s">
        <v>906</v>
      </c>
      <c r="B798" t="s">
        <v>907</v>
      </c>
      <c r="C798" t="s">
        <v>926</v>
      </c>
      <c r="D798" t="s">
        <v>927</v>
      </c>
      <c r="E798" s="9">
        <v>45231</v>
      </c>
      <c r="F798" s="9">
        <v>45260</v>
      </c>
      <c r="G798">
        <v>2041000</v>
      </c>
      <c r="H798">
        <v>105000</v>
      </c>
      <c r="I798">
        <v>43000</v>
      </c>
      <c r="J798">
        <v>0</v>
      </c>
      <c r="K798">
        <v>0</v>
      </c>
      <c r="L798">
        <v>0</v>
      </c>
      <c r="M798">
        <v>0</v>
      </c>
      <c r="T798" s="9">
        <v>45108</v>
      </c>
      <c r="U798" s="9">
        <v>45473</v>
      </c>
      <c r="V798">
        <f>SUM(POTABLE_NONPOTABLE_API[[#This Row],[RESIDENTIAL_SINGLEFAMILY_GAL]:[OTHER_GAL]])</f>
        <v>2189000</v>
      </c>
      <c r="W798">
        <f>SUM(POTABLE_NONPOTABLE_API[[#This Row],[NONPOTABLE_DEMAND_RESIDENTIAL_RECYCLED_WATER_GAL]:[NONPOTABLE_DEMAND_NONRESIDENTIAL_METERED_IRRIGATION_GAL]])</f>
        <v>0</v>
      </c>
      <c r="X798" t="str">
        <f>IFERROR(INDEX(Crosswalk_API!$H$2:$H$527, MATCH(POTABLE_NONPOTABLE_API[[#This Row],[PWSID]], CW_PWSID_LIST, 0)), "")</f>
        <v>No</v>
      </c>
    </row>
    <row r="799" spans="1:24" x14ac:dyDescent="0.25">
      <c r="A799" t="s">
        <v>906</v>
      </c>
      <c r="B799" t="s">
        <v>907</v>
      </c>
      <c r="C799" t="s">
        <v>926</v>
      </c>
      <c r="D799" t="s">
        <v>927</v>
      </c>
      <c r="E799" s="9">
        <v>45261</v>
      </c>
      <c r="F799" s="9">
        <v>45291</v>
      </c>
      <c r="G799">
        <v>1616000</v>
      </c>
      <c r="H799">
        <v>119000</v>
      </c>
      <c r="I799">
        <v>32000</v>
      </c>
      <c r="J799">
        <v>0</v>
      </c>
      <c r="K799">
        <v>0</v>
      </c>
      <c r="L799">
        <v>0</v>
      </c>
      <c r="M799">
        <v>0</v>
      </c>
      <c r="T799" s="9">
        <v>45108</v>
      </c>
      <c r="U799" s="9">
        <v>45473</v>
      </c>
      <c r="V799">
        <f>SUM(POTABLE_NONPOTABLE_API[[#This Row],[RESIDENTIAL_SINGLEFAMILY_GAL]:[OTHER_GAL]])</f>
        <v>1767000</v>
      </c>
      <c r="W799">
        <f>SUM(POTABLE_NONPOTABLE_API[[#This Row],[NONPOTABLE_DEMAND_RESIDENTIAL_RECYCLED_WATER_GAL]:[NONPOTABLE_DEMAND_NONRESIDENTIAL_METERED_IRRIGATION_GAL]])</f>
        <v>0</v>
      </c>
      <c r="X799" t="str">
        <f>IFERROR(INDEX(Crosswalk_API!$H$2:$H$527, MATCH(POTABLE_NONPOTABLE_API[[#This Row],[PWSID]], CW_PWSID_LIST, 0)), "")</f>
        <v>No</v>
      </c>
    </row>
    <row r="800" spans="1:24" x14ac:dyDescent="0.25">
      <c r="A800" t="s">
        <v>906</v>
      </c>
      <c r="B800" t="s">
        <v>907</v>
      </c>
      <c r="C800" t="s">
        <v>926</v>
      </c>
      <c r="D800" t="s">
        <v>927</v>
      </c>
      <c r="E800" s="9">
        <v>45292</v>
      </c>
      <c r="F800" s="9">
        <v>45322</v>
      </c>
      <c r="G800">
        <v>1034999.9999999999</v>
      </c>
      <c r="H800">
        <v>91000</v>
      </c>
      <c r="I800">
        <v>17000</v>
      </c>
      <c r="J800">
        <v>0</v>
      </c>
      <c r="K800">
        <v>0</v>
      </c>
      <c r="L800">
        <v>0</v>
      </c>
      <c r="M800">
        <v>0</v>
      </c>
      <c r="T800" s="9">
        <v>45108</v>
      </c>
      <c r="U800" s="9">
        <v>45473</v>
      </c>
      <c r="V800">
        <f>SUM(POTABLE_NONPOTABLE_API[[#This Row],[RESIDENTIAL_SINGLEFAMILY_GAL]:[OTHER_GAL]])</f>
        <v>1143000</v>
      </c>
      <c r="W800">
        <f>SUM(POTABLE_NONPOTABLE_API[[#This Row],[NONPOTABLE_DEMAND_RESIDENTIAL_RECYCLED_WATER_GAL]:[NONPOTABLE_DEMAND_NONRESIDENTIAL_METERED_IRRIGATION_GAL]])</f>
        <v>0</v>
      </c>
      <c r="X800" t="str">
        <f>IFERROR(INDEX(Crosswalk_API!$H$2:$H$527, MATCH(POTABLE_NONPOTABLE_API[[#This Row],[PWSID]], CW_PWSID_LIST, 0)), "")</f>
        <v>No</v>
      </c>
    </row>
    <row r="801" spans="1:24" x14ac:dyDescent="0.25">
      <c r="A801" t="s">
        <v>906</v>
      </c>
      <c r="B801" t="s">
        <v>907</v>
      </c>
      <c r="C801" t="s">
        <v>926</v>
      </c>
      <c r="D801" t="s">
        <v>927</v>
      </c>
      <c r="E801" s="9">
        <v>45323</v>
      </c>
      <c r="F801" s="9">
        <v>45351</v>
      </c>
      <c r="G801">
        <v>991466</v>
      </c>
      <c r="H801">
        <v>88488</v>
      </c>
      <c r="I801">
        <v>22112</v>
      </c>
      <c r="J801">
        <v>0</v>
      </c>
      <c r="K801">
        <v>0</v>
      </c>
      <c r="L801">
        <v>0</v>
      </c>
      <c r="M801">
        <v>0</v>
      </c>
      <c r="T801" s="9">
        <v>45108</v>
      </c>
      <c r="U801" s="9">
        <v>45473</v>
      </c>
      <c r="V801">
        <f>SUM(POTABLE_NONPOTABLE_API[[#This Row],[RESIDENTIAL_SINGLEFAMILY_GAL]:[OTHER_GAL]])</f>
        <v>1102066</v>
      </c>
      <c r="W801">
        <f>SUM(POTABLE_NONPOTABLE_API[[#This Row],[NONPOTABLE_DEMAND_RESIDENTIAL_RECYCLED_WATER_GAL]:[NONPOTABLE_DEMAND_NONRESIDENTIAL_METERED_IRRIGATION_GAL]])</f>
        <v>0</v>
      </c>
      <c r="X801" t="str">
        <f>IFERROR(INDEX(Crosswalk_API!$H$2:$H$527, MATCH(POTABLE_NONPOTABLE_API[[#This Row],[PWSID]], CW_PWSID_LIST, 0)), "")</f>
        <v>No</v>
      </c>
    </row>
    <row r="802" spans="1:24" x14ac:dyDescent="0.25">
      <c r="A802" t="s">
        <v>906</v>
      </c>
      <c r="B802" t="s">
        <v>907</v>
      </c>
      <c r="C802" t="s">
        <v>926</v>
      </c>
      <c r="D802" t="s">
        <v>927</v>
      </c>
      <c r="E802" s="9">
        <v>45352</v>
      </c>
      <c r="F802" s="9">
        <v>45382</v>
      </c>
      <c r="G802">
        <v>982690</v>
      </c>
      <c r="H802">
        <v>92284</v>
      </c>
      <c r="I802">
        <v>135420</v>
      </c>
      <c r="J802">
        <v>0</v>
      </c>
      <c r="K802">
        <v>0</v>
      </c>
      <c r="L802">
        <v>0</v>
      </c>
      <c r="M802">
        <v>0</v>
      </c>
      <c r="T802" s="9">
        <v>45108</v>
      </c>
      <c r="U802" s="9">
        <v>45473</v>
      </c>
      <c r="V802">
        <f>SUM(POTABLE_NONPOTABLE_API[[#This Row],[RESIDENTIAL_SINGLEFAMILY_GAL]:[OTHER_GAL]])</f>
        <v>1210394</v>
      </c>
      <c r="W802">
        <f>SUM(POTABLE_NONPOTABLE_API[[#This Row],[NONPOTABLE_DEMAND_RESIDENTIAL_RECYCLED_WATER_GAL]:[NONPOTABLE_DEMAND_NONRESIDENTIAL_METERED_IRRIGATION_GAL]])</f>
        <v>0</v>
      </c>
      <c r="X802" t="str">
        <f>IFERROR(INDEX(Crosswalk_API!$H$2:$H$527, MATCH(POTABLE_NONPOTABLE_API[[#This Row],[PWSID]], CW_PWSID_LIST, 0)), "")</f>
        <v>No</v>
      </c>
    </row>
    <row r="803" spans="1:24" x14ac:dyDescent="0.25">
      <c r="A803" t="s">
        <v>906</v>
      </c>
      <c r="B803" t="s">
        <v>907</v>
      </c>
      <c r="C803" t="s">
        <v>926</v>
      </c>
      <c r="D803" t="s">
        <v>927</v>
      </c>
      <c r="E803" s="9">
        <v>45383</v>
      </c>
      <c r="F803" s="9">
        <v>45412</v>
      </c>
      <c r="G803">
        <v>916231</v>
      </c>
      <c r="H803">
        <v>106044</v>
      </c>
      <c r="I803">
        <v>53976</v>
      </c>
      <c r="J803">
        <v>0</v>
      </c>
      <c r="K803">
        <v>0</v>
      </c>
      <c r="L803">
        <v>0</v>
      </c>
      <c r="M803">
        <v>0</v>
      </c>
      <c r="T803" s="9">
        <v>45108</v>
      </c>
      <c r="U803" s="9">
        <v>45473</v>
      </c>
      <c r="V803">
        <f>SUM(POTABLE_NONPOTABLE_API[[#This Row],[RESIDENTIAL_SINGLEFAMILY_GAL]:[OTHER_GAL]])</f>
        <v>1076251</v>
      </c>
      <c r="W803">
        <f>SUM(POTABLE_NONPOTABLE_API[[#This Row],[NONPOTABLE_DEMAND_RESIDENTIAL_RECYCLED_WATER_GAL]:[NONPOTABLE_DEMAND_NONRESIDENTIAL_METERED_IRRIGATION_GAL]])</f>
        <v>0</v>
      </c>
      <c r="X803" t="str">
        <f>IFERROR(INDEX(Crosswalk_API!$H$2:$H$527, MATCH(POTABLE_NONPOTABLE_API[[#This Row],[PWSID]], CW_PWSID_LIST, 0)), "")</f>
        <v>No</v>
      </c>
    </row>
    <row r="804" spans="1:24" x14ac:dyDescent="0.25">
      <c r="A804" t="s">
        <v>906</v>
      </c>
      <c r="B804" t="s">
        <v>907</v>
      </c>
      <c r="C804" t="s">
        <v>926</v>
      </c>
      <c r="D804" t="s">
        <v>927</v>
      </c>
      <c r="E804" s="9">
        <v>45413</v>
      </c>
      <c r="F804" s="9">
        <v>45443</v>
      </c>
      <c r="G804">
        <v>1305437</v>
      </c>
      <c r="H804">
        <v>172328</v>
      </c>
      <c r="I804">
        <v>29260</v>
      </c>
      <c r="J804">
        <v>0</v>
      </c>
      <c r="K804">
        <v>0</v>
      </c>
      <c r="L804">
        <v>0</v>
      </c>
      <c r="M804">
        <v>0</v>
      </c>
      <c r="T804" s="9">
        <v>45108</v>
      </c>
      <c r="U804" s="9">
        <v>45473</v>
      </c>
      <c r="V804">
        <f>SUM(POTABLE_NONPOTABLE_API[[#This Row],[RESIDENTIAL_SINGLEFAMILY_GAL]:[OTHER_GAL]])</f>
        <v>1507025</v>
      </c>
      <c r="W804">
        <f>SUM(POTABLE_NONPOTABLE_API[[#This Row],[NONPOTABLE_DEMAND_RESIDENTIAL_RECYCLED_WATER_GAL]:[NONPOTABLE_DEMAND_NONRESIDENTIAL_METERED_IRRIGATION_GAL]])</f>
        <v>0</v>
      </c>
      <c r="X804" t="str">
        <f>IFERROR(INDEX(Crosswalk_API!$H$2:$H$527, MATCH(POTABLE_NONPOTABLE_API[[#This Row],[PWSID]], CW_PWSID_LIST, 0)), "")</f>
        <v>No</v>
      </c>
    </row>
    <row r="805" spans="1:24" x14ac:dyDescent="0.25">
      <c r="A805" t="s">
        <v>906</v>
      </c>
      <c r="B805" t="s">
        <v>907</v>
      </c>
      <c r="C805" t="s">
        <v>926</v>
      </c>
      <c r="D805" t="s">
        <v>927</v>
      </c>
      <c r="E805" s="9">
        <v>45444</v>
      </c>
      <c r="F805" s="9">
        <v>45473</v>
      </c>
      <c r="G805">
        <v>2447820</v>
      </c>
      <c r="H805">
        <v>182824</v>
      </c>
      <c r="I805">
        <v>46256</v>
      </c>
      <c r="J805">
        <v>0</v>
      </c>
      <c r="K805">
        <v>0</v>
      </c>
      <c r="L805">
        <v>0</v>
      </c>
      <c r="M805">
        <v>0</v>
      </c>
      <c r="T805" s="9">
        <v>45108</v>
      </c>
      <c r="U805" s="9">
        <v>45473</v>
      </c>
      <c r="V805">
        <f>SUM(POTABLE_NONPOTABLE_API[[#This Row],[RESIDENTIAL_SINGLEFAMILY_GAL]:[OTHER_GAL]])</f>
        <v>2676900</v>
      </c>
      <c r="W805">
        <f>SUM(POTABLE_NONPOTABLE_API[[#This Row],[NONPOTABLE_DEMAND_RESIDENTIAL_RECYCLED_WATER_GAL]:[NONPOTABLE_DEMAND_NONRESIDENTIAL_METERED_IRRIGATION_GAL]])</f>
        <v>0</v>
      </c>
      <c r="X805" t="str">
        <f>IFERROR(INDEX(Crosswalk_API!$H$2:$H$527, MATCH(POTABLE_NONPOTABLE_API[[#This Row],[PWSID]], CW_PWSID_LIST, 0)), "")</f>
        <v>No</v>
      </c>
    </row>
    <row r="806" spans="1:24" x14ac:dyDescent="0.25">
      <c r="A806" t="s">
        <v>906</v>
      </c>
      <c r="B806" t="s">
        <v>907</v>
      </c>
      <c r="C806" t="s">
        <v>928</v>
      </c>
      <c r="D806" t="s">
        <v>929</v>
      </c>
      <c r="E806" s="9">
        <v>45108</v>
      </c>
      <c r="F806" s="9">
        <v>45138</v>
      </c>
      <c r="G806">
        <v>822000</v>
      </c>
      <c r="H806">
        <v>0</v>
      </c>
      <c r="I806">
        <v>444676</v>
      </c>
      <c r="J806">
        <v>75300</v>
      </c>
      <c r="K806">
        <v>0</v>
      </c>
      <c r="L806">
        <v>0</v>
      </c>
      <c r="M806">
        <v>0</v>
      </c>
      <c r="T806" s="9">
        <v>45108</v>
      </c>
      <c r="U806" s="9">
        <v>45473</v>
      </c>
      <c r="V806">
        <f>SUM(POTABLE_NONPOTABLE_API[[#This Row],[RESIDENTIAL_SINGLEFAMILY_GAL]:[OTHER_GAL]])</f>
        <v>1341976</v>
      </c>
      <c r="W806">
        <f>SUM(POTABLE_NONPOTABLE_API[[#This Row],[NONPOTABLE_DEMAND_RESIDENTIAL_RECYCLED_WATER_GAL]:[NONPOTABLE_DEMAND_NONRESIDENTIAL_METERED_IRRIGATION_GAL]])</f>
        <v>0</v>
      </c>
      <c r="X806" t="str">
        <f>IFERROR(INDEX(Crosswalk_API!$H$2:$H$527, MATCH(POTABLE_NONPOTABLE_API[[#This Row],[PWSID]], CW_PWSID_LIST, 0)), "")</f>
        <v>No</v>
      </c>
    </row>
    <row r="807" spans="1:24" x14ac:dyDescent="0.25">
      <c r="A807" t="s">
        <v>906</v>
      </c>
      <c r="B807" t="s">
        <v>907</v>
      </c>
      <c r="C807" t="s">
        <v>928</v>
      </c>
      <c r="D807" t="s">
        <v>929</v>
      </c>
      <c r="E807" s="9">
        <v>45139</v>
      </c>
      <c r="F807" s="9">
        <v>45169</v>
      </c>
      <c r="G807">
        <v>748000</v>
      </c>
      <c r="H807">
        <v>0</v>
      </c>
      <c r="I807">
        <v>539000</v>
      </c>
      <c r="J807">
        <v>0</v>
      </c>
      <c r="K807">
        <v>0</v>
      </c>
      <c r="L807">
        <v>0</v>
      </c>
      <c r="M807">
        <v>0</v>
      </c>
      <c r="T807" s="9">
        <v>45108</v>
      </c>
      <c r="U807" s="9">
        <v>45473</v>
      </c>
      <c r="V807">
        <f>SUM(POTABLE_NONPOTABLE_API[[#This Row],[RESIDENTIAL_SINGLEFAMILY_GAL]:[OTHER_GAL]])</f>
        <v>1287000</v>
      </c>
      <c r="W807">
        <f>SUM(POTABLE_NONPOTABLE_API[[#This Row],[NONPOTABLE_DEMAND_RESIDENTIAL_RECYCLED_WATER_GAL]:[NONPOTABLE_DEMAND_NONRESIDENTIAL_METERED_IRRIGATION_GAL]])</f>
        <v>0</v>
      </c>
      <c r="X807" t="str">
        <f>IFERROR(INDEX(Crosswalk_API!$H$2:$H$527, MATCH(POTABLE_NONPOTABLE_API[[#This Row],[PWSID]], CW_PWSID_LIST, 0)), "")</f>
        <v>No</v>
      </c>
    </row>
    <row r="808" spans="1:24" x14ac:dyDescent="0.25">
      <c r="A808" t="s">
        <v>906</v>
      </c>
      <c r="B808" t="s">
        <v>907</v>
      </c>
      <c r="C808" t="s">
        <v>928</v>
      </c>
      <c r="D808" t="s">
        <v>929</v>
      </c>
      <c r="E808" s="9">
        <v>45170</v>
      </c>
      <c r="F808" s="9">
        <v>45199</v>
      </c>
      <c r="G808">
        <v>755000</v>
      </c>
      <c r="H808">
        <v>0</v>
      </c>
      <c r="I808">
        <v>388000</v>
      </c>
      <c r="J808">
        <v>82000</v>
      </c>
      <c r="K808">
        <v>0</v>
      </c>
      <c r="L808">
        <v>0</v>
      </c>
      <c r="M808">
        <v>0</v>
      </c>
      <c r="T808" s="9">
        <v>45108</v>
      </c>
      <c r="U808" s="9">
        <v>45473</v>
      </c>
      <c r="V808">
        <f>SUM(POTABLE_NONPOTABLE_API[[#This Row],[RESIDENTIAL_SINGLEFAMILY_GAL]:[OTHER_GAL]])</f>
        <v>1225000</v>
      </c>
      <c r="W808">
        <f>SUM(POTABLE_NONPOTABLE_API[[#This Row],[NONPOTABLE_DEMAND_RESIDENTIAL_RECYCLED_WATER_GAL]:[NONPOTABLE_DEMAND_NONRESIDENTIAL_METERED_IRRIGATION_GAL]])</f>
        <v>0</v>
      </c>
      <c r="X808" t="str">
        <f>IFERROR(INDEX(Crosswalk_API!$H$2:$H$527, MATCH(POTABLE_NONPOTABLE_API[[#This Row],[PWSID]], CW_PWSID_LIST, 0)), "")</f>
        <v>No</v>
      </c>
    </row>
    <row r="809" spans="1:24" x14ac:dyDescent="0.25">
      <c r="A809" t="s">
        <v>906</v>
      </c>
      <c r="B809" t="s">
        <v>907</v>
      </c>
      <c r="C809" t="s">
        <v>928</v>
      </c>
      <c r="D809" t="s">
        <v>929</v>
      </c>
      <c r="E809" s="9">
        <v>45200</v>
      </c>
      <c r="F809" s="9">
        <v>45230</v>
      </c>
      <c r="G809">
        <v>703000</v>
      </c>
      <c r="H809">
        <v>0</v>
      </c>
      <c r="I809">
        <v>331000</v>
      </c>
      <c r="J809">
        <v>49000</v>
      </c>
      <c r="K809">
        <v>0</v>
      </c>
      <c r="L809">
        <v>0</v>
      </c>
      <c r="M809">
        <v>0</v>
      </c>
      <c r="T809" s="9">
        <v>45108</v>
      </c>
      <c r="U809" s="9">
        <v>45473</v>
      </c>
      <c r="V809">
        <f>SUM(POTABLE_NONPOTABLE_API[[#This Row],[RESIDENTIAL_SINGLEFAMILY_GAL]:[OTHER_GAL]])</f>
        <v>1083000</v>
      </c>
      <c r="W809">
        <f>SUM(POTABLE_NONPOTABLE_API[[#This Row],[NONPOTABLE_DEMAND_RESIDENTIAL_RECYCLED_WATER_GAL]:[NONPOTABLE_DEMAND_NONRESIDENTIAL_METERED_IRRIGATION_GAL]])</f>
        <v>0</v>
      </c>
      <c r="X809" t="str">
        <f>IFERROR(INDEX(Crosswalk_API!$H$2:$H$527, MATCH(POTABLE_NONPOTABLE_API[[#This Row],[PWSID]], CW_PWSID_LIST, 0)), "")</f>
        <v>No</v>
      </c>
    </row>
    <row r="810" spans="1:24" x14ac:dyDescent="0.25">
      <c r="A810" t="s">
        <v>906</v>
      </c>
      <c r="B810" t="s">
        <v>907</v>
      </c>
      <c r="C810" t="s">
        <v>928</v>
      </c>
      <c r="D810" t="s">
        <v>929</v>
      </c>
      <c r="E810" s="9">
        <v>45231</v>
      </c>
      <c r="F810" s="9">
        <v>45260</v>
      </c>
      <c r="G810">
        <v>560000</v>
      </c>
      <c r="H810">
        <v>0</v>
      </c>
      <c r="I810">
        <v>294000</v>
      </c>
      <c r="J810">
        <v>57000</v>
      </c>
      <c r="K810">
        <v>0</v>
      </c>
      <c r="L810">
        <v>0</v>
      </c>
      <c r="M810">
        <v>0</v>
      </c>
      <c r="T810" s="9">
        <v>45108</v>
      </c>
      <c r="U810" s="9">
        <v>45473</v>
      </c>
      <c r="V810">
        <f>SUM(POTABLE_NONPOTABLE_API[[#This Row],[RESIDENTIAL_SINGLEFAMILY_GAL]:[OTHER_GAL]])</f>
        <v>911000</v>
      </c>
      <c r="W810">
        <f>SUM(POTABLE_NONPOTABLE_API[[#This Row],[NONPOTABLE_DEMAND_RESIDENTIAL_RECYCLED_WATER_GAL]:[NONPOTABLE_DEMAND_NONRESIDENTIAL_METERED_IRRIGATION_GAL]])</f>
        <v>0</v>
      </c>
      <c r="X810" t="str">
        <f>IFERROR(INDEX(Crosswalk_API!$H$2:$H$527, MATCH(POTABLE_NONPOTABLE_API[[#This Row],[PWSID]], CW_PWSID_LIST, 0)), "")</f>
        <v>No</v>
      </c>
    </row>
    <row r="811" spans="1:24" x14ac:dyDescent="0.25">
      <c r="A811" t="s">
        <v>906</v>
      </c>
      <c r="B811" t="s">
        <v>907</v>
      </c>
      <c r="C811" t="s">
        <v>928</v>
      </c>
      <c r="D811" t="s">
        <v>929</v>
      </c>
      <c r="E811" s="9">
        <v>45261</v>
      </c>
      <c r="F811" s="9">
        <v>45291</v>
      </c>
      <c r="G811">
        <v>517000</v>
      </c>
      <c r="H811">
        <v>0</v>
      </c>
      <c r="I811">
        <v>252000</v>
      </c>
      <c r="J811">
        <v>41000</v>
      </c>
      <c r="K811">
        <v>0</v>
      </c>
      <c r="L811">
        <v>0</v>
      </c>
      <c r="M811">
        <v>0</v>
      </c>
      <c r="T811" s="9">
        <v>45108</v>
      </c>
      <c r="U811" s="9">
        <v>45473</v>
      </c>
      <c r="V811">
        <f>SUM(POTABLE_NONPOTABLE_API[[#This Row],[RESIDENTIAL_SINGLEFAMILY_GAL]:[OTHER_GAL]])</f>
        <v>810000</v>
      </c>
      <c r="W811">
        <f>SUM(POTABLE_NONPOTABLE_API[[#This Row],[NONPOTABLE_DEMAND_RESIDENTIAL_RECYCLED_WATER_GAL]:[NONPOTABLE_DEMAND_NONRESIDENTIAL_METERED_IRRIGATION_GAL]])</f>
        <v>0</v>
      </c>
      <c r="X811" t="str">
        <f>IFERROR(INDEX(Crosswalk_API!$H$2:$H$527, MATCH(POTABLE_NONPOTABLE_API[[#This Row],[PWSID]], CW_PWSID_LIST, 0)), "")</f>
        <v>No</v>
      </c>
    </row>
    <row r="812" spans="1:24" x14ac:dyDescent="0.25">
      <c r="A812" t="s">
        <v>906</v>
      </c>
      <c r="B812" t="s">
        <v>907</v>
      </c>
      <c r="C812" t="s">
        <v>928</v>
      </c>
      <c r="D812" t="s">
        <v>929</v>
      </c>
      <c r="E812" s="9">
        <v>45292</v>
      </c>
      <c r="F812" s="9">
        <v>45322</v>
      </c>
      <c r="G812">
        <v>550000</v>
      </c>
      <c r="H812">
        <v>0</v>
      </c>
      <c r="I812">
        <v>269000</v>
      </c>
      <c r="J812">
        <v>41000</v>
      </c>
      <c r="K812">
        <v>0</v>
      </c>
      <c r="L812">
        <v>0</v>
      </c>
      <c r="M812">
        <v>0</v>
      </c>
      <c r="T812" s="9">
        <v>45108</v>
      </c>
      <c r="U812" s="9">
        <v>45473</v>
      </c>
      <c r="V812">
        <f>SUM(POTABLE_NONPOTABLE_API[[#This Row],[RESIDENTIAL_SINGLEFAMILY_GAL]:[OTHER_GAL]])</f>
        <v>860000</v>
      </c>
      <c r="W812">
        <f>SUM(POTABLE_NONPOTABLE_API[[#This Row],[NONPOTABLE_DEMAND_RESIDENTIAL_RECYCLED_WATER_GAL]:[NONPOTABLE_DEMAND_NONRESIDENTIAL_METERED_IRRIGATION_GAL]])</f>
        <v>0</v>
      </c>
      <c r="X812" t="str">
        <f>IFERROR(INDEX(Crosswalk_API!$H$2:$H$527, MATCH(POTABLE_NONPOTABLE_API[[#This Row],[PWSID]], CW_PWSID_LIST, 0)), "")</f>
        <v>No</v>
      </c>
    </row>
    <row r="813" spans="1:24" x14ac:dyDescent="0.25">
      <c r="A813" t="s">
        <v>906</v>
      </c>
      <c r="B813" t="s">
        <v>907</v>
      </c>
      <c r="C813" t="s">
        <v>928</v>
      </c>
      <c r="D813" t="s">
        <v>929</v>
      </c>
      <c r="E813" s="9">
        <v>45323</v>
      </c>
      <c r="F813" s="9">
        <v>45351</v>
      </c>
      <c r="G813">
        <v>466700</v>
      </c>
      <c r="H813">
        <v>0</v>
      </c>
      <c r="I813">
        <v>220340</v>
      </c>
      <c r="J813">
        <v>32200</v>
      </c>
      <c r="K813">
        <v>0</v>
      </c>
      <c r="L813">
        <v>0</v>
      </c>
      <c r="M813">
        <v>0</v>
      </c>
      <c r="T813" s="9">
        <v>45108</v>
      </c>
      <c r="U813" s="9">
        <v>45473</v>
      </c>
      <c r="V813">
        <f>SUM(POTABLE_NONPOTABLE_API[[#This Row],[RESIDENTIAL_SINGLEFAMILY_GAL]:[OTHER_GAL]])</f>
        <v>719240</v>
      </c>
      <c r="W813">
        <f>SUM(POTABLE_NONPOTABLE_API[[#This Row],[NONPOTABLE_DEMAND_RESIDENTIAL_RECYCLED_WATER_GAL]:[NONPOTABLE_DEMAND_NONRESIDENTIAL_METERED_IRRIGATION_GAL]])</f>
        <v>0</v>
      </c>
      <c r="X813" t="str">
        <f>IFERROR(INDEX(Crosswalk_API!$H$2:$H$527, MATCH(POTABLE_NONPOTABLE_API[[#This Row],[PWSID]], CW_PWSID_LIST, 0)), "")</f>
        <v>No</v>
      </c>
    </row>
    <row r="814" spans="1:24" x14ac:dyDescent="0.25">
      <c r="A814" t="s">
        <v>906</v>
      </c>
      <c r="B814" t="s">
        <v>907</v>
      </c>
      <c r="C814" t="s">
        <v>928</v>
      </c>
      <c r="D814" t="s">
        <v>929</v>
      </c>
      <c r="E814" s="9">
        <v>45352</v>
      </c>
      <c r="F814" s="9">
        <v>45382</v>
      </c>
      <c r="G814">
        <v>541500</v>
      </c>
      <c r="H814">
        <v>0</v>
      </c>
      <c r="I814">
        <v>231792</v>
      </c>
      <c r="J814">
        <v>32200</v>
      </c>
      <c r="K814">
        <v>0</v>
      </c>
      <c r="L814">
        <v>0</v>
      </c>
      <c r="M814">
        <v>0</v>
      </c>
      <c r="T814" s="9">
        <v>45108</v>
      </c>
      <c r="U814" s="9">
        <v>45473</v>
      </c>
      <c r="V814">
        <f>SUM(POTABLE_NONPOTABLE_API[[#This Row],[RESIDENTIAL_SINGLEFAMILY_GAL]:[OTHER_GAL]])</f>
        <v>805492</v>
      </c>
      <c r="W814">
        <f>SUM(POTABLE_NONPOTABLE_API[[#This Row],[NONPOTABLE_DEMAND_RESIDENTIAL_RECYCLED_WATER_GAL]:[NONPOTABLE_DEMAND_NONRESIDENTIAL_METERED_IRRIGATION_GAL]])</f>
        <v>0</v>
      </c>
      <c r="X814" t="str">
        <f>IFERROR(INDEX(Crosswalk_API!$H$2:$H$527, MATCH(POTABLE_NONPOTABLE_API[[#This Row],[PWSID]], CW_PWSID_LIST, 0)), "")</f>
        <v>No</v>
      </c>
    </row>
    <row r="815" spans="1:24" x14ac:dyDescent="0.25">
      <c r="A815" t="s">
        <v>906</v>
      </c>
      <c r="B815" t="s">
        <v>907</v>
      </c>
      <c r="C815" t="s">
        <v>928</v>
      </c>
      <c r="D815" t="s">
        <v>929</v>
      </c>
      <c r="E815" s="9">
        <v>45383</v>
      </c>
      <c r="F815" s="9">
        <v>45412</v>
      </c>
      <c r="G815">
        <v>504100</v>
      </c>
      <c r="H815">
        <v>0</v>
      </c>
      <c r="I815">
        <v>270156</v>
      </c>
      <c r="J815">
        <v>21000</v>
      </c>
      <c r="K815">
        <v>0</v>
      </c>
      <c r="L815">
        <v>0</v>
      </c>
      <c r="M815">
        <v>0</v>
      </c>
      <c r="T815" s="9">
        <v>45108</v>
      </c>
      <c r="U815" s="9">
        <v>45473</v>
      </c>
      <c r="V815">
        <f>SUM(POTABLE_NONPOTABLE_API[[#This Row],[RESIDENTIAL_SINGLEFAMILY_GAL]:[OTHER_GAL]])</f>
        <v>795256</v>
      </c>
      <c r="W815">
        <f>SUM(POTABLE_NONPOTABLE_API[[#This Row],[NONPOTABLE_DEMAND_RESIDENTIAL_RECYCLED_WATER_GAL]:[NONPOTABLE_DEMAND_NONRESIDENTIAL_METERED_IRRIGATION_GAL]])</f>
        <v>0</v>
      </c>
      <c r="X815" t="str">
        <f>IFERROR(INDEX(Crosswalk_API!$H$2:$H$527, MATCH(POTABLE_NONPOTABLE_API[[#This Row],[PWSID]], CW_PWSID_LIST, 0)), "")</f>
        <v>No</v>
      </c>
    </row>
    <row r="816" spans="1:24" x14ac:dyDescent="0.25">
      <c r="A816" t="s">
        <v>906</v>
      </c>
      <c r="B816" t="s">
        <v>907</v>
      </c>
      <c r="C816" t="s">
        <v>928</v>
      </c>
      <c r="D816" t="s">
        <v>929</v>
      </c>
      <c r="E816" s="9">
        <v>45413</v>
      </c>
      <c r="F816" s="9">
        <v>45443</v>
      </c>
      <c r="G816">
        <v>694100</v>
      </c>
      <c r="H816">
        <v>0</v>
      </c>
      <c r="I816">
        <v>344444</v>
      </c>
      <c r="J816">
        <v>0</v>
      </c>
      <c r="K816">
        <v>0</v>
      </c>
      <c r="L816">
        <v>0</v>
      </c>
      <c r="M816">
        <v>0</v>
      </c>
      <c r="T816" s="9">
        <v>45108</v>
      </c>
      <c r="U816" s="9">
        <v>45473</v>
      </c>
      <c r="V816">
        <f>SUM(POTABLE_NONPOTABLE_API[[#This Row],[RESIDENTIAL_SINGLEFAMILY_GAL]:[OTHER_GAL]])</f>
        <v>1038544</v>
      </c>
      <c r="W816">
        <f>SUM(POTABLE_NONPOTABLE_API[[#This Row],[NONPOTABLE_DEMAND_RESIDENTIAL_RECYCLED_WATER_GAL]:[NONPOTABLE_DEMAND_NONRESIDENTIAL_METERED_IRRIGATION_GAL]])</f>
        <v>0</v>
      </c>
      <c r="X816" t="str">
        <f>IFERROR(INDEX(Crosswalk_API!$H$2:$H$527, MATCH(POTABLE_NONPOTABLE_API[[#This Row],[PWSID]], CW_PWSID_LIST, 0)), "")</f>
        <v>No</v>
      </c>
    </row>
    <row r="817" spans="1:24" x14ac:dyDescent="0.25">
      <c r="A817" t="s">
        <v>906</v>
      </c>
      <c r="B817" t="s">
        <v>907</v>
      </c>
      <c r="C817" t="s">
        <v>928</v>
      </c>
      <c r="D817" t="s">
        <v>929</v>
      </c>
      <c r="E817" s="9">
        <v>45444</v>
      </c>
      <c r="F817" s="9">
        <v>45473</v>
      </c>
      <c r="G817">
        <v>728500</v>
      </c>
      <c r="H817">
        <v>0</v>
      </c>
      <c r="I817">
        <v>397632</v>
      </c>
      <c r="J817">
        <v>51900</v>
      </c>
      <c r="K817">
        <v>0</v>
      </c>
      <c r="L817">
        <v>0</v>
      </c>
      <c r="M817">
        <v>0</v>
      </c>
      <c r="T817" s="9">
        <v>45108</v>
      </c>
      <c r="U817" s="9">
        <v>45473</v>
      </c>
      <c r="V817">
        <f>SUM(POTABLE_NONPOTABLE_API[[#This Row],[RESIDENTIAL_SINGLEFAMILY_GAL]:[OTHER_GAL]])</f>
        <v>1178032</v>
      </c>
      <c r="W817">
        <f>SUM(POTABLE_NONPOTABLE_API[[#This Row],[NONPOTABLE_DEMAND_RESIDENTIAL_RECYCLED_WATER_GAL]:[NONPOTABLE_DEMAND_NONRESIDENTIAL_METERED_IRRIGATION_GAL]])</f>
        <v>0</v>
      </c>
      <c r="X817" t="str">
        <f>IFERROR(INDEX(Crosswalk_API!$H$2:$H$527, MATCH(POTABLE_NONPOTABLE_API[[#This Row],[PWSID]], CW_PWSID_LIST, 0)), "")</f>
        <v>No</v>
      </c>
    </row>
    <row r="818" spans="1:24" x14ac:dyDescent="0.25">
      <c r="A818" t="s">
        <v>933</v>
      </c>
      <c r="B818" t="s">
        <v>934</v>
      </c>
      <c r="C818" t="s">
        <v>935</v>
      </c>
      <c r="D818" t="s">
        <v>936</v>
      </c>
      <c r="E818" s="9">
        <v>45108</v>
      </c>
      <c r="F818" s="9">
        <v>45138</v>
      </c>
      <c r="G818">
        <v>123250000</v>
      </c>
      <c r="H818">
        <v>55733000</v>
      </c>
      <c r="I818">
        <v>9884000</v>
      </c>
      <c r="J818">
        <v>29716000</v>
      </c>
      <c r="K818">
        <v>0</v>
      </c>
      <c r="L818">
        <v>61781000</v>
      </c>
      <c r="M818">
        <v>0</v>
      </c>
      <c r="T818" s="9">
        <v>45108</v>
      </c>
      <c r="U818" s="9">
        <v>45473</v>
      </c>
      <c r="V818">
        <f>SUM(POTABLE_NONPOTABLE_API[[#This Row],[RESIDENTIAL_SINGLEFAMILY_GAL]:[OTHER_GAL]])</f>
        <v>280364000</v>
      </c>
      <c r="W818">
        <f>SUM(POTABLE_NONPOTABLE_API[[#This Row],[NONPOTABLE_DEMAND_RESIDENTIAL_RECYCLED_WATER_GAL]:[NONPOTABLE_DEMAND_NONRESIDENTIAL_METERED_IRRIGATION_GAL]])</f>
        <v>0</v>
      </c>
      <c r="X818" t="str">
        <f>IFERROR(INDEX(Crosswalk_API!$H$2:$H$527, MATCH(POTABLE_NONPOTABLE_API[[#This Row],[PWSID]], CW_PWSID_LIST, 0)), "")</f>
        <v>No</v>
      </c>
    </row>
    <row r="819" spans="1:24" x14ac:dyDescent="0.25">
      <c r="A819" t="s">
        <v>933</v>
      </c>
      <c r="B819" t="s">
        <v>934</v>
      </c>
      <c r="C819" t="s">
        <v>935</v>
      </c>
      <c r="D819" t="s">
        <v>936</v>
      </c>
      <c r="E819" s="9">
        <v>45139</v>
      </c>
      <c r="F819" s="9">
        <v>45169</v>
      </c>
      <c r="G819">
        <v>120981000</v>
      </c>
      <c r="H819">
        <v>68491000</v>
      </c>
      <c r="I819">
        <v>7980000</v>
      </c>
      <c r="J819">
        <v>38338000</v>
      </c>
      <c r="K819">
        <v>0</v>
      </c>
      <c r="L819">
        <v>75086000</v>
      </c>
      <c r="M819">
        <v>0</v>
      </c>
      <c r="T819" s="9">
        <v>45108</v>
      </c>
      <c r="U819" s="9">
        <v>45473</v>
      </c>
      <c r="V819">
        <f>SUM(POTABLE_NONPOTABLE_API[[#This Row],[RESIDENTIAL_SINGLEFAMILY_GAL]:[OTHER_GAL]])</f>
        <v>310876000</v>
      </c>
      <c r="W819">
        <f>SUM(POTABLE_NONPOTABLE_API[[#This Row],[NONPOTABLE_DEMAND_RESIDENTIAL_RECYCLED_WATER_GAL]:[NONPOTABLE_DEMAND_NONRESIDENTIAL_METERED_IRRIGATION_GAL]])</f>
        <v>0</v>
      </c>
      <c r="X819" t="str">
        <f>IFERROR(INDEX(Crosswalk_API!$H$2:$H$527, MATCH(POTABLE_NONPOTABLE_API[[#This Row],[PWSID]], CW_PWSID_LIST, 0)), "")</f>
        <v>No</v>
      </c>
    </row>
    <row r="820" spans="1:24" x14ac:dyDescent="0.25">
      <c r="A820" t="s">
        <v>933</v>
      </c>
      <c r="B820" t="s">
        <v>934</v>
      </c>
      <c r="C820" t="s">
        <v>935</v>
      </c>
      <c r="D820" t="s">
        <v>936</v>
      </c>
      <c r="E820" s="9">
        <v>45170</v>
      </c>
      <c r="F820" s="9">
        <v>45199</v>
      </c>
      <c r="G820">
        <v>115239000</v>
      </c>
      <c r="H820">
        <v>58126000</v>
      </c>
      <c r="I820">
        <v>9374000</v>
      </c>
      <c r="J820">
        <v>30531000</v>
      </c>
      <c r="K820">
        <v>0</v>
      </c>
      <c r="L820">
        <v>59629000</v>
      </c>
      <c r="M820">
        <v>0</v>
      </c>
      <c r="T820" s="9">
        <v>45108</v>
      </c>
      <c r="U820" s="9">
        <v>45473</v>
      </c>
      <c r="V820">
        <f>SUM(POTABLE_NONPOTABLE_API[[#This Row],[RESIDENTIAL_SINGLEFAMILY_GAL]:[OTHER_GAL]])</f>
        <v>272899000</v>
      </c>
      <c r="W820">
        <f>SUM(POTABLE_NONPOTABLE_API[[#This Row],[NONPOTABLE_DEMAND_RESIDENTIAL_RECYCLED_WATER_GAL]:[NONPOTABLE_DEMAND_NONRESIDENTIAL_METERED_IRRIGATION_GAL]])</f>
        <v>0</v>
      </c>
      <c r="X820" t="str">
        <f>IFERROR(INDEX(Crosswalk_API!$H$2:$H$527, MATCH(POTABLE_NONPOTABLE_API[[#This Row],[PWSID]], CW_PWSID_LIST, 0)), "")</f>
        <v>No</v>
      </c>
    </row>
    <row r="821" spans="1:24" x14ac:dyDescent="0.25">
      <c r="A821" t="s">
        <v>933</v>
      </c>
      <c r="B821" t="s">
        <v>934</v>
      </c>
      <c r="C821" t="s">
        <v>935</v>
      </c>
      <c r="D821" t="s">
        <v>936</v>
      </c>
      <c r="E821" s="9">
        <v>45200</v>
      </c>
      <c r="F821" s="9">
        <v>45230</v>
      </c>
      <c r="G821">
        <v>108083000</v>
      </c>
      <c r="H821">
        <v>56856000</v>
      </c>
      <c r="I821">
        <v>11694000</v>
      </c>
      <c r="J821">
        <v>27732000</v>
      </c>
      <c r="K821">
        <v>0</v>
      </c>
      <c r="L821">
        <v>53118000</v>
      </c>
      <c r="M821">
        <v>0</v>
      </c>
      <c r="T821" s="9">
        <v>45108</v>
      </c>
      <c r="U821" s="9">
        <v>45473</v>
      </c>
      <c r="V821">
        <f>SUM(POTABLE_NONPOTABLE_API[[#This Row],[RESIDENTIAL_SINGLEFAMILY_GAL]:[OTHER_GAL]])</f>
        <v>257483000</v>
      </c>
      <c r="W821">
        <f>SUM(POTABLE_NONPOTABLE_API[[#This Row],[NONPOTABLE_DEMAND_RESIDENTIAL_RECYCLED_WATER_GAL]:[NONPOTABLE_DEMAND_NONRESIDENTIAL_METERED_IRRIGATION_GAL]])</f>
        <v>0</v>
      </c>
      <c r="X821" t="str">
        <f>IFERROR(INDEX(Crosswalk_API!$H$2:$H$527, MATCH(POTABLE_NONPOTABLE_API[[#This Row],[PWSID]], CW_PWSID_LIST, 0)), "")</f>
        <v>No</v>
      </c>
    </row>
    <row r="822" spans="1:24" x14ac:dyDescent="0.25">
      <c r="A822" t="s">
        <v>933</v>
      </c>
      <c r="B822" t="s">
        <v>934</v>
      </c>
      <c r="C822" t="s">
        <v>935</v>
      </c>
      <c r="D822" t="s">
        <v>936</v>
      </c>
      <c r="E822" s="9">
        <v>45231</v>
      </c>
      <c r="F822" s="9">
        <v>45260</v>
      </c>
      <c r="G822">
        <v>104842000</v>
      </c>
      <c r="H822">
        <v>51576000</v>
      </c>
      <c r="I822">
        <v>10958000</v>
      </c>
      <c r="J822">
        <v>25298000</v>
      </c>
      <c r="K822">
        <v>0</v>
      </c>
      <c r="L822">
        <v>43543000</v>
      </c>
      <c r="M822">
        <v>0</v>
      </c>
      <c r="T822" s="9">
        <v>45108</v>
      </c>
      <c r="U822" s="9">
        <v>45473</v>
      </c>
      <c r="V822">
        <f>SUM(POTABLE_NONPOTABLE_API[[#This Row],[RESIDENTIAL_SINGLEFAMILY_GAL]:[OTHER_GAL]])</f>
        <v>236217000</v>
      </c>
      <c r="W822">
        <f>SUM(POTABLE_NONPOTABLE_API[[#This Row],[NONPOTABLE_DEMAND_RESIDENTIAL_RECYCLED_WATER_GAL]:[NONPOTABLE_DEMAND_NONRESIDENTIAL_METERED_IRRIGATION_GAL]])</f>
        <v>0</v>
      </c>
      <c r="X822" t="str">
        <f>IFERROR(INDEX(Crosswalk_API!$H$2:$H$527, MATCH(POTABLE_NONPOTABLE_API[[#This Row],[PWSID]], CW_PWSID_LIST, 0)), "")</f>
        <v>No</v>
      </c>
    </row>
    <row r="823" spans="1:24" x14ac:dyDescent="0.25">
      <c r="A823" t="s">
        <v>933</v>
      </c>
      <c r="B823" t="s">
        <v>934</v>
      </c>
      <c r="C823" t="s">
        <v>935</v>
      </c>
      <c r="D823" t="s">
        <v>936</v>
      </c>
      <c r="E823" s="9">
        <v>45261</v>
      </c>
      <c r="F823" s="9">
        <v>45291</v>
      </c>
      <c r="G823">
        <v>101003000</v>
      </c>
      <c r="H823">
        <v>55313000</v>
      </c>
      <c r="I823">
        <v>14878000</v>
      </c>
      <c r="J823">
        <v>17522000</v>
      </c>
      <c r="K823">
        <v>0</v>
      </c>
      <c r="L823">
        <v>35615000</v>
      </c>
      <c r="M823">
        <v>0</v>
      </c>
      <c r="T823" s="9">
        <v>45108</v>
      </c>
      <c r="U823" s="9">
        <v>45473</v>
      </c>
      <c r="V823">
        <f>SUM(POTABLE_NONPOTABLE_API[[#This Row],[RESIDENTIAL_SINGLEFAMILY_GAL]:[OTHER_GAL]])</f>
        <v>224331000</v>
      </c>
      <c r="W823">
        <f>SUM(POTABLE_NONPOTABLE_API[[#This Row],[NONPOTABLE_DEMAND_RESIDENTIAL_RECYCLED_WATER_GAL]:[NONPOTABLE_DEMAND_NONRESIDENTIAL_METERED_IRRIGATION_GAL]])</f>
        <v>0</v>
      </c>
      <c r="X823" t="str">
        <f>IFERROR(INDEX(Crosswalk_API!$H$2:$H$527, MATCH(POTABLE_NONPOTABLE_API[[#This Row],[PWSID]], CW_PWSID_LIST, 0)), "")</f>
        <v>No</v>
      </c>
    </row>
    <row r="824" spans="1:24" x14ac:dyDescent="0.25">
      <c r="A824" t="s">
        <v>933</v>
      </c>
      <c r="B824" t="s">
        <v>934</v>
      </c>
      <c r="C824" t="s">
        <v>935</v>
      </c>
      <c r="D824" t="s">
        <v>936</v>
      </c>
      <c r="E824" s="9">
        <v>45292</v>
      </c>
      <c r="F824" s="9">
        <v>45322</v>
      </c>
      <c r="G824">
        <v>94560000</v>
      </c>
      <c r="H824">
        <v>48630000</v>
      </c>
      <c r="I824">
        <v>16964000</v>
      </c>
      <c r="J824">
        <v>12462000</v>
      </c>
      <c r="K824">
        <v>0</v>
      </c>
      <c r="L824">
        <v>23850000</v>
      </c>
      <c r="M824">
        <v>0</v>
      </c>
      <c r="T824" s="9">
        <v>45108</v>
      </c>
      <c r="U824" s="9">
        <v>45473</v>
      </c>
      <c r="V824">
        <f>SUM(POTABLE_NONPOTABLE_API[[#This Row],[RESIDENTIAL_SINGLEFAMILY_GAL]:[OTHER_GAL]])</f>
        <v>196466000</v>
      </c>
      <c r="W824">
        <f>SUM(POTABLE_NONPOTABLE_API[[#This Row],[NONPOTABLE_DEMAND_RESIDENTIAL_RECYCLED_WATER_GAL]:[NONPOTABLE_DEMAND_NONRESIDENTIAL_METERED_IRRIGATION_GAL]])</f>
        <v>0</v>
      </c>
      <c r="X824" t="str">
        <f>IFERROR(INDEX(Crosswalk_API!$H$2:$H$527, MATCH(POTABLE_NONPOTABLE_API[[#This Row],[PWSID]], CW_PWSID_LIST, 0)), "")</f>
        <v>No</v>
      </c>
    </row>
    <row r="825" spans="1:24" x14ac:dyDescent="0.25">
      <c r="A825" t="s">
        <v>933</v>
      </c>
      <c r="B825" t="s">
        <v>934</v>
      </c>
      <c r="C825" t="s">
        <v>935</v>
      </c>
      <c r="D825" t="s">
        <v>936</v>
      </c>
      <c r="E825" s="9">
        <v>45323</v>
      </c>
      <c r="F825" s="9">
        <v>45351</v>
      </c>
      <c r="G825">
        <v>90268000</v>
      </c>
      <c r="H825">
        <v>51821000</v>
      </c>
      <c r="I825">
        <v>18530000</v>
      </c>
      <c r="J825">
        <v>7629000</v>
      </c>
      <c r="K825">
        <v>0</v>
      </c>
      <c r="L825">
        <v>15317000</v>
      </c>
      <c r="M825">
        <v>0</v>
      </c>
      <c r="T825" s="9">
        <v>45108</v>
      </c>
      <c r="U825" s="9">
        <v>45473</v>
      </c>
      <c r="V825">
        <f>SUM(POTABLE_NONPOTABLE_API[[#This Row],[RESIDENTIAL_SINGLEFAMILY_GAL]:[OTHER_GAL]])</f>
        <v>183565000</v>
      </c>
      <c r="W825">
        <f>SUM(POTABLE_NONPOTABLE_API[[#This Row],[NONPOTABLE_DEMAND_RESIDENTIAL_RECYCLED_WATER_GAL]:[NONPOTABLE_DEMAND_NONRESIDENTIAL_METERED_IRRIGATION_GAL]])</f>
        <v>0</v>
      </c>
      <c r="X825" t="str">
        <f>IFERROR(INDEX(Crosswalk_API!$H$2:$H$527, MATCH(POTABLE_NONPOTABLE_API[[#This Row],[PWSID]], CW_PWSID_LIST, 0)), "")</f>
        <v>No</v>
      </c>
    </row>
    <row r="826" spans="1:24" x14ac:dyDescent="0.25">
      <c r="A826" t="s">
        <v>933</v>
      </c>
      <c r="B826" t="s">
        <v>934</v>
      </c>
      <c r="C826" t="s">
        <v>935</v>
      </c>
      <c r="D826" t="s">
        <v>936</v>
      </c>
      <c r="E826" s="9">
        <v>45352</v>
      </c>
      <c r="F826" s="9">
        <v>45382</v>
      </c>
      <c r="G826">
        <v>89354000</v>
      </c>
      <c r="H826">
        <v>55276000</v>
      </c>
      <c r="I826">
        <v>18580000</v>
      </c>
      <c r="J826">
        <v>7183000</v>
      </c>
      <c r="K826">
        <v>0</v>
      </c>
      <c r="L826">
        <v>13419000</v>
      </c>
      <c r="M826">
        <v>0</v>
      </c>
      <c r="T826" s="9">
        <v>45108</v>
      </c>
      <c r="U826" s="9">
        <v>45473</v>
      </c>
      <c r="V826">
        <f>SUM(POTABLE_NONPOTABLE_API[[#This Row],[RESIDENTIAL_SINGLEFAMILY_GAL]:[OTHER_GAL]])</f>
        <v>183812000</v>
      </c>
      <c r="W826">
        <f>SUM(POTABLE_NONPOTABLE_API[[#This Row],[NONPOTABLE_DEMAND_RESIDENTIAL_RECYCLED_WATER_GAL]:[NONPOTABLE_DEMAND_NONRESIDENTIAL_METERED_IRRIGATION_GAL]])</f>
        <v>0</v>
      </c>
      <c r="X826" t="str">
        <f>IFERROR(INDEX(Crosswalk_API!$H$2:$H$527, MATCH(POTABLE_NONPOTABLE_API[[#This Row],[PWSID]], CW_PWSID_LIST, 0)), "")</f>
        <v>No</v>
      </c>
    </row>
    <row r="827" spans="1:24" x14ac:dyDescent="0.25">
      <c r="A827" t="s">
        <v>933</v>
      </c>
      <c r="B827" t="s">
        <v>934</v>
      </c>
      <c r="C827" t="s">
        <v>935</v>
      </c>
      <c r="D827" t="s">
        <v>936</v>
      </c>
      <c r="E827" s="9">
        <v>45383</v>
      </c>
      <c r="F827" s="9">
        <v>45412</v>
      </c>
      <c r="G827">
        <v>85556000</v>
      </c>
      <c r="H827">
        <v>47708000</v>
      </c>
      <c r="I827">
        <v>14379000</v>
      </c>
      <c r="J827">
        <v>12536000</v>
      </c>
      <c r="K827">
        <v>0</v>
      </c>
      <c r="L827">
        <v>24041000</v>
      </c>
      <c r="M827">
        <v>0</v>
      </c>
      <c r="T827" s="9">
        <v>45108</v>
      </c>
      <c r="U827" s="9">
        <v>45473</v>
      </c>
      <c r="V827">
        <f>SUM(POTABLE_NONPOTABLE_API[[#This Row],[RESIDENTIAL_SINGLEFAMILY_GAL]:[OTHER_GAL]])</f>
        <v>184220000</v>
      </c>
      <c r="W827">
        <f>SUM(POTABLE_NONPOTABLE_API[[#This Row],[NONPOTABLE_DEMAND_RESIDENTIAL_RECYCLED_WATER_GAL]:[NONPOTABLE_DEMAND_NONRESIDENTIAL_METERED_IRRIGATION_GAL]])</f>
        <v>0</v>
      </c>
      <c r="X827" t="str">
        <f>IFERROR(INDEX(Crosswalk_API!$H$2:$H$527, MATCH(POTABLE_NONPOTABLE_API[[#This Row],[PWSID]], CW_PWSID_LIST, 0)), "")</f>
        <v>No</v>
      </c>
    </row>
    <row r="828" spans="1:24" x14ac:dyDescent="0.25">
      <c r="A828" t="s">
        <v>933</v>
      </c>
      <c r="B828" t="s">
        <v>934</v>
      </c>
      <c r="C828" t="s">
        <v>935</v>
      </c>
      <c r="D828" t="s">
        <v>936</v>
      </c>
      <c r="E828" s="9">
        <v>45413</v>
      </c>
      <c r="F828" s="9">
        <v>45443</v>
      </c>
      <c r="G828">
        <v>106307000</v>
      </c>
      <c r="H828">
        <v>54021000</v>
      </c>
      <c r="I828">
        <v>6301000</v>
      </c>
      <c r="J828">
        <v>28141000</v>
      </c>
      <c r="K828">
        <v>0</v>
      </c>
      <c r="L828">
        <v>47090000</v>
      </c>
      <c r="M828">
        <v>0</v>
      </c>
      <c r="T828" s="9">
        <v>45108</v>
      </c>
      <c r="U828" s="9">
        <v>45473</v>
      </c>
      <c r="V828">
        <f>SUM(POTABLE_NONPOTABLE_API[[#This Row],[RESIDENTIAL_SINGLEFAMILY_GAL]:[OTHER_GAL]])</f>
        <v>241860000</v>
      </c>
      <c r="W828">
        <f>SUM(POTABLE_NONPOTABLE_API[[#This Row],[NONPOTABLE_DEMAND_RESIDENTIAL_RECYCLED_WATER_GAL]:[NONPOTABLE_DEMAND_NONRESIDENTIAL_METERED_IRRIGATION_GAL]])</f>
        <v>0</v>
      </c>
      <c r="X828" t="str">
        <f>IFERROR(INDEX(Crosswalk_API!$H$2:$H$527, MATCH(POTABLE_NONPOTABLE_API[[#This Row],[PWSID]], CW_PWSID_LIST, 0)), "")</f>
        <v>No</v>
      </c>
    </row>
    <row r="829" spans="1:24" x14ac:dyDescent="0.25">
      <c r="A829" t="s">
        <v>933</v>
      </c>
      <c r="B829" t="s">
        <v>934</v>
      </c>
      <c r="C829" t="s">
        <v>935</v>
      </c>
      <c r="D829" t="s">
        <v>936</v>
      </c>
      <c r="E829" s="9">
        <v>45444</v>
      </c>
      <c r="F829" s="9">
        <v>45473</v>
      </c>
      <c r="G829">
        <v>120732000</v>
      </c>
      <c r="H829">
        <v>57660000</v>
      </c>
      <c r="I829">
        <v>2740000</v>
      </c>
      <c r="J829">
        <v>39969000</v>
      </c>
      <c r="K829">
        <v>0</v>
      </c>
      <c r="L829">
        <v>64542000</v>
      </c>
      <c r="M829">
        <v>0</v>
      </c>
      <c r="T829" s="9">
        <v>45108</v>
      </c>
      <c r="U829" s="9">
        <v>45473</v>
      </c>
      <c r="V829">
        <f>SUM(POTABLE_NONPOTABLE_API[[#This Row],[RESIDENTIAL_SINGLEFAMILY_GAL]:[OTHER_GAL]])</f>
        <v>285643000</v>
      </c>
      <c r="W829">
        <f>SUM(POTABLE_NONPOTABLE_API[[#This Row],[NONPOTABLE_DEMAND_RESIDENTIAL_RECYCLED_WATER_GAL]:[NONPOTABLE_DEMAND_NONRESIDENTIAL_METERED_IRRIGATION_GAL]])</f>
        <v>0</v>
      </c>
      <c r="X829" t="str">
        <f>IFERROR(INDEX(Crosswalk_API!$H$2:$H$527, MATCH(POTABLE_NONPOTABLE_API[[#This Row],[PWSID]], CW_PWSID_LIST, 0)), "")</f>
        <v>No</v>
      </c>
    </row>
    <row r="830" spans="1:24" x14ac:dyDescent="0.25">
      <c r="A830" t="s">
        <v>938</v>
      </c>
      <c r="B830" t="s">
        <v>939</v>
      </c>
      <c r="C830" t="s">
        <v>940</v>
      </c>
      <c r="D830" t="s">
        <v>941</v>
      </c>
      <c r="E830" s="9">
        <v>45108</v>
      </c>
      <c r="F830" s="9">
        <v>45138</v>
      </c>
      <c r="G830">
        <v>188968000</v>
      </c>
      <c r="H830">
        <v>12849000</v>
      </c>
      <c r="I830">
        <v>15427000</v>
      </c>
      <c r="J830">
        <v>35800000</v>
      </c>
      <c r="K830">
        <v>73661000</v>
      </c>
      <c r="L830">
        <v>21970000</v>
      </c>
      <c r="M830">
        <v>0</v>
      </c>
      <c r="T830" s="9">
        <v>45108</v>
      </c>
      <c r="U830" s="9">
        <v>45473</v>
      </c>
      <c r="V830">
        <f>SUM(POTABLE_NONPOTABLE_API[[#This Row],[RESIDENTIAL_SINGLEFAMILY_GAL]:[OTHER_GAL]])</f>
        <v>348675000</v>
      </c>
      <c r="W830">
        <f>SUM(POTABLE_NONPOTABLE_API[[#This Row],[NONPOTABLE_DEMAND_RESIDENTIAL_RECYCLED_WATER_GAL]:[NONPOTABLE_DEMAND_NONRESIDENTIAL_METERED_IRRIGATION_GAL]])</f>
        <v>0</v>
      </c>
      <c r="X830" t="str">
        <f>IFERROR(INDEX(Crosswalk_API!$H$2:$H$527, MATCH(POTABLE_NONPOTABLE_API[[#This Row],[PWSID]], CW_PWSID_LIST, 0)), "")</f>
        <v>No</v>
      </c>
    </row>
    <row r="831" spans="1:24" x14ac:dyDescent="0.25">
      <c r="A831" t="s">
        <v>938</v>
      </c>
      <c r="B831" t="s">
        <v>939</v>
      </c>
      <c r="C831" t="s">
        <v>940</v>
      </c>
      <c r="D831" t="s">
        <v>941</v>
      </c>
      <c r="E831" s="9">
        <v>45139</v>
      </c>
      <c r="F831" s="9">
        <v>45169</v>
      </c>
      <c r="G831">
        <v>234874000</v>
      </c>
      <c r="H831">
        <v>17899000</v>
      </c>
      <c r="I831">
        <v>12407000</v>
      </c>
      <c r="J831">
        <v>57476000</v>
      </c>
      <c r="K831">
        <v>47941000</v>
      </c>
      <c r="L831">
        <v>25193000</v>
      </c>
      <c r="M831">
        <v>0</v>
      </c>
      <c r="T831" s="9">
        <v>45108</v>
      </c>
      <c r="U831" s="9">
        <v>45473</v>
      </c>
      <c r="V831">
        <f>SUM(POTABLE_NONPOTABLE_API[[#This Row],[RESIDENTIAL_SINGLEFAMILY_GAL]:[OTHER_GAL]])</f>
        <v>395790000</v>
      </c>
      <c r="W831">
        <f>SUM(POTABLE_NONPOTABLE_API[[#This Row],[NONPOTABLE_DEMAND_RESIDENTIAL_RECYCLED_WATER_GAL]:[NONPOTABLE_DEMAND_NONRESIDENTIAL_METERED_IRRIGATION_GAL]])</f>
        <v>0</v>
      </c>
      <c r="X831" t="str">
        <f>IFERROR(INDEX(Crosswalk_API!$H$2:$H$527, MATCH(POTABLE_NONPOTABLE_API[[#This Row],[PWSID]], CW_PWSID_LIST, 0)), "")</f>
        <v>No</v>
      </c>
    </row>
    <row r="832" spans="1:24" x14ac:dyDescent="0.25">
      <c r="A832" t="s">
        <v>938</v>
      </c>
      <c r="B832" t="s">
        <v>939</v>
      </c>
      <c r="C832" t="s">
        <v>940</v>
      </c>
      <c r="D832" t="s">
        <v>941</v>
      </c>
      <c r="E832" s="9">
        <v>45170</v>
      </c>
      <c r="F832" s="9">
        <v>45199</v>
      </c>
      <c r="G832">
        <v>190325000</v>
      </c>
      <c r="H832">
        <v>15754000</v>
      </c>
      <c r="I832">
        <v>14953000</v>
      </c>
      <c r="J832">
        <v>38345000</v>
      </c>
      <c r="K832">
        <v>25768000</v>
      </c>
      <c r="L832">
        <v>26948000</v>
      </c>
      <c r="M832">
        <v>0</v>
      </c>
      <c r="T832" s="9">
        <v>45108</v>
      </c>
      <c r="U832" s="9">
        <v>45473</v>
      </c>
      <c r="V832">
        <f>SUM(POTABLE_NONPOTABLE_API[[#This Row],[RESIDENTIAL_SINGLEFAMILY_GAL]:[OTHER_GAL]])</f>
        <v>312093000</v>
      </c>
      <c r="W832">
        <f>SUM(POTABLE_NONPOTABLE_API[[#This Row],[NONPOTABLE_DEMAND_RESIDENTIAL_RECYCLED_WATER_GAL]:[NONPOTABLE_DEMAND_NONRESIDENTIAL_METERED_IRRIGATION_GAL]])</f>
        <v>0</v>
      </c>
      <c r="X832" t="str">
        <f>IFERROR(INDEX(Crosswalk_API!$H$2:$H$527, MATCH(POTABLE_NONPOTABLE_API[[#This Row],[PWSID]], CW_PWSID_LIST, 0)), "")</f>
        <v>No</v>
      </c>
    </row>
    <row r="833" spans="1:24" x14ac:dyDescent="0.25">
      <c r="A833" t="s">
        <v>938</v>
      </c>
      <c r="B833" t="s">
        <v>939</v>
      </c>
      <c r="C833" t="s">
        <v>940</v>
      </c>
      <c r="D833" t="s">
        <v>941</v>
      </c>
      <c r="E833" s="9">
        <v>45200</v>
      </c>
      <c r="F833" s="9">
        <v>45230</v>
      </c>
      <c r="G833">
        <v>179286000</v>
      </c>
      <c r="H833">
        <v>15006000</v>
      </c>
      <c r="I833">
        <v>12323000</v>
      </c>
      <c r="J833">
        <v>42563000</v>
      </c>
      <c r="K833">
        <v>34913000</v>
      </c>
      <c r="L833">
        <v>26551000</v>
      </c>
      <c r="M833">
        <v>0</v>
      </c>
      <c r="T833" s="9">
        <v>45108</v>
      </c>
      <c r="U833" s="9">
        <v>45473</v>
      </c>
      <c r="V833">
        <f>SUM(POTABLE_NONPOTABLE_API[[#This Row],[RESIDENTIAL_SINGLEFAMILY_GAL]:[OTHER_GAL]])</f>
        <v>310642000</v>
      </c>
      <c r="W833">
        <f>SUM(POTABLE_NONPOTABLE_API[[#This Row],[NONPOTABLE_DEMAND_RESIDENTIAL_RECYCLED_WATER_GAL]:[NONPOTABLE_DEMAND_NONRESIDENTIAL_METERED_IRRIGATION_GAL]])</f>
        <v>0</v>
      </c>
      <c r="X833" t="str">
        <f>IFERROR(INDEX(Crosswalk_API!$H$2:$H$527, MATCH(POTABLE_NONPOTABLE_API[[#This Row],[PWSID]], CW_PWSID_LIST, 0)), "")</f>
        <v>No</v>
      </c>
    </row>
    <row r="834" spans="1:24" x14ac:dyDescent="0.25">
      <c r="A834" t="s">
        <v>938</v>
      </c>
      <c r="B834" t="s">
        <v>939</v>
      </c>
      <c r="C834" t="s">
        <v>940</v>
      </c>
      <c r="D834" t="s">
        <v>941</v>
      </c>
      <c r="E834" s="9">
        <v>45231</v>
      </c>
      <c r="F834" s="9">
        <v>45260</v>
      </c>
      <c r="G834">
        <v>193734000</v>
      </c>
      <c r="H834">
        <v>15804000</v>
      </c>
      <c r="I834">
        <v>18282000</v>
      </c>
      <c r="J834">
        <v>39617000</v>
      </c>
      <c r="K834">
        <v>56256000</v>
      </c>
      <c r="L834">
        <v>20547000</v>
      </c>
      <c r="M834">
        <v>0</v>
      </c>
      <c r="T834" s="9">
        <v>45108</v>
      </c>
      <c r="U834" s="9">
        <v>45473</v>
      </c>
      <c r="V834">
        <f>SUM(POTABLE_NONPOTABLE_API[[#This Row],[RESIDENTIAL_SINGLEFAMILY_GAL]:[OTHER_GAL]])</f>
        <v>344240000</v>
      </c>
      <c r="W834">
        <f>SUM(POTABLE_NONPOTABLE_API[[#This Row],[NONPOTABLE_DEMAND_RESIDENTIAL_RECYCLED_WATER_GAL]:[NONPOTABLE_DEMAND_NONRESIDENTIAL_METERED_IRRIGATION_GAL]])</f>
        <v>0</v>
      </c>
      <c r="X834" t="str">
        <f>IFERROR(INDEX(Crosswalk_API!$H$2:$H$527, MATCH(POTABLE_NONPOTABLE_API[[#This Row],[PWSID]], CW_PWSID_LIST, 0)), "")</f>
        <v>No</v>
      </c>
    </row>
    <row r="835" spans="1:24" x14ac:dyDescent="0.25">
      <c r="A835" t="s">
        <v>938</v>
      </c>
      <c r="B835" t="s">
        <v>939</v>
      </c>
      <c r="C835" t="s">
        <v>940</v>
      </c>
      <c r="D835" t="s">
        <v>941</v>
      </c>
      <c r="E835" s="9">
        <v>45261</v>
      </c>
      <c r="F835" s="9">
        <v>45291</v>
      </c>
      <c r="G835">
        <v>179509000</v>
      </c>
      <c r="H835">
        <v>17132000</v>
      </c>
      <c r="I835">
        <v>15381000</v>
      </c>
      <c r="J835">
        <v>31158000</v>
      </c>
      <c r="K835">
        <v>28655000</v>
      </c>
      <c r="L835">
        <v>18906000</v>
      </c>
      <c r="M835">
        <v>0</v>
      </c>
      <c r="T835" s="9">
        <v>45108</v>
      </c>
      <c r="U835" s="9">
        <v>45473</v>
      </c>
      <c r="V835">
        <f>SUM(POTABLE_NONPOTABLE_API[[#This Row],[RESIDENTIAL_SINGLEFAMILY_GAL]:[OTHER_GAL]])</f>
        <v>290741000</v>
      </c>
      <c r="W835">
        <f>SUM(POTABLE_NONPOTABLE_API[[#This Row],[NONPOTABLE_DEMAND_RESIDENTIAL_RECYCLED_WATER_GAL]:[NONPOTABLE_DEMAND_NONRESIDENTIAL_METERED_IRRIGATION_GAL]])</f>
        <v>0</v>
      </c>
      <c r="X835" t="str">
        <f>IFERROR(INDEX(Crosswalk_API!$H$2:$H$527, MATCH(POTABLE_NONPOTABLE_API[[#This Row],[PWSID]], CW_PWSID_LIST, 0)), "")</f>
        <v>No</v>
      </c>
    </row>
    <row r="836" spans="1:24" x14ac:dyDescent="0.25">
      <c r="A836" t="s">
        <v>938</v>
      </c>
      <c r="B836" t="s">
        <v>939</v>
      </c>
      <c r="C836" t="s">
        <v>940</v>
      </c>
      <c r="D836" t="s">
        <v>941</v>
      </c>
      <c r="E836" s="9">
        <v>45292</v>
      </c>
      <c r="F836" s="9">
        <v>45322</v>
      </c>
      <c r="G836">
        <v>120149000</v>
      </c>
      <c r="H836">
        <v>11894000</v>
      </c>
      <c r="I836">
        <v>16860000</v>
      </c>
      <c r="J836">
        <v>19631000</v>
      </c>
      <c r="K836">
        <v>25362000</v>
      </c>
      <c r="L836">
        <v>3854000</v>
      </c>
      <c r="M836">
        <v>0</v>
      </c>
      <c r="T836" s="9">
        <v>45108</v>
      </c>
      <c r="U836" s="9">
        <v>45473</v>
      </c>
      <c r="V836">
        <f>SUM(POTABLE_NONPOTABLE_API[[#This Row],[RESIDENTIAL_SINGLEFAMILY_GAL]:[OTHER_GAL]])</f>
        <v>197750000</v>
      </c>
      <c r="W836">
        <f>SUM(POTABLE_NONPOTABLE_API[[#This Row],[NONPOTABLE_DEMAND_RESIDENTIAL_RECYCLED_WATER_GAL]:[NONPOTABLE_DEMAND_NONRESIDENTIAL_METERED_IRRIGATION_GAL]])</f>
        <v>0</v>
      </c>
      <c r="X836" t="str">
        <f>IFERROR(INDEX(Crosswalk_API!$H$2:$H$527, MATCH(POTABLE_NONPOTABLE_API[[#This Row],[PWSID]], CW_PWSID_LIST, 0)), "")</f>
        <v>No</v>
      </c>
    </row>
    <row r="837" spans="1:24" x14ac:dyDescent="0.25">
      <c r="A837" t="s">
        <v>938</v>
      </c>
      <c r="B837" t="s">
        <v>939</v>
      </c>
      <c r="C837" t="s">
        <v>940</v>
      </c>
      <c r="D837" t="s">
        <v>941</v>
      </c>
      <c r="E837" s="9">
        <v>45323</v>
      </c>
      <c r="F837" s="9">
        <v>45351</v>
      </c>
      <c r="G837">
        <v>106417000</v>
      </c>
      <c r="H837">
        <v>11297000</v>
      </c>
      <c r="I837">
        <v>17767000</v>
      </c>
      <c r="J837">
        <v>7651000</v>
      </c>
      <c r="K837">
        <v>27626000</v>
      </c>
      <c r="L837">
        <v>32975000</v>
      </c>
      <c r="M837">
        <v>0</v>
      </c>
      <c r="T837" s="9">
        <v>45108</v>
      </c>
      <c r="U837" s="9">
        <v>45473</v>
      </c>
      <c r="V837">
        <f>SUM(POTABLE_NONPOTABLE_API[[#This Row],[RESIDENTIAL_SINGLEFAMILY_GAL]:[OTHER_GAL]])</f>
        <v>203733000</v>
      </c>
      <c r="W837">
        <f>SUM(POTABLE_NONPOTABLE_API[[#This Row],[NONPOTABLE_DEMAND_RESIDENTIAL_RECYCLED_WATER_GAL]:[NONPOTABLE_DEMAND_NONRESIDENTIAL_METERED_IRRIGATION_GAL]])</f>
        <v>0</v>
      </c>
      <c r="X837" t="str">
        <f>IFERROR(INDEX(Crosswalk_API!$H$2:$H$527, MATCH(POTABLE_NONPOTABLE_API[[#This Row],[PWSID]], CW_PWSID_LIST, 0)), "")</f>
        <v>No</v>
      </c>
    </row>
    <row r="838" spans="1:24" x14ac:dyDescent="0.25">
      <c r="A838" t="s">
        <v>938</v>
      </c>
      <c r="B838" t="s">
        <v>939</v>
      </c>
      <c r="C838" t="s">
        <v>940</v>
      </c>
      <c r="D838" t="s">
        <v>941</v>
      </c>
      <c r="E838" s="9">
        <v>45352</v>
      </c>
      <c r="F838" s="9">
        <v>45382</v>
      </c>
      <c r="G838">
        <v>95400000</v>
      </c>
      <c r="H838">
        <v>11829000</v>
      </c>
      <c r="I838">
        <v>17059000</v>
      </c>
      <c r="J838">
        <v>5540000</v>
      </c>
      <c r="K838">
        <v>13127000</v>
      </c>
      <c r="L838">
        <v>5263000</v>
      </c>
      <c r="M838">
        <v>0</v>
      </c>
      <c r="T838" s="9">
        <v>45108</v>
      </c>
      <c r="U838" s="9">
        <v>45473</v>
      </c>
      <c r="V838">
        <f>SUM(POTABLE_NONPOTABLE_API[[#This Row],[RESIDENTIAL_SINGLEFAMILY_GAL]:[OTHER_GAL]])</f>
        <v>148218000</v>
      </c>
      <c r="W838">
        <f>SUM(POTABLE_NONPOTABLE_API[[#This Row],[NONPOTABLE_DEMAND_RESIDENTIAL_RECYCLED_WATER_GAL]:[NONPOTABLE_DEMAND_NONRESIDENTIAL_METERED_IRRIGATION_GAL]])</f>
        <v>0</v>
      </c>
      <c r="X838" t="str">
        <f>IFERROR(INDEX(Crosswalk_API!$H$2:$H$527, MATCH(POTABLE_NONPOTABLE_API[[#This Row],[PWSID]], CW_PWSID_LIST, 0)), "")</f>
        <v>No</v>
      </c>
    </row>
    <row r="839" spans="1:24" x14ac:dyDescent="0.25">
      <c r="A839" t="s">
        <v>938</v>
      </c>
      <c r="B839" t="s">
        <v>939</v>
      </c>
      <c r="C839" t="s">
        <v>940</v>
      </c>
      <c r="D839" t="s">
        <v>941</v>
      </c>
      <c r="E839" s="9">
        <v>45383</v>
      </c>
      <c r="F839" s="9">
        <v>45412</v>
      </c>
      <c r="G839">
        <v>114564000</v>
      </c>
      <c r="H839">
        <v>11636000</v>
      </c>
      <c r="I839">
        <v>18706000</v>
      </c>
      <c r="J839">
        <v>11534000</v>
      </c>
      <c r="K839">
        <v>25665000</v>
      </c>
      <c r="L839">
        <v>4454000</v>
      </c>
      <c r="M839">
        <v>0</v>
      </c>
      <c r="T839" s="9">
        <v>45108</v>
      </c>
      <c r="U839" s="9">
        <v>45473</v>
      </c>
      <c r="V839">
        <f>SUM(POTABLE_NONPOTABLE_API[[#This Row],[RESIDENTIAL_SINGLEFAMILY_GAL]:[OTHER_GAL]])</f>
        <v>186559000</v>
      </c>
      <c r="W839">
        <f>SUM(POTABLE_NONPOTABLE_API[[#This Row],[NONPOTABLE_DEMAND_RESIDENTIAL_RECYCLED_WATER_GAL]:[NONPOTABLE_DEMAND_NONRESIDENTIAL_METERED_IRRIGATION_GAL]])</f>
        <v>0</v>
      </c>
      <c r="X839" t="str">
        <f>IFERROR(INDEX(Crosswalk_API!$H$2:$H$527, MATCH(POTABLE_NONPOTABLE_API[[#This Row],[PWSID]], CW_PWSID_LIST, 0)), "")</f>
        <v>No</v>
      </c>
    </row>
    <row r="840" spans="1:24" x14ac:dyDescent="0.25">
      <c r="A840" t="s">
        <v>938</v>
      </c>
      <c r="B840" t="s">
        <v>939</v>
      </c>
      <c r="C840" t="s">
        <v>940</v>
      </c>
      <c r="D840" t="s">
        <v>941</v>
      </c>
      <c r="E840" s="9">
        <v>45413</v>
      </c>
      <c r="F840" s="9">
        <v>45443</v>
      </c>
      <c r="G840">
        <v>157614000</v>
      </c>
      <c r="H840">
        <v>15221000</v>
      </c>
      <c r="I840">
        <v>12900000</v>
      </c>
      <c r="J840">
        <v>28190000</v>
      </c>
      <c r="K840">
        <v>43376000</v>
      </c>
      <c r="L840">
        <v>7125000</v>
      </c>
      <c r="M840">
        <v>0</v>
      </c>
      <c r="T840" s="9">
        <v>45108</v>
      </c>
      <c r="U840" s="9">
        <v>45473</v>
      </c>
      <c r="V840">
        <f>SUM(POTABLE_NONPOTABLE_API[[#This Row],[RESIDENTIAL_SINGLEFAMILY_GAL]:[OTHER_GAL]])</f>
        <v>264426000</v>
      </c>
      <c r="W840">
        <f>SUM(POTABLE_NONPOTABLE_API[[#This Row],[NONPOTABLE_DEMAND_RESIDENTIAL_RECYCLED_WATER_GAL]:[NONPOTABLE_DEMAND_NONRESIDENTIAL_METERED_IRRIGATION_GAL]])</f>
        <v>0</v>
      </c>
      <c r="X840" t="str">
        <f>IFERROR(INDEX(Crosswalk_API!$H$2:$H$527, MATCH(POTABLE_NONPOTABLE_API[[#This Row],[PWSID]], CW_PWSID_LIST, 0)), "")</f>
        <v>No</v>
      </c>
    </row>
    <row r="841" spans="1:24" x14ac:dyDescent="0.25">
      <c r="A841" t="s">
        <v>938</v>
      </c>
      <c r="B841" t="s">
        <v>939</v>
      </c>
      <c r="C841" t="s">
        <v>940</v>
      </c>
      <c r="D841" t="s">
        <v>941</v>
      </c>
      <c r="E841" s="9">
        <v>45444</v>
      </c>
      <c r="F841" s="9">
        <v>45473</v>
      </c>
      <c r="G841">
        <v>186072000</v>
      </c>
      <c r="H841">
        <v>15882000</v>
      </c>
      <c r="I841">
        <v>4509000</v>
      </c>
      <c r="J841">
        <v>46025000</v>
      </c>
      <c r="K841">
        <v>31025000</v>
      </c>
      <c r="L841">
        <v>20249000</v>
      </c>
      <c r="M841">
        <v>0</v>
      </c>
      <c r="T841" s="9">
        <v>45108</v>
      </c>
      <c r="U841" s="9">
        <v>45473</v>
      </c>
      <c r="V841">
        <f>SUM(POTABLE_NONPOTABLE_API[[#This Row],[RESIDENTIAL_SINGLEFAMILY_GAL]:[OTHER_GAL]])</f>
        <v>303762000</v>
      </c>
      <c r="W841">
        <f>SUM(POTABLE_NONPOTABLE_API[[#This Row],[NONPOTABLE_DEMAND_RESIDENTIAL_RECYCLED_WATER_GAL]:[NONPOTABLE_DEMAND_NONRESIDENTIAL_METERED_IRRIGATION_GAL]])</f>
        <v>0</v>
      </c>
      <c r="X841" t="str">
        <f>IFERROR(INDEX(Crosswalk_API!$H$2:$H$527, MATCH(POTABLE_NONPOTABLE_API[[#This Row],[PWSID]], CW_PWSID_LIST, 0)), "")</f>
        <v>No</v>
      </c>
    </row>
    <row r="842" spans="1:24" x14ac:dyDescent="0.25">
      <c r="A842" t="s">
        <v>938</v>
      </c>
      <c r="B842" t="s">
        <v>939</v>
      </c>
      <c r="C842" t="s">
        <v>943</v>
      </c>
      <c r="D842" t="s">
        <v>944</v>
      </c>
      <c r="E842" s="9">
        <v>45108</v>
      </c>
      <c r="F842" s="9">
        <v>45138</v>
      </c>
      <c r="G842">
        <v>10843000</v>
      </c>
      <c r="H842">
        <v>0</v>
      </c>
      <c r="I842">
        <v>228000</v>
      </c>
      <c r="J842">
        <v>955000</v>
      </c>
      <c r="K842">
        <v>0</v>
      </c>
      <c r="L842">
        <v>0</v>
      </c>
      <c r="M842">
        <v>0</v>
      </c>
      <c r="T842" s="9">
        <v>45108</v>
      </c>
      <c r="U842" s="9">
        <v>45473</v>
      </c>
      <c r="V842">
        <f>SUM(POTABLE_NONPOTABLE_API[[#This Row],[RESIDENTIAL_SINGLEFAMILY_GAL]:[OTHER_GAL]])</f>
        <v>12026000</v>
      </c>
      <c r="W842">
        <f>SUM(POTABLE_NONPOTABLE_API[[#This Row],[NONPOTABLE_DEMAND_RESIDENTIAL_RECYCLED_WATER_GAL]:[NONPOTABLE_DEMAND_NONRESIDENTIAL_METERED_IRRIGATION_GAL]])</f>
        <v>0</v>
      </c>
      <c r="X842" t="str">
        <f>IFERROR(INDEX(Crosswalk_API!$H$2:$H$527, MATCH(POTABLE_NONPOTABLE_API[[#This Row],[PWSID]], CW_PWSID_LIST, 0)), "")</f>
        <v>No</v>
      </c>
    </row>
    <row r="843" spans="1:24" x14ac:dyDescent="0.25">
      <c r="A843" t="s">
        <v>938</v>
      </c>
      <c r="B843" t="s">
        <v>939</v>
      </c>
      <c r="C843" t="s">
        <v>943</v>
      </c>
      <c r="D843" t="s">
        <v>944</v>
      </c>
      <c r="E843" s="9">
        <v>45139</v>
      </c>
      <c r="F843" s="9">
        <v>45169</v>
      </c>
      <c r="G843">
        <v>11125000</v>
      </c>
      <c r="H843">
        <v>0</v>
      </c>
      <c r="I843">
        <v>196000</v>
      </c>
      <c r="J843">
        <v>1096000</v>
      </c>
      <c r="K843">
        <v>0</v>
      </c>
      <c r="L843">
        <v>0</v>
      </c>
      <c r="M843">
        <v>0</v>
      </c>
      <c r="T843" s="9">
        <v>45108</v>
      </c>
      <c r="U843" s="9">
        <v>45473</v>
      </c>
      <c r="V843">
        <f>SUM(POTABLE_NONPOTABLE_API[[#This Row],[RESIDENTIAL_SINGLEFAMILY_GAL]:[OTHER_GAL]])</f>
        <v>12417000</v>
      </c>
      <c r="W843">
        <f>SUM(POTABLE_NONPOTABLE_API[[#This Row],[NONPOTABLE_DEMAND_RESIDENTIAL_RECYCLED_WATER_GAL]:[NONPOTABLE_DEMAND_NONRESIDENTIAL_METERED_IRRIGATION_GAL]])</f>
        <v>0</v>
      </c>
      <c r="X843" t="str">
        <f>IFERROR(INDEX(Crosswalk_API!$H$2:$H$527, MATCH(POTABLE_NONPOTABLE_API[[#This Row],[PWSID]], CW_PWSID_LIST, 0)), "")</f>
        <v>No</v>
      </c>
    </row>
    <row r="844" spans="1:24" x14ac:dyDescent="0.25">
      <c r="A844" t="s">
        <v>938</v>
      </c>
      <c r="B844" t="s">
        <v>939</v>
      </c>
      <c r="C844" t="s">
        <v>943</v>
      </c>
      <c r="D844" t="s">
        <v>944</v>
      </c>
      <c r="E844" s="9">
        <v>45170</v>
      </c>
      <c r="F844" s="9">
        <v>45199</v>
      </c>
      <c r="G844">
        <v>8929000</v>
      </c>
      <c r="H844">
        <v>0</v>
      </c>
      <c r="I844">
        <v>156000</v>
      </c>
      <c r="J844">
        <v>624000</v>
      </c>
      <c r="K844">
        <v>0</v>
      </c>
      <c r="L844">
        <v>0</v>
      </c>
      <c r="M844">
        <v>0</v>
      </c>
      <c r="T844" s="9">
        <v>45108</v>
      </c>
      <c r="U844" s="9">
        <v>45473</v>
      </c>
      <c r="V844">
        <f>SUM(POTABLE_NONPOTABLE_API[[#This Row],[RESIDENTIAL_SINGLEFAMILY_GAL]:[OTHER_GAL]])</f>
        <v>9709000</v>
      </c>
      <c r="W844">
        <f>SUM(POTABLE_NONPOTABLE_API[[#This Row],[NONPOTABLE_DEMAND_RESIDENTIAL_RECYCLED_WATER_GAL]:[NONPOTABLE_DEMAND_NONRESIDENTIAL_METERED_IRRIGATION_GAL]])</f>
        <v>0</v>
      </c>
      <c r="X844" t="str">
        <f>IFERROR(INDEX(Crosswalk_API!$H$2:$H$527, MATCH(POTABLE_NONPOTABLE_API[[#This Row],[PWSID]], CW_PWSID_LIST, 0)), "")</f>
        <v>No</v>
      </c>
    </row>
    <row r="845" spans="1:24" x14ac:dyDescent="0.25">
      <c r="A845" t="s">
        <v>938</v>
      </c>
      <c r="B845" t="s">
        <v>939</v>
      </c>
      <c r="C845" t="s">
        <v>943</v>
      </c>
      <c r="D845" t="s">
        <v>944</v>
      </c>
      <c r="E845" s="9">
        <v>45200</v>
      </c>
      <c r="F845" s="9">
        <v>45230</v>
      </c>
      <c r="G845">
        <v>11084000</v>
      </c>
      <c r="H845">
        <v>0</v>
      </c>
      <c r="I845">
        <v>150000</v>
      </c>
      <c r="J845">
        <v>560000</v>
      </c>
      <c r="K845">
        <v>0</v>
      </c>
      <c r="L845">
        <v>0</v>
      </c>
      <c r="M845">
        <v>0</v>
      </c>
      <c r="T845" s="9">
        <v>45108</v>
      </c>
      <c r="U845" s="9">
        <v>45473</v>
      </c>
      <c r="V845">
        <f>SUM(POTABLE_NONPOTABLE_API[[#This Row],[RESIDENTIAL_SINGLEFAMILY_GAL]:[OTHER_GAL]])</f>
        <v>11794000</v>
      </c>
      <c r="W845">
        <f>SUM(POTABLE_NONPOTABLE_API[[#This Row],[NONPOTABLE_DEMAND_RESIDENTIAL_RECYCLED_WATER_GAL]:[NONPOTABLE_DEMAND_NONRESIDENTIAL_METERED_IRRIGATION_GAL]])</f>
        <v>0</v>
      </c>
      <c r="X845" t="str">
        <f>IFERROR(INDEX(Crosswalk_API!$H$2:$H$527, MATCH(POTABLE_NONPOTABLE_API[[#This Row],[PWSID]], CW_PWSID_LIST, 0)), "")</f>
        <v>No</v>
      </c>
    </row>
    <row r="846" spans="1:24" x14ac:dyDescent="0.25">
      <c r="A846" t="s">
        <v>938</v>
      </c>
      <c r="B846" t="s">
        <v>939</v>
      </c>
      <c r="C846" t="s">
        <v>943</v>
      </c>
      <c r="D846" t="s">
        <v>944</v>
      </c>
      <c r="E846" s="9">
        <v>45231</v>
      </c>
      <c r="F846" s="9">
        <v>45260</v>
      </c>
      <c r="G846">
        <v>9882000</v>
      </c>
      <c r="H846">
        <v>0</v>
      </c>
      <c r="I846">
        <v>59000</v>
      </c>
      <c r="J846">
        <v>536000</v>
      </c>
      <c r="K846">
        <v>0</v>
      </c>
      <c r="L846">
        <v>0</v>
      </c>
      <c r="M846">
        <v>0</v>
      </c>
      <c r="T846" s="9">
        <v>45108</v>
      </c>
      <c r="U846" s="9">
        <v>45473</v>
      </c>
      <c r="V846">
        <f>SUM(POTABLE_NONPOTABLE_API[[#This Row],[RESIDENTIAL_SINGLEFAMILY_GAL]:[OTHER_GAL]])</f>
        <v>10477000</v>
      </c>
      <c r="W846">
        <f>SUM(POTABLE_NONPOTABLE_API[[#This Row],[NONPOTABLE_DEMAND_RESIDENTIAL_RECYCLED_WATER_GAL]:[NONPOTABLE_DEMAND_NONRESIDENTIAL_METERED_IRRIGATION_GAL]])</f>
        <v>0</v>
      </c>
      <c r="X846" t="str">
        <f>IFERROR(INDEX(Crosswalk_API!$H$2:$H$527, MATCH(POTABLE_NONPOTABLE_API[[#This Row],[PWSID]], CW_PWSID_LIST, 0)), "")</f>
        <v>No</v>
      </c>
    </row>
    <row r="847" spans="1:24" x14ac:dyDescent="0.25">
      <c r="A847" t="s">
        <v>938</v>
      </c>
      <c r="B847" t="s">
        <v>939</v>
      </c>
      <c r="C847" t="s">
        <v>943</v>
      </c>
      <c r="D847" t="s">
        <v>944</v>
      </c>
      <c r="E847" s="9">
        <v>45261</v>
      </c>
      <c r="F847" s="9">
        <v>45291</v>
      </c>
      <c r="G847">
        <v>8429000</v>
      </c>
      <c r="H847">
        <v>0</v>
      </c>
      <c r="I847">
        <v>249000</v>
      </c>
      <c r="J847">
        <v>906000</v>
      </c>
      <c r="K847">
        <v>0</v>
      </c>
      <c r="L847">
        <v>0</v>
      </c>
      <c r="M847">
        <v>0</v>
      </c>
      <c r="T847" s="9">
        <v>45108</v>
      </c>
      <c r="U847" s="9">
        <v>45473</v>
      </c>
      <c r="V847">
        <f>SUM(POTABLE_NONPOTABLE_API[[#This Row],[RESIDENTIAL_SINGLEFAMILY_GAL]:[OTHER_GAL]])</f>
        <v>9584000</v>
      </c>
      <c r="W847">
        <f>SUM(POTABLE_NONPOTABLE_API[[#This Row],[NONPOTABLE_DEMAND_RESIDENTIAL_RECYCLED_WATER_GAL]:[NONPOTABLE_DEMAND_NONRESIDENTIAL_METERED_IRRIGATION_GAL]])</f>
        <v>0</v>
      </c>
      <c r="X847" t="str">
        <f>IFERROR(INDEX(Crosswalk_API!$H$2:$H$527, MATCH(POTABLE_NONPOTABLE_API[[#This Row],[PWSID]], CW_PWSID_LIST, 0)), "")</f>
        <v>No</v>
      </c>
    </row>
    <row r="848" spans="1:24" x14ac:dyDescent="0.25">
      <c r="A848" t="s">
        <v>938</v>
      </c>
      <c r="B848" t="s">
        <v>939</v>
      </c>
      <c r="C848" t="s">
        <v>943</v>
      </c>
      <c r="D848" t="s">
        <v>944</v>
      </c>
      <c r="E848" s="9">
        <v>45292</v>
      </c>
      <c r="F848" s="9">
        <v>45322</v>
      </c>
      <c r="G848">
        <v>5163000</v>
      </c>
      <c r="H848">
        <v>0</v>
      </c>
      <c r="I848">
        <v>129000</v>
      </c>
      <c r="J848">
        <v>87000</v>
      </c>
      <c r="K848">
        <v>0</v>
      </c>
      <c r="L848">
        <v>0</v>
      </c>
      <c r="M848">
        <v>0</v>
      </c>
      <c r="T848" s="9">
        <v>45108</v>
      </c>
      <c r="U848" s="9">
        <v>45473</v>
      </c>
      <c r="V848">
        <f>SUM(POTABLE_NONPOTABLE_API[[#This Row],[RESIDENTIAL_SINGLEFAMILY_GAL]:[OTHER_GAL]])</f>
        <v>5379000</v>
      </c>
      <c r="W848">
        <f>SUM(POTABLE_NONPOTABLE_API[[#This Row],[NONPOTABLE_DEMAND_RESIDENTIAL_RECYCLED_WATER_GAL]:[NONPOTABLE_DEMAND_NONRESIDENTIAL_METERED_IRRIGATION_GAL]])</f>
        <v>0</v>
      </c>
      <c r="X848" t="str">
        <f>IFERROR(INDEX(Crosswalk_API!$H$2:$H$527, MATCH(POTABLE_NONPOTABLE_API[[#This Row],[PWSID]], CW_PWSID_LIST, 0)), "")</f>
        <v>No</v>
      </c>
    </row>
    <row r="849" spans="1:24" x14ac:dyDescent="0.25">
      <c r="A849" t="s">
        <v>938</v>
      </c>
      <c r="B849" t="s">
        <v>939</v>
      </c>
      <c r="C849" t="s">
        <v>943</v>
      </c>
      <c r="D849" t="s">
        <v>944</v>
      </c>
      <c r="E849" s="9">
        <v>45323</v>
      </c>
      <c r="F849" s="9">
        <v>45351</v>
      </c>
      <c r="G849">
        <v>4754000</v>
      </c>
      <c r="H849">
        <v>0</v>
      </c>
      <c r="I849">
        <v>141000</v>
      </c>
      <c r="J849">
        <v>231000</v>
      </c>
      <c r="K849">
        <v>0</v>
      </c>
      <c r="L849">
        <v>0</v>
      </c>
      <c r="M849">
        <v>0</v>
      </c>
      <c r="T849" s="9">
        <v>45108</v>
      </c>
      <c r="U849" s="9">
        <v>45473</v>
      </c>
      <c r="V849">
        <f>SUM(POTABLE_NONPOTABLE_API[[#This Row],[RESIDENTIAL_SINGLEFAMILY_GAL]:[OTHER_GAL]])</f>
        <v>5126000</v>
      </c>
      <c r="W849">
        <f>SUM(POTABLE_NONPOTABLE_API[[#This Row],[NONPOTABLE_DEMAND_RESIDENTIAL_RECYCLED_WATER_GAL]:[NONPOTABLE_DEMAND_NONRESIDENTIAL_METERED_IRRIGATION_GAL]])</f>
        <v>0</v>
      </c>
      <c r="X849" t="str">
        <f>IFERROR(INDEX(Crosswalk_API!$H$2:$H$527, MATCH(POTABLE_NONPOTABLE_API[[#This Row],[PWSID]], CW_PWSID_LIST, 0)), "")</f>
        <v>No</v>
      </c>
    </row>
    <row r="850" spans="1:24" x14ac:dyDescent="0.25">
      <c r="A850" t="s">
        <v>938</v>
      </c>
      <c r="B850" t="s">
        <v>939</v>
      </c>
      <c r="C850" t="s">
        <v>943</v>
      </c>
      <c r="D850" t="s">
        <v>944</v>
      </c>
      <c r="E850" s="9">
        <v>45352</v>
      </c>
      <c r="F850" s="9">
        <v>45382</v>
      </c>
      <c r="G850">
        <v>3187000</v>
      </c>
      <c r="H850">
        <v>0</v>
      </c>
      <c r="I850">
        <v>143000</v>
      </c>
      <c r="J850">
        <v>10000</v>
      </c>
      <c r="K850">
        <v>0</v>
      </c>
      <c r="L850">
        <v>0</v>
      </c>
      <c r="M850">
        <v>0</v>
      </c>
      <c r="T850" s="9">
        <v>45108</v>
      </c>
      <c r="U850" s="9">
        <v>45473</v>
      </c>
      <c r="V850">
        <f>SUM(POTABLE_NONPOTABLE_API[[#This Row],[RESIDENTIAL_SINGLEFAMILY_GAL]:[OTHER_GAL]])</f>
        <v>3340000</v>
      </c>
      <c r="W850">
        <f>SUM(POTABLE_NONPOTABLE_API[[#This Row],[NONPOTABLE_DEMAND_RESIDENTIAL_RECYCLED_WATER_GAL]:[NONPOTABLE_DEMAND_NONRESIDENTIAL_METERED_IRRIGATION_GAL]])</f>
        <v>0</v>
      </c>
      <c r="X850" t="str">
        <f>IFERROR(INDEX(Crosswalk_API!$H$2:$H$527, MATCH(POTABLE_NONPOTABLE_API[[#This Row],[PWSID]], CW_PWSID_LIST, 0)), "")</f>
        <v>No</v>
      </c>
    </row>
    <row r="851" spans="1:24" x14ac:dyDescent="0.25">
      <c r="A851" t="s">
        <v>938</v>
      </c>
      <c r="B851" t="s">
        <v>939</v>
      </c>
      <c r="C851" t="s">
        <v>943</v>
      </c>
      <c r="D851" t="s">
        <v>944</v>
      </c>
      <c r="E851" s="9">
        <v>45383</v>
      </c>
      <c r="F851" s="9">
        <v>45412</v>
      </c>
      <c r="G851">
        <v>5325000</v>
      </c>
      <c r="H851">
        <v>0</v>
      </c>
      <c r="I851">
        <v>202000</v>
      </c>
      <c r="J851">
        <v>338000</v>
      </c>
      <c r="K851">
        <v>0</v>
      </c>
      <c r="L851">
        <v>0</v>
      </c>
      <c r="M851">
        <v>0</v>
      </c>
      <c r="T851" s="9">
        <v>45108</v>
      </c>
      <c r="U851" s="9">
        <v>45473</v>
      </c>
      <c r="V851">
        <f>SUM(POTABLE_NONPOTABLE_API[[#This Row],[RESIDENTIAL_SINGLEFAMILY_GAL]:[OTHER_GAL]])</f>
        <v>5865000</v>
      </c>
      <c r="W851">
        <f>SUM(POTABLE_NONPOTABLE_API[[#This Row],[NONPOTABLE_DEMAND_RESIDENTIAL_RECYCLED_WATER_GAL]:[NONPOTABLE_DEMAND_NONRESIDENTIAL_METERED_IRRIGATION_GAL]])</f>
        <v>0</v>
      </c>
      <c r="X851" t="str">
        <f>IFERROR(INDEX(Crosswalk_API!$H$2:$H$527, MATCH(POTABLE_NONPOTABLE_API[[#This Row],[PWSID]], CW_PWSID_LIST, 0)), "")</f>
        <v>No</v>
      </c>
    </row>
    <row r="852" spans="1:24" x14ac:dyDescent="0.25">
      <c r="A852" t="s">
        <v>938</v>
      </c>
      <c r="B852" t="s">
        <v>939</v>
      </c>
      <c r="C852" t="s">
        <v>943</v>
      </c>
      <c r="D852" t="s">
        <v>944</v>
      </c>
      <c r="E852" s="9">
        <v>45413</v>
      </c>
      <c r="F852" s="9">
        <v>45443</v>
      </c>
      <c r="G852">
        <v>7988000</v>
      </c>
      <c r="H852">
        <v>0</v>
      </c>
      <c r="I852">
        <v>236000</v>
      </c>
      <c r="J852">
        <v>465000</v>
      </c>
      <c r="K852">
        <v>0</v>
      </c>
      <c r="L852">
        <v>0</v>
      </c>
      <c r="M852">
        <v>0</v>
      </c>
      <c r="T852" s="9">
        <v>45108</v>
      </c>
      <c r="U852" s="9">
        <v>45473</v>
      </c>
      <c r="V852">
        <f>SUM(POTABLE_NONPOTABLE_API[[#This Row],[RESIDENTIAL_SINGLEFAMILY_GAL]:[OTHER_GAL]])</f>
        <v>8689000</v>
      </c>
      <c r="W852">
        <f>SUM(POTABLE_NONPOTABLE_API[[#This Row],[NONPOTABLE_DEMAND_RESIDENTIAL_RECYCLED_WATER_GAL]:[NONPOTABLE_DEMAND_NONRESIDENTIAL_METERED_IRRIGATION_GAL]])</f>
        <v>0</v>
      </c>
      <c r="X852" t="str">
        <f>IFERROR(INDEX(Crosswalk_API!$H$2:$H$527, MATCH(POTABLE_NONPOTABLE_API[[#This Row],[PWSID]], CW_PWSID_LIST, 0)), "")</f>
        <v>No</v>
      </c>
    </row>
    <row r="853" spans="1:24" x14ac:dyDescent="0.25">
      <c r="A853" t="s">
        <v>938</v>
      </c>
      <c r="B853" t="s">
        <v>939</v>
      </c>
      <c r="C853" t="s">
        <v>943</v>
      </c>
      <c r="D853" t="s">
        <v>944</v>
      </c>
      <c r="E853" s="9">
        <v>45444</v>
      </c>
      <c r="F853" s="9">
        <v>45473</v>
      </c>
      <c r="G853">
        <v>9037000</v>
      </c>
      <c r="H853">
        <v>0</v>
      </c>
      <c r="I853">
        <v>282000</v>
      </c>
      <c r="J853">
        <v>1046999.9999999999</v>
      </c>
      <c r="K853">
        <v>0</v>
      </c>
      <c r="L853">
        <v>0</v>
      </c>
      <c r="M853">
        <v>0</v>
      </c>
      <c r="T853" s="9">
        <v>45108</v>
      </c>
      <c r="U853" s="9">
        <v>45473</v>
      </c>
      <c r="V853">
        <f>SUM(POTABLE_NONPOTABLE_API[[#This Row],[RESIDENTIAL_SINGLEFAMILY_GAL]:[OTHER_GAL]])</f>
        <v>10366000</v>
      </c>
      <c r="W853">
        <f>SUM(POTABLE_NONPOTABLE_API[[#This Row],[NONPOTABLE_DEMAND_RESIDENTIAL_RECYCLED_WATER_GAL]:[NONPOTABLE_DEMAND_NONRESIDENTIAL_METERED_IRRIGATION_GAL]])</f>
        <v>0</v>
      </c>
      <c r="X853" t="str">
        <f>IFERROR(INDEX(Crosswalk_API!$H$2:$H$527, MATCH(POTABLE_NONPOTABLE_API[[#This Row],[PWSID]], CW_PWSID_LIST, 0)), "")</f>
        <v>No</v>
      </c>
    </row>
    <row r="854" spans="1:24" x14ac:dyDescent="0.25">
      <c r="A854" t="s">
        <v>945</v>
      </c>
      <c r="B854" t="s">
        <v>946</v>
      </c>
      <c r="C854" t="s">
        <v>947</v>
      </c>
      <c r="D854" t="s">
        <v>948</v>
      </c>
      <c r="E854" s="9">
        <v>45108</v>
      </c>
      <c r="F854" s="9">
        <v>45138</v>
      </c>
      <c r="G854">
        <v>40040231.351999998</v>
      </c>
      <c r="H854">
        <v>1396613.084</v>
      </c>
      <c r="I854">
        <v>11341216.372</v>
      </c>
      <c r="J854">
        <v>5414400.3760000002</v>
      </c>
      <c r="K854">
        <v>44135.067999999999</v>
      </c>
      <c r="L854">
        <v>1076446.828</v>
      </c>
      <c r="M854">
        <v>0</v>
      </c>
      <c r="T854" s="9">
        <v>45108</v>
      </c>
      <c r="U854" s="9">
        <v>45473</v>
      </c>
      <c r="V854">
        <f>SUM(POTABLE_NONPOTABLE_API[[#This Row],[RESIDENTIAL_SINGLEFAMILY_GAL]:[OTHER_GAL]])</f>
        <v>59313043.080000006</v>
      </c>
      <c r="W854">
        <f>SUM(POTABLE_NONPOTABLE_API[[#This Row],[NONPOTABLE_DEMAND_RESIDENTIAL_RECYCLED_WATER_GAL]:[NONPOTABLE_DEMAND_NONRESIDENTIAL_METERED_IRRIGATION_GAL]])</f>
        <v>0</v>
      </c>
      <c r="X854" t="str">
        <f>IFERROR(INDEX(Crosswalk_API!$H$2:$H$527, MATCH(POTABLE_NONPOTABLE_API[[#This Row],[PWSID]], CW_PWSID_LIST, 0)), "")</f>
        <v>No</v>
      </c>
    </row>
    <row r="855" spans="1:24" x14ac:dyDescent="0.25">
      <c r="A855" t="s">
        <v>945</v>
      </c>
      <c r="B855" t="s">
        <v>946</v>
      </c>
      <c r="C855" t="s">
        <v>947</v>
      </c>
      <c r="D855" t="s">
        <v>948</v>
      </c>
      <c r="E855" s="9">
        <v>45139</v>
      </c>
      <c r="F855" s="9">
        <v>45169</v>
      </c>
      <c r="G855">
        <v>51094943.807999998</v>
      </c>
      <c r="H855">
        <v>1644966.348</v>
      </c>
      <c r="I855">
        <v>10127127.976</v>
      </c>
      <c r="J855">
        <v>19272811.728</v>
      </c>
      <c r="K855">
        <v>55355.847999999998</v>
      </c>
      <c r="L855">
        <v>470524.70799999998</v>
      </c>
      <c r="M855">
        <v>0</v>
      </c>
      <c r="T855" s="9">
        <v>45108</v>
      </c>
      <c r="U855" s="9">
        <v>45473</v>
      </c>
      <c r="V855">
        <f>SUM(POTABLE_NONPOTABLE_API[[#This Row],[RESIDENTIAL_SINGLEFAMILY_GAL]:[OTHER_GAL]])</f>
        <v>82665730.416000009</v>
      </c>
      <c r="W855">
        <f>SUM(POTABLE_NONPOTABLE_API[[#This Row],[NONPOTABLE_DEMAND_RESIDENTIAL_RECYCLED_WATER_GAL]:[NONPOTABLE_DEMAND_NONRESIDENTIAL_METERED_IRRIGATION_GAL]])</f>
        <v>0</v>
      </c>
      <c r="X855" t="str">
        <f>IFERROR(INDEX(Crosswalk_API!$H$2:$H$527, MATCH(POTABLE_NONPOTABLE_API[[#This Row],[PWSID]], CW_PWSID_LIST, 0)), "")</f>
        <v>No</v>
      </c>
    </row>
    <row r="856" spans="1:24" x14ac:dyDescent="0.25">
      <c r="A856" t="s">
        <v>945</v>
      </c>
      <c r="B856" t="s">
        <v>946</v>
      </c>
      <c r="C856" t="s">
        <v>947</v>
      </c>
      <c r="D856" t="s">
        <v>948</v>
      </c>
      <c r="E856" s="9">
        <v>45170</v>
      </c>
      <c r="F856" s="9">
        <v>45199</v>
      </c>
      <c r="G856">
        <v>42819244.531999998</v>
      </c>
      <c r="H856">
        <v>1355470.2239999999</v>
      </c>
      <c r="I856">
        <v>11599294.312000001</v>
      </c>
      <c r="J856">
        <v>6240249.784</v>
      </c>
      <c r="K856">
        <v>61340.264000000003</v>
      </c>
      <c r="L856">
        <v>38898.703999999998</v>
      </c>
      <c r="M856">
        <v>0</v>
      </c>
      <c r="T856" s="9">
        <v>45108</v>
      </c>
      <c r="U856" s="9">
        <v>45473</v>
      </c>
      <c r="V856">
        <f>SUM(POTABLE_NONPOTABLE_API[[#This Row],[RESIDENTIAL_SINGLEFAMILY_GAL]:[OTHER_GAL]])</f>
        <v>62114497.82</v>
      </c>
      <c r="W856">
        <f>SUM(POTABLE_NONPOTABLE_API[[#This Row],[NONPOTABLE_DEMAND_RESIDENTIAL_RECYCLED_WATER_GAL]:[NONPOTABLE_DEMAND_NONRESIDENTIAL_METERED_IRRIGATION_GAL]])</f>
        <v>0</v>
      </c>
      <c r="X856" t="str">
        <f>IFERROR(INDEX(Crosswalk_API!$H$2:$H$527, MATCH(POTABLE_NONPOTABLE_API[[#This Row],[PWSID]], CW_PWSID_LIST, 0)), "")</f>
        <v>No</v>
      </c>
    </row>
    <row r="857" spans="1:24" x14ac:dyDescent="0.25">
      <c r="A857" t="s">
        <v>945</v>
      </c>
      <c r="B857" t="s">
        <v>946</v>
      </c>
      <c r="C857" t="s">
        <v>947</v>
      </c>
      <c r="D857" t="s">
        <v>948</v>
      </c>
      <c r="E857" s="9">
        <v>45200</v>
      </c>
      <c r="F857" s="9">
        <v>45230</v>
      </c>
      <c r="G857">
        <v>49492616.424000002</v>
      </c>
      <c r="H857">
        <v>1422794.9040000001</v>
      </c>
      <c r="I857">
        <v>7530639.4840000002</v>
      </c>
      <c r="J857">
        <v>3747740.52</v>
      </c>
      <c r="K857">
        <v>65828.576000000001</v>
      </c>
      <c r="L857">
        <v>34410.392</v>
      </c>
      <c r="M857">
        <v>0</v>
      </c>
      <c r="T857" s="9">
        <v>45108</v>
      </c>
      <c r="U857" s="9">
        <v>45473</v>
      </c>
      <c r="V857">
        <f>SUM(POTABLE_NONPOTABLE_API[[#This Row],[RESIDENTIAL_SINGLEFAMILY_GAL]:[OTHER_GAL]])</f>
        <v>62294030.299999997</v>
      </c>
      <c r="W857">
        <f>SUM(POTABLE_NONPOTABLE_API[[#This Row],[NONPOTABLE_DEMAND_RESIDENTIAL_RECYCLED_WATER_GAL]:[NONPOTABLE_DEMAND_NONRESIDENTIAL_METERED_IRRIGATION_GAL]])</f>
        <v>0</v>
      </c>
      <c r="X857" t="str">
        <f>IFERROR(INDEX(Crosswalk_API!$H$2:$H$527, MATCH(POTABLE_NONPOTABLE_API[[#This Row],[PWSID]], CW_PWSID_LIST, 0)), "")</f>
        <v>No</v>
      </c>
    </row>
    <row r="858" spans="1:24" x14ac:dyDescent="0.25">
      <c r="A858" t="s">
        <v>945</v>
      </c>
      <c r="B858" t="s">
        <v>946</v>
      </c>
      <c r="C858" t="s">
        <v>947</v>
      </c>
      <c r="D858" t="s">
        <v>948</v>
      </c>
      <c r="E858" s="9">
        <v>45231</v>
      </c>
      <c r="F858" s="9">
        <v>45260</v>
      </c>
      <c r="G858">
        <v>25762162.828000002</v>
      </c>
      <c r="H858">
        <v>1122078</v>
      </c>
      <c r="I858">
        <v>6113828.9960000003</v>
      </c>
      <c r="J858">
        <v>821361.09600000002</v>
      </c>
      <c r="K858">
        <v>59096.108</v>
      </c>
      <c r="L858">
        <v>17205.196</v>
      </c>
      <c r="M858">
        <v>0</v>
      </c>
      <c r="T858" s="9">
        <v>45108</v>
      </c>
      <c r="U858" s="9">
        <v>45473</v>
      </c>
      <c r="V858">
        <f>SUM(POTABLE_NONPOTABLE_API[[#This Row],[RESIDENTIAL_SINGLEFAMILY_GAL]:[OTHER_GAL]])</f>
        <v>33895732.224000007</v>
      </c>
      <c r="W858">
        <f>SUM(POTABLE_NONPOTABLE_API[[#This Row],[NONPOTABLE_DEMAND_RESIDENTIAL_RECYCLED_WATER_GAL]:[NONPOTABLE_DEMAND_NONRESIDENTIAL_METERED_IRRIGATION_GAL]])</f>
        <v>0</v>
      </c>
      <c r="X858" t="str">
        <f>IFERROR(INDEX(Crosswalk_API!$H$2:$H$527, MATCH(POTABLE_NONPOTABLE_API[[#This Row],[PWSID]], CW_PWSID_LIST, 0)), "")</f>
        <v>No</v>
      </c>
    </row>
    <row r="859" spans="1:24" x14ac:dyDescent="0.25">
      <c r="A859" t="s">
        <v>945</v>
      </c>
      <c r="B859" t="s">
        <v>946</v>
      </c>
      <c r="C859" t="s">
        <v>947</v>
      </c>
      <c r="D859" t="s">
        <v>948</v>
      </c>
      <c r="E859" s="9">
        <v>45261</v>
      </c>
      <c r="F859" s="9">
        <v>45291</v>
      </c>
      <c r="G859">
        <v>26148157.66</v>
      </c>
      <c r="H859">
        <v>1077194.8800000001</v>
      </c>
      <c r="I859">
        <v>4430711.9960000003</v>
      </c>
      <c r="J859">
        <v>20197.404000000002</v>
      </c>
      <c r="K859">
        <v>69568.835999999996</v>
      </c>
      <c r="L859">
        <v>0</v>
      </c>
      <c r="M859">
        <v>0</v>
      </c>
      <c r="T859" s="9">
        <v>45108</v>
      </c>
      <c r="U859" s="9">
        <v>45473</v>
      </c>
      <c r="V859">
        <f>SUM(POTABLE_NONPOTABLE_API[[#This Row],[RESIDENTIAL_SINGLEFAMILY_GAL]:[OTHER_GAL]])</f>
        <v>31745830.775999997</v>
      </c>
      <c r="W859">
        <f>SUM(POTABLE_NONPOTABLE_API[[#This Row],[NONPOTABLE_DEMAND_RESIDENTIAL_RECYCLED_WATER_GAL]:[NONPOTABLE_DEMAND_NONRESIDENTIAL_METERED_IRRIGATION_GAL]])</f>
        <v>0</v>
      </c>
      <c r="X859" t="str">
        <f>IFERROR(INDEX(Crosswalk_API!$H$2:$H$527, MATCH(POTABLE_NONPOTABLE_API[[#This Row],[PWSID]], CW_PWSID_LIST, 0)), "")</f>
        <v>No</v>
      </c>
    </row>
    <row r="860" spans="1:24" x14ac:dyDescent="0.25">
      <c r="A860" t="s">
        <v>945</v>
      </c>
      <c r="B860" t="s">
        <v>946</v>
      </c>
      <c r="C860" t="s">
        <v>947</v>
      </c>
      <c r="D860" t="s">
        <v>948</v>
      </c>
      <c r="E860" s="9">
        <v>45292</v>
      </c>
      <c r="F860" s="9">
        <v>45322</v>
      </c>
      <c r="G860">
        <v>24691700.416000001</v>
      </c>
      <c r="H860">
        <v>1073454.6200000001</v>
      </c>
      <c r="I860">
        <v>4445673.0360000003</v>
      </c>
      <c r="J860">
        <v>2436405.3640000001</v>
      </c>
      <c r="K860">
        <v>62088.315999999999</v>
      </c>
      <c r="L860">
        <v>748.05200000000002</v>
      </c>
      <c r="M860">
        <v>0</v>
      </c>
      <c r="T860" s="9">
        <v>45108</v>
      </c>
      <c r="U860" s="9">
        <v>45473</v>
      </c>
      <c r="V860">
        <f>SUM(POTABLE_NONPOTABLE_API[[#This Row],[RESIDENTIAL_SINGLEFAMILY_GAL]:[OTHER_GAL]])</f>
        <v>32710069.804000005</v>
      </c>
      <c r="W860">
        <f>SUM(POTABLE_NONPOTABLE_API[[#This Row],[NONPOTABLE_DEMAND_RESIDENTIAL_RECYCLED_WATER_GAL]:[NONPOTABLE_DEMAND_NONRESIDENTIAL_METERED_IRRIGATION_GAL]])</f>
        <v>0</v>
      </c>
      <c r="X860" t="str">
        <f>IFERROR(INDEX(Crosswalk_API!$H$2:$H$527, MATCH(POTABLE_NONPOTABLE_API[[#This Row],[PWSID]], CW_PWSID_LIST, 0)), "")</f>
        <v>No</v>
      </c>
    </row>
    <row r="861" spans="1:24" x14ac:dyDescent="0.25">
      <c r="A861" t="s">
        <v>945</v>
      </c>
      <c r="B861" t="s">
        <v>946</v>
      </c>
      <c r="C861" t="s">
        <v>947</v>
      </c>
      <c r="D861" t="s">
        <v>948</v>
      </c>
      <c r="E861" s="9">
        <v>45323</v>
      </c>
      <c r="F861" s="9">
        <v>45351</v>
      </c>
      <c r="G861">
        <v>23026536.664000001</v>
      </c>
      <c r="H861">
        <v>1079439.0360000001</v>
      </c>
      <c r="I861">
        <v>9806213.6679999996</v>
      </c>
      <c r="J861">
        <v>1146015.6640000001</v>
      </c>
      <c r="K861">
        <v>59844.160000000003</v>
      </c>
      <c r="L861">
        <v>0</v>
      </c>
      <c r="M861">
        <v>0</v>
      </c>
      <c r="T861" s="9">
        <v>45108</v>
      </c>
      <c r="U861" s="9">
        <v>45473</v>
      </c>
      <c r="V861">
        <f>SUM(POTABLE_NONPOTABLE_API[[#This Row],[RESIDENTIAL_SINGLEFAMILY_GAL]:[OTHER_GAL]])</f>
        <v>35118049.191999994</v>
      </c>
      <c r="W861">
        <f>SUM(POTABLE_NONPOTABLE_API[[#This Row],[NONPOTABLE_DEMAND_RESIDENTIAL_RECYCLED_WATER_GAL]:[NONPOTABLE_DEMAND_NONRESIDENTIAL_METERED_IRRIGATION_GAL]])</f>
        <v>0</v>
      </c>
      <c r="X861" t="str">
        <f>IFERROR(INDEX(Crosswalk_API!$H$2:$H$527, MATCH(POTABLE_NONPOTABLE_API[[#This Row],[PWSID]], CW_PWSID_LIST, 0)), "")</f>
        <v>No</v>
      </c>
    </row>
    <row r="862" spans="1:24" x14ac:dyDescent="0.25">
      <c r="A862" t="s">
        <v>945</v>
      </c>
      <c r="B862" t="s">
        <v>946</v>
      </c>
      <c r="C862" t="s">
        <v>947</v>
      </c>
      <c r="D862" t="s">
        <v>948</v>
      </c>
      <c r="E862" s="9">
        <v>45352</v>
      </c>
      <c r="F862" s="9">
        <v>45382</v>
      </c>
      <c r="G862">
        <v>24164323.756000001</v>
      </c>
      <c r="H862">
        <v>1094400.0760000001</v>
      </c>
      <c r="I862">
        <v>9994722.7719999999</v>
      </c>
      <c r="J862">
        <v>1244758.5279999999</v>
      </c>
      <c r="K862">
        <v>88270.135999999999</v>
      </c>
      <c r="L862">
        <v>748.05200000000002</v>
      </c>
      <c r="M862">
        <v>0</v>
      </c>
      <c r="T862" s="9">
        <v>45108</v>
      </c>
      <c r="U862" s="9">
        <v>45473</v>
      </c>
      <c r="V862">
        <f>SUM(POTABLE_NONPOTABLE_API[[#This Row],[RESIDENTIAL_SINGLEFAMILY_GAL]:[OTHER_GAL]])</f>
        <v>36587223.32</v>
      </c>
      <c r="W862">
        <f>SUM(POTABLE_NONPOTABLE_API[[#This Row],[NONPOTABLE_DEMAND_RESIDENTIAL_RECYCLED_WATER_GAL]:[NONPOTABLE_DEMAND_NONRESIDENTIAL_METERED_IRRIGATION_GAL]])</f>
        <v>0</v>
      </c>
      <c r="X862" t="str">
        <f>IFERROR(INDEX(Crosswalk_API!$H$2:$H$527, MATCH(POTABLE_NONPOTABLE_API[[#This Row],[PWSID]], CW_PWSID_LIST, 0)), "")</f>
        <v>No</v>
      </c>
    </row>
    <row r="863" spans="1:24" x14ac:dyDescent="0.25">
      <c r="A863" t="s">
        <v>945</v>
      </c>
      <c r="B863" t="s">
        <v>946</v>
      </c>
      <c r="C863" t="s">
        <v>947</v>
      </c>
      <c r="D863" t="s">
        <v>948</v>
      </c>
      <c r="E863" s="9">
        <v>45383</v>
      </c>
      <c r="F863" s="9">
        <v>45412</v>
      </c>
      <c r="G863">
        <v>24099243.232000001</v>
      </c>
      <c r="H863">
        <v>992665.00400000007</v>
      </c>
      <c r="I863">
        <v>3666202.852</v>
      </c>
      <c r="J863">
        <v>3304893.736</v>
      </c>
      <c r="K863">
        <v>62088.315999999999</v>
      </c>
      <c r="L863">
        <v>0</v>
      </c>
      <c r="M863">
        <v>0</v>
      </c>
      <c r="T863" s="9">
        <v>45108</v>
      </c>
      <c r="U863" s="9">
        <v>45473</v>
      </c>
      <c r="V863">
        <f>SUM(POTABLE_NONPOTABLE_API[[#This Row],[RESIDENTIAL_SINGLEFAMILY_GAL]:[OTHER_GAL]])</f>
        <v>32125093.140000001</v>
      </c>
      <c r="W863">
        <f>SUM(POTABLE_NONPOTABLE_API[[#This Row],[NONPOTABLE_DEMAND_RESIDENTIAL_RECYCLED_WATER_GAL]:[NONPOTABLE_DEMAND_NONRESIDENTIAL_METERED_IRRIGATION_GAL]])</f>
        <v>0</v>
      </c>
      <c r="X863" t="str">
        <f>IFERROR(INDEX(Crosswalk_API!$H$2:$H$527, MATCH(POTABLE_NONPOTABLE_API[[#This Row],[PWSID]], CW_PWSID_LIST, 0)), "")</f>
        <v>No</v>
      </c>
    </row>
    <row r="864" spans="1:24" x14ac:dyDescent="0.25">
      <c r="A864" t="s">
        <v>945</v>
      </c>
      <c r="B864" t="s">
        <v>946</v>
      </c>
      <c r="C864" t="s">
        <v>947</v>
      </c>
      <c r="D864" t="s">
        <v>948</v>
      </c>
      <c r="E864" s="9">
        <v>45413</v>
      </c>
      <c r="F864" s="9">
        <v>45443</v>
      </c>
      <c r="G864">
        <v>30679108.624000002</v>
      </c>
      <c r="H864">
        <v>1209600.084</v>
      </c>
      <c r="I864">
        <v>4918441.9000000004</v>
      </c>
      <c r="J864">
        <v>3176228.7919999999</v>
      </c>
      <c r="K864">
        <v>58348.056000000004</v>
      </c>
      <c r="L864">
        <v>0</v>
      </c>
      <c r="M864">
        <v>0</v>
      </c>
      <c r="T864" s="9">
        <v>45108</v>
      </c>
      <c r="U864" s="9">
        <v>45473</v>
      </c>
      <c r="V864">
        <f>SUM(POTABLE_NONPOTABLE_API[[#This Row],[RESIDENTIAL_SINGLEFAMILY_GAL]:[OTHER_GAL]])</f>
        <v>40041727.456000008</v>
      </c>
      <c r="W864">
        <f>SUM(POTABLE_NONPOTABLE_API[[#This Row],[NONPOTABLE_DEMAND_RESIDENTIAL_RECYCLED_WATER_GAL]:[NONPOTABLE_DEMAND_NONRESIDENTIAL_METERED_IRRIGATION_GAL]])</f>
        <v>0</v>
      </c>
      <c r="X864" t="str">
        <f>IFERROR(INDEX(Crosswalk_API!$H$2:$H$527, MATCH(POTABLE_NONPOTABLE_API[[#This Row],[PWSID]], CW_PWSID_LIST, 0)), "")</f>
        <v>No</v>
      </c>
    </row>
    <row r="865" spans="1:24" x14ac:dyDescent="0.25">
      <c r="A865" t="s">
        <v>945</v>
      </c>
      <c r="B865" t="s">
        <v>946</v>
      </c>
      <c r="C865" t="s">
        <v>947</v>
      </c>
      <c r="D865" t="s">
        <v>948</v>
      </c>
      <c r="E865" s="9">
        <v>45444</v>
      </c>
      <c r="F865" s="9">
        <v>45473</v>
      </c>
      <c r="G865">
        <v>37306849.344000004</v>
      </c>
      <c r="H865">
        <v>1235781.9040000001</v>
      </c>
      <c r="I865">
        <v>4690286.04</v>
      </c>
      <c r="J865">
        <v>9795740.9399999995</v>
      </c>
      <c r="K865">
        <v>61340.264000000003</v>
      </c>
      <c r="L865">
        <v>4488.3119999999999</v>
      </c>
      <c r="M865">
        <v>0</v>
      </c>
      <c r="T865" s="9">
        <v>45108</v>
      </c>
      <c r="U865" s="9">
        <v>45473</v>
      </c>
      <c r="V865">
        <f>SUM(POTABLE_NONPOTABLE_API[[#This Row],[RESIDENTIAL_SINGLEFAMILY_GAL]:[OTHER_GAL]])</f>
        <v>53094486.803999998</v>
      </c>
      <c r="W865">
        <f>SUM(POTABLE_NONPOTABLE_API[[#This Row],[NONPOTABLE_DEMAND_RESIDENTIAL_RECYCLED_WATER_GAL]:[NONPOTABLE_DEMAND_NONRESIDENTIAL_METERED_IRRIGATION_GAL]])</f>
        <v>0</v>
      </c>
      <c r="X865" t="str">
        <f>IFERROR(INDEX(Crosswalk_API!$H$2:$H$527, MATCH(POTABLE_NONPOTABLE_API[[#This Row],[PWSID]], CW_PWSID_LIST, 0)), "")</f>
        <v>No</v>
      </c>
    </row>
    <row r="866" spans="1:24" x14ac:dyDescent="0.25">
      <c r="A866" t="s">
        <v>949</v>
      </c>
      <c r="B866" t="s">
        <v>950</v>
      </c>
      <c r="C866" t="s">
        <v>951</v>
      </c>
      <c r="D866" t="s">
        <v>952</v>
      </c>
      <c r="E866" s="9">
        <v>45108</v>
      </c>
      <c r="F866" s="9">
        <v>45138</v>
      </c>
      <c r="G866">
        <v>948940910.79999995</v>
      </c>
      <c r="H866">
        <v>99851151</v>
      </c>
      <c r="I866">
        <v>471106250</v>
      </c>
      <c r="J866">
        <v>0</v>
      </c>
      <c r="K866">
        <v>1511162</v>
      </c>
      <c r="L866">
        <v>6248131</v>
      </c>
      <c r="M866">
        <v>0</v>
      </c>
      <c r="T866" s="9">
        <v>45108</v>
      </c>
      <c r="U866" s="9">
        <v>45473</v>
      </c>
      <c r="V866">
        <f>SUM(POTABLE_NONPOTABLE_API[[#This Row],[RESIDENTIAL_SINGLEFAMILY_GAL]:[OTHER_GAL]])</f>
        <v>1527657604.8</v>
      </c>
      <c r="W866">
        <f>SUM(POTABLE_NONPOTABLE_API[[#This Row],[NONPOTABLE_DEMAND_RESIDENTIAL_RECYCLED_WATER_GAL]:[NONPOTABLE_DEMAND_NONRESIDENTIAL_METERED_IRRIGATION_GAL]])</f>
        <v>0</v>
      </c>
      <c r="X866" t="str">
        <f>IFERROR(INDEX(Crosswalk_API!$H$2:$H$527, MATCH(POTABLE_NONPOTABLE_API[[#This Row],[PWSID]], CW_PWSID_LIST, 0)), "")</f>
        <v>No</v>
      </c>
    </row>
    <row r="867" spans="1:24" x14ac:dyDescent="0.25">
      <c r="A867" t="s">
        <v>949</v>
      </c>
      <c r="B867" t="s">
        <v>950</v>
      </c>
      <c r="C867" t="s">
        <v>951</v>
      </c>
      <c r="D867" t="s">
        <v>952</v>
      </c>
      <c r="E867" s="9">
        <v>45139</v>
      </c>
      <c r="F867" s="9">
        <v>45169</v>
      </c>
      <c r="G867">
        <v>903078640</v>
      </c>
      <c r="H867">
        <v>92752430</v>
      </c>
      <c r="I867">
        <v>575359970</v>
      </c>
      <c r="J867">
        <v>0</v>
      </c>
      <c r="K867">
        <v>1479742</v>
      </c>
      <c r="L867">
        <v>5752141</v>
      </c>
      <c r="M867">
        <v>0</v>
      </c>
      <c r="T867" s="9">
        <v>45108</v>
      </c>
      <c r="U867" s="9">
        <v>45473</v>
      </c>
      <c r="V867">
        <f>SUM(POTABLE_NONPOTABLE_API[[#This Row],[RESIDENTIAL_SINGLEFAMILY_GAL]:[OTHER_GAL]])</f>
        <v>1578422923</v>
      </c>
      <c r="W867">
        <f>SUM(POTABLE_NONPOTABLE_API[[#This Row],[NONPOTABLE_DEMAND_RESIDENTIAL_RECYCLED_WATER_GAL]:[NONPOTABLE_DEMAND_NONRESIDENTIAL_METERED_IRRIGATION_GAL]])</f>
        <v>0</v>
      </c>
      <c r="X867" t="str">
        <f>IFERROR(INDEX(Crosswalk_API!$H$2:$H$527, MATCH(POTABLE_NONPOTABLE_API[[#This Row],[PWSID]], CW_PWSID_LIST, 0)), "")</f>
        <v>No</v>
      </c>
    </row>
    <row r="868" spans="1:24" x14ac:dyDescent="0.25">
      <c r="A868" t="s">
        <v>949</v>
      </c>
      <c r="B868" t="s">
        <v>950</v>
      </c>
      <c r="C868" t="s">
        <v>951</v>
      </c>
      <c r="D868" t="s">
        <v>952</v>
      </c>
      <c r="E868" s="9">
        <v>45170</v>
      </c>
      <c r="F868" s="9">
        <v>45199</v>
      </c>
      <c r="G868">
        <v>873429193</v>
      </c>
      <c r="H868">
        <v>102744054</v>
      </c>
      <c r="I868">
        <v>496602994</v>
      </c>
      <c r="J868">
        <v>0</v>
      </c>
      <c r="K868">
        <v>1966007</v>
      </c>
      <c r="L868">
        <v>3932014</v>
      </c>
      <c r="M868">
        <v>0</v>
      </c>
      <c r="T868" s="9">
        <v>45108</v>
      </c>
      <c r="U868" s="9">
        <v>45473</v>
      </c>
      <c r="V868">
        <f>SUM(POTABLE_NONPOTABLE_API[[#This Row],[RESIDENTIAL_SINGLEFAMILY_GAL]:[OTHER_GAL]])</f>
        <v>1478674262</v>
      </c>
      <c r="W868">
        <f>SUM(POTABLE_NONPOTABLE_API[[#This Row],[NONPOTABLE_DEMAND_RESIDENTIAL_RECYCLED_WATER_GAL]:[NONPOTABLE_DEMAND_NONRESIDENTIAL_METERED_IRRIGATION_GAL]])</f>
        <v>0</v>
      </c>
      <c r="X868" t="str">
        <f>IFERROR(INDEX(Crosswalk_API!$H$2:$H$527, MATCH(POTABLE_NONPOTABLE_API[[#This Row],[PWSID]], CW_PWSID_LIST, 0)), "")</f>
        <v>No</v>
      </c>
    </row>
    <row r="869" spans="1:24" x14ac:dyDescent="0.25">
      <c r="A869" t="s">
        <v>949</v>
      </c>
      <c r="B869" t="s">
        <v>950</v>
      </c>
      <c r="C869" t="s">
        <v>951</v>
      </c>
      <c r="D869" t="s">
        <v>952</v>
      </c>
      <c r="E869" s="9">
        <v>45200</v>
      </c>
      <c r="F869" s="9">
        <v>45230</v>
      </c>
      <c r="G869">
        <v>735846035.51600003</v>
      </c>
      <c r="H869">
        <v>84529876</v>
      </c>
      <c r="I869">
        <v>417834169.27600002</v>
      </c>
      <c r="J869">
        <v>0</v>
      </c>
      <c r="K869">
        <v>1359958.5360000001</v>
      </c>
      <c r="L869">
        <v>4370119.784</v>
      </c>
      <c r="M869">
        <v>0</v>
      </c>
      <c r="T869" s="9">
        <v>45108</v>
      </c>
      <c r="U869" s="9">
        <v>45473</v>
      </c>
      <c r="V869">
        <f>SUM(POTABLE_NONPOTABLE_API[[#This Row],[RESIDENTIAL_SINGLEFAMILY_GAL]:[OTHER_GAL]])</f>
        <v>1243940159.112</v>
      </c>
      <c r="W869">
        <f>SUM(POTABLE_NONPOTABLE_API[[#This Row],[NONPOTABLE_DEMAND_RESIDENTIAL_RECYCLED_WATER_GAL]:[NONPOTABLE_DEMAND_NONRESIDENTIAL_METERED_IRRIGATION_GAL]])</f>
        <v>0</v>
      </c>
      <c r="X869" t="str">
        <f>IFERROR(INDEX(Crosswalk_API!$H$2:$H$527, MATCH(POTABLE_NONPOTABLE_API[[#This Row],[PWSID]], CW_PWSID_LIST, 0)), "")</f>
        <v>No</v>
      </c>
    </row>
    <row r="870" spans="1:24" x14ac:dyDescent="0.25">
      <c r="A870" t="s">
        <v>949</v>
      </c>
      <c r="B870" t="s">
        <v>950</v>
      </c>
      <c r="C870" t="s">
        <v>951</v>
      </c>
      <c r="D870" t="s">
        <v>952</v>
      </c>
      <c r="E870" s="9">
        <v>45231</v>
      </c>
      <c r="F870" s="9">
        <v>45260</v>
      </c>
      <c r="G870">
        <v>629568791.77200007</v>
      </c>
      <c r="H870">
        <v>83277636.952000007</v>
      </c>
      <c r="I870">
        <v>323636469.22799999</v>
      </c>
      <c r="J870">
        <v>0</v>
      </c>
      <c r="K870">
        <v>1068218.2560000001</v>
      </c>
      <c r="L870">
        <v>5908114.6960000005</v>
      </c>
      <c r="M870">
        <v>0</v>
      </c>
      <c r="T870" s="9">
        <v>45108</v>
      </c>
      <c r="U870" s="9">
        <v>45473</v>
      </c>
      <c r="V870">
        <f>SUM(POTABLE_NONPOTABLE_API[[#This Row],[RESIDENTIAL_SINGLEFAMILY_GAL]:[OTHER_GAL]])</f>
        <v>1043459230.9040002</v>
      </c>
      <c r="W870">
        <f>SUM(POTABLE_NONPOTABLE_API[[#This Row],[NONPOTABLE_DEMAND_RESIDENTIAL_RECYCLED_WATER_GAL]:[NONPOTABLE_DEMAND_NONRESIDENTIAL_METERED_IRRIGATION_GAL]])</f>
        <v>0</v>
      </c>
      <c r="X870" t="str">
        <f>IFERROR(INDEX(Crosswalk_API!$H$2:$H$527, MATCH(POTABLE_NONPOTABLE_API[[#This Row],[PWSID]], CW_PWSID_LIST, 0)), "")</f>
        <v>No</v>
      </c>
    </row>
    <row r="871" spans="1:24" x14ac:dyDescent="0.25">
      <c r="A871" t="s">
        <v>949</v>
      </c>
      <c r="B871" t="s">
        <v>950</v>
      </c>
      <c r="C871" t="s">
        <v>951</v>
      </c>
      <c r="D871" t="s">
        <v>952</v>
      </c>
      <c r="E871" s="9">
        <v>45261</v>
      </c>
      <c r="F871" s="9">
        <v>45291</v>
      </c>
      <c r="G871">
        <v>566163904.25199997</v>
      </c>
      <c r="H871">
        <v>78146000.232000008</v>
      </c>
      <c r="I871">
        <v>295494752.98800004</v>
      </c>
      <c r="J871">
        <v>0</v>
      </c>
      <c r="K871">
        <v>889433.82799999998</v>
      </c>
      <c r="L871">
        <v>6380135.5080000004</v>
      </c>
      <c r="M871">
        <v>0</v>
      </c>
      <c r="T871" s="9">
        <v>45108</v>
      </c>
      <c r="U871" s="9">
        <v>45473</v>
      </c>
      <c r="V871">
        <f>SUM(POTABLE_NONPOTABLE_API[[#This Row],[RESIDENTIAL_SINGLEFAMILY_GAL]:[OTHER_GAL]])</f>
        <v>947074226.80799997</v>
      </c>
      <c r="W871">
        <f>SUM(POTABLE_NONPOTABLE_API[[#This Row],[NONPOTABLE_DEMAND_RESIDENTIAL_RECYCLED_WATER_GAL]:[NONPOTABLE_DEMAND_NONRESIDENTIAL_METERED_IRRIGATION_GAL]])</f>
        <v>0</v>
      </c>
      <c r="X871" t="str">
        <f>IFERROR(INDEX(Crosswalk_API!$H$2:$H$527, MATCH(POTABLE_NONPOTABLE_API[[#This Row],[PWSID]], CW_PWSID_LIST, 0)), "")</f>
        <v>No</v>
      </c>
    </row>
    <row r="872" spans="1:24" x14ac:dyDescent="0.25">
      <c r="A872" t="s">
        <v>949</v>
      </c>
      <c r="B872" t="s">
        <v>950</v>
      </c>
      <c r="C872" t="s">
        <v>951</v>
      </c>
      <c r="D872" t="s">
        <v>952</v>
      </c>
      <c r="E872" s="9">
        <v>45292</v>
      </c>
      <c r="F872" s="9">
        <v>45322</v>
      </c>
      <c r="G872">
        <v>459821579.98400003</v>
      </c>
      <c r="H872">
        <v>76141968.923999995</v>
      </c>
      <c r="I872">
        <v>257159332.14399999</v>
      </c>
      <c r="J872">
        <v>0</v>
      </c>
      <c r="K872">
        <v>1316571.52</v>
      </c>
      <c r="L872">
        <v>8103647.3160000006</v>
      </c>
      <c r="M872">
        <v>0</v>
      </c>
      <c r="T872" s="9">
        <v>45108</v>
      </c>
      <c r="U872" s="9">
        <v>45473</v>
      </c>
      <c r="V872">
        <f>SUM(POTABLE_NONPOTABLE_API[[#This Row],[RESIDENTIAL_SINGLEFAMILY_GAL]:[OTHER_GAL]])</f>
        <v>802543099.88800001</v>
      </c>
      <c r="W872">
        <f>SUM(POTABLE_NONPOTABLE_API[[#This Row],[NONPOTABLE_DEMAND_RESIDENTIAL_RECYCLED_WATER_GAL]:[NONPOTABLE_DEMAND_NONRESIDENTIAL_METERED_IRRIGATION_GAL]])</f>
        <v>0</v>
      </c>
      <c r="X872" t="str">
        <f>IFERROR(INDEX(Crosswalk_API!$H$2:$H$527, MATCH(POTABLE_NONPOTABLE_API[[#This Row],[PWSID]], CW_PWSID_LIST, 0)), "")</f>
        <v>No</v>
      </c>
    </row>
    <row r="873" spans="1:24" x14ac:dyDescent="0.25">
      <c r="A873" t="s">
        <v>949</v>
      </c>
      <c r="B873" t="s">
        <v>950</v>
      </c>
      <c r="C873" t="s">
        <v>951</v>
      </c>
      <c r="D873" t="s">
        <v>952</v>
      </c>
      <c r="E873" s="9">
        <v>45323</v>
      </c>
      <c r="F873" s="9">
        <v>45351</v>
      </c>
      <c r="G873">
        <v>373651225.94800001</v>
      </c>
      <c r="H873">
        <v>63700368.060000002</v>
      </c>
      <c r="I873">
        <v>206015016.90400001</v>
      </c>
      <c r="J873">
        <v>0</v>
      </c>
      <c r="K873">
        <v>1009122.148</v>
      </c>
      <c r="L873">
        <v>617142.9</v>
      </c>
      <c r="M873">
        <v>0</v>
      </c>
      <c r="T873" s="9">
        <v>45108</v>
      </c>
      <c r="U873" s="9">
        <v>45473</v>
      </c>
      <c r="V873">
        <f>SUM(POTABLE_NONPOTABLE_API[[#This Row],[RESIDENTIAL_SINGLEFAMILY_GAL]:[OTHER_GAL]])</f>
        <v>644992875.96000004</v>
      </c>
      <c r="W873">
        <f>SUM(POTABLE_NONPOTABLE_API[[#This Row],[NONPOTABLE_DEMAND_RESIDENTIAL_RECYCLED_WATER_GAL]:[NONPOTABLE_DEMAND_NONRESIDENTIAL_METERED_IRRIGATION_GAL]])</f>
        <v>0</v>
      </c>
      <c r="X873" t="str">
        <f>IFERROR(INDEX(Crosswalk_API!$H$2:$H$527, MATCH(POTABLE_NONPOTABLE_API[[#This Row],[PWSID]], CW_PWSID_LIST, 0)), "")</f>
        <v>No</v>
      </c>
    </row>
    <row r="874" spans="1:24" x14ac:dyDescent="0.25">
      <c r="A874" t="s">
        <v>949</v>
      </c>
      <c r="B874" t="s">
        <v>950</v>
      </c>
      <c r="C874" t="s">
        <v>951</v>
      </c>
      <c r="D874" t="s">
        <v>952</v>
      </c>
      <c r="E874" s="9">
        <v>45352</v>
      </c>
      <c r="F874" s="9">
        <v>45382</v>
      </c>
      <c r="G874">
        <v>396660557.41600001</v>
      </c>
      <c r="H874">
        <v>63651744.68</v>
      </c>
      <c r="I874">
        <v>207387692.324</v>
      </c>
      <c r="J874">
        <v>0</v>
      </c>
      <c r="K874">
        <v>684467.58000000007</v>
      </c>
      <c r="L874">
        <v>890181.88</v>
      </c>
      <c r="M874">
        <v>0</v>
      </c>
      <c r="T874" s="9">
        <v>45108</v>
      </c>
      <c r="U874" s="9">
        <v>45473</v>
      </c>
      <c r="V874">
        <f>SUM(POTABLE_NONPOTABLE_API[[#This Row],[RESIDENTIAL_SINGLEFAMILY_GAL]:[OTHER_GAL]])</f>
        <v>669274643.88000011</v>
      </c>
      <c r="W874">
        <f>SUM(POTABLE_NONPOTABLE_API[[#This Row],[NONPOTABLE_DEMAND_RESIDENTIAL_RECYCLED_WATER_GAL]:[NONPOTABLE_DEMAND_NONRESIDENTIAL_METERED_IRRIGATION_GAL]])</f>
        <v>0</v>
      </c>
      <c r="X874" t="str">
        <f>IFERROR(INDEX(Crosswalk_API!$H$2:$H$527, MATCH(POTABLE_NONPOTABLE_API[[#This Row],[PWSID]], CW_PWSID_LIST, 0)), "")</f>
        <v>No</v>
      </c>
    </row>
    <row r="875" spans="1:24" x14ac:dyDescent="0.25">
      <c r="A875" t="s">
        <v>949</v>
      </c>
      <c r="B875" t="s">
        <v>950</v>
      </c>
      <c r="C875" t="s">
        <v>951</v>
      </c>
      <c r="D875" t="s">
        <v>952</v>
      </c>
      <c r="E875" s="9">
        <v>45383</v>
      </c>
      <c r="F875" s="9">
        <v>45412</v>
      </c>
      <c r="G875">
        <v>448717496.09600002</v>
      </c>
      <c r="H875">
        <v>65896648.732000001</v>
      </c>
      <c r="I875">
        <v>246649201.544</v>
      </c>
      <c r="J875">
        <v>0</v>
      </c>
      <c r="K875">
        <v>695688.36</v>
      </c>
      <c r="L875">
        <v>2149153.3960000002</v>
      </c>
      <c r="M875">
        <v>0</v>
      </c>
      <c r="T875" s="9">
        <v>45108</v>
      </c>
      <c r="U875" s="9">
        <v>45473</v>
      </c>
      <c r="V875">
        <f>SUM(POTABLE_NONPOTABLE_API[[#This Row],[RESIDENTIAL_SINGLEFAMILY_GAL]:[OTHER_GAL]])</f>
        <v>764108188.12800002</v>
      </c>
      <c r="W875">
        <f>SUM(POTABLE_NONPOTABLE_API[[#This Row],[NONPOTABLE_DEMAND_RESIDENTIAL_RECYCLED_WATER_GAL]:[NONPOTABLE_DEMAND_NONRESIDENTIAL_METERED_IRRIGATION_GAL]])</f>
        <v>0</v>
      </c>
      <c r="X875" t="str">
        <f>IFERROR(INDEX(Crosswalk_API!$H$2:$H$527, MATCH(POTABLE_NONPOTABLE_API[[#This Row],[PWSID]], CW_PWSID_LIST, 0)), "")</f>
        <v>No</v>
      </c>
    </row>
    <row r="876" spans="1:24" x14ac:dyDescent="0.25">
      <c r="A876" t="s">
        <v>949</v>
      </c>
      <c r="B876" t="s">
        <v>950</v>
      </c>
      <c r="C876" t="s">
        <v>951</v>
      </c>
      <c r="D876" t="s">
        <v>952</v>
      </c>
      <c r="E876" s="9">
        <v>45413</v>
      </c>
      <c r="F876" s="9">
        <v>45443</v>
      </c>
      <c r="G876">
        <v>623780365.39600003</v>
      </c>
      <c r="H876">
        <v>74363849.320000008</v>
      </c>
      <c r="I876">
        <v>329195243.63999999</v>
      </c>
      <c r="J876">
        <v>0</v>
      </c>
      <c r="K876">
        <v>872976.68400000001</v>
      </c>
      <c r="L876">
        <v>2988467.74</v>
      </c>
      <c r="M876">
        <v>0</v>
      </c>
      <c r="T876" s="9">
        <v>45108</v>
      </c>
      <c r="U876" s="9">
        <v>45473</v>
      </c>
      <c r="V876">
        <f>SUM(POTABLE_NONPOTABLE_API[[#This Row],[RESIDENTIAL_SINGLEFAMILY_GAL]:[OTHER_GAL]])</f>
        <v>1031200902.7800001</v>
      </c>
      <c r="W876">
        <f>SUM(POTABLE_NONPOTABLE_API[[#This Row],[NONPOTABLE_DEMAND_RESIDENTIAL_RECYCLED_WATER_GAL]:[NONPOTABLE_DEMAND_NONRESIDENTIAL_METERED_IRRIGATION_GAL]])</f>
        <v>0</v>
      </c>
      <c r="X876" t="str">
        <f>IFERROR(INDEX(Crosswalk_API!$H$2:$H$527, MATCH(POTABLE_NONPOTABLE_API[[#This Row],[PWSID]], CW_PWSID_LIST, 0)), "")</f>
        <v>No</v>
      </c>
    </row>
    <row r="877" spans="1:24" x14ac:dyDescent="0.25">
      <c r="A877" t="s">
        <v>949</v>
      </c>
      <c r="B877" t="s">
        <v>950</v>
      </c>
      <c r="C877" t="s">
        <v>951</v>
      </c>
      <c r="D877" t="s">
        <v>952</v>
      </c>
      <c r="E877" s="9">
        <v>45444</v>
      </c>
      <c r="F877" s="9">
        <v>45473</v>
      </c>
      <c r="G877">
        <v>898548841.62</v>
      </c>
      <c r="H877">
        <v>93828162.359999999</v>
      </c>
      <c r="I877">
        <v>431427770.22000003</v>
      </c>
      <c r="J877">
        <v>0</v>
      </c>
      <c r="K877">
        <v>1275428.6600000001</v>
      </c>
      <c r="L877">
        <v>4359647.0559999999</v>
      </c>
      <c r="M877">
        <v>0</v>
      </c>
      <c r="T877" s="9">
        <v>45108</v>
      </c>
      <c r="U877" s="9">
        <v>45473</v>
      </c>
      <c r="V877">
        <f>SUM(POTABLE_NONPOTABLE_API[[#This Row],[RESIDENTIAL_SINGLEFAMILY_GAL]:[OTHER_GAL]])</f>
        <v>1429439849.9160001</v>
      </c>
      <c r="W877">
        <f>SUM(POTABLE_NONPOTABLE_API[[#This Row],[NONPOTABLE_DEMAND_RESIDENTIAL_RECYCLED_WATER_GAL]:[NONPOTABLE_DEMAND_NONRESIDENTIAL_METERED_IRRIGATION_GAL]])</f>
        <v>0</v>
      </c>
      <c r="X877" t="str">
        <f>IFERROR(INDEX(Crosswalk_API!$H$2:$H$527, MATCH(POTABLE_NONPOTABLE_API[[#This Row],[PWSID]], CW_PWSID_LIST, 0)), "")</f>
        <v>No</v>
      </c>
    </row>
    <row r="878" spans="1:24" x14ac:dyDescent="0.25">
      <c r="A878" t="s">
        <v>949</v>
      </c>
      <c r="B878" t="s">
        <v>950</v>
      </c>
      <c r="C878" t="s">
        <v>953</v>
      </c>
      <c r="D878" t="s">
        <v>954</v>
      </c>
      <c r="E878" s="9">
        <v>45108</v>
      </c>
      <c r="F878" s="9">
        <v>45138</v>
      </c>
      <c r="G878">
        <v>206664326.03999999</v>
      </c>
      <c r="H878">
        <v>6191626.4040000001</v>
      </c>
      <c r="I878">
        <v>51176481.476000004</v>
      </c>
      <c r="J878">
        <v>0</v>
      </c>
      <c r="K878">
        <v>0</v>
      </c>
      <c r="L878">
        <v>0</v>
      </c>
      <c r="M878">
        <v>0</v>
      </c>
      <c r="T878" s="9">
        <v>45108</v>
      </c>
      <c r="U878" s="9">
        <v>45473</v>
      </c>
      <c r="V878">
        <f>SUM(POTABLE_NONPOTABLE_API[[#This Row],[RESIDENTIAL_SINGLEFAMILY_GAL]:[OTHER_GAL]])</f>
        <v>264032433.92000002</v>
      </c>
      <c r="W878">
        <f>SUM(POTABLE_NONPOTABLE_API[[#This Row],[NONPOTABLE_DEMAND_RESIDENTIAL_RECYCLED_WATER_GAL]:[NONPOTABLE_DEMAND_NONRESIDENTIAL_METERED_IRRIGATION_GAL]])</f>
        <v>0</v>
      </c>
      <c r="X878" t="str">
        <f>IFERROR(INDEX(Crosswalk_API!$H$2:$H$527, MATCH(POTABLE_NONPOTABLE_API[[#This Row],[PWSID]], CW_PWSID_LIST, 0)), "")</f>
        <v>No</v>
      </c>
    </row>
    <row r="879" spans="1:24" x14ac:dyDescent="0.25">
      <c r="A879" t="s">
        <v>949</v>
      </c>
      <c r="B879" t="s">
        <v>950</v>
      </c>
      <c r="C879" t="s">
        <v>953</v>
      </c>
      <c r="D879" t="s">
        <v>954</v>
      </c>
      <c r="E879" s="9">
        <v>45139</v>
      </c>
      <c r="F879" s="9">
        <v>45169</v>
      </c>
      <c r="G879">
        <v>198052751.41600001</v>
      </c>
      <c r="H879">
        <v>6324031.608</v>
      </c>
      <c r="I879">
        <v>56510840.288000003</v>
      </c>
      <c r="J879">
        <v>0</v>
      </c>
      <c r="K879">
        <v>0</v>
      </c>
      <c r="L879">
        <v>0</v>
      </c>
      <c r="M879">
        <v>0</v>
      </c>
      <c r="T879" s="9">
        <v>45108</v>
      </c>
      <c r="U879" s="9">
        <v>45473</v>
      </c>
      <c r="V879">
        <f>SUM(POTABLE_NONPOTABLE_API[[#This Row],[RESIDENTIAL_SINGLEFAMILY_GAL]:[OTHER_GAL]])</f>
        <v>260887623.31200004</v>
      </c>
      <c r="W879">
        <f>SUM(POTABLE_NONPOTABLE_API[[#This Row],[NONPOTABLE_DEMAND_RESIDENTIAL_RECYCLED_WATER_GAL]:[NONPOTABLE_DEMAND_NONRESIDENTIAL_METERED_IRRIGATION_GAL]])</f>
        <v>0</v>
      </c>
      <c r="X879" t="str">
        <f>IFERROR(INDEX(Crosswalk_API!$H$2:$H$527, MATCH(POTABLE_NONPOTABLE_API[[#This Row],[PWSID]], CW_PWSID_LIST, 0)), "")</f>
        <v>No</v>
      </c>
    </row>
    <row r="880" spans="1:24" x14ac:dyDescent="0.25">
      <c r="A880" t="s">
        <v>949</v>
      </c>
      <c r="B880" t="s">
        <v>950</v>
      </c>
      <c r="C880" t="s">
        <v>953</v>
      </c>
      <c r="D880" t="s">
        <v>954</v>
      </c>
      <c r="E880" s="9">
        <v>45170</v>
      </c>
      <c r="F880" s="9">
        <v>45199</v>
      </c>
      <c r="G880">
        <v>200173478.836</v>
      </c>
      <c r="H880">
        <v>6321787.4520000005</v>
      </c>
      <c r="I880">
        <v>52763847.82</v>
      </c>
      <c r="J880">
        <v>0</v>
      </c>
      <c r="K880">
        <v>0</v>
      </c>
      <c r="L880">
        <v>0</v>
      </c>
      <c r="M880">
        <v>0</v>
      </c>
      <c r="T880" s="9">
        <v>45108</v>
      </c>
      <c r="U880" s="9">
        <v>45473</v>
      </c>
      <c r="V880">
        <f>SUM(POTABLE_NONPOTABLE_API[[#This Row],[RESIDENTIAL_SINGLEFAMILY_GAL]:[OTHER_GAL]])</f>
        <v>259259114.10799998</v>
      </c>
      <c r="W880">
        <f>SUM(POTABLE_NONPOTABLE_API[[#This Row],[NONPOTABLE_DEMAND_RESIDENTIAL_RECYCLED_WATER_GAL]:[NONPOTABLE_DEMAND_NONRESIDENTIAL_METERED_IRRIGATION_GAL]])</f>
        <v>0</v>
      </c>
      <c r="X880" t="str">
        <f>IFERROR(INDEX(Crosswalk_API!$H$2:$H$527, MATCH(POTABLE_NONPOTABLE_API[[#This Row],[PWSID]], CW_PWSID_LIST, 0)), "")</f>
        <v>No</v>
      </c>
    </row>
    <row r="881" spans="1:24" x14ac:dyDescent="0.25">
      <c r="A881" t="s">
        <v>949</v>
      </c>
      <c r="B881" t="s">
        <v>950</v>
      </c>
      <c r="C881" t="s">
        <v>953</v>
      </c>
      <c r="D881" t="s">
        <v>954</v>
      </c>
      <c r="E881" s="9">
        <v>45200</v>
      </c>
      <c r="F881" s="9">
        <v>45230</v>
      </c>
      <c r="G881">
        <v>156318930.336</v>
      </c>
      <c r="H881">
        <v>6306826.4120000005</v>
      </c>
      <c r="I881">
        <v>38832875.424000002</v>
      </c>
      <c r="J881">
        <v>0</v>
      </c>
      <c r="K881">
        <v>0</v>
      </c>
      <c r="L881">
        <v>0</v>
      </c>
      <c r="M881">
        <v>0</v>
      </c>
      <c r="T881" s="9">
        <v>45108</v>
      </c>
      <c r="U881" s="9">
        <v>45473</v>
      </c>
      <c r="V881">
        <f>SUM(POTABLE_NONPOTABLE_API[[#This Row],[RESIDENTIAL_SINGLEFAMILY_GAL]:[OTHER_GAL]])</f>
        <v>201458632.17199999</v>
      </c>
      <c r="W881">
        <f>SUM(POTABLE_NONPOTABLE_API[[#This Row],[NONPOTABLE_DEMAND_RESIDENTIAL_RECYCLED_WATER_GAL]:[NONPOTABLE_DEMAND_NONRESIDENTIAL_METERED_IRRIGATION_GAL]])</f>
        <v>0</v>
      </c>
      <c r="X881" t="str">
        <f>IFERROR(INDEX(Crosswalk_API!$H$2:$H$527, MATCH(POTABLE_NONPOTABLE_API[[#This Row],[PWSID]], CW_PWSID_LIST, 0)), "")</f>
        <v>No</v>
      </c>
    </row>
    <row r="882" spans="1:24" x14ac:dyDescent="0.25">
      <c r="A882" t="s">
        <v>949</v>
      </c>
      <c r="B882" t="s">
        <v>950</v>
      </c>
      <c r="C882" t="s">
        <v>953</v>
      </c>
      <c r="D882" t="s">
        <v>954</v>
      </c>
      <c r="E882" s="9">
        <v>45231</v>
      </c>
      <c r="F882" s="9">
        <v>45260</v>
      </c>
      <c r="G882">
        <v>134128715.808</v>
      </c>
      <c r="H882">
        <v>6258951.0839999998</v>
      </c>
      <c r="I882">
        <v>31310464.512000002</v>
      </c>
      <c r="J882">
        <v>0</v>
      </c>
      <c r="K882">
        <v>65080.524000000005</v>
      </c>
      <c r="L882">
        <v>0</v>
      </c>
      <c r="M882">
        <v>0</v>
      </c>
      <c r="T882" s="9">
        <v>45108</v>
      </c>
      <c r="U882" s="9">
        <v>45473</v>
      </c>
      <c r="V882">
        <f>SUM(POTABLE_NONPOTABLE_API[[#This Row],[RESIDENTIAL_SINGLEFAMILY_GAL]:[OTHER_GAL]])</f>
        <v>171763211.92799997</v>
      </c>
      <c r="W882">
        <f>SUM(POTABLE_NONPOTABLE_API[[#This Row],[NONPOTABLE_DEMAND_RESIDENTIAL_RECYCLED_WATER_GAL]:[NONPOTABLE_DEMAND_NONRESIDENTIAL_METERED_IRRIGATION_GAL]])</f>
        <v>0</v>
      </c>
      <c r="X882" t="str">
        <f>IFERROR(INDEX(Crosswalk_API!$H$2:$H$527, MATCH(POTABLE_NONPOTABLE_API[[#This Row],[PWSID]], CW_PWSID_LIST, 0)), "")</f>
        <v>No</v>
      </c>
    </row>
    <row r="883" spans="1:24" x14ac:dyDescent="0.25">
      <c r="A883" t="s">
        <v>949</v>
      </c>
      <c r="B883" t="s">
        <v>950</v>
      </c>
      <c r="C883" t="s">
        <v>953</v>
      </c>
      <c r="D883" t="s">
        <v>954</v>
      </c>
      <c r="E883" s="9">
        <v>45261</v>
      </c>
      <c r="F883" s="9">
        <v>45291</v>
      </c>
      <c r="G883">
        <v>115374304.116</v>
      </c>
      <c r="H883">
        <v>6042764.0559999999</v>
      </c>
      <c r="I883">
        <v>28528459.124000002</v>
      </c>
      <c r="J883">
        <v>0</v>
      </c>
      <c r="K883">
        <v>0</v>
      </c>
      <c r="L883">
        <v>0</v>
      </c>
      <c r="M883">
        <v>0</v>
      </c>
      <c r="T883" s="9">
        <v>45108</v>
      </c>
      <c r="U883" s="9">
        <v>45473</v>
      </c>
      <c r="V883">
        <f>SUM(POTABLE_NONPOTABLE_API[[#This Row],[RESIDENTIAL_SINGLEFAMILY_GAL]:[OTHER_GAL]])</f>
        <v>149945527.296</v>
      </c>
      <c r="W883">
        <f>SUM(POTABLE_NONPOTABLE_API[[#This Row],[NONPOTABLE_DEMAND_RESIDENTIAL_RECYCLED_WATER_GAL]:[NONPOTABLE_DEMAND_NONRESIDENTIAL_METERED_IRRIGATION_GAL]])</f>
        <v>0</v>
      </c>
      <c r="X883" t="str">
        <f>IFERROR(INDEX(Crosswalk_API!$H$2:$H$527, MATCH(POTABLE_NONPOTABLE_API[[#This Row],[PWSID]], CW_PWSID_LIST, 0)), "")</f>
        <v>No</v>
      </c>
    </row>
    <row r="884" spans="1:24" x14ac:dyDescent="0.25">
      <c r="A884" t="s">
        <v>949</v>
      </c>
      <c r="B884" t="s">
        <v>950</v>
      </c>
      <c r="C884" t="s">
        <v>953</v>
      </c>
      <c r="D884" t="s">
        <v>954</v>
      </c>
      <c r="E884" s="9">
        <v>45292</v>
      </c>
      <c r="F884" s="9">
        <v>45322</v>
      </c>
      <c r="G884">
        <v>75674436.423999995</v>
      </c>
      <c r="H884">
        <v>5421132.8440000005</v>
      </c>
      <c r="I884">
        <v>17312915.488000002</v>
      </c>
      <c r="J884">
        <v>0</v>
      </c>
      <c r="K884">
        <v>946285.78</v>
      </c>
      <c r="L884">
        <v>0</v>
      </c>
      <c r="M884">
        <v>0</v>
      </c>
      <c r="T884" s="9">
        <v>45108</v>
      </c>
      <c r="U884" s="9">
        <v>45473</v>
      </c>
      <c r="V884">
        <f>SUM(POTABLE_NONPOTABLE_API[[#This Row],[RESIDENTIAL_SINGLEFAMILY_GAL]:[OTHER_GAL]])</f>
        <v>99354770.535999998</v>
      </c>
      <c r="W884">
        <f>SUM(POTABLE_NONPOTABLE_API[[#This Row],[NONPOTABLE_DEMAND_RESIDENTIAL_RECYCLED_WATER_GAL]:[NONPOTABLE_DEMAND_NONRESIDENTIAL_METERED_IRRIGATION_GAL]])</f>
        <v>0</v>
      </c>
      <c r="X884" t="str">
        <f>IFERROR(INDEX(Crosswalk_API!$H$2:$H$527, MATCH(POTABLE_NONPOTABLE_API[[#This Row],[PWSID]], CW_PWSID_LIST, 0)), "")</f>
        <v>No</v>
      </c>
    </row>
    <row r="885" spans="1:24" x14ac:dyDescent="0.25">
      <c r="A885" t="s">
        <v>949</v>
      </c>
      <c r="B885" t="s">
        <v>950</v>
      </c>
      <c r="C885" t="s">
        <v>953</v>
      </c>
      <c r="D885" t="s">
        <v>954</v>
      </c>
      <c r="E885" s="9">
        <v>45323</v>
      </c>
      <c r="F885" s="9">
        <v>45351</v>
      </c>
      <c r="G885">
        <v>57585042.960000001</v>
      </c>
      <c r="H885">
        <v>5211678.284</v>
      </c>
      <c r="I885">
        <v>16306785.548</v>
      </c>
      <c r="J885">
        <v>0</v>
      </c>
      <c r="K885">
        <v>1315823.4680000001</v>
      </c>
      <c r="L885">
        <v>0</v>
      </c>
      <c r="M885">
        <v>0</v>
      </c>
      <c r="T885" s="9">
        <v>45108</v>
      </c>
      <c r="U885" s="9">
        <v>45473</v>
      </c>
      <c r="V885">
        <f>SUM(POTABLE_NONPOTABLE_API[[#This Row],[RESIDENTIAL_SINGLEFAMILY_GAL]:[OTHER_GAL]])</f>
        <v>80419330.25999999</v>
      </c>
      <c r="W885">
        <f>SUM(POTABLE_NONPOTABLE_API[[#This Row],[NONPOTABLE_DEMAND_RESIDENTIAL_RECYCLED_WATER_GAL]:[NONPOTABLE_DEMAND_NONRESIDENTIAL_METERED_IRRIGATION_GAL]])</f>
        <v>0</v>
      </c>
      <c r="X885" t="str">
        <f>IFERROR(INDEX(Crosswalk_API!$H$2:$H$527, MATCH(POTABLE_NONPOTABLE_API[[#This Row],[PWSID]], CW_PWSID_LIST, 0)), "")</f>
        <v>No</v>
      </c>
    </row>
    <row r="886" spans="1:24" x14ac:dyDescent="0.25">
      <c r="A886" t="s">
        <v>949</v>
      </c>
      <c r="B886" t="s">
        <v>950</v>
      </c>
      <c r="C886" t="s">
        <v>953</v>
      </c>
      <c r="D886" t="s">
        <v>954</v>
      </c>
      <c r="E886" s="9">
        <v>45352</v>
      </c>
      <c r="F886" s="9">
        <v>45382</v>
      </c>
      <c r="G886">
        <v>62760814.748000003</v>
      </c>
      <c r="H886">
        <v>4859345.7920000004</v>
      </c>
      <c r="I886">
        <v>17577725.896000002</v>
      </c>
      <c r="J886">
        <v>0</v>
      </c>
      <c r="K886">
        <v>855771.48800000001</v>
      </c>
      <c r="L886">
        <v>0</v>
      </c>
      <c r="M886">
        <v>0</v>
      </c>
      <c r="T886" s="9">
        <v>45108</v>
      </c>
      <c r="U886" s="9">
        <v>45473</v>
      </c>
      <c r="V886">
        <f>SUM(POTABLE_NONPOTABLE_API[[#This Row],[RESIDENTIAL_SINGLEFAMILY_GAL]:[OTHER_GAL]])</f>
        <v>86053657.92400001</v>
      </c>
      <c r="W886">
        <f>SUM(POTABLE_NONPOTABLE_API[[#This Row],[NONPOTABLE_DEMAND_RESIDENTIAL_RECYCLED_WATER_GAL]:[NONPOTABLE_DEMAND_NONRESIDENTIAL_METERED_IRRIGATION_GAL]])</f>
        <v>0</v>
      </c>
      <c r="X886" t="str">
        <f>IFERROR(INDEX(Crosswalk_API!$H$2:$H$527, MATCH(POTABLE_NONPOTABLE_API[[#This Row],[PWSID]], CW_PWSID_LIST, 0)), "")</f>
        <v>No</v>
      </c>
    </row>
    <row r="887" spans="1:24" x14ac:dyDescent="0.25">
      <c r="A887" t="s">
        <v>949</v>
      </c>
      <c r="B887" t="s">
        <v>950</v>
      </c>
      <c r="C887" t="s">
        <v>953</v>
      </c>
      <c r="D887" t="s">
        <v>954</v>
      </c>
      <c r="E887" s="9">
        <v>45383</v>
      </c>
      <c r="F887" s="9">
        <v>45412</v>
      </c>
      <c r="G887">
        <v>88025522.996000007</v>
      </c>
      <c r="H887">
        <v>4798753.58</v>
      </c>
      <c r="I887">
        <v>24010225.044</v>
      </c>
      <c r="J887">
        <v>0</v>
      </c>
      <c r="K887">
        <v>378514.31200000003</v>
      </c>
      <c r="L887">
        <v>0</v>
      </c>
      <c r="M887">
        <v>0</v>
      </c>
      <c r="T887" s="9">
        <v>45108</v>
      </c>
      <c r="U887" s="9">
        <v>45473</v>
      </c>
      <c r="V887">
        <f>SUM(POTABLE_NONPOTABLE_API[[#This Row],[RESIDENTIAL_SINGLEFAMILY_GAL]:[OTHER_GAL]])</f>
        <v>117213015.93200001</v>
      </c>
      <c r="W887">
        <f>SUM(POTABLE_NONPOTABLE_API[[#This Row],[NONPOTABLE_DEMAND_RESIDENTIAL_RECYCLED_WATER_GAL]:[NONPOTABLE_DEMAND_NONRESIDENTIAL_METERED_IRRIGATION_GAL]])</f>
        <v>0</v>
      </c>
      <c r="X887" t="str">
        <f>IFERROR(INDEX(Crosswalk_API!$H$2:$H$527, MATCH(POTABLE_NONPOTABLE_API[[#This Row],[PWSID]], CW_PWSID_LIST, 0)), "")</f>
        <v>No</v>
      </c>
    </row>
    <row r="888" spans="1:24" x14ac:dyDescent="0.25">
      <c r="A888" t="s">
        <v>949</v>
      </c>
      <c r="B888" t="s">
        <v>950</v>
      </c>
      <c r="C888" t="s">
        <v>953</v>
      </c>
      <c r="D888" t="s">
        <v>954</v>
      </c>
      <c r="E888" s="9">
        <v>45413</v>
      </c>
      <c r="F888" s="9">
        <v>45443</v>
      </c>
      <c r="G888">
        <v>136620477.02000001</v>
      </c>
      <c r="H888">
        <v>5497434.148</v>
      </c>
      <c r="I888">
        <v>36549072.667999998</v>
      </c>
      <c r="J888">
        <v>0</v>
      </c>
      <c r="K888">
        <v>259574.04399999999</v>
      </c>
      <c r="L888">
        <v>0</v>
      </c>
      <c r="M888">
        <v>0</v>
      </c>
      <c r="T888" s="9">
        <v>45108</v>
      </c>
      <c r="U888" s="9">
        <v>45473</v>
      </c>
      <c r="V888">
        <f>SUM(POTABLE_NONPOTABLE_API[[#This Row],[RESIDENTIAL_SINGLEFAMILY_GAL]:[OTHER_GAL]])</f>
        <v>178926557.88000003</v>
      </c>
      <c r="W888">
        <f>SUM(POTABLE_NONPOTABLE_API[[#This Row],[NONPOTABLE_DEMAND_RESIDENTIAL_RECYCLED_WATER_GAL]:[NONPOTABLE_DEMAND_NONRESIDENTIAL_METERED_IRRIGATION_GAL]])</f>
        <v>0</v>
      </c>
      <c r="X888" t="str">
        <f>IFERROR(INDEX(Crosswalk_API!$H$2:$H$527, MATCH(POTABLE_NONPOTABLE_API[[#This Row],[PWSID]], CW_PWSID_LIST, 0)), "")</f>
        <v>No</v>
      </c>
    </row>
    <row r="889" spans="1:24" x14ac:dyDescent="0.25">
      <c r="A889" t="s">
        <v>949</v>
      </c>
      <c r="B889" t="s">
        <v>950</v>
      </c>
      <c r="C889" t="s">
        <v>953</v>
      </c>
      <c r="D889" t="s">
        <v>954</v>
      </c>
      <c r="E889" s="9">
        <v>45444</v>
      </c>
      <c r="F889" s="9">
        <v>45473</v>
      </c>
      <c r="G889">
        <v>190549041.80400002</v>
      </c>
      <c r="H889">
        <v>6458680.9680000003</v>
      </c>
      <c r="I889">
        <v>49323556.671999998</v>
      </c>
      <c r="J889">
        <v>0</v>
      </c>
      <c r="K889">
        <v>10472.728000000001</v>
      </c>
      <c r="L889">
        <v>0</v>
      </c>
      <c r="M889">
        <v>0</v>
      </c>
      <c r="T889" s="9">
        <v>45108</v>
      </c>
      <c r="U889" s="9">
        <v>45473</v>
      </c>
      <c r="V889">
        <f>SUM(POTABLE_NONPOTABLE_API[[#This Row],[RESIDENTIAL_SINGLEFAMILY_GAL]:[OTHER_GAL]])</f>
        <v>246341752.17199999</v>
      </c>
      <c r="W889">
        <f>SUM(POTABLE_NONPOTABLE_API[[#This Row],[NONPOTABLE_DEMAND_RESIDENTIAL_RECYCLED_WATER_GAL]:[NONPOTABLE_DEMAND_NONRESIDENTIAL_METERED_IRRIGATION_GAL]])</f>
        <v>0</v>
      </c>
      <c r="X889" t="str">
        <f>IFERROR(INDEX(Crosswalk_API!$H$2:$H$527, MATCH(POTABLE_NONPOTABLE_API[[#This Row],[PWSID]], CW_PWSID_LIST, 0)), "")</f>
        <v>No</v>
      </c>
    </row>
    <row r="890" spans="1:24" x14ac:dyDescent="0.25">
      <c r="A890" t="s">
        <v>955</v>
      </c>
      <c r="B890" t="s">
        <v>956</v>
      </c>
      <c r="C890" t="s">
        <v>957</v>
      </c>
      <c r="D890" t="s">
        <v>958</v>
      </c>
      <c r="E890" s="9">
        <v>45108</v>
      </c>
      <c r="F890" s="9">
        <v>45138</v>
      </c>
      <c r="G890">
        <v>364002103.19999999</v>
      </c>
      <c r="H890">
        <v>9331200.648</v>
      </c>
      <c r="I890">
        <v>46344065.556000002</v>
      </c>
      <c r="J890">
        <v>0</v>
      </c>
      <c r="K890">
        <v>97246.760000000009</v>
      </c>
      <c r="L890">
        <v>2211989.764</v>
      </c>
      <c r="M890">
        <v>0</v>
      </c>
      <c r="T890" s="9">
        <v>45108</v>
      </c>
      <c r="U890" s="9">
        <v>45473</v>
      </c>
      <c r="V890">
        <f>SUM(POTABLE_NONPOTABLE_API[[#This Row],[RESIDENTIAL_SINGLEFAMILY_GAL]:[OTHER_GAL]])</f>
        <v>421986605.92799997</v>
      </c>
      <c r="W890">
        <f>SUM(POTABLE_NONPOTABLE_API[[#This Row],[NONPOTABLE_DEMAND_RESIDENTIAL_RECYCLED_WATER_GAL]:[NONPOTABLE_DEMAND_NONRESIDENTIAL_METERED_IRRIGATION_GAL]])</f>
        <v>0</v>
      </c>
      <c r="X890" t="str">
        <f>IFERROR(INDEX(Crosswalk_API!$H$2:$H$527, MATCH(POTABLE_NONPOTABLE_API[[#This Row],[PWSID]], CW_PWSID_LIST, 0)), "")</f>
        <v>No</v>
      </c>
    </row>
    <row r="891" spans="1:24" x14ac:dyDescent="0.25">
      <c r="A891" t="s">
        <v>955</v>
      </c>
      <c r="B891" t="s">
        <v>956</v>
      </c>
      <c r="C891" t="s">
        <v>957</v>
      </c>
      <c r="D891" t="s">
        <v>958</v>
      </c>
      <c r="E891" s="9">
        <v>45139</v>
      </c>
      <c r="F891" s="9">
        <v>45169</v>
      </c>
      <c r="G891">
        <v>362473084.912</v>
      </c>
      <c r="H891">
        <v>7936083.6680000005</v>
      </c>
      <c r="I891">
        <v>48379515.048</v>
      </c>
      <c r="J891">
        <v>0</v>
      </c>
      <c r="K891">
        <v>75553.252000000008</v>
      </c>
      <c r="L891">
        <v>1564924.784</v>
      </c>
      <c r="M891">
        <v>0</v>
      </c>
      <c r="T891" s="9">
        <v>45108</v>
      </c>
      <c r="U891" s="9">
        <v>45473</v>
      </c>
      <c r="V891">
        <f>SUM(POTABLE_NONPOTABLE_API[[#This Row],[RESIDENTIAL_SINGLEFAMILY_GAL]:[OTHER_GAL]])</f>
        <v>420429161.66399992</v>
      </c>
      <c r="W891">
        <f>SUM(POTABLE_NONPOTABLE_API[[#This Row],[NONPOTABLE_DEMAND_RESIDENTIAL_RECYCLED_WATER_GAL]:[NONPOTABLE_DEMAND_NONRESIDENTIAL_METERED_IRRIGATION_GAL]])</f>
        <v>0</v>
      </c>
      <c r="X891" t="str">
        <f>IFERROR(INDEX(Crosswalk_API!$H$2:$H$527, MATCH(POTABLE_NONPOTABLE_API[[#This Row],[PWSID]], CW_PWSID_LIST, 0)), "")</f>
        <v>No</v>
      </c>
    </row>
    <row r="892" spans="1:24" x14ac:dyDescent="0.25">
      <c r="A892" t="s">
        <v>955</v>
      </c>
      <c r="B892" t="s">
        <v>956</v>
      </c>
      <c r="C892" t="s">
        <v>957</v>
      </c>
      <c r="D892" t="s">
        <v>958</v>
      </c>
      <c r="E892" s="9">
        <v>45170</v>
      </c>
      <c r="F892" s="9">
        <v>45199</v>
      </c>
      <c r="G892">
        <v>391842354.48400003</v>
      </c>
      <c r="H892">
        <v>9215252.5879999995</v>
      </c>
      <c r="I892">
        <v>51651494.495999999</v>
      </c>
      <c r="J892">
        <v>0</v>
      </c>
      <c r="K892">
        <v>44883.12</v>
      </c>
      <c r="L892">
        <v>2752831.36</v>
      </c>
      <c r="M892">
        <v>0</v>
      </c>
      <c r="T892" s="9">
        <v>45108</v>
      </c>
      <c r="U892" s="9">
        <v>45473</v>
      </c>
      <c r="V892">
        <f>SUM(POTABLE_NONPOTABLE_API[[#This Row],[RESIDENTIAL_SINGLEFAMILY_GAL]:[OTHER_GAL]])</f>
        <v>455506816.04800004</v>
      </c>
      <c r="W892">
        <f>SUM(POTABLE_NONPOTABLE_API[[#This Row],[NONPOTABLE_DEMAND_RESIDENTIAL_RECYCLED_WATER_GAL]:[NONPOTABLE_DEMAND_NONRESIDENTIAL_METERED_IRRIGATION_GAL]])</f>
        <v>0</v>
      </c>
      <c r="X892" t="str">
        <f>IFERROR(INDEX(Crosswalk_API!$H$2:$H$527, MATCH(POTABLE_NONPOTABLE_API[[#This Row],[PWSID]], CW_PWSID_LIST, 0)), "")</f>
        <v>No</v>
      </c>
    </row>
    <row r="893" spans="1:24" x14ac:dyDescent="0.25">
      <c r="A893" t="s">
        <v>955</v>
      </c>
      <c r="B893" t="s">
        <v>956</v>
      </c>
      <c r="C893" t="s">
        <v>957</v>
      </c>
      <c r="D893" t="s">
        <v>958</v>
      </c>
      <c r="E893" s="9">
        <v>45200</v>
      </c>
      <c r="F893" s="9">
        <v>45230</v>
      </c>
      <c r="G893">
        <v>336843327.28799999</v>
      </c>
      <c r="H893">
        <v>7281538.1680000005</v>
      </c>
      <c r="I893">
        <v>44859182.336000003</v>
      </c>
      <c r="J893">
        <v>0</v>
      </c>
      <c r="K893">
        <v>109215.592</v>
      </c>
      <c r="L893">
        <v>1705558.56</v>
      </c>
      <c r="M893">
        <v>0</v>
      </c>
      <c r="T893" s="9">
        <v>45108</v>
      </c>
      <c r="U893" s="9">
        <v>45473</v>
      </c>
      <c r="V893">
        <f>SUM(POTABLE_NONPOTABLE_API[[#This Row],[RESIDENTIAL_SINGLEFAMILY_GAL]:[OTHER_GAL]])</f>
        <v>390798821.94400001</v>
      </c>
      <c r="W893">
        <f>SUM(POTABLE_NONPOTABLE_API[[#This Row],[NONPOTABLE_DEMAND_RESIDENTIAL_RECYCLED_WATER_GAL]:[NONPOTABLE_DEMAND_NONRESIDENTIAL_METERED_IRRIGATION_GAL]])</f>
        <v>0</v>
      </c>
      <c r="X893" t="str">
        <f>IFERROR(INDEX(Crosswalk_API!$H$2:$H$527, MATCH(POTABLE_NONPOTABLE_API[[#This Row],[PWSID]], CW_PWSID_LIST, 0)), "")</f>
        <v>No</v>
      </c>
    </row>
    <row r="894" spans="1:24" x14ac:dyDescent="0.25">
      <c r="A894" t="s">
        <v>955</v>
      </c>
      <c r="B894" t="s">
        <v>956</v>
      </c>
      <c r="C894" t="s">
        <v>957</v>
      </c>
      <c r="D894" t="s">
        <v>958</v>
      </c>
      <c r="E894" s="9">
        <v>45231</v>
      </c>
      <c r="F894" s="9">
        <v>45260</v>
      </c>
      <c r="G894">
        <v>264937576.84</v>
      </c>
      <c r="H894">
        <v>8330307.0720000006</v>
      </c>
      <c r="I894">
        <v>35976812.888000004</v>
      </c>
      <c r="J894">
        <v>0</v>
      </c>
      <c r="K894">
        <v>79293.512000000002</v>
      </c>
      <c r="L894">
        <v>1286649.44</v>
      </c>
      <c r="M894">
        <v>0</v>
      </c>
      <c r="T894" s="9">
        <v>45108</v>
      </c>
      <c r="U894" s="9">
        <v>45473</v>
      </c>
      <c r="V894">
        <f>SUM(POTABLE_NONPOTABLE_API[[#This Row],[RESIDENTIAL_SINGLEFAMILY_GAL]:[OTHER_GAL]])</f>
        <v>310610639.75200003</v>
      </c>
      <c r="W894">
        <f>SUM(POTABLE_NONPOTABLE_API[[#This Row],[NONPOTABLE_DEMAND_RESIDENTIAL_RECYCLED_WATER_GAL]:[NONPOTABLE_DEMAND_NONRESIDENTIAL_METERED_IRRIGATION_GAL]])</f>
        <v>0</v>
      </c>
      <c r="X894" t="str">
        <f>IFERROR(INDEX(Crosswalk_API!$H$2:$H$527, MATCH(POTABLE_NONPOTABLE_API[[#This Row],[PWSID]], CW_PWSID_LIST, 0)), "")</f>
        <v>No</v>
      </c>
    </row>
    <row r="895" spans="1:24" x14ac:dyDescent="0.25">
      <c r="A895" t="s">
        <v>955</v>
      </c>
      <c r="B895" t="s">
        <v>956</v>
      </c>
      <c r="C895" t="s">
        <v>957</v>
      </c>
      <c r="D895" t="s">
        <v>958</v>
      </c>
      <c r="E895" s="9">
        <v>45261</v>
      </c>
      <c r="F895" s="9">
        <v>45291</v>
      </c>
      <c r="G895">
        <v>182945093.22400001</v>
      </c>
      <c r="H895">
        <v>6936686.1960000005</v>
      </c>
      <c r="I895">
        <v>29593685.172000002</v>
      </c>
      <c r="J895">
        <v>0</v>
      </c>
      <c r="K895">
        <v>5236.3640000000005</v>
      </c>
      <c r="L895">
        <v>941797.46799999999</v>
      </c>
      <c r="M895">
        <v>0</v>
      </c>
      <c r="T895" s="9">
        <v>45108</v>
      </c>
      <c r="U895" s="9">
        <v>45473</v>
      </c>
      <c r="V895">
        <f>SUM(POTABLE_NONPOTABLE_API[[#This Row],[RESIDENTIAL_SINGLEFAMILY_GAL]:[OTHER_GAL]])</f>
        <v>220422498.42399999</v>
      </c>
      <c r="W895">
        <f>SUM(POTABLE_NONPOTABLE_API[[#This Row],[NONPOTABLE_DEMAND_RESIDENTIAL_RECYCLED_WATER_GAL]:[NONPOTABLE_DEMAND_NONRESIDENTIAL_METERED_IRRIGATION_GAL]])</f>
        <v>0</v>
      </c>
      <c r="X895" t="str">
        <f>IFERROR(INDEX(Crosswalk_API!$H$2:$H$527, MATCH(POTABLE_NONPOTABLE_API[[#This Row],[PWSID]], CW_PWSID_LIST, 0)), "")</f>
        <v>No</v>
      </c>
    </row>
    <row r="896" spans="1:24" x14ac:dyDescent="0.25">
      <c r="A896" t="s">
        <v>955</v>
      </c>
      <c r="B896" t="s">
        <v>956</v>
      </c>
      <c r="C896" t="s">
        <v>957</v>
      </c>
      <c r="D896" t="s">
        <v>958</v>
      </c>
      <c r="E896" s="9">
        <v>45292</v>
      </c>
      <c r="F896" s="9">
        <v>45322</v>
      </c>
      <c r="G896">
        <v>106368506.088</v>
      </c>
      <c r="H896">
        <v>6145247.1800000006</v>
      </c>
      <c r="I896">
        <v>23364656.168000001</v>
      </c>
      <c r="J896">
        <v>0</v>
      </c>
      <c r="K896">
        <v>0</v>
      </c>
      <c r="L896">
        <v>268550.66800000001</v>
      </c>
      <c r="M896">
        <v>0</v>
      </c>
      <c r="T896" s="9">
        <v>45108</v>
      </c>
      <c r="U896" s="9">
        <v>45473</v>
      </c>
      <c r="V896">
        <f>SUM(POTABLE_NONPOTABLE_API[[#This Row],[RESIDENTIAL_SINGLEFAMILY_GAL]:[OTHER_GAL]])</f>
        <v>136146960.10400003</v>
      </c>
      <c r="W896">
        <f>SUM(POTABLE_NONPOTABLE_API[[#This Row],[NONPOTABLE_DEMAND_RESIDENTIAL_RECYCLED_WATER_GAL]:[NONPOTABLE_DEMAND_NONRESIDENTIAL_METERED_IRRIGATION_GAL]])</f>
        <v>0</v>
      </c>
      <c r="X896" t="str">
        <f>IFERROR(INDEX(Crosswalk_API!$H$2:$H$527, MATCH(POTABLE_NONPOTABLE_API[[#This Row],[PWSID]], CW_PWSID_LIST, 0)), "")</f>
        <v>No</v>
      </c>
    </row>
    <row r="897" spans="1:24" x14ac:dyDescent="0.25">
      <c r="A897" t="s">
        <v>955</v>
      </c>
      <c r="B897" t="s">
        <v>956</v>
      </c>
      <c r="C897" t="s">
        <v>957</v>
      </c>
      <c r="D897" t="s">
        <v>958</v>
      </c>
      <c r="E897" s="9">
        <v>45323</v>
      </c>
      <c r="F897" s="9">
        <v>45351</v>
      </c>
      <c r="G897">
        <v>104977877.42</v>
      </c>
      <c r="H897">
        <v>7284530.3760000002</v>
      </c>
      <c r="I897">
        <v>25762162.828000002</v>
      </c>
      <c r="J897">
        <v>0</v>
      </c>
      <c r="K897">
        <v>0</v>
      </c>
      <c r="L897">
        <v>438358.47200000001</v>
      </c>
      <c r="M897">
        <v>0</v>
      </c>
      <c r="T897" s="9">
        <v>45108</v>
      </c>
      <c r="U897" s="9">
        <v>45473</v>
      </c>
      <c r="V897">
        <f>SUM(POTABLE_NONPOTABLE_API[[#This Row],[RESIDENTIAL_SINGLEFAMILY_GAL]:[OTHER_GAL]])</f>
        <v>138462929.09600002</v>
      </c>
      <c r="W897">
        <f>SUM(POTABLE_NONPOTABLE_API[[#This Row],[NONPOTABLE_DEMAND_RESIDENTIAL_RECYCLED_WATER_GAL]:[NONPOTABLE_DEMAND_NONRESIDENTIAL_METERED_IRRIGATION_GAL]])</f>
        <v>0</v>
      </c>
      <c r="X897" t="str">
        <f>IFERROR(INDEX(Crosswalk_API!$H$2:$H$527, MATCH(POTABLE_NONPOTABLE_API[[#This Row],[PWSID]], CW_PWSID_LIST, 0)), "")</f>
        <v>No</v>
      </c>
    </row>
    <row r="898" spans="1:24" x14ac:dyDescent="0.25">
      <c r="A898" t="s">
        <v>955</v>
      </c>
      <c r="B898" t="s">
        <v>956</v>
      </c>
      <c r="C898" t="s">
        <v>957</v>
      </c>
      <c r="D898" t="s">
        <v>958</v>
      </c>
      <c r="E898" s="9">
        <v>45352</v>
      </c>
      <c r="F898" s="9">
        <v>45382</v>
      </c>
      <c r="G898">
        <v>104538770.896</v>
      </c>
      <c r="H898">
        <v>6644197.8640000001</v>
      </c>
      <c r="I898">
        <v>23101341.864</v>
      </c>
      <c r="J898">
        <v>0</v>
      </c>
      <c r="K898">
        <v>3740.26</v>
      </c>
      <c r="L898">
        <v>261070.14800000002</v>
      </c>
      <c r="M898">
        <v>0</v>
      </c>
      <c r="T898" s="9">
        <v>45108</v>
      </c>
      <c r="U898" s="9">
        <v>45473</v>
      </c>
      <c r="V898">
        <f>SUM(POTABLE_NONPOTABLE_API[[#This Row],[RESIDENTIAL_SINGLEFAMILY_GAL]:[OTHER_GAL]])</f>
        <v>134549121.03199998</v>
      </c>
      <c r="W898">
        <f>SUM(POTABLE_NONPOTABLE_API[[#This Row],[NONPOTABLE_DEMAND_RESIDENTIAL_RECYCLED_WATER_GAL]:[NONPOTABLE_DEMAND_NONRESIDENTIAL_METERED_IRRIGATION_GAL]])</f>
        <v>0</v>
      </c>
      <c r="X898" t="str">
        <f>IFERROR(INDEX(Crosswalk_API!$H$2:$H$527, MATCH(POTABLE_NONPOTABLE_API[[#This Row],[PWSID]], CW_PWSID_LIST, 0)), "")</f>
        <v>No</v>
      </c>
    </row>
    <row r="899" spans="1:24" x14ac:dyDescent="0.25">
      <c r="A899" t="s">
        <v>955</v>
      </c>
      <c r="B899" t="s">
        <v>956</v>
      </c>
      <c r="C899" t="s">
        <v>957</v>
      </c>
      <c r="D899" t="s">
        <v>958</v>
      </c>
      <c r="E899" s="9">
        <v>45383</v>
      </c>
      <c r="F899" s="9">
        <v>45412</v>
      </c>
      <c r="G899">
        <v>113018688.368</v>
      </c>
      <c r="H899">
        <v>6255210.824</v>
      </c>
      <c r="I899">
        <v>24568271.835999999</v>
      </c>
      <c r="J899">
        <v>0</v>
      </c>
      <c r="K899">
        <v>71064.94</v>
      </c>
      <c r="L899">
        <v>397963.66399999999</v>
      </c>
      <c r="M899">
        <v>0</v>
      </c>
      <c r="T899" s="9">
        <v>45108</v>
      </c>
      <c r="U899" s="9">
        <v>45473</v>
      </c>
      <c r="V899">
        <f>SUM(POTABLE_NONPOTABLE_API[[#This Row],[RESIDENTIAL_SINGLEFAMILY_GAL]:[OTHER_GAL]])</f>
        <v>144311199.632</v>
      </c>
      <c r="W899">
        <f>SUM(POTABLE_NONPOTABLE_API[[#This Row],[NONPOTABLE_DEMAND_RESIDENTIAL_RECYCLED_WATER_GAL]:[NONPOTABLE_DEMAND_NONRESIDENTIAL_METERED_IRRIGATION_GAL]])</f>
        <v>0</v>
      </c>
      <c r="X899" t="str">
        <f>IFERROR(INDEX(Crosswalk_API!$H$2:$H$527, MATCH(POTABLE_NONPOTABLE_API[[#This Row],[PWSID]], CW_PWSID_LIST, 0)), "")</f>
        <v>No</v>
      </c>
    </row>
    <row r="900" spans="1:24" x14ac:dyDescent="0.25">
      <c r="A900" t="s">
        <v>955</v>
      </c>
      <c r="B900" t="s">
        <v>956</v>
      </c>
      <c r="C900" t="s">
        <v>957</v>
      </c>
      <c r="D900" t="s">
        <v>958</v>
      </c>
      <c r="E900" s="9">
        <v>45413</v>
      </c>
      <c r="F900" s="9">
        <v>45443</v>
      </c>
      <c r="G900">
        <v>200584907.43600002</v>
      </c>
      <c r="H900">
        <v>7672769.3640000001</v>
      </c>
      <c r="I900">
        <v>35974568.732000001</v>
      </c>
      <c r="J900">
        <v>0</v>
      </c>
      <c r="K900">
        <v>80041.563999999998</v>
      </c>
      <c r="L900">
        <v>1154244.236</v>
      </c>
      <c r="M900">
        <v>0</v>
      </c>
      <c r="T900" s="9">
        <v>45108</v>
      </c>
      <c r="U900" s="9">
        <v>45473</v>
      </c>
      <c r="V900">
        <f>SUM(POTABLE_NONPOTABLE_API[[#This Row],[RESIDENTIAL_SINGLEFAMILY_GAL]:[OTHER_GAL]])</f>
        <v>245466531.33200002</v>
      </c>
      <c r="W900">
        <f>SUM(POTABLE_NONPOTABLE_API[[#This Row],[NONPOTABLE_DEMAND_RESIDENTIAL_RECYCLED_WATER_GAL]:[NONPOTABLE_DEMAND_NONRESIDENTIAL_METERED_IRRIGATION_GAL]])</f>
        <v>0</v>
      </c>
      <c r="X900" t="str">
        <f>IFERROR(INDEX(Crosswalk_API!$H$2:$H$527, MATCH(POTABLE_NONPOTABLE_API[[#This Row],[PWSID]], CW_PWSID_LIST, 0)), "")</f>
        <v>No</v>
      </c>
    </row>
    <row r="901" spans="1:24" x14ac:dyDescent="0.25">
      <c r="A901" t="s">
        <v>955</v>
      </c>
      <c r="B901" t="s">
        <v>956</v>
      </c>
      <c r="C901" t="s">
        <v>957</v>
      </c>
      <c r="D901" t="s">
        <v>958</v>
      </c>
      <c r="E901" s="9">
        <v>45444</v>
      </c>
      <c r="F901" s="9">
        <v>45473</v>
      </c>
      <c r="G901">
        <v>321002578.13600004</v>
      </c>
      <c r="H901">
        <v>8069984.9759999998</v>
      </c>
      <c r="I901">
        <v>43489499.123999998</v>
      </c>
      <c r="J901">
        <v>0</v>
      </c>
      <c r="K901">
        <v>134649.36000000002</v>
      </c>
      <c r="L901">
        <v>1539491.0160000001</v>
      </c>
      <c r="M901">
        <v>0</v>
      </c>
      <c r="T901" s="9">
        <v>45108</v>
      </c>
      <c r="U901" s="9">
        <v>45473</v>
      </c>
      <c r="V901">
        <f>SUM(POTABLE_NONPOTABLE_API[[#This Row],[RESIDENTIAL_SINGLEFAMILY_GAL]:[OTHER_GAL]])</f>
        <v>374236202.61200005</v>
      </c>
      <c r="W901">
        <f>SUM(POTABLE_NONPOTABLE_API[[#This Row],[NONPOTABLE_DEMAND_RESIDENTIAL_RECYCLED_WATER_GAL]:[NONPOTABLE_DEMAND_NONRESIDENTIAL_METERED_IRRIGATION_GAL]])</f>
        <v>0</v>
      </c>
      <c r="X901" t="str">
        <f>IFERROR(INDEX(Crosswalk_API!$H$2:$H$527, MATCH(POTABLE_NONPOTABLE_API[[#This Row],[PWSID]], CW_PWSID_LIST, 0)), "")</f>
        <v>No</v>
      </c>
    </row>
    <row r="902" spans="1:24" x14ac:dyDescent="0.25">
      <c r="A902" t="s">
        <v>959</v>
      </c>
      <c r="B902" t="s">
        <v>960</v>
      </c>
      <c r="C902" t="s">
        <v>961</v>
      </c>
      <c r="D902" t="s">
        <v>962</v>
      </c>
      <c r="E902" s="9">
        <v>45108</v>
      </c>
      <c r="F902" s="9">
        <v>45138</v>
      </c>
      <c r="G902">
        <v>449597205.24800003</v>
      </c>
      <c r="H902">
        <v>94274001.351999998</v>
      </c>
      <c r="I902">
        <v>186835711.676</v>
      </c>
      <c r="J902">
        <v>0</v>
      </c>
      <c r="K902">
        <v>2751335.2560000001</v>
      </c>
      <c r="L902">
        <v>631355.88800000004</v>
      </c>
      <c r="M902">
        <v>0</v>
      </c>
      <c r="T902" s="9">
        <v>45108</v>
      </c>
      <c r="U902" s="9">
        <v>45473</v>
      </c>
      <c r="V902">
        <f>SUM(POTABLE_NONPOTABLE_API[[#This Row],[RESIDENTIAL_SINGLEFAMILY_GAL]:[OTHER_GAL]])</f>
        <v>734089609.42000008</v>
      </c>
      <c r="W902">
        <f>SUM(POTABLE_NONPOTABLE_API[[#This Row],[NONPOTABLE_DEMAND_RESIDENTIAL_RECYCLED_WATER_GAL]:[NONPOTABLE_DEMAND_NONRESIDENTIAL_METERED_IRRIGATION_GAL]])</f>
        <v>0</v>
      </c>
      <c r="X902" t="str">
        <f>IFERROR(INDEX(Crosswalk_API!$H$2:$H$527, MATCH(POTABLE_NONPOTABLE_API[[#This Row],[PWSID]], CW_PWSID_LIST, 0)), "")</f>
        <v>No</v>
      </c>
    </row>
    <row r="903" spans="1:24" x14ac:dyDescent="0.25">
      <c r="A903" t="s">
        <v>959</v>
      </c>
      <c r="B903" t="s">
        <v>960</v>
      </c>
      <c r="C903" t="s">
        <v>961</v>
      </c>
      <c r="D903" t="s">
        <v>962</v>
      </c>
      <c r="E903" s="9">
        <v>45139</v>
      </c>
      <c r="F903" s="9">
        <v>45169</v>
      </c>
      <c r="G903">
        <v>439630160.40000004</v>
      </c>
      <c r="H903">
        <v>95731206.648000002</v>
      </c>
      <c r="I903">
        <v>212220856.296</v>
      </c>
      <c r="J903">
        <v>0</v>
      </c>
      <c r="K903">
        <v>2789485.9080000003</v>
      </c>
      <c r="L903">
        <v>392727.3</v>
      </c>
      <c r="M903">
        <v>0</v>
      </c>
      <c r="T903" s="9">
        <v>45108</v>
      </c>
      <c r="U903" s="9">
        <v>45473</v>
      </c>
      <c r="V903">
        <f>SUM(POTABLE_NONPOTABLE_API[[#This Row],[RESIDENTIAL_SINGLEFAMILY_GAL]:[OTHER_GAL]])</f>
        <v>750764436.55200005</v>
      </c>
      <c r="W903">
        <f>SUM(POTABLE_NONPOTABLE_API[[#This Row],[NONPOTABLE_DEMAND_RESIDENTIAL_RECYCLED_WATER_GAL]:[NONPOTABLE_DEMAND_NONRESIDENTIAL_METERED_IRRIGATION_GAL]])</f>
        <v>0</v>
      </c>
      <c r="X903" t="str">
        <f>IFERROR(INDEX(Crosswalk_API!$H$2:$H$527, MATCH(POTABLE_NONPOTABLE_API[[#This Row],[PWSID]], CW_PWSID_LIST, 0)), "")</f>
        <v>No</v>
      </c>
    </row>
    <row r="904" spans="1:24" x14ac:dyDescent="0.25">
      <c r="A904" t="s">
        <v>959</v>
      </c>
      <c r="B904" t="s">
        <v>960</v>
      </c>
      <c r="C904" t="s">
        <v>961</v>
      </c>
      <c r="D904" t="s">
        <v>962</v>
      </c>
      <c r="E904" s="9">
        <v>45170</v>
      </c>
      <c r="F904" s="9">
        <v>45199</v>
      </c>
      <c r="G904">
        <v>460662390.43200004</v>
      </c>
      <c r="H904">
        <v>107310303.55600001</v>
      </c>
      <c r="I904">
        <v>219008680.14399999</v>
      </c>
      <c r="J904">
        <v>0</v>
      </c>
      <c r="K904">
        <v>2518691.0840000003</v>
      </c>
      <c r="L904">
        <v>960498.76800000004</v>
      </c>
      <c r="M904">
        <v>0</v>
      </c>
      <c r="T904" s="9">
        <v>45108</v>
      </c>
      <c r="U904" s="9">
        <v>45473</v>
      </c>
      <c r="V904">
        <f>SUM(POTABLE_NONPOTABLE_API[[#This Row],[RESIDENTIAL_SINGLEFAMILY_GAL]:[OTHER_GAL]])</f>
        <v>790460563.98399997</v>
      </c>
      <c r="W904">
        <f>SUM(POTABLE_NONPOTABLE_API[[#This Row],[NONPOTABLE_DEMAND_RESIDENTIAL_RECYCLED_WATER_GAL]:[NONPOTABLE_DEMAND_NONRESIDENTIAL_METERED_IRRIGATION_GAL]])</f>
        <v>0</v>
      </c>
      <c r="X904" t="str">
        <f>IFERROR(INDEX(Crosswalk_API!$H$2:$H$527, MATCH(POTABLE_NONPOTABLE_API[[#This Row],[PWSID]], CW_PWSID_LIST, 0)), "")</f>
        <v>No</v>
      </c>
    </row>
    <row r="905" spans="1:24" x14ac:dyDescent="0.25">
      <c r="A905" t="s">
        <v>959</v>
      </c>
      <c r="B905" t="s">
        <v>960</v>
      </c>
      <c r="C905" t="s">
        <v>961</v>
      </c>
      <c r="D905" t="s">
        <v>962</v>
      </c>
      <c r="E905" s="9">
        <v>45200</v>
      </c>
      <c r="F905" s="9">
        <v>45230</v>
      </c>
      <c r="G905">
        <v>349845219.10000002</v>
      </c>
      <c r="H905">
        <v>87308889.180000007</v>
      </c>
      <c r="I905">
        <v>174844438.116</v>
      </c>
      <c r="J905">
        <v>0</v>
      </c>
      <c r="K905">
        <v>1989818.32</v>
      </c>
      <c r="L905">
        <v>917859.804</v>
      </c>
      <c r="M905">
        <v>0</v>
      </c>
      <c r="T905" s="9">
        <v>45108</v>
      </c>
      <c r="U905" s="9">
        <v>45473</v>
      </c>
      <c r="V905">
        <f>SUM(POTABLE_NONPOTABLE_API[[#This Row],[RESIDENTIAL_SINGLEFAMILY_GAL]:[OTHER_GAL]])</f>
        <v>614906224.5200001</v>
      </c>
      <c r="W905">
        <f>SUM(POTABLE_NONPOTABLE_API[[#This Row],[NONPOTABLE_DEMAND_RESIDENTIAL_RECYCLED_WATER_GAL]:[NONPOTABLE_DEMAND_NONRESIDENTIAL_METERED_IRRIGATION_GAL]])</f>
        <v>0</v>
      </c>
      <c r="X905" t="str">
        <f>IFERROR(INDEX(Crosswalk_API!$H$2:$H$527, MATCH(POTABLE_NONPOTABLE_API[[#This Row],[PWSID]], CW_PWSID_LIST, 0)), "")</f>
        <v>No</v>
      </c>
    </row>
    <row r="906" spans="1:24" x14ac:dyDescent="0.25">
      <c r="A906" t="s">
        <v>959</v>
      </c>
      <c r="B906" t="s">
        <v>960</v>
      </c>
      <c r="C906" t="s">
        <v>961</v>
      </c>
      <c r="D906" t="s">
        <v>962</v>
      </c>
      <c r="E906" s="9">
        <v>45231</v>
      </c>
      <c r="F906" s="9">
        <v>45260</v>
      </c>
      <c r="G906">
        <v>246498095.04000002</v>
      </c>
      <c r="H906">
        <v>67156368.299999997</v>
      </c>
      <c r="I906">
        <v>127397743.912</v>
      </c>
      <c r="J906">
        <v>0</v>
      </c>
      <c r="K906">
        <v>1559688.4200000002</v>
      </c>
      <c r="L906">
        <v>238628.58800000002</v>
      </c>
      <c r="M906">
        <v>0</v>
      </c>
      <c r="T906" s="9">
        <v>45108</v>
      </c>
      <c r="U906" s="9">
        <v>45473</v>
      </c>
      <c r="V906">
        <f>SUM(POTABLE_NONPOTABLE_API[[#This Row],[RESIDENTIAL_SINGLEFAMILY_GAL]:[OTHER_GAL]])</f>
        <v>442850524.26000005</v>
      </c>
      <c r="W906">
        <f>SUM(POTABLE_NONPOTABLE_API[[#This Row],[NONPOTABLE_DEMAND_RESIDENTIAL_RECYCLED_WATER_GAL]:[NONPOTABLE_DEMAND_NONRESIDENTIAL_METERED_IRRIGATION_GAL]])</f>
        <v>0</v>
      </c>
      <c r="X906" t="str">
        <f>IFERROR(INDEX(Crosswalk_API!$H$2:$H$527, MATCH(POTABLE_NONPOTABLE_API[[#This Row],[PWSID]], CW_PWSID_LIST, 0)), "")</f>
        <v>No</v>
      </c>
    </row>
    <row r="907" spans="1:24" x14ac:dyDescent="0.25">
      <c r="A907" t="s">
        <v>959</v>
      </c>
      <c r="B907" t="s">
        <v>960</v>
      </c>
      <c r="C907" t="s">
        <v>961</v>
      </c>
      <c r="D907" t="s">
        <v>962</v>
      </c>
      <c r="E907" s="9">
        <v>45261</v>
      </c>
      <c r="F907" s="9">
        <v>45291</v>
      </c>
      <c r="G907">
        <v>193927992.68799999</v>
      </c>
      <c r="H907">
        <v>60221926.260000005</v>
      </c>
      <c r="I907">
        <v>99205160.136000007</v>
      </c>
      <c r="J907">
        <v>0</v>
      </c>
      <c r="K907">
        <v>2574794.9840000002</v>
      </c>
      <c r="L907">
        <v>386742.88400000002</v>
      </c>
      <c r="M907">
        <v>0</v>
      </c>
      <c r="T907" s="9">
        <v>45108</v>
      </c>
      <c r="U907" s="9">
        <v>45473</v>
      </c>
      <c r="V907">
        <f>SUM(POTABLE_NONPOTABLE_API[[#This Row],[RESIDENTIAL_SINGLEFAMILY_GAL]:[OTHER_GAL]])</f>
        <v>356316616.95200002</v>
      </c>
      <c r="W907">
        <f>SUM(POTABLE_NONPOTABLE_API[[#This Row],[NONPOTABLE_DEMAND_RESIDENTIAL_RECYCLED_WATER_GAL]:[NONPOTABLE_DEMAND_NONRESIDENTIAL_METERED_IRRIGATION_GAL]])</f>
        <v>0</v>
      </c>
      <c r="X907" t="str">
        <f>IFERROR(INDEX(Crosswalk_API!$H$2:$H$527, MATCH(POTABLE_NONPOTABLE_API[[#This Row],[PWSID]], CW_PWSID_LIST, 0)), "")</f>
        <v>No</v>
      </c>
    </row>
    <row r="908" spans="1:24" x14ac:dyDescent="0.25">
      <c r="A908" t="s">
        <v>959</v>
      </c>
      <c r="B908" t="s">
        <v>960</v>
      </c>
      <c r="C908" t="s">
        <v>961</v>
      </c>
      <c r="D908" t="s">
        <v>962</v>
      </c>
      <c r="E908" s="9">
        <v>45292</v>
      </c>
      <c r="F908" s="9">
        <v>45322</v>
      </c>
      <c r="G908">
        <v>153650628.852</v>
      </c>
      <c r="H908">
        <v>55435889.564000003</v>
      </c>
      <c r="I908">
        <v>75719319.544</v>
      </c>
      <c r="J908">
        <v>0</v>
      </c>
      <c r="K908">
        <v>1779615.7080000001</v>
      </c>
      <c r="L908">
        <v>145870.14000000001</v>
      </c>
      <c r="M908">
        <v>0</v>
      </c>
      <c r="T908" s="9">
        <v>45108</v>
      </c>
      <c r="U908" s="9">
        <v>45473</v>
      </c>
      <c r="V908">
        <f>SUM(POTABLE_NONPOTABLE_API[[#This Row],[RESIDENTIAL_SINGLEFAMILY_GAL]:[OTHER_GAL]])</f>
        <v>286731323.80800003</v>
      </c>
      <c r="W908">
        <f>SUM(POTABLE_NONPOTABLE_API[[#This Row],[NONPOTABLE_DEMAND_RESIDENTIAL_RECYCLED_WATER_GAL]:[NONPOTABLE_DEMAND_NONRESIDENTIAL_METERED_IRRIGATION_GAL]])</f>
        <v>0</v>
      </c>
      <c r="X908" t="str">
        <f>IFERROR(INDEX(Crosswalk_API!$H$2:$H$527, MATCH(POTABLE_NONPOTABLE_API[[#This Row],[PWSID]], CW_PWSID_LIST, 0)), "")</f>
        <v>No</v>
      </c>
    </row>
    <row r="909" spans="1:24" x14ac:dyDescent="0.25">
      <c r="A909" t="s">
        <v>959</v>
      </c>
      <c r="B909" t="s">
        <v>960</v>
      </c>
      <c r="C909" t="s">
        <v>961</v>
      </c>
      <c r="D909" t="s">
        <v>962</v>
      </c>
      <c r="E909" s="9">
        <v>45323</v>
      </c>
      <c r="F909" s="9">
        <v>45351</v>
      </c>
      <c r="G909">
        <v>134858814.56</v>
      </c>
      <c r="H909">
        <v>52906725.752000004</v>
      </c>
      <c r="I909">
        <v>68921022.967999995</v>
      </c>
      <c r="J909">
        <v>0</v>
      </c>
      <c r="K909">
        <v>1605319.5919999999</v>
      </c>
      <c r="L909">
        <v>23937.664000000001</v>
      </c>
      <c r="M909">
        <v>0</v>
      </c>
      <c r="T909" s="9">
        <v>45108</v>
      </c>
      <c r="U909" s="9">
        <v>45473</v>
      </c>
      <c r="V909">
        <f>SUM(POTABLE_NONPOTABLE_API[[#This Row],[RESIDENTIAL_SINGLEFAMILY_GAL]:[OTHER_GAL]])</f>
        <v>258315820.53600001</v>
      </c>
      <c r="W909">
        <f>SUM(POTABLE_NONPOTABLE_API[[#This Row],[NONPOTABLE_DEMAND_RESIDENTIAL_RECYCLED_WATER_GAL]:[NONPOTABLE_DEMAND_NONRESIDENTIAL_METERED_IRRIGATION_GAL]])</f>
        <v>0</v>
      </c>
      <c r="X909" t="str">
        <f>IFERROR(INDEX(Crosswalk_API!$H$2:$H$527, MATCH(POTABLE_NONPOTABLE_API[[#This Row],[PWSID]], CW_PWSID_LIST, 0)), "")</f>
        <v>No</v>
      </c>
    </row>
    <row r="910" spans="1:24" x14ac:dyDescent="0.25">
      <c r="A910" t="s">
        <v>959</v>
      </c>
      <c r="B910" t="s">
        <v>960</v>
      </c>
      <c r="C910" t="s">
        <v>961</v>
      </c>
      <c r="D910" t="s">
        <v>962</v>
      </c>
      <c r="E910" s="9">
        <v>45352</v>
      </c>
      <c r="F910" s="9">
        <v>45382</v>
      </c>
      <c r="G910">
        <v>135771438</v>
      </c>
      <c r="H910">
        <v>52346434.804000005</v>
      </c>
      <c r="I910">
        <v>65891412.368000001</v>
      </c>
      <c r="J910">
        <v>0</v>
      </c>
      <c r="K910">
        <v>1445984.5160000001</v>
      </c>
      <c r="L910">
        <v>282763.65600000002</v>
      </c>
      <c r="M910">
        <v>0</v>
      </c>
      <c r="T910" s="9">
        <v>45108</v>
      </c>
      <c r="U910" s="9">
        <v>45473</v>
      </c>
      <c r="V910">
        <f>SUM(POTABLE_NONPOTABLE_API[[#This Row],[RESIDENTIAL_SINGLEFAMILY_GAL]:[OTHER_GAL]])</f>
        <v>255738033.34400001</v>
      </c>
      <c r="W910">
        <f>SUM(POTABLE_NONPOTABLE_API[[#This Row],[NONPOTABLE_DEMAND_RESIDENTIAL_RECYCLED_WATER_GAL]:[NONPOTABLE_DEMAND_NONRESIDENTIAL_METERED_IRRIGATION_GAL]])</f>
        <v>0</v>
      </c>
      <c r="X910" t="str">
        <f>IFERROR(INDEX(Crosswalk_API!$H$2:$H$527, MATCH(POTABLE_NONPOTABLE_API[[#This Row],[PWSID]], CW_PWSID_LIST, 0)), "")</f>
        <v>No</v>
      </c>
    </row>
    <row r="911" spans="1:24" x14ac:dyDescent="0.25">
      <c r="A911" t="s">
        <v>959</v>
      </c>
      <c r="B911" t="s">
        <v>960</v>
      </c>
      <c r="C911" t="s">
        <v>961</v>
      </c>
      <c r="D911" t="s">
        <v>962</v>
      </c>
      <c r="E911" s="9">
        <v>45383</v>
      </c>
      <c r="F911" s="9">
        <v>45412</v>
      </c>
      <c r="G911">
        <v>157490379.76800001</v>
      </c>
      <c r="H911">
        <v>55758299.976000004</v>
      </c>
      <c r="I911">
        <v>83148972.008000001</v>
      </c>
      <c r="J911">
        <v>0</v>
      </c>
      <c r="K911">
        <v>1451220.8800000001</v>
      </c>
      <c r="L911">
        <v>629111.73199999996</v>
      </c>
      <c r="M911">
        <v>0</v>
      </c>
      <c r="T911" s="9">
        <v>45108</v>
      </c>
      <c r="U911" s="9">
        <v>45473</v>
      </c>
      <c r="V911">
        <f>SUM(POTABLE_NONPOTABLE_API[[#This Row],[RESIDENTIAL_SINGLEFAMILY_GAL]:[OTHER_GAL]])</f>
        <v>298477984.36400002</v>
      </c>
      <c r="W911">
        <f>SUM(POTABLE_NONPOTABLE_API[[#This Row],[NONPOTABLE_DEMAND_RESIDENTIAL_RECYCLED_WATER_GAL]:[NONPOTABLE_DEMAND_NONRESIDENTIAL_METERED_IRRIGATION_GAL]])</f>
        <v>0</v>
      </c>
      <c r="X911" t="str">
        <f>IFERROR(INDEX(Crosswalk_API!$H$2:$H$527, MATCH(POTABLE_NONPOTABLE_API[[#This Row],[PWSID]], CW_PWSID_LIST, 0)), "")</f>
        <v>No</v>
      </c>
    </row>
    <row r="912" spans="1:24" x14ac:dyDescent="0.25">
      <c r="A912" t="s">
        <v>959</v>
      </c>
      <c r="B912" t="s">
        <v>960</v>
      </c>
      <c r="C912" t="s">
        <v>961</v>
      </c>
      <c r="D912" t="s">
        <v>962</v>
      </c>
      <c r="E912" s="9">
        <v>45413</v>
      </c>
      <c r="F912" s="9">
        <v>45443</v>
      </c>
      <c r="G912">
        <v>246653689.85600001</v>
      </c>
      <c r="H912">
        <v>66145750.048</v>
      </c>
      <c r="I912">
        <v>127432154.30400001</v>
      </c>
      <c r="J912">
        <v>0</v>
      </c>
      <c r="K912">
        <v>1890327.4040000001</v>
      </c>
      <c r="L912">
        <v>206462.35200000001</v>
      </c>
      <c r="M912">
        <v>0</v>
      </c>
      <c r="T912" s="9">
        <v>45108</v>
      </c>
      <c r="U912" s="9">
        <v>45473</v>
      </c>
      <c r="V912">
        <f>SUM(POTABLE_NONPOTABLE_API[[#This Row],[RESIDENTIAL_SINGLEFAMILY_GAL]:[OTHER_GAL]])</f>
        <v>442328383.96399999</v>
      </c>
      <c r="W912">
        <f>SUM(POTABLE_NONPOTABLE_API[[#This Row],[NONPOTABLE_DEMAND_RESIDENTIAL_RECYCLED_WATER_GAL]:[NONPOTABLE_DEMAND_NONRESIDENTIAL_METERED_IRRIGATION_GAL]])</f>
        <v>0</v>
      </c>
      <c r="X912" t="str">
        <f>IFERROR(INDEX(Crosswalk_API!$H$2:$H$527, MATCH(POTABLE_NONPOTABLE_API[[#This Row],[PWSID]], CW_PWSID_LIST, 0)), "")</f>
        <v>No</v>
      </c>
    </row>
    <row r="913" spans="1:24" x14ac:dyDescent="0.25">
      <c r="A913" t="s">
        <v>959</v>
      </c>
      <c r="B913" t="s">
        <v>960</v>
      </c>
      <c r="C913" t="s">
        <v>961</v>
      </c>
      <c r="D913" t="s">
        <v>962</v>
      </c>
      <c r="E913" s="9">
        <v>45444</v>
      </c>
      <c r="F913" s="9">
        <v>45473</v>
      </c>
      <c r="G913">
        <v>401282022.67199999</v>
      </c>
      <c r="H913">
        <v>87968671.044</v>
      </c>
      <c r="I913">
        <v>178880178.65600002</v>
      </c>
      <c r="J913">
        <v>0</v>
      </c>
      <c r="K913">
        <v>2455854.716</v>
      </c>
      <c r="L913">
        <v>2470815.7560000001</v>
      </c>
      <c r="M913">
        <v>0</v>
      </c>
      <c r="T913" s="9">
        <v>45108</v>
      </c>
      <c r="U913" s="9">
        <v>45473</v>
      </c>
      <c r="V913">
        <f>SUM(POTABLE_NONPOTABLE_API[[#This Row],[RESIDENTIAL_SINGLEFAMILY_GAL]:[OTHER_GAL]])</f>
        <v>673057542.84399998</v>
      </c>
      <c r="W913">
        <f>SUM(POTABLE_NONPOTABLE_API[[#This Row],[NONPOTABLE_DEMAND_RESIDENTIAL_RECYCLED_WATER_GAL]:[NONPOTABLE_DEMAND_NONRESIDENTIAL_METERED_IRRIGATION_GAL]])</f>
        <v>0</v>
      </c>
      <c r="X913" t="str">
        <f>IFERROR(INDEX(Crosswalk_API!$H$2:$H$527, MATCH(POTABLE_NONPOTABLE_API[[#This Row],[PWSID]], CW_PWSID_LIST, 0)), "")</f>
        <v>No</v>
      </c>
    </row>
    <row r="914" spans="1:24" x14ac:dyDescent="0.25">
      <c r="A914" t="s">
        <v>959</v>
      </c>
      <c r="B914" t="s">
        <v>960</v>
      </c>
      <c r="C914" t="s">
        <v>964</v>
      </c>
      <c r="D914" t="s">
        <v>965</v>
      </c>
      <c r="E914" s="9">
        <v>45108</v>
      </c>
      <c r="F914" s="9">
        <v>45138</v>
      </c>
      <c r="G914">
        <v>8521808.3839999996</v>
      </c>
      <c r="H914">
        <v>101735.072</v>
      </c>
      <c r="I914">
        <v>2541880.696</v>
      </c>
      <c r="J914">
        <v>0</v>
      </c>
      <c r="K914">
        <v>0</v>
      </c>
      <c r="L914">
        <v>0</v>
      </c>
      <c r="M914">
        <v>0</v>
      </c>
      <c r="T914" s="9">
        <v>45108</v>
      </c>
      <c r="U914" s="9">
        <v>45473</v>
      </c>
      <c r="V914">
        <f>SUM(POTABLE_NONPOTABLE_API[[#This Row],[RESIDENTIAL_SINGLEFAMILY_GAL]:[OTHER_GAL]])</f>
        <v>11165424.152000001</v>
      </c>
      <c r="W914">
        <f>SUM(POTABLE_NONPOTABLE_API[[#This Row],[NONPOTABLE_DEMAND_RESIDENTIAL_RECYCLED_WATER_GAL]:[NONPOTABLE_DEMAND_NONRESIDENTIAL_METERED_IRRIGATION_GAL]])</f>
        <v>0</v>
      </c>
      <c r="X914" t="str">
        <f>IFERROR(INDEX(Crosswalk_API!$H$2:$H$527, MATCH(POTABLE_NONPOTABLE_API[[#This Row],[PWSID]], CW_PWSID_LIST, 0)), "")</f>
        <v>No</v>
      </c>
    </row>
    <row r="915" spans="1:24" x14ac:dyDescent="0.25">
      <c r="A915" t="s">
        <v>959</v>
      </c>
      <c r="B915" t="s">
        <v>960</v>
      </c>
      <c r="C915" t="s">
        <v>964</v>
      </c>
      <c r="D915" t="s">
        <v>965</v>
      </c>
      <c r="E915" s="9">
        <v>45139</v>
      </c>
      <c r="F915" s="9">
        <v>45169</v>
      </c>
      <c r="G915">
        <v>7417683.6320000002</v>
      </c>
      <c r="H915">
        <v>77797.407999999996</v>
      </c>
      <c r="I915">
        <v>2151397.5520000001</v>
      </c>
      <c r="J915">
        <v>0</v>
      </c>
      <c r="K915">
        <v>0</v>
      </c>
      <c r="L915">
        <v>0</v>
      </c>
      <c r="M915">
        <v>0</v>
      </c>
      <c r="T915" s="9">
        <v>45108</v>
      </c>
      <c r="U915" s="9">
        <v>45473</v>
      </c>
      <c r="V915">
        <f>SUM(POTABLE_NONPOTABLE_API[[#This Row],[RESIDENTIAL_SINGLEFAMILY_GAL]:[OTHER_GAL]])</f>
        <v>9646878.5920000002</v>
      </c>
      <c r="W915">
        <f>SUM(POTABLE_NONPOTABLE_API[[#This Row],[NONPOTABLE_DEMAND_RESIDENTIAL_RECYCLED_WATER_GAL]:[NONPOTABLE_DEMAND_NONRESIDENTIAL_METERED_IRRIGATION_GAL]])</f>
        <v>0</v>
      </c>
      <c r="X915" t="str">
        <f>IFERROR(INDEX(Crosswalk_API!$H$2:$H$527, MATCH(POTABLE_NONPOTABLE_API[[#This Row],[PWSID]], CW_PWSID_LIST, 0)), "")</f>
        <v>No</v>
      </c>
    </row>
    <row r="916" spans="1:24" x14ac:dyDescent="0.25">
      <c r="A916" t="s">
        <v>959</v>
      </c>
      <c r="B916" t="s">
        <v>960</v>
      </c>
      <c r="C916" t="s">
        <v>964</v>
      </c>
      <c r="D916" t="s">
        <v>965</v>
      </c>
      <c r="E916" s="9">
        <v>45170</v>
      </c>
      <c r="F916" s="9">
        <v>45199</v>
      </c>
      <c r="G916">
        <v>7493984.9359999998</v>
      </c>
      <c r="H916">
        <v>92758.448000000004</v>
      </c>
      <c r="I916">
        <v>2408727.44</v>
      </c>
      <c r="J916">
        <v>0</v>
      </c>
      <c r="K916">
        <v>0</v>
      </c>
      <c r="L916">
        <v>0</v>
      </c>
      <c r="M916">
        <v>0</v>
      </c>
      <c r="T916" s="9">
        <v>45108</v>
      </c>
      <c r="U916" s="9">
        <v>45473</v>
      </c>
      <c r="V916">
        <f>SUM(POTABLE_NONPOTABLE_API[[#This Row],[RESIDENTIAL_SINGLEFAMILY_GAL]:[OTHER_GAL]])</f>
        <v>9995470.8239999991</v>
      </c>
      <c r="W916">
        <f>SUM(POTABLE_NONPOTABLE_API[[#This Row],[NONPOTABLE_DEMAND_RESIDENTIAL_RECYCLED_WATER_GAL]:[NONPOTABLE_DEMAND_NONRESIDENTIAL_METERED_IRRIGATION_GAL]])</f>
        <v>0</v>
      </c>
      <c r="X916" t="str">
        <f>IFERROR(INDEX(Crosswalk_API!$H$2:$H$527, MATCH(POTABLE_NONPOTABLE_API[[#This Row],[PWSID]], CW_PWSID_LIST, 0)), "")</f>
        <v>No</v>
      </c>
    </row>
    <row r="917" spans="1:24" x14ac:dyDescent="0.25">
      <c r="A917" t="s">
        <v>959</v>
      </c>
      <c r="B917" t="s">
        <v>960</v>
      </c>
      <c r="C917" t="s">
        <v>964</v>
      </c>
      <c r="D917" t="s">
        <v>965</v>
      </c>
      <c r="E917" s="9">
        <v>45200</v>
      </c>
      <c r="F917" s="9">
        <v>45230</v>
      </c>
      <c r="G917">
        <v>5180260.1000000006</v>
      </c>
      <c r="H917">
        <v>71812.991999999998</v>
      </c>
      <c r="I917">
        <v>1458701.4000000001</v>
      </c>
      <c r="J917">
        <v>0</v>
      </c>
      <c r="K917">
        <v>0</v>
      </c>
      <c r="L917">
        <v>0</v>
      </c>
      <c r="M917">
        <v>0</v>
      </c>
      <c r="T917" s="9">
        <v>45108</v>
      </c>
      <c r="U917" s="9">
        <v>45473</v>
      </c>
      <c r="V917">
        <f>SUM(POTABLE_NONPOTABLE_API[[#This Row],[RESIDENTIAL_SINGLEFAMILY_GAL]:[OTHER_GAL]])</f>
        <v>6710774.4920000006</v>
      </c>
      <c r="W917">
        <f>SUM(POTABLE_NONPOTABLE_API[[#This Row],[NONPOTABLE_DEMAND_RESIDENTIAL_RECYCLED_WATER_GAL]:[NONPOTABLE_DEMAND_NONRESIDENTIAL_METERED_IRRIGATION_GAL]])</f>
        <v>0</v>
      </c>
      <c r="X917" t="str">
        <f>IFERROR(INDEX(Crosswalk_API!$H$2:$H$527, MATCH(POTABLE_NONPOTABLE_API[[#This Row],[PWSID]], CW_PWSID_LIST, 0)), "")</f>
        <v>No</v>
      </c>
    </row>
    <row r="918" spans="1:24" x14ac:dyDescent="0.25">
      <c r="A918" t="s">
        <v>959</v>
      </c>
      <c r="B918" t="s">
        <v>960</v>
      </c>
      <c r="C918" t="s">
        <v>964</v>
      </c>
      <c r="D918" t="s">
        <v>965</v>
      </c>
      <c r="E918" s="9">
        <v>45231</v>
      </c>
      <c r="F918" s="9">
        <v>45260</v>
      </c>
      <c r="G918">
        <v>4450161.3480000002</v>
      </c>
      <c r="H918">
        <v>71812.991999999998</v>
      </c>
      <c r="I918">
        <v>1086919.5560000001</v>
      </c>
      <c r="J918">
        <v>0</v>
      </c>
      <c r="K918">
        <v>0</v>
      </c>
      <c r="L918">
        <v>0</v>
      </c>
      <c r="M918">
        <v>0</v>
      </c>
      <c r="T918" s="9">
        <v>45108</v>
      </c>
      <c r="U918" s="9">
        <v>45473</v>
      </c>
      <c r="V918">
        <f>SUM(POTABLE_NONPOTABLE_API[[#This Row],[RESIDENTIAL_SINGLEFAMILY_GAL]:[OTHER_GAL]])</f>
        <v>5608893.8959999997</v>
      </c>
      <c r="W918">
        <f>SUM(POTABLE_NONPOTABLE_API[[#This Row],[NONPOTABLE_DEMAND_RESIDENTIAL_RECYCLED_WATER_GAL]:[NONPOTABLE_DEMAND_NONRESIDENTIAL_METERED_IRRIGATION_GAL]])</f>
        <v>0</v>
      </c>
      <c r="X918" t="str">
        <f>IFERROR(INDEX(Crosswalk_API!$H$2:$H$527, MATCH(POTABLE_NONPOTABLE_API[[#This Row],[PWSID]], CW_PWSID_LIST, 0)), "")</f>
        <v>No</v>
      </c>
    </row>
    <row r="919" spans="1:24" x14ac:dyDescent="0.25">
      <c r="A919" t="s">
        <v>959</v>
      </c>
      <c r="B919" t="s">
        <v>960</v>
      </c>
      <c r="C919" t="s">
        <v>964</v>
      </c>
      <c r="D919" t="s">
        <v>965</v>
      </c>
      <c r="E919" s="9">
        <v>45261</v>
      </c>
      <c r="F919" s="9">
        <v>45291</v>
      </c>
      <c r="G919">
        <v>3390171.6639999999</v>
      </c>
      <c r="H919">
        <v>62088.315999999999</v>
      </c>
      <c r="I919">
        <v>836322.13600000006</v>
      </c>
      <c r="J919">
        <v>0</v>
      </c>
      <c r="K919">
        <v>0</v>
      </c>
      <c r="L919">
        <v>0</v>
      </c>
      <c r="M919">
        <v>0</v>
      </c>
      <c r="T919" s="9">
        <v>45108</v>
      </c>
      <c r="U919" s="9">
        <v>45473</v>
      </c>
      <c r="V919">
        <f>SUM(POTABLE_NONPOTABLE_API[[#This Row],[RESIDENTIAL_SINGLEFAMILY_GAL]:[OTHER_GAL]])</f>
        <v>4288582.1160000004</v>
      </c>
      <c r="W919">
        <f>SUM(POTABLE_NONPOTABLE_API[[#This Row],[NONPOTABLE_DEMAND_RESIDENTIAL_RECYCLED_WATER_GAL]:[NONPOTABLE_DEMAND_NONRESIDENTIAL_METERED_IRRIGATION_GAL]])</f>
        <v>0</v>
      </c>
      <c r="X919" t="str">
        <f>IFERROR(INDEX(Crosswalk_API!$H$2:$H$527, MATCH(POTABLE_NONPOTABLE_API[[#This Row],[PWSID]], CW_PWSID_LIST, 0)), "")</f>
        <v>No</v>
      </c>
    </row>
    <row r="920" spans="1:24" x14ac:dyDescent="0.25">
      <c r="A920" t="s">
        <v>959</v>
      </c>
      <c r="B920" t="s">
        <v>960</v>
      </c>
      <c r="C920" t="s">
        <v>964</v>
      </c>
      <c r="D920" t="s">
        <v>965</v>
      </c>
      <c r="E920" s="9">
        <v>45292</v>
      </c>
      <c r="F920" s="9">
        <v>45322</v>
      </c>
      <c r="G920">
        <v>3107408.0079999999</v>
      </c>
      <c r="H920">
        <v>65828.576000000001</v>
      </c>
      <c r="I920">
        <v>575251.98800000001</v>
      </c>
      <c r="J920">
        <v>0</v>
      </c>
      <c r="K920">
        <v>0</v>
      </c>
      <c r="L920">
        <v>0</v>
      </c>
      <c r="M920">
        <v>0</v>
      </c>
      <c r="T920" s="9">
        <v>45108</v>
      </c>
      <c r="U920" s="9">
        <v>45473</v>
      </c>
      <c r="V920">
        <f>SUM(POTABLE_NONPOTABLE_API[[#This Row],[RESIDENTIAL_SINGLEFAMILY_GAL]:[OTHER_GAL]])</f>
        <v>3748488.5719999997</v>
      </c>
      <c r="W920">
        <f>SUM(POTABLE_NONPOTABLE_API[[#This Row],[NONPOTABLE_DEMAND_RESIDENTIAL_RECYCLED_WATER_GAL]:[NONPOTABLE_DEMAND_NONRESIDENTIAL_METERED_IRRIGATION_GAL]])</f>
        <v>0</v>
      </c>
      <c r="X920" t="str">
        <f>IFERROR(INDEX(Crosswalk_API!$H$2:$H$527, MATCH(POTABLE_NONPOTABLE_API[[#This Row],[PWSID]], CW_PWSID_LIST, 0)), "")</f>
        <v>No</v>
      </c>
    </row>
    <row r="921" spans="1:24" x14ac:dyDescent="0.25">
      <c r="A921" t="s">
        <v>959</v>
      </c>
      <c r="B921" t="s">
        <v>960</v>
      </c>
      <c r="C921" t="s">
        <v>964</v>
      </c>
      <c r="D921" t="s">
        <v>965</v>
      </c>
      <c r="E921" s="9">
        <v>45323</v>
      </c>
      <c r="F921" s="9">
        <v>45351</v>
      </c>
      <c r="G921">
        <v>3369974.2600000002</v>
      </c>
      <c r="H921">
        <v>80789.616000000009</v>
      </c>
      <c r="I921">
        <v>629859.78399999999</v>
      </c>
      <c r="J921">
        <v>0</v>
      </c>
      <c r="K921">
        <v>0</v>
      </c>
      <c r="L921">
        <v>0</v>
      </c>
      <c r="M921">
        <v>0</v>
      </c>
      <c r="T921" s="9">
        <v>45108</v>
      </c>
      <c r="U921" s="9">
        <v>45473</v>
      </c>
      <c r="V921">
        <f>SUM(POTABLE_NONPOTABLE_API[[#This Row],[RESIDENTIAL_SINGLEFAMILY_GAL]:[OTHER_GAL]])</f>
        <v>4080623.66</v>
      </c>
      <c r="W921">
        <f>SUM(POTABLE_NONPOTABLE_API[[#This Row],[NONPOTABLE_DEMAND_RESIDENTIAL_RECYCLED_WATER_GAL]:[NONPOTABLE_DEMAND_NONRESIDENTIAL_METERED_IRRIGATION_GAL]])</f>
        <v>0</v>
      </c>
      <c r="X921" t="str">
        <f>IFERROR(INDEX(Crosswalk_API!$H$2:$H$527, MATCH(POTABLE_NONPOTABLE_API[[#This Row],[PWSID]], CW_PWSID_LIST, 0)), "")</f>
        <v>No</v>
      </c>
    </row>
    <row r="922" spans="1:24" x14ac:dyDescent="0.25">
      <c r="A922" t="s">
        <v>959</v>
      </c>
      <c r="B922" t="s">
        <v>960</v>
      </c>
      <c r="C922" t="s">
        <v>964</v>
      </c>
      <c r="D922" t="s">
        <v>965</v>
      </c>
      <c r="E922" s="9">
        <v>45352</v>
      </c>
      <c r="F922" s="9">
        <v>45382</v>
      </c>
      <c r="G922">
        <v>3212135.2880000002</v>
      </c>
      <c r="H922">
        <v>82285.72</v>
      </c>
      <c r="I922">
        <v>714389.66</v>
      </c>
      <c r="J922">
        <v>0</v>
      </c>
      <c r="K922">
        <v>0</v>
      </c>
      <c r="L922">
        <v>0</v>
      </c>
      <c r="M922">
        <v>0</v>
      </c>
      <c r="T922" s="9">
        <v>45108</v>
      </c>
      <c r="U922" s="9">
        <v>45473</v>
      </c>
      <c r="V922">
        <f>SUM(POTABLE_NONPOTABLE_API[[#This Row],[RESIDENTIAL_SINGLEFAMILY_GAL]:[OTHER_GAL]])</f>
        <v>4008810.6680000005</v>
      </c>
      <c r="W922">
        <f>SUM(POTABLE_NONPOTABLE_API[[#This Row],[NONPOTABLE_DEMAND_RESIDENTIAL_RECYCLED_WATER_GAL]:[NONPOTABLE_DEMAND_NONRESIDENTIAL_METERED_IRRIGATION_GAL]])</f>
        <v>0</v>
      </c>
      <c r="X922" t="str">
        <f>IFERROR(INDEX(Crosswalk_API!$H$2:$H$527, MATCH(POTABLE_NONPOTABLE_API[[#This Row],[PWSID]], CW_PWSID_LIST, 0)), "")</f>
        <v>No</v>
      </c>
    </row>
    <row r="923" spans="1:24" x14ac:dyDescent="0.25">
      <c r="A923" t="s">
        <v>959</v>
      </c>
      <c r="B923" t="s">
        <v>960</v>
      </c>
      <c r="C923" t="s">
        <v>964</v>
      </c>
      <c r="D923" t="s">
        <v>965</v>
      </c>
      <c r="E923" s="9">
        <v>45383</v>
      </c>
      <c r="F923" s="9">
        <v>45412</v>
      </c>
      <c r="G923">
        <v>3850971.696</v>
      </c>
      <c r="H923">
        <v>78545.460000000006</v>
      </c>
      <c r="I923">
        <v>798919.53600000008</v>
      </c>
      <c r="J923">
        <v>0</v>
      </c>
      <c r="K923">
        <v>0</v>
      </c>
      <c r="L923">
        <v>0</v>
      </c>
      <c r="M923">
        <v>0</v>
      </c>
      <c r="T923" s="9">
        <v>45108</v>
      </c>
      <c r="U923" s="9">
        <v>45473</v>
      </c>
      <c r="V923">
        <f>SUM(POTABLE_NONPOTABLE_API[[#This Row],[RESIDENTIAL_SINGLEFAMILY_GAL]:[OTHER_GAL]])</f>
        <v>4728436.6919999998</v>
      </c>
      <c r="W923">
        <f>SUM(POTABLE_NONPOTABLE_API[[#This Row],[NONPOTABLE_DEMAND_RESIDENTIAL_RECYCLED_WATER_GAL]:[NONPOTABLE_DEMAND_NONRESIDENTIAL_METERED_IRRIGATION_GAL]])</f>
        <v>0</v>
      </c>
      <c r="X923" t="str">
        <f>IFERROR(INDEX(Crosswalk_API!$H$2:$H$527, MATCH(POTABLE_NONPOTABLE_API[[#This Row],[PWSID]], CW_PWSID_LIST, 0)), "")</f>
        <v>No</v>
      </c>
    </row>
    <row r="924" spans="1:24" x14ac:dyDescent="0.25">
      <c r="A924" t="s">
        <v>959</v>
      </c>
      <c r="B924" t="s">
        <v>960</v>
      </c>
      <c r="C924" t="s">
        <v>964</v>
      </c>
      <c r="D924" t="s">
        <v>965</v>
      </c>
      <c r="E924" s="9">
        <v>45413</v>
      </c>
      <c r="F924" s="9">
        <v>45443</v>
      </c>
      <c r="G924">
        <v>5427865.3119999999</v>
      </c>
      <c r="H924">
        <v>104727.28</v>
      </c>
      <c r="I924">
        <v>1725755.9640000002</v>
      </c>
      <c r="J924">
        <v>0</v>
      </c>
      <c r="K924">
        <v>0</v>
      </c>
      <c r="L924">
        <v>0</v>
      </c>
      <c r="M924">
        <v>0</v>
      </c>
      <c r="T924" s="9">
        <v>45108</v>
      </c>
      <c r="U924" s="9">
        <v>45473</v>
      </c>
      <c r="V924">
        <f>SUM(POTABLE_NONPOTABLE_API[[#This Row],[RESIDENTIAL_SINGLEFAMILY_GAL]:[OTHER_GAL]])</f>
        <v>7258348.5559999999</v>
      </c>
      <c r="W924">
        <f>SUM(POTABLE_NONPOTABLE_API[[#This Row],[NONPOTABLE_DEMAND_RESIDENTIAL_RECYCLED_WATER_GAL]:[NONPOTABLE_DEMAND_NONRESIDENTIAL_METERED_IRRIGATION_GAL]])</f>
        <v>0</v>
      </c>
      <c r="X924" t="str">
        <f>IFERROR(INDEX(Crosswalk_API!$H$2:$H$527, MATCH(POTABLE_NONPOTABLE_API[[#This Row],[PWSID]], CW_PWSID_LIST, 0)), "")</f>
        <v>No</v>
      </c>
    </row>
    <row r="925" spans="1:24" x14ac:dyDescent="0.25">
      <c r="A925" t="s">
        <v>959</v>
      </c>
      <c r="B925" t="s">
        <v>960</v>
      </c>
      <c r="C925" t="s">
        <v>964</v>
      </c>
      <c r="D925" t="s">
        <v>965</v>
      </c>
      <c r="E925" s="9">
        <v>45444</v>
      </c>
      <c r="F925" s="9">
        <v>45473</v>
      </c>
      <c r="G925">
        <v>8711065.540000001</v>
      </c>
      <c r="H925">
        <v>129412.996</v>
      </c>
      <c r="I925">
        <v>2631646.9360000002</v>
      </c>
      <c r="J925">
        <v>0</v>
      </c>
      <c r="K925">
        <v>0</v>
      </c>
      <c r="L925">
        <v>0</v>
      </c>
      <c r="M925">
        <v>0</v>
      </c>
      <c r="T925" s="9">
        <v>45108</v>
      </c>
      <c r="U925" s="9">
        <v>45473</v>
      </c>
      <c r="V925">
        <f>SUM(POTABLE_NONPOTABLE_API[[#This Row],[RESIDENTIAL_SINGLEFAMILY_GAL]:[OTHER_GAL]])</f>
        <v>11472125.472000001</v>
      </c>
      <c r="W925">
        <f>SUM(POTABLE_NONPOTABLE_API[[#This Row],[NONPOTABLE_DEMAND_RESIDENTIAL_RECYCLED_WATER_GAL]:[NONPOTABLE_DEMAND_NONRESIDENTIAL_METERED_IRRIGATION_GAL]])</f>
        <v>0</v>
      </c>
      <c r="X925" t="str">
        <f>IFERROR(INDEX(Crosswalk_API!$H$2:$H$527, MATCH(POTABLE_NONPOTABLE_API[[#This Row],[PWSID]], CW_PWSID_LIST, 0)), "")</f>
        <v>No</v>
      </c>
    </row>
    <row r="926" spans="1:24" x14ac:dyDescent="0.25">
      <c r="A926" t="s">
        <v>967</v>
      </c>
      <c r="B926" t="s">
        <v>968</v>
      </c>
      <c r="C926" t="s">
        <v>969</v>
      </c>
      <c r="D926" t="s">
        <v>970</v>
      </c>
      <c r="E926" s="9">
        <v>45108</v>
      </c>
      <c r="F926" s="9">
        <v>45138</v>
      </c>
      <c r="G926">
        <v>29436594.252</v>
      </c>
      <c r="H926">
        <v>2820904.0920000002</v>
      </c>
      <c r="I926">
        <v>3060280.7320000003</v>
      </c>
      <c r="J926">
        <v>0</v>
      </c>
      <c r="K926">
        <v>3740.26</v>
      </c>
      <c r="L926">
        <v>35906.495999999999</v>
      </c>
      <c r="M926">
        <v>0</v>
      </c>
      <c r="T926" s="9">
        <v>45108</v>
      </c>
      <c r="U926" s="9">
        <v>45473</v>
      </c>
      <c r="V926">
        <f>SUM(POTABLE_NONPOTABLE_API[[#This Row],[RESIDENTIAL_SINGLEFAMILY_GAL]:[OTHER_GAL]])</f>
        <v>35357425.831999995</v>
      </c>
      <c r="W926">
        <f>SUM(POTABLE_NONPOTABLE_API[[#This Row],[NONPOTABLE_DEMAND_RESIDENTIAL_RECYCLED_WATER_GAL]:[NONPOTABLE_DEMAND_NONRESIDENTIAL_METERED_IRRIGATION_GAL]])</f>
        <v>0</v>
      </c>
      <c r="X926" t="str">
        <f>IFERROR(INDEX(Crosswalk_API!$H$2:$H$527, MATCH(POTABLE_NONPOTABLE_API[[#This Row],[PWSID]], CW_PWSID_LIST, 0)), "")</f>
        <v>No</v>
      </c>
    </row>
    <row r="927" spans="1:24" x14ac:dyDescent="0.25">
      <c r="A927" t="s">
        <v>967</v>
      </c>
      <c r="B927" t="s">
        <v>968</v>
      </c>
      <c r="C927" t="s">
        <v>969</v>
      </c>
      <c r="D927" t="s">
        <v>970</v>
      </c>
      <c r="E927" s="9">
        <v>45139</v>
      </c>
      <c r="F927" s="9">
        <v>45169</v>
      </c>
      <c r="G927">
        <v>26668053.800000001</v>
      </c>
      <c r="H927">
        <v>2892717.0840000003</v>
      </c>
      <c r="I927">
        <v>3521080.764</v>
      </c>
      <c r="J927">
        <v>0</v>
      </c>
      <c r="K927">
        <v>6732.4679999999998</v>
      </c>
      <c r="L927">
        <v>30670.132000000001</v>
      </c>
      <c r="M927">
        <v>0</v>
      </c>
      <c r="T927" s="9">
        <v>45108</v>
      </c>
      <c r="U927" s="9">
        <v>45473</v>
      </c>
      <c r="V927">
        <f>SUM(POTABLE_NONPOTABLE_API[[#This Row],[RESIDENTIAL_SINGLEFAMILY_GAL]:[OTHER_GAL]])</f>
        <v>33119254.247999996</v>
      </c>
      <c r="W927">
        <f>SUM(POTABLE_NONPOTABLE_API[[#This Row],[NONPOTABLE_DEMAND_RESIDENTIAL_RECYCLED_WATER_GAL]:[NONPOTABLE_DEMAND_NONRESIDENTIAL_METERED_IRRIGATION_GAL]])</f>
        <v>0</v>
      </c>
      <c r="X927" t="str">
        <f>IFERROR(INDEX(Crosswalk_API!$H$2:$H$527, MATCH(POTABLE_NONPOTABLE_API[[#This Row],[PWSID]], CW_PWSID_LIST, 0)), "")</f>
        <v>No</v>
      </c>
    </row>
    <row r="928" spans="1:24" x14ac:dyDescent="0.25">
      <c r="A928" t="s">
        <v>967</v>
      </c>
      <c r="B928" t="s">
        <v>968</v>
      </c>
      <c r="C928" t="s">
        <v>969</v>
      </c>
      <c r="D928" t="s">
        <v>970</v>
      </c>
      <c r="E928" s="9">
        <v>45170</v>
      </c>
      <c r="F928" s="9">
        <v>45199</v>
      </c>
      <c r="G928">
        <v>26799710.952</v>
      </c>
      <c r="H928">
        <v>2706452.1359999999</v>
      </c>
      <c r="I928">
        <v>3680415.8400000003</v>
      </c>
      <c r="J928">
        <v>0</v>
      </c>
      <c r="K928">
        <v>5984.4160000000002</v>
      </c>
      <c r="L928">
        <v>32914.288</v>
      </c>
      <c r="M928">
        <v>0</v>
      </c>
      <c r="T928" s="9">
        <v>45108</v>
      </c>
      <c r="U928" s="9">
        <v>45473</v>
      </c>
      <c r="V928">
        <f>SUM(POTABLE_NONPOTABLE_API[[#This Row],[RESIDENTIAL_SINGLEFAMILY_GAL]:[OTHER_GAL]])</f>
        <v>33225477.631999999</v>
      </c>
      <c r="W928">
        <f>SUM(POTABLE_NONPOTABLE_API[[#This Row],[NONPOTABLE_DEMAND_RESIDENTIAL_RECYCLED_WATER_GAL]:[NONPOTABLE_DEMAND_NONRESIDENTIAL_METERED_IRRIGATION_GAL]])</f>
        <v>0</v>
      </c>
      <c r="X928" t="str">
        <f>IFERROR(INDEX(Crosswalk_API!$H$2:$H$527, MATCH(POTABLE_NONPOTABLE_API[[#This Row],[PWSID]], CW_PWSID_LIST, 0)), "")</f>
        <v>No</v>
      </c>
    </row>
    <row r="929" spans="1:24" x14ac:dyDescent="0.25">
      <c r="A929" t="s">
        <v>967</v>
      </c>
      <c r="B929" t="s">
        <v>968</v>
      </c>
      <c r="C929" t="s">
        <v>969</v>
      </c>
      <c r="D929" t="s">
        <v>970</v>
      </c>
      <c r="E929" s="9">
        <v>45200</v>
      </c>
      <c r="F929" s="9">
        <v>45230</v>
      </c>
      <c r="G929">
        <v>22021154.776000001</v>
      </c>
      <c r="H929">
        <v>2298015.7439999999</v>
      </c>
      <c r="I929">
        <v>2931615.7880000002</v>
      </c>
      <c r="J929">
        <v>0</v>
      </c>
      <c r="K929">
        <v>3740.26</v>
      </c>
      <c r="L929">
        <v>34410.392</v>
      </c>
      <c r="M929">
        <v>0</v>
      </c>
      <c r="T929" s="9">
        <v>45108</v>
      </c>
      <c r="U929" s="9">
        <v>45473</v>
      </c>
      <c r="V929">
        <f>SUM(POTABLE_NONPOTABLE_API[[#This Row],[RESIDENTIAL_SINGLEFAMILY_GAL]:[OTHER_GAL]])</f>
        <v>27288936.960000001</v>
      </c>
      <c r="W929">
        <f>SUM(POTABLE_NONPOTABLE_API[[#This Row],[NONPOTABLE_DEMAND_RESIDENTIAL_RECYCLED_WATER_GAL]:[NONPOTABLE_DEMAND_NONRESIDENTIAL_METERED_IRRIGATION_GAL]])</f>
        <v>0</v>
      </c>
      <c r="X929" t="str">
        <f>IFERROR(INDEX(Crosswalk_API!$H$2:$H$527, MATCH(POTABLE_NONPOTABLE_API[[#This Row],[PWSID]], CW_PWSID_LIST, 0)), "")</f>
        <v>No</v>
      </c>
    </row>
    <row r="930" spans="1:24" x14ac:dyDescent="0.25">
      <c r="A930" t="s">
        <v>967</v>
      </c>
      <c r="B930" t="s">
        <v>968</v>
      </c>
      <c r="C930" t="s">
        <v>969</v>
      </c>
      <c r="D930" t="s">
        <v>970</v>
      </c>
      <c r="E930" s="9">
        <v>45231</v>
      </c>
      <c r="F930" s="9">
        <v>45260</v>
      </c>
      <c r="G930">
        <v>17683949.280000001</v>
      </c>
      <c r="H930">
        <v>2002535.2040000001</v>
      </c>
      <c r="I930">
        <v>2584519.66</v>
      </c>
      <c r="J930">
        <v>0</v>
      </c>
      <c r="K930">
        <v>3740.26</v>
      </c>
      <c r="L930">
        <v>31418.184000000001</v>
      </c>
      <c r="M930">
        <v>0</v>
      </c>
      <c r="T930" s="9">
        <v>45108</v>
      </c>
      <c r="U930" s="9">
        <v>45473</v>
      </c>
      <c r="V930">
        <f>SUM(POTABLE_NONPOTABLE_API[[#This Row],[RESIDENTIAL_SINGLEFAMILY_GAL]:[OTHER_GAL]])</f>
        <v>22306162.588000003</v>
      </c>
      <c r="W930">
        <f>SUM(POTABLE_NONPOTABLE_API[[#This Row],[NONPOTABLE_DEMAND_RESIDENTIAL_RECYCLED_WATER_GAL]:[NONPOTABLE_DEMAND_NONRESIDENTIAL_METERED_IRRIGATION_GAL]])</f>
        <v>0</v>
      </c>
      <c r="X930" t="str">
        <f>IFERROR(INDEX(Crosswalk_API!$H$2:$H$527, MATCH(POTABLE_NONPOTABLE_API[[#This Row],[PWSID]], CW_PWSID_LIST, 0)), "")</f>
        <v>No</v>
      </c>
    </row>
    <row r="931" spans="1:24" x14ac:dyDescent="0.25">
      <c r="A931" t="s">
        <v>967</v>
      </c>
      <c r="B931" t="s">
        <v>968</v>
      </c>
      <c r="C931" t="s">
        <v>969</v>
      </c>
      <c r="D931" t="s">
        <v>970</v>
      </c>
      <c r="E931" s="9">
        <v>45261</v>
      </c>
      <c r="F931" s="9">
        <v>45291</v>
      </c>
      <c r="G931">
        <v>15867679.024</v>
      </c>
      <c r="H931">
        <v>2202265.088</v>
      </c>
      <c r="I931">
        <v>2093049.496</v>
      </c>
      <c r="J931">
        <v>0</v>
      </c>
      <c r="K931">
        <v>4488.3119999999999</v>
      </c>
      <c r="L931">
        <v>32166.236000000001</v>
      </c>
      <c r="M931">
        <v>0</v>
      </c>
      <c r="T931" s="9">
        <v>45108</v>
      </c>
      <c r="U931" s="9">
        <v>45473</v>
      </c>
      <c r="V931">
        <f>SUM(POTABLE_NONPOTABLE_API[[#This Row],[RESIDENTIAL_SINGLEFAMILY_GAL]:[OTHER_GAL]])</f>
        <v>20199648.155999999</v>
      </c>
      <c r="W931">
        <f>SUM(POTABLE_NONPOTABLE_API[[#This Row],[NONPOTABLE_DEMAND_RESIDENTIAL_RECYCLED_WATER_GAL]:[NONPOTABLE_DEMAND_NONRESIDENTIAL_METERED_IRRIGATION_GAL]])</f>
        <v>0</v>
      </c>
      <c r="X931" t="str">
        <f>IFERROR(INDEX(Crosswalk_API!$H$2:$H$527, MATCH(POTABLE_NONPOTABLE_API[[#This Row],[PWSID]], CW_PWSID_LIST, 0)), "")</f>
        <v>No</v>
      </c>
    </row>
    <row r="932" spans="1:24" x14ac:dyDescent="0.25">
      <c r="A932" t="s">
        <v>967</v>
      </c>
      <c r="B932" t="s">
        <v>968</v>
      </c>
      <c r="C932" t="s">
        <v>969</v>
      </c>
      <c r="D932" t="s">
        <v>970</v>
      </c>
      <c r="E932" s="9">
        <v>45292</v>
      </c>
      <c r="F932" s="9">
        <v>45322</v>
      </c>
      <c r="G932">
        <v>14073102.276000001</v>
      </c>
      <c r="H932">
        <v>1845444.284</v>
      </c>
      <c r="I932">
        <v>2018992.348</v>
      </c>
      <c r="J932">
        <v>0</v>
      </c>
      <c r="K932">
        <v>6732.4679999999998</v>
      </c>
      <c r="L932">
        <v>7480.52</v>
      </c>
      <c r="M932">
        <v>0</v>
      </c>
      <c r="T932" s="9">
        <v>45108</v>
      </c>
      <c r="U932" s="9">
        <v>45473</v>
      </c>
      <c r="V932">
        <f>SUM(POTABLE_NONPOTABLE_API[[#This Row],[RESIDENTIAL_SINGLEFAMILY_GAL]:[OTHER_GAL]])</f>
        <v>17951751.895999998</v>
      </c>
      <c r="W932">
        <f>SUM(POTABLE_NONPOTABLE_API[[#This Row],[NONPOTABLE_DEMAND_RESIDENTIAL_RECYCLED_WATER_GAL]:[NONPOTABLE_DEMAND_NONRESIDENTIAL_METERED_IRRIGATION_GAL]])</f>
        <v>0</v>
      </c>
      <c r="X932" t="str">
        <f>IFERROR(INDEX(Crosswalk_API!$H$2:$H$527, MATCH(POTABLE_NONPOTABLE_API[[#This Row],[PWSID]], CW_PWSID_LIST, 0)), "")</f>
        <v>No</v>
      </c>
    </row>
    <row r="933" spans="1:24" x14ac:dyDescent="0.25">
      <c r="A933" t="s">
        <v>967</v>
      </c>
      <c r="B933" t="s">
        <v>968</v>
      </c>
      <c r="C933" t="s">
        <v>969</v>
      </c>
      <c r="D933" t="s">
        <v>970</v>
      </c>
      <c r="E933" s="9">
        <v>45323</v>
      </c>
      <c r="F933" s="9">
        <v>45351</v>
      </c>
      <c r="G933">
        <v>12333881.376</v>
      </c>
      <c r="H933">
        <v>1695833.8840000001</v>
      </c>
      <c r="I933">
        <v>1997298.84</v>
      </c>
      <c r="J933">
        <v>0</v>
      </c>
      <c r="K933">
        <v>8228.5720000000001</v>
      </c>
      <c r="L933">
        <v>0</v>
      </c>
      <c r="M933">
        <v>0</v>
      </c>
      <c r="T933" s="9">
        <v>45108</v>
      </c>
      <c r="U933" s="9">
        <v>45473</v>
      </c>
      <c r="V933">
        <f>SUM(POTABLE_NONPOTABLE_API[[#This Row],[RESIDENTIAL_SINGLEFAMILY_GAL]:[OTHER_GAL]])</f>
        <v>16035242.672</v>
      </c>
      <c r="W933">
        <f>SUM(POTABLE_NONPOTABLE_API[[#This Row],[NONPOTABLE_DEMAND_RESIDENTIAL_RECYCLED_WATER_GAL]:[NONPOTABLE_DEMAND_NONRESIDENTIAL_METERED_IRRIGATION_GAL]])</f>
        <v>0</v>
      </c>
      <c r="X933" t="str">
        <f>IFERROR(INDEX(Crosswalk_API!$H$2:$H$527, MATCH(POTABLE_NONPOTABLE_API[[#This Row],[PWSID]], CW_PWSID_LIST, 0)), "")</f>
        <v>No</v>
      </c>
    </row>
    <row r="934" spans="1:24" x14ac:dyDescent="0.25">
      <c r="A934" t="s">
        <v>967</v>
      </c>
      <c r="B934" t="s">
        <v>968</v>
      </c>
      <c r="C934" t="s">
        <v>969</v>
      </c>
      <c r="D934" t="s">
        <v>970</v>
      </c>
      <c r="E934" s="9">
        <v>45352</v>
      </c>
      <c r="F934" s="9">
        <v>45382</v>
      </c>
      <c r="G934">
        <v>12686961.92</v>
      </c>
      <c r="H934">
        <v>1793080.6440000001</v>
      </c>
      <c r="I934">
        <v>1630005.308</v>
      </c>
      <c r="J934">
        <v>0</v>
      </c>
      <c r="K934">
        <v>3740.26</v>
      </c>
      <c r="L934">
        <v>0</v>
      </c>
      <c r="M934">
        <v>0</v>
      </c>
      <c r="T934" s="9">
        <v>45108</v>
      </c>
      <c r="U934" s="9">
        <v>45473</v>
      </c>
      <c r="V934">
        <f>SUM(POTABLE_NONPOTABLE_API[[#This Row],[RESIDENTIAL_SINGLEFAMILY_GAL]:[OTHER_GAL]])</f>
        <v>16113788.131999999</v>
      </c>
      <c r="W934">
        <f>SUM(POTABLE_NONPOTABLE_API[[#This Row],[NONPOTABLE_DEMAND_RESIDENTIAL_RECYCLED_WATER_GAL]:[NONPOTABLE_DEMAND_NONRESIDENTIAL_METERED_IRRIGATION_GAL]])</f>
        <v>0</v>
      </c>
      <c r="X934" t="str">
        <f>IFERROR(INDEX(Crosswalk_API!$H$2:$H$527, MATCH(POTABLE_NONPOTABLE_API[[#This Row],[PWSID]], CW_PWSID_LIST, 0)), "")</f>
        <v>No</v>
      </c>
    </row>
    <row r="935" spans="1:24" x14ac:dyDescent="0.25">
      <c r="A935" t="s">
        <v>967</v>
      </c>
      <c r="B935" t="s">
        <v>968</v>
      </c>
      <c r="C935" t="s">
        <v>969</v>
      </c>
      <c r="D935" t="s">
        <v>970</v>
      </c>
      <c r="E935" s="9">
        <v>45383</v>
      </c>
      <c r="F935" s="9">
        <v>45412</v>
      </c>
      <c r="G935">
        <v>13457455.48</v>
      </c>
      <c r="H935">
        <v>1978597.54</v>
      </c>
      <c r="I935">
        <v>1660675.44</v>
      </c>
      <c r="J935">
        <v>0</v>
      </c>
      <c r="K935">
        <v>2244.1559999999999</v>
      </c>
      <c r="L935">
        <v>0</v>
      </c>
      <c r="M935">
        <v>0</v>
      </c>
      <c r="T935" s="9">
        <v>45108</v>
      </c>
      <c r="U935" s="9">
        <v>45473</v>
      </c>
      <c r="V935">
        <f>SUM(POTABLE_NONPOTABLE_API[[#This Row],[RESIDENTIAL_SINGLEFAMILY_GAL]:[OTHER_GAL]])</f>
        <v>17098972.616</v>
      </c>
      <c r="W935">
        <f>SUM(POTABLE_NONPOTABLE_API[[#This Row],[NONPOTABLE_DEMAND_RESIDENTIAL_RECYCLED_WATER_GAL]:[NONPOTABLE_DEMAND_NONRESIDENTIAL_METERED_IRRIGATION_GAL]])</f>
        <v>0</v>
      </c>
      <c r="X935" t="str">
        <f>IFERROR(INDEX(Crosswalk_API!$H$2:$H$527, MATCH(POTABLE_NONPOTABLE_API[[#This Row],[PWSID]], CW_PWSID_LIST, 0)), "")</f>
        <v>No</v>
      </c>
    </row>
    <row r="936" spans="1:24" x14ac:dyDescent="0.25">
      <c r="A936" t="s">
        <v>967</v>
      </c>
      <c r="B936" t="s">
        <v>968</v>
      </c>
      <c r="C936" t="s">
        <v>969</v>
      </c>
      <c r="D936" t="s">
        <v>970</v>
      </c>
      <c r="E936" s="9">
        <v>45413</v>
      </c>
      <c r="F936" s="9">
        <v>45443</v>
      </c>
      <c r="G936">
        <v>18695315.583999999</v>
      </c>
      <c r="H936">
        <v>2206005.3480000002</v>
      </c>
      <c r="I936">
        <v>2110254.6920000003</v>
      </c>
      <c r="J936">
        <v>0</v>
      </c>
      <c r="K936">
        <v>2992.2080000000001</v>
      </c>
      <c r="L936">
        <v>0</v>
      </c>
      <c r="M936">
        <v>0</v>
      </c>
      <c r="T936" s="9">
        <v>45108</v>
      </c>
      <c r="U936" s="9">
        <v>45473</v>
      </c>
      <c r="V936">
        <f>SUM(POTABLE_NONPOTABLE_API[[#This Row],[RESIDENTIAL_SINGLEFAMILY_GAL]:[OTHER_GAL]])</f>
        <v>23014567.832000002</v>
      </c>
      <c r="W936">
        <f>SUM(POTABLE_NONPOTABLE_API[[#This Row],[NONPOTABLE_DEMAND_RESIDENTIAL_RECYCLED_WATER_GAL]:[NONPOTABLE_DEMAND_NONRESIDENTIAL_METERED_IRRIGATION_GAL]])</f>
        <v>0</v>
      </c>
      <c r="X936" t="str">
        <f>IFERROR(INDEX(Crosswalk_API!$H$2:$H$527, MATCH(POTABLE_NONPOTABLE_API[[#This Row],[PWSID]], CW_PWSID_LIST, 0)), "")</f>
        <v>No</v>
      </c>
    </row>
    <row r="937" spans="1:24" x14ac:dyDescent="0.25">
      <c r="A937" t="s">
        <v>967</v>
      </c>
      <c r="B937" t="s">
        <v>968</v>
      </c>
      <c r="C937" t="s">
        <v>969</v>
      </c>
      <c r="D937" t="s">
        <v>970</v>
      </c>
      <c r="E937" s="9">
        <v>45444</v>
      </c>
      <c r="F937" s="9">
        <v>45473</v>
      </c>
      <c r="G937">
        <v>27109404.48</v>
      </c>
      <c r="H937">
        <v>2893465.1359999999</v>
      </c>
      <c r="I937">
        <v>3065517.0959999999</v>
      </c>
      <c r="J937">
        <v>0</v>
      </c>
      <c r="K937">
        <v>7480.52</v>
      </c>
      <c r="L937">
        <v>13464.936</v>
      </c>
      <c r="M937">
        <v>0</v>
      </c>
      <c r="T937" s="9">
        <v>45108</v>
      </c>
      <c r="U937" s="9">
        <v>45473</v>
      </c>
      <c r="V937">
        <f>SUM(POTABLE_NONPOTABLE_API[[#This Row],[RESIDENTIAL_SINGLEFAMILY_GAL]:[OTHER_GAL]])</f>
        <v>33089332.168000001</v>
      </c>
      <c r="W937">
        <f>SUM(POTABLE_NONPOTABLE_API[[#This Row],[NONPOTABLE_DEMAND_RESIDENTIAL_RECYCLED_WATER_GAL]:[NONPOTABLE_DEMAND_NONRESIDENTIAL_METERED_IRRIGATION_GAL]])</f>
        <v>0</v>
      </c>
      <c r="X937" t="str">
        <f>IFERROR(INDEX(Crosswalk_API!$H$2:$H$527, MATCH(POTABLE_NONPOTABLE_API[[#This Row],[PWSID]], CW_PWSID_LIST, 0)), "")</f>
        <v>No</v>
      </c>
    </row>
    <row r="938" spans="1:24" x14ac:dyDescent="0.25">
      <c r="A938" t="s">
        <v>971</v>
      </c>
      <c r="B938" t="s">
        <v>972</v>
      </c>
      <c r="C938" t="s">
        <v>973</v>
      </c>
      <c r="D938" t="s">
        <v>974</v>
      </c>
      <c r="E938" s="9">
        <v>45108</v>
      </c>
      <c r="F938" s="9">
        <v>45138</v>
      </c>
      <c r="G938">
        <v>228847808.09999999</v>
      </c>
      <c r="H938">
        <v>64854612.296000004</v>
      </c>
      <c r="I938">
        <v>225584057.22400001</v>
      </c>
      <c r="J938">
        <v>0</v>
      </c>
      <c r="K938">
        <v>183912324.46000001</v>
      </c>
      <c r="L938">
        <v>435366.26400000002</v>
      </c>
      <c r="M938">
        <v>0</v>
      </c>
      <c r="N938">
        <v>0</v>
      </c>
      <c r="O938">
        <v>0</v>
      </c>
      <c r="P938">
        <v>0</v>
      </c>
      <c r="Q938">
        <v>178485207.20000002</v>
      </c>
      <c r="R938">
        <v>0</v>
      </c>
      <c r="S938">
        <v>0</v>
      </c>
      <c r="T938" s="9">
        <v>45108</v>
      </c>
      <c r="U938" s="9">
        <v>45473</v>
      </c>
      <c r="V938">
        <f>SUM(POTABLE_NONPOTABLE_API[[#This Row],[RESIDENTIAL_SINGLEFAMILY_GAL]:[OTHER_GAL]])</f>
        <v>703634168.3440001</v>
      </c>
      <c r="W938">
        <f>SUM(POTABLE_NONPOTABLE_API[[#This Row],[NONPOTABLE_DEMAND_RESIDENTIAL_RECYCLED_WATER_GAL]:[NONPOTABLE_DEMAND_NONRESIDENTIAL_METERED_IRRIGATION_GAL]])</f>
        <v>178485207.20000002</v>
      </c>
      <c r="X938" t="str">
        <f>IFERROR(INDEX(Crosswalk_API!$H$2:$H$527, MATCH(POTABLE_NONPOTABLE_API[[#This Row],[PWSID]], CW_PWSID_LIST, 0)), "")</f>
        <v>No</v>
      </c>
    </row>
    <row r="939" spans="1:24" x14ac:dyDescent="0.25">
      <c r="A939" t="s">
        <v>971</v>
      </c>
      <c r="B939" t="s">
        <v>972</v>
      </c>
      <c r="C939" t="s">
        <v>973</v>
      </c>
      <c r="D939" t="s">
        <v>974</v>
      </c>
      <c r="E939" s="9">
        <v>45139</v>
      </c>
      <c r="F939" s="9">
        <v>45169</v>
      </c>
      <c r="G939">
        <v>211843090.03600001</v>
      </c>
      <c r="H939">
        <v>73690602.519999996</v>
      </c>
      <c r="I939">
        <v>259955550.52000001</v>
      </c>
      <c r="J939">
        <v>0</v>
      </c>
      <c r="K939">
        <v>194599743.384</v>
      </c>
      <c r="L939">
        <v>3500135.3080000002</v>
      </c>
      <c r="M939">
        <v>0</v>
      </c>
      <c r="N939">
        <v>0</v>
      </c>
      <c r="O939">
        <v>0</v>
      </c>
      <c r="P939">
        <v>0</v>
      </c>
      <c r="Q939">
        <v>166542557.02000001</v>
      </c>
      <c r="R939">
        <v>0</v>
      </c>
      <c r="S939">
        <v>0</v>
      </c>
      <c r="T939" s="9">
        <v>45108</v>
      </c>
      <c r="U939" s="9">
        <v>45473</v>
      </c>
      <c r="V939">
        <f>SUM(POTABLE_NONPOTABLE_API[[#This Row],[RESIDENTIAL_SINGLEFAMILY_GAL]:[OTHER_GAL]])</f>
        <v>743589121.76800001</v>
      </c>
      <c r="W939">
        <f>SUM(POTABLE_NONPOTABLE_API[[#This Row],[NONPOTABLE_DEMAND_RESIDENTIAL_RECYCLED_WATER_GAL]:[NONPOTABLE_DEMAND_NONRESIDENTIAL_METERED_IRRIGATION_GAL]])</f>
        <v>166542557.02000001</v>
      </c>
      <c r="X939" t="str">
        <f>IFERROR(INDEX(Crosswalk_API!$H$2:$H$527, MATCH(POTABLE_NONPOTABLE_API[[#This Row],[PWSID]], CW_PWSID_LIST, 0)), "")</f>
        <v>No</v>
      </c>
    </row>
    <row r="940" spans="1:24" x14ac:dyDescent="0.25">
      <c r="A940" t="s">
        <v>971</v>
      </c>
      <c r="B940" t="s">
        <v>972</v>
      </c>
      <c r="C940" t="s">
        <v>973</v>
      </c>
      <c r="D940" t="s">
        <v>974</v>
      </c>
      <c r="E940" s="9">
        <v>45170</v>
      </c>
      <c r="F940" s="9">
        <v>45199</v>
      </c>
      <c r="G940">
        <v>216400970.87200001</v>
      </c>
      <c r="H940">
        <v>62085323.792000003</v>
      </c>
      <c r="I940">
        <v>320526069.01200002</v>
      </c>
      <c r="J940">
        <v>0</v>
      </c>
      <c r="K940">
        <v>205736741.56</v>
      </c>
      <c r="L940">
        <v>745807.84400000004</v>
      </c>
      <c r="M940">
        <v>0</v>
      </c>
      <c r="N940">
        <v>0</v>
      </c>
      <c r="O940">
        <v>0</v>
      </c>
      <c r="P940">
        <v>0</v>
      </c>
      <c r="Q940">
        <v>179471139.736</v>
      </c>
      <c r="R940">
        <v>0</v>
      </c>
      <c r="S940">
        <v>0</v>
      </c>
      <c r="T940" s="9">
        <v>45108</v>
      </c>
      <c r="U940" s="9">
        <v>45473</v>
      </c>
      <c r="V940">
        <f>SUM(POTABLE_NONPOTABLE_API[[#This Row],[RESIDENTIAL_SINGLEFAMILY_GAL]:[OTHER_GAL]])</f>
        <v>805494913.08000004</v>
      </c>
      <c r="W940">
        <f>SUM(POTABLE_NONPOTABLE_API[[#This Row],[NONPOTABLE_DEMAND_RESIDENTIAL_RECYCLED_WATER_GAL]:[NONPOTABLE_DEMAND_NONRESIDENTIAL_METERED_IRRIGATION_GAL]])</f>
        <v>179471139.736</v>
      </c>
      <c r="X940" t="str">
        <f>IFERROR(INDEX(Crosswalk_API!$H$2:$H$527, MATCH(POTABLE_NONPOTABLE_API[[#This Row],[PWSID]], CW_PWSID_LIST, 0)), "")</f>
        <v>No</v>
      </c>
    </row>
    <row r="941" spans="1:24" x14ac:dyDescent="0.25">
      <c r="A941" t="s">
        <v>971</v>
      </c>
      <c r="B941" t="s">
        <v>972</v>
      </c>
      <c r="C941" t="s">
        <v>973</v>
      </c>
      <c r="D941" t="s">
        <v>974</v>
      </c>
      <c r="E941" s="9">
        <v>45200</v>
      </c>
      <c r="F941" s="9">
        <v>45230</v>
      </c>
      <c r="G941">
        <v>198616034.572</v>
      </c>
      <c r="H941">
        <v>58256045.604000002</v>
      </c>
      <c r="I941">
        <v>283350876.81999999</v>
      </c>
      <c r="J941">
        <v>0</v>
      </c>
      <c r="K941">
        <v>179278890.37200001</v>
      </c>
      <c r="L941">
        <v>1300862.4280000001</v>
      </c>
      <c r="M941">
        <v>0</v>
      </c>
      <c r="N941">
        <v>0</v>
      </c>
      <c r="O941">
        <v>0</v>
      </c>
      <c r="P941">
        <v>0</v>
      </c>
      <c r="Q941">
        <v>154196706.81200001</v>
      </c>
      <c r="R941">
        <v>0</v>
      </c>
      <c r="S941">
        <v>0</v>
      </c>
      <c r="T941" s="9">
        <v>45108</v>
      </c>
      <c r="U941" s="9">
        <v>45473</v>
      </c>
      <c r="V941">
        <f>SUM(POTABLE_NONPOTABLE_API[[#This Row],[RESIDENTIAL_SINGLEFAMILY_GAL]:[OTHER_GAL]])</f>
        <v>720802709.796</v>
      </c>
      <c r="W941">
        <f>SUM(POTABLE_NONPOTABLE_API[[#This Row],[NONPOTABLE_DEMAND_RESIDENTIAL_RECYCLED_WATER_GAL]:[NONPOTABLE_DEMAND_NONRESIDENTIAL_METERED_IRRIGATION_GAL]])</f>
        <v>154196706.81200001</v>
      </c>
      <c r="X941" t="str">
        <f>IFERROR(INDEX(Crosswalk_API!$H$2:$H$527, MATCH(POTABLE_NONPOTABLE_API[[#This Row],[PWSID]], CW_PWSID_LIST, 0)), "")</f>
        <v>No</v>
      </c>
    </row>
    <row r="942" spans="1:24" x14ac:dyDescent="0.25">
      <c r="A942" t="s">
        <v>971</v>
      </c>
      <c r="B942" t="s">
        <v>972</v>
      </c>
      <c r="C942" t="s">
        <v>973</v>
      </c>
      <c r="D942" t="s">
        <v>974</v>
      </c>
      <c r="E942" s="9">
        <v>45231</v>
      </c>
      <c r="F942" s="9">
        <v>45260</v>
      </c>
      <c r="G942">
        <v>191762382.148</v>
      </c>
      <c r="H942">
        <v>71846654.340000004</v>
      </c>
      <c r="I942">
        <v>180377030.708</v>
      </c>
      <c r="J942">
        <v>0</v>
      </c>
      <c r="K942">
        <v>246366437.88800001</v>
      </c>
      <c r="L942">
        <v>1621776.736</v>
      </c>
      <c r="M942">
        <v>0</v>
      </c>
      <c r="N942">
        <v>0</v>
      </c>
      <c r="O942">
        <v>0</v>
      </c>
      <c r="P942">
        <v>0</v>
      </c>
      <c r="Q942">
        <v>140805079.90799999</v>
      </c>
      <c r="R942">
        <v>0</v>
      </c>
      <c r="S942">
        <v>0</v>
      </c>
      <c r="T942" s="9">
        <v>45108</v>
      </c>
      <c r="U942" s="9">
        <v>45473</v>
      </c>
      <c r="V942">
        <f>SUM(POTABLE_NONPOTABLE_API[[#This Row],[RESIDENTIAL_SINGLEFAMILY_GAL]:[OTHER_GAL]])</f>
        <v>691974281.81999993</v>
      </c>
      <c r="W942">
        <f>SUM(POTABLE_NONPOTABLE_API[[#This Row],[NONPOTABLE_DEMAND_RESIDENTIAL_RECYCLED_WATER_GAL]:[NONPOTABLE_DEMAND_NONRESIDENTIAL_METERED_IRRIGATION_GAL]])</f>
        <v>140805079.90799999</v>
      </c>
      <c r="X942" t="str">
        <f>IFERROR(INDEX(Crosswalk_API!$H$2:$H$527, MATCH(POTABLE_NONPOTABLE_API[[#This Row],[PWSID]], CW_PWSID_LIST, 0)), "")</f>
        <v>No</v>
      </c>
    </row>
    <row r="943" spans="1:24" x14ac:dyDescent="0.25">
      <c r="A943" t="s">
        <v>971</v>
      </c>
      <c r="B943" t="s">
        <v>972</v>
      </c>
      <c r="C943" t="s">
        <v>973</v>
      </c>
      <c r="D943" t="s">
        <v>974</v>
      </c>
      <c r="E943" s="9">
        <v>45261</v>
      </c>
      <c r="F943" s="9">
        <v>45291</v>
      </c>
      <c r="G943">
        <v>196427982.472</v>
      </c>
      <c r="H943">
        <v>71115807.535999998</v>
      </c>
      <c r="I943">
        <v>231429335.55200002</v>
      </c>
      <c r="J943">
        <v>0</v>
      </c>
      <c r="K943">
        <v>267369493.89200002</v>
      </c>
      <c r="L943">
        <v>237132.484</v>
      </c>
      <c r="M943">
        <v>0</v>
      </c>
      <c r="N943">
        <v>0</v>
      </c>
      <c r="O943">
        <v>0</v>
      </c>
      <c r="P943">
        <v>0</v>
      </c>
      <c r="Q943">
        <v>127800943.94</v>
      </c>
      <c r="R943">
        <v>0</v>
      </c>
      <c r="S943">
        <v>0</v>
      </c>
      <c r="T943" s="9">
        <v>45108</v>
      </c>
      <c r="U943" s="9">
        <v>45473</v>
      </c>
      <c r="V943">
        <f>SUM(POTABLE_NONPOTABLE_API[[#This Row],[RESIDENTIAL_SINGLEFAMILY_GAL]:[OTHER_GAL]])</f>
        <v>766579751.93600011</v>
      </c>
      <c r="W943">
        <f>SUM(POTABLE_NONPOTABLE_API[[#This Row],[NONPOTABLE_DEMAND_RESIDENTIAL_RECYCLED_WATER_GAL]:[NONPOTABLE_DEMAND_NONRESIDENTIAL_METERED_IRRIGATION_GAL]])</f>
        <v>127800943.94</v>
      </c>
      <c r="X943" t="str">
        <f>IFERROR(INDEX(Crosswalk_API!$H$2:$H$527, MATCH(POTABLE_NONPOTABLE_API[[#This Row],[PWSID]], CW_PWSID_LIST, 0)), "")</f>
        <v>No</v>
      </c>
    </row>
    <row r="944" spans="1:24" x14ac:dyDescent="0.25">
      <c r="A944" t="s">
        <v>971</v>
      </c>
      <c r="B944" t="s">
        <v>972</v>
      </c>
      <c r="C944" t="s">
        <v>973</v>
      </c>
      <c r="D944" t="s">
        <v>974</v>
      </c>
      <c r="E944" s="9">
        <v>45292</v>
      </c>
      <c r="F944" s="9">
        <v>45322</v>
      </c>
      <c r="G944">
        <v>183882402.38</v>
      </c>
      <c r="H944">
        <v>60598944.468000002</v>
      </c>
      <c r="I944">
        <v>180990433.34800002</v>
      </c>
      <c r="J944">
        <v>0</v>
      </c>
      <c r="K944">
        <v>285873308.16400003</v>
      </c>
      <c r="L944">
        <v>503438.99600000004</v>
      </c>
      <c r="M944">
        <v>0</v>
      </c>
      <c r="N944">
        <v>0</v>
      </c>
      <c r="O944">
        <v>0</v>
      </c>
      <c r="P944">
        <v>0</v>
      </c>
      <c r="Q944">
        <v>136209048.42000002</v>
      </c>
      <c r="R944">
        <v>0</v>
      </c>
      <c r="S944">
        <v>0</v>
      </c>
      <c r="T944" s="9">
        <v>45108</v>
      </c>
      <c r="U944" s="9">
        <v>45473</v>
      </c>
      <c r="V944">
        <f>SUM(POTABLE_NONPOTABLE_API[[#This Row],[RESIDENTIAL_SINGLEFAMILY_GAL]:[OTHER_GAL]])</f>
        <v>711848527.35600007</v>
      </c>
      <c r="W944">
        <f>SUM(POTABLE_NONPOTABLE_API[[#This Row],[NONPOTABLE_DEMAND_RESIDENTIAL_RECYCLED_WATER_GAL]:[NONPOTABLE_DEMAND_NONRESIDENTIAL_METERED_IRRIGATION_GAL]])</f>
        <v>136209048.42000002</v>
      </c>
      <c r="X944" t="str">
        <f>IFERROR(INDEX(Crosswalk_API!$H$2:$H$527, MATCH(POTABLE_NONPOTABLE_API[[#This Row],[PWSID]], CW_PWSID_LIST, 0)), "")</f>
        <v>No</v>
      </c>
    </row>
    <row r="945" spans="1:24" x14ac:dyDescent="0.25">
      <c r="A945" t="s">
        <v>971</v>
      </c>
      <c r="B945" t="s">
        <v>972</v>
      </c>
      <c r="C945" t="s">
        <v>973</v>
      </c>
      <c r="D945" t="s">
        <v>974</v>
      </c>
      <c r="E945" s="9">
        <v>45323</v>
      </c>
      <c r="F945" s="9">
        <v>45351</v>
      </c>
      <c r="G945">
        <v>164592385.456</v>
      </c>
      <c r="H945">
        <v>65754518.852000006</v>
      </c>
      <c r="I945">
        <v>207680928.708</v>
      </c>
      <c r="J945">
        <v>0</v>
      </c>
      <c r="K945">
        <v>145137797.09200001</v>
      </c>
      <c r="L945">
        <v>331387.03600000002</v>
      </c>
      <c r="M945">
        <v>0</v>
      </c>
      <c r="N945">
        <v>0</v>
      </c>
      <c r="O945">
        <v>0</v>
      </c>
      <c r="P945">
        <v>0</v>
      </c>
      <c r="Q945">
        <v>127113484.15200001</v>
      </c>
      <c r="R945">
        <v>0</v>
      </c>
      <c r="S945">
        <v>0</v>
      </c>
      <c r="T945" s="9">
        <v>45108</v>
      </c>
      <c r="U945" s="9">
        <v>45473</v>
      </c>
      <c r="V945">
        <f>SUM(POTABLE_NONPOTABLE_API[[#This Row],[RESIDENTIAL_SINGLEFAMILY_GAL]:[OTHER_GAL]])</f>
        <v>583497017.14400005</v>
      </c>
      <c r="W945">
        <f>SUM(POTABLE_NONPOTABLE_API[[#This Row],[NONPOTABLE_DEMAND_RESIDENTIAL_RECYCLED_WATER_GAL]:[NONPOTABLE_DEMAND_NONRESIDENTIAL_METERED_IRRIGATION_GAL]])</f>
        <v>127113484.15200001</v>
      </c>
      <c r="X945" t="str">
        <f>IFERROR(INDEX(Crosswalk_API!$H$2:$H$527, MATCH(POTABLE_NONPOTABLE_API[[#This Row],[PWSID]], CW_PWSID_LIST, 0)), "")</f>
        <v>No</v>
      </c>
    </row>
    <row r="946" spans="1:24" x14ac:dyDescent="0.25">
      <c r="A946" t="s">
        <v>971</v>
      </c>
      <c r="B946" t="s">
        <v>972</v>
      </c>
      <c r="C946" t="s">
        <v>973</v>
      </c>
      <c r="D946" t="s">
        <v>974</v>
      </c>
      <c r="E946" s="9">
        <v>45352</v>
      </c>
      <c r="F946" s="9">
        <v>45382</v>
      </c>
      <c r="G946">
        <v>159415865.616</v>
      </c>
      <c r="H946">
        <v>68745230.747999996</v>
      </c>
      <c r="I946">
        <v>193850943.33200002</v>
      </c>
      <c r="J946">
        <v>0</v>
      </c>
      <c r="K946">
        <v>102176422.68000001</v>
      </c>
      <c r="L946">
        <v>364301.32400000002</v>
      </c>
      <c r="M946">
        <v>0</v>
      </c>
      <c r="N946">
        <v>0</v>
      </c>
      <c r="O946">
        <v>0</v>
      </c>
      <c r="Q946">
        <v>61660430.256000005</v>
      </c>
      <c r="R946">
        <v>0</v>
      </c>
      <c r="T946" s="9">
        <v>45108</v>
      </c>
      <c r="U946" s="9">
        <v>45473</v>
      </c>
      <c r="V946">
        <f>SUM(POTABLE_NONPOTABLE_API[[#This Row],[RESIDENTIAL_SINGLEFAMILY_GAL]:[OTHER_GAL]])</f>
        <v>524552763.69999999</v>
      </c>
      <c r="W946">
        <f>SUM(POTABLE_NONPOTABLE_API[[#This Row],[NONPOTABLE_DEMAND_RESIDENTIAL_RECYCLED_WATER_GAL]:[NONPOTABLE_DEMAND_NONRESIDENTIAL_METERED_IRRIGATION_GAL]])</f>
        <v>61660430.256000005</v>
      </c>
      <c r="X946" t="str">
        <f>IFERROR(INDEX(Crosswalk_API!$H$2:$H$527, MATCH(POTABLE_NONPOTABLE_API[[#This Row],[PWSID]], CW_PWSID_LIST, 0)), "")</f>
        <v>No</v>
      </c>
    </row>
    <row r="947" spans="1:24" x14ac:dyDescent="0.25">
      <c r="A947" t="s">
        <v>971</v>
      </c>
      <c r="B947" t="s">
        <v>972</v>
      </c>
      <c r="C947" t="s">
        <v>973</v>
      </c>
      <c r="D947" t="s">
        <v>974</v>
      </c>
      <c r="E947" s="9">
        <v>45383</v>
      </c>
      <c r="F947" s="9">
        <v>45412</v>
      </c>
      <c r="G947">
        <v>163139668.472</v>
      </c>
      <c r="H947">
        <v>60889188.644000001</v>
      </c>
      <c r="I947">
        <v>184709747.89200002</v>
      </c>
      <c r="J947">
        <v>0</v>
      </c>
      <c r="K947">
        <v>199423930.73199999</v>
      </c>
      <c r="L947">
        <v>1292633.8560000001</v>
      </c>
      <c r="M947">
        <v>0</v>
      </c>
      <c r="N947">
        <v>0</v>
      </c>
      <c r="O947">
        <v>0</v>
      </c>
      <c r="P947">
        <v>0</v>
      </c>
      <c r="Q947">
        <v>117695509.472</v>
      </c>
      <c r="R947">
        <v>0</v>
      </c>
      <c r="S947">
        <v>0</v>
      </c>
      <c r="T947" s="9">
        <v>45108</v>
      </c>
      <c r="U947" s="9">
        <v>45473</v>
      </c>
      <c r="V947">
        <f>SUM(POTABLE_NONPOTABLE_API[[#This Row],[RESIDENTIAL_SINGLEFAMILY_GAL]:[OTHER_GAL]])</f>
        <v>609455169.59599996</v>
      </c>
      <c r="W947">
        <f>SUM(POTABLE_NONPOTABLE_API[[#This Row],[NONPOTABLE_DEMAND_RESIDENTIAL_RECYCLED_WATER_GAL]:[NONPOTABLE_DEMAND_NONRESIDENTIAL_METERED_IRRIGATION_GAL]])</f>
        <v>117695509.472</v>
      </c>
      <c r="X947" t="str">
        <f>IFERROR(INDEX(Crosswalk_API!$H$2:$H$527, MATCH(POTABLE_NONPOTABLE_API[[#This Row],[PWSID]], CW_PWSID_LIST, 0)), "")</f>
        <v>No</v>
      </c>
    </row>
    <row r="948" spans="1:24" x14ac:dyDescent="0.25">
      <c r="A948" t="s">
        <v>971</v>
      </c>
      <c r="B948" t="s">
        <v>972</v>
      </c>
      <c r="C948" t="s">
        <v>973</v>
      </c>
      <c r="D948" t="s">
        <v>974</v>
      </c>
      <c r="E948" s="9">
        <v>45413</v>
      </c>
      <c r="F948" s="9">
        <v>45443</v>
      </c>
      <c r="G948">
        <v>180007493.02000001</v>
      </c>
      <c r="H948">
        <v>64267391.476000004</v>
      </c>
      <c r="I948">
        <v>211446622.47600001</v>
      </c>
      <c r="J948">
        <v>0</v>
      </c>
      <c r="K948">
        <v>178032635.74000001</v>
      </c>
      <c r="L948">
        <v>1445984.5160000001</v>
      </c>
      <c r="M948">
        <v>0</v>
      </c>
      <c r="N948">
        <v>0</v>
      </c>
      <c r="O948">
        <v>0</v>
      </c>
      <c r="P948">
        <v>0</v>
      </c>
      <c r="Q948">
        <v>120312195.368</v>
      </c>
      <c r="R948">
        <v>0</v>
      </c>
      <c r="S948">
        <v>0</v>
      </c>
      <c r="T948" s="9">
        <v>45108</v>
      </c>
      <c r="U948" s="9">
        <v>45473</v>
      </c>
      <c r="V948">
        <f>SUM(POTABLE_NONPOTABLE_API[[#This Row],[RESIDENTIAL_SINGLEFAMILY_GAL]:[OTHER_GAL]])</f>
        <v>635200127.22800004</v>
      </c>
      <c r="W948">
        <f>SUM(POTABLE_NONPOTABLE_API[[#This Row],[NONPOTABLE_DEMAND_RESIDENTIAL_RECYCLED_WATER_GAL]:[NONPOTABLE_DEMAND_NONRESIDENTIAL_METERED_IRRIGATION_GAL]])</f>
        <v>120312195.368</v>
      </c>
      <c r="X948" t="str">
        <f>IFERROR(INDEX(Crosswalk_API!$H$2:$H$527, MATCH(POTABLE_NONPOTABLE_API[[#This Row],[PWSID]], CW_PWSID_LIST, 0)), "")</f>
        <v>No</v>
      </c>
    </row>
    <row r="949" spans="1:24" x14ac:dyDescent="0.25">
      <c r="A949" t="s">
        <v>971</v>
      </c>
      <c r="B949" t="s">
        <v>972</v>
      </c>
      <c r="C949" t="s">
        <v>973</v>
      </c>
      <c r="D949" t="s">
        <v>974</v>
      </c>
      <c r="E949" s="9">
        <v>45444</v>
      </c>
      <c r="F949" s="9">
        <v>45473</v>
      </c>
      <c r="G949">
        <v>207763962.48000002</v>
      </c>
      <c r="H949">
        <v>58679443.035999998</v>
      </c>
      <c r="I949">
        <v>241962655.764</v>
      </c>
      <c r="J949">
        <v>0</v>
      </c>
      <c r="K949">
        <v>197808886.46400002</v>
      </c>
      <c r="L949">
        <v>1454961.1400000001</v>
      </c>
      <c r="M949">
        <v>0</v>
      </c>
      <c r="N949">
        <v>0</v>
      </c>
      <c r="O949">
        <v>0</v>
      </c>
      <c r="P949">
        <v>0</v>
      </c>
      <c r="Q949">
        <v>189702000</v>
      </c>
      <c r="R949">
        <v>0</v>
      </c>
      <c r="S949">
        <v>0</v>
      </c>
      <c r="T949" s="9">
        <v>45108</v>
      </c>
      <c r="U949" s="9">
        <v>45473</v>
      </c>
      <c r="V949">
        <f>SUM(POTABLE_NONPOTABLE_API[[#This Row],[RESIDENTIAL_SINGLEFAMILY_GAL]:[OTHER_GAL]])</f>
        <v>707669908.88400006</v>
      </c>
      <c r="W949">
        <f>SUM(POTABLE_NONPOTABLE_API[[#This Row],[NONPOTABLE_DEMAND_RESIDENTIAL_RECYCLED_WATER_GAL]:[NONPOTABLE_DEMAND_NONRESIDENTIAL_METERED_IRRIGATION_GAL]])</f>
        <v>189702000</v>
      </c>
      <c r="X949" t="str">
        <f>IFERROR(INDEX(Crosswalk_API!$H$2:$H$527, MATCH(POTABLE_NONPOTABLE_API[[#This Row],[PWSID]], CW_PWSID_LIST, 0)), "")</f>
        <v>No</v>
      </c>
    </row>
    <row r="950" spans="1:24" x14ac:dyDescent="0.25">
      <c r="A950" t="s">
        <v>975</v>
      </c>
      <c r="B950" t="s">
        <v>976</v>
      </c>
      <c r="C950" t="s">
        <v>977</v>
      </c>
      <c r="D950" t="s">
        <v>978</v>
      </c>
      <c r="E950" s="9">
        <v>45108</v>
      </c>
      <c r="F950" s="9">
        <v>45138</v>
      </c>
      <c r="G950">
        <v>176995087.616</v>
      </c>
      <c r="H950">
        <v>22591918.452</v>
      </c>
      <c r="I950">
        <v>132311697.5</v>
      </c>
      <c r="J950">
        <v>0</v>
      </c>
      <c r="K950">
        <v>22333092.460000001</v>
      </c>
      <c r="L950">
        <v>253589.628</v>
      </c>
      <c r="M950">
        <v>0</v>
      </c>
      <c r="N950">
        <v>0</v>
      </c>
      <c r="O950">
        <v>0</v>
      </c>
      <c r="P950">
        <v>0</v>
      </c>
      <c r="Q950">
        <v>936561.10400000005</v>
      </c>
      <c r="R950">
        <v>0</v>
      </c>
      <c r="S950">
        <v>0</v>
      </c>
      <c r="T950" s="9">
        <v>45108</v>
      </c>
      <c r="U950" s="9">
        <v>45473</v>
      </c>
      <c r="V950">
        <f>SUM(POTABLE_NONPOTABLE_API[[#This Row],[RESIDENTIAL_SINGLEFAMILY_GAL]:[OTHER_GAL]])</f>
        <v>354485385.65599996</v>
      </c>
      <c r="W950">
        <f>SUM(POTABLE_NONPOTABLE_API[[#This Row],[NONPOTABLE_DEMAND_RESIDENTIAL_RECYCLED_WATER_GAL]:[NONPOTABLE_DEMAND_NONRESIDENTIAL_METERED_IRRIGATION_GAL]])</f>
        <v>936561.10400000005</v>
      </c>
      <c r="X950" t="str">
        <f>IFERROR(INDEX(Crosswalk_API!$H$2:$H$527, MATCH(POTABLE_NONPOTABLE_API[[#This Row],[PWSID]], CW_PWSID_LIST, 0)), "")</f>
        <v>No</v>
      </c>
    </row>
    <row r="951" spans="1:24" x14ac:dyDescent="0.25">
      <c r="A951" t="s">
        <v>975</v>
      </c>
      <c r="B951" t="s">
        <v>976</v>
      </c>
      <c r="C951" t="s">
        <v>977</v>
      </c>
      <c r="D951" t="s">
        <v>978</v>
      </c>
      <c r="E951" s="9">
        <v>45139</v>
      </c>
      <c r="F951" s="9">
        <v>45169</v>
      </c>
      <c r="G951">
        <v>164111388.02000001</v>
      </c>
      <c r="H951">
        <v>21440666.424000002</v>
      </c>
      <c r="I951">
        <v>159211647.42000002</v>
      </c>
      <c r="J951">
        <v>0</v>
      </c>
      <c r="K951">
        <v>22037611.920000002</v>
      </c>
      <c r="L951">
        <v>617890.95200000005</v>
      </c>
      <c r="M951">
        <v>0</v>
      </c>
      <c r="N951">
        <v>0</v>
      </c>
      <c r="O951">
        <v>0</v>
      </c>
      <c r="P951">
        <v>0</v>
      </c>
      <c r="Q951">
        <v>1056249.4240000001</v>
      </c>
      <c r="R951">
        <v>0</v>
      </c>
      <c r="S951">
        <v>0</v>
      </c>
      <c r="T951" s="9">
        <v>45108</v>
      </c>
      <c r="U951" s="9">
        <v>45473</v>
      </c>
      <c r="V951">
        <f>SUM(POTABLE_NONPOTABLE_API[[#This Row],[RESIDENTIAL_SINGLEFAMILY_GAL]:[OTHER_GAL]])</f>
        <v>367419204.73600006</v>
      </c>
      <c r="W951">
        <f>SUM(POTABLE_NONPOTABLE_API[[#This Row],[NONPOTABLE_DEMAND_RESIDENTIAL_RECYCLED_WATER_GAL]:[NONPOTABLE_DEMAND_NONRESIDENTIAL_METERED_IRRIGATION_GAL]])</f>
        <v>1056249.4240000001</v>
      </c>
      <c r="X951" t="str">
        <f>IFERROR(INDEX(Crosswalk_API!$H$2:$H$527, MATCH(POTABLE_NONPOTABLE_API[[#This Row],[PWSID]], CW_PWSID_LIST, 0)), "")</f>
        <v>No</v>
      </c>
    </row>
    <row r="952" spans="1:24" x14ac:dyDescent="0.25">
      <c r="A952" t="s">
        <v>975</v>
      </c>
      <c r="B952" t="s">
        <v>976</v>
      </c>
      <c r="C952" t="s">
        <v>977</v>
      </c>
      <c r="D952" t="s">
        <v>978</v>
      </c>
      <c r="E952" s="9">
        <v>45170</v>
      </c>
      <c r="F952" s="9">
        <v>45199</v>
      </c>
      <c r="G952">
        <v>172839658.75600001</v>
      </c>
      <c r="H952">
        <v>23674349.696000002</v>
      </c>
      <c r="I952">
        <v>144250607.42000002</v>
      </c>
      <c r="J952">
        <v>0</v>
      </c>
      <c r="K952">
        <v>18636967.528000001</v>
      </c>
      <c r="L952">
        <v>217683.13200000001</v>
      </c>
      <c r="M952">
        <v>0</v>
      </c>
      <c r="N952">
        <v>0</v>
      </c>
      <c r="O952">
        <v>0</v>
      </c>
      <c r="P952">
        <v>0</v>
      </c>
      <c r="Q952">
        <v>1104872.804</v>
      </c>
      <c r="R952">
        <v>0</v>
      </c>
      <c r="S952">
        <v>0</v>
      </c>
      <c r="T952" s="9">
        <v>45108</v>
      </c>
      <c r="U952" s="9">
        <v>45473</v>
      </c>
      <c r="V952">
        <f>SUM(POTABLE_NONPOTABLE_API[[#This Row],[RESIDENTIAL_SINGLEFAMILY_GAL]:[OTHER_GAL]])</f>
        <v>359619266.53200006</v>
      </c>
      <c r="W952">
        <f>SUM(POTABLE_NONPOTABLE_API[[#This Row],[NONPOTABLE_DEMAND_RESIDENTIAL_RECYCLED_WATER_GAL]:[NONPOTABLE_DEMAND_NONRESIDENTIAL_METERED_IRRIGATION_GAL]])</f>
        <v>1104872.804</v>
      </c>
      <c r="X952" t="str">
        <f>IFERROR(INDEX(Crosswalk_API!$H$2:$H$527, MATCH(POTABLE_NONPOTABLE_API[[#This Row],[PWSID]], CW_PWSID_LIST, 0)), "")</f>
        <v>No</v>
      </c>
    </row>
    <row r="953" spans="1:24" x14ac:dyDescent="0.25">
      <c r="A953" t="s">
        <v>975</v>
      </c>
      <c r="B953" t="s">
        <v>976</v>
      </c>
      <c r="C953" t="s">
        <v>977</v>
      </c>
      <c r="D953" t="s">
        <v>978</v>
      </c>
      <c r="E953" s="9">
        <v>45200</v>
      </c>
      <c r="F953" s="9">
        <v>45230</v>
      </c>
      <c r="G953">
        <v>158288551.252</v>
      </c>
      <c r="H953">
        <v>21793746.968000002</v>
      </c>
      <c r="I953">
        <v>149663511.692</v>
      </c>
      <c r="J953">
        <v>0</v>
      </c>
      <c r="K953">
        <v>27368230.471999999</v>
      </c>
      <c r="L953">
        <v>158587.024</v>
      </c>
      <c r="M953">
        <v>0</v>
      </c>
      <c r="N953">
        <v>0</v>
      </c>
      <c r="O953">
        <v>0</v>
      </c>
      <c r="P953">
        <v>0</v>
      </c>
      <c r="Q953">
        <v>960498.76800000004</v>
      </c>
      <c r="R953">
        <v>0</v>
      </c>
      <c r="S953">
        <v>0</v>
      </c>
      <c r="T953" s="9">
        <v>45108</v>
      </c>
      <c r="U953" s="9">
        <v>45473</v>
      </c>
      <c r="V953">
        <f>SUM(POTABLE_NONPOTABLE_API[[#This Row],[RESIDENTIAL_SINGLEFAMILY_GAL]:[OTHER_GAL]])</f>
        <v>357272627.40799999</v>
      </c>
      <c r="W953">
        <f>SUM(POTABLE_NONPOTABLE_API[[#This Row],[NONPOTABLE_DEMAND_RESIDENTIAL_RECYCLED_WATER_GAL]:[NONPOTABLE_DEMAND_NONRESIDENTIAL_METERED_IRRIGATION_GAL]])</f>
        <v>960498.76800000004</v>
      </c>
      <c r="X953" t="str">
        <f>IFERROR(INDEX(Crosswalk_API!$H$2:$H$527, MATCH(POTABLE_NONPOTABLE_API[[#This Row],[PWSID]], CW_PWSID_LIST, 0)), "")</f>
        <v>No</v>
      </c>
    </row>
    <row r="954" spans="1:24" x14ac:dyDescent="0.25">
      <c r="A954" t="s">
        <v>975</v>
      </c>
      <c r="B954" t="s">
        <v>976</v>
      </c>
      <c r="C954" t="s">
        <v>977</v>
      </c>
      <c r="D954" t="s">
        <v>978</v>
      </c>
      <c r="E954" s="9">
        <v>45231</v>
      </c>
      <c r="F954" s="9">
        <v>45260</v>
      </c>
      <c r="G954">
        <v>150509558.50400001</v>
      </c>
      <c r="H954">
        <v>20016375.416000001</v>
      </c>
      <c r="I954">
        <v>130044351.888</v>
      </c>
      <c r="J954">
        <v>0</v>
      </c>
      <c r="K954">
        <v>26356116.116</v>
      </c>
      <c r="L954">
        <v>96498.707999999999</v>
      </c>
      <c r="M954">
        <v>0</v>
      </c>
      <c r="N954">
        <v>0</v>
      </c>
      <c r="O954">
        <v>0</v>
      </c>
      <c r="Q954">
        <v>888685.77600000007</v>
      </c>
      <c r="R954">
        <v>0</v>
      </c>
      <c r="S954">
        <v>0</v>
      </c>
      <c r="T954" s="9">
        <v>45108</v>
      </c>
      <c r="U954" s="9">
        <v>45473</v>
      </c>
      <c r="V954">
        <f>SUM(POTABLE_NONPOTABLE_API[[#This Row],[RESIDENTIAL_SINGLEFAMILY_GAL]:[OTHER_GAL]])</f>
        <v>327022900.63200003</v>
      </c>
      <c r="W954">
        <f>SUM(POTABLE_NONPOTABLE_API[[#This Row],[NONPOTABLE_DEMAND_RESIDENTIAL_RECYCLED_WATER_GAL]:[NONPOTABLE_DEMAND_NONRESIDENTIAL_METERED_IRRIGATION_GAL]])</f>
        <v>888685.77600000007</v>
      </c>
      <c r="X954" t="str">
        <f>IFERROR(INDEX(Crosswalk_API!$H$2:$H$527, MATCH(POTABLE_NONPOTABLE_API[[#This Row],[PWSID]], CW_PWSID_LIST, 0)), "")</f>
        <v>No</v>
      </c>
    </row>
    <row r="955" spans="1:24" x14ac:dyDescent="0.25">
      <c r="A955" t="s">
        <v>975</v>
      </c>
      <c r="B955" t="s">
        <v>976</v>
      </c>
      <c r="C955" t="s">
        <v>977</v>
      </c>
      <c r="D955" t="s">
        <v>978</v>
      </c>
      <c r="E955" s="9">
        <v>45261</v>
      </c>
      <c r="F955" s="9">
        <v>45291</v>
      </c>
      <c r="G955">
        <v>161141621.58000001</v>
      </c>
      <c r="H955">
        <v>21801227.488000002</v>
      </c>
      <c r="I955">
        <v>136171645.81999999</v>
      </c>
      <c r="J955">
        <v>0</v>
      </c>
      <c r="K955">
        <v>23152957.452</v>
      </c>
      <c r="L955">
        <v>89018.188000000009</v>
      </c>
      <c r="M955">
        <v>0</v>
      </c>
      <c r="N955">
        <v>0</v>
      </c>
      <c r="O955">
        <v>0</v>
      </c>
      <c r="P955">
        <v>0</v>
      </c>
      <c r="Q955">
        <v>777974.08000000007</v>
      </c>
      <c r="R955">
        <v>0</v>
      </c>
      <c r="S955">
        <v>0</v>
      </c>
      <c r="T955" s="9">
        <v>45108</v>
      </c>
      <c r="U955" s="9">
        <v>45473</v>
      </c>
      <c r="V955">
        <f>SUM(POTABLE_NONPOTABLE_API[[#This Row],[RESIDENTIAL_SINGLEFAMILY_GAL]:[OTHER_GAL]])</f>
        <v>342356470.52800006</v>
      </c>
      <c r="W955">
        <f>SUM(POTABLE_NONPOTABLE_API[[#This Row],[NONPOTABLE_DEMAND_RESIDENTIAL_RECYCLED_WATER_GAL]:[NONPOTABLE_DEMAND_NONRESIDENTIAL_METERED_IRRIGATION_GAL]])</f>
        <v>777974.08000000007</v>
      </c>
      <c r="X955" t="str">
        <f>IFERROR(INDEX(Crosswalk_API!$H$2:$H$527, MATCH(POTABLE_NONPOTABLE_API[[#This Row],[PWSID]], CW_PWSID_LIST, 0)), "")</f>
        <v>No</v>
      </c>
    </row>
    <row r="956" spans="1:24" x14ac:dyDescent="0.25">
      <c r="A956" t="s">
        <v>975</v>
      </c>
      <c r="B956" t="s">
        <v>976</v>
      </c>
      <c r="C956" t="s">
        <v>977</v>
      </c>
      <c r="D956" t="s">
        <v>978</v>
      </c>
      <c r="E956" s="9">
        <v>45292</v>
      </c>
      <c r="F956" s="9">
        <v>45322</v>
      </c>
      <c r="G956">
        <v>156548582.30000001</v>
      </c>
      <c r="H956">
        <v>21626931.372000001</v>
      </c>
      <c r="I956">
        <v>125334616.49600001</v>
      </c>
      <c r="J956">
        <v>0</v>
      </c>
      <c r="K956">
        <v>22333092.460000001</v>
      </c>
      <c r="L956">
        <v>101735.072</v>
      </c>
      <c r="M956">
        <v>0</v>
      </c>
      <c r="N956">
        <v>0</v>
      </c>
      <c r="O956">
        <v>0</v>
      </c>
      <c r="P956">
        <v>0</v>
      </c>
      <c r="Q956">
        <v>501942.89199999999</v>
      </c>
      <c r="R956">
        <v>0</v>
      </c>
      <c r="S956">
        <v>0</v>
      </c>
      <c r="T956" s="9">
        <v>45108</v>
      </c>
      <c r="U956" s="9">
        <v>45473</v>
      </c>
      <c r="V956">
        <f>SUM(POTABLE_NONPOTABLE_API[[#This Row],[RESIDENTIAL_SINGLEFAMILY_GAL]:[OTHER_GAL]])</f>
        <v>325944957.70000005</v>
      </c>
      <c r="W956">
        <f>SUM(POTABLE_NONPOTABLE_API[[#This Row],[NONPOTABLE_DEMAND_RESIDENTIAL_RECYCLED_WATER_GAL]:[NONPOTABLE_DEMAND_NONRESIDENTIAL_METERED_IRRIGATION_GAL]])</f>
        <v>501942.89199999999</v>
      </c>
      <c r="X956" t="str">
        <f>IFERROR(INDEX(Crosswalk_API!$H$2:$H$527, MATCH(POTABLE_NONPOTABLE_API[[#This Row],[PWSID]], CW_PWSID_LIST, 0)), "")</f>
        <v>No</v>
      </c>
    </row>
    <row r="957" spans="1:24" x14ac:dyDescent="0.25">
      <c r="A957" t="s">
        <v>975</v>
      </c>
      <c r="B957" t="s">
        <v>976</v>
      </c>
      <c r="C957" t="s">
        <v>977</v>
      </c>
      <c r="D957" t="s">
        <v>978</v>
      </c>
      <c r="E957" s="9">
        <v>45323</v>
      </c>
      <c r="F957" s="9">
        <v>45351</v>
      </c>
      <c r="G957">
        <v>143897526.87600002</v>
      </c>
      <c r="H957">
        <v>19714162.408</v>
      </c>
      <c r="I957">
        <v>117768070.516</v>
      </c>
      <c r="J957">
        <v>0</v>
      </c>
      <c r="K957">
        <v>22747513.267999999</v>
      </c>
      <c r="L957">
        <v>23189.612000000001</v>
      </c>
      <c r="M957">
        <v>0</v>
      </c>
      <c r="N957">
        <v>0</v>
      </c>
      <c r="O957">
        <v>0</v>
      </c>
      <c r="P957">
        <v>0</v>
      </c>
      <c r="Q957">
        <v>302213.00800000003</v>
      </c>
      <c r="R957">
        <v>0</v>
      </c>
      <c r="S957">
        <v>0</v>
      </c>
      <c r="T957" s="9">
        <v>45108</v>
      </c>
      <c r="U957" s="9">
        <v>45473</v>
      </c>
      <c r="V957">
        <f>SUM(POTABLE_NONPOTABLE_API[[#This Row],[RESIDENTIAL_SINGLEFAMILY_GAL]:[OTHER_GAL]])</f>
        <v>304150462.68000001</v>
      </c>
      <c r="W957">
        <f>SUM(POTABLE_NONPOTABLE_API[[#This Row],[NONPOTABLE_DEMAND_RESIDENTIAL_RECYCLED_WATER_GAL]:[NONPOTABLE_DEMAND_NONRESIDENTIAL_METERED_IRRIGATION_GAL]])</f>
        <v>302213.00800000003</v>
      </c>
      <c r="X957" t="str">
        <f>IFERROR(INDEX(Crosswalk_API!$H$2:$H$527, MATCH(POTABLE_NONPOTABLE_API[[#This Row],[PWSID]], CW_PWSID_LIST, 0)), "")</f>
        <v>No</v>
      </c>
    </row>
    <row r="958" spans="1:24" x14ac:dyDescent="0.25">
      <c r="A958" t="s">
        <v>975</v>
      </c>
      <c r="B958" t="s">
        <v>976</v>
      </c>
      <c r="C958" t="s">
        <v>977</v>
      </c>
      <c r="D958" t="s">
        <v>978</v>
      </c>
      <c r="E958" s="9">
        <v>45352</v>
      </c>
      <c r="F958" s="9">
        <v>45382</v>
      </c>
      <c r="G958">
        <v>142010191.68000001</v>
      </c>
      <c r="H958">
        <v>19791959.816</v>
      </c>
      <c r="I958">
        <v>114741452.124</v>
      </c>
      <c r="J958">
        <v>0</v>
      </c>
      <c r="K958">
        <v>21994972.956</v>
      </c>
      <c r="L958">
        <v>20197.404000000002</v>
      </c>
      <c r="M958">
        <v>0</v>
      </c>
      <c r="N958">
        <v>0</v>
      </c>
      <c r="O958">
        <v>0</v>
      </c>
      <c r="P958">
        <v>0</v>
      </c>
      <c r="Q958">
        <v>289496.12400000001</v>
      </c>
      <c r="R958">
        <v>0</v>
      </c>
      <c r="S958">
        <v>0</v>
      </c>
      <c r="T958" s="9">
        <v>45108</v>
      </c>
      <c r="U958" s="9">
        <v>45473</v>
      </c>
      <c r="V958">
        <f>SUM(POTABLE_NONPOTABLE_API[[#This Row],[RESIDENTIAL_SINGLEFAMILY_GAL]:[OTHER_GAL]])</f>
        <v>298558773.97999996</v>
      </c>
      <c r="W958">
        <f>SUM(POTABLE_NONPOTABLE_API[[#This Row],[NONPOTABLE_DEMAND_RESIDENTIAL_RECYCLED_WATER_GAL]:[NONPOTABLE_DEMAND_NONRESIDENTIAL_METERED_IRRIGATION_GAL]])</f>
        <v>289496.12400000001</v>
      </c>
      <c r="X958" t="str">
        <f>IFERROR(INDEX(Crosswalk_API!$H$2:$H$527, MATCH(POTABLE_NONPOTABLE_API[[#This Row],[PWSID]], CW_PWSID_LIST, 0)), "")</f>
        <v>No</v>
      </c>
    </row>
    <row r="959" spans="1:24" x14ac:dyDescent="0.25">
      <c r="A959" t="s">
        <v>975</v>
      </c>
      <c r="B959" t="s">
        <v>976</v>
      </c>
      <c r="C959" t="s">
        <v>977</v>
      </c>
      <c r="D959" t="s">
        <v>978</v>
      </c>
      <c r="E959" s="9">
        <v>45383</v>
      </c>
      <c r="F959" s="9">
        <v>45412</v>
      </c>
      <c r="G959">
        <v>139982970.75999999</v>
      </c>
      <c r="H959">
        <v>19373050.696000002</v>
      </c>
      <c r="I959">
        <v>110391529.744</v>
      </c>
      <c r="J959">
        <v>0</v>
      </c>
      <c r="K959">
        <v>19156863.668000001</v>
      </c>
      <c r="L959">
        <v>38150.652000000002</v>
      </c>
      <c r="M959">
        <v>0</v>
      </c>
      <c r="N959">
        <v>0</v>
      </c>
      <c r="O959">
        <v>0</v>
      </c>
      <c r="P959">
        <v>0</v>
      </c>
      <c r="Q959">
        <v>381506.52</v>
      </c>
      <c r="R959">
        <v>0</v>
      </c>
      <c r="T959" s="9">
        <v>45108</v>
      </c>
      <c r="U959" s="9">
        <v>45473</v>
      </c>
      <c r="V959">
        <f>SUM(POTABLE_NONPOTABLE_API[[#This Row],[RESIDENTIAL_SINGLEFAMILY_GAL]:[OTHER_GAL]])</f>
        <v>288942565.51999998</v>
      </c>
      <c r="W959">
        <f>SUM(POTABLE_NONPOTABLE_API[[#This Row],[NONPOTABLE_DEMAND_RESIDENTIAL_RECYCLED_WATER_GAL]:[NONPOTABLE_DEMAND_NONRESIDENTIAL_METERED_IRRIGATION_GAL]])</f>
        <v>381506.52</v>
      </c>
      <c r="X959" t="str">
        <f>IFERROR(INDEX(Crosswalk_API!$H$2:$H$527, MATCH(POTABLE_NONPOTABLE_API[[#This Row],[PWSID]], CW_PWSID_LIST, 0)), "")</f>
        <v>No</v>
      </c>
    </row>
    <row r="960" spans="1:24" x14ac:dyDescent="0.25">
      <c r="A960" t="s">
        <v>975</v>
      </c>
      <c r="B960" t="s">
        <v>976</v>
      </c>
      <c r="C960" t="s">
        <v>977</v>
      </c>
      <c r="D960" t="s">
        <v>978</v>
      </c>
      <c r="E960" s="9">
        <v>45413</v>
      </c>
      <c r="F960" s="9">
        <v>45443</v>
      </c>
      <c r="G960">
        <v>147065527.09600002</v>
      </c>
      <c r="H960">
        <v>19916884.5</v>
      </c>
      <c r="I960">
        <v>124522232.024</v>
      </c>
      <c r="J960">
        <v>0</v>
      </c>
      <c r="K960">
        <v>22747513.267999999</v>
      </c>
      <c r="L960">
        <v>196737.67600000001</v>
      </c>
      <c r="M960">
        <v>0</v>
      </c>
      <c r="N960">
        <v>0</v>
      </c>
      <c r="O960">
        <v>0</v>
      </c>
      <c r="Q960">
        <v>725610.44000000006</v>
      </c>
      <c r="R960">
        <v>0</v>
      </c>
      <c r="S960">
        <v>0</v>
      </c>
      <c r="T960" s="9">
        <v>45108</v>
      </c>
      <c r="U960" s="9">
        <v>45473</v>
      </c>
      <c r="V960">
        <f>SUM(POTABLE_NONPOTABLE_API[[#This Row],[RESIDENTIAL_SINGLEFAMILY_GAL]:[OTHER_GAL]])</f>
        <v>314448894.56400001</v>
      </c>
      <c r="W960">
        <f>SUM(POTABLE_NONPOTABLE_API[[#This Row],[NONPOTABLE_DEMAND_RESIDENTIAL_RECYCLED_WATER_GAL]:[NONPOTABLE_DEMAND_NONRESIDENTIAL_METERED_IRRIGATION_GAL]])</f>
        <v>725610.44000000006</v>
      </c>
      <c r="X960" t="str">
        <f>IFERROR(INDEX(Crosswalk_API!$H$2:$H$527, MATCH(POTABLE_NONPOTABLE_API[[#This Row],[PWSID]], CW_PWSID_LIST, 0)), "")</f>
        <v>No</v>
      </c>
    </row>
    <row r="961" spans="1:24" x14ac:dyDescent="0.25">
      <c r="A961" t="s">
        <v>975</v>
      </c>
      <c r="B961" t="s">
        <v>976</v>
      </c>
      <c r="C961" t="s">
        <v>977</v>
      </c>
      <c r="D961" t="s">
        <v>978</v>
      </c>
      <c r="E961" s="9">
        <v>45444</v>
      </c>
      <c r="F961" s="9">
        <v>45473</v>
      </c>
      <c r="G961">
        <v>163094785.352</v>
      </c>
      <c r="H961">
        <v>21378578.107999999</v>
      </c>
      <c r="I961">
        <v>134748850.91600001</v>
      </c>
      <c r="J961">
        <v>0</v>
      </c>
      <c r="K961">
        <v>22426598.960000001</v>
      </c>
      <c r="L961">
        <v>353080.54399999999</v>
      </c>
      <c r="M961">
        <v>0</v>
      </c>
      <c r="N961">
        <v>0</v>
      </c>
      <c r="O961">
        <v>0</v>
      </c>
      <c r="P961">
        <v>0</v>
      </c>
      <c r="Q961">
        <v>905142.92</v>
      </c>
      <c r="R961">
        <v>0</v>
      </c>
      <c r="S961">
        <v>0</v>
      </c>
      <c r="T961" s="9">
        <v>45108</v>
      </c>
      <c r="U961" s="9">
        <v>45473</v>
      </c>
      <c r="V961">
        <f>SUM(POTABLE_NONPOTABLE_API[[#This Row],[RESIDENTIAL_SINGLEFAMILY_GAL]:[OTHER_GAL]])</f>
        <v>342001893.88000005</v>
      </c>
      <c r="W961">
        <f>SUM(POTABLE_NONPOTABLE_API[[#This Row],[NONPOTABLE_DEMAND_RESIDENTIAL_RECYCLED_WATER_GAL]:[NONPOTABLE_DEMAND_NONRESIDENTIAL_METERED_IRRIGATION_GAL]])</f>
        <v>905142.92</v>
      </c>
      <c r="X961" t="str">
        <f>IFERROR(INDEX(Crosswalk_API!$H$2:$H$527, MATCH(POTABLE_NONPOTABLE_API[[#This Row],[PWSID]], CW_PWSID_LIST, 0)), "")</f>
        <v>No</v>
      </c>
    </row>
    <row r="962" spans="1:24" x14ac:dyDescent="0.25">
      <c r="A962" t="s">
        <v>979</v>
      </c>
      <c r="B962" t="s">
        <v>980</v>
      </c>
      <c r="C962" t="s">
        <v>981</v>
      </c>
      <c r="D962" t="s">
        <v>982</v>
      </c>
      <c r="E962" s="9">
        <v>45108</v>
      </c>
      <c r="F962" s="9">
        <v>45138</v>
      </c>
      <c r="G962">
        <v>154926805.56400001</v>
      </c>
      <c r="H962">
        <v>56385915.604000002</v>
      </c>
      <c r="I962">
        <v>50682767.156000003</v>
      </c>
      <c r="J962">
        <v>0</v>
      </c>
      <c r="K962">
        <v>13941445.124</v>
      </c>
      <c r="L962">
        <v>137641.568</v>
      </c>
      <c r="M962">
        <v>0</v>
      </c>
      <c r="N962">
        <v>0</v>
      </c>
      <c r="O962">
        <v>0</v>
      </c>
      <c r="P962">
        <v>0</v>
      </c>
      <c r="Q962">
        <v>7308468.04</v>
      </c>
      <c r="R962">
        <v>0</v>
      </c>
      <c r="S962">
        <v>0</v>
      </c>
      <c r="T962" s="9">
        <v>45108</v>
      </c>
      <c r="U962" s="9">
        <v>45473</v>
      </c>
      <c r="V962">
        <f>SUM(POTABLE_NONPOTABLE_API[[#This Row],[RESIDENTIAL_SINGLEFAMILY_GAL]:[OTHER_GAL]])</f>
        <v>276074575.01600003</v>
      </c>
      <c r="W962">
        <f>SUM(POTABLE_NONPOTABLE_API[[#This Row],[NONPOTABLE_DEMAND_RESIDENTIAL_RECYCLED_WATER_GAL]:[NONPOTABLE_DEMAND_NONRESIDENTIAL_METERED_IRRIGATION_GAL]])</f>
        <v>7308468.04</v>
      </c>
      <c r="X962" t="str">
        <f>IFERROR(INDEX(Crosswalk_API!$H$2:$H$527, MATCH(POTABLE_NONPOTABLE_API[[#This Row],[PWSID]], CW_PWSID_LIST, 0)), "")</f>
        <v>No</v>
      </c>
    </row>
    <row r="963" spans="1:24" x14ac:dyDescent="0.25">
      <c r="A963" t="s">
        <v>979</v>
      </c>
      <c r="B963" t="s">
        <v>980</v>
      </c>
      <c r="C963" t="s">
        <v>981</v>
      </c>
      <c r="D963" t="s">
        <v>982</v>
      </c>
      <c r="E963" s="9">
        <v>45139</v>
      </c>
      <c r="F963" s="9">
        <v>45169</v>
      </c>
      <c r="G963">
        <v>143838430.76800001</v>
      </c>
      <c r="H963">
        <v>51922289.32</v>
      </c>
      <c r="I963">
        <v>50989468.476000004</v>
      </c>
      <c r="J963">
        <v>0</v>
      </c>
      <c r="K963">
        <v>22333092.460000001</v>
      </c>
      <c r="L963">
        <v>142877.932</v>
      </c>
      <c r="M963">
        <v>0</v>
      </c>
      <c r="N963">
        <v>0</v>
      </c>
      <c r="O963">
        <v>0</v>
      </c>
      <c r="P963">
        <v>0</v>
      </c>
      <c r="Q963">
        <v>9162888.9480000008</v>
      </c>
      <c r="R963">
        <v>0</v>
      </c>
      <c r="S963">
        <v>0</v>
      </c>
      <c r="T963" s="9">
        <v>45108</v>
      </c>
      <c r="U963" s="9">
        <v>45473</v>
      </c>
      <c r="V963">
        <f>SUM(POTABLE_NONPOTABLE_API[[#This Row],[RESIDENTIAL_SINGLEFAMILY_GAL]:[OTHER_GAL]])</f>
        <v>269226158.95599997</v>
      </c>
      <c r="W963">
        <f>SUM(POTABLE_NONPOTABLE_API[[#This Row],[NONPOTABLE_DEMAND_RESIDENTIAL_RECYCLED_WATER_GAL]:[NONPOTABLE_DEMAND_NONRESIDENTIAL_METERED_IRRIGATION_GAL]])</f>
        <v>9162888.9480000008</v>
      </c>
      <c r="X963" t="str">
        <f>IFERROR(INDEX(Crosswalk_API!$H$2:$H$527, MATCH(POTABLE_NONPOTABLE_API[[#This Row],[PWSID]], CW_PWSID_LIST, 0)), "")</f>
        <v>No</v>
      </c>
    </row>
    <row r="964" spans="1:24" x14ac:dyDescent="0.25">
      <c r="A964" t="s">
        <v>979</v>
      </c>
      <c r="B964" t="s">
        <v>980</v>
      </c>
      <c r="C964" t="s">
        <v>981</v>
      </c>
      <c r="D964" t="s">
        <v>982</v>
      </c>
      <c r="E964" s="9">
        <v>45170</v>
      </c>
      <c r="F964" s="9">
        <v>45199</v>
      </c>
      <c r="G964">
        <v>151443127.40000001</v>
      </c>
      <c r="H964">
        <v>57308263.719999999</v>
      </c>
      <c r="I964">
        <v>49904045.024000004</v>
      </c>
      <c r="J964">
        <v>0</v>
      </c>
      <c r="K964">
        <v>20530287.140000001</v>
      </c>
      <c r="L964">
        <v>91262.343999999997</v>
      </c>
      <c r="M964">
        <v>0</v>
      </c>
      <c r="N964">
        <v>0</v>
      </c>
      <c r="O964">
        <v>0</v>
      </c>
      <c r="P964">
        <v>0</v>
      </c>
      <c r="Q964">
        <v>5645548444</v>
      </c>
      <c r="R964">
        <v>0</v>
      </c>
      <c r="S964">
        <v>0</v>
      </c>
      <c r="T964" s="9">
        <v>45108</v>
      </c>
      <c r="U964" s="9">
        <v>45473</v>
      </c>
      <c r="V964">
        <f>SUM(POTABLE_NONPOTABLE_API[[#This Row],[RESIDENTIAL_SINGLEFAMILY_GAL]:[OTHER_GAL]])</f>
        <v>279276985.62799996</v>
      </c>
      <c r="W964">
        <f>SUM(POTABLE_NONPOTABLE_API[[#This Row],[NONPOTABLE_DEMAND_RESIDENTIAL_RECYCLED_WATER_GAL]:[NONPOTABLE_DEMAND_NONRESIDENTIAL_METERED_IRRIGATION_GAL]])</f>
        <v>5645548444</v>
      </c>
      <c r="X964" t="str">
        <f>IFERROR(INDEX(Crosswalk_API!$H$2:$H$527, MATCH(POTABLE_NONPOTABLE_API[[#This Row],[PWSID]], CW_PWSID_LIST, 0)), "")</f>
        <v>No</v>
      </c>
    </row>
    <row r="965" spans="1:24" x14ac:dyDescent="0.25">
      <c r="A965" t="s">
        <v>979</v>
      </c>
      <c r="B965" t="s">
        <v>980</v>
      </c>
      <c r="C965" t="s">
        <v>981</v>
      </c>
      <c r="D965" t="s">
        <v>982</v>
      </c>
      <c r="E965" s="9">
        <v>45200</v>
      </c>
      <c r="F965" s="9">
        <v>45230</v>
      </c>
      <c r="G965">
        <v>141146191.62</v>
      </c>
      <c r="H965">
        <v>52591047.807999998</v>
      </c>
      <c r="I965">
        <v>46822070.784000002</v>
      </c>
      <c r="J965">
        <v>0</v>
      </c>
      <c r="K965">
        <v>19159107.824000001</v>
      </c>
      <c r="L965">
        <v>49371.432000000001</v>
      </c>
      <c r="M965">
        <v>0</v>
      </c>
      <c r="N965">
        <v>0</v>
      </c>
      <c r="O965">
        <v>0</v>
      </c>
      <c r="P965">
        <v>0</v>
      </c>
      <c r="Q965">
        <v>8187429.1400000006</v>
      </c>
      <c r="R965">
        <v>0</v>
      </c>
      <c r="S965">
        <v>0</v>
      </c>
      <c r="T965" s="9">
        <v>45108</v>
      </c>
      <c r="U965" s="9">
        <v>45473</v>
      </c>
      <c r="V965">
        <f>SUM(POTABLE_NONPOTABLE_API[[#This Row],[RESIDENTIAL_SINGLEFAMILY_GAL]:[OTHER_GAL]])</f>
        <v>259767789.46800002</v>
      </c>
      <c r="W965">
        <f>SUM(POTABLE_NONPOTABLE_API[[#This Row],[NONPOTABLE_DEMAND_RESIDENTIAL_RECYCLED_WATER_GAL]:[NONPOTABLE_DEMAND_NONRESIDENTIAL_METERED_IRRIGATION_GAL]])</f>
        <v>8187429.1400000006</v>
      </c>
      <c r="X965" t="str">
        <f>IFERROR(INDEX(Crosswalk_API!$H$2:$H$527, MATCH(POTABLE_NONPOTABLE_API[[#This Row],[PWSID]], CW_PWSID_LIST, 0)), "")</f>
        <v>No</v>
      </c>
    </row>
    <row r="966" spans="1:24" x14ac:dyDescent="0.25">
      <c r="A966" t="s">
        <v>979</v>
      </c>
      <c r="B966" t="s">
        <v>980</v>
      </c>
      <c r="C966" t="s">
        <v>981</v>
      </c>
      <c r="D966" t="s">
        <v>982</v>
      </c>
      <c r="E966" s="9">
        <v>45231</v>
      </c>
      <c r="F966" s="9">
        <v>45260</v>
      </c>
      <c r="G966">
        <v>135657734.09600002</v>
      </c>
      <c r="H966">
        <v>51566216.568000004</v>
      </c>
      <c r="I966">
        <v>41163805.456</v>
      </c>
      <c r="J966">
        <v>0</v>
      </c>
      <c r="K966">
        <v>15928271.236</v>
      </c>
      <c r="L966">
        <v>77049.356</v>
      </c>
      <c r="M966">
        <v>0</v>
      </c>
      <c r="N966">
        <v>0</v>
      </c>
      <c r="O966">
        <v>0</v>
      </c>
      <c r="Q966">
        <v>4408270.4359999998</v>
      </c>
      <c r="R966">
        <v>0</v>
      </c>
      <c r="T966" s="9">
        <v>45108</v>
      </c>
      <c r="U966" s="9">
        <v>45473</v>
      </c>
      <c r="V966">
        <f>SUM(POTABLE_NONPOTABLE_API[[#This Row],[RESIDENTIAL_SINGLEFAMILY_GAL]:[OTHER_GAL]])</f>
        <v>244393076.71200004</v>
      </c>
      <c r="W966">
        <f>SUM(POTABLE_NONPOTABLE_API[[#This Row],[NONPOTABLE_DEMAND_RESIDENTIAL_RECYCLED_WATER_GAL]:[NONPOTABLE_DEMAND_NONRESIDENTIAL_METERED_IRRIGATION_GAL]])</f>
        <v>4408270.4359999998</v>
      </c>
      <c r="X966" t="str">
        <f>IFERROR(INDEX(Crosswalk_API!$H$2:$H$527, MATCH(POTABLE_NONPOTABLE_API[[#This Row],[PWSID]], CW_PWSID_LIST, 0)), "")</f>
        <v>No</v>
      </c>
    </row>
    <row r="967" spans="1:24" x14ac:dyDescent="0.25">
      <c r="A967" t="s">
        <v>979</v>
      </c>
      <c r="B967" t="s">
        <v>980</v>
      </c>
      <c r="C967" t="s">
        <v>981</v>
      </c>
      <c r="D967" t="s">
        <v>982</v>
      </c>
      <c r="E967" s="9">
        <v>45261</v>
      </c>
      <c r="F967" s="9">
        <v>45291</v>
      </c>
      <c r="G967">
        <v>140542513.65600002</v>
      </c>
      <c r="H967">
        <v>54798549.259999998</v>
      </c>
      <c r="I967">
        <v>47697291.623999998</v>
      </c>
      <c r="J967">
        <v>0</v>
      </c>
      <c r="K967">
        <v>14820406.224000001</v>
      </c>
      <c r="L967">
        <v>49371.432000000001</v>
      </c>
      <c r="M967">
        <v>0</v>
      </c>
      <c r="N967">
        <v>0</v>
      </c>
      <c r="O967">
        <v>0</v>
      </c>
      <c r="P967">
        <v>0</v>
      </c>
      <c r="Q967">
        <v>5834805600</v>
      </c>
      <c r="R967">
        <v>0</v>
      </c>
      <c r="S967">
        <v>0</v>
      </c>
      <c r="T967" s="9">
        <v>45108</v>
      </c>
      <c r="U967" s="9">
        <v>45473</v>
      </c>
      <c r="V967">
        <f>SUM(POTABLE_NONPOTABLE_API[[#This Row],[RESIDENTIAL_SINGLEFAMILY_GAL]:[OTHER_GAL]])</f>
        <v>257908132.19600004</v>
      </c>
      <c r="W967">
        <f>SUM(POTABLE_NONPOTABLE_API[[#This Row],[NONPOTABLE_DEMAND_RESIDENTIAL_RECYCLED_WATER_GAL]:[NONPOTABLE_DEMAND_NONRESIDENTIAL_METERED_IRRIGATION_GAL]])</f>
        <v>5834805600</v>
      </c>
      <c r="X967" t="str">
        <f>IFERROR(INDEX(Crosswalk_API!$H$2:$H$527, MATCH(POTABLE_NONPOTABLE_API[[#This Row],[PWSID]], CW_PWSID_LIST, 0)), "")</f>
        <v>No</v>
      </c>
    </row>
    <row r="968" spans="1:24" x14ac:dyDescent="0.25">
      <c r="A968" t="s">
        <v>979</v>
      </c>
      <c r="B968" t="s">
        <v>980</v>
      </c>
      <c r="C968" t="s">
        <v>981</v>
      </c>
      <c r="D968" t="s">
        <v>982</v>
      </c>
      <c r="E968" s="9">
        <v>45292</v>
      </c>
      <c r="F968" s="9">
        <v>45322</v>
      </c>
      <c r="G968">
        <v>133966388.524</v>
      </c>
      <c r="H968">
        <v>52915702.376000002</v>
      </c>
      <c r="I968">
        <v>40364137.868000001</v>
      </c>
      <c r="J968">
        <v>0</v>
      </c>
      <c r="K968">
        <v>12774484.004000001</v>
      </c>
      <c r="L968">
        <v>226659.75599999999</v>
      </c>
      <c r="M968">
        <v>0</v>
      </c>
      <c r="N968">
        <v>0</v>
      </c>
      <c r="O968">
        <v>0</v>
      </c>
      <c r="P968">
        <v>0</v>
      </c>
      <c r="Q968">
        <v>2562078.1</v>
      </c>
      <c r="R968">
        <v>0</v>
      </c>
      <c r="S968">
        <v>0</v>
      </c>
      <c r="T968" s="9">
        <v>45108</v>
      </c>
      <c r="U968" s="9">
        <v>45473</v>
      </c>
      <c r="V968">
        <f>SUM(POTABLE_NONPOTABLE_API[[#This Row],[RESIDENTIAL_SINGLEFAMILY_GAL]:[OTHER_GAL]])</f>
        <v>240247372.52800003</v>
      </c>
      <c r="W968">
        <f>SUM(POTABLE_NONPOTABLE_API[[#This Row],[NONPOTABLE_DEMAND_RESIDENTIAL_RECYCLED_WATER_GAL]:[NONPOTABLE_DEMAND_NONRESIDENTIAL_METERED_IRRIGATION_GAL]])</f>
        <v>2562078.1</v>
      </c>
      <c r="X968" t="str">
        <f>IFERROR(INDEX(Crosswalk_API!$H$2:$H$527, MATCH(POTABLE_NONPOTABLE_API[[#This Row],[PWSID]], CW_PWSID_LIST, 0)), "")</f>
        <v>No</v>
      </c>
    </row>
    <row r="969" spans="1:24" x14ac:dyDescent="0.25">
      <c r="A969" t="s">
        <v>979</v>
      </c>
      <c r="B969" t="s">
        <v>980</v>
      </c>
      <c r="C969" t="s">
        <v>981</v>
      </c>
      <c r="D969" t="s">
        <v>982</v>
      </c>
      <c r="E969" s="9">
        <v>45323</v>
      </c>
      <c r="F969" s="9">
        <v>45351</v>
      </c>
      <c r="G969">
        <v>118243083.536</v>
      </c>
      <c r="H969">
        <v>50600481.436000004</v>
      </c>
      <c r="I969">
        <v>35490579.088</v>
      </c>
      <c r="J969">
        <v>0</v>
      </c>
      <c r="K969">
        <v>5563262.7240000004</v>
      </c>
      <c r="L969">
        <v>77797.407999999996</v>
      </c>
      <c r="M969">
        <v>0</v>
      </c>
      <c r="N969">
        <v>0</v>
      </c>
      <c r="O969">
        <v>0</v>
      </c>
      <c r="P969">
        <v>0</v>
      </c>
      <c r="Q969">
        <v>1848436.4920000001</v>
      </c>
      <c r="R969">
        <v>0</v>
      </c>
      <c r="S969">
        <v>0</v>
      </c>
      <c r="T969" s="9">
        <v>45108</v>
      </c>
      <c r="U969" s="9">
        <v>45473</v>
      </c>
      <c r="V969">
        <f>SUM(POTABLE_NONPOTABLE_API[[#This Row],[RESIDENTIAL_SINGLEFAMILY_GAL]:[OTHER_GAL]])</f>
        <v>209975204.192</v>
      </c>
      <c r="W969">
        <f>SUM(POTABLE_NONPOTABLE_API[[#This Row],[NONPOTABLE_DEMAND_RESIDENTIAL_RECYCLED_WATER_GAL]:[NONPOTABLE_DEMAND_NONRESIDENTIAL_METERED_IRRIGATION_GAL]])</f>
        <v>1848436.4920000001</v>
      </c>
      <c r="X969" t="str">
        <f>IFERROR(INDEX(Crosswalk_API!$H$2:$H$527, MATCH(POTABLE_NONPOTABLE_API[[#This Row],[PWSID]], CW_PWSID_LIST, 0)), "")</f>
        <v>No</v>
      </c>
    </row>
    <row r="970" spans="1:24" x14ac:dyDescent="0.25">
      <c r="A970" t="s">
        <v>979</v>
      </c>
      <c r="B970" t="s">
        <v>980</v>
      </c>
      <c r="C970" t="s">
        <v>981</v>
      </c>
      <c r="D970" t="s">
        <v>982</v>
      </c>
      <c r="E970" s="9">
        <v>45352</v>
      </c>
      <c r="F970" s="9">
        <v>45382</v>
      </c>
      <c r="G970">
        <v>111565971.384</v>
      </c>
      <c r="H970">
        <v>48710154.031999998</v>
      </c>
      <c r="I970">
        <v>36003742.759999998</v>
      </c>
      <c r="J970">
        <v>0</v>
      </c>
      <c r="K970">
        <v>5588696.4920000006</v>
      </c>
      <c r="L970">
        <v>88270.135999999999</v>
      </c>
      <c r="M970">
        <v>0</v>
      </c>
      <c r="N970">
        <v>0</v>
      </c>
      <c r="O970">
        <v>0</v>
      </c>
      <c r="P970">
        <v>0</v>
      </c>
      <c r="Q970">
        <v>1403345.5520000001</v>
      </c>
      <c r="R970">
        <v>0</v>
      </c>
      <c r="S970">
        <v>0</v>
      </c>
      <c r="T970" s="9">
        <v>45108</v>
      </c>
      <c r="U970" s="9">
        <v>45473</v>
      </c>
      <c r="V970">
        <f>SUM(POTABLE_NONPOTABLE_API[[#This Row],[RESIDENTIAL_SINGLEFAMILY_GAL]:[OTHER_GAL]])</f>
        <v>201956834.80400002</v>
      </c>
      <c r="W970">
        <f>SUM(POTABLE_NONPOTABLE_API[[#This Row],[NONPOTABLE_DEMAND_RESIDENTIAL_RECYCLED_WATER_GAL]:[NONPOTABLE_DEMAND_NONRESIDENTIAL_METERED_IRRIGATION_GAL]])</f>
        <v>1403345.5520000001</v>
      </c>
      <c r="X970" t="str">
        <f>IFERROR(INDEX(Crosswalk_API!$H$2:$H$527, MATCH(POTABLE_NONPOTABLE_API[[#This Row],[PWSID]], CW_PWSID_LIST, 0)), "")</f>
        <v>No</v>
      </c>
    </row>
    <row r="971" spans="1:24" x14ac:dyDescent="0.25">
      <c r="A971" t="s">
        <v>979</v>
      </c>
      <c r="B971" t="s">
        <v>980</v>
      </c>
      <c r="C971" t="s">
        <v>981</v>
      </c>
      <c r="D971" t="s">
        <v>982</v>
      </c>
      <c r="E971" s="9">
        <v>45383</v>
      </c>
      <c r="F971" s="9">
        <v>45412</v>
      </c>
      <c r="G971">
        <v>116544257.44400001</v>
      </c>
      <c r="H971">
        <v>48670507.276000001</v>
      </c>
      <c r="I971">
        <v>39675930.028000005</v>
      </c>
      <c r="J971">
        <v>0</v>
      </c>
      <c r="K971">
        <v>5697164.0320000006</v>
      </c>
      <c r="L971">
        <v>41142.86</v>
      </c>
      <c r="M971">
        <v>0</v>
      </c>
      <c r="N971">
        <v>0</v>
      </c>
      <c r="O971">
        <v>0</v>
      </c>
      <c r="P971">
        <v>0</v>
      </c>
      <c r="Q971">
        <v>3764945.716</v>
      </c>
      <c r="R971">
        <v>0</v>
      </c>
      <c r="S971">
        <v>0</v>
      </c>
      <c r="T971" s="9">
        <v>45108</v>
      </c>
      <c r="U971" s="9">
        <v>45473</v>
      </c>
      <c r="V971">
        <f>SUM(POTABLE_NONPOTABLE_API[[#This Row],[RESIDENTIAL_SINGLEFAMILY_GAL]:[OTHER_GAL]])</f>
        <v>210629001.64000002</v>
      </c>
      <c r="W971">
        <f>SUM(POTABLE_NONPOTABLE_API[[#This Row],[NONPOTABLE_DEMAND_RESIDENTIAL_RECYCLED_WATER_GAL]:[NONPOTABLE_DEMAND_NONRESIDENTIAL_METERED_IRRIGATION_GAL]])</f>
        <v>3764945.716</v>
      </c>
      <c r="X971" t="str">
        <f>IFERROR(INDEX(Crosswalk_API!$H$2:$H$527, MATCH(POTABLE_NONPOTABLE_API[[#This Row],[PWSID]], CW_PWSID_LIST, 0)), "")</f>
        <v>No</v>
      </c>
    </row>
    <row r="972" spans="1:24" x14ac:dyDescent="0.25">
      <c r="A972" t="s">
        <v>979</v>
      </c>
      <c r="B972" t="s">
        <v>980</v>
      </c>
      <c r="C972" t="s">
        <v>981</v>
      </c>
      <c r="D972" t="s">
        <v>982</v>
      </c>
      <c r="E972" s="9">
        <v>45413</v>
      </c>
      <c r="F972" s="9">
        <v>45443</v>
      </c>
      <c r="G972">
        <v>126707291.91600001</v>
      </c>
      <c r="H972">
        <v>49119338.476000004</v>
      </c>
      <c r="I972">
        <v>40924428.816</v>
      </c>
      <c r="J972">
        <v>0</v>
      </c>
      <c r="K972">
        <v>6165444.5839999998</v>
      </c>
      <c r="L972">
        <v>71064.94</v>
      </c>
      <c r="M972">
        <v>0</v>
      </c>
      <c r="N972">
        <v>0</v>
      </c>
      <c r="O972">
        <v>0</v>
      </c>
      <c r="P972">
        <v>0</v>
      </c>
      <c r="Q972">
        <v>4928166.5760000004</v>
      </c>
      <c r="R972">
        <v>0</v>
      </c>
      <c r="S972">
        <v>0</v>
      </c>
      <c r="T972" s="9">
        <v>45108</v>
      </c>
      <c r="U972" s="9">
        <v>45473</v>
      </c>
      <c r="V972">
        <f>SUM(POTABLE_NONPOTABLE_API[[#This Row],[RESIDENTIAL_SINGLEFAMILY_GAL]:[OTHER_GAL]])</f>
        <v>222987568.73199999</v>
      </c>
      <c r="W972">
        <f>SUM(POTABLE_NONPOTABLE_API[[#This Row],[NONPOTABLE_DEMAND_RESIDENTIAL_RECYCLED_WATER_GAL]:[NONPOTABLE_DEMAND_NONRESIDENTIAL_METERED_IRRIGATION_GAL]])</f>
        <v>4928166.5760000004</v>
      </c>
      <c r="X972" t="str">
        <f>IFERROR(INDEX(Crosswalk_API!$H$2:$H$527, MATCH(POTABLE_NONPOTABLE_API[[#This Row],[PWSID]], CW_PWSID_LIST, 0)), "")</f>
        <v>No</v>
      </c>
    </row>
    <row r="973" spans="1:24" x14ac:dyDescent="0.25">
      <c r="A973" t="s">
        <v>979</v>
      </c>
      <c r="B973" t="s">
        <v>980</v>
      </c>
      <c r="C973" t="s">
        <v>981</v>
      </c>
      <c r="D973" t="s">
        <v>982</v>
      </c>
      <c r="E973" s="9">
        <v>45444</v>
      </c>
      <c r="F973" s="9">
        <v>45473</v>
      </c>
      <c r="G973">
        <v>143676851.53600001</v>
      </c>
      <c r="H973">
        <v>53237364.736000001</v>
      </c>
      <c r="I973">
        <v>46521353.880000003</v>
      </c>
      <c r="J973">
        <v>0</v>
      </c>
      <c r="K973">
        <v>6529745.9079999998</v>
      </c>
      <c r="L973">
        <v>39646.756000000001</v>
      </c>
      <c r="M973">
        <v>0</v>
      </c>
      <c r="N973">
        <v>0</v>
      </c>
      <c r="O973">
        <v>0</v>
      </c>
      <c r="P973">
        <v>0</v>
      </c>
      <c r="Q973">
        <v>5201953.608</v>
      </c>
      <c r="R973">
        <v>0</v>
      </c>
      <c r="S973">
        <v>0</v>
      </c>
      <c r="T973" s="9">
        <v>45108</v>
      </c>
      <c r="U973" s="9">
        <v>45473</v>
      </c>
      <c r="V973">
        <f>SUM(POTABLE_NONPOTABLE_API[[#This Row],[RESIDENTIAL_SINGLEFAMILY_GAL]:[OTHER_GAL]])</f>
        <v>250004962.81600001</v>
      </c>
      <c r="W973">
        <f>SUM(POTABLE_NONPOTABLE_API[[#This Row],[NONPOTABLE_DEMAND_RESIDENTIAL_RECYCLED_WATER_GAL]:[NONPOTABLE_DEMAND_NONRESIDENTIAL_METERED_IRRIGATION_GAL]])</f>
        <v>5201953.608</v>
      </c>
      <c r="X973" t="str">
        <f>IFERROR(INDEX(Crosswalk_API!$H$2:$H$527, MATCH(POTABLE_NONPOTABLE_API[[#This Row],[PWSID]], CW_PWSID_LIST, 0)), "")</f>
        <v>No</v>
      </c>
    </row>
    <row r="974" spans="1:24" x14ac:dyDescent="0.25">
      <c r="A974" t="s">
        <v>983</v>
      </c>
      <c r="B974" t="s">
        <v>984</v>
      </c>
      <c r="C974" t="s">
        <v>985</v>
      </c>
      <c r="D974" t="s">
        <v>986</v>
      </c>
      <c r="E974" s="9">
        <v>45108</v>
      </c>
      <c r="F974" s="9">
        <v>45138</v>
      </c>
      <c r="G974">
        <v>611158.48400000005</v>
      </c>
      <c r="H974">
        <v>0</v>
      </c>
      <c r="I974">
        <v>0</v>
      </c>
      <c r="J974">
        <v>0</v>
      </c>
      <c r="K974">
        <v>0</v>
      </c>
      <c r="L974">
        <v>0</v>
      </c>
      <c r="M974">
        <v>0</v>
      </c>
      <c r="T974" s="9">
        <v>45108</v>
      </c>
      <c r="U974" s="9">
        <v>45473</v>
      </c>
      <c r="V974">
        <f>SUM(POTABLE_NONPOTABLE_API[[#This Row],[RESIDENTIAL_SINGLEFAMILY_GAL]:[OTHER_GAL]])</f>
        <v>611158.48400000005</v>
      </c>
      <c r="W974">
        <f>SUM(POTABLE_NONPOTABLE_API[[#This Row],[NONPOTABLE_DEMAND_RESIDENTIAL_RECYCLED_WATER_GAL]:[NONPOTABLE_DEMAND_NONRESIDENTIAL_METERED_IRRIGATION_GAL]])</f>
        <v>0</v>
      </c>
      <c r="X974" t="str">
        <f>IFERROR(INDEX(Crosswalk_API!$H$2:$H$527, MATCH(POTABLE_NONPOTABLE_API[[#This Row],[PWSID]], CW_PWSID_LIST, 0)), "")</f>
        <v>No</v>
      </c>
    </row>
    <row r="975" spans="1:24" x14ac:dyDescent="0.25">
      <c r="A975" t="s">
        <v>983</v>
      </c>
      <c r="B975" t="s">
        <v>984</v>
      </c>
      <c r="C975" t="s">
        <v>985</v>
      </c>
      <c r="D975" t="s">
        <v>986</v>
      </c>
      <c r="E975" s="9">
        <v>45139</v>
      </c>
      <c r="F975" s="9">
        <v>45169</v>
      </c>
      <c r="G975">
        <v>555054.58400000003</v>
      </c>
      <c r="H975">
        <v>0</v>
      </c>
      <c r="I975">
        <v>0</v>
      </c>
      <c r="J975">
        <v>0</v>
      </c>
      <c r="K975">
        <v>0</v>
      </c>
      <c r="L975">
        <v>0</v>
      </c>
      <c r="M975">
        <v>0</v>
      </c>
      <c r="T975" s="9">
        <v>45108</v>
      </c>
      <c r="U975" s="9">
        <v>45473</v>
      </c>
      <c r="V975">
        <f>SUM(POTABLE_NONPOTABLE_API[[#This Row],[RESIDENTIAL_SINGLEFAMILY_GAL]:[OTHER_GAL]])</f>
        <v>555054.58400000003</v>
      </c>
      <c r="W975">
        <f>SUM(POTABLE_NONPOTABLE_API[[#This Row],[NONPOTABLE_DEMAND_RESIDENTIAL_RECYCLED_WATER_GAL]:[NONPOTABLE_DEMAND_NONRESIDENTIAL_METERED_IRRIGATION_GAL]])</f>
        <v>0</v>
      </c>
      <c r="X975" t="str">
        <f>IFERROR(INDEX(Crosswalk_API!$H$2:$H$527, MATCH(POTABLE_NONPOTABLE_API[[#This Row],[PWSID]], CW_PWSID_LIST, 0)), "")</f>
        <v>No</v>
      </c>
    </row>
    <row r="976" spans="1:24" x14ac:dyDescent="0.25">
      <c r="A976" t="s">
        <v>983</v>
      </c>
      <c r="B976" t="s">
        <v>984</v>
      </c>
      <c r="C976" t="s">
        <v>985</v>
      </c>
      <c r="D976" t="s">
        <v>986</v>
      </c>
      <c r="E976" s="9">
        <v>45170</v>
      </c>
      <c r="F976" s="9">
        <v>45199</v>
      </c>
      <c r="G976">
        <v>527376.66</v>
      </c>
      <c r="H976">
        <v>0</v>
      </c>
      <c r="I976">
        <v>0</v>
      </c>
      <c r="J976">
        <v>0</v>
      </c>
      <c r="K976">
        <v>0</v>
      </c>
      <c r="L976">
        <v>0</v>
      </c>
      <c r="M976">
        <v>0</v>
      </c>
      <c r="T976" s="9">
        <v>45108</v>
      </c>
      <c r="U976" s="9">
        <v>45473</v>
      </c>
      <c r="V976">
        <f>SUM(POTABLE_NONPOTABLE_API[[#This Row],[RESIDENTIAL_SINGLEFAMILY_GAL]:[OTHER_GAL]])</f>
        <v>527376.66</v>
      </c>
      <c r="W976">
        <f>SUM(POTABLE_NONPOTABLE_API[[#This Row],[NONPOTABLE_DEMAND_RESIDENTIAL_RECYCLED_WATER_GAL]:[NONPOTABLE_DEMAND_NONRESIDENTIAL_METERED_IRRIGATION_GAL]])</f>
        <v>0</v>
      </c>
      <c r="X976" t="str">
        <f>IFERROR(INDEX(Crosswalk_API!$H$2:$H$527, MATCH(POTABLE_NONPOTABLE_API[[#This Row],[PWSID]], CW_PWSID_LIST, 0)), "")</f>
        <v>No</v>
      </c>
    </row>
    <row r="977" spans="1:24" x14ac:dyDescent="0.25">
      <c r="A977" t="s">
        <v>983</v>
      </c>
      <c r="B977" t="s">
        <v>984</v>
      </c>
      <c r="C977" t="s">
        <v>985</v>
      </c>
      <c r="D977" t="s">
        <v>986</v>
      </c>
      <c r="E977" s="9">
        <v>45200</v>
      </c>
      <c r="F977" s="9">
        <v>45230</v>
      </c>
      <c r="G977">
        <v>412176.652</v>
      </c>
      <c r="H977">
        <v>0</v>
      </c>
      <c r="I977">
        <v>0</v>
      </c>
      <c r="J977">
        <v>0</v>
      </c>
      <c r="K977">
        <v>0</v>
      </c>
      <c r="L977">
        <v>0</v>
      </c>
      <c r="M977">
        <v>0</v>
      </c>
      <c r="T977" s="9">
        <v>45108</v>
      </c>
      <c r="U977" s="9">
        <v>45473</v>
      </c>
      <c r="V977">
        <f>SUM(POTABLE_NONPOTABLE_API[[#This Row],[RESIDENTIAL_SINGLEFAMILY_GAL]:[OTHER_GAL]])</f>
        <v>412176.652</v>
      </c>
      <c r="W977">
        <f>SUM(POTABLE_NONPOTABLE_API[[#This Row],[NONPOTABLE_DEMAND_RESIDENTIAL_RECYCLED_WATER_GAL]:[NONPOTABLE_DEMAND_NONRESIDENTIAL_METERED_IRRIGATION_GAL]])</f>
        <v>0</v>
      </c>
      <c r="X977" t="str">
        <f>IFERROR(INDEX(Crosswalk_API!$H$2:$H$527, MATCH(POTABLE_NONPOTABLE_API[[#This Row],[PWSID]], CW_PWSID_LIST, 0)), "")</f>
        <v>No</v>
      </c>
    </row>
    <row r="978" spans="1:24" x14ac:dyDescent="0.25">
      <c r="A978" t="s">
        <v>983</v>
      </c>
      <c r="B978" t="s">
        <v>984</v>
      </c>
      <c r="C978" t="s">
        <v>985</v>
      </c>
      <c r="D978" t="s">
        <v>986</v>
      </c>
      <c r="E978" s="9">
        <v>45231</v>
      </c>
      <c r="F978" s="9">
        <v>45260</v>
      </c>
      <c r="G978">
        <v>505683.152</v>
      </c>
      <c r="H978">
        <v>0</v>
      </c>
      <c r="I978">
        <v>0</v>
      </c>
      <c r="J978">
        <v>0</v>
      </c>
      <c r="K978">
        <v>0</v>
      </c>
      <c r="L978">
        <v>0</v>
      </c>
      <c r="M978">
        <v>0</v>
      </c>
      <c r="T978" s="9">
        <v>45108</v>
      </c>
      <c r="U978" s="9">
        <v>45473</v>
      </c>
      <c r="V978">
        <f>SUM(POTABLE_NONPOTABLE_API[[#This Row],[RESIDENTIAL_SINGLEFAMILY_GAL]:[OTHER_GAL]])</f>
        <v>505683.152</v>
      </c>
      <c r="W978">
        <f>SUM(POTABLE_NONPOTABLE_API[[#This Row],[NONPOTABLE_DEMAND_RESIDENTIAL_RECYCLED_WATER_GAL]:[NONPOTABLE_DEMAND_NONRESIDENTIAL_METERED_IRRIGATION_GAL]])</f>
        <v>0</v>
      </c>
      <c r="X978" t="str">
        <f>IFERROR(INDEX(Crosswalk_API!$H$2:$H$527, MATCH(POTABLE_NONPOTABLE_API[[#This Row],[PWSID]], CW_PWSID_LIST, 0)), "")</f>
        <v>No</v>
      </c>
    </row>
    <row r="979" spans="1:24" x14ac:dyDescent="0.25">
      <c r="A979" t="s">
        <v>983</v>
      </c>
      <c r="B979" t="s">
        <v>984</v>
      </c>
      <c r="C979" t="s">
        <v>985</v>
      </c>
      <c r="D979" t="s">
        <v>986</v>
      </c>
      <c r="E979" s="9">
        <v>45261</v>
      </c>
      <c r="F979" s="9">
        <v>45291</v>
      </c>
      <c r="G979">
        <v>337371.45199999999</v>
      </c>
      <c r="H979">
        <v>0</v>
      </c>
      <c r="I979">
        <v>0</v>
      </c>
      <c r="J979">
        <v>0</v>
      </c>
      <c r="K979">
        <v>0</v>
      </c>
      <c r="L979">
        <v>0</v>
      </c>
      <c r="M979">
        <v>0</v>
      </c>
      <c r="T979" s="9">
        <v>45108</v>
      </c>
      <c r="U979" s="9">
        <v>45473</v>
      </c>
      <c r="V979">
        <f>SUM(POTABLE_NONPOTABLE_API[[#This Row],[RESIDENTIAL_SINGLEFAMILY_GAL]:[OTHER_GAL]])</f>
        <v>337371.45199999999</v>
      </c>
      <c r="W979">
        <f>SUM(POTABLE_NONPOTABLE_API[[#This Row],[NONPOTABLE_DEMAND_RESIDENTIAL_RECYCLED_WATER_GAL]:[NONPOTABLE_DEMAND_NONRESIDENTIAL_METERED_IRRIGATION_GAL]])</f>
        <v>0</v>
      </c>
      <c r="X979" t="str">
        <f>IFERROR(INDEX(Crosswalk_API!$H$2:$H$527, MATCH(POTABLE_NONPOTABLE_API[[#This Row],[PWSID]], CW_PWSID_LIST, 0)), "")</f>
        <v>No</v>
      </c>
    </row>
    <row r="980" spans="1:24" x14ac:dyDescent="0.25">
      <c r="A980" t="s">
        <v>983</v>
      </c>
      <c r="B980" t="s">
        <v>984</v>
      </c>
      <c r="C980" t="s">
        <v>985</v>
      </c>
      <c r="D980" t="s">
        <v>986</v>
      </c>
      <c r="E980" s="9">
        <v>45292</v>
      </c>
      <c r="F980" s="9">
        <v>45322</v>
      </c>
      <c r="G980">
        <v>391979.24800000002</v>
      </c>
      <c r="H980">
        <v>0</v>
      </c>
      <c r="I980">
        <v>0</v>
      </c>
      <c r="J980">
        <v>0</v>
      </c>
      <c r="K980">
        <v>0</v>
      </c>
      <c r="L980">
        <v>0</v>
      </c>
      <c r="M980">
        <v>0</v>
      </c>
      <c r="T980" s="9">
        <v>45108</v>
      </c>
      <c r="U980" s="9">
        <v>45473</v>
      </c>
      <c r="V980">
        <f>SUM(POTABLE_NONPOTABLE_API[[#This Row],[RESIDENTIAL_SINGLEFAMILY_GAL]:[OTHER_GAL]])</f>
        <v>391979.24800000002</v>
      </c>
      <c r="W980">
        <f>SUM(POTABLE_NONPOTABLE_API[[#This Row],[NONPOTABLE_DEMAND_RESIDENTIAL_RECYCLED_WATER_GAL]:[NONPOTABLE_DEMAND_NONRESIDENTIAL_METERED_IRRIGATION_GAL]])</f>
        <v>0</v>
      </c>
      <c r="X980" t="str">
        <f>IFERROR(INDEX(Crosswalk_API!$H$2:$H$527, MATCH(POTABLE_NONPOTABLE_API[[#This Row],[PWSID]], CW_PWSID_LIST, 0)), "")</f>
        <v>No</v>
      </c>
    </row>
    <row r="981" spans="1:24" x14ac:dyDescent="0.25">
      <c r="A981" t="s">
        <v>983</v>
      </c>
      <c r="B981" t="s">
        <v>984</v>
      </c>
      <c r="C981" t="s">
        <v>985</v>
      </c>
      <c r="D981" t="s">
        <v>986</v>
      </c>
      <c r="E981" s="9">
        <v>45323</v>
      </c>
      <c r="F981" s="9">
        <v>45351</v>
      </c>
      <c r="G981">
        <v>245361.05600000001</v>
      </c>
      <c r="H981">
        <v>0</v>
      </c>
      <c r="I981">
        <v>0</v>
      </c>
      <c r="J981">
        <v>0</v>
      </c>
      <c r="K981">
        <v>0</v>
      </c>
      <c r="L981">
        <v>0</v>
      </c>
      <c r="M981">
        <v>0</v>
      </c>
      <c r="T981" s="9">
        <v>45108</v>
      </c>
      <c r="U981" s="9">
        <v>45473</v>
      </c>
      <c r="V981">
        <f>SUM(POTABLE_NONPOTABLE_API[[#This Row],[RESIDENTIAL_SINGLEFAMILY_GAL]:[OTHER_GAL]])</f>
        <v>245361.05600000001</v>
      </c>
      <c r="W981">
        <f>SUM(POTABLE_NONPOTABLE_API[[#This Row],[NONPOTABLE_DEMAND_RESIDENTIAL_RECYCLED_WATER_GAL]:[NONPOTABLE_DEMAND_NONRESIDENTIAL_METERED_IRRIGATION_GAL]])</f>
        <v>0</v>
      </c>
      <c r="X981" t="str">
        <f>IFERROR(INDEX(Crosswalk_API!$H$2:$H$527, MATCH(POTABLE_NONPOTABLE_API[[#This Row],[PWSID]], CW_PWSID_LIST, 0)), "")</f>
        <v>No</v>
      </c>
    </row>
    <row r="982" spans="1:24" x14ac:dyDescent="0.25">
      <c r="A982" t="s">
        <v>983</v>
      </c>
      <c r="B982" t="s">
        <v>984</v>
      </c>
      <c r="C982" t="s">
        <v>985</v>
      </c>
      <c r="D982" t="s">
        <v>986</v>
      </c>
      <c r="E982" s="9">
        <v>45352</v>
      </c>
      <c r="F982" s="9">
        <v>45382</v>
      </c>
      <c r="G982">
        <v>249849.36800000002</v>
      </c>
      <c r="H982">
        <v>0</v>
      </c>
      <c r="I982">
        <v>0</v>
      </c>
      <c r="J982">
        <v>0</v>
      </c>
      <c r="K982">
        <v>0</v>
      </c>
      <c r="L982">
        <v>0</v>
      </c>
      <c r="M982">
        <v>0</v>
      </c>
      <c r="T982" s="9">
        <v>45108</v>
      </c>
      <c r="U982" s="9">
        <v>45473</v>
      </c>
      <c r="V982">
        <f>SUM(POTABLE_NONPOTABLE_API[[#This Row],[RESIDENTIAL_SINGLEFAMILY_GAL]:[OTHER_GAL]])</f>
        <v>249849.36800000002</v>
      </c>
      <c r="W982">
        <f>SUM(POTABLE_NONPOTABLE_API[[#This Row],[NONPOTABLE_DEMAND_RESIDENTIAL_RECYCLED_WATER_GAL]:[NONPOTABLE_DEMAND_NONRESIDENTIAL_METERED_IRRIGATION_GAL]])</f>
        <v>0</v>
      </c>
      <c r="X982" t="str">
        <f>IFERROR(INDEX(Crosswalk_API!$H$2:$H$527, MATCH(POTABLE_NONPOTABLE_API[[#This Row],[PWSID]], CW_PWSID_LIST, 0)), "")</f>
        <v>No</v>
      </c>
    </row>
    <row r="983" spans="1:24" x14ac:dyDescent="0.25">
      <c r="A983" t="s">
        <v>983</v>
      </c>
      <c r="B983" t="s">
        <v>984</v>
      </c>
      <c r="C983" t="s">
        <v>985</v>
      </c>
      <c r="D983" t="s">
        <v>986</v>
      </c>
      <c r="E983" s="9">
        <v>45383</v>
      </c>
      <c r="F983" s="9">
        <v>45412</v>
      </c>
      <c r="G983">
        <v>324654.56800000003</v>
      </c>
      <c r="H983">
        <v>0</v>
      </c>
      <c r="I983">
        <v>0</v>
      </c>
      <c r="J983">
        <v>0</v>
      </c>
      <c r="K983">
        <v>0</v>
      </c>
      <c r="L983">
        <v>0</v>
      </c>
      <c r="M983">
        <v>0</v>
      </c>
      <c r="T983" s="9">
        <v>45108</v>
      </c>
      <c r="U983" s="9">
        <v>45473</v>
      </c>
      <c r="V983">
        <f>SUM(POTABLE_NONPOTABLE_API[[#This Row],[RESIDENTIAL_SINGLEFAMILY_GAL]:[OTHER_GAL]])</f>
        <v>324654.56800000003</v>
      </c>
      <c r="W983">
        <f>SUM(POTABLE_NONPOTABLE_API[[#This Row],[NONPOTABLE_DEMAND_RESIDENTIAL_RECYCLED_WATER_GAL]:[NONPOTABLE_DEMAND_NONRESIDENTIAL_METERED_IRRIGATION_GAL]])</f>
        <v>0</v>
      </c>
      <c r="X983" t="str">
        <f>IFERROR(INDEX(Crosswalk_API!$H$2:$H$527, MATCH(POTABLE_NONPOTABLE_API[[#This Row],[PWSID]], CW_PWSID_LIST, 0)), "")</f>
        <v>No</v>
      </c>
    </row>
    <row r="984" spans="1:24" x14ac:dyDescent="0.25">
      <c r="A984" t="s">
        <v>983</v>
      </c>
      <c r="B984" t="s">
        <v>984</v>
      </c>
      <c r="C984" t="s">
        <v>985</v>
      </c>
      <c r="D984" t="s">
        <v>986</v>
      </c>
      <c r="E984" s="9">
        <v>45413</v>
      </c>
      <c r="F984" s="9">
        <v>45443</v>
      </c>
      <c r="G984">
        <v>299220.8</v>
      </c>
      <c r="H984">
        <v>0</v>
      </c>
      <c r="I984">
        <v>0</v>
      </c>
      <c r="J984">
        <v>0</v>
      </c>
      <c r="K984">
        <v>0</v>
      </c>
      <c r="L984">
        <v>0</v>
      </c>
      <c r="M984">
        <v>0</v>
      </c>
      <c r="T984" s="9">
        <v>45108</v>
      </c>
      <c r="U984" s="9">
        <v>45473</v>
      </c>
      <c r="V984">
        <f>SUM(POTABLE_NONPOTABLE_API[[#This Row],[RESIDENTIAL_SINGLEFAMILY_GAL]:[OTHER_GAL]])</f>
        <v>299220.8</v>
      </c>
      <c r="W984">
        <f>SUM(POTABLE_NONPOTABLE_API[[#This Row],[NONPOTABLE_DEMAND_RESIDENTIAL_RECYCLED_WATER_GAL]:[NONPOTABLE_DEMAND_NONRESIDENTIAL_METERED_IRRIGATION_GAL]])</f>
        <v>0</v>
      </c>
      <c r="X984" t="str">
        <f>IFERROR(INDEX(Crosswalk_API!$H$2:$H$527, MATCH(POTABLE_NONPOTABLE_API[[#This Row],[PWSID]], CW_PWSID_LIST, 0)), "")</f>
        <v>No</v>
      </c>
    </row>
    <row r="985" spans="1:24" x14ac:dyDescent="0.25">
      <c r="A985" t="s">
        <v>983</v>
      </c>
      <c r="B985" t="s">
        <v>984</v>
      </c>
      <c r="C985" t="s">
        <v>985</v>
      </c>
      <c r="D985" t="s">
        <v>986</v>
      </c>
      <c r="E985" s="9">
        <v>45444</v>
      </c>
      <c r="F985" s="9">
        <v>45473</v>
      </c>
      <c r="G985">
        <v>513911.72399999999</v>
      </c>
      <c r="H985">
        <v>0</v>
      </c>
      <c r="I985">
        <v>0</v>
      </c>
      <c r="J985">
        <v>0</v>
      </c>
      <c r="K985">
        <v>0</v>
      </c>
      <c r="L985">
        <v>0</v>
      </c>
      <c r="M985">
        <v>0</v>
      </c>
      <c r="T985" s="9">
        <v>45108</v>
      </c>
      <c r="U985" s="9">
        <v>45473</v>
      </c>
      <c r="V985">
        <f>SUM(POTABLE_NONPOTABLE_API[[#This Row],[RESIDENTIAL_SINGLEFAMILY_GAL]:[OTHER_GAL]])</f>
        <v>513911.72399999999</v>
      </c>
      <c r="W985">
        <f>SUM(POTABLE_NONPOTABLE_API[[#This Row],[NONPOTABLE_DEMAND_RESIDENTIAL_RECYCLED_WATER_GAL]:[NONPOTABLE_DEMAND_NONRESIDENTIAL_METERED_IRRIGATION_GAL]])</f>
        <v>0</v>
      </c>
      <c r="X985" t="str">
        <f>IFERROR(INDEX(Crosswalk_API!$H$2:$H$527, MATCH(POTABLE_NONPOTABLE_API[[#This Row],[PWSID]], CW_PWSID_LIST, 0)), "")</f>
        <v>No</v>
      </c>
    </row>
    <row r="986" spans="1:24" x14ac:dyDescent="0.25">
      <c r="A986" t="s">
        <v>983</v>
      </c>
      <c r="B986" t="s">
        <v>984</v>
      </c>
      <c r="C986" t="s">
        <v>987</v>
      </c>
      <c r="D986" t="s">
        <v>988</v>
      </c>
      <c r="E986" s="9">
        <v>45108</v>
      </c>
      <c r="F986" s="9">
        <v>45138</v>
      </c>
      <c r="G986">
        <v>6732.4679999999998</v>
      </c>
      <c r="H986">
        <v>0</v>
      </c>
      <c r="I986">
        <v>0</v>
      </c>
      <c r="J986">
        <v>0</v>
      </c>
      <c r="K986">
        <v>0</v>
      </c>
      <c r="L986">
        <v>0</v>
      </c>
      <c r="M986">
        <v>0</v>
      </c>
      <c r="T986" s="9">
        <v>45108</v>
      </c>
      <c r="U986" s="9">
        <v>45473</v>
      </c>
      <c r="V986">
        <f>SUM(POTABLE_NONPOTABLE_API[[#This Row],[RESIDENTIAL_SINGLEFAMILY_GAL]:[OTHER_GAL]])</f>
        <v>6732.4679999999998</v>
      </c>
      <c r="W986">
        <f>SUM(POTABLE_NONPOTABLE_API[[#This Row],[NONPOTABLE_DEMAND_RESIDENTIAL_RECYCLED_WATER_GAL]:[NONPOTABLE_DEMAND_NONRESIDENTIAL_METERED_IRRIGATION_GAL]])</f>
        <v>0</v>
      </c>
      <c r="X986" t="str">
        <f>IFERROR(INDEX(Crosswalk_API!$H$2:$H$527, MATCH(POTABLE_NONPOTABLE_API[[#This Row],[PWSID]], CW_PWSID_LIST, 0)), "")</f>
        <v>No</v>
      </c>
    </row>
    <row r="987" spans="1:24" x14ac:dyDescent="0.25">
      <c r="A987" t="s">
        <v>983</v>
      </c>
      <c r="B987" t="s">
        <v>984</v>
      </c>
      <c r="C987" t="s">
        <v>987</v>
      </c>
      <c r="D987" t="s">
        <v>988</v>
      </c>
      <c r="E987" s="9">
        <v>45139</v>
      </c>
      <c r="F987" s="9">
        <v>45169</v>
      </c>
      <c r="G987">
        <v>1641226.088</v>
      </c>
      <c r="H987">
        <v>0</v>
      </c>
      <c r="I987">
        <v>0</v>
      </c>
      <c r="J987">
        <v>0</v>
      </c>
      <c r="K987">
        <v>0</v>
      </c>
      <c r="L987">
        <v>0</v>
      </c>
      <c r="M987">
        <v>0</v>
      </c>
      <c r="T987" s="9">
        <v>45108</v>
      </c>
      <c r="U987" s="9">
        <v>45473</v>
      </c>
      <c r="V987">
        <f>SUM(POTABLE_NONPOTABLE_API[[#This Row],[RESIDENTIAL_SINGLEFAMILY_GAL]:[OTHER_GAL]])</f>
        <v>1641226.088</v>
      </c>
      <c r="W987">
        <f>SUM(POTABLE_NONPOTABLE_API[[#This Row],[NONPOTABLE_DEMAND_RESIDENTIAL_RECYCLED_WATER_GAL]:[NONPOTABLE_DEMAND_NONRESIDENTIAL_METERED_IRRIGATION_GAL]])</f>
        <v>0</v>
      </c>
      <c r="X987" t="str">
        <f>IFERROR(INDEX(Crosswalk_API!$H$2:$H$527, MATCH(POTABLE_NONPOTABLE_API[[#This Row],[PWSID]], CW_PWSID_LIST, 0)), "")</f>
        <v>No</v>
      </c>
    </row>
    <row r="988" spans="1:24" x14ac:dyDescent="0.25">
      <c r="A988" t="s">
        <v>983</v>
      </c>
      <c r="B988" t="s">
        <v>984</v>
      </c>
      <c r="C988" t="s">
        <v>987</v>
      </c>
      <c r="D988" t="s">
        <v>988</v>
      </c>
      <c r="E988" s="9">
        <v>45170</v>
      </c>
      <c r="F988" s="9">
        <v>45199</v>
      </c>
      <c r="G988">
        <v>2244.1559999999999</v>
      </c>
      <c r="H988">
        <v>0</v>
      </c>
      <c r="I988">
        <v>0</v>
      </c>
      <c r="J988">
        <v>0</v>
      </c>
      <c r="K988">
        <v>0</v>
      </c>
      <c r="L988">
        <v>0</v>
      </c>
      <c r="M988">
        <v>0</v>
      </c>
      <c r="T988" s="9">
        <v>45108</v>
      </c>
      <c r="U988" s="9">
        <v>45473</v>
      </c>
      <c r="V988">
        <f>SUM(POTABLE_NONPOTABLE_API[[#This Row],[RESIDENTIAL_SINGLEFAMILY_GAL]:[OTHER_GAL]])</f>
        <v>2244.1559999999999</v>
      </c>
      <c r="W988">
        <f>SUM(POTABLE_NONPOTABLE_API[[#This Row],[NONPOTABLE_DEMAND_RESIDENTIAL_RECYCLED_WATER_GAL]:[NONPOTABLE_DEMAND_NONRESIDENTIAL_METERED_IRRIGATION_GAL]])</f>
        <v>0</v>
      </c>
      <c r="X988" t="str">
        <f>IFERROR(INDEX(Crosswalk_API!$H$2:$H$527, MATCH(POTABLE_NONPOTABLE_API[[#This Row],[PWSID]], CW_PWSID_LIST, 0)), "")</f>
        <v>No</v>
      </c>
    </row>
    <row r="989" spans="1:24" x14ac:dyDescent="0.25">
      <c r="A989" t="s">
        <v>983</v>
      </c>
      <c r="B989" t="s">
        <v>984</v>
      </c>
      <c r="C989" t="s">
        <v>987</v>
      </c>
      <c r="D989" t="s">
        <v>988</v>
      </c>
      <c r="E989" s="9">
        <v>45200</v>
      </c>
      <c r="F989" s="9">
        <v>45230</v>
      </c>
      <c r="G989">
        <v>1296374.1159999999</v>
      </c>
      <c r="H989">
        <v>0</v>
      </c>
      <c r="I989">
        <v>0</v>
      </c>
      <c r="J989">
        <v>0</v>
      </c>
      <c r="K989">
        <v>0</v>
      </c>
      <c r="L989">
        <v>0</v>
      </c>
      <c r="M989">
        <v>0</v>
      </c>
      <c r="T989" s="9">
        <v>45108</v>
      </c>
      <c r="U989" s="9">
        <v>45473</v>
      </c>
      <c r="V989">
        <f>SUM(POTABLE_NONPOTABLE_API[[#This Row],[RESIDENTIAL_SINGLEFAMILY_GAL]:[OTHER_GAL]])</f>
        <v>1296374.1159999999</v>
      </c>
      <c r="W989">
        <f>SUM(POTABLE_NONPOTABLE_API[[#This Row],[NONPOTABLE_DEMAND_RESIDENTIAL_RECYCLED_WATER_GAL]:[NONPOTABLE_DEMAND_NONRESIDENTIAL_METERED_IRRIGATION_GAL]])</f>
        <v>0</v>
      </c>
      <c r="X989" t="str">
        <f>IFERROR(INDEX(Crosswalk_API!$H$2:$H$527, MATCH(POTABLE_NONPOTABLE_API[[#This Row],[PWSID]], CW_PWSID_LIST, 0)), "")</f>
        <v>No</v>
      </c>
    </row>
    <row r="990" spans="1:24" x14ac:dyDescent="0.25">
      <c r="A990" t="s">
        <v>983</v>
      </c>
      <c r="B990" t="s">
        <v>984</v>
      </c>
      <c r="C990" t="s">
        <v>987</v>
      </c>
      <c r="D990" t="s">
        <v>988</v>
      </c>
      <c r="E990" s="9">
        <v>45231</v>
      </c>
      <c r="F990" s="9">
        <v>45260</v>
      </c>
      <c r="G990">
        <v>4488.3119999999999</v>
      </c>
      <c r="H990">
        <v>0</v>
      </c>
      <c r="I990">
        <v>0</v>
      </c>
      <c r="J990">
        <v>0</v>
      </c>
      <c r="K990">
        <v>0</v>
      </c>
      <c r="L990">
        <v>0</v>
      </c>
      <c r="M990">
        <v>0</v>
      </c>
      <c r="T990" s="9">
        <v>45108</v>
      </c>
      <c r="U990" s="9">
        <v>45473</v>
      </c>
      <c r="V990">
        <f>SUM(POTABLE_NONPOTABLE_API[[#This Row],[RESIDENTIAL_SINGLEFAMILY_GAL]:[OTHER_GAL]])</f>
        <v>4488.3119999999999</v>
      </c>
      <c r="W990">
        <f>SUM(POTABLE_NONPOTABLE_API[[#This Row],[NONPOTABLE_DEMAND_RESIDENTIAL_RECYCLED_WATER_GAL]:[NONPOTABLE_DEMAND_NONRESIDENTIAL_METERED_IRRIGATION_GAL]])</f>
        <v>0</v>
      </c>
      <c r="X990" t="str">
        <f>IFERROR(INDEX(Crosswalk_API!$H$2:$H$527, MATCH(POTABLE_NONPOTABLE_API[[#This Row],[PWSID]], CW_PWSID_LIST, 0)), "")</f>
        <v>No</v>
      </c>
    </row>
    <row r="991" spans="1:24" x14ac:dyDescent="0.25">
      <c r="A991" t="s">
        <v>983</v>
      </c>
      <c r="B991" t="s">
        <v>984</v>
      </c>
      <c r="C991" t="s">
        <v>987</v>
      </c>
      <c r="D991" t="s">
        <v>988</v>
      </c>
      <c r="E991" s="9">
        <v>45261</v>
      </c>
      <c r="F991" s="9">
        <v>45291</v>
      </c>
      <c r="G991">
        <v>998649.42</v>
      </c>
      <c r="H991">
        <v>0</v>
      </c>
      <c r="I991">
        <v>0</v>
      </c>
      <c r="J991">
        <v>0</v>
      </c>
      <c r="K991">
        <v>0</v>
      </c>
      <c r="L991">
        <v>0</v>
      </c>
      <c r="M991">
        <v>0</v>
      </c>
      <c r="T991" s="9">
        <v>45108</v>
      </c>
      <c r="U991" s="9">
        <v>45473</v>
      </c>
      <c r="V991">
        <f>SUM(POTABLE_NONPOTABLE_API[[#This Row],[RESIDENTIAL_SINGLEFAMILY_GAL]:[OTHER_GAL]])</f>
        <v>998649.42</v>
      </c>
      <c r="W991">
        <f>SUM(POTABLE_NONPOTABLE_API[[#This Row],[NONPOTABLE_DEMAND_RESIDENTIAL_RECYCLED_WATER_GAL]:[NONPOTABLE_DEMAND_NONRESIDENTIAL_METERED_IRRIGATION_GAL]])</f>
        <v>0</v>
      </c>
      <c r="X991" t="str">
        <f>IFERROR(INDEX(Crosswalk_API!$H$2:$H$527, MATCH(POTABLE_NONPOTABLE_API[[#This Row],[PWSID]], CW_PWSID_LIST, 0)), "")</f>
        <v>No</v>
      </c>
    </row>
    <row r="992" spans="1:24" x14ac:dyDescent="0.25">
      <c r="A992" t="s">
        <v>983</v>
      </c>
      <c r="B992" t="s">
        <v>984</v>
      </c>
      <c r="C992" t="s">
        <v>987</v>
      </c>
      <c r="D992" t="s">
        <v>988</v>
      </c>
      <c r="E992" s="9">
        <v>45292</v>
      </c>
      <c r="F992" s="9">
        <v>45322</v>
      </c>
      <c r="G992">
        <v>4488.3119999999999</v>
      </c>
      <c r="H992">
        <v>0</v>
      </c>
      <c r="I992">
        <v>0</v>
      </c>
      <c r="J992">
        <v>0</v>
      </c>
      <c r="K992">
        <v>0</v>
      </c>
      <c r="L992">
        <v>0</v>
      </c>
      <c r="M992">
        <v>0</v>
      </c>
      <c r="T992" s="9">
        <v>45108</v>
      </c>
      <c r="U992" s="9">
        <v>45473</v>
      </c>
      <c r="V992">
        <f>SUM(POTABLE_NONPOTABLE_API[[#This Row],[RESIDENTIAL_SINGLEFAMILY_GAL]:[OTHER_GAL]])</f>
        <v>4488.3119999999999</v>
      </c>
      <c r="W992">
        <f>SUM(POTABLE_NONPOTABLE_API[[#This Row],[NONPOTABLE_DEMAND_RESIDENTIAL_RECYCLED_WATER_GAL]:[NONPOTABLE_DEMAND_NONRESIDENTIAL_METERED_IRRIGATION_GAL]])</f>
        <v>0</v>
      </c>
      <c r="X992" t="str">
        <f>IFERROR(INDEX(Crosswalk_API!$H$2:$H$527, MATCH(POTABLE_NONPOTABLE_API[[#This Row],[PWSID]], CW_PWSID_LIST, 0)), "")</f>
        <v>No</v>
      </c>
    </row>
    <row r="993" spans="1:24" x14ac:dyDescent="0.25">
      <c r="A993" t="s">
        <v>983</v>
      </c>
      <c r="B993" t="s">
        <v>984</v>
      </c>
      <c r="C993" t="s">
        <v>987</v>
      </c>
      <c r="D993" t="s">
        <v>988</v>
      </c>
      <c r="E993" s="9">
        <v>45323</v>
      </c>
      <c r="F993" s="9">
        <v>45351</v>
      </c>
      <c r="G993">
        <v>1029319.552</v>
      </c>
      <c r="H993">
        <v>0</v>
      </c>
      <c r="I993">
        <v>0</v>
      </c>
      <c r="J993">
        <v>0</v>
      </c>
      <c r="K993">
        <v>0</v>
      </c>
      <c r="L993">
        <v>0</v>
      </c>
      <c r="M993">
        <v>0</v>
      </c>
      <c r="T993" s="9">
        <v>45108</v>
      </c>
      <c r="U993" s="9">
        <v>45473</v>
      </c>
      <c r="V993">
        <f>SUM(POTABLE_NONPOTABLE_API[[#This Row],[RESIDENTIAL_SINGLEFAMILY_GAL]:[OTHER_GAL]])</f>
        <v>1029319.552</v>
      </c>
      <c r="W993">
        <f>SUM(POTABLE_NONPOTABLE_API[[#This Row],[NONPOTABLE_DEMAND_RESIDENTIAL_RECYCLED_WATER_GAL]:[NONPOTABLE_DEMAND_NONRESIDENTIAL_METERED_IRRIGATION_GAL]])</f>
        <v>0</v>
      </c>
      <c r="X993" t="str">
        <f>IFERROR(INDEX(Crosswalk_API!$H$2:$H$527, MATCH(POTABLE_NONPOTABLE_API[[#This Row],[PWSID]], CW_PWSID_LIST, 0)), "")</f>
        <v>No</v>
      </c>
    </row>
    <row r="994" spans="1:24" x14ac:dyDescent="0.25">
      <c r="A994" t="s">
        <v>983</v>
      </c>
      <c r="B994" t="s">
        <v>984</v>
      </c>
      <c r="C994" t="s">
        <v>987</v>
      </c>
      <c r="D994" t="s">
        <v>988</v>
      </c>
      <c r="E994" s="9">
        <v>45352</v>
      </c>
      <c r="F994" s="9">
        <v>45382</v>
      </c>
      <c r="G994">
        <v>3740.26</v>
      </c>
      <c r="H994">
        <v>0</v>
      </c>
      <c r="I994">
        <v>0</v>
      </c>
      <c r="J994">
        <v>0</v>
      </c>
      <c r="K994">
        <v>0</v>
      </c>
      <c r="L994">
        <v>0</v>
      </c>
      <c r="M994">
        <v>0</v>
      </c>
      <c r="T994" s="9">
        <v>45108</v>
      </c>
      <c r="U994" s="9">
        <v>45473</v>
      </c>
      <c r="V994">
        <f>SUM(POTABLE_NONPOTABLE_API[[#This Row],[RESIDENTIAL_SINGLEFAMILY_GAL]:[OTHER_GAL]])</f>
        <v>3740.26</v>
      </c>
      <c r="W994">
        <f>SUM(POTABLE_NONPOTABLE_API[[#This Row],[NONPOTABLE_DEMAND_RESIDENTIAL_RECYCLED_WATER_GAL]:[NONPOTABLE_DEMAND_NONRESIDENTIAL_METERED_IRRIGATION_GAL]])</f>
        <v>0</v>
      </c>
      <c r="X994" t="str">
        <f>IFERROR(INDEX(Crosswalk_API!$H$2:$H$527, MATCH(POTABLE_NONPOTABLE_API[[#This Row],[PWSID]], CW_PWSID_LIST, 0)), "")</f>
        <v>No</v>
      </c>
    </row>
    <row r="995" spans="1:24" x14ac:dyDescent="0.25">
      <c r="A995" t="s">
        <v>983</v>
      </c>
      <c r="B995" t="s">
        <v>984</v>
      </c>
      <c r="C995" t="s">
        <v>987</v>
      </c>
      <c r="D995" t="s">
        <v>988</v>
      </c>
      <c r="E995" s="9">
        <v>45383</v>
      </c>
      <c r="F995" s="9">
        <v>45412</v>
      </c>
      <c r="G995">
        <v>979200.06799999997</v>
      </c>
      <c r="H995">
        <v>0</v>
      </c>
      <c r="I995">
        <v>0</v>
      </c>
      <c r="J995">
        <v>0</v>
      </c>
      <c r="K995">
        <v>0</v>
      </c>
      <c r="L995">
        <v>0</v>
      </c>
      <c r="M995">
        <v>0</v>
      </c>
      <c r="T995" s="9">
        <v>45108</v>
      </c>
      <c r="U995" s="9">
        <v>45473</v>
      </c>
      <c r="V995">
        <f>SUM(POTABLE_NONPOTABLE_API[[#This Row],[RESIDENTIAL_SINGLEFAMILY_GAL]:[OTHER_GAL]])</f>
        <v>979200.06799999997</v>
      </c>
      <c r="W995">
        <f>SUM(POTABLE_NONPOTABLE_API[[#This Row],[NONPOTABLE_DEMAND_RESIDENTIAL_RECYCLED_WATER_GAL]:[NONPOTABLE_DEMAND_NONRESIDENTIAL_METERED_IRRIGATION_GAL]])</f>
        <v>0</v>
      </c>
      <c r="X995" t="str">
        <f>IFERROR(INDEX(Crosswalk_API!$H$2:$H$527, MATCH(POTABLE_NONPOTABLE_API[[#This Row],[PWSID]], CW_PWSID_LIST, 0)), "")</f>
        <v>No</v>
      </c>
    </row>
    <row r="996" spans="1:24" x14ac:dyDescent="0.25">
      <c r="A996" t="s">
        <v>983</v>
      </c>
      <c r="B996" t="s">
        <v>984</v>
      </c>
      <c r="C996" t="s">
        <v>987</v>
      </c>
      <c r="D996" t="s">
        <v>988</v>
      </c>
      <c r="E996" s="9">
        <v>45413</v>
      </c>
      <c r="F996" s="9">
        <v>45443</v>
      </c>
      <c r="G996">
        <v>6732.4679999999998</v>
      </c>
      <c r="H996">
        <v>0</v>
      </c>
      <c r="I996">
        <v>0</v>
      </c>
      <c r="J996">
        <v>0</v>
      </c>
      <c r="K996">
        <v>0</v>
      </c>
      <c r="L996">
        <v>0</v>
      </c>
      <c r="M996">
        <v>0</v>
      </c>
      <c r="T996" s="9">
        <v>45108</v>
      </c>
      <c r="U996" s="9">
        <v>45473</v>
      </c>
      <c r="V996">
        <f>SUM(POTABLE_NONPOTABLE_API[[#This Row],[RESIDENTIAL_SINGLEFAMILY_GAL]:[OTHER_GAL]])</f>
        <v>6732.4679999999998</v>
      </c>
      <c r="W996">
        <f>SUM(POTABLE_NONPOTABLE_API[[#This Row],[NONPOTABLE_DEMAND_RESIDENTIAL_RECYCLED_WATER_GAL]:[NONPOTABLE_DEMAND_NONRESIDENTIAL_METERED_IRRIGATION_GAL]])</f>
        <v>0</v>
      </c>
      <c r="X996" t="str">
        <f>IFERROR(INDEX(Crosswalk_API!$H$2:$H$527, MATCH(POTABLE_NONPOTABLE_API[[#This Row],[PWSID]], CW_PWSID_LIST, 0)), "")</f>
        <v>No</v>
      </c>
    </row>
    <row r="997" spans="1:24" x14ac:dyDescent="0.25">
      <c r="A997" t="s">
        <v>983</v>
      </c>
      <c r="B997" t="s">
        <v>984</v>
      </c>
      <c r="C997" t="s">
        <v>987</v>
      </c>
      <c r="D997" t="s">
        <v>988</v>
      </c>
      <c r="E997" s="9">
        <v>45444</v>
      </c>
      <c r="F997" s="9">
        <v>45473</v>
      </c>
      <c r="G997">
        <v>1539491.0160000001</v>
      </c>
      <c r="H997">
        <v>0</v>
      </c>
      <c r="I997">
        <v>0</v>
      </c>
      <c r="J997">
        <v>0</v>
      </c>
      <c r="K997">
        <v>0</v>
      </c>
      <c r="L997">
        <v>0</v>
      </c>
      <c r="M997">
        <v>0</v>
      </c>
      <c r="T997" s="9">
        <v>45108</v>
      </c>
      <c r="U997" s="9">
        <v>45473</v>
      </c>
      <c r="V997">
        <f>SUM(POTABLE_NONPOTABLE_API[[#This Row],[RESIDENTIAL_SINGLEFAMILY_GAL]:[OTHER_GAL]])</f>
        <v>1539491.0160000001</v>
      </c>
      <c r="W997">
        <f>SUM(POTABLE_NONPOTABLE_API[[#This Row],[NONPOTABLE_DEMAND_RESIDENTIAL_RECYCLED_WATER_GAL]:[NONPOTABLE_DEMAND_NONRESIDENTIAL_METERED_IRRIGATION_GAL]])</f>
        <v>0</v>
      </c>
      <c r="X997" t="str">
        <f>IFERROR(INDEX(Crosswalk_API!$H$2:$H$527, MATCH(POTABLE_NONPOTABLE_API[[#This Row],[PWSID]], CW_PWSID_LIST, 0)), "")</f>
        <v>No</v>
      </c>
    </row>
    <row r="998" spans="1:24" x14ac:dyDescent="0.25">
      <c r="A998" t="s">
        <v>983</v>
      </c>
      <c r="B998" t="s">
        <v>984</v>
      </c>
      <c r="C998" t="s">
        <v>989</v>
      </c>
      <c r="D998" t="s">
        <v>990</v>
      </c>
      <c r="E998" s="9">
        <v>45108</v>
      </c>
      <c r="F998" s="9">
        <v>45138</v>
      </c>
      <c r="G998">
        <v>7451345.9720000001</v>
      </c>
      <c r="H998">
        <v>194493.52000000002</v>
      </c>
      <c r="I998">
        <v>2416207.96</v>
      </c>
      <c r="J998">
        <v>0</v>
      </c>
      <c r="K998">
        <v>0</v>
      </c>
      <c r="L998">
        <v>21693.508000000002</v>
      </c>
      <c r="M998">
        <v>0</v>
      </c>
      <c r="T998" s="9">
        <v>45108</v>
      </c>
      <c r="U998" s="9">
        <v>45473</v>
      </c>
      <c r="V998">
        <f>SUM(POTABLE_NONPOTABLE_API[[#This Row],[RESIDENTIAL_SINGLEFAMILY_GAL]:[OTHER_GAL]])</f>
        <v>10083740.959999999</v>
      </c>
      <c r="W998">
        <f>SUM(POTABLE_NONPOTABLE_API[[#This Row],[NONPOTABLE_DEMAND_RESIDENTIAL_RECYCLED_WATER_GAL]:[NONPOTABLE_DEMAND_NONRESIDENTIAL_METERED_IRRIGATION_GAL]])</f>
        <v>0</v>
      </c>
      <c r="X998" t="str">
        <f>IFERROR(INDEX(Crosswalk_API!$H$2:$H$527, MATCH(POTABLE_NONPOTABLE_API[[#This Row],[PWSID]], CW_PWSID_LIST, 0)), "")</f>
        <v>No</v>
      </c>
    </row>
    <row r="999" spans="1:24" x14ac:dyDescent="0.25">
      <c r="A999" t="s">
        <v>983</v>
      </c>
      <c r="B999" t="s">
        <v>984</v>
      </c>
      <c r="C999" t="s">
        <v>989</v>
      </c>
      <c r="D999" t="s">
        <v>990</v>
      </c>
      <c r="E999" s="9">
        <v>45139</v>
      </c>
      <c r="F999" s="9">
        <v>45169</v>
      </c>
      <c r="G999">
        <v>7767771.9680000003</v>
      </c>
      <c r="H999">
        <v>151106.50400000002</v>
      </c>
      <c r="I999">
        <v>2344394.9679999999</v>
      </c>
      <c r="J999">
        <v>0</v>
      </c>
      <c r="K999">
        <v>0</v>
      </c>
      <c r="L999">
        <v>26929.871999999999</v>
      </c>
      <c r="M999">
        <v>0</v>
      </c>
      <c r="T999" s="9">
        <v>45108</v>
      </c>
      <c r="U999" s="9">
        <v>45473</v>
      </c>
      <c r="V999">
        <f>SUM(POTABLE_NONPOTABLE_API[[#This Row],[RESIDENTIAL_SINGLEFAMILY_GAL]:[OTHER_GAL]])</f>
        <v>10290203.311999999</v>
      </c>
      <c r="W999">
        <f>SUM(POTABLE_NONPOTABLE_API[[#This Row],[NONPOTABLE_DEMAND_RESIDENTIAL_RECYCLED_WATER_GAL]:[NONPOTABLE_DEMAND_NONRESIDENTIAL_METERED_IRRIGATION_GAL]])</f>
        <v>0</v>
      </c>
      <c r="X999" t="str">
        <f>IFERROR(INDEX(Crosswalk_API!$H$2:$H$527, MATCH(POTABLE_NONPOTABLE_API[[#This Row],[PWSID]], CW_PWSID_LIST, 0)), "")</f>
        <v>No</v>
      </c>
    </row>
    <row r="1000" spans="1:24" x14ac:dyDescent="0.25">
      <c r="A1000" t="s">
        <v>983</v>
      </c>
      <c r="B1000" t="s">
        <v>984</v>
      </c>
      <c r="C1000" t="s">
        <v>989</v>
      </c>
      <c r="D1000" t="s">
        <v>990</v>
      </c>
      <c r="E1000" s="9">
        <v>45170</v>
      </c>
      <c r="F1000" s="9">
        <v>45199</v>
      </c>
      <c r="G1000">
        <v>7107242.0520000001</v>
      </c>
      <c r="H1000">
        <v>142129.88</v>
      </c>
      <c r="I1000">
        <v>2574794.9840000002</v>
      </c>
      <c r="J1000">
        <v>0</v>
      </c>
      <c r="K1000">
        <v>0</v>
      </c>
      <c r="L1000">
        <v>2244.1559999999999</v>
      </c>
      <c r="M1000">
        <v>0</v>
      </c>
      <c r="T1000" s="9">
        <v>45108</v>
      </c>
      <c r="U1000" s="9">
        <v>45473</v>
      </c>
      <c r="V1000">
        <f>SUM(POTABLE_NONPOTABLE_API[[#This Row],[RESIDENTIAL_SINGLEFAMILY_GAL]:[OTHER_GAL]])</f>
        <v>9826411.0720000006</v>
      </c>
      <c r="W1000">
        <f>SUM(POTABLE_NONPOTABLE_API[[#This Row],[NONPOTABLE_DEMAND_RESIDENTIAL_RECYCLED_WATER_GAL]:[NONPOTABLE_DEMAND_NONRESIDENTIAL_METERED_IRRIGATION_GAL]])</f>
        <v>0</v>
      </c>
      <c r="X1000" t="str">
        <f>IFERROR(INDEX(Crosswalk_API!$H$2:$H$527, MATCH(POTABLE_NONPOTABLE_API[[#This Row],[PWSID]], CW_PWSID_LIST, 0)), "")</f>
        <v>No</v>
      </c>
    </row>
    <row r="1001" spans="1:24" x14ac:dyDescent="0.25">
      <c r="A1001" t="s">
        <v>983</v>
      </c>
      <c r="B1001" t="s">
        <v>984</v>
      </c>
      <c r="C1001" t="s">
        <v>989</v>
      </c>
      <c r="D1001" t="s">
        <v>990</v>
      </c>
      <c r="E1001" s="9">
        <v>45200</v>
      </c>
      <c r="F1001" s="9">
        <v>45230</v>
      </c>
      <c r="G1001">
        <v>6026306.9120000005</v>
      </c>
      <c r="H1001">
        <v>86025.98</v>
      </c>
      <c r="I1001">
        <v>1912020.912</v>
      </c>
      <c r="J1001">
        <v>0</v>
      </c>
      <c r="K1001">
        <v>0</v>
      </c>
      <c r="L1001">
        <v>8976.6239999999998</v>
      </c>
      <c r="M1001">
        <v>0</v>
      </c>
      <c r="T1001" s="9">
        <v>45108</v>
      </c>
      <c r="U1001" s="9">
        <v>45473</v>
      </c>
      <c r="V1001">
        <f>SUM(POTABLE_NONPOTABLE_API[[#This Row],[RESIDENTIAL_SINGLEFAMILY_GAL]:[OTHER_GAL]])</f>
        <v>8033330.4280000012</v>
      </c>
      <c r="W1001">
        <f>SUM(POTABLE_NONPOTABLE_API[[#This Row],[NONPOTABLE_DEMAND_RESIDENTIAL_RECYCLED_WATER_GAL]:[NONPOTABLE_DEMAND_NONRESIDENTIAL_METERED_IRRIGATION_GAL]])</f>
        <v>0</v>
      </c>
      <c r="X1001" t="str">
        <f>IFERROR(INDEX(Crosswalk_API!$H$2:$H$527, MATCH(POTABLE_NONPOTABLE_API[[#This Row],[PWSID]], CW_PWSID_LIST, 0)), "")</f>
        <v>No</v>
      </c>
    </row>
    <row r="1002" spans="1:24" x14ac:dyDescent="0.25">
      <c r="A1002" t="s">
        <v>983</v>
      </c>
      <c r="B1002" t="s">
        <v>984</v>
      </c>
      <c r="C1002" t="s">
        <v>989</v>
      </c>
      <c r="D1002" t="s">
        <v>990</v>
      </c>
      <c r="E1002" s="9">
        <v>45231</v>
      </c>
      <c r="F1002" s="9">
        <v>45260</v>
      </c>
      <c r="G1002">
        <v>5080769.1840000004</v>
      </c>
      <c r="H1002">
        <v>74057.148000000001</v>
      </c>
      <c r="I1002">
        <v>1526026.08</v>
      </c>
      <c r="J1002">
        <v>0</v>
      </c>
      <c r="K1002">
        <v>0</v>
      </c>
      <c r="L1002">
        <v>63584.42</v>
      </c>
      <c r="M1002">
        <v>0</v>
      </c>
      <c r="T1002" s="9">
        <v>45108</v>
      </c>
      <c r="U1002" s="9">
        <v>45473</v>
      </c>
      <c r="V1002">
        <f>SUM(POTABLE_NONPOTABLE_API[[#This Row],[RESIDENTIAL_SINGLEFAMILY_GAL]:[OTHER_GAL]])</f>
        <v>6744436.8320000004</v>
      </c>
      <c r="W1002">
        <f>SUM(POTABLE_NONPOTABLE_API[[#This Row],[NONPOTABLE_DEMAND_RESIDENTIAL_RECYCLED_WATER_GAL]:[NONPOTABLE_DEMAND_NONRESIDENTIAL_METERED_IRRIGATION_GAL]])</f>
        <v>0</v>
      </c>
      <c r="X1002" t="str">
        <f>IFERROR(INDEX(Crosswalk_API!$H$2:$H$527, MATCH(POTABLE_NONPOTABLE_API[[#This Row],[PWSID]], CW_PWSID_LIST, 0)), "")</f>
        <v>No</v>
      </c>
    </row>
    <row r="1003" spans="1:24" x14ac:dyDescent="0.25">
      <c r="A1003" t="s">
        <v>983</v>
      </c>
      <c r="B1003" t="s">
        <v>984</v>
      </c>
      <c r="C1003" t="s">
        <v>989</v>
      </c>
      <c r="D1003" t="s">
        <v>990</v>
      </c>
      <c r="E1003" s="9">
        <v>45261</v>
      </c>
      <c r="F1003" s="9">
        <v>45291</v>
      </c>
      <c r="G1003">
        <v>4845132.8040000005</v>
      </c>
      <c r="H1003">
        <v>81537.668000000005</v>
      </c>
      <c r="I1003">
        <v>1457953.348</v>
      </c>
      <c r="J1003">
        <v>0</v>
      </c>
      <c r="K1003">
        <v>0</v>
      </c>
      <c r="L1003">
        <v>0</v>
      </c>
      <c r="M1003">
        <v>0</v>
      </c>
      <c r="T1003" s="9">
        <v>45108</v>
      </c>
      <c r="U1003" s="9">
        <v>45473</v>
      </c>
      <c r="V1003">
        <f>SUM(POTABLE_NONPOTABLE_API[[#This Row],[RESIDENTIAL_SINGLEFAMILY_GAL]:[OTHER_GAL]])</f>
        <v>6384623.8200000003</v>
      </c>
      <c r="W1003">
        <f>SUM(POTABLE_NONPOTABLE_API[[#This Row],[NONPOTABLE_DEMAND_RESIDENTIAL_RECYCLED_WATER_GAL]:[NONPOTABLE_DEMAND_NONRESIDENTIAL_METERED_IRRIGATION_GAL]])</f>
        <v>0</v>
      </c>
      <c r="X1003" t="str">
        <f>IFERROR(INDEX(Crosswalk_API!$H$2:$H$527, MATCH(POTABLE_NONPOTABLE_API[[#This Row],[PWSID]], CW_PWSID_LIST, 0)), "")</f>
        <v>No</v>
      </c>
    </row>
    <row r="1004" spans="1:24" x14ac:dyDescent="0.25">
      <c r="A1004" t="s">
        <v>983</v>
      </c>
      <c r="B1004" t="s">
        <v>984</v>
      </c>
      <c r="C1004" t="s">
        <v>989</v>
      </c>
      <c r="D1004" t="s">
        <v>990</v>
      </c>
      <c r="E1004" s="9">
        <v>45292</v>
      </c>
      <c r="F1004" s="9">
        <v>45322</v>
      </c>
      <c r="G1004">
        <v>4302795.1040000003</v>
      </c>
      <c r="H1004">
        <v>97994.812000000005</v>
      </c>
      <c r="I1004">
        <v>1283657.2320000001</v>
      </c>
      <c r="J1004">
        <v>0</v>
      </c>
      <c r="K1004">
        <v>0</v>
      </c>
      <c r="L1004">
        <v>15709.092000000001</v>
      </c>
      <c r="M1004">
        <v>0</v>
      </c>
      <c r="T1004" s="9">
        <v>45108</v>
      </c>
      <c r="U1004" s="9">
        <v>45473</v>
      </c>
      <c r="V1004">
        <f>SUM(POTABLE_NONPOTABLE_API[[#This Row],[RESIDENTIAL_SINGLEFAMILY_GAL]:[OTHER_GAL]])</f>
        <v>5700156.2400000002</v>
      </c>
      <c r="W1004">
        <f>SUM(POTABLE_NONPOTABLE_API[[#This Row],[NONPOTABLE_DEMAND_RESIDENTIAL_RECYCLED_WATER_GAL]:[NONPOTABLE_DEMAND_NONRESIDENTIAL_METERED_IRRIGATION_GAL]])</f>
        <v>0</v>
      </c>
      <c r="X1004" t="str">
        <f>IFERROR(INDEX(Crosswalk_API!$H$2:$H$527, MATCH(POTABLE_NONPOTABLE_API[[#This Row],[PWSID]], CW_PWSID_LIST, 0)), "")</f>
        <v>No</v>
      </c>
    </row>
    <row r="1005" spans="1:24" x14ac:dyDescent="0.25">
      <c r="A1005" t="s">
        <v>983</v>
      </c>
      <c r="B1005" t="s">
        <v>984</v>
      </c>
      <c r="C1005" t="s">
        <v>989</v>
      </c>
      <c r="D1005" t="s">
        <v>990</v>
      </c>
      <c r="E1005" s="9">
        <v>45323</v>
      </c>
      <c r="F1005" s="9">
        <v>45351</v>
      </c>
      <c r="G1005">
        <v>3912311.96</v>
      </c>
      <c r="H1005">
        <v>74057.148000000001</v>
      </c>
      <c r="I1005">
        <v>1065226.048</v>
      </c>
      <c r="J1005">
        <v>0</v>
      </c>
      <c r="K1005">
        <v>0</v>
      </c>
      <c r="L1005">
        <v>4488.3119999999999</v>
      </c>
      <c r="M1005">
        <v>0</v>
      </c>
      <c r="T1005" s="9">
        <v>45108</v>
      </c>
      <c r="U1005" s="9">
        <v>45473</v>
      </c>
      <c r="V1005">
        <f>SUM(POTABLE_NONPOTABLE_API[[#This Row],[RESIDENTIAL_SINGLEFAMILY_GAL]:[OTHER_GAL]])</f>
        <v>5056083.4679999994</v>
      </c>
      <c r="W1005">
        <f>SUM(POTABLE_NONPOTABLE_API[[#This Row],[NONPOTABLE_DEMAND_RESIDENTIAL_RECYCLED_WATER_GAL]:[NONPOTABLE_DEMAND_NONRESIDENTIAL_METERED_IRRIGATION_GAL]])</f>
        <v>0</v>
      </c>
      <c r="X1005" t="str">
        <f>IFERROR(INDEX(Crosswalk_API!$H$2:$H$527, MATCH(POTABLE_NONPOTABLE_API[[#This Row],[PWSID]], CW_PWSID_LIST, 0)), "")</f>
        <v>No</v>
      </c>
    </row>
    <row r="1006" spans="1:24" x14ac:dyDescent="0.25">
      <c r="A1006" t="s">
        <v>983</v>
      </c>
      <c r="B1006" t="s">
        <v>984</v>
      </c>
      <c r="C1006" t="s">
        <v>989</v>
      </c>
      <c r="D1006" t="s">
        <v>990</v>
      </c>
      <c r="E1006" s="9">
        <v>45352</v>
      </c>
      <c r="F1006" s="9">
        <v>45382</v>
      </c>
      <c r="G1006">
        <v>3836758.7080000001</v>
      </c>
      <c r="H1006">
        <v>78545.460000000006</v>
      </c>
      <c r="I1006">
        <v>1052509.1640000001</v>
      </c>
      <c r="J1006">
        <v>0</v>
      </c>
      <c r="K1006">
        <v>0</v>
      </c>
      <c r="L1006">
        <v>0</v>
      </c>
      <c r="M1006">
        <v>0</v>
      </c>
      <c r="T1006" s="9">
        <v>45108</v>
      </c>
      <c r="U1006" s="9">
        <v>45473</v>
      </c>
      <c r="V1006">
        <f>SUM(POTABLE_NONPOTABLE_API[[#This Row],[RESIDENTIAL_SINGLEFAMILY_GAL]:[OTHER_GAL]])</f>
        <v>4967813.3320000004</v>
      </c>
      <c r="W1006">
        <f>SUM(POTABLE_NONPOTABLE_API[[#This Row],[NONPOTABLE_DEMAND_RESIDENTIAL_RECYCLED_WATER_GAL]:[NONPOTABLE_DEMAND_NONRESIDENTIAL_METERED_IRRIGATION_GAL]])</f>
        <v>0</v>
      </c>
      <c r="X1006" t="str">
        <f>IFERROR(INDEX(Crosswalk_API!$H$2:$H$527, MATCH(POTABLE_NONPOTABLE_API[[#This Row],[PWSID]], CW_PWSID_LIST, 0)), "")</f>
        <v>No</v>
      </c>
    </row>
    <row r="1007" spans="1:24" x14ac:dyDescent="0.25">
      <c r="A1007" t="s">
        <v>983</v>
      </c>
      <c r="B1007" t="s">
        <v>984</v>
      </c>
      <c r="C1007" t="s">
        <v>989</v>
      </c>
      <c r="D1007" t="s">
        <v>990</v>
      </c>
      <c r="E1007" s="9">
        <v>45383</v>
      </c>
      <c r="F1007" s="9">
        <v>45412</v>
      </c>
      <c r="G1007">
        <v>3925776.8960000002</v>
      </c>
      <c r="H1007">
        <v>71812.991999999998</v>
      </c>
      <c r="I1007">
        <v>1132550.7280000001</v>
      </c>
      <c r="J1007">
        <v>0</v>
      </c>
      <c r="K1007">
        <v>0</v>
      </c>
      <c r="L1007">
        <v>0</v>
      </c>
      <c r="M1007">
        <v>0</v>
      </c>
      <c r="T1007" s="9">
        <v>45108</v>
      </c>
      <c r="U1007" s="9">
        <v>45473</v>
      </c>
      <c r="V1007">
        <f>SUM(POTABLE_NONPOTABLE_API[[#This Row],[RESIDENTIAL_SINGLEFAMILY_GAL]:[OTHER_GAL]])</f>
        <v>5130140.6160000004</v>
      </c>
      <c r="W1007">
        <f>SUM(POTABLE_NONPOTABLE_API[[#This Row],[NONPOTABLE_DEMAND_RESIDENTIAL_RECYCLED_WATER_GAL]:[NONPOTABLE_DEMAND_NONRESIDENTIAL_METERED_IRRIGATION_GAL]])</f>
        <v>0</v>
      </c>
      <c r="X1007" t="str">
        <f>IFERROR(INDEX(Crosswalk_API!$H$2:$H$527, MATCH(POTABLE_NONPOTABLE_API[[#This Row],[PWSID]], CW_PWSID_LIST, 0)), "")</f>
        <v>No</v>
      </c>
    </row>
    <row r="1008" spans="1:24" x14ac:dyDescent="0.25">
      <c r="A1008" t="s">
        <v>983</v>
      </c>
      <c r="B1008" t="s">
        <v>984</v>
      </c>
      <c r="C1008" t="s">
        <v>989</v>
      </c>
      <c r="D1008" t="s">
        <v>990</v>
      </c>
      <c r="E1008" s="9">
        <v>45413</v>
      </c>
      <c r="F1008" s="9">
        <v>45443</v>
      </c>
      <c r="G1008">
        <v>4848125.0120000001</v>
      </c>
      <c r="H1008">
        <v>78545.460000000006</v>
      </c>
      <c r="I1008">
        <v>1445236.4640000002</v>
      </c>
      <c r="J1008">
        <v>0</v>
      </c>
      <c r="K1008">
        <v>0</v>
      </c>
      <c r="L1008">
        <v>0</v>
      </c>
      <c r="M1008">
        <v>0</v>
      </c>
      <c r="T1008" s="9">
        <v>45108</v>
      </c>
      <c r="U1008" s="9">
        <v>45473</v>
      </c>
      <c r="V1008">
        <f>SUM(POTABLE_NONPOTABLE_API[[#This Row],[RESIDENTIAL_SINGLEFAMILY_GAL]:[OTHER_GAL]])</f>
        <v>6371906.9360000007</v>
      </c>
      <c r="W1008">
        <f>SUM(POTABLE_NONPOTABLE_API[[#This Row],[NONPOTABLE_DEMAND_RESIDENTIAL_RECYCLED_WATER_GAL]:[NONPOTABLE_DEMAND_NONRESIDENTIAL_METERED_IRRIGATION_GAL]])</f>
        <v>0</v>
      </c>
      <c r="X1008" t="str">
        <f>IFERROR(INDEX(Crosswalk_API!$H$2:$H$527, MATCH(POTABLE_NONPOTABLE_API[[#This Row],[PWSID]], CW_PWSID_LIST, 0)), "")</f>
        <v>No</v>
      </c>
    </row>
    <row r="1009" spans="1:24" x14ac:dyDescent="0.25">
      <c r="A1009" t="s">
        <v>983</v>
      </c>
      <c r="B1009" t="s">
        <v>984</v>
      </c>
      <c r="C1009" t="s">
        <v>989</v>
      </c>
      <c r="D1009" t="s">
        <v>990</v>
      </c>
      <c r="E1009" s="9">
        <v>45444</v>
      </c>
      <c r="F1009" s="9">
        <v>45473</v>
      </c>
      <c r="G1009">
        <v>6226036.7960000001</v>
      </c>
      <c r="H1009">
        <v>124176.632</v>
      </c>
      <c r="I1009">
        <v>1983085.852</v>
      </c>
      <c r="J1009">
        <v>0</v>
      </c>
      <c r="K1009">
        <v>0</v>
      </c>
      <c r="L1009">
        <v>6732.4679999999998</v>
      </c>
      <c r="M1009">
        <v>0</v>
      </c>
      <c r="T1009" s="9">
        <v>45108</v>
      </c>
      <c r="U1009" s="9">
        <v>45473</v>
      </c>
      <c r="V1009">
        <f>SUM(POTABLE_NONPOTABLE_API[[#This Row],[RESIDENTIAL_SINGLEFAMILY_GAL]:[OTHER_GAL]])</f>
        <v>8340031.7480000006</v>
      </c>
      <c r="W1009">
        <f>SUM(POTABLE_NONPOTABLE_API[[#This Row],[NONPOTABLE_DEMAND_RESIDENTIAL_RECYCLED_WATER_GAL]:[NONPOTABLE_DEMAND_NONRESIDENTIAL_METERED_IRRIGATION_GAL]])</f>
        <v>0</v>
      </c>
      <c r="X1009" t="str">
        <f>IFERROR(INDEX(Crosswalk_API!$H$2:$H$527, MATCH(POTABLE_NONPOTABLE_API[[#This Row],[PWSID]], CW_PWSID_LIST, 0)), "")</f>
        <v>No</v>
      </c>
    </row>
    <row r="1010" spans="1:24" x14ac:dyDescent="0.25">
      <c r="A1010" t="s">
        <v>983</v>
      </c>
      <c r="B1010" t="s">
        <v>984</v>
      </c>
      <c r="C1010" t="s">
        <v>991</v>
      </c>
      <c r="D1010" t="s">
        <v>992</v>
      </c>
      <c r="E1010" s="9">
        <v>45108</v>
      </c>
      <c r="F1010" s="9">
        <v>45138</v>
      </c>
      <c r="G1010">
        <v>5452551.0279999999</v>
      </c>
      <c r="H1010">
        <v>0</v>
      </c>
      <c r="I1010">
        <v>233392.22400000002</v>
      </c>
      <c r="J1010">
        <v>0</v>
      </c>
      <c r="K1010">
        <v>0</v>
      </c>
      <c r="L1010">
        <v>74805.2</v>
      </c>
      <c r="M1010">
        <v>0</v>
      </c>
      <c r="T1010" s="9">
        <v>45108</v>
      </c>
      <c r="U1010" s="9">
        <v>45473</v>
      </c>
      <c r="V1010">
        <f>SUM(POTABLE_NONPOTABLE_API[[#This Row],[RESIDENTIAL_SINGLEFAMILY_GAL]:[OTHER_GAL]])</f>
        <v>5760748.4520000005</v>
      </c>
      <c r="W1010">
        <f>SUM(POTABLE_NONPOTABLE_API[[#This Row],[NONPOTABLE_DEMAND_RESIDENTIAL_RECYCLED_WATER_GAL]:[NONPOTABLE_DEMAND_NONRESIDENTIAL_METERED_IRRIGATION_GAL]])</f>
        <v>0</v>
      </c>
      <c r="X1010" t="str">
        <f>IFERROR(INDEX(Crosswalk_API!$H$2:$H$527, MATCH(POTABLE_NONPOTABLE_API[[#This Row],[PWSID]], CW_PWSID_LIST, 0)), "")</f>
        <v>No</v>
      </c>
    </row>
    <row r="1011" spans="1:24" x14ac:dyDescent="0.25">
      <c r="A1011" t="s">
        <v>983</v>
      </c>
      <c r="B1011" t="s">
        <v>984</v>
      </c>
      <c r="C1011" t="s">
        <v>991</v>
      </c>
      <c r="D1011" t="s">
        <v>992</v>
      </c>
      <c r="E1011" s="9">
        <v>45139</v>
      </c>
      <c r="F1011" s="9">
        <v>45169</v>
      </c>
      <c r="G1011">
        <v>2060883.26</v>
      </c>
      <c r="H1011">
        <v>0</v>
      </c>
      <c r="I1011">
        <v>0</v>
      </c>
      <c r="J1011">
        <v>0</v>
      </c>
      <c r="K1011">
        <v>0</v>
      </c>
      <c r="L1011">
        <v>156342.86800000002</v>
      </c>
      <c r="M1011">
        <v>0</v>
      </c>
      <c r="T1011" s="9">
        <v>45108</v>
      </c>
      <c r="U1011" s="9">
        <v>45473</v>
      </c>
      <c r="V1011">
        <f>SUM(POTABLE_NONPOTABLE_API[[#This Row],[RESIDENTIAL_SINGLEFAMILY_GAL]:[OTHER_GAL]])</f>
        <v>2217226.128</v>
      </c>
      <c r="W1011">
        <f>SUM(POTABLE_NONPOTABLE_API[[#This Row],[NONPOTABLE_DEMAND_RESIDENTIAL_RECYCLED_WATER_GAL]:[NONPOTABLE_DEMAND_NONRESIDENTIAL_METERED_IRRIGATION_GAL]])</f>
        <v>0</v>
      </c>
      <c r="X1011" t="str">
        <f>IFERROR(INDEX(Crosswalk_API!$H$2:$H$527, MATCH(POTABLE_NONPOTABLE_API[[#This Row],[PWSID]], CW_PWSID_LIST, 0)), "")</f>
        <v>No</v>
      </c>
    </row>
    <row r="1012" spans="1:24" x14ac:dyDescent="0.25">
      <c r="A1012" t="s">
        <v>983</v>
      </c>
      <c r="B1012" t="s">
        <v>984</v>
      </c>
      <c r="C1012" t="s">
        <v>991</v>
      </c>
      <c r="D1012" t="s">
        <v>992</v>
      </c>
      <c r="E1012" s="9">
        <v>45170</v>
      </c>
      <c r="F1012" s="9">
        <v>45199</v>
      </c>
      <c r="G1012">
        <v>4614732.7879999997</v>
      </c>
      <c r="H1012">
        <v>0</v>
      </c>
      <c r="I1012">
        <v>174296.11600000001</v>
      </c>
      <c r="J1012">
        <v>0</v>
      </c>
      <c r="K1012">
        <v>0</v>
      </c>
      <c r="L1012">
        <v>0</v>
      </c>
      <c r="M1012">
        <v>0</v>
      </c>
      <c r="T1012" s="9">
        <v>45108</v>
      </c>
      <c r="U1012" s="9">
        <v>45473</v>
      </c>
      <c r="V1012">
        <f>SUM(POTABLE_NONPOTABLE_API[[#This Row],[RESIDENTIAL_SINGLEFAMILY_GAL]:[OTHER_GAL]])</f>
        <v>4789028.9040000001</v>
      </c>
      <c r="W1012">
        <f>SUM(POTABLE_NONPOTABLE_API[[#This Row],[NONPOTABLE_DEMAND_RESIDENTIAL_RECYCLED_WATER_GAL]:[NONPOTABLE_DEMAND_NONRESIDENTIAL_METERED_IRRIGATION_GAL]])</f>
        <v>0</v>
      </c>
      <c r="X1012" t="str">
        <f>IFERROR(INDEX(Crosswalk_API!$H$2:$H$527, MATCH(POTABLE_NONPOTABLE_API[[#This Row],[PWSID]], CW_PWSID_LIST, 0)), "")</f>
        <v>No</v>
      </c>
    </row>
    <row r="1013" spans="1:24" x14ac:dyDescent="0.25">
      <c r="A1013" t="s">
        <v>983</v>
      </c>
      <c r="B1013" t="s">
        <v>984</v>
      </c>
      <c r="C1013" t="s">
        <v>991</v>
      </c>
      <c r="D1013" t="s">
        <v>992</v>
      </c>
      <c r="E1013" s="9">
        <v>45200</v>
      </c>
      <c r="F1013" s="9">
        <v>45230</v>
      </c>
      <c r="G1013">
        <v>1621776.736</v>
      </c>
      <c r="H1013">
        <v>0</v>
      </c>
      <c r="I1013">
        <v>2244.1559999999999</v>
      </c>
      <c r="J1013">
        <v>0</v>
      </c>
      <c r="K1013">
        <v>0</v>
      </c>
      <c r="L1013">
        <v>140633.77600000001</v>
      </c>
      <c r="M1013">
        <v>0</v>
      </c>
      <c r="T1013" s="9">
        <v>45108</v>
      </c>
      <c r="U1013" s="9">
        <v>45473</v>
      </c>
      <c r="V1013">
        <f>SUM(POTABLE_NONPOTABLE_API[[#This Row],[RESIDENTIAL_SINGLEFAMILY_GAL]:[OTHER_GAL]])</f>
        <v>1764654.6680000001</v>
      </c>
      <c r="W1013">
        <f>SUM(POTABLE_NONPOTABLE_API[[#This Row],[NONPOTABLE_DEMAND_RESIDENTIAL_RECYCLED_WATER_GAL]:[NONPOTABLE_DEMAND_NONRESIDENTIAL_METERED_IRRIGATION_GAL]])</f>
        <v>0</v>
      </c>
      <c r="X1013" t="str">
        <f>IFERROR(INDEX(Crosswalk_API!$H$2:$H$527, MATCH(POTABLE_NONPOTABLE_API[[#This Row],[PWSID]], CW_PWSID_LIST, 0)), "")</f>
        <v>No</v>
      </c>
    </row>
    <row r="1014" spans="1:24" x14ac:dyDescent="0.25">
      <c r="A1014" t="s">
        <v>983</v>
      </c>
      <c r="B1014" t="s">
        <v>984</v>
      </c>
      <c r="C1014" t="s">
        <v>991</v>
      </c>
      <c r="D1014" t="s">
        <v>992</v>
      </c>
      <c r="E1014" s="9">
        <v>45231</v>
      </c>
      <c r="F1014" s="9">
        <v>45260</v>
      </c>
      <c r="G1014">
        <v>3776914.548</v>
      </c>
      <c r="H1014">
        <v>0</v>
      </c>
      <c r="I1014">
        <v>156342.86800000002</v>
      </c>
      <c r="J1014">
        <v>0</v>
      </c>
      <c r="K1014">
        <v>0</v>
      </c>
      <c r="L1014">
        <v>84529.876000000004</v>
      </c>
      <c r="M1014">
        <v>0</v>
      </c>
      <c r="T1014" s="9">
        <v>45108</v>
      </c>
      <c r="U1014" s="9">
        <v>45473</v>
      </c>
      <c r="V1014">
        <f>SUM(POTABLE_NONPOTABLE_API[[#This Row],[RESIDENTIAL_SINGLEFAMILY_GAL]:[OTHER_GAL]])</f>
        <v>4017787.2920000004</v>
      </c>
      <c r="W1014">
        <f>SUM(POTABLE_NONPOTABLE_API[[#This Row],[NONPOTABLE_DEMAND_RESIDENTIAL_RECYCLED_WATER_GAL]:[NONPOTABLE_DEMAND_NONRESIDENTIAL_METERED_IRRIGATION_GAL]])</f>
        <v>0</v>
      </c>
      <c r="X1014" t="str">
        <f>IFERROR(INDEX(Crosswalk_API!$H$2:$H$527, MATCH(POTABLE_NONPOTABLE_API[[#This Row],[PWSID]], CW_PWSID_LIST, 0)), "")</f>
        <v>No</v>
      </c>
    </row>
    <row r="1015" spans="1:24" x14ac:dyDescent="0.25">
      <c r="A1015" t="s">
        <v>983</v>
      </c>
      <c r="B1015" t="s">
        <v>984</v>
      </c>
      <c r="C1015" t="s">
        <v>991</v>
      </c>
      <c r="D1015" t="s">
        <v>992</v>
      </c>
      <c r="E1015" s="9">
        <v>45261</v>
      </c>
      <c r="F1015" s="9">
        <v>45291</v>
      </c>
      <c r="G1015">
        <v>1366691.004</v>
      </c>
      <c r="H1015">
        <v>0</v>
      </c>
      <c r="I1015">
        <v>0</v>
      </c>
      <c r="J1015">
        <v>0</v>
      </c>
      <c r="K1015">
        <v>0</v>
      </c>
      <c r="L1015">
        <v>79293.512000000002</v>
      </c>
      <c r="M1015">
        <v>0</v>
      </c>
      <c r="T1015" s="9">
        <v>45108</v>
      </c>
      <c r="U1015" s="9">
        <v>45473</v>
      </c>
      <c r="V1015">
        <f>SUM(POTABLE_NONPOTABLE_API[[#This Row],[RESIDENTIAL_SINGLEFAMILY_GAL]:[OTHER_GAL]])</f>
        <v>1445984.5160000001</v>
      </c>
      <c r="W1015">
        <f>SUM(POTABLE_NONPOTABLE_API[[#This Row],[NONPOTABLE_DEMAND_RESIDENTIAL_RECYCLED_WATER_GAL]:[NONPOTABLE_DEMAND_NONRESIDENTIAL_METERED_IRRIGATION_GAL]])</f>
        <v>0</v>
      </c>
      <c r="X1015" t="str">
        <f>IFERROR(INDEX(Crosswalk_API!$H$2:$H$527, MATCH(POTABLE_NONPOTABLE_API[[#This Row],[PWSID]], CW_PWSID_LIST, 0)), "")</f>
        <v>No</v>
      </c>
    </row>
    <row r="1016" spans="1:24" x14ac:dyDescent="0.25">
      <c r="A1016" t="s">
        <v>983</v>
      </c>
      <c r="B1016" t="s">
        <v>984</v>
      </c>
      <c r="C1016" t="s">
        <v>991</v>
      </c>
      <c r="D1016" t="s">
        <v>992</v>
      </c>
      <c r="E1016" s="9">
        <v>45292</v>
      </c>
      <c r="F1016" s="9">
        <v>45322</v>
      </c>
      <c r="G1016">
        <v>3681911.9440000001</v>
      </c>
      <c r="H1016">
        <v>0</v>
      </c>
      <c r="I1016">
        <v>124176.632</v>
      </c>
      <c r="J1016">
        <v>0</v>
      </c>
      <c r="K1016">
        <v>0</v>
      </c>
      <c r="L1016">
        <v>46379.224000000002</v>
      </c>
      <c r="M1016">
        <v>0</v>
      </c>
      <c r="T1016" s="9">
        <v>45108</v>
      </c>
      <c r="U1016" s="9">
        <v>45473</v>
      </c>
      <c r="V1016">
        <f>SUM(POTABLE_NONPOTABLE_API[[#This Row],[RESIDENTIAL_SINGLEFAMILY_GAL]:[OTHER_GAL]])</f>
        <v>3852467.8000000003</v>
      </c>
      <c r="W1016">
        <f>SUM(POTABLE_NONPOTABLE_API[[#This Row],[NONPOTABLE_DEMAND_RESIDENTIAL_RECYCLED_WATER_GAL]:[NONPOTABLE_DEMAND_NONRESIDENTIAL_METERED_IRRIGATION_GAL]])</f>
        <v>0</v>
      </c>
      <c r="X1016" t="str">
        <f>IFERROR(INDEX(Crosswalk_API!$H$2:$H$527, MATCH(POTABLE_NONPOTABLE_API[[#This Row],[PWSID]], CW_PWSID_LIST, 0)), "")</f>
        <v>No</v>
      </c>
    </row>
    <row r="1017" spans="1:24" x14ac:dyDescent="0.25">
      <c r="A1017" t="s">
        <v>983</v>
      </c>
      <c r="B1017" t="s">
        <v>984</v>
      </c>
      <c r="C1017" t="s">
        <v>991</v>
      </c>
      <c r="D1017" t="s">
        <v>992</v>
      </c>
      <c r="E1017" s="9">
        <v>45323</v>
      </c>
      <c r="F1017" s="9">
        <v>45351</v>
      </c>
      <c r="G1017">
        <v>1134046.8319999999</v>
      </c>
      <c r="H1017">
        <v>0</v>
      </c>
      <c r="I1017">
        <v>0</v>
      </c>
      <c r="J1017">
        <v>0</v>
      </c>
      <c r="K1017">
        <v>0</v>
      </c>
      <c r="L1017">
        <v>46379.224000000002</v>
      </c>
      <c r="M1017">
        <v>0</v>
      </c>
      <c r="T1017" s="9">
        <v>45108</v>
      </c>
      <c r="U1017" s="9">
        <v>45473</v>
      </c>
      <c r="V1017">
        <f>SUM(POTABLE_NONPOTABLE_API[[#This Row],[RESIDENTIAL_SINGLEFAMILY_GAL]:[OTHER_GAL]])</f>
        <v>1180426.0559999999</v>
      </c>
      <c r="W1017">
        <f>SUM(POTABLE_NONPOTABLE_API[[#This Row],[NONPOTABLE_DEMAND_RESIDENTIAL_RECYCLED_WATER_GAL]:[NONPOTABLE_DEMAND_NONRESIDENTIAL_METERED_IRRIGATION_GAL]])</f>
        <v>0</v>
      </c>
      <c r="X1017" t="str">
        <f>IFERROR(INDEX(Crosswalk_API!$H$2:$H$527, MATCH(POTABLE_NONPOTABLE_API[[#This Row],[PWSID]], CW_PWSID_LIST, 0)), "")</f>
        <v>No</v>
      </c>
    </row>
    <row r="1018" spans="1:24" x14ac:dyDescent="0.25">
      <c r="A1018" t="s">
        <v>983</v>
      </c>
      <c r="B1018" t="s">
        <v>984</v>
      </c>
      <c r="C1018" t="s">
        <v>991</v>
      </c>
      <c r="D1018" t="s">
        <v>992</v>
      </c>
      <c r="E1018" s="9">
        <v>45352</v>
      </c>
      <c r="F1018" s="9">
        <v>45382</v>
      </c>
      <c r="G1018">
        <v>2964530.0759999999</v>
      </c>
      <c r="H1018">
        <v>0</v>
      </c>
      <c r="I1018">
        <v>126420.788</v>
      </c>
      <c r="J1018">
        <v>0</v>
      </c>
      <c r="K1018">
        <v>0</v>
      </c>
      <c r="L1018">
        <v>36654.548000000003</v>
      </c>
      <c r="M1018">
        <v>0</v>
      </c>
      <c r="T1018" s="9">
        <v>45108</v>
      </c>
      <c r="U1018" s="9">
        <v>45473</v>
      </c>
      <c r="V1018">
        <f>SUM(POTABLE_NONPOTABLE_API[[#This Row],[RESIDENTIAL_SINGLEFAMILY_GAL]:[OTHER_GAL]])</f>
        <v>3127605.412</v>
      </c>
      <c r="W1018">
        <f>SUM(POTABLE_NONPOTABLE_API[[#This Row],[NONPOTABLE_DEMAND_RESIDENTIAL_RECYCLED_WATER_GAL]:[NONPOTABLE_DEMAND_NONRESIDENTIAL_METERED_IRRIGATION_GAL]])</f>
        <v>0</v>
      </c>
      <c r="X1018" t="str">
        <f>IFERROR(INDEX(Crosswalk_API!$H$2:$H$527, MATCH(POTABLE_NONPOTABLE_API[[#This Row],[PWSID]], CW_PWSID_LIST, 0)), "")</f>
        <v>No</v>
      </c>
    </row>
    <row r="1019" spans="1:24" x14ac:dyDescent="0.25">
      <c r="A1019" t="s">
        <v>983</v>
      </c>
      <c r="B1019" t="s">
        <v>984</v>
      </c>
      <c r="C1019" t="s">
        <v>991</v>
      </c>
      <c r="D1019" t="s">
        <v>992</v>
      </c>
      <c r="E1019" s="9">
        <v>45383</v>
      </c>
      <c r="F1019" s="9">
        <v>45412</v>
      </c>
      <c r="G1019">
        <v>1297122.1680000001</v>
      </c>
      <c r="H1019">
        <v>0</v>
      </c>
      <c r="I1019">
        <v>0</v>
      </c>
      <c r="J1019">
        <v>0</v>
      </c>
      <c r="K1019">
        <v>0</v>
      </c>
      <c r="L1019">
        <v>37402.6</v>
      </c>
      <c r="M1019">
        <v>0</v>
      </c>
      <c r="T1019" s="9">
        <v>45108</v>
      </c>
      <c r="U1019" s="9">
        <v>45473</v>
      </c>
      <c r="V1019">
        <f>SUM(POTABLE_NONPOTABLE_API[[#This Row],[RESIDENTIAL_SINGLEFAMILY_GAL]:[OTHER_GAL]])</f>
        <v>1334524.7680000002</v>
      </c>
      <c r="W1019">
        <f>SUM(POTABLE_NONPOTABLE_API[[#This Row],[NONPOTABLE_DEMAND_RESIDENTIAL_RECYCLED_WATER_GAL]:[NONPOTABLE_DEMAND_NONRESIDENTIAL_METERED_IRRIGATION_GAL]])</f>
        <v>0</v>
      </c>
      <c r="X1019" t="str">
        <f>IFERROR(INDEX(Crosswalk_API!$H$2:$H$527, MATCH(POTABLE_NONPOTABLE_API[[#This Row],[PWSID]], CW_PWSID_LIST, 0)), "")</f>
        <v>No</v>
      </c>
    </row>
    <row r="1020" spans="1:24" x14ac:dyDescent="0.25">
      <c r="A1020" t="s">
        <v>983</v>
      </c>
      <c r="B1020" t="s">
        <v>984</v>
      </c>
      <c r="C1020" t="s">
        <v>991</v>
      </c>
      <c r="D1020" t="s">
        <v>992</v>
      </c>
      <c r="E1020" s="9">
        <v>45413</v>
      </c>
      <c r="F1020" s="9">
        <v>45443</v>
      </c>
      <c r="G1020">
        <v>3749984.676</v>
      </c>
      <c r="H1020">
        <v>0</v>
      </c>
      <c r="I1020">
        <v>114451.95600000001</v>
      </c>
      <c r="J1020">
        <v>0</v>
      </c>
      <c r="K1020">
        <v>0</v>
      </c>
      <c r="L1020">
        <v>138389.62</v>
      </c>
      <c r="M1020">
        <v>0</v>
      </c>
      <c r="T1020" s="9">
        <v>45108</v>
      </c>
      <c r="U1020" s="9">
        <v>45473</v>
      </c>
      <c r="V1020">
        <f>SUM(POTABLE_NONPOTABLE_API[[#This Row],[RESIDENTIAL_SINGLEFAMILY_GAL]:[OTHER_GAL]])</f>
        <v>4002826.2520000003</v>
      </c>
      <c r="W1020">
        <f>SUM(POTABLE_NONPOTABLE_API[[#This Row],[NONPOTABLE_DEMAND_RESIDENTIAL_RECYCLED_WATER_GAL]:[NONPOTABLE_DEMAND_NONRESIDENTIAL_METERED_IRRIGATION_GAL]])</f>
        <v>0</v>
      </c>
      <c r="X1020" t="str">
        <f>IFERROR(INDEX(Crosswalk_API!$H$2:$H$527, MATCH(POTABLE_NONPOTABLE_API[[#This Row],[PWSID]], CW_PWSID_LIST, 0)), "")</f>
        <v>No</v>
      </c>
    </row>
    <row r="1021" spans="1:24" x14ac:dyDescent="0.25">
      <c r="A1021" t="s">
        <v>983</v>
      </c>
      <c r="B1021" t="s">
        <v>984</v>
      </c>
      <c r="C1021" t="s">
        <v>991</v>
      </c>
      <c r="D1021" t="s">
        <v>992</v>
      </c>
      <c r="E1021" s="9">
        <v>45444</v>
      </c>
      <c r="F1021" s="9">
        <v>45473</v>
      </c>
      <c r="G1021">
        <v>2327937.824</v>
      </c>
      <c r="H1021">
        <v>0</v>
      </c>
      <c r="I1021">
        <v>0</v>
      </c>
      <c r="J1021">
        <v>0</v>
      </c>
      <c r="K1021">
        <v>0</v>
      </c>
      <c r="L1021">
        <v>53111.692000000003</v>
      </c>
      <c r="M1021">
        <v>0</v>
      </c>
      <c r="T1021" s="9">
        <v>45108</v>
      </c>
      <c r="U1021" s="9">
        <v>45473</v>
      </c>
      <c r="V1021">
        <f>SUM(POTABLE_NONPOTABLE_API[[#This Row],[RESIDENTIAL_SINGLEFAMILY_GAL]:[OTHER_GAL]])</f>
        <v>2381049.5159999998</v>
      </c>
      <c r="W1021">
        <f>SUM(POTABLE_NONPOTABLE_API[[#This Row],[NONPOTABLE_DEMAND_RESIDENTIAL_RECYCLED_WATER_GAL]:[NONPOTABLE_DEMAND_NONRESIDENTIAL_METERED_IRRIGATION_GAL]])</f>
        <v>0</v>
      </c>
      <c r="X1021" t="str">
        <f>IFERROR(INDEX(Crosswalk_API!$H$2:$H$527, MATCH(POTABLE_NONPOTABLE_API[[#This Row],[PWSID]], CW_PWSID_LIST, 0)), "")</f>
        <v>No</v>
      </c>
    </row>
    <row r="1022" spans="1:24" x14ac:dyDescent="0.25">
      <c r="A1022" t="s">
        <v>983</v>
      </c>
      <c r="B1022" t="s">
        <v>984</v>
      </c>
      <c r="C1022" t="s">
        <v>993</v>
      </c>
      <c r="D1022" t="s">
        <v>994</v>
      </c>
      <c r="E1022" s="9">
        <v>45108</v>
      </c>
      <c r="F1022" s="9">
        <v>45138</v>
      </c>
      <c r="G1022">
        <v>818368.88800000004</v>
      </c>
      <c r="H1022">
        <v>0</v>
      </c>
      <c r="I1022">
        <v>211698.71600000001</v>
      </c>
      <c r="J1022">
        <v>0</v>
      </c>
      <c r="K1022">
        <v>0</v>
      </c>
      <c r="L1022">
        <v>0</v>
      </c>
      <c r="M1022">
        <v>0</v>
      </c>
      <c r="T1022" s="9">
        <v>45108</v>
      </c>
      <c r="U1022" s="9">
        <v>45473</v>
      </c>
      <c r="V1022">
        <f>SUM(POTABLE_NONPOTABLE_API[[#This Row],[RESIDENTIAL_SINGLEFAMILY_GAL]:[OTHER_GAL]])</f>
        <v>1030067.6040000001</v>
      </c>
      <c r="W1022">
        <f>SUM(POTABLE_NONPOTABLE_API[[#This Row],[NONPOTABLE_DEMAND_RESIDENTIAL_RECYCLED_WATER_GAL]:[NONPOTABLE_DEMAND_NONRESIDENTIAL_METERED_IRRIGATION_GAL]])</f>
        <v>0</v>
      </c>
      <c r="X1022" t="str">
        <f>IFERROR(INDEX(Crosswalk_API!$H$2:$H$527, MATCH(POTABLE_NONPOTABLE_API[[#This Row],[PWSID]], CW_PWSID_LIST, 0)), "")</f>
        <v>No</v>
      </c>
    </row>
    <row r="1023" spans="1:24" x14ac:dyDescent="0.25">
      <c r="A1023" t="s">
        <v>983</v>
      </c>
      <c r="B1023" t="s">
        <v>984</v>
      </c>
      <c r="C1023" t="s">
        <v>993</v>
      </c>
      <c r="D1023" t="s">
        <v>994</v>
      </c>
      <c r="E1023" s="9">
        <v>45139</v>
      </c>
      <c r="F1023" s="9">
        <v>45169</v>
      </c>
      <c r="G1023">
        <v>834826.03200000001</v>
      </c>
      <c r="H1023">
        <v>0</v>
      </c>
      <c r="I1023">
        <v>332883.14</v>
      </c>
      <c r="J1023">
        <v>0</v>
      </c>
      <c r="K1023">
        <v>0</v>
      </c>
      <c r="L1023">
        <v>0</v>
      </c>
      <c r="M1023">
        <v>0</v>
      </c>
      <c r="T1023" s="9">
        <v>45108</v>
      </c>
      <c r="U1023" s="9">
        <v>45473</v>
      </c>
      <c r="V1023">
        <f>SUM(POTABLE_NONPOTABLE_API[[#This Row],[RESIDENTIAL_SINGLEFAMILY_GAL]:[OTHER_GAL]])</f>
        <v>1167709.172</v>
      </c>
      <c r="W1023">
        <f>SUM(POTABLE_NONPOTABLE_API[[#This Row],[NONPOTABLE_DEMAND_RESIDENTIAL_RECYCLED_WATER_GAL]:[NONPOTABLE_DEMAND_NONRESIDENTIAL_METERED_IRRIGATION_GAL]])</f>
        <v>0</v>
      </c>
      <c r="X1023" t="str">
        <f>IFERROR(INDEX(Crosswalk_API!$H$2:$H$527, MATCH(POTABLE_NONPOTABLE_API[[#This Row],[PWSID]], CW_PWSID_LIST, 0)), "")</f>
        <v>No</v>
      </c>
    </row>
    <row r="1024" spans="1:24" x14ac:dyDescent="0.25">
      <c r="A1024" t="s">
        <v>983</v>
      </c>
      <c r="B1024" t="s">
        <v>984</v>
      </c>
      <c r="C1024" t="s">
        <v>993</v>
      </c>
      <c r="D1024" t="s">
        <v>994</v>
      </c>
      <c r="E1024" s="9">
        <v>45170</v>
      </c>
      <c r="F1024" s="9">
        <v>45199</v>
      </c>
      <c r="G1024">
        <v>731594.85600000003</v>
      </c>
      <c r="H1024">
        <v>0</v>
      </c>
      <c r="I1024">
        <v>329890.93200000003</v>
      </c>
      <c r="J1024">
        <v>0</v>
      </c>
      <c r="K1024">
        <v>0</v>
      </c>
      <c r="L1024">
        <v>0</v>
      </c>
      <c r="M1024">
        <v>0</v>
      </c>
      <c r="T1024" s="9">
        <v>45108</v>
      </c>
      <c r="U1024" s="9">
        <v>45473</v>
      </c>
      <c r="V1024">
        <f>SUM(POTABLE_NONPOTABLE_API[[#This Row],[RESIDENTIAL_SINGLEFAMILY_GAL]:[OTHER_GAL]])</f>
        <v>1061485.7880000002</v>
      </c>
      <c r="W1024">
        <f>SUM(POTABLE_NONPOTABLE_API[[#This Row],[NONPOTABLE_DEMAND_RESIDENTIAL_RECYCLED_WATER_GAL]:[NONPOTABLE_DEMAND_NONRESIDENTIAL_METERED_IRRIGATION_GAL]])</f>
        <v>0</v>
      </c>
      <c r="X1024" t="str">
        <f>IFERROR(INDEX(Crosswalk_API!$H$2:$H$527, MATCH(POTABLE_NONPOTABLE_API[[#This Row],[PWSID]], CW_PWSID_LIST, 0)), "")</f>
        <v>No</v>
      </c>
    </row>
    <row r="1025" spans="1:24" x14ac:dyDescent="0.25">
      <c r="A1025" t="s">
        <v>983</v>
      </c>
      <c r="B1025" t="s">
        <v>984</v>
      </c>
      <c r="C1025" t="s">
        <v>993</v>
      </c>
      <c r="D1025" t="s">
        <v>994</v>
      </c>
      <c r="E1025" s="9">
        <v>45200</v>
      </c>
      <c r="F1025" s="9">
        <v>45230</v>
      </c>
      <c r="G1025">
        <v>683719.52800000005</v>
      </c>
      <c r="H1025">
        <v>0</v>
      </c>
      <c r="I1025">
        <v>311189.63199999998</v>
      </c>
      <c r="J1025">
        <v>0</v>
      </c>
      <c r="K1025">
        <v>0</v>
      </c>
      <c r="L1025">
        <v>0</v>
      </c>
      <c r="M1025">
        <v>0</v>
      </c>
      <c r="T1025" s="9">
        <v>45108</v>
      </c>
      <c r="U1025" s="9">
        <v>45473</v>
      </c>
      <c r="V1025">
        <f>SUM(POTABLE_NONPOTABLE_API[[#This Row],[RESIDENTIAL_SINGLEFAMILY_GAL]:[OTHER_GAL]])</f>
        <v>994909.16</v>
      </c>
      <c r="W1025">
        <f>SUM(POTABLE_NONPOTABLE_API[[#This Row],[NONPOTABLE_DEMAND_RESIDENTIAL_RECYCLED_WATER_GAL]:[NONPOTABLE_DEMAND_NONRESIDENTIAL_METERED_IRRIGATION_GAL]])</f>
        <v>0</v>
      </c>
      <c r="X1025" t="str">
        <f>IFERROR(INDEX(Crosswalk_API!$H$2:$H$527, MATCH(POTABLE_NONPOTABLE_API[[#This Row],[PWSID]], CW_PWSID_LIST, 0)), "")</f>
        <v>No</v>
      </c>
    </row>
    <row r="1026" spans="1:24" x14ac:dyDescent="0.25">
      <c r="A1026" t="s">
        <v>983</v>
      </c>
      <c r="B1026" t="s">
        <v>984</v>
      </c>
      <c r="C1026" t="s">
        <v>993</v>
      </c>
      <c r="D1026" t="s">
        <v>994</v>
      </c>
      <c r="E1026" s="9">
        <v>45231</v>
      </c>
      <c r="F1026" s="9">
        <v>45260</v>
      </c>
      <c r="G1026">
        <v>694192.25600000005</v>
      </c>
      <c r="H1026">
        <v>0</v>
      </c>
      <c r="I1026">
        <v>279771.44800000003</v>
      </c>
      <c r="J1026">
        <v>0</v>
      </c>
      <c r="K1026">
        <v>0</v>
      </c>
      <c r="L1026">
        <v>0</v>
      </c>
      <c r="M1026">
        <v>0</v>
      </c>
      <c r="T1026" s="9">
        <v>45108</v>
      </c>
      <c r="U1026" s="9">
        <v>45473</v>
      </c>
      <c r="V1026">
        <f>SUM(POTABLE_NONPOTABLE_API[[#This Row],[RESIDENTIAL_SINGLEFAMILY_GAL]:[OTHER_GAL]])</f>
        <v>973963.70400000014</v>
      </c>
      <c r="W1026">
        <f>SUM(POTABLE_NONPOTABLE_API[[#This Row],[NONPOTABLE_DEMAND_RESIDENTIAL_RECYCLED_WATER_GAL]:[NONPOTABLE_DEMAND_NONRESIDENTIAL_METERED_IRRIGATION_GAL]])</f>
        <v>0</v>
      </c>
      <c r="X1026" t="str">
        <f>IFERROR(INDEX(Crosswalk_API!$H$2:$H$527, MATCH(POTABLE_NONPOTABLE_API[[#This Row],[PWSID]], CW_PWSID_LIST, 0)), "")</f>
        <v>No</v>
      </c>
    </row>
    <row r="1027" spans="1:24" x14ac:dyDescent="0.25">
      <c r="A1027" t="s">
        <v>983</v>
      </c>
      <c r="B1027" t="s">
        <v>984</v>
      </c>
      <c r="C1027" t="s">
        <v>993</v>
      </c>
      <c r="D1027" t="s">
        <v>994</v>
      </c>
      <c r="E1027" s="9">
        <v>45261</v>
      </c>
      <c r="F1027" s="9">
        <v>45291</v>
      </c>
      <c r="G1027">
        <v>485485.74800000002</v>
      </c>
      <c r="H1027">
        <v>0</v>
      </c>
      <c r="I1027">
        <v>60592.212</v>
      </c>
      <c r="J1027">
        <v>0</v>
      </c>
      <c r="K1027">
        <v>0</v>
      </c>
      <c r="L1027">
        <v>0</v>
      </c>
      <c r="M1027">
        <v>0</v>
      </c>
      <c r="T1027" s="9">
        <v>45108</v>
      </c>
      <c r="U1027" s="9">
        <v>45473</v>
      </c>
      <c r="V1027">
        <f>SUM(POTABLE_NONPOTABLE_API[[#This Row],[RESIDENTIAL_SINGLEFAMILY_GAL]:[OTHER_GAL]])</f>
        <v>546077.96</v>
      </c>
      <c r="W1027">
        <f>SUM(POTABLE_NONPOTABLE_API[[#This Row],[NONPOTABLE_DEMAND_RESIDENTIAL_RECYCLED_WATER_GAL]:[NONPOTABLE_DEMAND_NONRESIDENTIAL_METERED_IRRIGATION_GAL]])</f>
        <v>0</v>
      </c>
      <c r="X1027" t="str">
        <f>IFERROR(INDEX(Crosswalk_API!$H$2:$H$527, MATCH(POTABLE_NONPOTABLE_API[[#This Row],[PWSID]], CW_PWSID_LIST, 0)), "")</f>
        <v>No</v>
      </c>
    </row>
    <row r="1028" spans="1:24" x14ac:dyDescent="0.25">
      <c r="A1028" t="s">
        <v>983</v>
      </c>
      <c r="B1028" t="s">
        <v>984</v>
      </c>
      <c r="C1028" t="s">
        <v>993</v>
      </c>
      <c r="D1028" t="s">
        <v>994</v>
      </c>
      <c r="E1028" s="9">
        <v>45292</v>
      </c>
      <c r="F1028" s="9">
        <v>45322</v>
      </c>
      <c r="G1028">
        <v>490722.11200000002</v>
      </c>
      <c r="H1028">
        <v>0</v>
      </c>
      <c r="I1028">
        <v>748.05200000000002</v>
      </c>
      <c r="J1028">
        <v>0</v>
      </c>
      <c r="K1028">
        <v>0</v>
      </c>
      <c r="L1028">
        <v>0</v>
      </c>
      <c r="M1028">
        <v>0</v>
      </c>
      <c r="T1028" s="9">
        <v>45108</v>
      </c>
      <c r="U1028" s="9">
        <v>45473</v>
      </c>
      <c r="V1028">
        <f>SUM(POTABLE_NONPOTABLE_API[[#This Row],[RESIDENTIAL_SINGLEFAMILY_GAL]:[OTHER_GAL]])</f>
        <v>491470.16400000005</v>
      </c>
      <c r="W1028">
        <f>SUM(POTABLE_NONPOTABLE_API[[#This Row],[NONPOTABLE_DEMAND_RESIDENTIAL_RECYCLED_WATER_GAL]:[NONPOTABLE_DEMAND_NONRESIDENTIAL_METERED_IRRIGATION_GAL]])</f>
        <v>0</v>
      </c>
      <c r="X1028" t="str">
        <f>IFERROR(INDEX(Crosswalk_API!$H$2:$H$527, MATCH(POTABLE_NONPOTABLE_API[[#This Row],[PWSID]], CW_PWSID_LIST, 0)), "")</f>
        <v>No</v>
      </c>
    </row>
    <row r="1029" spans="1:24" x14ac:dyDescent="0.25">
      <c r="A1029" t="s">
        <v>983</v>
      </c>
      <c r="B1029" t="s">
        <v>984</v>
      </c>
      <c r="C1029" t="s">
        <v>993</v>
      </c>
      <c r="D1029" t="s">
        <v>994</v>
      </c>
      <c r="E1029" s="9">
        <v>45323</v>
      </c>
      <c r="F1029" s="9">
        <v>45351</v>
      </c>
      <c r="G1029">
        <v>437610.42</v>
      </c>
      <c r="H1029">
        <v>0</v>
      </c>
      <c r="I1029">
        <v>748.05200000000002</v>
      </c>
      <c r="J1029">
        <v>0</v>
      </c>
      <c r="K1029">
        <v>0</v>
      </c>
      <c r="L1029">
        <v>0</v>
      </c>
      <c r="M1029">
        <v>0</v>
      </c>
      <c r="T1029" s="9">
        <v>45108</v>
      </c>
      <c r="U1029" s="9">
        <v>45473</v>
      </c>
      <c r="V1029">
        <f>SUM(POTABLE_NONPOTABLE_API[[#This Row],[RESIDENTIAL_SINGLEFAMILY_GAL]:[OTHER_GAL]])</f>
        <v>438358.47200000001</v>
      </c>
      <c r="W1029">
        <f>SUM(POTABLE_NONPOTABLE_API[[#This Row],[NONPOTABLE_DEMAND_RESIDENTIAL_RECYCLED_WATER_GAL]:[NONPOTABLE_DEMAND_NONRESIDENTIAL_METERED_IRRIGATION_GAL]])</f>
        <v>0</v>
      </c>
      <c r="X1029" t="str">
        <f>IFERROR(INDEX(Crosswalk_API!$H$2:$H$527, MATCH(POTABLE_NONPOTABLE_API[[#This Row],[PWSID]], CW_PWSID_LIST, 0)), "")</f>
        <v>No</v>
      </c>
    </row>
    <row r="1030" spans="1:24" x14ac:dyDescent="0.25">
      <c r="A1030" t="s">
        <v>983</v>
      </c>
      <c r="B1030" t="s">
        <v>984</v>
      </c>
      <c r="C1030" t="s">
        <v>993</v>
      </c>
      <c r="D1030" t="s">
        <v>994</v>
      </c>
      <c r="E1030" s="9">
        <v>45352</v>
      </c>
      <c r="F1030" s="9">
        <v>45382</v>
      </c>
      <c r="G1030">
        <v>488477.95600000001</v>
      </c>
      <c r="H1030">
        <v>0</v>
      </c>
      <c r="I1030">
        <v>748.05200000000002</v>
      </c>
      <c r="J1030">
        <v>0</v>
      </c>
      <c r="K1030">
        <v>0</v>
      </c>
      <c r="L1030">
        <v>0</v>
      </c>
      <c r="M1030">
        <v>0</v>
      </c>
      <c r="T1030" s="9">
        <v>45108</v>
      </c>
      <c r="U1030" s="9">
        <v>45473</v>
      </c>
      <c r="V1030">
        <f>SUM(POTABLE_NONPOTABLE_API[[#This Row],[RESIDENTIAL_SINGLEFAMILY_GAL]:[OTHER_GAL]])</f>
        <v>489226.00800000003</v>
      </c>
      <c r="W1030">
        <f>SUM(POTABLE_NONPOTABLE_API[[#This Row],[NONPOTABLE_DEMAND_RESIDENTIAL_RECYCLED_WATER_GAL]:[NONPOTABLE_DEMAND_NONRESIDENTIAL_METERED_IRRIGATION_GAL]])</f>
        <v>0</v>
      </c>
      <c r="X1030" t="str">
        <f>IFERROR(INDEX(Crosswalk_API!$H$2:$H$527, MATCH(POTABLE_NONPOTABLE_API[[#This Row],[PWSID]], CW_PWSID_LIST, 0)), "")</f>
        <v>No</v>
      </c>
    </row>
    <row r="1031" spans="1:24" x14ac:dyDescent="0.25">
      <c r="A1031" t="s">
        <v>983</v>
      </c>
      <c r="B1031" t="s">
        <v>984</v>
      </c>
      <c r="C1031" t="s">
        <v>993</v>
      </c>
      <c r="D1031" t="s">
        <v>994</v>
      </c>
      <c r="E1031" s="9">
        <v>45383</v>
      </c>
      <c r="F1031" s="9">
        <v>45412</v>
      </c>
      <c r="G1031">
        <v>410680.54800000001</v>
      </c>
      <c r="H1031">
        <v>0</v>
      </c>
      <c r="I1031">
        <v>102483.124</v>
      </c>
      <c r="J1031">
        <v>0</v>
      </c>
      <c r="K1031">
        <v>0</v>
      </c>
      <c r="L1031">
        <v>0</v>
      </c>
      <c r="M1031">
        <v>0</v>
      </c>
      <c r="T1031" s="9">
        <v>45108</v>
      </c>
      <c r="U1031" s="9">
        <v>45473</v>
      </c>
      <c r="V1031">
        <f>SUM(POTABLE_NONPOTABLE_API[[#This Row],[RESIDENTIAL_SINGLEFAMILY_GAL]:[OTHER_GAL]])</f>
        <v>513163.67200000002</v>
      </c>
      <c r="W1031">
        <f>SUM(POTABLE_NONPOTABLE_API[[#This Row],[NONPOTABLE_DEMAND_RESIDENTIAL_RECYCLED_WATER_GAL]:[NONPOTABLE_DEMAND_NONRESIDENTIAL_METERED_IRRIGATION_GAL]])</f>
        <v>0</v>
      </c>
      <c r="X1031" t="str">
        <f>IFERROR(INDEX(Crosswalk_API!$H$2:$H$527, MATCH(POTABLE_NONPOTABLE_API[[#This Row],[PWSID]], CW_PWSID_LIST, 0)), "")</f>
        <v>No</v>
      </c>
    </row>
    <row r="1032" spans="1:24" x14ac:dyDescent="0.25">
      <c r="A1032" t="s">
        <v>983</v>
      </c>
      <c r="B1032" t="s">
        <v>984</v>
      </c>
      <c r="C1032" t="s">
        <v>993</v>
      </c>
      <c r="D1032" t="s">
        <v>994</v>
      </c>
      <c r="E1032" s="9">
        <v>45413</v>
      </c>
      <c r="F1032" s="9">
        <v>45443</v>
      </c>
      <c r="G1032">
        <v>499698.73600000003</v>
      </c>
      <c r="H1032">
        <v>0</v>
      </c>
      <c r="I1032">
        <v>78545.460000000006</v>
      </c>
      <c r="J1032">
        <v>0</v>
      </c>
      <c r="K1032">
        <v>0</v>
      </c>
      <c r="L1032">
        <v>0</v>
      </c>
      <c r="M1032">
        <v>0</v>
      </c>
      <c r="T1032" s="9">
        <v>45108</v>
      </c>
      <c r="U1032" s="9">
        <v>45473</v>
      </c>
      <c r="V1032">
        <f>SUM(POTABLE_NONPOTABLE_API[[#This Row],[RESIDENTIAL_SINGLEFAMILY_GAL]:[OTHER_GAL]])</f>
        <v>578244.196</v>
      </c>
      <c r="W1032">
        <f>SUM(POTABLE_NONPOTABLE_API[[#This Row],[NONPOTABLE_DEMAND_RESIDENTIAL_RECYCLED_WATER_GAL]:[NONPOTABLE_DEMAND_NONRESIDENTIAL_METERED_IRRIGATION_GAL]])</f>
        <v>0</v>
      </c>
      <c r="X1032" t="str">
        <f>IFERROR(INDEX(Crosswalk_API!$H$2:$H$527, MATCH(POTABLE_NONPOTABLE_API[[#This Row],[PWSID]], CW_PWSID_LIST, 0)), "")</f>
        <v>No</v>
      </c>
    </row>
    <row r="1033" spans="1:24" x14ac:dyDescent="0.25">
      <c r="A1033" t="s">
        <v>983</v>
      </c>
      <c r="B1033" t="s">
        <v>984</v>
      </c>
      <c r="C1033" t="s">
        <v>993</v>
      </c>
      <c r="D1033" t="s">
        <v>994</v>
      </c>
      <c r="E1033" s="9">
        <v>45444</v>
      </c>
      <c r="F1033" s="9">
        <v>45473</v>
      </c>
      <c r="G1033">
        <v>626867.576</v>
      </c>
      <c r="H1033">
        <v>0</v>
      </c>
      <c r="I1033">
        <v>251345.47200000001</v>
      </c>
      <c r="J1033">
        <v>0</v>
      </c>
      <c r="K1033">
        <v>0</v>
      </c>
      <c r="L1033">
        <v>0</v>
      </c>
      <c r="M1033">
        <v>0</v>
      </c>
      <c r="T1033" s="9">
        <v>45108</v>
      </c>
      <c r="U1033" s="9">
        <v>45473</v>
      </c>
      <c r="V1033">
        <f>SUM(POTABLE_NONPOTABLE_API[[#This Row],[RESIDENTIAL_SINGLEFAMILY_GAL]:[OTHER_GAL]])</f>
        <v>878213.04799999995</v>
      </c>
      <c r="W1033">
        <f>SUM(POTABLE_NONPOTABLE_API[[#This Row],[NONPOTABLE_DEMAND_RESIDENTIAL_RECYCLED_WATER_GAL]:[NONPOTABLE_DEMAND_NONRESIDENTIAL_METERED_IRRIGATION_GAL]])</f>
        <v>0</v>
      </c>
      <c r="X1033" t="str">
        <f>IFERROR(INDEX(Crosswalk_API!$H$2:$H$527, MATCH(POTABLE_NONPOTABLE_API[[#This Row],[PWSID]], CW_PWSID_LIST, 0)), "")</f>
        <v>No</v>
      </c>
    </row>
    <row r="1034" spans="1:24" x14ac:dyDescent="0.25">
      <c r="A1034" t="s">
        <v>983</v>
      </c>
      <c r="B1034" t="s">
        <v>984</v>
      </c>
      <c r="C1034" t="s">
        <v>995</v>
      </c>
      <c r="D1034" t="s">
        <v>996</v>
      </c>
      <c r="E1034" s="9">
        <v>45108</v>
      </c>
      <c r="F1034" s="9">
        <v>45138</v>
      </c>
      <c r="G1034">
        <v>1582878.0320000001</v>
      </c>
      <c r="H1034">
        <v>0</v>
      </c>
      <c r="I1034">
        <v>209454.56</v>
      </c>
      <c r="J1034">
        <v>0</v>
      </c>
      <c r="K1034">
        <v>0</v>
      </c>
      <c r="L1034">
        <v>0</v>
      </c>
      <c r="M1034">
        <v>0</v>
      </c>
      <c r="T1034" s="9">
        <v>45108</v>
      </c>
      <c r="U1034" s="9">
        <v>45473</v>
      </c>
      <c r="V1034">
        <f>SUM(POTABLE_NONPOTABLE_API[[#This Row],[RESIDENTIAL_SINGLEFAMILY_GAL]:[OTHER_GAL]])</f>
        <v>1792332.5920000002</v>
      </c>
      <c r="W1034">
        <f>SUM(POTABLE_NONPOTABLE_API[[#This Row],[NONPOTABLE_DEMAND_RESIDENTIAL_RECYCLED_WATER_GAL]:[NONPOTABLE_DEMAND_NONRESIDENTIAL_METERED_IRRIGATION_GAL]])</f>
        <v>0</v>
      </c>
      <c r="X1034" t="str">
        <f>IFERROR(INDEX(Crosswalk_API!$H$2:$H$527, MATCH(POTABLE_NONPOTABLE_API[[#This Row],[PWSID]], CW_PWSID_LIST, 0)), "")</f>
        <v>No</v>
      </c>
    </row>
    <row r="1035" spans="1:24" x14ac:dyDescent="0.25">
      <c r="A1035" t="s">
        <v>983</v>
      </c>
      <c r="B1035" t="s">
        <v>984</v>
      </c>
      <c r="C1035" t="s">
        <v>995</v>
      </c>
      <c r="D1035" t="s">
        <v>996</v>
      </c>
      <c r="E1035" s="9">
        <v>45139</v>
      </c>
      <c r="F1035" s="9">
        <v>45169</v>
      </c>
      <c r="G1035">
        <v>6732.4679999999998</v>
      </c>
      <c r="H1035">
        <v>0</v>
      </c>
      <c r="I1035">
        <v>0</v>
      </c>
      <c r="J1035">
        <v>0</v>
      </c>
      <c r="K1035">
        <v>0</v>
      </c>
      <c r="L1035">
        <v>0</v>
      </c>
      <c r="M1035">
        <v>0</v>
      </c>
      <c r="T1035" s="9">
        <v>45108</v>
      </c>
      <c r="U1035" s="9">
        <v>45473</v>
      </c>
      <c r="V1035">
        <f>SUM(POTABLE_NONPOTABLE_API[[#This Row],[RESIDENTIAL_SINGLEFAMILY_GAL]:[OTHER_GAL]])</f>
        <v>6732.4679999999998</v>
      </c>
      <c r="W1035">
        <f>SUM(POTABLE_NONPOTABLE_API[[#This Row],[NONPOTABLE_DEMAND_RESIDENTIAL_RECYCLED_WATER_GAL]:[NONPOTABLE_DEMAND_NONRESIDENTIAL_METERED_IRRIGATION_GAL]])</f>
        <v>0</v>
      </c>
      <c r="X1035" t="str">
        <f>IFERROR(INDEX(Crosswalk_API!$H$2:$H$527, MATCH(POTABLE_NONPOTABLE_API[[#This Row],[PWSID]], CW_PWSID_LIST, 0)), "")</f>
        <v>No</v>
      </c>
    </row>
    <row r="1036" spans="1:24" x14ac:dyDescent="0.25">
      <c r="A1036" t="s">
        <v>983</v>
      </c>
      <c r="B1036" t="s">
        <v>984</v>
      </c>
      <c r="C1036" t="s">
        <v>995</v>
      </c>
      <c r="D1036" t="s">
        <v>996</v>
      </c>
      <c r="E1036" s="9">
        <v>45170</v>
      </c>
      <c r="F1036" s="9">
        <v>45199</v>
      </c>
      <c r="G1036">
        <v>1530514.392</v>
      </c>
      <c r="H1036">
        <v>0</v>
      </c>
      <c r="I1036">
        <v>160831.18</v>
      </c>
      <c r="J1036">
        <v>0</v>
      </c>
      <c r="K1036">
        <v>0</v>
      </c>
      <c r="L1036">
        <v>0</v>
      </c>
      <c r="M1036">
        <v>0</v>
      </c>
      <c r="T1036" s="9">
        <v>45108</v>
      </c>
      <c r="U1036" s="9">
        <v>45473</v>
      </c>
      <c r="V1036">
        <f>SUM(POTABLE_NONPOTABLE_API[[#This Row],[RESIDENTIAL_SINGLEFAMILY_GAL]:[OTHER_GAL]])</f>
        <v>1691345.5719999999</v>
      </c>
      <c r="W1036">
        <f>SUM(POTABLE_NONPOTABLE_API[[#This Row],[NONPOTABLE_DEMAND_RESIDENTIAL_RECYCLED_WATER_GAL]:[NONPOTABLE_DEMAND_NONRESIDENTIAL_METERED_IRRIGATION_GAL]])</f>
        <v>0</v>
      </c>
      <c r="X1036" t="str">
        <f>IFERROR(INDEX(Crosswalk_API!$H$2:$H$527, MATCH(POTABLE_NONPOTABLE_API[[#This Row],[PWSID]], CW_PWSID_LIST, 0)), "")</f>
        <v>No</v>
      </c>
    </row>
    <row r="1037" spans="1:24" x14ac:dyDescent="0.25">
      <c r="A1037" t="s">
        <v>983</v>
      </c>
      <c r="B1037" t="s">
        <v>984</v>
      </c>
      <c r="C1037" t="s">
        <v>995</v>
      </c>
      <c r="D1037" t="s">
        <v>996</v>
      </c>
      <c r="E1037" s="9">
        <v>45200</v>
      </c>
      <c r="F1037" s="9">
        <v>45230</v>
      </c>
      <c r="G1037">
        <v>5236.3640000000005</v>
      </c>
      <c r="H1037">
        <v>0</v>
      </c>
      <c r="I1037">
        <v>0</v>
      </c>
      <c r="J1037">
        <v>0</v>
      </c>
      <c r="K1037">
        <v>0</v>
      </c>
      <c r="L1037">
        <v>0</v>
      </c>
      <c r="M1037">
        <v>0</v>
      </c>
      <c r="T1037" s="9">
        <v>45108</v>
      </c>
      <c r="U1037" s="9">
        <v>45473</v>
      </c>
      <c r="V1037">
        <f>SUM(POTABLE_NONPOTABLE_API[[#This Row],[RESIDENTIAL_SINGLEFAMILY_GAL]:[OTHER_GAL]])</f>
        <v>5236.3640000000005</v>
      </c>
      <c r="W1037">
        <f>SUM(POTABLE_NONPOTABLE_API[[#This Row],[NONPOTABLE_DEMAND_RESIDENTIAL_RECYCLED_WATER_GAL]:[NONPOTABLE_DEMAND_NONRESIDENTIAL_METERED_IRRIGATION_GAL]])</f>
        <v>0</v>
      </c>
      <c r="X1037" t="str">
        <f>IFERROR(INDEX(Crosswalk_API!$H$2:$H$527, MATCH(POTABLE_NONPOTABLE_API[[#This Row],[PWSID]], CW_PWSID_LIST, 0)), "")</f>
        <v>No</v>
      </c>
    </row>
    <row r="1038" spans="1:24" x14ac:dyDescent="0.25">
      <c r="A1038" t="s">
        <v>983</v>
      </c>
      <c r="B1038" t="s">
        <v>984</v>
      </c>
      <c r="C1038" t="s">
        <v>995</v>
      </c>
      <c r="D1038" t="s">
        <v>996</v>
      </c>
      <c r="E1038" s="9">
        <v>45231</v>
      </c>
      <c r="F1038" s="9">
        <v>45260</v>
      </c>
      <c r="G1038">
        <v>1220072.8119999999</v>
      </c>
      <c r="H1038">
        <v>0</v>
      </c>
      <c r="I1038">
        <v>133901.30799999999</v>
      </c>
      <c r="J1038">
        <v>0</v>
      </c>
      <c r="K1038">
        <v>0</v>
      </c>
      <c r="L1038">
        <v>0</v>
      </c>
      <c r="M1038">
        <v>0</v>
      </c>
      <c r="T1038" s="9">
        <v>45108</v>
      </c>
      <c r="U1038" s="9">
        <v>45473</v>
      </c>
      <c r="V1038">
        <f>SUM(POTABLE_NONPOTABLE_API[[#This Row],[RESIDENTIAL_SINGLEFAMILY_GAL]:[OTHER_GAL]])</f>
        <v>1353974.1199999999</v>
      </c>
      <c r="W1038">
        <f>SUM(POTABLE_NONPOTABLE_API[[#This Row],[NONPOTABLE_DEMAND_RESIDENTIAL_RECYCLED_WATER_GAL]:[NONPOTABLE_DEMAND_NONRESIDENTIAL_METERED_IRRIGATION_GAL]])</f>
        <v>0</v>
      </c>
      <c r="X1038" t="str">
        <f>IFERROR(INDEX(Crosswalk_API!$H$2:$H$527, MATCH(POTABLE_NONPOTABLE_API[[#This Row],[PWSID]], CW_PWSID_LIST, 0)), "")</f>
        <v>No</v>
      </c>
    </row>
    <row r="1039" spans="1:24" x14ac:dyDescent="0.25">
      <c r="A1039" t="s">
        <v>983</v>
      </c>
      <c r="B1039" t="s">
        <v>984</v>
      </c>
      <c r="C1039" t="s">
        <v>995</v>
      </c>
      <c r="D1039" t="s">
        <v>996</v>
      </c>
      <c r="E1039" s="9">
        <v>45261</v>
      </c>
      <c r="F1039" s="9">
        <v>45291</v>
      </c>
      <c r="G1039">
        <v>17205.196</v>
      </c>
      <c r="H1039">
        <v>0</v>
      </c>
      <c r="I1039">
        <v>0</v>
      </c>
      <c r="J1039">
        <v>0</v>
      </c>
      <c r="K1039">
        <v>0</v>
      </c>
      <c r="L1039">
        <v>0</v>
      </c>
      <c r="M1039">
        <v>0</v>
      </c>
      <c r="T1039" s="9">
        <v>45108</v>
      </c>
      <c r="U1039" s="9">
        <v>45473</v>
      </c>
      <c r="V1039">
        <f>SUM(POTABLE_NONPOTABLE_API[[#This Row],[RESIDENTIAL_SINGLEFAMILY_GAL]:[OTHER_GAL]])</f>
        <v>17205.196</v>
      </c>
      <c r="W1039">
        <f>SUM(POTABLE_NONPOTABLE_API[[#This Row],[NONPOTABLE_DEMAND_RESIDENTIAL_RECYCLED_WATER_GAL]:[NONPOTABLE_DEMAND_NONRESIDENTIAL_METERED_IRRIGATION_GAL]])</f>
        <v>0</v>
      </c>
      <c r="X1039" t="str">
        <f>IFERROR(INDEX(Crosswalk_API!$H$2:$H$527, MATCH(POTABLE_NONPOTABLE_API[[#This Row],[PWSID]], CW_PWSID_LIST, 0)), "")</f>
        <v>No</v>
      </c>
    </row>
    <row r="1040" spans="1:24" x14ac:dyDescent="0.25">
      <c r="A1040" t="s">
        <v>983</v>
      </c>
      <c r="B1040" t="s">
        <v>984</v>
      </c>
      <c r="C1040" t="s">
        <v>995</v>
      </c>
      <c r="D1040" t="s">
        <v>996</v>
      </c>
      <c r="E1040" s="9">
        <v>45292</v>
      </c>
      <c r="F1040" s="9">
        <v>45322</v>
      </c>
      <c r="G1040">
        <v>1121329.9480000001</v>
      </c>
      <c r="H1040">
        <v>0</v>
      </c>
      <c r="I1040">
        <v>95750.656000000003</v>
      </c>
      <c r="J1040">
        <v>0</v>
      </c>
      <c r="K1040">
        <v>0</v>
      </c>
      <c r="L1040">
        <v>0</v>
      </c>
      <c r="M1040">
        <v>0</v>
      </c>
      <c r="T1040" s="9">
        <v>45108</v>
      </c>
      <c r="U1040" s="9">
        <v>45473</v>
      </c>
      <c r="V1040">
        <f>SUM(POTABLE_NONPOTABLE_API[[#This Row],[RESIDENTIAL_SINGLEFAMILY_GAL]:[OTHER_GAL]])</f>
        <v>1217080.6040000001</v>
      </c>
      <c r="W1040">
        <f>SUM(POTABLE_NONPOTABLE_API[[#This Row],[NONPOTABLE_DEMAND_RESIDENTIAL_RECYCLED_WATER_GAL]:[NONPOTABLE_DEMAND_NONRESIDENTIAL_METERED_IRRIGATION_GAL]])</f>
        <v>0</v>
      </c>
      <c r="X1040" t="str">
        <f>IFERROR(INDEX(Crosswalk_API!$H$2:$H$527, MATCH(POTABLE_NONPOTABLE_API[[#This Row],[PWSID]], CW_PWSID_LIST, 0)), "")</f>
        <v>No</v>
      </c>
    </row>
    <row r="1041" spans="1:24" x14ac:dyDescent="0.25">
      <c r="A1041" t="s">
        <v>983</v>
      </c>
      <c r="B1041" t="s">
        <v>984</v>
      </c>
      <c r="C1041" t="s">
        <v>995</v>
      </c>
      <c r="D1041" t="s">
        <v>996</v>
      </c>
      <c r="E1041" s="9">
        <v>45323</v>
      </c>
      <c r="F1041" s="9">
        <v>45351</v>
      </c>
      <c r="G1041">
        <v>9724.6759999999995</v>
      </c>
      <c r="H1041">
        <v>0</v>
      </c>
      <c r="I1041">
        <v>0</v>
      </c>
      <c r="J1041">
        <v>0</v>
      </c>
      <c r="K1041">
        <v>0</v>
      </c>
      <c r="L1041">
        <v>0</v>
      </c>
      <c r="M1041">
        <v>0</v>
      </c>
      <c r="T1041" s="9">
        <v>45108</v>
      </c>
      <c r="U1041" s="9">
        <v>45473</v>
      </c>
      <c r="V1041">
        <f>SUM(POTABLE_NONPOTABLE_API[[#This Row],[RESIDENTIAL_SINGLEFAMILY_GAL]:[OTHER_GAL]])</f>
        <v>9724.6759999999995</v>
      </c>
      <c r="W1041">
        <f>SUM(POTABLE_NONPOTABLE_API[[#This Row],[NONPOTABLE_DEMAND_RESIDENTIAL_RECYCLED_WATER_GAL]:[NONPOTABLE_DEMAND_NONRESIDENTIAL_METERED_IRRIGATION_GAL]])</f>
        <v>0</v>
      </c>
      <c r="X1041" t="str">
        <f>IFERROR(INDEX(Crosswalk_API!$H$2:$H$527, MATCH(POTABLE_NONPOTABLE_API[[#This Row],[PWSID]], CW_PWSID_LIST, 0)), "")</f>
        <v>No</v>
      </c>
    </row>
    <row r="1042" spans="1:24" x14ac:dyDescent="0.25">
      <c r="A1042" t="s">
        <v>983</v>
      </c>
      <c r="B1042" t="s">
        <v>984</v>
      </c>
      <c r="C1042" t="s">
        <v>995</v>
      </c>
      <c r="D1042" t="s">
        <v>996</v>
      </c>
      <c r="E1042" s="9">
        <v>45352</v>
      </c>
      <c r="F1042" s="9">
        <v>45382</v>
      </c>
      <c r="G1042">
        <v>1004633.836</v>
      </c>
      <c r="H1042">
        <v>0</v>
      </c>
      <c r="I1042">
        <v>44883.12</v>
      </c>
      <c r="J1042">
        <v>0</v>
      </c>
      <c r="K1042">
        <v>0</v>
      </c>
      <c r="L1042">
        <v>0</v>
      </c>
      <c r="M1042">
        <v>0</v>
      </c>
      <c r="T1042" s="9">
        <v>45108</v>
      </c>
      <c r="U1042" s="9">
        <v>45473</v>
      </c>
      <c r="V1042">
        <f>SUM(POTABLE_NONPOTABLE_API[[#This Row],[RESIDENTIAL_SINGLEFAMILY_GAL]:[OTHER_GAL]])</f>
        <v>1049516.956</v>
      </c>
      <c r="W1042">
        <f>SUM(POTABLE_NONPOTABLE_API[[#This Row],[NONPOTABLE_DEMAND_RESIDENTIAL_RECYCLED_WATER_GAL]:[NONPOTABLE_DEMAND_NONRESIDENTIAL_METERED_IRRIGATION_GAL]])</f>
        <v>0</v>
      </c>
      <c r="X1042" t="str">
        <f>IFERROR(INDEX(Crosswalk_API!$H$2:$H$527, MATCH(POTABLE_NONPOTABLE_API[[#This Row],[PWSID]], CW_PWSID_LIST, 0)), "")</f>
        <v>No</v>
      </c>
    </row>
    <row r="1043" spans="1:24" x14ac:dyDescent="0.25">
      <c r="A1043" t="s">
        <v>983</v>
      </c>
      <c r="B1043" t="s">
        <v>984</v>
      </c>
      <c r="C1043" t="s">
        <v>995</v>
      </c>
      <c r="D1043" t="s">
        <v>996</v>
      </c>
      <c r="E1043" s="9">
        <v>45383</v>
      </c>
      <c r="F1043" s="9">
        <v>45412</v>
      </c>
      <c r="G1043">
        <v>748.05200000000002</v>
      </c>
      <c r="H1043">
        <v>0</v>
      </c>
      <c r="I1043">
        <v>0</v>
      </c>
      <c r="J1043">
        <v>0</v>
      </c>
      <c r="K1043">
        <v>0</v>
      </c>
      <c r="L1043">
        <v>0</v>
      </c>
      <c r="M1043">
        <v>0</v>
      </c>
      <c r="T1043" s="9">
        <v>45108</v>
      </c>
      <c r="U1043" s="9">
        <v>45473</v>
      </c>
      <c r="V1043">
        <f>SUM(POTABLE_NONPOTABLE_API[[#This Row],[RESIDENTIAL_SINGLEFAMILY_GAL]:[OTHER_GAL]])</f>
        <v>748.05200000000002</v>
      </c>
      <c r="W1043">
        <f>SUM(POTABLE_NONPOTABLE_API[[#This Row],[NONPOTABLE_DEMAND_RESIDENTIAL_RECYCLED_WATER_GAL]:[NONPOTABLE_DEMAND_NONRESIDENTIAL_METERED_IRRIGATION_GAL]])</f>
        <v>0</v>
      </c>
      <c r="X1043" t="str">
        <f>IFERROR(INDEX(Crosswalk_API!$H$2:$H$527, MATCH(POTABLE_NONPOTABLE_API[[#This Row],[PWSID]], CW_PWSID_LIST, 0)), "")</f>
        <v>No</v>
      </c>
    </row>
    <row r="1044" spans="1:24" x14ac:dyDescent="0.25">
      <c r="A1044" t="s">
        <v>983</v>
      </c>
      <c r="B1044" t="s">
        <v>984</v>
      </c>
      <c r="C1044" t="s">
        <v>995</v>
      </c>
      <c r="D1044" t="s">
        <v>996</v>
      </c>
      <c r="E1044" s="9">
        <v>45413</v>
      </c>
      <c r="F1044" s="9">
        <v>45443</v>
      </c>
      <c r="G1044">
        <v>1061485.7879999999</v>
      </c>
      <c r="H1044">
        <v>0</v>
      </c>
      <c r="I1044">
        <v>50867.536</v>
      </c>
      <c r="J1044">
        <v>0</v>
      </c>
      <c r="K1044">
        <v>0</v>
      </c>
      <c r="L1044">
        <v>0</v>
      </c>
      <c r="M1044">
        <v>0</v>
      </c>
      <c r="T1044" s="9">
        <v>45108</v>
      </c>
      <c r="U1044" s="9">
        <v>45473</v>
      </c>
      <c r="V1044">
        <f>SUM(POTABLE_NONPOTABLE_API[[#This Row],[RESIDENTIAL_SINGLEFAMILY_GAL]:[OTHER_GAL]])</f>
        <v>1112353.324</v>
      </c>
      <c r="W1044">
        <f>SUM(POTABLE_NONPOTABLE_API[[#This Row],[NONPOTABLE_DEMAND_RESIDENTIAL_RECYCLED_WATER_GAL]:[NONPOTABLE_DEMAND_NONRESIDENTIAL_METERED_IRRIGATION_GAL]])</f>
        <v>0</v>
      </c>
      <c r="X1044" t="str">
        <f>IFERROR(INDEX(Crosswalk_API!$H$2:$H$527, MATCH(POTABLE_NONPOTABLE_API[[#This Row],[PWSID]], CW_PWSID_LIST, 0)), "")</f>
        <v>No</v>
      </c>
    </row>
    <row r="1045" spans="1:24" x14ac:dyDescent="0.25">
      <c r="A1045" t="s">
        <v>983</v>
      </c>
      <c r="B1045" t="s">
        <v>984</v>
      </c>
      <c r="C1045" t="s">
        <v>995</v>
      </c>
      <c r="D1045" t="s">
        <v>996</v>
      </c>
      <c r="E1045" s="9">
        <v>45444</v>
      </c>
      <c r="F1045" s="9">
        <v>45473</v>
      </c>
      <c r="G1045">
        <v>3740.26</v>
      </c>
      <c r="H1045">
        <v>0</v>
      </c>
      <c r="I1045">
        <v>0</v>
      </c>
      <c r="J1045">
        <v>0</v>
      </c>
      <c r="K1045">
        <v>0</v>
      </c>
      <c r="L1045">
        <v>0</v>
      </c>
      <c r="M1045">
        <v>0</v>
      </c>
      <c r="T1045" s="9">
        <v>45108</v>
      </c>
      <c r="U1045" s="9">
        <v>45473</v>
      </c>
      <c r="V1045">
        <f>SUM(POTABLE_NONPOTABLE_API[[#This Row],[RESIDENTIAL_SINGLEFAMILY_GAL]:[OTHER_GAL]])</f>
        <v>3740.26</v>
      </c>
      <c r="W1045">
        <f>SUM(POTABLE_NONPOTABLE_API[[#This Row],[NONPOTABLE_DEMAND_RESIDENTIAL_RECYCLED_WATER_GAL]:[NONPOTABLE_DEMAND_NONRESIDENTIAL_METERED_IRRIGATION_GAL]])</f>
        <v>0</v>
      </c>
      <c r="X1045" t="str">
        <f>IFERROR(INDEX(Crosswalk_API!$H$2:$H$527, MATCH(POTABLE_NONPOTABLE_API[[#This Row],[PWSID]], CW_PWSID_LIST, 0)), "")</f>
        <v>No</v>
      </c>
    </row>
    <row r="1046" spans="1:24" x14ac:dyDescent="0.25">
      <c r="A1046" t="s">
        <v>983</v>
      </c>
      <c r="B1046" t="s">
        <v>984</v>
      </c>
      <c r="C1046" t="s">
        <v>997</v>
      </c>
      <c r="D1046" t="s">
        <v>998</v>
      </c>
      <c r="E1046" s="9">
        <v>45108</v>
      </c>
      <c r="F1046" s="9">
        <v>45138</v>
      </c>
      <c r="G1046">
        <v>49371.432000000001</v>
      </c>
      <c r="H1046">
        <v>0</v>
      </c>
      <c r="I1046">
        <v>0</v>
      </c>
      <c r="J1046">
        <v>0</v>
      </c>
      <c r="K1046">
        <v>0</v>
      </c>
      <c r="L1046">
        <v>0</v>
      </c>
      <c r="M1046">
        <v>0</v>
      </c>
      <c r="T1046" s="9">
        <v>45108</v>
      </c>
      <c r="U1046" s="9">
        <v>45473</v>
      </c>
      <c r="V1046">
        <f>SUM(POTABLE_NONPOTABLE_API[[#This Row],[RESIDENTIAL_SINGLEFAMILY_GAL]:[OTHER_GAL]])</f>
        <v>49371.432000000001</v>
      </c>
      <c r="W1046">
        <f>SUM(POTABLE_NONPOTABLE_API[[#This Row],[NONPOTABLE_DEMAND_RESIDENTIAL_RECYCLED_WATER_GAL]:[NONPOTABLE_DEMAND_NONRESIDENTIAL_METERED_IRRIGATION_GAL]])</f>
        <v>0</v>
      </c>
      <c r="X1046" t="str">
        <f>IFERROR(INDEX(Crosswalk_API!$H$2:$H$527, MATCH(POTABLE_NONPOTABLE_API[[#This Row],[PWSID]], CW_PWSID_LIST, 0)), "")</f>
        <v>No</v>
      </c>
    </row>
    <row r="1047" spans="1:24" x14ac:dyDescent="0.25">
      <c r="A1047" t="s">
        <v>983</v>
      </c>
      <c r="B1047" t="s">
        <v>984</v>
      </c>
      <c r="C1047" t="s">
        <v>997</v>
      </c>
      <c r="D1047" t="s">
        <v>998</v>
      </c>
      <c r="E1047" s="9">
        <v>45139</v>
      </c>
      <c r="F1047" s="9">
        <v>45169</v>
      </c>
      <c r="G1047">
        <v>3903335.3360000001</v>
      </c>
      <c r="H1047">
        <v>0</v>
      </c>
      <c r="I1047">
        <v>16457.144</v>
      </c>
      <c r="J1047">
        <v>0</v>
      </c>
      <c r="K1047">
        <v>0</v>
      </c>
      <c r="L1047">
        <v>0</v>
      </c>
      <c r="M1047">
        <v>0</v>
      </c>
      <c r="T1047" s="9">
        <v>45108</v>
      </c>
      <c r="U1047" s="9">
        <v>45473</v>
      </c>
      <c r="V1047">
        <f>SUM(POTABLE_NONPOTABLE_API[[#This Row],[RESIDENTIAL_SINGLEFAMILY_GAL]:[OTHER_GAL]])</f>
        <v>3919792.48</v>
      </c>
      <c r="W1047">
        <f>SUM(POTABLE_NONPOTABLE_API[[#This Row],[NONPOTABLE_DEMAND_RESIDENTIAL_RECYCLED_WATER_GAL]:[NONPOTABLE_DEMAND_NONRESIDENTIAL_METERED_IRRIGATION_GAL]])</f>
        <v>0</v>
      </c>
      <c r="X1047" t="str">
        <f>IFERROR(INDEX(Crosswalk_API!$H$2:$H$527, MATCH(POTABLE_NONPOTABLE_API[[#This Row],[PWSID]], CW_PWSID_LIST, 0)), "")</f>
        <v>No</v>
      </c>
    </row>
    <row r="1048" spans="1:24" x14ac:dyDescent="0.25">
      <c r="A1048" t="s">
        <v>983</v>
      </c>
      <c r="B1048" t="s">
        <v>984</v>
      </c>
      <c r="C1048" t="s">
        <v>997</v>
      </c>
      <c r="D1048" t="s">
        <v>998</v>
      </c>
      <c r="E1048" s="9">
        <v>45170</v>
      </c>
      <c r="F1048" s="9">
        <v>45199</v>
      </c>
      <c r="G1048">
        <v>18701.3</v>
      </c>
      <c r="H1048">
        <v>0</v>
      </c>
      <c r="I1048">
        <v>0</v>
      </c>
      <c r="J1048">
        <v>0</v>
      </c>
      <c r="K1048">
        <v>0</v>
      </c>
      <c r="L1048">
        <v>0</v>
      </c>
      <c r="M1048">
        <v>0</v>
      </c>
      <c r="T1048" s="9">
        <v>45108</v>
      </c>
      <c r="U1048" s="9">
        <v>45473</v>
      </c>
      <c r="V1048">
        <f>SUM(POTABLE_NONPOTABLE_API[[#This Row],[RESIDENTIAL_SINGLEFAMILY_GAL]:[OTHER_GAL]])</f>
        <v>18701.3</v>
      </c>
      <c r="W1048">
        <f>SUM(POTABLE_NONPOTABLE_API[[#This Row],[NONPOTABLE_DEMAND_RESIDENTIAL_RECYCLED_WATER_GAL]:[NONPOTABLE_DEMAND_NONRESIDENTIAL_METERED_IRRIGATION_GAL]])</f>
        <v>0</v>
      </c>
      <c r="X1048" t="str">
        <f>IFERROR(INDEX(Crosswalk_API!$H$2:$H$527, MATCH(POTABLE_NONPOTABLE_API[[#This Row],[PWSID]], CW_PWSID_LIST, 0)), "")</f>
        <v>No</v>
      </c>
    </row>
    <row r="1049" spans="1:24" x14ac:dyDescent="0.25">
      <c r="A1049" t="s">
        <v>983</v>
      </c>
      <c r="B1049" t="s">
        <v>984</v>
      </c>
      <c r="C1049" t="s">
        <v>997</v>
      </c>
      <c r="D1049" t="s">
        <v>998</v>
      </c>
      <c r="E1049" s="9">
        <v>45200</v>
      </c>
      <c r="F1049" s="9">
        <v>45230</v>
      </c>
      <c r="G1049">
        <v>3504623.62</v>
      </c>
      <c r="H1049">
        <v>0</v>
      </c>
      <c r="I1049">
        <v>12716.884</v>
      </c>
      <c r="J1049">
        <v>0</v>
      </c>
      <c r="K1049">
        <v>0</v>
      </c>
      <c r="L1049">
        <v>0</v>
      </c>
      <c r="M1049">
        <v>0</v>
      </c>
      <c r="T1049" s="9">
        <v>45108</v>
      </c>
      <c r="U1049" s="9">
        <v>45473</v>
      </c>
      <c r="V1049">
        <f>SUM(POTABLE_NONPOTABLE_API[[#This Row],[RESIDENTIAL_SINGLEFAMILY_GAL]:[OTHER_GAL]])</f>
        <v>3517340.5040000002</v>
      </c>
      <c r="W1049">
        <f>SUM(POTABLE_NONPOTABLE_API[[#This Row],[NONPOTABLE_DEMAND_RESIDENTIAL_RECYCLED_WATER_GAL]:[NONPOTABLE_DEMAND_NONRESIDENTIAL_METERED_IRRIGATION_GAL]])</f>
        <v>0</v>
      </c>
      <c r="X1049" t="str">
        <f>IFERROR(INDEX(Crosswalk_API!$H$2:$H$527, MATCH(POTABLE_NONPOTABLE_API[[#This Row],[PWSID]], CW_PWSID_LIST, 0)), "")</f>
        <v>No</v>
      </c>
    </row>
    <row r="1050" spans="1:24" x14ac:dyDescent="0.25">
      <c r="A1050" t="s">
        <v>983</v>
      </c>
      <c r="B1050" t="s">
        <v>984</v>
      </c>
      <c r="C1050" t="s">
        <v>997</v>
      </c>
      <c r="D1050" t="s">
        <v>998</v>
      </c>
      <c r="E1050" s="9">
        <v>45231</v>
      </c>
      <c r="F1050" s="9">
        <v>45260</v>
      </c>
      <c r="G1050">
        <v>11220.78</v>
      </c>
      <c r="H1050">
        <v>0</v>
      </c>
      <c r="I1050">
        <v>0</v>
      </c>
      <c r="J1050">
        <v>0</v>
      </c>
      <c r="K1050">
        <v>0</v>
      </c>
      <c r="L1050">
        <v>0</v>
      </c>
      <c r="M1050">
        <v>0</v>
      </c>
      <c r="T1050" s="9">
        <v>45108</v>
      </c>
      <c r="U1050" s="9">
        <v>45473</v>
      </c>
      <c r="V1050">
        <f>SUM(POTABLE_NONPOTABLE_API[[#This Row],[RESIDENTIAL_SINGLEFAMILY_GAL]:[OTHER_GAL]])</f>
        <v>11220.78</v>
      </c>
      <c r="W1050">
        <f>SUM(POTABLE_NONPOTABLE_API[[#This Row],[NONPOTABLE_DEMAND_RESIDENTIAL_RECYCLED_WATER_GAL]:[NONPOTABLE_DEMAND_NONRESIDENTIAL_METERED_IRRIGATION_GAL]])</f>
        <v>0</v>
      </c>
      <c r="X1050" t="str">
        <f>IFERROR(INDEX(Crosswalk_API!$H$2:$H$527, MATCH(POTABLE_NONPOTABLE_API[[#This Row],[PWSID]], CW_PWSID_LIST, 0)), "")</f>
        <v>No</v>
      </c>
    </row>
    <row r="1051" spans="1:24" x14ac:dyDescent="0.25">
      <c r="A1051" t="s">
        <v>983</v>
      </c>
      <c r="B1051" t="s">
        <v>984</v>
      </c>
      <c r="C1051" t="s">
        <v>997</v>
      </c>
      <c r="D1051" t="s">
        <v>998</v>
      </c>
      <c r="E1051" s="9">
        <v>45261</v>
      </c>
      <c r="F1051" s="9">
        <v>45291</v>
      </c>
      <c r="G1051">
        <v>2441641.7280000001</v>
      </c>
      <c r="H1051">
        <v>0</v>
      </c>
      <c r="I1051">
        <v>9724.6759999999995</v>
      </c>
      <c r="J1051">
        <v>0</v>
      </c>
      <c r="K1051">
        <v>0</v>
      </c>
      <c r="L1051">
        <v>0</v>
      </c>
      <c r="M1051">
        <v>0</v>
      </c>
      <c r="T1051" s="9">
        <v>45108</v>
      </c>
      <c r="U1051" s="9">
        <v>45473</v>
      </c>
      <c r="V1051">
        <f>SUM(POTABLE_NONPOTABLE_API[[#This Row],[RESIDENTIAL_SINGLEFAMILY_GAL]:[OTHER_GAL]])</f>
        <v>2451366.4040000001</v>
      </c>
      <c r="W1051">
        <f>SUM(POTABLE_NONPOTABLE_API[[#This Row],[NONPOTABLE_DEMAND_RESIDENTIAL_RECYCLED_WATER_GAL]:[NONPOTABLE_DEMAND_NONRESIDENTIAL_METERED_IRRIGATION_GAL]])</f>
        <v>0</v>
      </c>
      <c r="X1051" t="str">
        <f>IFERROR(INDEX(Crosswalk_API!$H$2:$H$527, MATCH(POTABLE_NONPOTABLE_API[[#This Row],[PWSID]], CW_PWSID_LIST, 0)), "")</f>
        <v>No</v>
      </c>
    </row>
    <row r="1052" spans="1:24" x14ac:dyDescent="0.25">
      <c r="A1052" t="s">
        <v>983</v>
      </c>
      <c r="B1052" t="s">
        <v>984</v>
      </c>
      <c r="C1052" t="s">
        <v>997</v>
      </c>
      <c r="D1052" t="s">
        <v>998</v>
      </c>
      <c r="E1052" s="9">
        <v>45292</v>
      </c>
      <c r="F1052" s="9">
        <v>45322</v>
      </c>
      <c r="G1052">
        <v>26929.871999999999</v>
      </c>
      <c r="H1052">
        <v>0</v>
      </c>
      <c r="I1052">
        <v>0</v>
      </c>
      <c r="J1052">
        <v>0</v>
      </c>
      <c r="K1052">
        <v>0</v>
      </c>
      <c r="L1052">
        <v>0</v>
      </c>
      <c r="M1052">
        <v>0</v>
      </c>
      <c r="T1052" s="9">
        <v>45108</v>
      </c>
      <c r="U1052" s="9">
        <v>45473</v>
      </c>
      <c r="V1052">
        <f>SUM(POTABLE_NONPOTABLE_API[[#This Row],[RESIDENTIAL_SINGLEFAMILY_GAL]:[OTHER_GAL]])</f>
        <v>26929.871999999999</v>
      </c>
      <c r="W1052">
        <f>SUM(POTABLE_NONPOTABLE_API[[#This Row],[NONPOTABLE_DEMAND_RESIDENTIAL_RECYCLED_WATER_GAL]:[NONPOTABLE_DEMAND_NONRESIDENTIAL_METERED_IRRIGATION_GAL]])</f>
        <v>0</v>
      </c>
      <c r="X1052" t="str">
        <f>IFERROR(INDEX(Crosswalk_API!$H$2:$H$527, MATCH(POTABLE_NONPOTABLE_API[[#This Row],[PWSID]], CW_PWSID_LIST, 0)), "")</f>
        <v>No</v>
      </c>
    </row>
    <row r="1053" spans="1:24" x14ac:dyDescent="0.25">
      <c r="A1053" t="s">
        <v>983</v>
      </c>
      <c r="B1053" t="s">
        <v>984</v>
      </c>
      <c r="C1053" t="s">
        <v>997</v>
      </c>
      <c r="D1053" t="s">
        <v>998</v>
      </c>
      <c r="E1053" s="9">
        <v>45323</v>
      </c>
      <c r="F1053" s="9">
        <v>45351</v>
      </c>
      <c r="G1053">
        <v>2412467.7000000002</v>
      </c>
      <c r="H1053">
        <v>0</v>
      </c>
      <c r="I1053">
        <v>10472.728000000001</v>
      </c>
      <c r="J1053">
        <v>0</v>
      </c>
      <c r="K1053">
        <v>0</v>
      </c>
      <c r="L1053">
        <v>0</v>
      </c>
      <c r="M1053">
        <v>0</v>
      </c>
      <c r="T1053" s="9">
        <v>45108</v>
      </c>
      <c r="U1053" s="9">
        <v>45473</v>
      </c>
      <c r="V1053">
        <f>SUM(POTABLE_NONPOTABLE_API[[#This Row],[RESIDENTIAL_SINGLEFAMILY_GAL]:[OTHER_GAL]])</f>
        <v>2422940.4280000003</v>
      </c>
      <c r="W1053">
        <f>SUM(POTABLE_NONPOTABLE_API[[#This Row],[NONPOTABLE_DEMAND_RESIDENTIAL_RECYCLED_WATER_GAL]:[NONPOTABLE_DEMAND_NONRESIDENTIAL_METERED_IRRIGATION_GAL]])</f>
        <v>0</v>
      </c>
      <c r="X1053" t="str">
        <f>IFERROR(INDEX(Crosswalk_API!$H$2:$H$527, MATCH(POTABLE_NONPOTABLE_API[[#This Row],[PWSID]], CW_PWSID_LIST, 0)), "")</f>
        <v>No</v>
      </c>
    </row>
    <row r="1054" spans="1:24" x14ac:dyDescent="0.25">
      <c r="A1054" t="s">
        <v>983</v>
      </c>
      <c r="B1054" t="s">
        <v>984</v>
      </c>
      <c r="C1054" t="s">
        <v>997</v>
      </c>
      <c r="D1054" t="s">
        <v>998</v>
      </c>
      <c r="E1054" s="9">
        <v>45352</v>
      </c>
      <c r="F1054" s="9">
        <v>45382</v>
      </c>
      <c r="G1054">
        <v>4488.3119999999999</v>
      </c>
      <c r="H1054">
        <v>0</v>
      </c>
      <c r="I1054">
        <v>0</v>
      </c>
      <c r="J1054">
        <v>0</v>
      </c>
      <c r="K1054">
        <v>0</v>
      </c>
      <c r="L1054">
        <v>0</v>
      </c>
      <c r="M1054">
        <v>0</v>
      </c>
      <c r="T1054" s="9">
        <v>45108</v>
      </c>
      <c r="U1054" s="9">
        <v>45473</v>
      </c>
      <c r="V1054">
        <f>SUM(POTABLE_NONPOTABLE_API[[#This Row],[RESIDENTIAL_SINGLEFAMILY_GAL]:[OTHER_GAL]])</f>
        <v>4488.3119999999999</v>
      </c>
      <c r="W1054">
        <f>SUM(POTABLE_NONPOTABLE_API[[#This Row],[NONPOTABLE_DEMAND_RESIDENTIAL_RECYCLED_WATER_GAL]:[NONPOTABLE_DEMAND_NONRESIDENTIAL_METERED_IRRIGATION_GAL]])</f>
        <v>0</v>
      </c>
      <c r="X1054" t="str">
        <f>IFERROR(INDEX(Crosswalk_API!$H$2:$H$527, MATCH(POTABLE_NONPOTABLE_API[[#This Row],[PWSID]], CW_PWSID_LIST, 0)), "")</f>
        <v>No</v>
      </c>
    </row>
    <row r="1055" spans="1:24" x14ac:dyDescent="0.25">
      <c r="A1055" t="s">
        <v>983</v>
      </c>
      <c r="B1055" t="s">
        <v>984</v>
      </c>
      <c r="C1055" t="s">
        <v>997</v>
      </c>
      <c r="D1055" t="s">
        <v>998</v>
      </c>
      <c r="E1055" s="9">
        <v>45383</v>
      </c>
      <c r="F1055" s="9">
        <v>45412</v>
      </c>
      <c r="G1055">
        <v>2258368.9879999999</v>
      </c>
      <c r="H1055">
        <v>0</v>
      </c>
      <c r="I1055">
        <v>15709.092000000001</v>
      </c>
      <c r="J1055">
        <v>0</v>
      </c>
      <c r="K1055">
        <v>0</v>
      </c>
      <c r="L1055">
        <v>0</v>
      </c>
      <c r="M1055">
        <v>0</v>
      </c>
      <c r="T1055" s="9">
        <v>45108</v>
      </c>
      <c r="U1055" s="9">
        <v>45473</v>
      </c>
      <c r="V1055">
        <f>SUM(POTABLE_NONPOTABLE_API[[#This Row],[RESIDENTIAL_SINGLEFAMILY_GAL]:[OTHER_GAL]])</f>
        <v>2274078.08</v>
      </c>
      <c r="W1055">
        <f>SUM(POTABLE_NONPOTABLE_API[[#This Row],[NONPOTABLE_DEMAND_RESIDENTIAL_RECYCLED_WATER_GAL]:[NONPOTABLE_DEMAND_NONRESIDENTIAL_METERED_IRRIGATION_GAL]])</f>
        <v>0</v>
      </c>
      <c r="X1055" t="str">
        <f>IFERROR(INDEX(Crosswalk_API!$H$2:$H$527, MATCH(POTABLE_NONPOTABLE_API[[#This Row],[PWSID]], CW_PWSID_LIST, 0)), "")</f>
        <v>No</v>
      </c>
    </row>
    <row r="1056" spans="1:24" x14ac:dyDescent="0.25">
      <c r="A1056" t="s">
        <v>983</v>
      </c>
      <c r="B1056" t="s">
        <v>984</v>
      </c>
      <c r="C1056" t="s">
        <v>997</v>
      </c>
      <c r="D1056" t="s">
        <v>998</v>
      </c>
      <c r="E1056" s="9">
        <v>45413</v>
      </c>
      <c r="F1056" s="9">
        <v>45443</v>
      </c>
      <c r="G1056">
        <v>0</v>
      </c>
      <c r="H1056">
        <v>0</v>
      </c>
      <c r="I1056">
        <v>0</v>
      </c>
      <c r="J1056">
        <v>0</v>
      </c>
      <c r="K1056">
        <v>0</v>
      </c>
      <c r="L1056">
        <v>0</v>
      </c>
      <c r="M1056">
        <v>0</v>
      </c>
      <c r="T1056" s="9">
        <v>45108</v>
      </c>
      <c r="U1056" s="9">
        <v>45473</v>
      </c>
      <c r="V1056">
        <f>SUM(POTABLE_NONPOTABLE_API[[#This Row],[RESIDENTIAL_SINGLEFAMILY_GAL]:[OTHER_GAL]])</f>
        <v>0</v>
      </c>
      <c r="W1056">
        <f>SUM(POTABLE_NONPOTABLE_API[[#This Row],[NONPOTABLE_DEMAND_RESIDENTIAL_RECYCLED_WATER_GAL]:[NONPOTABLE_DEMAND_NONRESIDENTIAL_METERED_IRRIGATION_GAL]])</f>
        <v>0</v>
      </c>
      <c r="X1056" t="str">
        <f>IFERROR(INDEX(Crosswalk_API!$H$2:$H$527, MATCH(POTABLE_NONPOTABLE_API[[#This Row],[PWSID]], CW_PWSID_LIST, 0)), "")</f>
        <v>No</v>
      </c>
    </row>
    <row r="1057" spans="1:24" x14ac:dyDescent="0.25">
      <c r="A1057" t="s">
        <v>983</v>
      </c>
      <c r="B1057" t="s">
        <v>984</v>
      </c>
      <c r="C1057" t="s">
        <v>997</v>
      </c>
      <c r="D1057" t="s">
        <v>998</v>
      </c>
      <c r="E1057" s="9">
        <v>45444</v>
      </c>
      <c r="F1057" s="9">
        <v>45473</v>
      </c>
      <c r="G1057">
        <v>3038587.2239999999</v>
      </c>
      <c r="H1057">
        <v>0</v>
      </c>
      <c r="I1057">
        <v>17953.248</v>
      </c>
      <c r="J1057">
        <v>0</v>
      </c>
      <c r="K1057">
        <v>0</v>
      </c>
      <c r="L1057">
        <v>0</v>
      </c>
      <c r="M1057">
        <v>0</v>
      </c>
      <c r="T1057" s="9">
        <v>45108</v>
      </c>
      <c r="U1057" s="9">
        <v>45473</v>
      </c>
      <c r="V1057">
        <f>SUM(POTABLE_NONPOTABLE_API[[#This Row],[RESIDENTIAL_SINGLEFAMILY_GAL]:[OTHER_GAL]])</f>
        <v>3056540.4720000001</v>
      </c>
      <c r="W1057">
        <f>SUM(POTABLE_NONPOTABLE_API[[#This Row],[NONPOTABLE_DEMAND_RESIDENTIAL_RECYCLED_WATER_GAL]:[NONPOTABLE_DEMAND_NONRESIDENTIAL_METERED_IRRIGATION_GAL]])</f>
        <v>0</v>
      </c>
      <c r="X1057" t="str">
        <f>IFERROR(INDEX(Crosswalk_API!$H$2:$H$527, MATCH(POTABLE_NONPOTABLE_API[[#This Row],[PWSID]], CW_PWSID_LIST, 0)), "")</f>
        <v>No</v>
      </c>
    </row>
    <row r="1058" spans="1:24" x14ac:dyDescent="0.25">
      <c r="A1058" t="s">
        <v>999</v>
      </c>
      <c r="B1058" t="s">
        <v>1000</v>
      </c>
      <c r="C1058" t="s">
        <v>1001</v>
      </c>
      <c r="D1058" t="s">
        <v>1002</v>
      </c>
      <c r="E1058" s="9">
        <v>45108</v>
      </c>
      <c r="F1058" s="9">
        <v>45138</v>
      </c>
      <c r="G1058">
        <v>217770414</v>
      </c>
      <c r="H1058">
        <v>13333386</v>
      </c>
      <c r="I1058">
        <v>68311255</v>
      </c>
      <c r="J1058">
        <v>0</v>
      </c>
      <c r="K1058">
        <v>0</v>
      </c>
      <c r="L1058">
        <v>488509</v>
      </c>
      <c r="M1058">
        <v>0</v>
      </c>
      <c r="T1058" s="9">
        <v>45108</v>
      </c>
      <c r="U1058" s="9">
        <v>45473</v>
      </c>
      <c r="V1058">
        <f>SUM(POTABLE_NONPOTABLE_API[[#This Row],[RESIDENTIAL_SINGLEFAMILY_GAL]:[OTHER_GAL]])</f>
        <v>299903564</v>
      </c>
      <c r="W1058">
        <f>SUM(POTABLE_NONPOTABLE_API[[#This Row],[NONPOTABLE_DEMAND_RESIDENTIAL_RECYCLED_WATER_GAL]:[NONPOTABLE_DEMAND_NONRESIDENTIAL_METERED_IRRIGATION_GAL]])</f>
        <v>0</v>
      </c>
      <c r="X1058" t="str">
        <f>IFERROR(INDEX(Crosswalk_API!$H$2:$H$527, MATCH(POTABLE_NONPOTABLE_API[[#This Row],[PWSID]], CW_PWSID_LIST, 0)), "")</f>
        <v>No</v>
      </c>
    </row>
    <row r="1059" spans="1:24" x14ac:dyDescent="0.25">
      <c r="A1059" t="s">
        <v>999</v>
      </c>
      <c r="B1059" t="s">
        <v>1000</v>
      </c>
      <c r="C1059" t="s">
        <v>1001</v>
      </c>
      <c r="D1059" t="s">
        <v>1002</v>
      </c>
      <c r="E1059" s="9">
        <v>45139</v>
      </c>
      <c r="F1059" s="9">
        <v>45169</v>
      </c>
      <c r="G1059">
        <v>207138417</v>
      </c>
      <c r="H1059">
        <v>12352627</v>
      </c>
      <c r="I1059">
        <v>99177861</v>
      </c>
      <c r="J1059">
        <v>0</v>
      </c>
      <c r="K1059">
        <v>0</v>
      </c>
      <c r="L1059">
        <v>513945</v>
      </c>
      <c r="M1059">
        <v>0</v>
      </c>
      <c r="T1059" s="9">
        <v>45108</v>
      </c>
      <c r="U1059" s="9">
        <v>45473</v>
      </c>
      <c r="V1059">
        <f>SUM(POTABLE_NONPOTABLE_API[[#This Row],[RESIDENTIAL_SINGLEFAMILY_GAL]:[OTHER_GAL]])</f>
        <v>319182850</v>
      </c>
      <c r="W1059">
        <f>SUM(POTABLE_NONPOTABLE_API[[#This Row],[NONPOTABLE_DEMAND_RESIDENTIAL_RECYCLED_WATER_GAL]:[NONPOTABLE_DEMAND_NONRESIDENTIAL_METERED_IRRIGATION_GAL]])</f>
        <v>0</v>
      </c>
      <c r="X1059" t="str">
        <f>IFERROR(INDEX(Crosswalk_API!$H$2:$H$527, MATCH(POTABLE_NONPOTABLE_API[[#This Row],[PWSID]], CW_PWSID_LIST, 0)), "")</f>
        <v>No</v>
      </c>
    </row>
    <row r="1060" spans="1:24" x14ac:dyDescent="0.25">
      <c r="A1060" t="s">
        <v>999</v>
      </c>
      <c r="B1060" t="s">
        <v>1000</v>
      </c>
      <c r="C1060" t="s">
        <v>1001</v>
      </c>
      <c r="D1060" t="s">
        <v>1002</v>
      </c>
      <c r="E1060" s="9">
        <v>45170</v>
      </c>
      <c r="F1060" s="9">
        <v>45199</v>
      </c>
      <c r="G1060">
        <v>224389603</v>
      </c>
      <c r="H1060">
        <v>13274286</v>
      </c>
      <c r="I1060">
        <v>80016028</v>
      </c>
      <c r="J1060">
        <v>0</v>
      </c>
      <c r="K1060">
        <v>0</v>
      </c>
      <c r="L1060">
        <v>198247</v>
      </c>
      <c r="M1060">
        <v>0</v>
      </c>
      <c r="T1060" s="9">
        <v>45108</v>
      </c>
      <c r="U1060" s="9">
        <v>45473</v>
      </c>
      <c r="V1060">
        <f>SUM(POTABLE_NONPOTABLE_API[[#This Row],[RESIDENTIAL_SINGLEFAMILY_GAL]:[OTHER_GAL]])</f>
        <v>317878164</v>
      </c>
      <c r="W1060">
        <f>SUM(POTABLE_NONPOTABLE_API[[#This Row],[NONPOTABLE_DEMAND_RESIDENTIAL_RECYCLED_WATER_GAL]:[NONPOTABLE_DEMAND_NONRESIDENTIAL_METERED_IRRIGATION_GAL]])</f>
        <v>0</v>
      </c>
      <c r="X1060" t="str">
        <f>IFERROR(INDEX(Crosswalk_API!$H$2:$H$527, MATCH(POTABLE_NONPOTABLE_API[[#This Row],[PWSID]], CW_PWSID_LIST, 0)), "")</f>
        <v>No</v>
      </c>
    </row>
    <row r="1061" spans="1:24" x14ac:dyDescent="0.25">
      <c r="A1061" t="s">
        <v>999</v>
      </c>
      <c r="B1061" t="s">
        <v>1000</v>
      </c>
      <c r="C1061" t="s">
        <v>1001</v>
      </c>
      <c r="D1061" t="s">
        <v>1002</v>
      </c>
      <c r="E1061" s="9">
        <v>45200</v>
      </c>
      <c r="F1061" s="9">
        <v>45230</v>
      </c>
      <c r="G1061">
        <v>182816938</v>
      </c>
      <c r="H1061">
        <v>12061616</v>
      </c>
      <c r="I1061">
        <v>67048463</v>
      </c>
      <c r="J1061">
        <v>0</v>
      </c>
      <c r="K1061">
        <v>0</v>
      </c>
      <c r="L1061">
        <v>766054</v>
      </c>
      <c r="M1061">
        <v>0</v>
      </c>
      <c r="T1061" s="9">
        <v>45108</v>
      </c>
      <c r="U1061" s="9">
        <v>45473</v>
      </c>
      <c r="V1061">
        <f>SUM(POTABLE_NONPOTABLE_API[[#This Row],[RESIDENTIAL_SINGLEFAMILY_GAL]:[OTHER_GAL]])</f>
        <v>262693071</v>
      </c>
      <c r="W1061">
        <f>SUM(POTABLE_NONPOTABLE_API[[#This Row],[NONPOTABLE_DEMAND_RESIDENTIAL_RECYCLED_WATER_GAL]:[NONPOTABLE_DEMAND_NONRESIDENTIAL_METERED_IRRIGATION_GAL]])</f>
        <v>0</v>
      </c>
      <c r="X1061" t="str">
        <f>IFERROR(INDEX(Crosswalk_API!$H$2:$H$527, MATCH(POTABLE_NONPOTABLE_API[[#This Row],[PWSID]], CW_PWSID_LIST, 0)), "")</f>
        <v>No</v>
      </c>
    </row>
    <row r="1062" spans="1:24" x14ac:dyDescent="0.25">
      <c r="A1062" t="s">
        <v>999</v>
      </c>
      <c r="B1062" t="s">
        <v>1000</v>
      </c>
      <c r="C1062" t="s">
        <v>1001</v>
      </c>
      <c r="D1062" t="s">
        <v>1002</v>
      </c>
      <c r="E1062" s="9">
        <v>45231</v>
      </c>
      <c r="F1062" s="9">
        <v>45260</v>
      </c>
      <c r="G1062">
        <v>149030497</v>
      </c>
      <c r="H1062">
        <v>10362681</v>
      </c>
      <c r="I1062">
        <v>43852126</v>
      </c>
      <c r="J1062">
        <v>0</v>
      </c>
      <c r="K1062">
        <v>0</v>
      </c>
      <c r="L1062">
        <v>637381</v>
      </c>
      <c r="M1062">
        <v>0</v>
      </c>
      <c r="T1062" s="9">
        <v>45108</v>
      </c>
      <c r="U1062" s="9">
        <v>45473</v>
      </c>
      <c r="V1062">
        <f>SUM(POTABLE_NONPOTABLE_API[[#This Row],[RESIDENTIAL_SINGLEFAMILY_GAL]:[OTHER_GAL]])</f>
        <v>203882685</v>
      </c>
      <c r="W1062">
        <f>SUM(POTABLE_NONPOTABLE_API[[#This Row],[NONPOTABLE_DEMAND_RESIDENTIAL_RECYCLED_WATER_GAL]:[NONPOTABLE_DEMAND_NONRESIDENTIAL_METERED_IRRIGATION_GAL]])</f>
        <v>0</v>
      </c>
      <c r="X1062" t="str">
        <f>IFERROR(INDEX(Crosswalk_API!$H$2:$H$527, MATCH(POTABLE_NONPOTABLE_API[[#This Row],[PWSID]], CW_PWSID_LIST, 0)), "")</f>
        <v>No</v>
      </c>
    </row>
    <row r="1063" spans="1:24" x14ac:dyDescent="0.25">
      <c r="A1063" t="s">
        <v>999</v>
      </c>
      <c r="B1063" t="s">
        <v>1000</v>
      </c>
      <c r="C1063" t="s">
        <v>1001</v>
      </c>
      <c r="D1063" t="s">
        <v>1002</v>
      </c>
      <c r="E1063" s="9">
        <v>45261</v>
      </c>
      <c r="F1063" s="9">
        <v>45291</v>
      </c>
      <c r="G1063">
        <v>120762791</v>
      </c>
      <c r="H1063">
        <v>9729789</v>
      </c>
      <c r="I1063">
        <v>29653188</v>
      </c>
      <c r="J1063">
        <v>0</v>
      </c>
      <c r="K1063">
        <v>0</v>
      </c>
      <c r="L1063">
        <v>408463</v>
      </c>
      <c r="M1063">
        <v>0</v>
      </c>
      <c r="T1063" s="9">
        <v>45108</v>
      </c>
      <c r="U1063" s="9">
        <v>45473</v>
      </c>
      <c r="V1063">
        <f>SUM(POTABLE_NONPOTABLE_API[[#This Row],[RESIDENTIAL_SINGLEFAMILY_GAL]:[OTHER_GAL]])</f>
        <v>160554231</v>
      </c>
      <c r="W1063">
        <f>SUM(POTABLE_NONPOTABLE_API[[#This Row],[NONPOTABLE_DEMAND_RESIDENTIAL_RECYCLED_WATER_GAL]:[NONPOTABLE_DEMAND_NONRESIDENTIAL_METERED_IRRIGATION_GAL]])</f>
        <v>0</v>
      </c>
      <c r="X1063" t="str">
        <f>IFERROR(INDEX(Crosswalk_API!$H$2:$H$527, MATCH(POTABLE_NONPOTABLE_API[[#This Row],[PWSID]], CW_PWSID_LIST, 0)), "")</f>
        <v>No</v>
      </c>
    </row>
    <row r="1064" spans="1:24" x14ac:dyDescent="0.25">
      <c r="A1064" t="s">
        <v>999</v>
      </c>
      <c r="B1064" t="s">
        <v>1000</v>
      </c>
      <c r="C1064" t="s">
        <v>1001</v>
      </c>
      <c r="D1064" t="s">
        <v>1002</v>
      </c>
      <c r="E1064" s="9">
        <v>45292</v>
      </c>
      <c r="F1064" s="9">
        <v>45322</v>
      </c>
      <c r="G1064">
        <v>95411040.392000005</v>
      </c>
      <c r="H1064">
        <v>9061153.8760000002</v>
      </c>
      <c r="I1064">
        <v>24251097.788000003</v>
      </c>
      <c r="J1064">
        <v>0</v>
      </c>
      <c r="K1064">
        <v>0</v>
      </c>
      <c r="L1064">
        <v>209454.56</v>
      </c>
      <c r="M1064">
        <v>0</v>
      </c>
      <c r="T1064" s="9">
        <v>45108</v>
      </c>
      <c r="U1064" s="9">
        <v>45473</v>
      </c>
      <c r="V1064">
        <f>SUM(POTABLE_NONPOTABLE_API[[#This Row],[RESIDENTIAL_SINGLEFAMILY_GAL]:[OTHER_GAL]])</f>
        <v>128932746.61600001</v>
      </c>
      <c r="W1064">
        <f>SUM(POTABLE_NONPOTABLE_API[[#This Row],[NONPOTABLE_DEMAND_RESIDENTIAL_RECYCLED_WATER_GAL]:[NONPOTABLE_DEMAND_NONRESIDENTIAL_METERED_IRRIGATION_GAL]])</f>
        <v>0</v>
      </c>
      <c r="X1064" t="str">
        <f>IFERROR(INDEX(Crosswalk_API!$H$2:$H$527, MATCH(POTABLE_NONPOTABLE_API[[#This Row],[PWSID]], CW_PWSID_LIST, 0)), "")</f>
        <v>No</v>
      </c>
    </row>
    <row r="1065" spans="1:24" x14ac:dyDescent="0.25">
      <c r="A1065" t="s">
        <v>999</v>
      </c>
      <c r="B1065" t="s">
        <v>1000</v>
      </c>
      <c r="C1065" t="s">
        <v>1001</v>
      </c>
      <c r="D1065" t="s">
        <v>1002</v>
      </c>
      <c r="E1065" s="9">
        <v>45323</v>
      </c>
      <c r="F1065" s="9">
        <v>45351</v>
      </c>
      <c r="G1065">
        <v>79191028.876000002</v>
      </c>
      <c r="H1065">
        <v>8301133.0440000007</v>
      </c>
      <c r="I1065">
        <v>20255752.056000002</v>
      </c>
      <c r="J1065">
        <v>0</v>
      </c>
      <c r="K1065">
        <v>0</v>
      </c>
      <c r="L1065">
        <v>156342.86800000002</v>
      </c>
      <c r="M1065">
        <v>0</v>
      </c>
      <c r="T1065" s="9">
        <v>45108</v>
      </c>
      <c r="U1065" s="9">
        <v>45473</v>
      </c>
      <c r="V1065">
        <f>SUM(POTABLE_NONPOTABLE_API[[#This Row],[RESIDENTIAL_SINGLEFAMILY_GAL]:[OTHER_GAL]])</f>
        <v>107904256.84400001</v>
      </c>
      <c r="W1065">
        <f>SUM(POTABLE_NONPOTABLE_API[[#This Row],[NONPOTABLE_DEMAND_RESIDENTIAL_RECYCLED_WATER_GAL]:[NONPOTABLE_DEMAND_NONRESIDENTIAL_METERED_IRRIGATION_GAL]])</f>
        <v>0</v>
      </c>
      <c r="X1065" t="str">
        <f>IFERROR(INDEX(Crosswalk_API!$H$2:$H$527, MATCH(POTABLE_NONPOTABLE_API[[#This Row],[PWSID]], CW_PWSID_LIST, 0)), "")</f>
        <v>No</v>
      </c>
    </row>
    <row r="1066" spans="1:24" x14ac:dyDescent="0.25">
      <c r="A1066" t="s">
        <v>999</v>
      </c>
      <c r="B1066" t="s">
        <v>1000</v>
      </c>
      <c r="C1066" t="s">
        <v>1001</v>
      </c>
      <c r="D1066" t="s">
        <v>1002</v>
      </c>
      <c r="E1066" s="9">
        <v>45352</v>
      </c>
      <c r="F1066" s="9">
        <v>45382</v>
      </c>
      <c r="G1066">
        <v>80075226.340000004</v>
      </c>
      <c r="H1066">
        <v>8310857.7200000007</v>
      </c>
      <c r="I1066">
        <v>20472687.136</v>
      </c>
      <c r="J1066">
        <v>0</v>
      </c>
      <c r="K1066">
        <v>0</v>
      </c>
      <c r="L1066">
        <v>347096.12800000003</v>
      </c>
      <c r="M1066">
        <v>0</v>
      </c>
      <c r="T1066" s="9">
        <v>45108</v>
      </c>
      <c r="U1066" s="9">
        <v>45473</v>
      </c>
      <c r="V1066">
        <f>SUM(POTABLE_NONPOTABLE_API[[#This Row],[RESIDENTIAL_SINGLEFAMILY_GAL]:[OTHER_GAL]])</f>
        <v>109205867.32400002</v>
      </c>
      <c r="W1066">
        <f>SUM(POTABLE_NONPOTABLE_API[[#This Row],[NONPOTABLE_DEMAND_RESIDENTIAL_RECYCLED_WATER_GAL]:[NONPOTABLE_DEMAND_NONRESIDENTIAL_METERED_IRRIGATION_GAL]])</f>
        <v>0</v>
      </c>
      <c r="X1066" t="str">
        <f>IFERROR(INDEX(Crosswalk_API!$H$2:$H$527, MATCH(POTABLE_NONPOTABLE_API[[#This Row],[PWSID]], CW_PWSID_LIST, 0)), "")</f>
        <v>No</v>
      </c>
    </row>
    <row r="1067" spans="1:24" x14ac:dyDescent="0.25">
      <c r="A1067" t="s">
        <v>999</v>
      </c>
      <c r="B1067" t="s">
        <v>1000</v>
      </c>
      <c r="C1067" t="s">
        <v>1001</v>
      </c>
      <c r="D1067" t="s">
        <v>1002</v>
      </c>
      <c r="E1067" s="9">
        <v>45383</v>
      </c>
      <c r="F1067" s="9">
        <v>45412</v>
      </c>
      <c r="G1067">
        <v>90377398.483999997</v>
      </c>
      <c r="H1067">
        <v>7940571.9800000004</v>
      </c>
      <c r="I1067">
        <v>25422547.220000003</v>
      </c>
      <c r="J1067">
        <v>0</v>
      </c>
      <c r="K1067">
        <v>0</v>
      </c>
      <c r="L1067">
        <v>295480.54000000004</v>
      </c>
      <c r="M1067">
        <v>0</v>
      </c>
      <c r="T1067" s="9">
        <v>45108</v>
      </c>
      <c r="U1067" s="9">
        <v>45473</v>
      </c>
      <c r="V1067">
        <f>SUM(POTABLE_NONPOTABLE_API[[#This Row],[RESIDENTIAL_SINGLEFAMILY_GAL]:[OTHER_GAL]])</f>
        <v>124035998.22400001</v>
      </c>
      <c r="W1067">
        <f>SUM(POTABLE_NONPOTABLE_API[[#This Row],[NONPOTABLE_DEMAND_RESIDENTIAL_RECYCLED_WATER_GAL]:[NONPOTABLE_DEMAND_NONRESIDENTIAL_METERED_IRRIGATION_GAL]])</f>
        <v>0</v>
      </c>
      <c r="X1067" t="str">
        <f>IFERROR(INDEX(Crosswalk_API!$H$2:$H$527, MATCH(POTABLE_NONPOTABLE_API[[#This Row],[PWSID]], CW_PWSID_LIST, 0)), "")</f>
        <v>No</v>
      </c>
    </row>
    <row r="1068" spans="1:24" x14ac:dyDescent="0.25">
      <c r="A1068" t="s">
        <v>999</v>
      </c>
      <c r="B1068" t="s">
        <v>1000</v>
      </c>
      <c r="C1068" t="s">
        <v>1001</v>
      </c>
      <c r="D1068" t="s">
        <v>1002</v>
      </c>
      <c r="E1068" s="9">
        <v>45413</v>
      </c>
      <c r="F1068" s="9">
        <v>45443</v>
      </c>
      <c r="G1068">
        <v>135515604.21599999</v>
      </c>
      <c r="H1068">
        <v>9968540.9519999996</v>
      </c>
      <c r="I1068">
        <v>46627577.263999999</v>
      </c>
      <c r="J1068">
        <v>0</v>
      </c>
      <c r="K1068">
        <v>0</v>
      </c>
      <c r="L1068">
        <v>432374.05600000004</v>
      </c>
      <c r="M1068">
        <v>0</v>
      </c>
      <c r="T1068" s="9">
        <v>45108</v>
      </c>
      <c r="U1068" s="9">
        <v>45473</v>
      </c>
      <c r="V1068">
        <f>SUM(POTABLE_NONPOTABLE_API[[#This Row],[RESIDENTIAL_SINGLEFAMILY_GAL]:[OTHER_GAL]])</f>
        <v>192544096.48799998</v>
      </c>
      <c r="W1068">
        <f>SUM(POTABLE_NONPOTABLE_API[[#This Row],[NONPOTABLE_DEMAND_RESIDENTIAL_RECYCLED_WATER_GAL]:[NONPOTABLE_DEMAND_NONRESIDENTIAL_METERED_IRRIGATION_GAL]])</f>
        <v>0</v>
      </c>
      <c r="X1068" t="str">
        <f>IFERROR(INDEX(Crosswalk_API!$H$2:$H$527, MATCH(POTABLE_NONPOTABLE_API[[#This Row],[PWSID]], CW_PWSID_LIST, 0)), "")</f>
        <v>No</v>
      </c>
    </row>
    <row r="1069" spans="1:24" x14ac:dyDescent="0.25">
      <c r="A1069" t="s">
        <v>999</v>
      </c>
      <c r="B1069" t="s">
        <v>1000</v>
      </c>
      <c r="C1069" t="s">
        <v>1001</v>
      </c>
      <c r="D1069" t="s">
        <v>1002</v>
      </c>
      <c r="E1069" s="9">
        <v>45444</v>
      </c>
      <c r="F1069" s="9">
        <v>45473</v>
      </c>
      <c r="G1069">
        <v>201159411.37200001</v>
      </c>
      <c r="H1069">
        <v>12417663.200000001</v>
      </c>
      <c r="I1069">
        <v>63718321.307999998</v>
      </c>
      <c r="J1069">
        <v>0</v>
      </c>
      <c r="K1069">
        <v>0</v>
      </c>
      <c r="L1069">
        <v>488477.95600000001</v>
      </c>
      <c r="M1069">
        <v>0</v>
      </c>
      <c r="T1069" s="9">
        <v>45108</v>
      </c>
      <c r="U1069" s="9">
        <v>45473</v>
      </c>
      <c r="V1069">
        <f>SUM(POTABLE_NONPOTABLE_API[[#This Row],[RESIDENTIAL_SINGLEFAMILY_GAL]:[OTHER_GAL]])</f>
        <v>277783873.83599997</v>
      </c>
      <c r="W1069">
        <f>SUM(POTABLE_NONPOTABLE_API[[#This Row],[NONPOTABLE_DEMAND_RESIDENTIAL_RECYCLED_WATER_GAL]:[NONPOTABLE_DEMAND_NONRESIDENTIAL_METERED_IRRIGATION_GAL]])</f>
        <v>0</v>
      </c>
      <c r="X1069" t="str">
        <f>IFERROR(INDEX(Crosswalk_API!$H$2:$H$527, MATCH(POTABLE_NONPOTABLE_API[[#This Row],[PWSID]], CW_PWSID_LIST, 0)), "")</f>
        <v>No</v>
      </c>
    </row>
    <row r="1070" spans="1:24" x14ac:dyDescent="0.25">
      <c r="A1070" t="s">
        <v>1003</v>
      </c>
      <c r="B1070" t="s">
        <v>1004</v>
      </c>
      <c r="C1070" t="s">
        <v>1005</v>
      </c>
      <c r="D1070" t="s">
        <v>1006</v>
      </c>
      <c r="E1070" s="9">
        <v>45108</v>
      </c>
      <c r="F1070" s="9">
        <v>45138</v>
      </c>
      <c r="G1070">
        <v>263631478.04800001</v>
      </c>
      <c r="H1070">
        <v>20166733.868000001</v>
      </c>
      <c r="I1070">
        <v>92969398.664000005</v>
      </c>
      <c r="J1070">
        <v>0</v>
      </c>
      <c r="K1070">
        <v>113703.90400000001</v>
      </c>
      <c r="L1070">
        <v>48623.380000000005</v>
      </c>
      <c r="M1070">
        <v>0</v>
      </c>
      <c r="N1070">
        <v>0</v>
      </c>
      <c r="O1070">
        <v>0</v>
      </c>
      <c r="P1070">
        <v>0</v>
      </c>
      <c r="Q1070">
        <v>460800.03200000001</v>
      </c>
      <c r="R1070">
        <v>0</v>
      </c>
      <c r="S1070">
        <v>0</v>
      </c>
      <c r="T1070" s="9">
        <v>45108</v>
      </c>
      <c r="U1070" s="9">
        <v>45473</v>
      </c>
      <c r="V1070">
        <f>SUM(POTABLE_NONPOTABLE_API[[#This Row],[RESIDENTIAL_SINGLEFAMILY_GAL]:[OTHER_GAL]])</f>
        <v>376929937.86400002</v>
      </c>
      <c r="W1070">
        <f>SUM(POTABLE_NONPOTABLE_API[[#This Row],[NONPOTABLE_DEMAND_RESIDENTIAL_RECYCLED_WATER_GAL]:[NONPOTABLE_DEMAND_NONRESIDENTIAL_METERED_IRRIGATION_GAL]])</f>
        <v>460800.03200000001</v>
      </c>
      <c r="X1070" t="str">
        <f>IFERROR(INDEX(Crosswalk_API!$H$2:$H$527, MATCH(POTABLE_NONPOTABLE_API[[#This Row],[PWSID]], CW_PWSID_LIST, 0)), "")</f>
        <v>No</v>
      </c>
    </row>
    <row r="1071" spans="1:24" x14ac:dyDescent="0.25">
      <c r="A1071" t="s">
        <v>1003</v>
      </c>
      <c r="B1071" t="s">
        <v>1004</v>
      </c>
      <c r="C1071" t="s">
        <v>1005</v>
      </c>
      <c r="D1071" t="s">
        <v>1006</v>
      </c>
      <c r="E1071" s="9">
        <v>45139</v>
      </c>
      <c r="F1071" s="9">
        <v>45169</v>
      </c>
      <c r="G1071">
        <v>249381087.44800001</v>
      </c>
      <c r="H1071">
        <v>19229424.712000001</v>
      </c>
      <c r="I1071">
        <v>95336235.192000002</v>
      </c>
      <c r="J1071">
        <v>0</v>
      </c>
      <c r="K1071">
        <v>109215.592</v>
      </c>
      <c r="L1071">
        <v>126420.788</v>
      </c>
      <c r="M1071">
        <v>0</v>
      </c>
      <c r="N1071">
        <v>0</v>
      </c>
      <c r="O1071">
        <v>0</v>
      </c>
      <c r="P1071">
        <v>0</v>
      </c>
      <c r="Q1071">
        <v>9128478.5559999999</v>
      </c>
      <c r="R1071">
        <v>0</v>
      </c>
      <c r="S1071">
        <v>0</v>
      </c>
      <c r="T1071" s="9">
        <v>45108</v>
      </c>
      <c r="U1071" s="9">
        <v>45473</v>
      </c>
      <c r="V1071">
        <f>SUM(POTABLE_NONPOTABLE_API[[#This Row],[RESIDENTIAL_SINGLEFAMILY_GAL]:[OTHER_GAL]])</f>
        <v>364182383.73199999</v>
      </c>
      <c r="W1071">
        <f>SUM(POTABLE_NONPOTABLE_API[[#This Row],[NONPOTABLE_DEMAND_RESIDENTIAL_RECYCLED_WATER_GAL]:[NONPOTABLE_DEMAND_NONRESIDENTIAL_METERED_IRRIGATION_GAL]])</f>
        <v>9128478.5559999999</v>
      </c>
      <c r="X1071" t="str">
        <f>IFERROR(INDEX(Crosswalk_API!$H$2:$H$527, MATCH(POTABLE_NONPOTABLE_API[[#This Row],[PWSID]], CW_PWSID_LIST, 0)), "")</f>
        <v>No</v>
      </c>
    </row>
    <row r="1072" spans="1:24" x14ac:dyDescent="0.25">
      <c r="A1072" t="s">
        <v>1003</v>
      </c>
      <c r="B1072" t="s">
        <v>1004</v>
      </c>
      <c r="C1072" t="s">
        <v>1005</v>
      </c>
      <c r="D1072" t="s">
        <v>1006</v>
      </c>
      <c r="E1072" s="9">
        <v>45170</v>
      </c>
      <c r="F1072" s="9">
        <v>45199</v>
      </c>
      <c r="G1072">
        <v>271145660.38800001</v>
      </c>
      <c r="H1072">
        <v>20491388.436000001</v>
      </c>
      <c r="I1072">
        <v>94579206.568000004</v>
      </c>
      <c r="J1072">
        <v>0</v>
      </c>
      <c r="K1072">
        <v>120436.372</v>
      </c>
      <c r="L1072">
        <v>43387.016000000003</v>
      </c>
      <c r="M1072">
        <v>0</v>
      </c>
      <c r="N1072">
        <v>0</v>
      </c>
      <c r="O1072">
        <v>0</v>
      </c>
      <c r="P1072">
        <v>0</v>
      </c>
      <c r="Q1072">
        <v>5296208.16</v>
      </c>
      <c r="R1072">
        <v>0</v>
      </c>
      <c r="S1072">
        <v>0</v>
      </c>
      <c r="T1072" s="9">
        <v>45108</v>
      </c>
      <c r="U1072" s="9">
        <v>45473</v>
      </c>
      <c r="V1072">
        <f>SUM(POTABLE_NONPOTABLE_API[[#This Row],[RESIDENTIAL_SINGLEFAMILY_GAL]:[OTHER_GAL]])</f>
        <v>386380078.77999997</v>
      </c>
      <c r="W1072">
        <f>SUM(POTABLE_NONPOTABLE_API[[#This Row],[NONPOTABLE_DEMAND_RESIDENTIAL_RECYCLED_WATER_GAL]:[NONPOTABLE_DEMAND_NONRESIDENTIAL_METERED_IRRIGATION_GAL]])</f>
        <v>5296208.16</v>
      </c>
      <c r="X1072" t="str">
        <f>IFERROR(INDEX(Crosswalk_API!$H$2:$H$527, MATCH(POTABLE_NONPOTABLE_API[[#This Row],[PWSID]], CW_PWSID_LIST, 0)), "")</f>
        <v>No</v>
      </c>
    </row>
    <row r="1073" spans="1:24" x14ac:dyDescent="0.25">
      <c r="A1073" t="s">
        <v>1003</v>
      </c>
      <c r="B1073" t="s">
        <v>1004</v>
      </c>
      <c r="C1073" t="s">
        <v>1005</v>
      </c>
      <c r="D1073" t="s">
        <v>1006</v>
      </c>
      <c r="E1073" s="9">
        <v>45200</v>
      </c>
      <c r="F1073" s="9">
        <v>45230</v>
      </c>
      <c r="G1073">
        <v>233136390.21600002</v>
      </c>
      <c r="H1073">
        <v>18714764.936000001</v>
      </c>
      <c r="I1073">
        <v>87001439.807999998</v>
      </c>
      <c r="J1073">
        <v>0</v>
      </c>
      <c r="K1073">
        <v>116696.11200000001</v>
      </c>
      <c r="L1073">
        <v>88270.135999999999</v>
      </c>
      <c r="M1073">
        <v>0</v>
      </c>
      <c r="N1073">
        <v>0</v>
      </c>
      <c r="O1073">
        <v>0</v>
      </c>
      <c r="P1073">
        <v>0</v>
      </c>
      <c r="Q1073">
        <v>3734275.5840000003</v>
      </c>
      <c r="R1073">
        <v>0</v>
      </c>
      <c r="S1073">
        <v>0</v>
      </c>
      <c r="T1073" s="9">
        <v>45108</v>
      </c>
      <c r="U1073" s="9">
        <v>45473</v>
      </c>
      <c r="V1073">
        <f>SUM(POTABLE_NONPOTABLE_API[[#This Row],[RESIDENTIAL_SINGLEFAMILY_GAL]:[OTHER_GAL]])</f>
        <v>339057561.208</v>
      </c>
      <c r="W1073">
        <f>SUM(POTABLE_NONPOTABLE_API[[#This Row],[NONPOTABLE_DEMAND_RESIDENTIAL_RECYCLED_WATER_GAL]:[NONPOTABLE_DEMAND_NONRESIDENTIAL_METERED_IRRIGATION_GAL]])</f>
        <v>3734275.5840000003</v>
      </c>
      <c r="X1073" t="str">
        <f>IFERROR(INDEX(Crosswalk_API!$H$2:$H$527, MATCH(POTABLE_NONPOTABLE_API[[#This Row],[PWSID]], CW_PWSID_LIST, 0)), "")</f>
        <v>No</v>
      </c>
    </row>
    <row r="1074" spans="1:24" x14ac:dyDescent="0.25">
      <c r="A1074" t="s">
        <v>1003</v>
      </c>
      <c r="B1074" t="s">
        <v>1004</v>
      </c>
      <c r="C1074" t="s">
        <v>1005</v>
      </c>
      <c r="D1074" t="s">
        <v>1006</v>
      </c>
      <c r="E1074" s="9">
        <v>45231</v>
      </c>
      <c r="F1074" s="9">
        <v>45260</v>
      </c>
      <c r="G1074">
        <v>193181436.792</v>
      </c>
      <c r="H1074">
        <v>15385933.536</v>
      </c>
      <c r="I1074">
        <v>72002997.208000004</v>
      </c>
      <c r="J1074">
        <v>0</v>
      </c>
      <c r="K1074">
        <v>118940.268</v>
      </c>
      <c r="L1074">
        <v>63584.42</v>
      </c>
      <c r="M1074">
        <v>0</v>
      </c>
      <c r="N1074">
        <v>0</v>
      </c>
      <c r="O1074">
        <v>0</v>
      </c>
      <c r="P1074">
        <v>0</v>
      </c>
      <c r="Q1074">
        <v>3179969.0520000001</v>
      </c>
      <c r="R1074">
        <v>0</v>
      </c>
      <c r="S1074">
        <v>0</v>
      </c>
      <c r="T1074" s="9">
        <v>45108</v>
      </c>
      <c r="U1074" s="9">
        <v>45473</v>
      </c>
      <c r="V1074">
        <f>SUM(POTABLE_NONPOTABLE_API[[#This Row],[RESIDENTIAL_SINGLEFAMILY_GAL]:[OTHER_GAL]])</f>
        <v>280752892.22400004</v>
      </c>
      <c r="W1074">
        <f>SUM(POTABLE_NONPOTABLE_API[[#This Row],[NONPOTABLE_DEMAND_RESIDENTIAL_RECYCLED_WATER_GAL]:[NONPOTABLE_DEMAND_NONRESIDENTIAL_METERED_IRRIGATION_GAL]])</f>
        <v>3179969.0520000001</v>
      </c>
      <c r="X1074" t="str">
        <f>IFERROR(INDEX(Crosswalk_API!$H$2:$H$527, MATCH(POTABLE_NONPOTABLE_API[[#This Row],[PWSID]], CW_PWSID_LIST, 0)), "")</f>
        <v>No</v>
      </c>
    </row>
    <row r="1075" spans="1:24" x14ac:dyDescent="0.25">
      <c r="A1075" t="s">
        <v>1003</v>
      </c>
      <c r="B1075" t="s">
        <v>1004</v>
      </c>
      <c r="C1075" t="s">
        <v>1005</v>
      </c>
      <c r="D1075" t="s">
        <v>1006</v>
      </c>
      <c r="E1075" s="9">
        <v>45261</v>
      </c>
      <c r="F1075" s="9">
        <v>45291</v>
      </c>
      <c r="G1075">
        <v>152119366.40799999</v>
      </c>
      <c r="H1075">
        <v>13870380.184</v>
      </c>
      <c r="I1075">
        <v>52434704.940000005</v>
      </c>
      <c r="J1075">
        <v>0</v>
      </c>
      <c r="K1075">
        <v>134649.36000000002</v>
      </c>
      <c r="L1075">
        <v>17953.248</v>
      </c>
      <c r="M1075">
        <v>0</v>
      </c>
      <c r="N1075">
        <v>0</v>
      </c>
      <c r="O1075">
        <v>0</v>
      </c>
      <c r="P1075">
        <v>0</v>
      </c>
      <c r="Q1075">
        <v>2727397.5920000002</v>
      </c>
      <c r="R1075">
        <v>0</v>
      </c>
      <c r="S1075">
        <v>0</v>
      </c>
      <c r="T1075" s="9">
        <v>45108</v>
      </c>
      <c r="U1075" s="9">
        <v>45473</v>
      </c>
      <c r="V1075">
        <f>SUM(POTABLE_NONPOTABLE_API[[#This Row],[RESIDENTIAL_SINGLEFAMILY_GAL]:[OTHER_GAL]])</f>
        <v>218577054.14000002</v>
      </c>
      <c r="W1075">
        <f>SUM(POTABLE_NONPOTABLE_API[[#This Row],[NONPOTABLE_DEMAND_RESIDENTIAL_RECYCLED_WATER_GAL]:[NONPOTABLE_DEMAND_NONRESIDENTIAL_METERED_IRRIGATION_GAL]])</f>
        <v>2727397.5920000002</v>
      </c>
      <c r="X1075" t="str">
        <f>IFERROR(INDEX(Crosswalk_API!$H$2:$H$527, MATCH(POTABLE_NONPOTABLE_API[[#This Row],[PWSID]], CW_PWSID_LIST, 0)), "")</f>
        <v>No</v>
      </c>
    </row>
    <row r="1076" spans="1:24" x14ac:dyDescent="0.25">
      <c r="A1076" t="s">
        <v>1003</v>
      </c>
      <c r="B1076" t="s">
        <v>1004</v>
      </c>
      <c r="C1076" t="s">
        <v>1005</v>
      </c>
      <c r="D1076" t="s">
        <v>1006</v>
      </c>
      <c r="E1076" s="9">
        <v>45292</v>
      </c>
      <c r="F1076" s="9">
        <v>45322</v>
      </c>
      <c r="G1076">
        <v>109288153.044</v>
      </c>
      <c r="H1076">
        <v>13550213.928000001</v>
      </c>
      <c r="I1076">
        <v>38792480.616000004</v>
      </c>
      <c r="J1076">
        <v>0</v>
      </c>
      <c r="K1076">
        <v>31418.184000000001</v>
      </c>
      <c r="L1076">
        <v>41890.912000000004</v>
      </c>
      <c r="M1076">
        <v>0</v>
      </c>
      <c r="N1076">
        <v>0</v>
      </c>
      <c r="O1076">
        <v>0</v>
      </c>
      <c r="P1076">
        <v>0</v>
      </c>
      <c r="Q1076">
        <v>2088561.1840000001</v>
      </c>
      <c r="R1076">
        <v>0</v>
      </c>
      <c r="S1076">
        <v>0</v>
      </c>
      <c r="T1076" s="9">
        <v>45108</v>
      </c>
      <c r="U1076" s="9">
        <v>45473</v>
      </c>
      <c r="V1076">
        <f>SUM(POTABLE_NONPOTABLE_API[[#This Row],[RESIDENTIAL_SINGLEFAMILY_GAL]:[OTHER_GAL]])</f>
        <v>161704156.68399999</v>
      </c>
      <c r="W1076">
        <f>SUM(POTABLE_NONPOTABLE_API[[#This Row],[NONPOTABLE_DEMAND_RESIDENTIAL_RECYCLED_WATER_GAL]:[NONPOTABLE_DEMAND_NONRESIDENTIAL_METERED_IRRIGATION_GAL]])</f>
        <v>2088561.1840000001</v>
      </c>
      <c r="X1076" t="str">
        <f>IFERROR(INDEX(Crosswalk_API!$H$2:$H$527, MATCH(POTABLE_NONPOTABLE_API[[#This Row],[PWSID]], CW_PWSID_LIST, 0)), "")</f>
        <v>No</v>
      </c>
    </row>
    <row r="1077" spans="1:24" x14ac:dyDescent="0.25">
      <c r="A1077" t="s">
        <v>1003</v>
      </c>
      <c r="B1077" t="s">
        <v>1004</v>
      </c>
      <c r="C1077" t="s">
        <v>1005</v>
      </c>
      <c r="D1077" t="s">
        <v>1006</v>
      </c>
      <c r="E1077" s="9">
        <v>45323</v>
      </c>
      <c r="F1077" s="9">
        <v>45351</v>
      </c>
      <c r="G1077">
        <v>87152546.312000006</v>
      </c>
      <c r="H1077">
        <v>11626972.236</v>
      </c>
      <c r="I1077">
        <v>36445841.491999999</v>
      </c>
      <c r="J1077">
        <v>0</v>
      </c>
      <c r="K1077">
        <v>19449.351999999999</v>
      </c>
      <c r="L1077">
        <v>198981.83199999999</v>
      </c>
      <c r="M1077">
        <v>0</v>
      </c>
      <c r="N1077">
        <v>0</v>
      </c>
      <c r="O1077">
        <v>0</v>
      </c>
      <c r="P1077">
        <v>0</v>
      </c>
      <c r="Q1077">
        <v>2495501.4720000001</v>
      </c>
      <c r="R1077">
        <v>0</v>
      </c>
      <c r="S1077">
        <v>0</v>
      </c>
      <c r="T1077" s="9">
        <v>45108</v>
      </c>
      <c r="U1077" s="9">
        <v>45473</v>
      </c>
      <c r="V1077">
        <f>SUM(POTABLE_NONPOTABLE_API[[#This Row],[RESIDENTIAL_SINGLEFAMILY_GAL]:[OTHER_GAL]])</f>
        <v>135443791.22400001</v>
      </c>
      <c r="W1077">
        <f>SUM(POTABLE_NONPOTABLE_API[[#This Row],[NONPOTABLE_DEMAND_RESIDENTIAL_RECYCLED_WATER_GAL]:[NONPOTABLE_DEMAND_NONRESIDENTIAL_METERED_IRRIGATION_GAL]])</f>
        <v>2495501.4720000001</v>
      </c>
      <c r="X1077" t="str">
        <f>IFERROR(INDEX(Crosswalk_API!$H$2:$H$527, MATCH(POTABLE_NONPOTABLE_API[[#This Row],[PWSID]], CW_PWSID_LIST, 0)), "")</f>
        <v>No</v>
      </c>
    </row>
    <row r="1078" spans="1:24" x14ac:dyDescent="0.25">
      <c r="A1078" t="s">
        <v>1003</v>
      </c>
      <c r="B1078" t="s">
        <v>1004</v>
      </c>
      <c r="C1078" t="s">
        <v>1005</v>
      </c>
      <c r="D1078" t="s">
        <v>1006</v>
      </c>
      <c r="E1078" s="9">
        <v>45352</v>
      </c>
      <c r="F1078" s="9">
        <v>45382</v>
      </c>
      <c r="G1078">
        <v>87386686.588</v>
      </c>
      <c r="H1078">
        <v>12733341.144000001</v>
      </c>
      <c r="I1078">
        <v>36273041.480000004</v>
      </c>
      <c r="J1078">
        <v>0</v>
      </c>
      <c r="K1078">
        <v>23189.612000000001</v>
      </c>
      <c r="L1078">
        <v>38150.652000000002</v>
      </c>
      <c r="M1078">
        <v>0</v>
      </c>
      <c r="N1078">
        <v>0</v>
      </c>
      <c r="O1078">
        <v>0</v>
      </c>
      <c r="P1078">
        <v>0</v>
      </c>
      <c r="Q1078">
        <v>3404384.6520000002</v>
      </c>
      <c r="R1078">
        <v>0</v>
      </c>
      <c r="S1078">
        <v>0</v>
      </c>
      <c r="T1078" s="9">
        <v>45108</v>
      </c>
      <c r="U1078" s="9">
        <v>45473</v>
      </c>
      <c r="V1078">
        <f>SUM(POTABLE_NONPOTABLE_API[[#This Row],[RESIDENTIAL_SINGLEFAMILY_GAL]:[OTHER_GAL]])</f>
        <v>136454409.47600001</v>
      </c>
      <c r="W1078">
        <f>SUM(POTABLE_NONPOTABLE_API[[#This Row],[NONPOTABLE_DEMAND_RESIDENTIAL_RECYCLED_WATER_GAL]:[NONPOTABLE_DEMAND_NONRESIDENTIAL_METERED_IRRIGATION_GAL]])</f>
        <v>3404384.6520000002</v>
      </c>
      <c r="X1078" t="str">
        <f>IFERROR(INDEX(Crosswalk_API!$H$2:$H$527, MATCH(POTABLE_NONPOTABLE_API[[#This Row],[PWSID]], CW_PWSID_LIST, 0)), "")</f>
        <v>No</v>
      </c>
    </row>
    <row r="1079" spans="1:24" x14ac:dyDescent="0.25">
      <c r="A1079" t="s">
        <v>1003</v>
      </c>
      <c r="B1079" t="s">
        <v>1004</v>
      </c>
      <c r="C1079" t="s">
        <v>1005</v>
      </c>
      <c r="D1079" t="s">
        <v>1006</v>
      </c>
      <c r="E1079" s="9">
        <v>45383</v>
      </c>
      <c r="F1079" s="9">
        <v>45412</v>
      </c>
      <c r="G1079">
        <v>104865669.62</v>
      </c>
      <c r="H1079">
        <v>12242619.032</v>
      </c>
      <c r="I1079">
        <v>44414839.447999999</v>
      </c>
      <c r="J1079">
        <v>0</v>
      </c>
      <c r="K1079">
        <v>23189.612000000001</v>
      </c>
      <c r="L1079">
        <v>35158.444000000003</v>
      </c>
      <c r="M1079">
        <v>0</v>
      </c>
      <c r="N1079">
        <v>0</v>
      </c>
      <c r="O1079">
        <v>0</v>
      </c>
      <c r="P1079">
        <v>0</v>
      </c>
      <c r="Q1079">
        <v>4845880.8559999997</v>
      </c>
      <c r="R1079">
        <v>0</v>
      </c>
      <c r="S1079">
        <v>0</v>
      </c>
      <c r="T1079" s="9">
        <v>45108</v>
      </c>
      <c r="U1079" s="9">
        <v>45473</v>
      </c>
      <c r="V1079">
        <f>SUM(POTABLE_NONPOTABLE_API[[#This Row],[RESIDENTIAL_SINGLEFAMILY_GAL]:[OTHER_GAL]])</f>
        <v>161581476.15600002</v>
      </c>
      <c r="W1079">
        <f>SUM(POTABLE_NONPOTABLE_API[[#This Row],[NONPOTABLE_DEMAND_RESIDENTIAL_RECYCLED_WATER_GAL]:[NONPOTABLE_DEMAND_NONRESIDENTIAL_METERED_IRRIGATION_GAL]])</f>
        <v>4845880.8559999997</v>
      </c>
      <c r="X1079" t="str">
        <f>IFERROR(INDEX(Crosswalk_API!$H$2:$H$527, MATCH(POTABLE_NONPOTABLE_API[[#This Row],[PWSID]], CW_PWSID_LIST, 0)), "")</f>
        <v>No</v>
      </c>
    </row>
    <row r="1080" spans="1:24" x14ac:dyDescent="0.25">
      <c r="A1080" t="s">
        <v>1003</v>
      </c>
      <c r="B1080" t="s">
        <v>1004</v>
      </c>
      <c r="C1080" t="s">
        <v>1005</v>
      </c>
      <c r="D1080" t="s">
        <v>1006</v>
      </c>
      <c r="E1080" s="9">
        <v>45413</v>
      </c>
      <c r="F1080" s="9">
        <v>45443</v>
      </c>
      <c r="G1080">
        <v>162053496.96799999</v>
      </c>
      <c r="H1080">
        <v>16947118.059999999</v>
      </c>
      <c r="I1080">
        <v>67463069.620000005</v>
      </c>
      <c r="J1080">
        <v>0</v>
      </c>
      <c r="K1080">
        <v>99490.915999999997</v>
      </c>
      <c r="L1080">
        <v>95750.656000000003</v>
      </c>
      <c r="M1080">
        <v>0</v>
      </c>
      <c r="N1080">
        <v>0</v>
      </c>
      <c r="O1080">
        <v>0</v>
      </c>
      <c r="P1080">
        <v>0</v>
      </c>
      <c r="Q1080">
        <v>3813569.0959999999</v>
      </c>
      <c r="R1080">
        <v>0</v>
      </c>
      <c r="S1080">
        <v>0</v>
      </c>
      <c r="T1080" s="9">
        <v>45108</v>
      </c>
      <c r="U1080" s="9">
        <v>45473</v>
      </c>
      <c r="V1080">
        <f>SUM(POTABLE_NONPOTABLE_API[[#This Row],[RESIDENTIAL_SINGLEFAMILY_GAL]:[OTHER_GAL]])</f>
        <v>246658926.22</v>
      </c>
      <c r="W1080">
        <f>SUM(POTABLE_NONPOTABLE_API[[#This Row],[NONPOTABLE_DEMAND_RESIDENTIAL_RECYCLED_WATER_GAL]:[NONPOTABLE_DEMAND_NONRESIDENTIAL_METERED_IRRIGATION_GAL]])</f>
        <v>3813569.0959999999</v>
      </c>
      <c r="X1080" t="str">
        <f>IFERROR(INDEX(Crosswalk_API!$H$2:$H$527, MATCH(POTABLE_NONPOTABLE_API[[#This Row],[PWSID]], CW_PWSID_LIST, 0)), "")</f>
        <v>No</v>
      </c>
    </row>
    <row r="1081" spans="1:24" x14ac:dyDescent="0.25">
      <c r="A1081" t="s">
        <v>1003</v>
      </c>
      <c r="B1081" t="s">
        <v>1004</v>
      </c>
      <c r="C1081" t="s">
        <v>1005</v>
      </c>
      <c r="D1081" t="s">
        <v>1006</v>
      </c>
      <c r="E1081" s="9">
        <v>45444</v>
      </c>
      <c r="F1081" s="9">
        <v>45473</v>
      </c>
      <c r="G1081">
        <v>232491569.39200002</v>
      </c>
      <c r="H1081">
        <v>18889809.104000002</v>
      </c>
      <c r="I1081">
        <v>88309034.703999996</v>
      </c>
      <c r="J1081">
        <v>0</v>
      </c>
      <c r="K1081">
        <v>92010.396000000008</v>
      </c>
      <c r="L1081">
        <v>171303.908</v>
      </c>
      <c r="M1081">
        <v>0</v>
      </c>
      <c r="N1081">
        <v>0</v>
      </c>
      <c r="O1081">
        <v>0</v>
      </c>
      <c r="P1081">
        <v>0</v>
      </c>
      <c r="Q1081">
        <v>7891948.6000000006</v>
      </c>
      <c r="R1081">
        <v>0</v>
      </c>
      <c r="S1081">
        <v>0</v>
      </c>
      <c r="T1081" s="9">
        <v>45108</v>
      </c>
      <c r="U1081" s="9">
        <v>45473</v>
      </c>
      <c r="V1081">
        <f>SUM(POTABLE_NONPOTABLE_API[[#This Row],[RESIDENTIAL_SINGLEFAMILY_GAL]:[OTHER_GAL]])</f>
        <v>339953727.50400007</v>
      </c>
      <c r="W1081">
        <f>SUM(POTABLE_NONPOTABLE_API[[#This Row],[NONPOTABLE_DEMAND_RESIDENTIAL_RECYCLED_WATER_GAL]:[NONPOTABLE_DEMAND_NONRESIDENTIAL_METERED_IRRIGATION_GAL]])</f>
        <v>7891948.6000000006</v>
      </c>
      <c r="X1081" t="str">
        <f>IFERROR(INDEX(Crosswalk_API!$H$2:$H$527, MATCH(POTABLE_NONPOTABLE_API[[#This Row],[PWSID]], CW_PWSID_LIST, 0)), "")</f>
        <v>No</v>
      </c>
    </row>
    <row r="1082" spans="1:24" x14ac:dyDescent="0.25">
      <c r="A1082" t="s">
        <v>1008</v>
      </c>
      <c r="B1082" t="s">
        <v>1009</v>
      </c>
      <c r="C1082" t="s">
        <v>1010</v>
      </c>
      <c r="D1082" t="s">
        <v>1011</v>
      </c>
      <c r="E1082" s="9">
        <v>45108</v>
      </c>
      <c r="F1082" s="9">
        <v>45138</v>
      </c>
      <c r="G1082">
        <v>32395887.964000002</v>
      </c>
      <c r="H1082">
        <v>8442514.8719999995</v>
      </c>
      <c r="I1082">
        <v>20409102.716000002</v>
      </c>
      <c r="J1082">
        <v>0</v>
      </c>
      <c r="K1082">
        <v>139137.67199999999</v>
      </c>
      <c r="L1082">
        <v>116696.11200000001</v>
      </c>
      <c r="M1082">
        <v>0</v>
      </c>
      <c r="T1082" s="9">
        <v>45108</v>
      </c>
      <c r="U1082" s="9">
        <v>45473</v>
      </c>
      <c r="V1082">
        <f>SUM(POTABLE_NONPOTABLE_API[[#This Row],[RESIDENTIAL_SINGLEFAMILY_GAL]:[OTHER_GAL]])</f>
        <v>61503339.336000003</v>
      </c>
      <c r="W1082">
        <f>SUM(POTABLE_NONPOTABLE_API[[#This Row],[NONPOTABLE_DEMAND_RESIDENTIAL_RECYCLED_WATER_GAL]:[NONPOTABLE_DEMAND_NONRESIDENTIAL_METERED_IRRIGATION_GAL]])</f>
        <v>0</v>
      </c>
      <c r="X1082" t="str">
        <f>IFERROR(INDEX(Crosswalk_API!$H$2:$H$527, MATCH(POTABLE_NONPOTABLE_API[[#This Row],[PWSID]], CW_PWSID_LIST, 0)), "")</f>
        <v>No</v>
      </c>
    </row>
    <row r="1083" spans="1:24" x14ac:dyDescent="0.25">
      <c r="A1083" t="s">
        <v>1008</v>
      </c>
      <c r="B1083" t="s">
        <v>1009</v>
      </c>
      <c r="C1083" t="s">
        <v>1010</v>
      </c>
      <c r="D1083" t="s">
        <v>1011</v>
      </c>
      <c r="E1083" s="9">
        <v>45139</v>
      </c>
      <c r="F1083" s="9">
        <v>45169</v>
      </c>
      <c r="G1083">
        <v>30254215.088</v>
      </c>
      <c r="H1083">
        <v>8195657.7120000003</v>
      </c>
      <c r="I1083">
        <v>23207565.248</v>
      </c>
      <c r="J1083">
        <v>0</v>
      </c>
      <c r="K1083">
        <v>113703.90400000001</v>
      </c>
      <c r="L1083">
        <v>0</v>
      </c>
      <c r="M1083">
        <v>0</v>
      </c>
      <c r="T1083" s="9">
        <v>45108</v>
      </c>
      <c r="U1083" s="9">
        <v>45473</v>
      </c>
      <c r="V1083">
        <f>SUM(POTABLE_NONPOTABLE_API[[#This Row],[RESIDENTIAL_SINGLEFAMILY_GAL]:[OTHER_GAL]])</f>
        <v>61771141.951999992</v>
      </c>
      <c r="W1083">
        <f>SUM(POTABLE_NONPOTABLE_API[[#This Row],[NONPOTABLE_DEMAND_RESIDENTIAL_RECYCLED_WATER_GAL]:[NONPOTABLE_DEMAND_NONRESIDENTIAL_METERED_IRRIGATION_GAL]])</f>
        <v>0</v>
      </c>
      <c r="X1083" t="str">
        <f>IFERROR(INDEX(Crosswalk_API!$H$2:$H$527, MATCH(POTABLE_NONPOTABLE_API[[#This Row],[PWSID]], CW_PWSID_LIST, 0)), "")</f>
        <v>No</v>
      </c>
    </row>
    <row r="1084" spans="1:24" x14ac:dyDescent="0.25">
      <c r="A1084" t="s">
        <v>1008</v>
      </c>
      <c r="B1084" t="s">
        <v>1009</v>
      </c>
      <c r="C1084" t="s">
        <v>1010</v>
      </c>
      <c r="D1084" t="s">
        <v>1011</v>
      </c>
      <c r="E1084" s="9">
        <v>45170</v>
      </c>
      <c r="F1084" s="9">
        <v>45199</v>
      </c>
      <c r="G1084">
        <v>30702298.236000001</v>
      </c>
      <c r="H1084">
        <v>9496520.1400000006</v>
      </c>
      <c r="I1084">
        <v>27739264.264000002</v>
      </c>
      <c r="J1084">
        <v>0</v>
      </c>
      <c r="K1084">
        <v>8228.5720000000001</v>
      </c>
      <c r="L1084">
        <v>510919.516</v>
      </c>
      <c r="M1084">
        <v>0</v>
      </c>
      <c r="T1084" s="9">
        <v>45108</v>
      </c>
      <c r="U1084" s="9">
        <v>45473</v>
      </c>
      <c r="V1084">
        <f>SUM(POTABLE_NONPOTABLE_API[[#This Row],[RESIDENTIAL_SINGLEFAMILY_GAL]:[OTHER_GAL]])</f>
        <v>68457230.728</v>
      </c>
      <c r="W1084">
        <f>SUM(POTABLE_NONPOTABLE_API[[#This Row],[NONPOTABLE_DEMAND_RESIDENTIAL_RECYCLED_WATER_GAL]:[NONPOTABLE_DEMAND_NONRESIDENTIAL_METERED_IRRIGATION_GAL]])</f>
        <v>0</v>
      </c>
      <c r="X1084" t="str">
        <f>IFERROR(INDEX(Crosswalk_API!$H$2:$H$527, MATCH(POTABLE_NONPOTABLE_API[[#This Row],[PWSID]], CW_PWSID_LIST, 0)), "")</f>
        <v>No</v>
      </c>
    </row>
    <row r="1085" spans="1:24" x14ac:dyDescent="0.25">
      <c r="A1085" t="s">
        <v>1008</v>
      </c>
      <c r="B1085" t="s">
        <v>1009</v>
      </c>
      <c r="C1085" t="s">
        <v>1010</v>
      </c>
      <c r="D1085" t="s">
        <v>1011</v>
      </c>
      <c r="E1085" s="9">
        <v>45200</v>
      </c>
      <c r="F1085" s="9">
        <v>45230</v>
      </c>
      <c r="G1085">
        <v>23551669.168000001</v>
      </c>
      <c r="H1085">
        <v>8065496.6639999999</v>
      </c>
      <c r="I1085">
        <v>24391731.563999999</v>
      </c>
      <c r="J1085">
        <v>0</v>
      </c>
      <c r="K1085">
        <v>13464.936</v>
      </c>
      <c r="L1085">
        <v>366545.48</v>
      </c>
      <c r="M1085">
        <v>0</v>
      </c>
      <c r="T1085" s="9">
        <v>45108</v>
      </c>
      <c r="U1085" s="9">
        <v>45473</v>
      </c>
      <c r="V1085">
        <f>SUM(POTABLE_NONPOTABLE_API[[#This Row],[RESIDENTIAL_SINGLEFAMILY_GAL]:[OTHER_GAL]])</f>
        <v>56388907.811999992</v>
      </c>
      <c r="W1085">
        <f>SUM(POTABLE_NONPOTABLE_API[[#This Row],[NONPOTABLE_DEMAND_RESIDENTIAL_RECYCLED_WATER_GAL]:[NONPOTABLE_DEMAND_NONRESIDENTIAL_METERED_IRRIGATION_GAL]])</f>
        <v>0</v>
      </c>
      <c r="X1085" t="str">
        <f>IFERROR(INDEX(Crosswalk_API!$H$2:$H$527, MATCH(POTABLE_NONPOTABLE_API[[#This Row],[PWSID]], CW_PWSID_LIST, 0)), "")</f>
        <v>No</v>
      </c>
    </row>
    <row r="1086" spans="1:24" x14ac:dyDescent="0.25">
      <c r="A1086" t="s">
        <v>1008</v>
      </c>
      <c r="B1086" t="s">
        <v>1009</v>
      </c>
      <c r="C1086" t="s">
        <v>1010</v>
      </c>
      <c r="D1086" t="s">
        <v>1011</v>
      </c>
      <c r="E1086" s="9">
        <v>45231</v>
      </c>
      <c r="F1086" s="9">
        <v>45260</v>
      </c>
      <c r="G1086">
        <v>17747533.699999999</v>
      </c>
      <c r="H1086">
        <v>6499075.7760000005</v>
      </c>
      <c r="I1086">
        <v>14544375.036</v>
      </c>
      <c r="J1086">
        <v>0</v>
      </c>
      <c r="K1086">
        <v>12716.884</v>
      </c>
      <c r="L1086">
        <v>80041.563999999998</v>
      </c>
      <c r="M1086">
        <v>0</v>
      </c>
      <c r="T1086" s="9">
        <v>45108</v>
      </c>
      <c r="U1086" s="9">
        <v>45473</v>
      </c>
      <c r="V1086">
        <f>SUM(POTABLE_NONPOTABLE_API[[#This Row],[RESIDENTIAL_SINGLEFAMILY_GAL]:[OTHER_GAL]])</f>
        <v>38883742.960000008</v>
      </c>
      <c r="W1086">
        <f>SUM(POTABLE_NONPOTABLE_API[[#This Row],[NONPOTABLE_DEMAND_RESIDENTIAL_RECYCLED_WATER_GAL]:[NONPOTABLE_DEMAND_NONRESIDENTIAL_METERED_IRRIGATION_GAL]])</f>
        <v>0</v>
      </c>
      <c r="X1086" t="str">
        <f>IFERROR(INDEX(Crosswalk_API!$H$2:$H$527, MATCH(POTABLE_NONPOTABLE_API[[#This Row],[PWSID]], CW_PWSID_LIST, 0)), "")</f>
        <v>No</v>
      </c>
    </row>
    <row r="1087" spans="1:24" x14ac:dyDescent="0.25">
      <c r="A1087" t="s">
        <v>1008</v>
      </c>
      <c r="B1087" t="s">
        <v>1009</v>
      </c>
      <c r="C1087" t="s">
        <v>1010</v>
      </c>
      <c r="D1087" t="s">
        <v>1011</v>
      </c>
      <c r="E1087" s="9">
        <v>45261</v>
      </c>
      <c r="F1087" s="9">
        <v>45291</v>
      </c>
      <c r="G1087">
        <v>16851367.403999999</v>
      </c>
      <c r="H1087">
        <v>6481122.5279999999</v>
      </c>
      <c r="I1087">
        <v>12583730.744000001</v>
      </c>
      <c r="J1087">
        <v>0</v>
      </c>
      <c r="K1087">
        <v>13464.936</v>
      </c>
      <c r="L1087">
        <v>342607.81599999999</v>
      </c>
      <c r="M1087">
        <v>0</v>
      </c>
      <c r="T1087" s="9">
        <v>45108</v>
      </c>
      <c r="U1087" s="9">
        <v>45473</v>
      </c>
      <c r="V1087">
        <f>SUM(POTABLE_NONPOTABLE_API[[#This Row],[RESIDENTIAL_SINGLEFAMILY_GAL]:[OTHER_GAL]])</f>
        <v>36272293.427999996</v>
      </c>
      <c r="W1087">
        <f>SUM(POTABLE_NONPOTABLE_API[[#This Row],[NONPOTABLE_DEMAND_RESIDENTIAL_RECYCLED_WATER_GAL]:[NONPOTABLE_DEMAND_NONRESIDENTIAL_METERED_IRRIGATION_GAL]])</f>
        <v>0</v>
      </c>
      <c r="X1087" t="str">
        <f>IFERROR(INDEX(Crosswalk_API!$H$2:$H$527, MATCH(POTABLE_NONPOTABLE_API[[#This Row],[PWSID]], CW_PWSID_LIST, 0)), "")</f>
        <v>No</v>
      </c>
    </row>
    <row r="1088" spans="1:24" x14ac:dyDescent="0.25">
      <c r="A1088" t="s">
        <v>1008</v>
      </c>
      <c r="B1088" t="s">
        <v>1009</v>
      </c>
      <c r="C1088" t="s">
        <v>1010</v>
      </c>
      <c r="D1088" t="s">
        <v>1011</v>
      </c>
      <c r="E1088" s="9">
        <v>45292</v>
      </c>
      <c r="F1088" s="9">
        <v>45322</v>
      </c>
      <c r="G1088">
        <v>14690245.176000001</v>
      </c>
      <c r="H1088">
        <v>6141506.9199999999</v>
      </c>
      <c r="I1088">
        <v>11416769.624</v>
      </c>
      <c r="J1088">
        <v>0</v>
      </c>
      <c r="K1088">
        <v>14961.04</v>
      </c>
      <c r="L1088">
        <v>169807.804</v>
      </c>
      <c r="M1088">
        <v>0</v>
      </c>
      <c r="T1088" s="9">
        <v>45108</v>
      </c>
      <c r="U1088" s="9">
        <v>45473</v>
      </c>
      <c r="V1088">
        <f>SUM(POTABLE_NONPOTABLE_API[[#This Row],[RESIDENTIAL_SINGLEFAMILY_GAL]:[OTHER_GAL]])</f>
        <v>32433290.563999999</v>
      </c>
      <c r="W1088">
        <f>SUM(POTABLE_NONPOTABLE_API[[#This Row],[NONPOTABLE_DEMAND_RESIDENTIAL_RECYCLED_WATER_GAL]:[NONPOTABLE_DEMAND_NONRESIDENTIAL_METERED_IRRIGATION_GAL]])</f>
        <v>0</v>
      </c>
      <c r="X1088" t="str">
        <f>IFERROR(INDEX(Crosswalk_API!$H$2:$H$527, MATCH(POTABLE_NONPOTABLE_API[[#This Row],[PWSID]], CW_PWSID_LIST, 0)), "")</f>
        <v>No</v>
      </c>
    </row>
    <row r="1089" spans="1:24" x14ac:dyDescent="0.25">
      <c r="A1089" t="s">
        <v>1008</v>
      </c>
      <c r="B1089" t="s">
        <v>1009</v>
      </c>
      <c r="C1089" t="s">
        <v>1010</v>
      </c>
      <c r="D1089" t="s">
        <v>1011</v>
      </c>
      <c r="E1089" s="9">
        <v>45323</v>
      </c>
      <c r="F1089" s="9">
        <v>45351</v>
      </c>
      <c r="G1089">
        <v>13426037.296</v>
      </c>
      <c r="H1089">
        <v>5722597.7999999998</v>
      </c>
      <c r="I1089">
        <v>10113663.040000001</v>
      </c>
      <c r="J1089">
        <v>0</v>
      </c>
      <c r="K1089">
        <v>13464.936</v>
      </c>
      <c r="L1089">
        <v>0</v>
      </c>
      <c r="M1089">
        <v>0</v>
      </c>
      <c r="T1089" s="9">
        <v>45108</v>
      </c>
      <c r="U1089" s="9">
        <v>45473</v>
      </c>
      <c r="V1089">
        <f>SUM(POTABLE_NONPOTABLE_API[[#This Row],[RESIDENTIAL_SINGLEFAMILY_GAL]:[OTHER_GAL]])</f>
        <v>29275763.072000001</v>
      </c>
      <c r="W1089">
        <f>SUM(POTABLE_NONPOTABLE_API[[#This Row],[NONPOTABLE_DEMAND_RESIDENTIAL_RECYCLED_WATER_GAL]:[NONPOTABLE_DEMAND_NONRESIDENTIAL_METERED_IRRIGATION_GAL]])</f>
        <v>0</v>
      </c>
      <c r="X1089" t="str">
        <f>IFERROR(INDEX(Crosswalk_API!$H$2:$H$527, MATCH(POTABLE_NONPOTABLE_API[[#This Row],[PWSID]], CW_PWSID_LIST, 0)), "")</f>
        <v>No</v>
      </c>
    </row>
    <row r="1090" spans="1:24" x14ac:dyDescent="0.25">
      <c r="A1090" t="s">
        <v>1008</v>
      </c>
      <c r="B1090" t="s">
        <v>1009</v>
      </c>
      <c r="C1090" t="s">
        <v>1010</v>
      </c>
      <c r="D1090" t="s">
        <v>1011</v>
      </c>
      <c r="E1090" s="9">
        <v>45352</v>
      </c>
      <c r="F1090" s="9">
        <v>45382</v>
      </c>
      <c r="G1090">
        <v>13129060.652000001</v>
      </c>
      <c r="H1090">
        <v>5966462.7520000003</v>
      </c>
      <c r="I1090">
        <v>10047834.464</v>
      </c>
      <c r="J1090">
        <v>0</v>
      </c>
      <c r="K1090">
        <v>15709.092000000001</v>
      </c>
      <c r="L1090">
        <v>95002.604000000007</v>
      </c>
      <c r="M1090">
        <v>0</v>
      </c>
      <c r="T1090" s="9">
        <v>45108</v>
      </c>
      <c r="U1090" s="9">
        <v>45473</v>
      </c>
      <c r="V1090">
        <f>SUM(POTABLE_NONPOTABLE_API[[#This Row],[RESIDENTIAL_SINGLEFAMILY_GAL]:[OTHER_GAL]])</f>
        <v>29254069.563999999</v>
      </c>
      <c r="W1090">
        <f>SUM(POTABLE_NONPOTABLE_API[[#This Row],[NONPOTABLE_DEMAND_RESIDENTIAL_RECYCLED_WATER_GAL]:[NONPOTABLE_DEMAND_NONRESIDENTIAL_METERED_IRRIGATION_GAL]])</f>
        <v>0</v>
      </c>
      <c r="X1090" t="str">
        <f>IFERROR(INDEX(Crosswalk_API!$H$2:$H$527, MATCH(POTABLE_NONPOTABLE_API[[#This Row],[PWSID]], CW_PWSID_LIST, 0)), "")</f>
        <v>No</v>
      </c>
    </row>
    <row r="1091" spans="1:24" x14ac:dyDescent="0.25">
      <c r="A1091" t="s">
        <v>1008</v>
      </c>
      <c r="B1091" t="s">
        <v>1009</v>
      </c>
      <c r="C1091" t="s">
        <v>1010</v>
      </c>
      <c r="D1091" t="s">
        <v>1011</v>
      </c>
      <c r="E1091" s="9">
        <v>45383</v>
      </c>
      <c r="F1091" s="9">
        <v>45412</v>
      </c>
      <c r="G1091">
        <v>14229445.144000001</v>
      </c>
      <c r="H1091">
        <v>5900634.176</v>
      </c>
      <c r="I1091">
        <v>10563990.344000001</v>
      </c>
      <c r="J1091">
        <v>0</v>
      </c>
      <c r="K1091">
        <v>13464.936</v>
      </c>
      <c r="L1091">
        <v>51615.588000000003</v>
      </c>
      <c r="M1091">
        <v>0</v>
      </c>
      <c r="T1091" s="9">
        <v>45108</v>
      </c>
      <c r="U1091" s="9">
        <v>45473</v>
      </c>
      <c r="V1091">
        <f>SUM(POTABLE_NONPOTABLE_API[[#This Row],[RESIDENTIAL_SINGLEFAMILY_GAL]:[OTHER_GAL]])</f>
        <v>30759150.188000001</v>
      </c>
      <c r="W1091">
        <f>SUM(POTABLE_NONPOTABLE_API[[#This Row],[NONPOTABLE_DEMAND_RESIDENTIAL_RECYCLED_WATER_GAL]:[NONPOTABLE_DEMAND_NONRESIDENTIAL_METERED_IRRIGATION_GAL]])</f>
        <v>0</v>
      </c>
      <c r="X1091" t="str">
        <f>IFERROR(INDEX(Crosswalk_API!$H$2:$H$527, MATCH(POTABLE_NONPOTABLE_API[[#This Row],[PWSID]], CW_PWSID_LIST, 0)), "")</f>
        <v>No</v>
      </c>
    </row>
    <row r="1092" spans="1:24" x14ac:dyDescent="0.25">
      <c r="A1092" t="s">
        <v>1008</v>
      </c>
      <c r="B1092" t="s">
        <v>1009</v>
      </c>
      <c r="C1092" t="s">
        <v>1010</v>
      </c>
      <c r="D1092" t="s">
        <v>1011</v>
      </c>
      <c r="E1092" s="9">
        <v>45413</v>
      </c>
      <c r="F1092" s="9">
        <v>45443</v>
      </c>
      <c r="G1092">
        <v>17401185.624000002</v>
      </c>
      <c r="H1092">
        <v>6704042.0240000002</v>
      </c>
      <c r="I1092">
        <v>12366795.664000001</v>
      </c>
      <c r="J1092">
        <v>0</v>
      </c>
      <c r="K1092">
        <v>13464.936</v>
      </c>
      <c r="L1092">
        <v>89766.24</v>
      </c>
      <c r="M1092">
        <v>0</v>
      </c>
      <c r="T1092" s="9">
        <v>45108</v>
      </c>
      <c r="U1092" s="9">
        <v>45473</v>
      </c>
      <c r="V1092">
        <f>SUM(POTABLE_NONPOTABLE_API[[#This Row],[RESIDENTIAL_SINGLEFAMILY_GAL]:[OTHER_GAL]])</f>
        <v>36575254.488000005</v>
      </c>
      <c r="W1092">
        <f>SUM(POTABLE_NONPOTABLE_API[[#This Row],[NONPOTABLE_DEMAND_RESIDENTIAL_RECYCLED_WATER_GAL]:[NONPOTABLE_DEMAND_NONRESIDENTIAL_METERED_IRRIGATION_GAL]])</f>
        <v>0</v>
      </c>
      <c r="X1092" t="str">
        <f>IFERROR(INDEX(Crosswalk_API!$H$2:$H$527, MATCH(POTABLE_NONPOTABLE_API[[#This Row],[PWSID]], CW_PWSID_LIST, 0)), "")</f>
        <v>No</v>
      </c>
    </row>
    <row r="1093" spans="1:24" x14ac:dyDescent="0.25">
      <c r="A1093" t="s">
        <v>1008</v>
      </c>
      <c r="B1093" t="s">
        <v>1009</v>
      </c>
      <c r="C1093" t="s">
        <v>1010</v>
      </c>
      <c r="D1093" t="s">
        <v>1011</v>
      </c>
      <c r="E1093" s="9">
        <v>45444</v>
      </c>
      <c r="F1093" s="9">
        <v>45473</v>
      </c>
      <c r="G1093">
        <v>27290433.063999999</v>
      </c>
      <c r="H1093">
        <v>8529288.904000001</v>
      </c>
      <c r="I1093">
        <v>17502920.696000002</v>
      </c>
      <c r="J1093">
        <v>0</v>
      </c>
      <c r="K1093">
        <v>14961.04</v>
      </c>
      <c r="L1093">
        <v>72561.044000000009</v>
      </c>
      <c r="M1093">
        <v>0</v>
      </c>
      <c r="T1093" s="9">
        <v>45108</v>
      </c>
      <c r="U1093" s="9">
        <v>45473</v>
      </c>
      <c r="V1093">
        <f>SUM(POTABLE_NONPOTABLE_API[[#This Row],[RESIDENTIAL_SINGLEFAMILY_GAL]:[OTHER_GAL]])</f>
        <v>53410164.748000003</v>
      </c>
      <c r="W1093">
        <f>SUM(POTABLE_NONPOTABLE_API[[#This Row],[NONPOTABLE_DEMAND_RESIDENTIAL_RECYCLED_WATER_GAL]:[NONPOTABLE_DEMAND_NONRESIDENTIAL_METERED_IRRIGATION_GAL]])</f>
        <v>0</v>
      </c>
      <c r="X1093" t="str">
        <f>IFERROR(INDEX(Crosswalk_API!$H$2:$H$527, MATCH(POTABLE_NONPOTABLE_API[[#This Row],[PWSID]], CW_PWSID_LIST, 0)), "")</f>
        <v>No</v>
      </c>
    </row>
    <row r="1094" spans="1:24" x14ac:dyDescent="0.25">
      <c r="A1094" t="s">
        <v>1033</v>
      </c>
      <c r="B1094" t="s">
        <v>1034</v>
      </c>
      <c r="C1094" t="s">
        <v>1035</v>
      </c>
      <c r="D1094" t="s">
        <v>1036</v>
      </c>
      <c r="E1094" s="9">
        <v>45108</v>
      </c>
      <c r="F1094" s="9">
        <v>45138</v>
      </c>
      <c r="G1094">
        <v>74755828.568000004</v>
      </c>
      <c r="H1094">
        <v>6523013.4400000004</v>
      </c>
      <c r="I1094">
        <v>20299887.124000002</v>
      </c>
      <c r="J1094">
        <v>0</v>
      </c>
      <c r="K1094">
        <v>872976.68400000001</v>
      </c>
      <c r="L1094">
        <v>0</v>
      </c>
      <c r="M1094">
        <v>0</v>
      </c>
      <c r="T1094" s="9">
        <v>45108</v>
      </c>
      <c r="U1094" s="9">
        <v>45473</v>
      </c>
      <c r="V1094">
        <f>SUM(POTABLE_NONPOTABLE_API[[#This Row],[RESIDENTIAL_SINGLEFAMILY_GAL]:[OTHER_GAL]])</f>
        <v>102451705.816</v>
      </c>
      <c r="W1094">
        <f>SUM(POTABLE_NONPOTABLE_API[[#This Row],[NONPOTABLE_DEMAND_RESIDENTIAL_RECYCLED_WATER_GAL]:[NONPOTABLE_DEMAND_NONRESIDENTIAL_METERED_IRRIGATION_GAL]])</f>
        <v>0</v>
      </c>
      <c r="X1094" t="str">
        <f>IFERROR(INDEX(Crosswalk_API!$H$2:$H$527, MATCH(POTABLE_NONPOTABLE_API[[#This Row],[PWSID]], CW_PWSID_LIST, 0)), "")</f>
        <v>No</v>
      </c>
    </row>
    <row r="1095" spans="1:24" x14ac:dyDescent="0.25">
      <c r="A1095" t="s">
        <v>1033</v>
      </c>
      <c r="B1095" t="s">
        <v>1034</v>
      </c>
      <c r="C1095" t="s">
        <v>1035</v>
      </c>
      <c r="D1095" t="s">
        <v>1036</v>
      </c>
      <c r="E1095" s="9">
        <v>45139</v>
      </c>
      <c r="F1095" s="9">
        <v>45169</v>
      </c>
      <c r="G1095">
        <v>70757490.628000006</v>
      </c>
      <c r="H1095">
        <v>8034078.4800000004</v>
      </c>
      <c r="I1095">
        <v>22897123.668000001</v>
      </c>
      <c r="J1095">
        <v>0</v>
      </c>
      <c r="K1095">
        <v>878213.04800000007</v>
      </c>
      <c r="L1095">
        <v>0</v>
      </c>
      <c r="M1095">
        <v>0</v>
      </c>
      <c r="T1095" s="9">
        <v>45108</v>
      </c>
      <c r="U1095" s="9">
        <v>45473</v>
      </c>
      <c r="V1095">
        <f>SUM(POTABLE_NONPOTABLE_API[[#This Row],[RESIDENTIAL_SINGLEFAMILY_GAL]:[OTHER_GAL]])</f>
        <v>102566905.824</v>
      </c>
      <c r="W1095">
        <f>SUM(POTABLE_NONPOTABLE_API[[#This Row],[NONPOTABLE_DEMAND_RESIDENTIAL_RECYCLED_WATER_GAL]:[NONPOTABLE_DEMAND_NONRESIDENTIAL_METERED_IRRIGATION_GAL]])</f>
        <v>0</v>
      </c>
      <c r="X1095" t="str">
        <f>IFERROR(INDEX(Crosswalk_API!$H$2:$H$527, MATCH(POTABLE_NONPOTABLE_API[[#This Row],[PWSID]], CW_PWSID_LIST, 0)), "")</f>
        <v>No</v>
      </c>
    </row>
    <row r="1096" spans="1:24" x14ac:dyDescent="0.25">
      <c r="A1096" t="s">
        <v>1033</v>
      </c>
      <c r="B1096" t="s">
        <v>1034</v>
      </c>
      <c r="C1096" t="s">
        <v>1035</v>
      </c>
      <c r="D1096" t="s">
        <v>1036</v>
      </c>
      <c r="E1096" s="9">
        <v>45170</v>
      </c>
      <c r="F1096" s="9">
        <v>45199</v>
      </c>
      <c r="G1096">
        <v>79099018.480000004</v>
      </c>
      <c r="H1096">
        <v>7599460.2680000002</v>
      </c>
      <c r="I1096">
        <v>23374380.844000001</v>
      </c>
      <c r="J1096">
        <v>0</v>
      </c>
      <c r="K1096">
        <v>981444.22400000005</v>
      </c>
      <c r="L1096">
        <v>0</v>
      </c>
      <c r="M1096">
        <v>0</v>
      </c>
      <c r="T1096" s="9">
        <v>45108</v>
      </c>
      <c r="U1096" s="9">
        <v>45473</v>
      </c>
      <c r="V1096">
        <f>SUM(POTABLE_NONPOTABLE_API[[#This Row],[RESIDENTIAL_SINGLEFAMILY_GAL]:[OTHER_GAL]])</f>
        <v>111054303.81600001</v>
      </c>
      <c r="W1096">
        <f>SUM(POTABLE_NONPOTABLE_API[[#This Row],[NONPOTABLE_DEMAND_RESIDENTIAL_RECYCLED_WATER_GAL]:[NONPOTABLE_DEMAND_NONRESIDENTIAL_METERED_IRRIGATION_GAL]])</f>
        <v>0</v>
      </c>
      <c r="X1096" t="str">
        <f>IFERROR(INDEX(Crosswalk_API!$H$2:$H$527, MATCH(POTABLE_NONPOTABLE_API[[#This Row],[PWSID]], CW_PWSID_LIST, 0)), "")</f>
        <v>No</v>
      </c>
    </row>
    <row r="1097" spans="1:24" x14ac:dyDescent="0.25">
      <c r="A1097" t="s">
        <v>1033</v>
      </c>
      <c r="B1097" t="s">
        <v>1034</v>
      </c>
      <c r="C1097" t="s">
        <v>1035</v>
      </c>
      <c r="D1097" t="s">
        <v>1036</v>
      </c>
      <c r="E1097" s="9">
        <v>45200</v>
      </c>
      <c r="F1097" s="9">
        <v>45230</v>
      </c>
      <c r="G1097">
        <v>68930747.644000009</v>
      </c>
      <c r="H1097">
        <v>7252364.1400000006</v>
      </c>
      <c r="I1097">
        <v>19757549.423999999</v>
      </c>
      <c r="J1097">
        <v>0</v>
      </c>
      <c r="K1097">
        <v>1025579.292</v>
      </c>
      <c r="L1097">
        <v>0</v>
      </c>
      <c r="M1097">
        <v>0</v>
      </c>
      <c r="T1097" s="9">
        <v>45108</v>
      </c>
      <c r="U1097" s="9">
        <v>45473</v>
      </c>
      <c r="V1097">
        <f>SUM(POTABLE_NONPOTABLE_API[[#This Row],[RESIDENTIAL_SINGLEFAMILY_GAL]:[OTHER_GAL]])</f>
        <v>96966240.5</v>
      </c>
      <c r="W1097">
        <f>SUM(POTABLE_NONPOTABLE_API[[#This Row],[NONPOTABLE_DEMAND_RESIDENTIAL_RECYCLED_WATER_GAL]:[NONPOTABLE_DEMAND_NONRESIDENTIAL_METERED_IRRIGATION_GAL]])</f>
        <v>0</v>
      </c>
      <c r="X1097" t="str">
        <f>IFERROR(INDEX(Crosswalk_API!$H$2:$H$527, MATCH(POTABLE_NONPOTABLE_API[[#This Row],[PWSID]], CW_PWSID_LIST, 0)), "")</f>
        <v>No</v>
      </c>
    </row>
    <row r="1098" spans="1:24" x14ac:dyDescent="0.25">
      <c r="A1098" t="s">
        <v>1033</v>
      </c>
      <c r="B1098" t="s">
        <v>1034</v>
      </c>
      <c r="C1098" t="s">
        <v>1035</v>
      </c>
      <c r="D1098" t="s">
        <v>1036</v>
      </c>
      <c r="E1098" s="9">
        <v>45231</v>
      </c>
      <c r="F1098" s="9">
        <v>45260</v>
      </c>
      <c r="G1098">
        <v>59075910.596000001</v>
      </c>
      <c r="H1098">
        <v>7179803.0959999999</v>
      </c>
      <c r="I1098">
        <v>18562910.379999999</v>
      </c>
      <c r="J1098">
        <v>0</v>
      </c>
      <c r="K1098">
        <v>875968.89199999999</v>
      </c>
      <c r="L1098">
        <v>0</v>
      </c>
      <c r="M1098">
        <v>0</v>
      </c>
      <c r="T1098" s="9">
        <v>45108</v>
      </c>
      <c r="U1098" s="9">
        <v>45473</v>
      </c>
      <c r="V1098">
        <f>SUM(POTABLE_NONPOTABLE_API[[#This Row],[RESIDENTIAL_SINGLEFAMILY_GAL]:[OTHER_GAL]])</f>
        <v>85694592.964000002</v>
      </c>
      <c r="W1098">
        <f>SUM(POTABLE_NONPOTABLE_API[[#This Row],[NONPOTABLE_DEMAND_RESIDENTIAL_RECYCLED_WATER_GAL]:[NONPOTABLE_DEMAND_NONRESIDENTIAL_METERED_IRRIGATION_GAL]])</f>
        <v>0</v>
      </c>
      <c r="X1098" t="str">
        <f>IFERROR(INDEX(Crosswalk_API!$H$2:$H$527, MATCH(POTABLE_NONPOTABLE_API[[#This Row],[PWSID]], CW_PWSID_LIST, 0)), "")</f>
        <v>No</v>
      </c>
    </row>
    <row r="1099" spans="1:24" x14ac:dyDescent="0.25">
      <c r="A1099" t="s">
        <v>1033</v>
      </c>
      <c r="B1099" t="s">
        <v>1034</v>
      </c>
      <c r="C1099" t="s">
        <v>1035</v>
      </c>
      <c r="D1099" t="s">
        <v>1036</v>
      </c>
      <c r="E1099" s="9">
        <v>45261</v>
      </c>
      <c r="F1099" s="9">
        <v>45291</v>
      </c>
      <c r="G1099">
        <v>51655234.756000005</v>
      </c>
      <c r="H1099">
        <v>6727231.6359999999</v>
      </c>
      <c r="I1099">
        <v>15993351.76</v>
      </c>
      <c r="J1099">
        <v>0</v>
      </c>
      <c r="K1099">
        <v>869236.424</v>
      </c>
      <c r="L1099">
        <v>0</v>
      </c>
      <c r="M1099">
        <v>0</v>
      </c>
      <c r="T1099" s="9">
        <v>45108</v>
      </c>
      <c r="U1099" s="9">
        <v>45473</v>
      </c>
      <c r="V1099">
        <f>SUM(POTABLE_NONPOTABLE_API[[#This Row],[RESIDENTIAL_SINGLEFAMILY_GAL]:[OTHER_GAL]])</f>
        <v>75245054.576000005</v>
      </c>
      <c r="W1099">
        <f>SUM(POTABLE_NONPOTABLE_API[[#This Row],[NONPOTABLE_DEMAND_RESIDENTIAL_RECYCLED_WATER_GAL]:[NONPOTABLE_DEMAND_NONRESIDENTIAL_METERED_IRRIGATION_GAL]])</f>
        <v>0</v>
      </c>
      <c r="X1099" t="str">
        <f>IFERROR(INDEX(Crosswalk_API!$H$2:$H$527, MATCH(POTABLE_NONPOTABLE_API[[#This Row],[PWSID]], CW_PWSID_LIST, 0)), "")</f>
        <v>No</v>
      </c>
    </row>
    <row r="1100" spans="1:24" x14ac:dyDescent="0.25">
      <c r="A1100" t="s">
        <v>1033</v>
      </c>
      <c r="B1100" t="s">
        <v>1034</v>
      </c>
      <c r="C1100" t="s">
        <v>1035</v>
      </c>
      <c r="D1100" t="s">
        <v>1036</v>
      </c>
      <c r="E1100" s="9">
        <v>45292</v>
      </c>
      <c r="F1100" s="9">
        <v>45322</v>
      </c>
      <c r="G1100">
        <v>42851410.767999999</v>
      </c>
      <c r="H1100">
        <v>6382379.6639999999</v>
      </c>
      <c r="I1100">
        <v>14093299.68</v>
      </c>
      <c r="J1100">
        <v>0</v>
      </c>
      <c r="K1100">
        <v>627615.62800000003</v>
      </c>
      <c r="L1100">
        <v>0</v>
      </c>
      <c r="M1100">
        <v>0</v>
      </c>
      <c r="T1100" s="9">
        <v>45108</v>
      </c>
      <c r="U1100" s="9">
        <v>45473</v>
      </c>
      <c r="V1100">
        <f>SUM(POTABLE_NONPOTABLE_API[[#This Row],[RESIDENTIAL_SINGLEFAMILY_GAL]:[OTHER_GAL]])</f>
        <v>63954705.739999995</v>
      </c>
      <c r="W1100">
        <f>SUM(POTABLE_NONPOTABLE_API[[#This Row],[NONPOTABLE_DEMAND_RESIDENTIAL_RECYCLED_WATER_GAL]:[NONPOTABLE_DEMAND_NONRESIDENTIAL_METERED_IRRIGATION_GAL]])</f>
        <v>0</v>
      </c>
      <c r="X1100" t="str">
        <f>IFERROR(INDEX(Crosswalk_API!$H$2:$H$527, MATCH(POTABLE_NONPOTABLE_API[[#This Row],[PWSID]], CW_PWSID_LIST, 0)), "")</f>
        <v>No</v>
      </c>
    </row>
    <row r="1101" spans="1:24" x14ac:dyDescent="0.25">
      <c r="A1101" t="s">
        <v>1033</v>
      </c>
      <c r="B1101" t="s">
        <v>1034</v>
      </c>
      <c r="C1101" t="s">
        <v>1035</v>
      </c>
      <c r="D1101" t="s">
        <v>1036</v>
      </c>
      <c r="E1101" s="9">
        <v>45323</v>
      </c>
      <c r="F1101" s="9">
        <v>45351</v>
      </c>
      <c r="G1101">
        <v>36809394.763999999</v>
      </c>
      <c r="H1101">
        <v>6440727.7199999997</v>
      </c>
      <c r="I1101">
        <v>13429777.556</v>
      </c>
      <c r="J1101">
        <v>0</v>
      </c>
      <c r="K1101">
        <v>650057.18799999997</v>
      </c>
      <c r="L1101">
        <v>0</v>
      </c>
      <c r="M1101">
        <v>0</v>
      </c>
      <c r="T1101" s="9">
        <v>45108</v>
      </c>
      <c r="U1101" s="9">
        <v>45473</v>
      </c>
      <c r="V1101">
        <f>SUM(POTABLE_NONPOTABLE_API[[#This Row],[RESIDENTIAL_SINGLEFAMILY_GAL]:[OTHER_GAL]])</f>
        <v>57329957.228</v>
      </c>
      <c r="W1101">
        <f>SUM(POTABLE_NONPOTABLE_API[[#This Row],[NONPOTABLE_DEMAND_RESIDENTIAL_RECYCLED_WATER_GAL]:[NONPOTABLE_DEMAND_NONRESIDENTIAL_METERED_IRRIGATION_GAL]])</f>
        <v>0</v>
      </c>
      <c r="X1101" t="str">
        <f>IFERROR(INDEX(Crosswalk_API!$H$2:$H$527, MATCH(POTABLE_NONPOTABLE_API[[#This Row],[PWSID]], CW_PWSID_LIST, 0)), "")</f>
        <v>No</v>
      </c>
    </row>
    <row r="1102" spans="1:24" x14ac:dyDescent="0.25">
      <c r="A1102" t="s">
        <v>1033</v>
      </c>
      <c r="B1102" t="s">
        <v>1034</v>
      </c>
      <c r="C1102" t="s">
        <v>1035</v>
      </c>
      <c r="D1102" t="s">
        <v>1036</v>
      </c>
      <c r="E1102" s="9">
        <v>45352</v>
      </c>
      <c r="F1102" s="9">
        <v>45382</v>
      </c>
      <c r="G1102">
        <v>36885696.068000004</v>
      </c>
      <c r="H1102">
        <v>6668883.5800000001</v>
      </c>
      <c r="I1102">
        <v>14833871.16</v>
      </c>
      <c r="J1102">
        <v>0</v>
      </c>
      <c r="K1102">
        <v>662026.02</v>
      </c>
      <c r="L1102">
        <v>0</v>
      </c>
      <c r="M1102">
        <v>0</v>
      </c>
      <c r="T1102" s="9">
        <v>45108</v>
      </c>
      <c r="U1102" s="9">
        <v>45473</v>
      </c>
      <c r="V1102">
        <f>SUM(POTABLE_NONPOTABLE_API[[#This Row],[RESIDENTIAL_SINGLEFAMILY_GAL]:[OTHER_GAL]])</f>
        <v>59050476.828000002</v>
      </c>
      <c r="W1102">
        <f>SUM(POTABLE_NONPOTABLE_API[[#This Row],[NONPOTABLE_DEMAND_RESIDENTIAL_RECYCLED_WATER_GAL]:[NONPOTABLE_DEMAND_NONRESIDENTIAL_METERED_IRRIGATION_GAL]])</f>
        <v>0</v>
      </c>
      <c r="X1102" t="str">
        <f>IFERROR(INDEX(Crosswalk_API!$H$2:$H$527, MATCH(POTABLE_NONPOTABLE_API[[#This Row],[PWSID]], CW_PWSID_LIST, 0)), "")</f>
        <v>No</v>
      </c>
    </row>
    <row r="1103" spans="1:24" x14ac:dyDescent="0.25">
      <c r="A1103" t="s">
        <v>1033</v>
      </c>
      <c r="B1103" t="s">
        <v>1034</v>
      </c>
      <c r="C1103" t="s">
        <v>1035</v>
      </c>
      <c r="D1103" t="s">
        <v>1036</v>
      </c>
      <c r="E1103" s="9">
        <v>45383</v>
      </c>
      <c r="F1103" s="9">
        <v>45412</v>
      </c>
      <c r="G1103">
        <v>40109052.136</v>
      </c>
      <c r="H1103">
        <v>7231418.6840000004</v>
      </c>
      <c r="I1103">
        <v>15412863.408</v>
      </c>
      <c r="J1103">
        <v>0</v>
      </c>
      <c r="K1103">
        <v>772737.71600000001</v>
      </c>
      <c r="L1103">
        <v>0</v>
      </c>
      <c r="M1103">
        <v>0</v>
      </c>
      <c r="T1103" s="9">
        <v>45108</v>
      </c>
      <c r="U1103" s="9">
        <v>45473</v>
      </c>
      <c r="V1103">
        <f>SUM(POTABLE_NONPOTABLE_API[[#This Row],[RESIDENTIAL_SINGLEFAMILY_GAL]:[OTHER_GAL]])</f>
        <v>63526071.943999998</v>
      </c>
      <c r="W1103">
        <f>SUM(POTABLE_NONPOTABLE_API[[#This Row],[NONPOTABLE_DEMAND_RESIDENTIAL_RECYCLED_WATER_GAL]:[NONPOTABLE_DEMAND_NONRESIDENTIAL_METERED_IRRIGATION_GAL]])</f>
        <v>0</v>
      </c>
      <c r="X1103" t="str">
        <f>IFERROR(INDEX(Crosswalk_API!$H$2:$H$527, MATCH(POTABLE_NONPOTABLE_API[[#This Row],[PWSID]], CW_PWSID_LIST, 0)), "")</f>
        <v>No</v>
      </c>
    </row>
    <row r="1104" spans="1:24" x14ac:dyDescent="0.25">
      <c r="A1104" t="s">
        <v>1033</v>
      </c>
      <c r="B1104" t="s">
        <v>1034</v>
      </c>
      <c r="C1104" t="s">
        <v>1035</v>
      </c>
      <c r="D1104" t="s">
        <v>1036</v>
      </c>
      <c r="E1104" s="9">
        <v>45413</v>
      </c>
      <c r="F1104" s="9">
        <v>45443</v>
      </c>
      <c r="G1104">
        <v>54415546.636</v>
      </c>
      <c r="H1104">
        <v>7426660.2560000001</v>
      </c>
      <c r="I1104">
        <v>17291221.98</v>
      </c>
      <c r="J1104">
        <v>0</v>
      </c>
      <c r="K1104">
        <v>779470.18400000001</v>
      </c>
      <c r="L1104">
        <v>0</v>
      </c>
      <c r="M1104">
        <v>0</v>
      </c>
      <c r="T1104" s="9">
        <v>45108</v>
      </c>
      <c r="U1104" s="9">
        <v>45473</v>
      </c>
      <c r="V1104">
        <f>SUM(POTABLE_NONPOTABLE_API[[#This Row],[RESIDENTIAL_SINGLEFAMILY_GAL]:[OTHER_GAL]])</f>
        <v>79912899.055999994</v>
      </c>
      <c r="W1104">
        <f>SUM(POTABLE_NONPOTABLE_API[[#This Row],[NONPOTABLE_DEMAND_RESIDENTIAL_RECYCLED_WATER_GAL]:[NONPOTABLE_DEMAND_NONRESIDENTIAL_METERED_IRRIGATION_GAL]])</f>
        <v>0</v>
      </c>
      <c r="X1104" t="str">
        <f>IFERROR(INDEX(Crosswalk_API!$H$2:$H$527, MATCH(POTABLE_NONPOTABLE_API[[#This Row],[PWSID]], CW_PWSID_LIST, 0)), "")</f>
        <v>No</v>
      </c>
    </row>
    <row r="1105" spans="1:24" x14ac:dyDescent="0.25">
      <c r="A1105" t="s">
        <v>1033</v>
      </c>
      <c r="B1105" t="s">
        <v>1034</v>
      </c>
      <c r="C1105" t="s">
        <v>1035</v>
      </c>
      <c r="D1105" t="s">
        <v>1036</v>
      </c>
      <c r="E1105" s="9">
        <v>45444</v>
      </c>
      <c r="F1105" s="9">
        <v>45473</v>
      </c>
      <c r="G1105">
        <v>70864462.063999996</v>
      </c>
      <c r="H1105">
        <v>7317444.6639999999</v>
      </c>
      <c r="I1105">
        <v>22082495.039999999</v>
      </c>
      <c r="J1105">
        <v>0</v>
      </c>
      <c r="K1105">
        <v>767501.35200000007</v>
      </c>
      <c r="L1105">
        <v>0</v>
      </c>
      <c r="M1105">
        <v>0</v>
      </c>
      <c r="T1105" s="9">
        <v>45108</v>
      </c>
      <c r="U1105" s="9">
        <v>45473</v>
      </c>
      <c r="V1105">
        <f>SUM(POTABLE_NONPOTABLE_API[[#This Row],[RESIDENTIAL_SINGLEFAMILY_GAL]:[OTHER_GAL]])</f>
        <v>101031903.12</v>
      </c>
      <c r="W1105">
        <f>SUM(POTABLE_NONPOTABLE_API[[#This Row],[NONPOTABLE_DEMAND_RESIDENTIAL_RECYCLED_WATER_GAL]:[NONPOTABLE_DEMAND_NONRESIDENTIAL_METERED_IRRIGATION_GAL]])</f>
        <v>0</v>
      </c>
      <c r="X1105" t="str">
        <f>IFERROR(INDEX(Crosswalk_API!$H$2:$H$527, MATCH(POTABLE_NONPOTABLE_API[[#This Row],[PWSID]], CW_PWSID_LIST, 0)), "")</f>
        <v>No</v>
      </c>
    </row>
    <row r="1106" spans="1:24" x14ac:dyDescent="0.25">
      <c r="A1106" t="s">
        <v>1033</v>
      </c>
      <c r="B1106" t="s">
        <v>1034</v>
      </c>
      <c r="C1106" t="s">
        <v>1037</v>
      </c>
      <c r="D1106" t="s">
        <v>1038</v>
      </c>
      <c r="E1106" s="9">
        <v>45108</v>
      </c>
      <c r="F1106" s="9">
        <v>45138</v>
      </c>
      <c r="G1106">
        <v>164617071.17199999</v>
      </c>
      <c r="H1106">
        <v>52918694.583999999</v>
      </c>
      <c r="I1106">
        <v>75300410.423999995</v>
      </c>
      <c r="J1106">
        <v>0</v>
      </c>
      <c r="K1106">
        <v>146618.19200000001</v>
      </c>
      <c r="L1106">
        <v>5905122.4879999999</v>
      </c>
      <c r="M1106">
        <v>0</v>
      </c>
      <c r="T1106" s="9">
        <v>45108</v>
      </c>
      <c r="U1106" s="9">
        <v>45473</v>
      </c>
      <c r="V1106">
        <f>SUM(POTABLE_NONPOTABLE_API[[#This Row],[RESIDENTIAL_SINGLEFAMILY_GAL]:[OTHER_GAL]])</f>
        <v>298887916.8599999</v>
      </c>
      <c r="W1106">
        <f>SUM(POTABLE_NONPOTABLE_API[[#This Row],[NONPOTABLE_DEMAND_RESIDENTIAL_RECYCLED_WATER_GAL]:[NONPOTABLE_DEMAND_NONRESIDENTIAL_METERED_IRRIGATION_GAL]])</f>
        <v>0</v>
      </c>
      <c r="X1106" t="str">
        <f>IFERROR(INDEX(Crosswalk_API!$H$2:$H$527, MATCH(POTABLE_NONPOTABLE_API[[#This Row],[PWSID]], CW_PWSID_LIST, 0)), "")</f>
        <v>No</v>
      </c>
    </row>
    <row r="1107" spans="1:24" x14ac:dyDescent="0.25">
      <c r="A1107" t="s">
        <v>1033</v>
      </c>
      <c r="B1107" t="s">
        <v>1034</v>
      </c>
      <c r="C1107" t="s">
        <v>1037</v>
      </c>
      <c r="D1107" t="s">
        <v>1038</v>
      </c>
      <c r="E1107" s="9">
        <v>45139</v>
      </c>
      <c r="F1107" s="9">
        <v>45169</v>
      </c>
      <c r="G1107">
        <v>151399740.384</v>
      </c>
      <c r="H1107">
        <v>48097499.443999998</v>
      </c>
      <c r="I1107">
        <v>80176961.412</v>
      </c>
      <c r="J1107">
        <v>0</v>
      </c>
      <c r="K1107">
        <v>137641.568</v>
      </c>
      <c r="L1107">
        <v>3907823.648</v>
      </c>
      <c r="M1107">
        <v>0</v>
      </c>
      <c r="T1107" s="9">
        <v>45108</v>
      </c>
      <c r="U1107" s="9">
        <v>45473</v>
      </c>
      <c r="V1107">
        <f>SUM(POTABLE_NONPOTABLE_API[[#This Row],[RESIDENTIAL_SINGLEFAMILY_GAL]:[OTHER_GAL]])</f>
        <v>283719666.45600003</v>
      </c>
      <c r="W1107">
        <f>SUM(POTABLE_NONPOTABLE_API[[#This Row],[NONPOTABLE_DEMAND_RESIDENTIAL_RECYCLED_WATER_GAL]:[NONPOTABLE_DEMAND_NONRESIDENTIAL_METERED_IRRIGATION_GAL]])</f>
        <v>0</v>
      </c>
      <c r="X1107" t="str">
        <f>IFERROR(INDEX(Crosswalk_API!$H$2:$H$527, MATCH(POTABLE_NONPOTABLE_API[[#This Row],[PWSID]], CW_PWSID_LIST, 0)), "")</f>
        <v>No</v>
      </c>
    </row>
    <row r="1108" spans="1:24" x14ac:dyDescent="0.25">
      <c r="A1108" t="s">
        <v>1033</v>
      </c>
      <c r="B1108" t="s">
        <v>1034</v>
      </c>
      <c r="C1108" t="s">
        <v>1037</v>
      </c>
      <c r="D1108" t="s">
        <v>1038</v>
      </c>
      <c r="E1108" s="9">
        <v>45170</v>
      </c>
      <c r="F1108" s="9">
        <v>45199</v>
      </c>
      <c r="G1108">
        <v>167711762.296</v>
      </c>
      <c r="H1108">
        <v>52475099.748000003</v>
      </c>
      <c r="I1108">
        <v>86585522.895999998</v>
      </c>
      <c r="J1108">
        <v>0</v>
      </c>
      <c r="K1108">
        <v>148114.296</v>
      </c>
      <c r="L1108">
        <v>11763117.700000001</v>
      </c>
      <c r="M1108">
        <v>0</v>
      </c>
      <c r="T1108" s="9">
        <v>45108</v>
      </c>
      <c r="U1108" s="9">
        <v>45473</v>
      </c>
      <c r="V1108">
        <f>SUM(POTABLE_NONPOTABLE_API[[#This Row],[RESIDENTIAL_SINGLEFAMILY_GAL]:[OTHER_GAL]])</f>
        <v>318683616.93599999</v>
      </c>
      <c r="W1108">
        <f>SUM(POTABLE_NONPOTABLE_API[[#This Row],[NONPOTABLE_DEMAND_RESIDENTIAL_RECYCLED_WATER_GAL]:[NONPOTABLE_DEMAND_NONRESIDENTIAL_METERED_IRRIGATION_GAL]])</f>
        <v>0</v>
      </c>
      <c r="X1108" t="str">
        <f>IFERROR(INDEX(Crosswalk_API!$H$2:$H$527, MATCH(POTABLE_NONPOTABLE_API[[#This Row],[PWSID]], CW_PWSID_LIST, 0)), "")</f>
        <v>No</v>
      </c>
    </row>
    <row r="1109" spans="1:24" x14ac:dyDescent="0.25">
      <c r="A1109" t="s">
        <v>1033</v>
      </c>
      <c r="B1109" t="s">
        <v>1034</v>
      </c>
      <c r="C1109" t="s">
        <v>1037</v>
      </c>
      <c r="D1109" t="s">
        <v>1038</v>
      </c>
      <c r="E1109" s="9">
        <v>45200</v>
      </c>
      <c r="F1109" s="9">
        <v>45230</v>
      </c>
      <c r="G1109">
        <v>145760924.40799999</v>
      </c>
      <c r="H1109">
        <v>50649852.868000001</v>
      </c>
      <c r="I1109">
        <v>75729792.272</v>
      </c>
      <c r="J1109">
        <v>0</v>
      </c>
      <c r="K1109">
        <v>114451.95600000001</v>
      </c>
      <c r="L1109">
        <v>4521974.34</v>
      </c>
      <c r="M1109">
        <v>0</v>
      </c>
      <c r="T1109" s="9">
        <v>45108</v>
      </c>
      <c r="U1109" s="9">
        <v>45473</v>
      </c>
      <c r="V1109">
        <f>SUM(POTABLE_NONPOTABLE_API[[#This Row],[RESIDENTIAL_SINGLEFAMILY_GAL]:[OTHER_GAL]])</f>
        <v>276776995.84399992</v>
      </c>
      <c r="W1109">
        <f>SUM(POTABLE_NONPOTABLE_API[[#This Row],[NONPOTABLE_DEMAND_RESIDENTIAL_RECYCLED_WATER_GAL]:[NONPOTABLE_DEMAND_NONRESIDENTIAL_METERED_IRRIGATION_GAL]])</f>
        <v>0</v>
      </c>
      <c r="X1109" t="str">
        <f>IFERROR(INDEX(Crosswalk_API!$H$2:$H$527, MATCH(POTABLE_NONPOTABLE_API[[#This Row],[PWSID]], CW_PWSID_LIST, 0)), "")</f>
        <v>No</v>
      </c>
    </row>
    <row r="1110" spans="1:24" x14ac:dyDescent="0.25">
      <c r="A1110" t="s">
        <v>1033</v>
      </c>
      <c r="B1110" t="s">
        <v>1034</v>
      </c>
      <c r="C1110" t="s">
        <v>1037</v>
      </c>
      <c r="D1110" t="s">
        <v>1038</v>
      </c>
      <c r="E1110" s="9">
        <v>45231</v>
      </c>
      <c r="F1110" s="9">
        <v>45260</v>
      </c>
      <c r="G1110">
        <v>126683354.252</v>
      </c>
      <c r="H1110">
        <v>43853800.447999999</v>
      </c>
      <c r="I1110">
        <v>70093968.504000008</v>
      </c>
      <c r="J1110">
        <v>0</v>
      </c>
      <c r="K1110">
        <v>103231.17600000001</v>
      </c>
      <c r="L1110">
        <v>964987.08000000007</v>
      </c>
      <c r="M1110">
        <v>0</v>
      </c>
      <c r="T1110" s="9">
        <v>45108</v>
      </c>
      <c r="U1110" s="9">
        <v>45473</v>
      </c>
      <c r="V1110">
        <f>SUM(POTABLE_NONPOTABLE_API[[#This Row],[RESIDENTIAL_SINGLEFAMILY_GAL]:[OTHER_GAL]])</f>
        <v>241699341.46000001</v>
      </c>
      <c r="W1110">
        <f>SUM(POTABLE_NONPOTABLE_API[[#This Row],[NONPOTABLE_DEMAND_RESIDENTIAL_RECYCLED_WATER_GAL]:[NONPOTABLE_DEMAND_NONRESIDENTIAL_METERED_IRRIGATION_GAL]])</f>
        <v>0</v>
      </c>
      <c r="X1110" t="str">
        <f>IFERROR(INDEX(Crosswalk_API!$H$2:$H$527, MATCH(POTABLE_NONPOTABLE_API[[#This Row],[PWSID]], CW_PWSID_LIST, 0)), "")</f>
        <v>No</v>
      </c>
    </row>
    <row r="1111" spans="1:24" x14ac:dyDescent="0.25">
      <c r="A1111" t="s">
        <v>1033</v>
      </c>
      <c r="B1111" t="s">
        <v>1034</v>
      </c>
      <c r="C1111" t="s">
        <v>1037</v>
      </c>
      <c r="D1111" t="s">
        <v>1038</v>
      </c>
      <c r="E1111" s="9">
        <v>45261</v>
      </c>
      <c r="F1111" s="9">
        <v>45291</v>
      </c>
      <c r="G1111">
        <v>111294428.508</v>
      </c>
      <c r="H1111">
        <v>45845862.924000002</v>
      </c>
      <c r="I1111">
        <v>62313479.652000003</v>
      </c>
      <c r="J1111">
        <v>0</v>
      </c>
      <c r="K1111">
        <v>86025.98</v>
      </c>
      <c r="L1111">
        <v>632103.94000000006</v>
      </c>
      <c r="M1111">
        <v>0</v>
      </c>
      <c r="T1111" s="9">
        <v>45108</v>
      </c>
      <c r="U1111" s="9">
        <v>45473</v>
      </c>
      <c r="V1111">
        <f>SUM(POTABLE_NONPOTABLE_API[[#This Row],[RESIDENTIAL_SINGLEFAMILY_GAL]:[OTHER_GAL]])</f>
        <v>220171901.00400001</v>
      </c>
      <c r="W1111">
        <f>SUM(POTABLE_NONPOTABLE_API[[#This Row],[NONPOTABLE_DEMAND_RESIDENTIAL_RECYCLED_WATER_GAL]:[NONPOTABLE_DEMAND_NONRESIDENTIAL_METERED_IRRIGATION_GAL]])</f>
        <v>0</v>
      </c>
      <c r="X1111" t="str">
        <f>IFERROR(INDEX(Crosswalk_API!$H$2:$H$527, MATCH(POTABLE_NONPOTABLE_API[[#This Row],[PWSID]], CW_PWSID_LIST, 0)), "")</f>
        <v>No</v>
      </c>
    </row>
    <row r="1112" spans="1:24" x14ac:dyDescent="0.25">
      <c r="A1112" t="s">
        <v>1033</v>
      </c>
      <c r="B1112" t="s">
        <v>1034</v>
      </c>
      <c r="C1112" t="s">
        <v>1037</v>
      </c>
      <c r="D1112" t="s">
        <v>1038</v>
      </c>
      <c r="E1112" s="9">
        <v>45292</v>
      </c>
      <c r="F1112" s="9">
        <v>45322</v>
      </c>
      <c r="G1112">
        <v>99230593.903999999</v>
      </c>
      <c r="H1112">
        <v>44975878.447999999</v>
      </c>
      <c r="I1112">
        <v>56339536.380000003</v>
      </c>
      <c r="J1112">
        <v>0</v>
      </c>
      <c r="K1112">
        <v>59844.160000000003</v>
      </c>
      <c r="L1112">
        <v>212446.76800000001</v>
      </c>
      <c r="M1112">
        <v>0</v>
      </c>
      <c r="T1112" s="9">
        <v>45108</v>
      </c>
      <c r="U1112" s="9">
        <v>45473</v>
      </c>
      <c r="V1112">
        <f>SUM(POTABLE_NONPOTABLE_API[[#This Row],[RESIDENTIAL_SINGLEFAMILY_GAL]:[OTHER_GAL]])</f>
        <v>200818299.66</v>
      </c>
      <c r="W1112">
        <f>SUM(POTABLE_NONPOTABLE_API[[#This Row],[NONPOTABLE_DEMAND_RESIDENTIAL_RECYCLED_WATER_GAL]:[NONPOTABLE_DEMAND_NONRESIDENTIAL_METERED_IRRIGATION_GAL]])</f>
        <v>0</v>
      </c>
      <c r="X1112" t="str">
        <f>IFERROR(INDEX(Crosswalk_API!$H$2:$H$527, MATCH(POTABLE_NONPOTABLE_API[[#This Row],[PWSID]], CW_PWSID_LIST, 0)), "")</f>
        <v>No</v>
      </c>
    </row>
    <row r="1113" spans="1:24" x14ac:dyDescent="0.25">
      <c r="A1113" t="s">
        <v>1033</v>
      </c>
      <c r="B1113" t="s">
        <v>1034</v>
      </c>
      <c r="C1113" t="s">
        <v>1037</v>
      </c>
      <c r="D1113" t="s">
        <v>1038</v>
      </c>
      <c r="E1113" s="9">
        <v>45323</v>
      </c>
      <c r="F1113" s="9">
        <v>45351</v>
      </c>
      <c r="G1113">
        <v>89808130.912</v>
      </c>
      <c r="H1113">
        <v>43936086.167999998</v>
      </c>
      <c r="I1113">
        <v>50324450.248000003</v>
      </c>
      <c r="J1113">
        <v>0</v>
      </c>
      <c r="K1113">
        <v>62088.315999999999</v>
      </c>
      <c r="L1113">
        <v>131657.152</v>
      </c>
      <c r="M1113">
        <v>0</v>
      </c>
      <c r="T1113" s="9">
        <v>45108</v>
      </c>
      <c r="U1113" s="9">
        <v>45473</v>
      </c>
      <c r="V1113">
        <f>SUM(POTABLE_NONPOTABLE_API[[#This Row],[RESIDENTIAL_SINGLEFAMILY_GAL]:[OTHER_GAL]])</f>
        <v>184262412.79600003</v>
      </c>
      <c r="W1113">
        <f>SUM(POTABLE_NONPOTABLE_API[[#This Row],[NONPOTABLE_DEMAND_RESIDENTIAL_RECYCLED_WATER_GAL]:[NONPOTABLE_DEMAND_NONRESIDENTIAL_METERED_IRRIGATION_GAL]])</f>
        <v>0</v>
      </c>
      <c r="X1113" t="str">
        <f>IFERROR(INDEX(Crosswalk_API!$H$2:$H$527, MATCH(POTABLE_NONPOTABLE_API[[#This Row],[PWSID]], CW_PWSID_LIST, 0)), "")</f>
        <v>No</v>
      </c>
    </row>
    <row r="1114" spans="1:24" x14ac:dyDescent="0.25">
      <c r="A1114" t="s">
        <v>1033</v>
      </c>
      <c r="B1114" t="s">
        <v>1034</v>
      </c>
      <c r="C1114" t="s">
        <v>1037</v>
      </c>
      <c r="D1114" t="s">
        <v>1038</v>
      </c>
      <c r="E1114" s="9">
        <v>45352</v>
      </c>
      <c r="F1114" s="9">
        <v>45382</v>
      </c>
      <c r="G1114">
        <v>89397450.364000008</v>
      </c>
      <c r="H1114">
        <v>43817893.952</v>
      </c>
      <c r="I1114">
        <v>51809333.468000002</v>
      </c>
      <c r="J1114">
        <v>0</v>
      </c>
      <c r="K1114">
        <v>75553.252000000008</v>
      </c>
      <c r="L1114">
        <v>86774.032000000007</v>
      </c>
      <c r="M1114">
        <v>0</v>
      </c>
      <c r="T1114" s="9">
        <v>45108</v>
      </c>
      <c r="U1114" s="9">
        <v>45473</v>
      </c>
      <c r="V1114">
        <f>SUM(POTABLE_NONPOTABLE_API[[#This Row],[RESIDENTIAL_SINGLEFAMILY_GAL]:[OTHER_GAL]])</f>
        <v>185187005.06800002</v>
      </c>
      <c r="W1114">
        <f>SUM(POTABLE_NONPOTABLE_API[[#This Row],[NONPOTABLE_DEMAND_RESIDENTIAL_RECYCLED_WATER_GAL]:[NONPOTABLE_DEMAND_NONRESIDENTIAL_METERED_IRRIGATION_GAL]])</f>
        <v>0</v>
      </c>
      <c r="X1114" t="str">
        <f>IFERROR(INDEX(Crosswalk_API!$H$2:$H$527, MATCH(POTABLE_NONPOTABLE_API[[#This Row],[PWSID]], CW_PWSID_LIST, 0)), "")</f>
        <v>No</v>
      </c>
    </row>
    <row r="1115" spans="1:24" x14ac:dyDescent="0.25">
      <c r="A1115" t="s">
        <v>1033</v>
      </c>
      <c r="B1115" t="s">
        <v>1034</v>
      </c>
      <c r="C1115" t="s">
        <v>1037</v>
      </c>
      <c r="D1115" t="s">
        <v>1038</v>
      </c>
      <c r="E1115" s="9">
        <v>45383</v>
      </c>
      <c r="F1115" s="9">
        <v>45412</v>
      </c>
      <c r="G1115">
        <v>91325928.420000002</v>
      </c>
      <c r="H1115">
        <v>42922475.708000004</v>
      </c>
      <c r="I1115">
        <v>52762351.715999998</v>
      </c>
      <c r="J1115">
        <v>0</v>
      </c>
      <c r="K1115">
        <v>78545.460000000006</v>
      </c>
      <c r="L1115">
        <v>272290.92800000001</v>
      </c>
      <c r="M1115">
        <v>0</v>
      </c>
      <c r="T1115" s="9">
        <v>45108</v>
      </c>
      <c r="U1115" s="9">
        <v>45473</v>
      </c>
      <c r="V1115">
        <f>SUM(POTABLE_NONPOTABLE_API[[#This Row],[RESIDENTIAL_SINGLEFAMILY_GAL]:[OTHER_GAL]])</f>
        <v>187361592.23200002</v>
      </c>
      <c r="W1115">
        <f>SUM(POTABLE_NONPOTABLE_API[[#This Row],[NONPOTABLE_DEMAND_RESIDENTIAL_RECYCLED_WATER_GAL]:[NONPOTABLE_DEMAND_NONRESIDENTIAL_METERED_IRRIGATION_GAL]])</f>
        <v>0</v>
      </c>
      <c r="X1115" t="str">
        <f>IFERROR(INDEX(Crosswalk_API!$H$2:$H$527, MATCH(POTABLE_NONPOTABLE_API[[#This Row],[PWSID]], CW_PWSID_LIST, 0)), "")</f>
        <v>No</v>
      </c>
    </row>
    <row r="1116" spans="1:24" x14ac:dyDescent="0.25">
      <c r="A1116" t="s">
        <v>1033</v>
      </c>
      <c r="B1116" t="s">
        <v>1034</v>
      </c>
      <c r="C1116" t="s">
        <v>1037</v>
      </c>
      <c r="D1116" t="s">
        <v>1038</v>
      </c>
      <c r="E1116" s="9">
        <v>45413</v>
      </c>
      <c r="F1116" s="9">
        <v>45443</v>
      </c>
      <c r="G1116">
        <v>116580163.94</v>
      </c>
      <c r="H1116">
        <v>44675909.596000001</v>
      </c>
      <c r="I1116">
        <v>60054362.612000003</v>
      </c>
      <c r="J1116">
        <v>0</v>
      </c>
      <c r="K1116">
        <v>106223.38400000001</v>
      </c>
      <c r="L1116">
        <v>587968.87199999997</v>
      </c>
      <c r="M1116">
        <v>0</v>
      </c>
      <c r="T1116" s="9">
        <v>45108</v>
      </c>
      <c r="U1116" s="9">
        <v>45473</v>
      </c>
      <c r="V1116">
        <f>SUM(POTABLE_NONPOTABLE_API[[#This Row],[RESIDENTIAL_SINGLEFAMILY_GAL]:[OTHER_GAL]])</f>
        <v>222004628.40400001</v>
      </c>
      <c r="W1116">
        <f>SUM(POTABLE_NONPOTABLE_API[[#This Row],[NONPOTABLE_DEMAND_RESIDENTIAL_RECYCLED_WATER_GAL]:[NONPOTABLE_DEMAND_NONRESIDENTIAL_METERED_IRRIGATION_GAL]])</f>
        <v>0</v>
      </c>
      <c r="X1116" t="str">
        <f>IFERROR(INDEX(Crosswalk_API!$H$2:$H$527, MATCH(POTABLE_NONPOTABLE_API[[#This Row],[PWSID]], CW_PWSID_LIST, 0)), "")</f>
        <v>No</v>
      </c>
    </row>
    <row r="1117" spans="1:24" x14ac:dyDescent="0.25">
      <c r="A1117" t="s">
        <v>1033</v>
      </c>
      <c r="B1117" t="s">
        <v>1034</v>
      </c>
      <c r="C1117" t="s">
        <v>1037</v>
      </c>
      <c r="D1117" t="s">
        <v>1038</v>
      </c>
      <c r="E1117" s="9">
        <v>45444</v>
      </c>
      <c r="F1117" s="9">
        <v>45473</v>
      </c>
      <c r="G1117">
        <v>153768073.016</v>
      </c>
      <c r="H1117">
        <v>49762663.196000002</v>
      </c>
      <c r="I1117">
        <v>74589761.024000004</v>
      </c>
      <c r="J1117">
        <v>0</v>
      </c>
      <c r="K1117">
        <v>141381.82800000001</v>
      </c>
      <c r="L1117">
        <v>6742940.7280000001</v>
      </c>
      <c r="M1117">
        <v>0</v>
      </c>
      <c r="T1117" s="9">
        <v>45108</v>
      </c>
      <c r="U1117" s="9">
        <v>45473</v>
      </c>
      <c r="V1117">
        <f>SUM(POTABLE_NONPOTABLE_API[[#This Row],[RESIDENTIAL_SINGLEFAMILY_GAL]:[OTHER_GAL]])</f>
        <v>285004819.792</v>
      </c>
      <c r="W1117">
        <f>SUM(POTABLE_NONPOTABLE_API[[#This Row],[NONPOTABLE_DEMAND_RESIDENTIAL_RECYCLED_WATER_GAL]:[NONPOTABLE_DEMAND_NONRESIDENTIAL_METERED_IRRIGATION_GAL]])</f>
        <v>0</v>
      </c>
      <c r="X1117" t="str">
        <f>IFERROR(INDEX(Crosswalk_API!$H$2:$H$527, MATCH(POTABLE_NONPOTABLE_API[[#This Row],[PWSID]], CW_PWSID_LIST, 0)), "")</f>
        <v>No</v>
      </c>
    </row>
    <row r="1118" spans="1:24" x14ac:dyDescent="0.25">
      <c r="A1118" t="s">
        <v>1013</v>
      </c>
      <c r="B1118" t="s">
        <v>1014</v>
      </c>
      <c r="C1118" t="s">
        <v>1015</v>
      </c>
      <c r="D1118" t="s">
        <v>1016</v>
      </c>
      <c r="E1118" s="9">
        <v>45108</v>
      </c>
      <c r="F1118" s="9">
        <v>45138</v>
      </c>
      <c r="G1118">
        <v>26575295.352000002</v>
      </c>
      <c r="H1118">
        <v>5141361.3959999997</v>
      </c>
      <c r="I1118">
        <v>36120438.872000001</v>
      </c>
      <c r="J1118">
        <v>0</v>
      </c>
      <c r="K1118">
        <v>3806088.5759999999</v>
      </c>
      <c r="L1118">
        <v>204966.24799999999</v>
      </c>
      <c r="M1118">
        <v>0</v>
      </c>
      <c r="T1118" s="9">
        <v>45108</v>
      </c>
      <c r="U1118" s="9">
        <v>45473</v>
      </c>
      <c r="V1118">
        <f>SUM(POTABLE_NONPOTABLE_API[[#This Row],[RESIDENTIAL_SINGLEFAMILY_GAL]:[OTHER_GAL]])</f>
        <v>71848150.444000006</v>
      </c>
      <c r="W1118">
        <f>SUM(POTABLE_NONPOTABLE_API[[#This Row],[NONPOTABLE_DEMAND_RESIDENTIAL_RECYCLED_WATER_GAL]:[NONPOTABLE_DEMAND_NONRESIDENTIAL_METERED_IRRIGATION_GAL]])</f>
        <v>0</v>
      </c>
      <c r="X1118" t="str">
        <f>IFERROR(INDEX(Crosswalk_API!$H$2:$H$527, MATCH(POTABLE_NONPOTABLE_API[[#This Row],[PWSID]], CW_PWSID_LIST, 0)), "")</f>
        <v>No</v>
      </c>
    </row>
    <row r="1119" spans="1:24" x14ac:dyDescent="0.25">
      <c r="A1119" t="s">
        <v>1013</v>
      </c>
      <c r="B1119" t="s">
        <v>1014</v>
      </c>
      <c r="C1119" t="s">
        <v>1015</v>
      </c>
      <c r="D1119" t="s">
        <v>1016</v>
      </c>
      <c r="E1119" s="9">
        <v>45139</v>
      </c>
      <c r="F1119" s="9">
        <v>45169</v>
      </c>
      <c r="G1119">
        <v>25646962.82</v>
      </c>
      <c r="H1119">
        <v>4877299.04</v>
      </c>
      <c r="I1119">
        <v>36915618.148000002</v>
      </c>
      <c r="J1119">
        <v>0</v>
      </c>
      <c r="K1119">
        <v>38568065.016000003</v>
      </c>
      <c r="L1119">
        <v>536353.28399999999</v>
      </c>
      <c r="M1119">
        <v>0</v>
      </c>
      <c r="T1119" s="9">
        <v>45108</v>
      </c>
      <c r="U1119" s="9">
        <v>45473</v>
      </c>
      <c r="V1119">
        <f>SUM(POTABLE_NONPOTABLE_API[[#This Row],[RESIDENTIAL_SINGLEFAMILY_GAL]:[OTHER_GAL]])</f>
        <v>106544298.308</v>
      </c>
      <c r="W1119">
        <f>SUM(POTABLE_NONPOTABLE_API[[#This Row],[NONPOTABLE_DEMAND_RESIDENTIAL_RECYCLED_WATER_GAL]:[NONPOTABLE_DEMAND_NONRESIDENTIAL_METERED_IRRIGATION_GAL]])</f>
        <v>0</v>
      </c>
      <c r="X1119" t="str">
        <f>IFERROR(INDEX(Crosswalk_API!$H$2:$H$527, MATCH(POTABLE_NONPOTABLE_API[[#This Row],[PWSID]], CW_PWSID_LIST, 0)), "")</f>
        <v>No</v>
      </c>
    </row>
    <row r="1120" spans="1:24" x14ac:dyDescent="0.25">
      <c r="A1120" t="s">
        <v>1013</v>
      </c>
      <c r="B1120" t="s">
        <v>1014</v>
      </c>
      <c r="C1120" t="s">
        <v>1015</v>
      </c>
      <c r="D1120" t="s">
        <v>1016</v>
      </c>
      <c r="E1120" s="9">
        <v>45170</v>
      </c>
      <c r="F1120" s="9">
        <v>45199</v>
      </c>
      <c r="G1120">
        <v>26507970.672000002</v>
      </c>
      <c r="H1120">
        <v>5322389.9800000004</v>
      </c>
      <c r="I1120">
        <v>38105020.828000002</v>
      </c>
      <c r="J1120">
        <v>0</v>
      </c>
      <c r="K1120">
        <v>69784274.975999996</v>
      </c>
      <c r="L1120">
        <v>903646.81599999999</v>
      </c>
      <c r="M1120">
        <v>0</v>
      </c>
      <c r="T1120" s="9">
        <v>45108</v>
      </c>
      <c r="U1120" s="9">
        <v>45473</v>
      </c>
      <c r="V1120">
        <f>SUM(POTABLE_NONPOTABLE_API[[#This Row],[RESIDENTIAL_SINGLEFAMILY_GAL]:[OTHER_GAL]])</f>
        <v>140623303.27200001</v>
      </c>
      <c r="W1120">
        <f>SUM(POTABLE_NONPOTABLE_API[[#This Row],[NONPOTABLE_DEMAND_RESIDENTIAL_RECYCLED_WATER_GAL]:[NONPOTABLE_DEMAND_NONRESIDENTIAL_METERED_IRRIGATION_GAL]])</f>
        <v>0</v>
      </c>
      <c r="X1120" t="str">
        <f>IFERROR(INDEX(Crosswalk_API!$H$2:$H$527, MATCH(POTABLE_NONPOTABLE_API[[#This Row],[PWSID]], CW_PWSID_LIST, 0)), "")</f>
        <v>No</v>
      </c>
    </row>
    <row r="1121" spans="1:24" x14ac:dyDescent="0.25">
      <c r="A1121" t="s">
        <v>1013</v>
      </c>
      <c r="B1121" t="s">
        <v>1014</v>
      </c>
      <c r="C1121" t="s">
        <v>1015</v>
      </c>
      <c r="D1121" t="s">
        <v>1016</v>
      </c>
      <c r="E1121" s="9">
        <v>45200</v>
      </c>
      <c r="F1121" s="9">
        <v>45230</v>
      </c>
      <c r="G1121">
        <v>19365570.175999999</v>
      </c>
      <c r="H1121">
        <v>4594535.3840000005</v>
      </c>
      <c r="I1121">
        <v>29530848.804000001</v>
      </c>
      <c r="J1121">
        <v>0</v>
      </c>
      <c r="K1121">
        <v>44824023.892000005</v>
      </c>
      <c r="L1121">
        <v>554306.53200000001</v>
      </c>
      <c r="M1121">
        <v>0</v>
      </c>
      <c r="T1121" s="9">
        <v>45108</v>
      </c>
      <c r="U1121" s="9">
        <v>45473</v>
      </c>
      <c r="V1121">
        <f>SUM(POTABLE_NONPOTABLE_API[[#This Row],[RESIDENTIAL_SINGLEFAMILY_GAL]:[OTHER_GAL]])</f>
        <v>98869284.788000017</v>
      </c>
      <c r="W1121">
        <f>SUM(POTABLE_NONPOTABLE_API[[#This Row],[NONPOTABLE_DEMAND_RESIDENTIAL_RECYCLED_WATER_GAL]:[NONPOTABLE_DEMAND_NONRESIDENTIAL_METERED_IRRIGATION_GAL]])</f>
        <v>0</v>
      </c>
      <c r="X1121" t="str">
        <f>IFERROR(INDEX(Crosswalk_API!$H$2:$H$527, MATCH(POTABLE_NONPOTABLE_API[[#This Row],[PWSID]], CW_PWSID_LIST, 0)), "")</f>
        <v>No</v>
      </c>
    </row>
    <row r="1122" spans="1:24" x14ac:dyDescent="0.25">
      <c r="A1122" t="s">
        <v>1013</v>
      </c>
      <c r="B1122" t="s">
        <v>1014</v>
      </c>
      <c r="C1122" t="s">
        <v>1015</v>
      </c>
      <c r="D1122" t="s">
        <v>1016</v>
      </c>
      <c r="E1122" s="9">
        <v>45231</v>
      </c>
      <c r="F1122" s="9">
        <v>45260</v>
      </c>
      <c r="G1122">
        <v>15354515.352</v>
      </c>
      <c r="H1122">
        <v>3535293.7520000003</v>
      </c>
      <c r="I1122">
        <v>23567378.260000002</v>
      </c>
      <c r="J1122">
        <v>0</v>
      </c>
      <c r="K1122">
        <v>31172074.892000001</v>
      </c>
      <c r="L1122">
        <v>111459.74800000001</v>
      </c>
      <c r="M1122">
        <v>0</v>
      </c>
      <c r="T1122" s="9">
        <v>45108</v>
      </c>
      <c r="U1122" s="9">
        <v>45473</v>
      </c>
      <c r="V1122">
        <f>SUM(POTABLE_NONPOTABLE_API[[#This Row],[RESIDENTIAL_SINGLEFAMILY_GAL]:[OTHER_GAL]])</f>
        <v>73740722.004000008</v>
      </c>
      <c r="W1122">
        <f>SUM(POTABLE_NONPOTABLE_API[[#This Row],[NONPOTABLE_DEMAND_RESIDENTIAL_RECYCLED_WATER_GAL]:[NONPOTABLE_DEMAND_NONRESIDENTIAL_METERED_IRRIGATION_GAL]])</f>
        <v>0</v>
      </c>
      <c r="X1122" t="str">
        <f>IFERROR(INDEX(Crosswalk_API!$H$2:$H$527, MATCH(POTABLE_NONPOTABLE_API[[#This Row],[PWSID]], CW_PWSID_LIST, 0)), "")</f>
        <v>No</v>
      </c>
    </row>
    <row r="1123" spans="1:24" x14ac:dyDescent="0.25">
      <c r="A1123" t="s">
        <v>1013</v>
      </c>
      <c r="B1123" t="s">
        <v>1014</v>
      </c>
      <c r="C1123" t="s">
        <v>1015</v>
      </c>
      <c r="D1123" t="s">
        <v>1016</v>
      </c>
      <c r="E1123" s="9">
        <v>45261</v>
      </c>
      <c r="F1123" s="9">
        <v>45291</v>
      </c>
      <c r="G1123">
        <v>14237673.716</v>
      </c>
      <c r="H1123">
        <v>3947470.4040000001</v>
      </c>
      <c r="I1123">
        <v>16194577.748</v>
      </c>
      <c r="J1123">
        <v>0</v>
      </c>
      <c r="K1123">
        <v>3115636.58</v>
      </c>
      <c r="L1123">
        <v>101735.072</v>
      </c>
      <c r="M1123">
        <v>0</v>
      </c>
      <c r="T1123" s="9">
        <v>45108</v>
      </c>
      <c r="U1123" s="9">
        <v>45473</v>
      </c>
      <c r="V1123">
        <f>SUM(POTABLE_NONPOTABLE_API[[#This Row],[RESIDENTIAL_SINGLEFAMILY_GAL]:[OTHER_GAL]])</f>
        <v>37597093.519999996</v>
      </c>
      <c r="W1123">
        <f>SUM(POTABLE_NONPOTABLE_API[[#This Row],[NONPOTABLE_DEMAND_RESIDENTIAL_RECYCLED_WATER_GAL]:[NONPOTABLE_DEMAND_NONRESIDENTIAL_METERED_IRRIGATION_GAL]])</f>
        <v>0</v>
      </c>
      <c r="X1123" t="str">
        <f>IFERROR(INDEX(Crosswalk_API!$H$2:$H$527, MATCH(POTABLE_NONPOTABLE_API[[#This Row],[PWSID]], CW_PWSID_LIST, 0)), "")</f>
        <v>No</v>
      </c>
    </row>
    <row r="1124" spans="1:24" x14ac:dyDescent="0.25">
      <c r="A1124" t="s">
        <v>1013</v>
      </c>
      <c r="B1124" t="s">
        <v>1014</v>
      </c>
      <c r="C1124" t="s">
        <v>1015</v>
      </c>
      <c r="D1124" t="s">
        <v>1016</v>
      </c>
      <c r="E1124" s="9">
        <v>45292</v>
      </c>
      <c r="F1124" s="9">
        <v>45322</v>
      </c>
      <c r="G1124">
        <v>13737226.928000001</v>
      </c>
      <c r="H1124">
        <v>3277215.8119999999</v>
      </c>
      <c r="I1124">
        <v>17008458.324000001</v>
      </c>
      <c r="J1124">
        <v>0</v>
      </c>
      <c r="K1124">
        <v>1722015.7040000001</v>
      </c>
      <c r="L1124">
        <v>38150.652000000002</v>
      </c>
      <c r="M1124">
        <v>0</v>
      </c>
      <c r="T1124" s="9">
        <v>45108</v>
      </c>
      <c r="U1124" s="9">
        <v>45473</v>
      </c>
      <c r="V1124">
        <f>SUM(POTABLE_NONPOTABLE_API[[#This Row],[RESIDENTIAL_SINGLEFAMILY_GAL]:[OTHER_GAL]])</f>
        <v>35783067.420000009</v>
      </c>
      <c r="W1124">
        <f>SUM(POTABLE_NONPOTABLE_API[[#This Row],[NONPOTABLE_DEMAND_RESIDENTIAL_RECYCLED_WATER_GAL]:[NONPOTABLE_DEMAND_NONRESIDENTIAL_METERED_IRRIGATION_GAL]])</f>
        <v>0</v>
      </c>
      <c r="X1124" t="str">
        <f>IFERROR(INDEX(Crosswalk_API!$H$2:$H$527, MATCH(POTABLE_NONPOTABLE_API[[#This Row],[PWSID]], CW_PWSID_LIST, 0)), "")</f>
        <v>No</v>
      </c>
    </row>
    <row r="1125" spans="1:24" x14ac:dyDescent="0.25">
      <c r="A1125" t="s">
        <v>1013</v>
      </c>
      <c r="B1125" t="s">
        <v>1014</v>
      </c>
      <c r="C1125" t="s">
        <v>1015</v>
      </c>
      <c r="D1125" t="s">
        <v>1016</v>
      </c>
      <c r="E1125" s="9">
        <v>45323</v>
      </c>
      <c r="F1125" s="9">
        <v>45351</v>
      </c>
      <c r="G1125">
        <v>12677985.296</v>
      </c>
      <c r="H1125">
        <v>3162763.8560000001</v>
      </c>
      <c r="I1125">
        <v>13366941.188000001</v>
      </c>
      <c r="J1125">
        <v>0</v>
      </c>
      <c r="K1125">
        <v>1400353.344</v>
      </c>
      <c r="L1125">
        <v>356072.75200000004</v>
      </c>
      <c r="M1125">
        <v>0</v>
      </c>
      <c r="T1125" s="9">
        <v>45108</v>
      </c>
      <c r="U1125" s="9">
        <v>45473</v>
      </c>
      <c r="V1125">
        <f>SUM(POTABLE_NONPOTABLE_API[[#This Row],[RESIDENTIAL_SINGLEFAMILY_GAL]:[OTHER_GAL]])</f>
        <v>30964116.436000004</v>
      </c>
      <c r="W1125">
        <f>SUM(POTABLE_NONPOTABLE_API[[#This Row],[NONPOTABLE_DEMAND_RESIDENTIAL_RECYCLED_WATER_GAL]:[NONPOTABLE_DEMAND_NONRESIDENTIAL_METERED_IRRIGATION_GAL]])</f>
        <v>0</v>
      </c>
      <c r="X1125" t="str">
        <f>IFERROR(INDEX(Crosswalk_API!$H$2:$H$527, MATCH(POTABLE_NONPOTABLE_API[[#This Row],[PWSID]], CW_PWSID_LIST, 0)), "")</f>
        <v>No</v>
      </c>
    </row>
    <row r="1126" spans="1:24" x14ac:dyDescent="0.25">
      <c r="A1126" t="s">
        <v>1013</v>
      </c>
      <c r="B1126" t="s">
        <v>1014</v>
      </c>
      <c r="C1126" t="s">
        <v>1015</v>
      </c>
      <c r="D1126" t="s">
        <v>1016</v>
      </c>
      <c r="E1126" s="9">
        <v>45352</v>
      </c>
      <c r="F1126" s="9">
        <v>45382</v>
      </c>
      <c r="G1126">
        <v>11870837.188000001</v>
      </c>
      <c r="H1126">
        <v>2877756.0440000002</v>
      </c>
      <c r="I1126">
        <v>13697580.172</v>
      </c>
      <c r="J1126">
        <v>0</v>
      </c>
      <c r="K1126">
        <v>1305350.74</v>
      </c>
      <c r="L1126">
        <v>20197.404000000002</v>
      </c>
      <c r="M1126">
        <v>0</v>
      </c>
      <c r="T1126" s="9">
        <v>45108</v>
      </c>
      <c r="U1126" s="9">
        <v>45473</v>
      </c>
      <c r="V1126">
        <f>SUM(POTABLE_NONPOTABLE_API[[#This Row],[RESIDENTIAL_SINGLEFAMILY_GAL]:[OTHER_GAL]])</f>
        <v>29771721.547999997</v>
      </c>
      <c r="W1126">
        <f>SUM(POTABLE_NONPOTABLE_API[[#This Row],[NONPOTABLE_DEMAND_RESIDENTIAL_RECYCLED_WATER_GAL]:[NONPOTABLE_DEMAND_NONRESIDENTIAL_METERED_IRRIGATION_GAL]])</f>
        <v>0</v>
      </c>
      <c r="X1126" t="str">
        <f>IFERROR(INDEX(Crosswalk_API!$H$2:$H$527, MATCH(POTABLE_NONPOTABLE_API[[#This Row],[PWSID]], CW_PWSID_LIST, 0)), "")</f>
        <v>No</v>
      </c>
    </row>
    <row r="1127" spans="1:24" x14ac:dyDescent="0.25">
      <c r="A1127" t="s">
        <v>1013</v>
      </c>
      <c r="B1127" t="s">
        <v>1014</v>
      </c>
      <c r="C1127" t="s">
        <v>1015</v>
      </c>
      <c r="D1127" t="s">
        <v>1016</v>
      </c>
      <c r="E1127" s="9">
        <v>45383</v>
      </c>
      <c r="F1127" s="9">
        <v>45412</v>
      </c>
      <c r="G1127">
        <v>11895522.904000001</v>
      </c>
      <c r="H1127">
        <v>3096935.2800000003</v>
      </c>
      <c r="I1127">
        <v>13673642.508000001</v>
      </c>
      <c r="J1127">
        <v>0</v>
      </c>
      <c r="K1127">
        <v>1297122.1680000001</v>
      </c>
      <c r="L1127">
        <v>5236.3640000000005</v>
      </c>
      <c r="M1127">
        <v>0</v>
      </c>
      <c r="T1127" s="9">
        <v>45108</v>
      </c>
      <c r="U1127" s="9">
        <v>45473</v>
      </c>
      <c r="V1127">
        <f>SUM(POTABLE_NONPOTABLE_API[[#This Row],[RESIDENTIAL_SINGLEFAMILY_GAL]:[OTHER_GAL]])</f>
        <v>29968459.224000003</v>
      </c>
      <c r="W1127">
        <f>SUM(POTABLE_NONPOTABLE_API[[#This Row],[NONPOTABLE_DEMAND_RESIDENTIAL_RECYCLED_WATER_GAL]:[NONPOTABLE_DEMAND_NONRESIDENTIAL_METERED_IRRIGATION_GAL]])</f>
        <v>0</v>
      </c>
      <c r="X1127" t="str">
        <f>IFERROR(INDEX(Crosswalk_API!$H$2:$H$527, MATCH(POTABLE_NONPOTABLE_API[[#This Row],[PWSID]], CW_PWSID_LIST, 0)), "")</f>
        <v>No</v>
      </c>
    </row>
    <row r="1128" spans="1:24" x14ac:dyDescent="0.25">
      <c r="A1128" t="s">
        <v>1013</v>
      </c>
      <c r="B1128" t="s">
        <v>1014</v>
      </c>
      <c r="C1128" t="s">
        <v>1015</v>
      </c>
      <c r="D1128" t="s">
        <v>1016</v>
      </c>
      <c r="E1128" s="9">
        <v>45413</v>
      </c>
      <c r="F1128" s="9">
        <v>45443</v>
      </c>
      <c r="G1128">
        <v>14631897.120000001</v>
      </c>
      <c r="H1128">
        <v>3375210.6240000003</v>
      </c>
      <c r="I1128">
        <v>17647294.732000001</v>
      </c>
      <c r="J1128">
        <v>0</v>
      </c>
      <c r="K1128">
        <v>1909776.7560000001</v>
      </c>
      <c r="L1128">
        <v>261818.2</v>
      </c>
      <c r="M1128">
        <v>0</v>
      </c>
      <c r="T1128" s="9">
        <v>45108</v>
      </c>
      <c r="U1128" s="9">
        <v>45473</v>
      </c>
      <c r="V1128">
        <f>SUM(POTABLE_NONPOTABLE_API[[#This Row],[RESIDENTIAL_SINGLEFAMILY_GAL]:[OTHER_GAL]])</f>
        <v>37825997.432000004</v>
      </c>
      <c r="W1128">
        <f>SUM(POTABLE_NONPOTABLE_API[[#This Row],[NONPOTABLE_DEMAND_RESIDENTIAL_RECYCLED_WATER_GAL]:[NONPOTABLE_DEMAND_NONRESIDENTIAL_METERED_IRRIGATION_GAL]])</f>
        <v>0</v>
      </c>
      <c r="X1128" t="str">
        <f>IFERROR(INDEX(Crosswalk_API!$H$2:$H$527, MATCH(POTABLE_NONPOTABLE_API[[#This Row],[PWSID]], CW_PWSID_LIST, 0)), "")</f>
        <v>No</v>
      </c>
    </row>
    <row r="1129" spans="1:24" x14ac:dyDescent="0.25">
      <c r="A1129" t="s">
        <v>1013</v>
      </c>
      <c r="B1129" t="s">
        <v>1014</v>
      </c>
      <c r="C1129" t="s">
        <v>1015</v>
      </c>
      <c r="D1129" t="s">
        <v>1016</v>
      </c>
      <c r="E1129" s="9">
        <v>45444</v>
      </c>
      <c r="F1129" s="9">
        <v>45473</v>
      </c>
      <c r="G1129">
        <v>22514869.096000001</v>
      </c>
      <c r="H1129">
        <v>4688041.8840000005</v>
      </c>
      <c r="I1129">
        <v>30534734.588</v>
      </c>
      <c r="J1129">
        <v>0</v>
      </c>
      <c r="K1129">
        <v>2916654.7480000001</v>
      </c>
      <c r="L1129">
        <v>0</v>
      </c>
      <c r="M1129">
        <v>0</v>
      </c>
      <c r="T1129" s="9">
        <v>45108</v>
      </c>
      <c r="U1129" s="9">
        <v>45473</v>
      </c>
      <c r="V1129">
        <f>SUM(POTABLE_NONPOTABLE_API[[#This Row],[RESIDENTIAL_SINGLEFAMILY_GAL]:[OTHER_GAL]])</f>
        <v>60654300.316000007</v>
      </c>
      <c r="W1129">
        <f>SUM(POTABLE_NONPOTABLE_API[[#This Row],[NONPOTABLE_DEMAND_RESIDENTIAL_RECYCLED_WATER_GAL]:[NONPOTABLE_DEMAND_NONRESIDENTIAL_METERED_IRRIGATION_GAL]])</f>
        <v>0</v>
      </c>
      <c r="X1129" t="str">
        <f>IFERROR(INDEX(Crosswalk_API!$H$2:$H$527, MATCH(POTABLE_NONPOTABLE_API[[#This Row],[PWSID]], CW_PWSID_LIST, 0)), "")</f>
        <v>No</v>
      </c>
    </row>
    <row r="1130" spans="1:24" x14ac:dyDescent="0.25">
      <c r="A1130" t="s">
        <v>1017</v>
      </c>
      <c r="B1130" t="s">
        <v>1018</v>
      </c>
      <c r="C1130" t="s">
        <v>1019</v>
      </c>
      <c r="D1130" t="s">
        <v>1020</v>
      </c>
      <c r="E1130" s="9">
        <v>45108</v>
      </c>
      <c r="F1130" s="9">
        <v>45138</v>
      </c>
      <c r="G1130">
        <v>348489748.87599999</v>
      </c>
      <c r="H1130">
        <v>16711481.68</v>
      </c>
      <c r="I1130">
        <v>79986956.203999996</v>
      </c>
      <c r="J1130">
        <v>0</v>
      </c>
      <c r="K1130">
        <v>0</v>
      </c>
      <c r="L1130">
        <v>276031.18800000002</v>
      </c>
      <c r="M1130">
        <v>0</v>
      </c>
      <c r="T1130" s="9">
        <v>45108</v>
      </c>
      <c r="U1130" s="9">
        <v>45473</v>
      </c>
      <c r="V1130">
        <f>SUM(POTABLE_NONPOTABLE_API[[#This Row],[RESIDENTIAL_SINGLEFAMILY_GAL]:[OTHER_GAL]])</f>
        <v>445464217.94800001</v>
      </c>
      <c r="W1130">
        <f>SUM(POTABLE_NONPOTABLE_API[[#This Row],[NONPOTABLE_DEMAND_RESIDENTIAL_RECYCLED_WATER_GAL]:[NONPOTABLE_DEMAND_NONRESIDENTIAL_METERED_IRRIGATION_GAL]])</f>
        <v>0</v>
      </c>
      <c r="X1130" t="str">
        <f>IFERROR(INDEX(Crosswalk_API!$H$2:$H$527, MATCH(POTABLE_NONPOTABLE_API[[#This Row],[PWSID]], CW_PWSID_LIST, 0)), "")</f>
        <v>No</v>
      </c>
    </row>
    <row r="1131" spans="1:24" x14ac:dyDescent="0.25">
      <c r="A1131" t="s">
        <v>1017</v>
      </c>
      <c r="B1131" t="s">
        <v>1018</v>
      </c>
      <c r="C1131" t="s">
        <v>1019</v>
      </c>
      <c r="D1131" t="s">
        <v>1020</v>
      </c>
      <c r="E1131" s="9">
        <v>45139</v>
      </c>
      <c r="F1131" s="9">
        <v>45169</v>
      </c>
      <c r="G1131">
        <v>351253801.01600003</v>
      </c>
      <c r="H1131">
        <v>15178723.132000001</v>
      </c>
      <c r="I1131">
        <v>120501452.524</v>
      </c>
      <c r="J1131">
        <v>0</v>
      </c>
      <c r="K1131">
        <v>0</v>
      </c>
      <c r="L1131">
        <v>311189.63199999998</v>
      </c>
      <c r="M1131">
        <v>0</v>
      </c>
      <c r="T1131" s="9">
        <v>45108</v>
      </c>
      <c r="U1131" s="9">
        <v>45473</v>
      </c>
      <c r="V1131">
        <f>SUM(POTABLE_NONPOTABLE_API[[#This Row],[RESIDENTIAL_SINGLEFAMILY_GAL]:[OTHER_GAL]])</f>
        <v>487245166.30400008</v>
      </c>
      <c r="W1131">
        <f>SUM(POTABLE_NONPOTABLE_API[[#This Row],[NONPOTABLE_DEMAND_RESIDENTIAL_RECYCLED_WATER_GAL]:[NONPOTABLE_DEMAND_NONRESIDENTIAL_METERED_IRRIGATION_GAL]])</f>
        <v>0</v>
      </c>
      <c r="X1131" t="str">
        <f>IFERROR(INDEX(Crosswalk_API!$H$2:$H$527, MATCH(POTABLE_NONPOTABLE_API[[#This Row],[PWSID]], CW_PWSID_LIST, 0)), "")</f>
        <v>No</v>
      </c>
    </row>
    <row r="1132" spans="1:24" x14ac:dyDescent="0.25">
      <c r="A1132" t="s">
        <v>1017</v>
      </c>
      <c r="B1132" t="s">
        <v>1018</v>
      </c>
      <c r="C1132" t="s">
        <v>1019</v>
      </c>
      <c r="D1132" t="s">
        <v>1020</v>
      </c>
      <c r="E1132" s="9">
        <v>45170</v>
      </c>
      <c r="F1132" s="9">
        <v>45199</v>
      </c>
      <c r="G1132">
        <v>341354828.90000004</v>
      </c>
      <c r="H1132">
        <v>17900136.308000002</v>
      </c>
      <c r="I1132">
        <v>90492598.491999999</v>
      </c>
      <c r="J1132">
        <v>0</v>
      </c>
      <c r="K1132">
        <v>0</v>
      </c>
      <c r="L1132">
        <v>93506.5</v>
      </c>
      <c r="M1132">
        <v>0</v>
      </c>
      <c r="T1132" s="9">
        <v>45108</v>
      </c>
      <c r="U1132" s="9">
        <v>45473</v>
      </c>
      <c r="V1132">
        <f>SUM(POTABLE_NONPOTABLE_API[[#This Row],[RESIDENTIAL_SINGLEFAMILY_GAL]:[OTHER_GAL]])</f>
        <v>449841070.20000005</v>
      </c>
      <c r="W1132">
        <f>SUM(POTABLE_NONPOTABLE_API[[#This Row],[NONPOTABLE_DEMAND_RESIDENTIAL_RECYCLED_WATER_GAL]:[NONPOTABLE_DEMAND_NONRESIDENTIAL_METERED_IRRIGATION_GAL]])</f>
        <v>0</v>
      </c>
      <c r="X1132" t="str">
        <f>IFERROR(INDEX(Crosswalk_API!$H$2:$H$527, MATCH(POTABLE_NONPOTABLE_API[[#This Row],[PWSID]], CW_PWSID_LIST, 0)), "")</f>
        <v>No</v>
      </c>
    </row>
    <row r="1133" spans="1:24" x14ac:dyDescent="0.25">
      <c r="A1133" t="s">
        <v>1017</v>
      </c>
      <c r="B1133" t="s">
        <v>1018</v>
      </c>
      <c r="C1133" t="s">
        <v>1019</v>
      </c>
      <c r="D1133" t="s">
        <v>1020</v>
      </c>
      <c r="E1133" s="9">
        <v>45200</v>
      </c>
      <c r="F1133" s="9">
        <v>45230</v>
      </c>
      <c r="G1133">
        <v>326294297.98400003</v>
      </c>
      <c r="H1133">
        <v>15598380.304</v>
      </c>
      <c r="I1133">
        <v>89338354.255999997</v>
      </c>
      <c r="J1133">
        <v>0</v>
      </c>
      <c r="K1133">
        <v>0</v>
      </c>
      <c r="L1133">
        <v>80041.563999999998</v>
      </c>
      <c r="M1133">
        <v>0</v>
      </c>
      <c r="T1133" s="9">
        <v>45108</v>
      </c>
      <c r="U1133" s="9">
        <v>45473</v>
      </c>
      <c r="V1133">
        <f>SUM(POTABLE_NONPOTABLE_API[[#This Row],[RESIDENTIAL_SINGLEFAMILY_GAL]:[OTHER_GAL]])</f>
        <v>431311074.10800004</v>
      </c>
      <c r="W1133">
        <f>SUM(POTABLE_NONPOTABLE_API[[#This Row],[NONPOTABLE_DEMAND_RESIDENTIAL_RECYCLED_WATER_GAL]:[NONPOTABLE_DEMAND_NONRESIDENTIAL_METERED_IRRIGATION_GAL]])</f>
        <v>0</v>
      </c>
      <c r="X1133" t="str">
        <f>IFERROR(INDEX(Crosswalk_API!$H$2:$H$527, MATCH(POTABLE_NONPOTABLE_API[[#This Row],[PWSID]], CW_PWSID_LIST, 0)), "")</f>
        <v>No</v>
      </c>
    </row>
    <row r="1134" spans="1:24" x14ac:dyDescent="0.25">
      <c r="A1134" t="s">
        <v>1017</v>
      </c>
      <c r="B1134" t="s">
        <v>1018</v>
      </c>
      <c r="C1134" t="s">
        <v>1019</v>
      </c>
      <c r="D1134" t="s">
        <v>1020</v>
      </c>
      <c r="E1134" s="9">
        <v>45231</v>
      </c>
      <c r="F1134" s="9">
        <v>45260</v>
      </c>
      <c r="G1134">
        <v>302739636.60799998</v>
      </c>
      <c r="H1134">
        <v>15446525.748</v>
      </c>
      <c r="I1134">
        <v>74066872.675999999</v>
      </c>
      <c r="J1134">
        <v>0</v>
      </c>
      <c r="K1134">
        <v>0</v>
      </c>
      <c r="L1134">
        <v>169059.75200000001</v>
      </c>
      <c r="M1134">
        <v>0</v>
      </c>
      <c r="T1134" s="9">
        <v>45108</v>
      </c>
      <c r="U1134" s="9">
        <v>45473</v>
      </c>
      <c r="V1134">
        <f>SUM(POTABLE_NONPOTABLE_API[[#This Row],[RESIDENTIAL_SINGLEFAMILY_GAL]:[OTHER_GAL]])</f>
        <v>392422094.78399998</v>
      </c>
      <c r="W1134">
        <f>SUM(POTABLE_NONPOTABLE_API[[#This Row],[NONPOTABLE_DEMAND_RESIDENTIAL_RECYCLED_WATER_GAL]:[NONPOTABLE_DEMAND_NONRESIDENTIAL_METERED_IRRIGATION_GAL]])</f>
        <v>0</v>
      </c>
      <c r="X1134" t="str">
        <f>IFERROR(INDEX(Crosswalk_API!$H$2:$H$527, MATCH(POTABLE_NONPOTABLE_API[[#This Row],[PWSID]], CW_PWSID_LIST, 0)), "")</f>
        <v>No</v>
      </c>
    </row>
    <row r="1135" spans="1:24" x14ac:dyDescent="0.25">
      <c r="A1135" t="s">
        <v>1017</v>
      </c>
      <c r="B1135" t="s">
        <v>1018</v>
      </c>
      <c r="C1135" t="s">
        <v>1019</v>
      </c>
      <c r="D1135" t="s">
        <v>1020</v>
      </c>
      <c r="E1135" s="9">
        <v>45261</v>
      </c>
      <c r="F1135" s="9">
        <v>45291</v>
      </c>
      <c r="G1135">
        <v>297396301.17199999</v>
      </c>
      <c r="H1135">
        <v>16837902.468000002</v>
      </c>
      <c r="I1135">
        <v>67127942.324000001</v>
      </c>
      <c r="J1135">
        <v>0</v>
      </c>
      <c r="K1135">
        <v>0</v>
      </c>
      <c r="L1135">
        <v>80041.563999999998</v>
      </c>
      <c r="M1135">
        <v>0</v>
      </c>
      <c r="T1135" s="9">
        <v>45108</v>
      </c>
      <c r="U1135" s="9">
        <v>45473</v>
      </c>
      <c r="V1135">
        <f>SUM(POTABLE_NONPOTABLE_API[[#This Row],[RESIDENTIAL_SINGLEFAMILY_GAL]:[OTHER_GAL]])</f>
        <v>381442187.528</v>
      </c>
      <c r="W1135">
        <f>SUM(POTABLE_NONPOTABLE_API[[#This Row],[NONPOTABLE_DEMAND_RESIDENTIAL_RECYCLED_WATER_GAL]:[NONPOTABLE_DEMAND_NONRESIDENTIAL_METERED_IRRIGATION_GAL]])</f>
        <v>0</v>
      </c>
      <c r="X1135" t="str">
        <f>IFERROR(INDEX(Crosswalk_API!$H$2:$H$527, MATCH(POTABLE_NONPOTABLE_API[[#This Row],[PWSID]], CW_PWSID_LIST, 0)), "")</f>
        <v>No</v>
      </c>
    </row>
    <row r="1136" spans="1:24" x14ac:dyDescent="0.25">
      <c r="A1136" t="s">
        <v>1017</v>
      </c>
      <c r="B1136" t="s">
        <v>1018</v>
      </c>
      <c r="C1136" t="s">
        <v>1019</v>
      </c>
      <c r="D1136" t="s">
        <v>1020</v>
      </c>
      <c r="E1136" s="9">
        <v>45292</v>
      </c>
      <c r="F1136" s="9">
        <v>45322</v>
      </c>
      <c r="G1136">
        <v>233567268.16800001</v>
      </c>
      <c r="H1136">
        <v>15943980.328</v>
      </c>
      <c r="I1136">
        <v>35801020.667999998</v>
      </c>
      <c r="J1136">
        <v>0</v>
      </c>
      <c r="K1136">
        <v>0</v>
      </c>
      <c r="L1136">
        <v>69568.835999999996</v>
      </c>
      <c r="M1136">
        <v>0</v>
      </c>
      <c r="T1136" s="9">
        <v>45108</v>
      </c>
      <c r="U1136" s="9">
        <v>45473</v>
      </c>
      <c r="V1136">
        <f>SUM(POTABLE_NONPOTABLE_API[[#This Row],[RESIDENTIAL_SINGLEFAMILY_GAL]:[OTHER_GAL]])</f>
        <v>285381838.00000006</v>
      </c>
      <c r="W1136">
        <f>SUM(POTABLE_NONPOTABLE_API[[#This Row],[NONPOTABLE_DEMAND_RESIDENTIAL_RECYCLED_WATER_GAL]:[NONPOTABLE_DEMAND_NONRESIDENTIAL_METERED_IRRIGATION_GAL]])</f>
        <v>0</v>
      </c>
      <c r="X1136" t="str">
        <f>IFERROR(INDEX(Crosswalk_API!$H$2:$H$527, MATCH(POTABLE_NONPOTABLE_API[[#This Row],[PWSID]], CW_PWSID_LIST, 0)), "")</f>
        <v>No</v>
      </c>
    </row>
    <row r="1137" spans="1:24" x14ac:dyDescent="0.25">
      <c r="A1137" t="s">
        <v>1017</v>
      </c>
      <c r="B1137" t="s">
        <v>1018</v>
      </c>
      <c r="C1137" t="s">
        <v>1019</v>
      </c>
      <c r="D1137" t="s">
        <v>1020</v>
      </c>
      <c r="E1137" s="9">
        <v>45323</v>
      </c>
      <c r="F1137" s="9">
        <v>45351</v>
      </c>
      <c r="G1137">
        <v>170030723.49599999</v>
      </c>
      <c r="H1137">
        <v>14360354.244000001</v>
      </c>
      <c r="I1137">
        <v>29562266.988000002</v>
      </c>
      <c r="J1137">
        <v>0</v>
      </c>
      <c r="K1137">
        <v>0</v>
      </c>
      <c r="L1137">
        <v>41142.86</v>
      </c>
      <c r="M1137">
        <v>0</v>
      </c>
      <c r="T1137" s="9">
        <v>45108</v>
      </c>
      <c r="U1137" s="9">
        <v>45473</v>
      </c>
      <c r="V1137">
        <f>SUM(POTABLE_NONPOTABLE_API[[#This Row],[RESIDENTIAL_SINGLEFAMILY_GAL]:[OTHER_GAL]])</f>
        <v>213994487.588</v>
      </c>
      <c r="W1137">
        <f>SUM(POTABLE_NONPOTABLE_API[[#This Row],[NONPOTABLE_DEMAND_RESIDENTIAL_RECYCLED_WATER_GAL]:[NONPOTABLE_DEMAND_NONRESIDENTIAL_METERED_IRRIGATION_GAL]])</f>
        <v>0</v>
      </c>
      <c r="X1137" t="str">
        <f>IFERROR(INDEX(Crosswalk_API!$H$2:$H$527, MATCH(POTABLE_NONPOTABLE_API[[#This Row],[PWSID]], CW_PWSID_LIST, 0)), "")</f>
        <v>No</v>
      </c>
    </row>
    <row r="1138" spans="1:24" x14ac:dyDescent="0.25">
      <c r="A1138" t="s">
        <v>1017</v>
      </c>
      <c r="B1138" t="s">
        <v>1018</v>
      </c>
      <c r="C1138" t="s">
        <v>1019</v>
      </c>
      <c r="D1138" t="s">
        <v>1020</v>
      </c>
      <c r="E1138" s="9">
        <v>45352</v>
      </c>
      <c r="F1138" s="9">
        <v>45382</v>
      </c>
      <c r="G1138">
        <v>158897465.58000001</v>
      </c>
      <c r="H1138">
        <v>14174089.296</v>
      </c>
      <c r="I1138">
        <v>24143378.300000001</v>
      </c>
      <c r="J1138">
        <v>0</v>
      </c>
      <c r="K1138">
        <v>0</v>
      </c>
      <c r="L1138">
        <v>66576.627999999997</v>
      </c>
      <c r="M1138">
        <v>0</v>
      </c>
      <c r="T1138" s="9">
        <v>45108</v>
      </c>
      <c r="U1138" s="9">
        <v>45473</v>
      </c>
      <c r="V1138">
        <f>SUM(POTABLE_NONPOTABLE_API[[#This Row],[RESIDENTIAL_SINGLEFAMILY_GAL]:[OTHER_GAL]])</f>
        <v>197281509.80400002</v>
      </c>
      <c r="W1138">
        <f>SUM(POTABLE_NONPOTABLE_API[[#This Row],[NONPOTABLE_DEMAND_RESIDENTIAL_RECYCLED_WATER_GAL]:[NONPOTABLE_DEMAND_NONRESIDENTIAL_METERED_IRRIGATION_GAL]])</f>
        <v>0</v>
      </c>
      <c r="X1138" t="str">
        <f>IFERROR(INDEX(Crosswalk_API!$H$2:$H$527, MATCH(POTABLE_NONPOTABLE_API[[#This Row],[PWSID]], CW_PWSID_LIST, 0)), "")</f>
        <v>No</v>
      </c>
    </row>
    <row r="1139" spans="1:24" x14ac:dyDescent="0.25">
      <c r="A1139" t="s">
        <v>1017</v>
      </c>
      <c r="B1139" t="s">
        <v>1018</v>
      </c>
      <c r="C1139" t="s">
        <v>1019</v>
      </c>
      <c r="D1139" t="s">
        <v>1020</v>
      </c>
      <c r="E1139" s="9">
        <v>45383</v>
      </c>
      <c r="F1139" s="9">
        <v>45412</v>
      </c>
      <c r="G1139">
        <v>198043026.74000001</v>
      </c>
      <c r="H1139">
        <v>14367086.712000001</v>
      </c>
      <c r="I1139">
        <v>39304896.236000001</v>
      </c>
      <c r="J1139">
        <v>0</v>
      </c>
      <c r="K1139">
        <v>0</v>
      </c>
      <c r="L1139">
        <v>61340.264000000003</v>
      </c>
      <c r="M1139">
        <v>0</v>
      </c>
      <c r="T1139" s="9">
        <v>45108</v>
      </c>
      <c r="U1139" s="9">
        <v>45473</v>
      </c>
      <c r="V1139">
        <f>SUM(POTABLE_NONPOTABLE_API[[#This Row],[RESIDENTIAL_SINGLEFAMILY_GAL]:[OTHER_GAL]])</f>
        <v>251776349.95200002</v>
      </c>
      <c r="W1139">
        <f>SUM(POTABLE_NONPOTABLE_API[[#This Row],[NONPOTABLE_DEMAND_RESIDENTIAL_RECYCLED_WATER_GAL]:[NONPOTABLE_DEMAND_NONRESIDENTIAL_METERED_IRRIGATION_GAL]])</f>
        <v>0</v>
      </c>
      <c r="X1139" t="str">
        <f>IFERROR(INDEX(Crosswalk_API!$H$2:$H$527, MATCH(POTABLE_NONPOTABLE_API[[#This Row],[PWSID]], CW_PWSID_LIST, 0)), "")</f>
        <v>No</v>
      </c>
    </row>
    <row r="1140" spans="1:24" x14ac:dyDescent="0.25">
      <c r="A1140" t="s">
        <v>1017</v>
      </c>
      <c r="B1140" t="s">
        <v>1018</v>
      </c>
      <c r="C1140" t="s">
        <v>1019</v>
      </c>
      <c r="D1140" t="s">
        <v>1020</v>
      </c>
      <c r="E1140" s="9">
        <v>45413</v>
      </c>
      <c r="F1140" s="9">
        <v>45443</v>
      </c>
      <c r="G1140">
        <v>254003300.75600001</v>
      </c>
      <c r="H1140">
        <v>15094941.308</v>
      </c>
      <c r="I1140">
        <v>56288668.844000004</v>
      </c>
      <c r="J1140">
        <v>0</v>
      </c>
      <c r="K1140">
        <v>0</v>
      </c>
      <c r="L1140">
        <v>175792.22</v>
      </c>
      <c r="M1140">
        <v>0</v>
      </c>
      <c r="T1140" s="9">
        <v>45108</v>
      </c>
      <c r="U1140" s="9">
        <v>45473</v>
      </c>
      <c r="V1140">
        <f>SUM(POTABLE_NONPOTABLE_API[[#This Row],[RESIDENTIAL_SINGLEFAMILY_GAL]:[OTHER_GAL]])</f>
        <v>325562703.12800002</v>
      </c>
      <c r="W1140">
        <f>SUM(POTABLE_NONPOTABLE_API[[#This Row],[NONPOTABLE_DEMAND_RESIDENTIAL_RECYCLED_WATER_GAL]:[NONPOTABLE_DEMAND_NONRESIDENTIAL_METERED_IRRIGATION_GAL]])</f>
        <v>0</v>
      </c>
      <c r="X1140" t="str">
        <f>IFERROR(INDEX(Crosswalk_API!$H$2:$H$527, MATCH(POTABLE_NONPOTABLE_API[[#This Row],[PWSID]], CW_PWSID_LIST, 0)), "")</f>
        <v>No</v>
      </c>
    </row>
    <row r="1141" spans="1:24" x14ac:dyDescent="0.25">
      <c r="A1141" t="s">
        <v>1017</v>
      </c>
      <c r="B1141" t="s">
        <v>1018</v>
      </c>
      <c r="C1141" t="s">
        <v>1019</v>
      </c>
      <c r="D1141" t="s">
        <v>1020</v>
      </c>
      <c r="E1141" s="9">
        <v>45444</v>
      </c>
      <c r="F1141" s="9">
        <v>45473</v>
      </c>
      <c r="G1141">
        <v>300223189.68000001</v>
      </c>
      <c r="H1141">
        <v>14527917.892000001</v>
      </c>
      <c r="I1141">
        <v>76542176.744000003</v>
      </c>
      <c r="J1141">
        <v>0</v>
      </c>
      <c r="K1141">
        <v>0</v>
      </c>
      <c r="L1141">
        <v>50119.484000000004</v>
      </c>
      <c r="M1141">
        <v>0</v>
      </c>
      <c r="T1141" s="9">
        <v>45108</v>
      </c>
      <c r="U1141" s="9">
        <v>45473</v>
      </c>
      <c r="V1141">
        <f>SUM(POTABLE_NONPOTABLE_API[[#This Row],[RESIDENTIAL_SINGLEFAMILY_GAL]:[OTHER_GAL]])</f>
        <v>391343403.80000007</v>
      </c>
      <c r="W1141">
        <f>SUM(POTABLE_NONPOTABLE_API[[#This Row],[NONPOTABLE_DEMAND_RESIDENTIAL_RECYCLED_WATER_GAL]:[NONPOTABLE_DEMAND_NONRESIDENTIAL_METERED_IRRIGATION_GAL]])</f>
        <v>0</v>
      </c>
      <c r="X1141" t="str">
        <f>IFERROR(INDEX(Crosswalk_API!$H$2:$H$527, MATCH(POTABLE_NONPOTABLE_API[[#This Row],[PWSID]], CW_PWSID_LIST, 0)), "")</f>
        <v>No</v>
      </c>
    </row>
    <row r="1142" spans="1:24" x14ac:dyDescent="0.25">
      <c r="A1142" t="s">
        <v>1021</v>
      </c>
      <c r="B1142" t="s">
        <v>1022</v>
      </c>
      <c r="C1142" t="s">
        <v>1023</v>
      </c>
      <c r="D1142" t="s">
        <v>1024</v>
      </c>
      <c r="E1142" s="9">
        <v>45108</v>
      </c>
      <c r="F1142" s="9">
        <v>45138</v>
      </c>
      <c r="G1142">
        <v>1769891.0320000001</v>
      </c>
      <c r="H1142">
        <v>0</v>
      </c>
      <c r="I1142">
        <v>0</v>
      </c>
      <c r="J1142">
        <v>0</v>
      </c>
      <c r="K1142">
        <v>0</v>
      </c>
      <c r="L1142">
        <v>0</v>
      </c>
      <c r="M1142">
        <v>0</v>
      </c>
      <c r="T1142" s="9">
        <v>45108</v>
      </c>
      <c r="U1142" s="9">
        <v>45473</v>
      </c>
      <c r="V1142">
        <f>SUM(POTABLE_NONPOTABLE_API[[#This Row],[RESIDENTIAL_SINGLEFAMILY_GAL]:[OTHER_GAL]])</f>
        <v>1769891.0320000001</v>
      </c>
      <c r="W1142">
        <f>SUM(POTABLE_NONPOTABLE_API[[#This Row],[NONPOTABLE_DEMAND_RESIDENTIAL_RECYCLED_WATER_GAL]:[NONPOTABLE_DEMAND_NONRESIDENTIAL_METERED_IRRIGATION_GAL]])</f>
        <v>0</v>
      </c>
      <c r="X1142" t="str">
        <f>IFERROR(INDEX(Crosswalk_API!$H$2:$H$527, MATCH(POTABLE_NONPOTABLE_API[[#This Row],[PWSID]], CW_PWSID_LIST, 0)), "")</f>
        <v>No</v>
      </c>
    </row>
    <row r="1143" spans="1:24" x14ac:dyDescent="0.25">
      <c r="A1143" t="s">
        <v>1021</v>
      </c>
      <c r="B1143" t="s">
        <v>1022</v>
      </c>
      <c r="C1143" t="s">
        <v>1023</v>
      </c>
      <c r="D1143" t="s">
        <v>1024</v>
      </c>
      <c r="E1143" s="9">
        <v>45139</v>
      </c>
      <c r="F1143" s="9">
        <v>45169</v>
      </c>
      <c r="G1143">
        <v>1584374.1359999999</v>
      </c>
      <c r="H1143">
        <v>0</v>
      </c>
      <c r="I1143">
        <v>0</v>
      </c>
      <c r="J1143">
        <v>0</v>
      </c>
      <c r="K1143">
        <v>0</v>
      </c>
      <c r="L1143">
        <v>0</v>
      </c>
      <c r="M1143">
        <v>0</v>
      </c>
      <c r="T1143" s="9">
        <v>45108</v>
      </c>
      <c r="U1143" s="9">
        <v>45473</v>
      </c>
      <c r="V1143">
        <f>SUM(POTABLE_NONPOTABLE_API[[#This Row],[RESIDENTIAL_SINGLEFAMILY_GAL]:[OTHER_GAL]])</f>
        <v>1584374.1359999999</v>
      </c>
      <c r="W1143">
        <f>SUM(POTABLE_NONPOTABLE_API[[#This Row],[NONPOTABLE_DEMAND_RESIDENTIAL_RECYCLED_WATER_GAL]:[NONPOTABLE_DEMAND_NONRESIDENTIAL_METERED_IRRIGATION_GAL]])</f>
        <v>0</v>
      </c>
      <c r="X1143" t="str">
        <f>IFERROR(INDEX(Crosswalk_API!$H$2:$H$527, MATCH(POTABLE_NONPOTABLE_API[[#This Row],[PWSID]], CW_PWSID_LIST, 0)), "")</f>
        <v>No</v>
      </c>
    </row>
    <row r="1144" spans="1:24" x14ac:dyDescent="0.25">
      <c r="A1144" t="s">
        <v>1021</v>
      </c>
      <c r="B1144" t="s">
        <v>1022</v>
      </c>
      <c r="C1144" t="s">
        <v>1023</v>
      </c>
      <c r="D1144" t="s">
        <v>1024</v>
      </c>
      <c r="E1144" s="9">
        <v>45170</v>
      </c>
      <c r="F1144" s="9">
        <v>45199</v>
      </c>
      <c r="G1144">
        <v>1884342.9880000001</v>
      </c>
      <c r="H1144">
        <v>0</v>
      </c>
      <c r="I1144">
        <v>0</v>
      </c>
      <c r="J1144">
        <v>0</v>
      </c>
      <c r="K1144">
        <v>0</v>
      </c>
      <c r="L1144">
        <v>0</v>
      </c>
      <c r="M1144">
        <v>0</v>
      </c>
      <c r="T1144" s="9">
        <v>45108</v>
      </c>
      <c r="U1144" s="9">
        <v>45473</v>
      </c>
      <c r="V1144">
        <f>SUM(POTABLE_NONPOTABLE_API[[#This Row],[RESIDENTIAL_SINGLEFAMILY_GAL]:[OTHER_GAL]])</f>
        <v>1884342.9880000001</v>
      </c>
      <c r="W1144">
        <f>SUM(POTABLE_NONPOTABLE_API[[#This Row],[NONPOTABLE_DEMAND_RESIDENTIAL_RECYCLED_WATER_GAL]:[NONPOTABLE_DEMAND_NONRESIDENTIAL_METERED_IRRIGATION_GAL]])</f>
        <v>0</v>
      </c>
      <c r="X1144" t="str">
        <f>IFERROR(INDEX(Crosswalk_API!$H$2:$H$527, MATCH(POTABLE_NONPOTABLE_API[[#This Row],[PWSID]], CW_PWSID_LIST, 0)), "")</f>
        <v>No</v>
      </c>
    </row>
    <row r="1145" spans="1:24" x14ac:dyDescent="0.25">
      <c r="A1145" t="s">
        <v>1021</v>
      </c>
      <c r="B1145" t="s">
        <v>1022</v>
      </c>
      <c r="C1145" t="s">
        <v>1023</v>
      </c>
      <c r="D1145" t="s">
        <v>1024</v>
      </c>
      <c r="E1145" s="9">
        <v>45200</v>
      </c>
      <c r="F1145" s="9">
        <v>45230</v>
      </c>
      <c r="G1145">
        <v>1588114.3959999999</v>
      </c>
      <c r="H1145">
        <v>0</v>
      </c>
      <c r="I1145">
        <v>0</v>
      </c>
      <c r="J1145">
        <v>0</v>
      </c>
      <c r="K1145">
        <v>0</v>
      </c>
      <c r="L1145">
        <v>0</v>
      </c>
      <c r="M1145">
        <v>0</v>
      </c>
      <c r="T1145" s="9">
        <v>45108</v>
      </c>
      <c r="U1145" s="9">
        <v>45473</v>
      </c>
      <c r="V1145">
        <f>SUM(POTABLE_NONPOTABLE_API[[#This Row],[RESIDENTIAL_SINGLEFAMILY_GAL]:[OTHER_GAL]])</f>
        <v>1588114.3959999999</v>
      </c>
      <c r="W1145">
        <f>SUM(POTABLE_NONPOTABLE_API[[#This Row],[NONPOTABLE_DEMAND_RESIDENTIAL_RECYCLED_WATER_GAL]:[NONPOTABLE_DEMAND_NONRESIDENTIAL_METERED_IRRIGATION_GAL]])</f>
        <v>0</v>
      </c>
      <c r="X1145" t="str">
        <f>IFERROR(INDEX(Crosswalk_API!$H$2:$H$527, MATCH(POTABLE_NONPOTABLE_API[[#This Row],[PWSID]], CW_PWSID_LIST, 0)), "")</f>
        <v>No</v>
      </c>
    </row>
    <row r="1146" spans="1:24" x14ac:dyDescent="0.25">
      <c r="A1146" t="s">
        <v>1021</v>
      </c>
      <c r="B1146" t="s">
        <v>1022</v>
      </c>
      <c r="C1146" t="s">
        <v>1023</v>
      </c>
      <c r="D1146" t="s">
        <v>1024</v>
      </c>
      <c r="E1146" s="9">
        <v>45231</v>
      </c>
      <c r="F1146" s="9">
        <v>45260</v>
      </c>
      <c r="G1146">
        <v>1187158.524</v>
      </c>
      <c r="H1146">
        <v>0</v>
      </c>
      <c r="I1146">
        <v>0</v>
      </c>
      <c r="J1146">
        <v>0</v>
      </c>
      <c r="K1146">
        <v>0</v>
      </c>
      <c r="L1146">
        <v>0</v>
      </c>
      <c r="M1146">
        <v>0</v>
      </c>
      <c r="T1146" s="9">
        <v>45108</v>
      </c>
      <c r="U1146" s="9">
        <v>45473</v>
      </c>
      <c r="V1146">
        <f>SUM(POTABLE_NONPOTABLE_API[[#This Row],[RESIDENTIAL_SINGLEFAMILY_GAL]:[OTHER_GAL]])</f>
        <v>1187158.524</v>
      </c>
      <c r="W1146">
        <f>SUM(POTABLE_NONPOTABLE_API[[#This Row],[NONPOTABLE_DEMAND_RESIDENTIAL_RECYCLED_WATER_GAL]:[NONPOTABLE_DEMAND_NONRESIDENTIAL_METERED_IRRIGATION_GAL]])</f>
        <v>0</v>
      </c>
      <c r="X1146" t="str">
        <f>IFERROR(INDEX(Crosswalk_API!$H$2:$H$527, MATCH(POTABLE_NONPOTABLE_API[[#This Row],[PWSID]], CW_PWSID_LIST, 0)), "")</f>
        <v>No</v>
      </c>
    </row>
    <row r="1147" spans="1:24" x14ac:dyDescent="0.25">
      <c r="A1147" t="s">
        <v>1021</v>
      </c>
      <c r="B1147" t="s">
        <v>1022</v>
      </c>
      <c r="C1147" t="s">
        <v>1023</v>
      </c>
      <c r="D1147" t="s">
        <v>1024</v>
      </c>
      <c r="E1147" s="9">
        <v>45261</v>
      </c>
      <c r="F1147" s="9">
        <v>45291</v>
      </c>
      <c r="G1147">
        <v>849039.02</v>
      </c>
      <c r="H1147">
        <v>0</v>
      </c>
      <c r="I1147">
        <v>0</v>
      </c>
      <c r="J1147">
        <v>0</v>
      </c>
      <c r="K1147">
        <v>0</v>
      </c>
      <c r="L1147">
        <v>0</v>
      </c>
      <c r="M1147">
        <v>0</v>
      </c>
      <c r="T1147" s="9">
        <v>45108</v>
      </c>
      <c r="U1147" s="9">
        <v>45473</v>
      </c>
      <c r="V1147">
        <f>SUM(POTABLE_NONPOTABLE_API[[#This Row],[RESIDENTIAL_SINGLEFAMILY_GAL]:[OTHER_GAL]])</f>
        <v>849039.02</v>
      </c>
      <c r="W1147">
        <f>SUM(POTABLE_NONPOTABLE_API[[#This Row],[NONPOTABLE_DEMAND_RESIDENTIAL_RECYCLED_WATER_GAL]:[NONPOTABLE_DEMAND_NONRESIDENTIAL_METERED_IRRIGATION_GAL]])</f>
        <v>0</v>
      </c>
      <c r="X1147" t="str">
        <f>IFERROR(INDEX(Crosswalk_API!$H$2:$H$527, MATCH(POTABLE_NONPOTABLE_API[[#This Row],[PWSID]], CW_PWSID_LIST, 0)), "")</f>
        <v>No</v>
      </c>
    </row>
    <row r="1148" spans="1:24" x14ac:dyDescent="0.25">
      <c r="A1148" t="s">
        <v>1021</v>
      </c>
      <c r="B1148" t="s">
        <v>1022</v>
      </c>
      <c r="C1148" t="s">
        <v>1023</v>
      </c>
      <c r="D1148" t="s">
        <v>1024</v>
      </c>
      <c r="E1148" s="9">
        <v>45292</v>
      </c>
      <c r="F1148" s="9">
        <v>45322</v>
      </c>
      <c r="G1148">
        <v>910379.28399999999</v>
      </c>
      <c r="H1148">
        <v>0</v>
      </c>
      <c r="I1148">
        <v>0</v>
      </c>
      <c r="J1148">
        <v>0</v>
      </c>
      <c r="K1148">
        <v>0</v>
      </c>
      <c r="L1148">
        <v>0</v>
      </c>
      <c r="M1148">
        <v>0</v>
      </c>
      <c r="T1148" s="9">
        <v>45108</v>
      </c>
      <c r="U1148" s="9">
        <v>45473</v>
      </c>
      <c r="V1148">
        <f>SUM(POTABLE_NONPOTABLE_API[[#This Row],[RESIDENTIAL_SINGLEFAMILY_GAL]:[OTHER_GAL]])</f>
        <v>910379.28399999999</v>
      </c>
      <c r="W1148">
        <f>SUM(POTABLE_NONPOTABLE_API[[#This Row],[NONPOTABLE_DEMAND_RESIDENTIAL_RECYCLED_WATER_GAL]:[NONPOTABLE_DEMAND_NONRESIDENTIAL_METERED_IRRIGATION_GAL]])</f>
        <v>0</v>
      </c>
      <c r="X1148" t="str">
        <f>IFERROR(INDEX(Crosswalk_API!$H$2:$H$527, MATCH(POTABLE_NONPOTABLE_API[[#This Row],[PWSID]], CW_PWSID_LIST, 0)), "")</f>
        <v>No</v>
      </c>
    </row>
    <row r="1149" spans="1:24" x14ac:dyDescent="0.25">
      <c r="A1149" t="s">
        <v>1021</v>
      </c>
      <c r="B1149" t="s">
        <v>1022</v>
      </c>
      <c r="C1149" t="s">
        <v>1023</v>
      </c>
      <c r="D1149" t="s">
        <v>1024</v>
      </c>
      <c r="E1149" s="9">
        <v>45323</v>
      </c>
      <c r="F1149" s="9">
        <v>45351</v>
      </c>
      <c r="G1149">
        <v>450327.304</v>
      </c>
      <c r="H1149">
        <v>0</v>
      </c>
      <c r="I1149">
        <v>0</v>
      </c>
      <c r="J1149">
        <v>0</v>
      </c>
      <c r="K1149">
        <v>0</v>
      </c>
      <c r="L1149">
        <v>0</v>
      </c>
      <c r="M1149">
        <v>0</v>
      </c>
      <c r="T1149" s="9">
        <v>45108</v>
      </c>
      <c r="U1149" s="9">
        <v>45473</v>
      </c>
      <c r="V1149">
        <f>SUM(POTABLE_NONPOTABLE_API[[#This Row],[RESIDENTIAL_SINGLEFAMILY_GAL]:[OTHER_GAL]])</f>
        <v>450327.304</v>
      </c>
      <c r="W1149">
        <f>SUM(POTABLE_NONPOTABLE_API[[#This Row],[NONPOTABLE_DEMAND_RESIDENTIAL_RECYCLED_WATER_GAL]:[NONPOTABLE_DEMAND_NONRESIDENTIAL_METERED_IRRIGATION_GAL]])</f>
        <v>0</v>
      </c>
      <c r="X1149" t="str">
        <f>IFERROR(INDEX(Crosswalk_API!$H$2:$H$527, MATCH(POTABLE_NONPOTABLE_API[[#This Row],[PWSID]], CW_PWSID_LIST, 0)), "")</f>
        <v>No</v>
      </c>
    </row>
    <row r="1150" spans="1:24" x14ac:dyDescent="0.25">
      <c r="A1150" t="s">
        <v>1021</v>
      </c>
      <c r="B1150" t="s">
        <v>1022</v>
      </c>
      <c r="C1150" t="s">
        <v>1023</v>
      </c>
      <c r="D1150" t="s">
        <v>1024</v>
      </c>
      <c r="E1150" s="9">
        <v>45352</v>
      </c>
      <c r="F1150" s="9">
        <v>45382</v>
      </c>
      <c r="G1150">
        <v>578244.196</v>
      </c>
      <c r="H1150">
        <v>0</v>
      </c>
      <c r="I1150">
        <v>0</v>
      </c>
      <c r="J1150">
        <v>0</v>
      </c>
      <c r="K1150">
        <v>0</v>
      </c>
      <c r="L1150">
        <v>0</v>
      </c>
      <c r="M1150">
        <v>0</v>
      </c>
      <c r="T1150" s="9">
        <v>45108</v>
      </c>
      <c r="U1150" s="9">
        <v>45473</v>
      </c>
      <c r="V1150">
        <f>SUM(POTABLE_NONPOTABLE_API[[#This Row],[RESIDENTIAL_SINGLEFAMILY_GAL]:[OTHER_GAL]])</f>
        <v>578244.196</v>
      </c>
      <c r="W1150">
        <f>SUM(POTABLE_NONPOTABLE_API[[#This Row],[NONPOTABLE_DEMAND_RESIDENTIAL_RECYCLED_WATER_GAL]:[NONPOTABLE_DEMAND_NONRESIDENTIAL_METERED_IRRIGATION_GAL]])</f>
        <v>0</v>
      </c>
      <c r="X1150" t="str">
        <f>IFERROR(INDEX(Crosswalk_API!$H$2:$H$527, MATCH(POTABLE_NONPOTABLE_API[[#This Row],[PWSID]], CW_PWSID_LIST, 0)), "")</f>
        <v>No</v>
      </c>
    </row>
    <row r="1151" spans="1:24" x14ac:dyDescent="0.25">
      <c r="A1151" t="s">
        <v>1021</v>
      </c>
      <c r="B1151" t="s">
        <v>1022</v>
      </c>
      <c r="C1151" t="s">
        <v>1023</v>
      </c>
      <c r="D1151" t="s">
        <v>1024</v>
      </c>
      <c r="E1151" s="9">
        <v>45383</v>
      </c>
      <c r="F1151" s="9">
        <v>45412</v>
      </c>
      <c r="G1151">
        <v>596197.44400000002</v>
      </c>
      <c r="H1151">
        <v>0</v>
      </c>
      <c r="I1151">
        <v>0</v>
      </c>
      <c r="J1151">
        <v>0</v>
      </c>
      <c r="K1151">
        <v>0</v>
      </c>
      <c r="L1151">
        <v>0</v>
      </c>
      <c r="M1151">
        <v>0</v>
      </c>
      <c r="T1151" s="9">
        <v>45108</v>
      </c>
      <c r="U1151" s="9">
        <v>45473</v>
      </c>
      <c r="V1151">
        <f>SUM(POTABLE_NONPOTABLE_API[[#This Row],[RESIDENTIAL_SINGLEFAMILY_GAL]:[OTHER_GAL]])</f>
        <v>596197.44400000002</v>
      </c>
      <c r="W1151">
        <f>SUM(POTABLE_NONPOTABLE_API[[#This Row],[NONPOTABLE_DEMAND_RESIDENTIAL_RECYCLED_WATER_GAL]:[NONPOTABLE_DEMAND_NONRESIDENTIAL_METERED_IRRIGATION_GAL]])</f>
        <v>0</v>
      </c>
      <c r="X1151" t="str">
        <f>IFERROR(INDEX(Crosswalk_API!$H$2:$H$527, MATCH(POTABLE_NONPOTABLE_API[[#This Row],[PWSID]], CW_PWSID_LIST, 0)), "")</f>
        <v>No</v>
      </c>
    </row>
    <row r="1152" spans="1:24" x14ac:dyDescent="0.25">
      <c r="A1152" t="s">
        <v>1021</v>
      </c>
      <c r="B1152" t="s">
        <v>1022</v>
      </c>
      <c r="C1152" t="s">
        <v>1023</v>
      </c>
      <c r="D1152" t="s">
        <v>1024</v>
      </c>
      <c r="E1152" s="9">
        <v>45413</v>
      </c>
      <c r="F1152" s="9">
        <v>45443</v>
      </c>
      <c r="G1152">
        <v>994161.10800000001</v>
      </c>
      <c r="H1152">
        <v>0</v>
      </c>
      <c r="I1152">
        <v>0</v>
      </c>
      <c r="J1152">
        <v>0</v>
      </c>
      <c r="K1152">
        <v>0</v>
      </c>
      <c r="L1152">
        <v>0</v>
      </c>
      <c r="M1152">
        <v>0</v>
      </c>
      <c r="T1152" s="9">
        <v>45108</v>
      </c>
      <c r="U1152" s="9">
        <v>45473</v>
      </c>
      <c r="V1152">
        <f>SUM(POTABLE_NONPOTABLE_API[[#This Row],[RESIDENTIAL_SINGLEFAMILY_GAL]:[OTHER_GAL]])</f>
        <v>994161.10800000001</v>
      </c>
      <c r="W1152">
        <f>SUM(POTABLE_NONPOTABLE_API[[#This Row],[NONPOTABLE_DEMAND_RESIDENTIAL_RECYCLED_WATER_GAL]:[NONPOTABLE_DEMAND_NONRESIDENTIAL_METERED_IRRIGATION_GAL]])</f>
        <v>0</v>
      </c>
      <c r="X1152" t="str">
        <f>IFERROR(INDEX(Crosswalk_API!$H$2:$H$527, MATCH(POTABLE_NONPOTABLE_API[[#This Row],[PWSID]], CW_PWSID_LIST, 0)), "")</f>
        <v>No</v>
      </c>
    </row>
    <row r="1153" spans="1:24" x14ac:dyDescent="0.25">
      <c r="A1153" t="s">
        <v>1021</v>
      </c>
      <c r="B1153" t="s">
        <v>1022</v>
      </c>
      <c r="C1153" t="s">
        <v>1023</v>
      </c>
      <c r="D1153" t="s">
        <v>1024</v>
      </c>
      <c r="E1153" s="9">
        <v>45444</v>
      </c>
      <c r="F1153" s="9">
        <v>45473</v>
      </c>
      <c r="G1153">
        <v>1511065.04</v>
      </c>
      <c r="H1153">
        <v>0</v>
      </c>
      <c r="I1153">
        <v>0</v>
      </c>
      <c r="J1153">
        <v>0</v>
      </c>
      <c r="K1153">
        <v>0</v>
      </c>
      <c r="L1153">
        <v>0</v>
      </c>
      <c r="M1153">
        <v>0</v>
      </c>
      <c r="T1153" s="9">
        <v>45108</v>
      </c>
      <c r="U1153" s="9">
        <v>45473</v>
      </c>
      <c r="V1153">
        <f>SUM(POTABLE_NONPOTABLE_API[[#This Row],[RESIDENTIAL_SINGLEFAMILY_GAL]:[OTHER_GAL]])</f>
        <v>1511065.04</v>
      </c>
      <c r="W1153">
        <f>SUM(POTABLE_NONPOTABLE_API[[#This Row],[NONPOTABLE_DEMAND_RESIDENTIAL_RECYCLED_WATER_GAL]:[NONPOTABLE_DEMAND_NONRESIDENTIAL_METERED_IRRIGATION_GAL]])</f>
        <v>0</v>
      </c>
      <c r="X1153" t="str">
        <f>IFERROR(INDEX(Crosswalk_API!$H$2:$H$527, MATCH(POTABLE_NONPOTABLE_API[[#This Row],[PWSID]], CW_PWSID_LIST, 0)), "")</f>
        <v>No</v>
      </c>
    </row>
    <row r="1154" spans="1:24" x14ac:dyDescent="0.25">
      <c r="A1154" t="s">
        <v>1021</v>
      </c>
      <c r="B1154" t="s">
        <v>1022</v>
      </c>
      <c r="C1154" t="s">
        <v>1025</v>
      </c>
      <c r="D1154" t="s">
        <v>1026</v>
      </c>
      <c r="E1154" s="9">
        <v>45108</v>
      </c>
      <c r="F1154" s="9">
        <v>45138</v>
      </c>
      <c r="G1154">
        <v>175461618</v>
      </c>
      <c r="H1154">
        <v>40665968</v>
      </c>
      <c r="I1154">
        <v>168461647</v>
      </c>
      <c r="J1154">
        <v>0</v>
      </c>
      <c r="K1154">
        <v>51277018</v>
      </c>
      <c r="L1154">
        <v>789994</v>
      </c>
      <c r="M1154">
        <v>0</v>
      </c>
      <c r="T1154" s="9">
        <v>45108</v>
      </c>
      <c r="U1154" s="9">
        <v>45473</v>
      </c>
      <c r="V1154">
        <f>SUM(POTABLE_NONPOTABLE_API[[#This Row],[RESIDENTIAL_SINGLEFAMILY_GAL]:[OTHER_GAL]])</f>
        <v>436656245</v>
      </c>
      <c r="W1154">
        <f>SUM(POTABLE_NONPOTABLE_API[[#This Row],[NONPOTABLE_DEMAND_RESIDENTIAL_RECYCLED_WATER_GAL]:[NONPOTABLE_DEMAND_NONRESIDENTIAL_METERED_IRRIGATION_GAL]])</f>
        <v>0</v>
      </c>
      <c r="X1154" t="str">
        <f>IFERROR(INDEX(Crosswalk_API!$H$2:$H$527, MATCH(POTABLE_NONPOTABLE_API[[#This Row],[PWSID]], CW_PWSID_LIST, 0)), "")</f>
        <v>No</v>
      </c>
    </row>
    <row r="1155" spans="1:24" x14ac:dyDescent="0.25">
      <c r="A1155" t="s">
        <v>1021</v>
      </c>
      <c r="B1155" t="s">
        <v>1022</v>
      </c>
      <c r="C1155" t="s">
        <v>1025</v>
      </c>
      <c r="D1155" t="s">
        <v>1026</v>
      </c>
      <c r="E1155" s="9">
        <v>45139</v>
      </c>
      <c r="F1155" s="9">
        <v>45169</v>
      </c>
      <c r="G1155">
        <v>156611418.66800001</v>
      </c>
      <c r="H1155">
        <v>36811638.920000002</v>
      </c>
      <c r="I1155">
        <v>175799700.52000001</v>
      </c>
      <c r="J1155">
        <v>0</v>
      </c>
      <c r="K1155">
        <v>48017457.880000003</v>
      </c>
      <c r="L1155">
        <v>627615.62800000003</v>
      </c>
      <c r="M1155">
        <v>0</v>
      </c>
      <c r="T1155" s="9">
        <v>45108</v>
      </c>
      <c r="U1155" s="9">
        <v>45473</v>
      </c>
      <c r="V1155">
        <f>SUM(POTABLE_NONPOTABLE_API[[#This Row],[RESIDENTIAL_SINGLEFAMILY_GAL]:[OTHER_GAL]])</f>
        <v>417867831.61600006</v>
      </c>
      <c r="W1155">
        <f>SUM(POTABLE_NONPOTABLE_API[[#This Row],[NONPOTABLE_DEMAND_RESIDENTIAL_RECYCLED_WATER_GAL]:[NONPOTABLE_DEMAND_NONRESIDENTIAL_METERED_IRRIGATION_GAL]])</f>
        <v>0</v>
      </c>
      <c r="X1155" t="str">
        <f>IFERROR(INDEX(Crosswalk_API!$H$2:$H$527, MATCH(POTABLE_NONPOTABLE_API[[#This Row],[PWSID]], CW_PWSID_LIST, 0)), "")</f>
        <v>No</v>
      </c>
    </row>
    <row r="1156" spans="1:24" x14ac:dyDescent="0.25">
      <c r="A1156" t="s">
        <v>1021</v>
      </c>
      <c r="B1156" t="s">
        <v>1022</v>
      </c>
      <c r="C1156" t="s">
        <v>1025</v>
      </c>
      <c r="D1156" t="s">
        <v>1026</v>
      </c>
      <c r="E1156" s="9">
        <v>45170</v>
      </c>
      <c r="F1156" s="9">
        <v>45199</v>
      </c>
      <c r="G1156">
        <v>175587253.752</v>
      </c>
      <c r="H1156">
        <v>43250122.484000005</v>
      </c>
      <c r="I1156">
        <v>182772293.21200001</v>
      </c>
      <c r="J1156">
        <v>0</v>
      </c>
      <c r="K1156">
        <v>51264751.612000003</v>
      </c>
      <c r="L1156">
        <v>1621028.6840000001</v>
      </c>
      <c r="M1156">
        <v>0</v>
      </c>
      <c r="T1156" s="9">
        <v>45108</v>
      </c>
      <c r="U1156" s="9">
        <v>45473</v>
      </c>
      <c r="V1156">
        <f>SUM(POTABLE_NONPOTABLE_API[[#This Row],[RESIDENTIAL_SINGLEFAMILY_GAL]:[OTHER_GAL]])</f>
        <v>454495449.74400002</v>
      </c>
      <c r="W1156">
        <f>SUM(POTABLE_NONPOTABLE_API[[#This Row],[NONPOTABLE_DEMAND_RESIDENTIAL_RECYCLED_WATER_GAL]:[NONPOTABLE_DEMAND_NONRESIDENTIAL_METERED_IRRIGATION_GAL]])</f>
        <v>0</v>
      </c>
      <c r="X1156" t="str">
        <f>IFERROR(INDEX(Crosswalk_API!$H$2:$H$527, MATCH(POTABLE_NONPOTABLE_API[[#This Row],[PWSID]], CW_PWSID_LIST, 0)), "")</f>
        <v>No</v>
      </c>
    </row>
    <row r="1157" spans="1:24" x14ac:dyDescent="0.25">
      <c r="A1157" t="s">
        <v>1021</v>
      </c>
      <c r="B1157" t="s">
        <v>1022</v>
      </c>
      <c r="C1157" t="s">
        <v>1025</v>
      </c>
      <c r="D1157" t="s">
        <v>1026</v>
      </c>
      <c r="E1157" s="9">
        <v>45200</v>
      </c>
      <c r="F1157" s="9">
        <v>45230</v>
      </c>
      <c r="G1157">
        <v>152402184</v>
      </c>
      <c r="H1157">
        <v>37323457</v>
      </c>
      <c r="I1157">
        <v>177044598</v>
      </c>
      <c r="J1157">
        <v>0</v>
      </c>
      <c r="K1157">
        <v>46640295</v>
      </c>
      <c r="L1157">
        <v>791490</v>
      </c>
      <c r="M1157">
        <v>0</v>
      </c>
      <c r="T1157" s="9">
        <v>45108</v>
      </c>
      <c r="U1157" s="9">
        <v>45473</v>
      </c>
      <c r="V1157">
        <f>SUM(POTABLE_NONPOTABLE_API[[#This Row],[RESIDENTIAL_SINGLEFAMILY_GAL]:[OTHER_GAL]])</f>
        <v>414202024</v>
      </c>
      <c r="W1157">
        <f>SUM(POTABLE_NONPOTABLE_API[[#This Row],[NONPOTABLE_DEMAND_RESIDENTIAL_RECYCLED_WATER_GAL]:[NONPOTABLE_DEMAND_NONRESIDENTIAL_METERED_IRRIGATION_GAL]])</f>
        <v>0</v>
      </c>
      <c r="X1157" t="str">
        <f>IFERROR(INDEX(Crosswalk_API!$H$2:$H$527, MATCH(POTABLE_NONPOTABLE_API[[#This Row],[PWSID]], CW_PWSID_LIST, 0)), "")</f>
        <v>No</v>
      </c>
    </row>
    <row r="1158" spans="1:24" x14ac:dyDescent="0.25">
      <c r="A1158" t="s">
        <v>1021</v>
      </c>
      <c r="B1158" t="s">
        <v>1022</v>
      </c>
      <c r="C1158" t="s">
        <v>1025</v>
      </c>
      <c r="D1158" t="s">
        <v>1026</v>
      </c>
      <c r="E1158" s="9">
        <v>45231</v>
      </c>
      <c r="F1158" s="9">
        <v>45260</v>
      </c>
      <c r="G1158">
        <v>136384840.64000002</v>
      </c>
      <c r="H1158">
        <v>35931181.715999998</v>
      </c>
      <c r="I1158">
        <v>149567761.03600001</v>
      </c>
      <c r="J1158">
        <v>0</v>
      </c>
      <c r="K1158">
        <v>46766714.936000004</v>
      </c>
      <c r="L1158">
        <v>704664.98400000005</v>
      </c>
      <c r="M1158">
        <v>0</v>
      </c>
      <c r="T1158" s="9">
        <v>45108</v>
      </c>
      <c r="U1158" s="9">
        <v>45473</v>
      </c>
      <c r="V1158">
        <f>SUM(POTABLE_NONPOTABLE_API[[#This Row],[RESIDENTIAL_SINGLEFAMILY_GAL]:[OTHER_GAL]])</f>
        <v>369355163.31200004</v>
      </c>
      <c r="W1158">
        <f>SUM(POTABLE_NONPOTABLE_API[[#This Row],[NONPOTABLE_DEMAND_RESIDENTIAL_RECYCLED_WATER_GAL]:[NONPOTABLE_DEMAND_NONRESIDENTIAL_METERED_IRRIGATION_GAL]])</f>
        <v>0</v>
      </c>
      <c r="X1158" t="str">
        <f>IFERROR(INDEX(Crosswalk_API!$H$2:$H$527, MATCH(POTABLE_NONPOTABLE_API[[#This Row],[PWSID]], CW_PWSID_LIST, 0)), "")</f>
        <v>No</v>
      </c>
    </row>
    <row r="1159" spans="1:24" x14ac:dyDescent="0.25">
      <c r="A1159" t="s">
        <v>1021</v>
      </c>
      <c r="B1159" t="s">
        <v>1022</v>
      </c>
      <c r="C1159" t="s">
        <v>1025</v>
      </c>
      <c r="D1159" t="s">
        <v>1026</v>
      </c>
      <c r="E1159" s="9">
        <v>45261</v>
      </c>
      <c r="F1159" s="9">
        <v>45291</v>
      </c>
      <c r="G1159">
        <v>132281775.42</v>
      </c>
      <c r="H1159">
        <v>35732947.936000004</v>
      </c>
      <c r="I1159">
        <v>115735613.23200001</v>
      </c>
      <c r="J1159">
        <v>0</v>
      </c>
      <c r="K1159">
        <v>37401851.947999999</v>
      </c>
      <c r="L1159">
        <v>650057.18799999997</v>
      </c>
      <c r="M1159">
        <v>0</v>
      </c>
      <c r="T1159" s="9">
        <v>45108</v>
      </c>
      <c r="U1159" s="9">
        <v>45473</v>
      </c>
      <c r="V1159">
        <f>SUM(POTABLE_NONPOTABLE_API[[#This Row],[RESIDENTIAL_SINGLEFAMILY_GAL]:[OTHER_GAL]])</f>
        <v>321802245.72400004</v>
      </c>
      <c r="W1159">
        <f>SUM(POTABLE_NONPOTABLE_API[[#This Row],[NONPOTABLE_DEMAND_RESIDENTIAL_RECYCLED_WATER_GAL]:[NONPOTABLE_DEMAND_NONRESIDENTIAL_METERED_IRRIGATION_GAL]])</f>
        <v>0</v>
      </c>
      <c r="X1159" t="str">
        <f>IFERROR(INDEX(Crosswalk_API!$H$2:$H$527, MATCH(POTABLE_NONPOTABLE_API[[#This Row],[PWSID]], CW_PWSID_LIST, 0)), "")</f>
        <v>No</v>
      </c>
    </row>
    <row r="1160" spans="1:24" x14ac:dyDescent="0.25">
      <c r="A1160" t="s">
        <v>1021</v>
      </c>
      <c r="B1160" t="s">
        <v>1022</v>
      </c>
      <c r="C1160" t="s">
        <v>1025</v>
      </c>
      <c r="D1160" t="s">
        <v>1026</v>
      </c>
      <c r="E1160" s="9">
        <v>45292</v>
      </c>
      <c r="F1160" s="9">
        <v>45322</v>
      </c>
      <c r="G1160">
        <v>123715831.96800001</v>
      </c>
      <c r="H1160">
        <v>34072272.495999999</v>
      </c>
      <c r="I1160">
        <v>97941700.307999998</v>
      </c>
      <c r="J1160">
        <v>0</v>
      </c>
      <c r="K1160">
        <v>38879254.648000002</v>
      </c>
      <c r="L1160">
        <v>1232789.696</v>
      </c>
      <c r="M1160">
        <v>0</v>
      </c>
      <c r="T1160" s="9">
        <v>45108</v>
      </c>
      <c r="U1160" s="9">
        <v>45473</v>
      </c>
      <c r="V1160">
        <f>SUM(POTABLE_NONPOTABLE_API[[#This Row],[RESIDENTIAL_SINGLEFAMILY_GAL]:[OTHER_GAL]])</f>
        <v>295841849.116</v>
      </c>
      <c r="W1160">
        <f>SUM(POTABLE_NONPOTABLE_API[[#This Row],[NONPOTABLE_DEMAND_RESIDENTIAL_RECYCLED_WATER_GAL]:[NONPOTABLE_DEMAND_NONRESIDENTIAL_METERED_IRRIGATION_GAL]])</f>
        <v>0</v>
      </c>
      <c r="X1160" t="str">
        <f>IFERROR(INDEX(Crosswalk_API!$H$2:$H$527, MATCH(POTABLE_NONPOTABLE_API[[#This Row],[PWSID]], CW_PWSID_LIST, 0)), "")</f>
        <v>No</v>
      </c>
    </row>
    <row r="1161" spans="1:24" x14ac:dyDescent="0.25">
      <c r="A1161" t="s">
        <v>1021</v>
      </c>
      <c r="B1161" t="s">
        <v>1022</v>
      </c>
      <c r="C1161" t="s">
        <v>1025</v>
      </c>
      <c r="D1161" t="s">
        <v>1026</v>
      </c>
      <c r="E1161" s="9">
        <v>45323</v>
      </c>
      <c r="F1161" s="9">
        <v>45351</v>
      </c>
      <c r="G1161">
        <v>109627768.65200001</v>
      </c>
      <c r="H1161">
        <v>31296251.524</v>
      </c>
      <c r="I1161">
        <v>75762706.560000002</v>
      </c>
      <c r="J1161">
        <v>0</v>
      </c>
      <c r="K1161">
        <v>32072729.5</v>
      </c>
      <c r="L1161">
        <v>0</v>
      </c>
      <c r="M1161">
        <v>0</v>
      </c>
      <c r="T1161" s="9">
        <v>45108</v>
      </c>
      <c r="U1161" s="9">
        <v>45473</v>
      </c>
      <c r="V1161">
        <f>SUM(POTABLE_NONPOTABLE_API[[#This Row],[RESIDENTIAL_SINGLEFAMILY_GAL]:[OTHER_GAL]])</f>
        <v>248759456.236</v>
      </c>
      <c r="W1161">
        <f>SUM(POTABLE_NONPOTABLE_API[[#This Row],[NONPOTABLE_DEMAND_RESIDENTIAL_RECYCLED_WATER_GAL]:[NONPOTABLE_DEMAND_NONRESIDENTIAL_METERED_IRRIGATION_GAL]])</f>
        <v>0</v>
      </c>
      <c r="X1161" t="str">
        <f>IFERROR(INDEX(Crosswalk_API!$H$2:$H$527, MATCH(POTABLE_NONPOTABLE_API[[#This Row],[PWSID]], CW_PWSID_LIST, 0)), "")</f>
        <v>No</v>
      </c>
    </row>
    <row r="1162" spans="1:24" x14ac:dyDescent="0.25">
      <c r="A1162" t="s">
        <v>1021</v>
      </c>
      <c r="B1162" t="s">
        <v>1022</v>
      </c>
      <c r="C1162" t="s">
        <v>1025</v>
      </c>
      <c r="D1162" t="s">
        <v>1026</v>
      </c>
      <c r="E1162" s="9">
        <v>45352</v>
      </c>
      <c r="F1162" s="9">
        <v>45382</v>
      </c>
      <c r="G1162">
        <v>112049212.976</v>
      </c>
      <c r="H1162">
        <v>34782921.895999998</v>
      </c>
      <c r="I1162">
        <v>89490208.812000006</v>
      </c>
      <c r="J1162">
        <v>0</v>
      </c>
      <c r="K1162">
        <v>40086610.575999998</v>
      </c>
      <c r="L1162">
        <v>295480.54000000004</v>
      </c>
      <c r="M1162">
        <v>0</v>
      </c>
      <c r="T1162" s="9">
        <v>45108</v>
      </c>
      <c r="U1162" s="9">
        <v>45473</v>
      </c>
      <c r="V1162">
        <f>SUM(POTABLE_NONPOTABLE_API[[#This Row],[RESIDENTIAL_SINGLEFAMILY_GAL]:[OTHER_GAL]])</f>
        <v>276704434.80000001</v>
      </c>
      <c r="W1162">
        <f>SUM(POTABLE_NONPOTABLE_API[[#This Row],[NONPOTABLE_DEMAND_RESIDENTIAL_RECYCLED_WATER_GAL]:[NONPOTABLE_DEMAND_NONRESIDENTIAL_METERED_IRRIGATION_GAL]])</f>
        <v>0</v>
      </c>
      <c r="X1162" t="str">
        <f>IFERROR(INDEX(Crosswalk_API!$H$2:$H$527, MATCH(POTABLE_NONPOTABLE_API[[#This Row],[PWSID]], CW_PWSID_LIST, 0)), "")</f>
        <v>No</v>
      </c>
    </row>
    <row r="1163" spans="1:24" x14ac:dyDescent="0.25">
      <c r="A1163" t="s">
        <v>1021</v>
      </c>
      <c r="B1163" t="s">
        <v>1022</v>
      </c>
      <c r="C1163" t="s">
        <v>1025</v>
      </c>
      <c r="D1163" t="s">
        <v>1026</v>
      </c>
      <c r="E1163" s="9">
        <v>45383</v>
      </c>
      <c r="F1163" s="9">
        <v>45412</v>
      </c>
      <c r="G1163">
        <v>113343342.936</v>
      </c>
      <c r="H1163">
        <v>32546994.468000002</v>
      </c>
      <c r="I1163">
        <v>90555434.859999999</v>
      </c>
      <c r="J1163">
        <v>0</v>
      </c>
      <c r="K1163">
        <v>38875514.388000004</v>
      </c>
      <c r="L1163">
        <v>240124.69200000001</v>
      </c>
      <c r="M1163">
        <v>0</v>
      </c>
      <c r="T1163" s="9">
        <v>45108</v>
      </c>
      <c r="U1163" s="9">
        <v>45473</v>
      </c>
      <c r="V1163">
        <f>SUM(POTABLE_NONPOTABLE_API[[#This Row],[RESIDENTIAL_SINGLEFAMILY_GAL]:[OTHER_GAL]])</f>
        <v>275561411.34399998</v>
      </c>
      <c r="W1163">
        <f>SUM(POTABLE_NONPOTABLE_API[[#This Row],[NONPOTABLE_DEMAND_RESIDENTIAL_RECYCLED_WATER_GAL]:[NONPOTABLE_DEMAND_NONRESIDENTIAL_METERED_IRRIGATION_GAL]])</f>
        <v>0</v>
      </c>
      <c r="X1163" t="str">
        <f>IFERROR(INDEX(Crosswalk_API!$H$2:$H$527, MATCH(POTABLE_NONPOTABLE_API[[#This Row],[PWSID]], CW_PWSID_LIST, 0)), "")</f>
        <v>No</v>
      </c>
    </row>
    <row r="1164" spans="1:24" x14ac:dyDescent="0.25">
      <c r="A1164" t="s">
        <v>1021</v>
      </c>
      <c r="B1164" t="s">
        <v>1022</v>
      </c>
      <c r="C1164" t="s">
        <v>1025</v>
      </c>
      <c r="D1164" t="s">
        <v>1026</v>
      </c>
      <c r="E1164" s="9">
        <v>45413</v>
      </c>
      <c r="F1164" s="9">
        <v>45443</v>
      </c>
      <c r="G1164">
        <v>131364663.668</v>
      </c>
      <c r="H1164">
        <v>33987742.619999997</v>
      </c>
      <c r="I1164">
        <v>132032674.104</v>
      </c>
      <c r="J1164">
        <v>0</v>
      </c>
      <c r="K1164">
        <v>42041270.452</v>
      </c>
      <c r="L1164">
        <v>451823.408</v>
      </c>
      <c r="M1164">
        <v>0</v>
      </c>
      <c r="T1164" s="9">
        <v>45108</v>
      </c>
      <c r="U1164" s="9">
        <v>45473</v>
      </c>
      <c r="V1164">
        <f>SUM(POTABLE_NONPOTABLE_API[[#This Row],[RESIDENTIAL_SINGLEFAMILY_GAL]:[OTHER_GAL]])</f>
        <v>339878174.25199997</v>
      </c>
      <c r="W1164">
        <f>SUM(POTABLE_NONPOTABLE_API[[#This Row],[NONPOTABLE_DEMAND_RESIDENTIAL_RECYCLED_WATER_GAL]:[NONPOTABLE_DEMAND_NONRESIDENTIAL_METERED_IRRIGATION_GAL]])</f>
        <v>0</v>
      </c>
      <c r="X1164" t="str">
        <f>IFERROR(INDEX(Crosswalk_API!$H$2:$H$527, MATCH(POTABLE_NONPOTABLE_API[[#This Row],[PWSID]], CW_PWSID_LIST, 0)), "")</f>
        <v>No</v>
      </c>
    </row>
    <row r="1165" spans="1:24" x14ac:dyDescent="0.25">
      <c r="A1165" t="s">
        <v>1021</v>
      </c>
      <c r="B1165" t="s">
        <v>1022</v>
      </c>
      <c r="C1165" t="s">
        <v>1025</v>
      </c>
      <c r="D1165" t="s">
        <v>1026</v>
      </c>
      <c r="E1165" s="9">
        <v>45444</v>
      </c>
      <c r="F1165" s="9">
        <v>45473</v>
      </c>
      <c r="G1165">
        <v>160497548.808</v>
      </c>
      <c r="H1165">
        <v>39880896.276000001</v>
      </c>
      <c r="I1165">
        <v>164263242.57600001</v>
      </c>
      <c r="J1165">
        <v>0</v>
      </c>
      <c r="K1165">
        <v>41725592.508000001</v>
      </c>
      <c r="L1165">
        <v>595449.39199999999</v>
      </c>
      <c r="M1165">
        <v>0</v>
      </c>
      <c r="T1165" s="9">
        <v>45108</v>
      </c>
      <c r="U1165" s="9">
        <v>45473</v>
      </c>
      <c r="V1165">
        <f>SUM(POTABLE_NONPOTABLE_API[[#This Row],[RESIDENTIAL_SINGLEFAMILY_GAL]:[OTHER_GAL]])</f>
        <v>406962729.56</v>
      </c>
      <c r="W1165">
        <f>SUM(POTABLE_NONPOTABLE_API[[#This Row],[NONPOTABLE_DEMAND_RESIDENTIAL_RECYCLED_WATER_GAL]:[NONPOTABLE_DEMAND_NONRESIDENTIAL_METERED_IRRIGATION_GAL]])</f>
        <v>0</v>
      </c>
      <c r="X1165" t="str">
        <f>IFERROR(INDEX(Crosswalk_API!$H$2:$H$527, MATCH(POTABLE_NONPOTABLE_API[[#This Row],[PWSID]], CW_PWSID_LIST, 0)), "")</f>
        <v>No</v>
      </c>
    </row>
    <row r="1166" spans="1:24" x14ac:dyDescent="0.25">
      <c r="A1166" t="s">
        <v>1021</v>
      </c>
      <c r="B1166" t="s">
        <v>1022</v>
      </c>
      <c r="C1166" t="s">
        <v>1027</v>
      </c>
      <c r="D1166" t="s">
        <v>1028</v>
      </c>
      <c r="E1166" s="9">
        <v>45108</v>
      </c>
      <c r="F1166" s="9">
        <v>45138</v>
      </c>
      <c r="G1166">
        <v>30046256.631999999</v>
      </c>
      <c r="H1166">
        <v>0</v>
      </c>
      <c r="I1166">
        <v>4533943.1720000003</v>
      </c>
      <c r="J1166">
        <v>0</v>
      </c>
      <c r="K1166">
        <v>0</v>
      </c>
      <c r="L1166">
        <v>0</v>
      </c>
      <c r="M1166">
        <v>0</v>
      </c>
      <c r="T1166" s="9">
        <v>45108</v>
      </c>
      <c r="U1166" s="9">
        <v>45473</v>
      </c>
      <c r="V1166">
        <f>SUM(POTABLE_NONPOTABLE_API[[#This Row],[RESIDENTIAL_SINGLEFAMILY_GAL]:[OTHER_GAL]])</f>
        <v>34580199.803999998</v>
      </c>
      <c r="W1166">
        <f>SUM(POTABLE_NONPOTABLE_API[[#This Row],[NONPOTABLE_DEMAND_RESIDENTIAL_RECYCLED_WATER_GAL]:[NONPOTABLE_DEMAND_NONRESIDENTIAL_METERED_IRRIGATION_GAL]])</f>
        <v>0</v>
      </c>
      <c r="X1166" t="str">
        <f>IFERROR(INDEX(Crosswalk_API!$H$2:$H$527, MATCH(POTABLE_NONPOTABLE_API[[#This Row],[PWSID]], CW_PWSID_LIST, 0)), "")</f>
        <v>No</v>
      </c>
    </row>
    <row r="1167" spans="1:24" x14ac:dyDescent="0.25">
      <c r="A1167" t="s">
        <v>1021</v>
      </c>
      <c r="B1167" t="s">
        <v>1022</v>
      </c>
      <c r="C1167" t="s">
        <v>1027</v>
      </c>
      <c r="D1167" t="s">
        <v>1028</v>
      </c>
      <c r="E1167" s="9">
        <v>45139</v>
      </c>
      <c r="F1167" s="9">
        <v>45169</v>
      </c>
      <c r="G1167">
        <v>32864916.568</v>
      </c>
      <c r="H1167">
        <v>0</v>
      </c>
      <c r="I1167">
        <v>5904374.4359999998</v>
      </c>
      <c r="J1167">
        <v>0</v>
      </c>
      <c r="K1167">
        <v>0</v>
      </c>
      <c r="L1167">
        <v>0</v>
      </c>
      <c r="M1167">
        <v>0</v>
      </c>
      <c r="T1167" s="9">
        <v>45108</v>
      </c>
      <c r="U1167" s="9">
        <v>45473</v>
      </c>
      <c r="V1167">
        <f>SUM(POTABLE_NONPOTABLE_API[[#This Row],[RESIDENTIAL_SINGLEFAMILY_GAL]:[OTHER_GAL]])</f>
        <v>38769291.004000001</v>
      </c>
      <c r="W1167">
        <f>SUM(POTABLE_NONPOTABLE_API[[#This Row],[NONPOTABLE_DEMAND_RESIDENTIAL_RECYCLED_WATER_GAL]:[NONPOTABLE_DEMAND_NONRESIDENTIAL_METERED_IRRIGATION_GAL]])</f>
        <v>0</v>
      </c>
      <c r="X1167" t="str">
        <f>IFERROR(INDEX(Crosswalk_API!$H$2:$H$527, MATCH(POTABLE_NONPOTABLE_API[[#This Row],[PWSID]], CW_PWSID_LIST, 0)), "")</f>
        <v>No</v>
      </c>
    </row>
    <row r="1168" spans="1:24" x14ac:dyDescent="0.25">
      <c r="A1168" t="s">
        <v>1021</v>
      </c>
      <c r="B1168" t="s">
        <v>1022</v>
      </c>
      <c r="C1168" t="s">
        <v>1027</v>
      </c>
      <c r="D1168" t="s">
        <v>1028</v>
      </c>
      <c r="E1168" s="9">
        <v>45170</v>
      </c>
      <c r="F1168" s="9">
        <v>45199</v>
      </c>
      <c r="G1168">
        <v>33102049.052000001</v>
      </c>
      <c r="H1168">
        <v>0</v>
      </c>
      <c r="I1168">
        <v>6469901.7480000006</v>
      </c>
      <c r="J1168">
        <v>0</v>
      </c>
      <c r="K1168">
        <v>0</v>
      </c>
      <c r="L1168">
        <v>17205.196</v>
      </c>
      <c r="M1168">
        <v>0</v>
      </c>
      <c r="T1168" s="9">
        <v>45108</v>
      </c>
      <c r="U1168" s="9">
        <v>45473</v>
      </c>
      <c r="V1168">
        <f>SUM(POTABLE_NONPOTABLE_API[[#This Row],[RESIDENTIAL_SINGLEFAMILY_GAL]:[OTHER_GAL]])</f>
        <v>39589155.996000007</v>
      </c>
      <c r="W1168">
        <f>SUM(POTABLE_NONPOTABLE_API[[#This Row],[NONPOTABLE_DEMAND_RESIDENTIAL_RECYCLED_WATER_GAL]:[NONPOTABLE_DEMAND_NONRESIDENTIAL_METERED_IRRIGATION_GAL]])</f>
        <v>0</v>
      </c>
      <c r="X1168" t="str">
        <f>IFERROR(INDEX(Crosswalk_API!$H$2:$H$527, MATCH(POTABLE_NONPOTABLE_API[[#This Row],[PWSID]], CW_PWSID_LIST, 0)), "")</f>
        <v>No</v>
      </c>
    </row>
    <row r="1169" spans="1:24" x14ac:dyDescent="0.25">
      <c r="A1169" t="s">
        <v>1021</v>
      </c>
      <c r="B1169" t="s">
        <v>1022</v>
      </c>
      <c r="C1169" t="s">
        <v>1027</v>
      </c>
      <c r="D1169" t="s">
        <v>1028</v>
      </c>
      <c r="E1169" s="9">
        <v>45200</v>
      </c>
      <c r="F1169" s="9">
        <v>45230</v>
      </c>
      <c r="G1169">
        <v>30808521.620000001</v>
      </c>
      <c r="H1169">
        <v>0</v>
      </c>
      <c r="I1169">
        <v>6725735.5320000006</v>
      </c>
      <c r="J1169">
        <v>0</v>
      </c>
      <c r="K1169">
        <v>0</v>
      </c>
      <c r="L1169">
        <v>0</v>
      </c>
      <c r="M1169">
        <v>0</v>
      </c>
      <c r="T1169" s="9">
        <v>45108</v>
      </c>
      <c r="U1169" s="9">
        <v>45473</v>
      </c>
      <c r="V1169">
        <f>SUM(POTABLE_NONPOTABLE_API[[#This Row],[RESIDENTIAL_SINGLEFAMILY_GAL]:[OTHER_GAL]])</f>
        <v>37534257.152000003</v>
      </c>
      <c r="W1169">
        <f>SUM(POTABLE_NONPOTABLE_API[[#This Row],[NONPOTABLE_DEMAND_RESIDENTIAL_RECYCLED_WATER_GAL]:[NONPOTABLE_DEMAND_NONRESIDENTIAL_METERED_IRRIGATION_GAL]])</f>
        <v>0</v>
      </c>
      <c r="X1169" t="str">
        <f>IFERROR(INDEX(Crosswalk_API!$H$2:$H$527, MATCH(POTABLE_NONPOTABLE_API[[#This Row],[PWSID]], CW_PWSID_LIST, 0)), "")</f>
        <v>No</v>
      </c>
    </row>
    <row r="1170" spans="1:24" x14ac:dyDescent="0.25">
      <c r="A1170" t="s">
        <v>1021</v>
      </c>
      <c r="B1170" t="s">
        <v>1022</v>
      </c>
      <c r="C1170" t="s">
        <v>1027</v>
      </c>
      <c r="D1170" t="s">
        <v>1028</v>
      </c>
      <c r="E1170" s="9">
        <v>45231</v>
      </c>
      <c r="F1170" s="9">
        <v>45260</v>
      </c>
      <c r="G1170">
        <v>25314827.732000001</v>
      </c>
      <c r="H1170">
        <v>0</v>
      </c>
      <c r="I1170">
        <v>5132384.7719999999</v>
      </c>
      <c r="J1170">
        <v>0</v>
      </c>
      <c r="K1170">
        <v>0</v>
      </c>
      <c r="L1170">
        <v>374026</v>
      </c>
      <c r="M1170">
        <v>0</v>
      </c>
      <c r="T1170" s="9">
        <v>45108</v>
      </c>
      <c r="U1170" s="9">
        <v>45473</v>
      </c>
      <c r="V1170">
        <f>SUM(POTABLE_NONPOTABLE_API[[#This Row],[RESIDENTIAL_SINGLEFAMILY_GAL]:[OTHER_GAL]])</f>
        <v>30821238.504000001</v>
      </c>
      <c r="W1170">
        <f>SUM(POTABLE_NONPOTABLE_API[[#This Row],[NONPOTABLE_DEMAND_RESIDENTIAL_RECYCLED_WATER_GAL]:[NONPOTABLE_DEMAND_NONRESIDENTIAL_METERED_IRRIGATION_GAL]])</f>
        <v>0</v>
      </c>
      <c r="X1170" t="str">
        <f>IFERROR(INDEX(Crosswalk_API!$H$2:$H$527, MATCH(POTABLE_NONPOTABLE_API[[#This Row],[PWSID]], CW_PWSID_LIST, 0)), "")</f>
        <v>No</v>
      </c>
    </row>
    <row r="1171" spans="1:24" x14ac:dyDescent="0.25">
      <c r="A1171" t="s">
        <v>1021</v>
      </c>
      <c r="B1171" t="s">
        <v>1022</v>
      </c>
      <c r="C1171" t="s">
        <v>1027</v>
      </c>
      <c r="D1171" t="s">
        <v>1028</v>
      </c>
      <c r="E1171" s="9">
        <v>45261</v>
      </c>
      <c r="F1171" s="9">
        <v>45291</v>
      </c>
      <c r="G1171">
        <v>21895391</v>
      </c>
      <c r="H1171">
        <v>0</v>
      </c>
      <c r="I1171">
        <v>3235533</v>
      </c>
      <c r="J1171">
        <v>0</v>
      </c>
      <c r="K1171">
        <v>0</v>
      </c>
      <c r="L1171">
        <v>0</v>
      </c>
      <c r="M1171">
        <v>0</v>
      </c>
      <c r="T1171" s="9">
        <v>45108</v>
      </c>
      <c r="U1171" s="9">
        <v>45473</v>
      </c>
      <c r="V1171">
        <f>SUM(POTABLE_NONPOTABLE_API[[#This Row],[RESIDENTIAL_SINGLEFAMILY_GAL]:[OTHER_GAL]])</f>
        <v>25130924</v>
      </c>
      <c r="W1171">
        <f>SUM(POTABLE_NONPOTABLE_API[[#This Row],[NONPOTABLE_DEMAND_RESIDENTIAL_RECYCLED_WATER_GAL]:[NONPOTABLE_DEMAND_NONRESIDENTIAL_METERED_IRRIGATION_GAL]])</f>
        <v>0</v>
      </c>
      <c r="X1171" t="str">
        <f>IFERROR(INDEX(Crosswalk_API!$H$2:$H$527, MATCH(POTABLE_NONPOTABLE_API[[#This Row],[PWSID]], CW_PWSID_LIST, 0)), "")</f>
        <v>No</v>
      </c>
    </row>
    <row r="1172" spans="1:24" x14ac:dyDescent="0.25">
      <c r="A1172" t="s">
        <v>1021</v>
      </c>
      <c r="B1172" t="s">
        <v>1022</v>
      </c>
      <c r="C1172" t="s">
        <v>1027</v>
      </c>
      <c r="D1172" t="s">
        <v>1028</v>
      </c>
      <c r="E1172" s="9">
        <v>45292</v>
      </c>
      <c r="F1172" s="9">
        <v>45322</v>
      </c>
      <c r="G1172">
        <v>16737663.5</v>
      </c>
      <c r="H1172">
        <v>0</v>
      </c>
      <c r="I1172">
        <v>1857413.1160000002</v>
      </c>
      <c r="J1172">
        <v>0</v>
      </c>
      <c r="K1172">
        <v>0</v>
      </c>
      <c r="L1172">
        <v>57600.004000000001</v>
      </c>
      <c r="M1172">
        <v>0</v>
      </c>
      <c r="T1172" s="9">
        <v>45108</v>
      </c>
      <c r="U1172" s="9">
        <v>45473</v>
      </c>
      <c r="V1172">
        <f>SUM(POTABLE_NONPOTABLE_API[[#This Row],[RESIDENTIAL_SINGLEFAMILY_GAL]:[OTHER_GAL]])</f>
        <v>18652676.620000001</v>
      </c>
      <c r="W1172">
        <f>SUM(POTABLE_NONPOTABLE_API[[#This Row],[NONPOTABLE_DEMAND_RESIDENTIAL_RECYCLED_WATER_GAL]:[NONPOTABLE_DEMAND_NONRESIDENTIAL_METERED_IRRIGATION_GAL]])</f>
        <v>0</v>
      </c>
      <c r="X1172" t="str">
        <f>IFERROR(INDEX(Crosswalk_API!$H$2:$H$527, MATCH(POTABLE_NONPOTABLE_API[[#This Row],[PWSID]], CW_PWSID_LIST, 0)), "")</f>
        <v>No</v>
      </c>
    </row>
    <row r="1173" spans="1:24" x14ac:dyDescent="0.25">
      <c r="A1173" t="s">
        <v>1021</v>
      </c>
      <c r="B1173" t="s">
        <v>1022</v>
      </c>
      <c r="C1173" t="s">
        <v>1027</v>
      </c>
      <c r="D1173" t="s">
        <v>1028</v>
      </c>
      <c r="E1173" s="9">
        <v>45323</v>
      </c>
      <c r="F1173" s="9">
        <v>45351</v>
      </c>
      <c r="G1173">
        <v>12554556.716</v>
      </c>
      <c r="H1173">
        <v>0</v>
      </c>
      <c r="I1173">
        <v>659033.81200000003</v>
      </c>
      <c r="J1173">
        <v>0</v>
      </c>
      <c r="K1173">
        <v>0</v>
      </c>
      <c r="L1173">
        <v>0</v>
      </c>
      <c r="M1173">
        <v>0</v>
      </c>
      <c r="T1173" s="9">
        <v>45108</v>
      </c>
      <c r="U1173" s="9">
        <v>45473</v>
      </c>
      <c r="V1173">
        <f>SUM(POTABLE_NONPOTABLE_API[[#This Row],[RESIDENTIAL_SINGLEFAMILY_GAL]:[OTHER_GAL]])</f>
        <v>13213590.528000001</v>
      </c>
      <c r="W1173">
        <f>SUM(POTABLE_NONPOTABLE_API[[#This Row],[NONPOTABLE_DEMAND_RESIDENTIAL_RECYCLED_WATER_GAL]:[NONPOTABLE_DEMAND_NONRESIDENTIAL_METERED_IRRIGATION_GAL]])</f>
        <v>0</v>
      </c>
      <c r="X1173" t="str">
        <f>IFERROR(INDEX(Crosswalk_API!$H$2:$H$527, MATCH(POTABLE_NONPOTABLE_API[[#This Row],[PWSID]], CW_PWSID_LIST, 0)), "")</f>
        <v>No</v>
      </c>
    </row>
    <row r="1174" spans="1:24" x14ac:dyDescent="0.25">
      <c r="A1174" t="s">
        <v>1021</v>
      </c>
      <c r="B1174" t="s">
        <v>1022</v>
      </c>
      <c r="C1174" t="s">
        <v>1027</v>
      </c>
      <c r="D1174" t="s">
        <v>1028</v>
      </c>
      <c r="E1174" s="9">
        <v>45352</v>
      </c>
      <c r="F1174" s="9">
        <v>45382</v>
      </c>
      <c r="G1174">
        <v>11128021.552000001</v>
      </c>
      <c r="H1174">
        <v>0</v>
      </c>
      <c r="I1174">
        <v>666514.33200000005</v>
      </c>
      <c r="J1174">
        <v>0</v>
      </c>
      <c r="K1174">
        <v>0</v>
      </c>
      <c r="L1174">
        <v>0</v>
      </c>
      <c r="M1174">
        <v>0</v>
      </c>
      <c r="T1174" s="9">
        <v>45108</v>
      </c>
      <c r="U1174" s="9">
        <v>45473</v>
      </c>
      <c r="V1174">
        <f>SUM(POTABLE_NONPOTABLE_API[[#This Row],[RESIDENTIAL_SINGLEFAMILY_GAL]:[OTHER_GAL]])</f>
        <v>11794535.884000001</v>
      </c>
      <c r="W1174">
        <f>SUM(POTABLE_NONPOTABLE_API[[#This Row],[NONPOTABLE_DEMAND_RESIDENTIAL_RECYCLED_WATER_GAL]:[NONPOTABLE_DEMAND_NONRESIDENTIAL_METERED_IRRIGATION_GAL]])</f>
        <v>0</v>
      </c>
      <c r="X1174" t="str">
        <f>IFERROR(INDEX(Crosswalk_API!$H$2:$H$527, MATCH(POTABLE_NONPOTABLE_API[[#This Row],[PWSID]], CW_PWSID_LIST, 0)), "")</f>
        <v>No</v>
      </c>
    </row>
    <row r="1175" spans="1:24" x14ac:dyDescent="0.25">
      <c r="A1175" t="s">
        <v>1021</v>
      </c>
      <c r="B1175" t="s">
        <v>1022</v>
      </c>
      <c r="C1175" t="s">
        <v>1027</v>
      </c>
      <c r="D1175" t="s">
        <v>1028</v>
      </c>
      <c r="E1175" s="9">
        <v>45383</v>
      </c>
      <c r="F1175" s="9">
        <v>45412</v>
      </c>
      <c r="G1175">
        <v>12620385.291999999</v>
      </c>
      <c r="H1175">
        <v>0</v>
      </c>
      <c r="I1175">
        <v>895418.24400000006</v>
      </c>
      <c r="J1175">
        <v>0</v>
      </c>
      <c r="K1175">
        <v>0</v>
      </c>
      <c r="L1175">
        <v>0</v>
      </c>
      <c r="M1175">
        <v>0</v>
      </c>
      <c r="T1175" s="9">
        <v>45108</v>
      </c>
      <c r="U1175" s="9">
        <v>45473</v>
      </c>
      <c r="V1175">
        <f>SUM(POTABLE_NONPOTABLE_API[[#This Row],[RESIDENTIAL_SINGLEFAMILY_GAL]:[OTHER_GAL]])</f>
        <v>13515803.536</v>
      </c>
      <c r="W1175">
        <f>SUM(POTABLE_NONPOTABLE_API[[#This Row],[NONPOTABLE_DEMAND_RESIDENTIAL_RECYCLED_WATER_GAL]:[NONPOTABLE_DEMAND_NONRESIDENTIAL_METERED_IRRIGATION_GAL]])</f>
        <v>0</v>
      </c>
      <c r="X1175" t="str">
        <f>IFERROR(INDEX(Crosswalk_API!$H$2:$H$527, MATCH(POTABLE_NONPOTABLE_API[[#This Row],[PWSID]], CW_PWSID_LIST, 0)), "")</f>
        <v>No</v>
      </c>
    </row>
    <row r="1176" spans="1:24" x14ac:dyDescent="0.25">
      <c r="A1176" t="s">
        <v>1021</v>
      </c>
      <c r="B1176" t="s">
        <v>1022</v>
      </c>
      <c r="C1176" t="s">
        <v>1027</v>
      </c>
      <c r="D1176" t="s">
        <v>1028</v>
      </c>
      <c r="E1176" s="9">
        <v>45413</v>
      </c>
      <c r="F1176" s="9">
        <v>45443</v>
      </c>
      <c r="G1176">
        <v>15854214.088</v>
      </c>
      <c r="H1176">
        <v>0</v>
      </c>
      <c r="I1176">
        <v>1186410.4720000001</v>
      </c>
      <c r="J1176">
        <v>0</v>
      </c>
      <c r="K1176">
        <v>0</v>
      </c>
      <c r="L1176">
        <v>0</v>
      </c>
      <c r="M1176">
        <v>0</v>
      </c>
      <c r="T1176" s="9">
        <v>45108</v>
      </c>
      <c r="U1176" s="9">
        <v>45473</v>
      </c>
      <c r="V1176">
        <f>SUM(POTABLE_NONPOTABLE_API[[#This Row],[RESIDENTIAL_SINGLEFAMILY_GAL]:[OTHER_GAL]])</f>
        <v>17040624.559999999</v>
      </c>
      <c r="W1176">
        <f>SUM(POTABLE_NONPOTABLE_API[[#This Row],[NONPOTABLE_DEMAND_RESIDENTIAL_RECYCLED_WATER_GAL]:[NONPOTABLE_DEMAND_NONRESIDENTIAL_METERED_IRRIGATION_GAL]])</f>
        <v>0</v>
      </c>
      <c r="X1176" t="str">
        <f>IFERROR(INDEX(Crosswalk_API!$H$2:$H$527, MATCH(POTABLE_NONPOTABLE_API[[#This Row],[PWSID]], CW_PWSID_LIST, 0)), "")</f>
        <v>No</v>
      </c>
    </row>
    <row r="1177" spans="1:24" x14ac:dyDescent="0.25">
      <c r="A1177" t="s">
        <v>1021</v>
      </c>
      <c r="B1177" t="s">
        <v>1022</v>
      </c>
      <c r="C1177" t="s">
        <v>1027</v>
      </c>
      <c r="D1177" t="s">
        <v>1028</v>
      </c>
      <c r="E1177" s="9">
        <v>45444</v>
      </c>
      <c r="F1177" s="9">
        <v>45473</v>
      </c>
      <c r="G1177">
        <v>26736874.584000003</v>
      </c>
      <c r="H1177">
        <v>0</v>
      </c>
      <c r="I1177">
        <v>3735771.6880000001</v>
      </c>
      <c r="J1177">
        <v>0</v>
      </c>
      <c r="K1177">
        <v>0</v>
      </c>
      <c r="L1177">
        <v>49371.432000000001</v>
      </c>
      <c r="M1177">
        <v>0</v>
      </c>
      <c r="T1177" s="9">
        <v>45108</v>
      </c>
      <c r="U1177" s="9">
        <v>45473</v>
      </c>
      <c r="V1177">
        <f>SUM(POTABLE_NONPOTABLE_API[[#This Row],[RESIDENTIAL_SINGLEFAMILY_GAL]:[OTHER_GAL]])</f>
        <v>30522017.704000004</v>
      </c>
      <c r="W1177">
        <f>SUM(POTABLE_NONPOTABLE_API[[#This Row],[NONPOTABLE_DEMAND_RESIDENTIAL_RECYCLED_WATER_GAL]:[NONPOTABLE_DEMAND_NONRESIDENTIAL_METERED_IRRIGATION_GAL]])</f>
        <v>0</v>
      </c>
      <c r="X1177" t="str">
        <f>IFERROR(INDEX(Crosswalk_API!$H$2:$H$527, MATCH(POTABLE_NONPOTABLE_API[[#This Row],[PWSID]], CW_PWSID_LIST, 0)), "")</f>
        <v>No</v>
      </c>
    </row>
    <row r="1178" spans="1:24" x14ac:dyDescent="0.25">
      <c r="A1178" t="s">
        <v>1021</v>
      </c>
      <c r="B1178" t="s">
        <v>1022</v>
      </c>
      <c r="C1178" t="s">
        <v>1029</v>
      </c>
      <c r="D1178" t="s">
        <v>1030</v>
      </c>
      <c r="E1178" s="9">
        <v>45108</v>
      </c>
      <c r="F1178" s="9">
        <v>45138</v>
      </c>
      <c r="G1178">
        <v>5626847.1440000003</v>
      </c>
      <c r="H1178">
        <v>0</v>
      </c>
      <c r="I1178">
        <v>456311.72000000003</v>
      </c>
      <c r="J1178">
        <v>0</v>
      </c>
      <c r="K1178">
        <v>0</v>
      </c>
      <c r="L1178">
        <v>0</v>
      </c>
      <c r="M1178">
        <v>0</v>
      </c>
      <c r="T1178" s="9">
        <v>45108</v>
      </c>
      <c r="U1178" s="9">
        <v>45473</v>
      </c>
      <c r="V1178">
        <f>SUM(POTABLE_NONPOTABLE_API[[#This Row],[RESIDENTIAL_SINGLEFAMILY_GAL]:[OTHER_GAL]])</f>
        <v>6083158.8640000001</v>
      </c>
      <c r="W1178">
        <f>SUM(POTABLE_NONPOTABLE_API[[#This Row],[NONPOTABLE_DEMAND_RESIDENTIAL_RECYCLED_WATER_GAL]:[NONPOTABLE_DEMAND_NONRESIDENTIAL_METERED_IRRIGATION_GAL]])</f>
        <v>0</v>
      </c>
      <c r="X1178" t="str">
        <f>IFERROR(INDEX(Crosswalk_API!$H$2:$H$527, MATCH(POTABLE_NONPOTABLE_API[[#This Row],[PWSID]], CW_PWSID_LIST, 0)), "")</f>
        <v>No</v>
      </c>
    </row>
    <row r="1179" spans="1:24" x14ac:dyDescent="0.25">
      <c r="A1179" t="s">
        <v>1021</v>
      </c>
      <c r="B1179" t="s">
        <v>1022</v>
      </c>
      <c r="C1179" t="s">
        <v>1029</v>
      </c>
      <c r="D1179" t="s">
        <v>1030</v>
      </c>
      <c r="E1179" s="9">
        <v>45139</v>
      </c>
      <c r="F1179" s="9">
        <v>45169</v>
      </c>
      <c r="G1179">
        <v>5790670.5320000006</v>
      </c>
      <c r="H1179">
        <v>0</v>
      </c>
      <c r="I1179">
        <v>457807.82400000002</v>
      </c>
      <c r="J1179">
        <v>0</v>
      </c>
      <c r="K1179">
        <v>0</v>
      </c>
      <c r="L1179">
        <v>0</v>
      </c>
      <c r="M1179">
        <v>0</v>
      </c>
      <c r="T1179" s="9">
        <v>45108</v>
      </c>
      <c r="U1179" s="9">
        <v>45473</v>
      </c>
      <c r="V1179">
        <f>SUM(POTABLE_NONPOTABLE_API[[#This Row],[RESIDENTIAL_SINGLEFAMILY_GAL]:[OTHER_GAL]])</f>
        <v>6248478.3560000006</v>
      </c>
      <c r="W1179">
        <f>SUM(POTABLE_NONPOTABLE_API[[#This Row],[NONPOTABLE_DEMAND_RESIDENTIAL_RECYCLED_WATER_GAL]:[NONPOTABLE_DEMAND_NONRESIDENTIAL_METERED_IRRIGATION_GAL]])</f>
        <v>0</v>
      </c>
      <c r="X1179" t="str">
        <f>IFERROR(INDEX(Crosswalk_API!$H$2:$H$527, MATCH(POTABLE_NONPOTABLE_API[[#This Row],[PWSID]], CW_PWSID_LIST, 0)), "")</f>
        <v>No</v>
      </c>
    </row>
    <row r="1180" spans="1:24" x14ac:dyDescent="0.25">
      <c r="A1180" t="s">
        <v>1021</v>
      </c>
      <c r="B1180" t="s">
        <v>1022</v>
      </c>
      <c r="C1180" t="s">
        <v>1029</v>
      </c>
      <c r="D1180" t="s">
        <v>1030</v>
      </c>
      <c r="E1180" s="9">
        <v>45170</v>
      </c>
      <c r="F1180" s="9">
        <v>45199</v>
      </c>
      <c r="G1180">
        <v>6454192.6560000004</v>
      </c>
      <c r="H1180">
        <v>0</v>
      </c>
      <c r="I1180">
        <v>444342.88800000004</v>
      </c>
      <c r="J1180">
        <v>0</v>
      </c>
      <c r="K1180">
        <v>0</v>
      </c>
      <c r="L1180">
        <v>0</v>
      </c>
      <c r="M1180">
        <v>0</v>
      </c>
      <c r="T1180" s="9">
        <v>45108</v>
      </c>
      <c r="U1180" s="9">
        <v>45473</v>
      </c>
      <c r="V1180">
        <f>SUM(POTABLE_NONPOTABLE_API[[#This Row],[RESIDENTIAL_SINGLEFAMILY_GAL]:[OTHER_GAL]])</f>
        <v>6898535.5440000007</v>
      </c>
      <c r="W1180">
        <f>SUM(POTABLE_NONPOTABLE_API[[#This Row],[NONPOTABLE_DEMAND_RESIDENTIAL_RECYCLED_WATER_GAL]:[NONPOTABLE_DEMAND_NONRESIDENTIAL_METERED_IRRIGATION_GAL]])</f>
        <v>0</v>
      </c>
      <c r="X1180" t="str">
        <f>IFERROR(INDEX(Crosswalk_API!$H$2:$H$527, MATCH(POTABLE_NONPOTABLE_API[[#This Row],[PWSID]], CW_PWSID_LIST, 0)), "")</f>
        <v>No</v>
      </c>
    </row>
    <row r="1181" spans="1:24" x14ac:dyDescent="0.25">
      <c r="A1181" t="s">
        <v>1021</v>
      </c>
      <c r="B1181" t="s">
        <v>1022</v>
      </c>
      <c r="C1181" t="s">
        <v>1029</v>
      </c>
      <c r="D1181" t="s">
        <v>1030</v>
      </c>
      <c r="E1181" s="9">
        <v>45200</v>
      </c>
      <c r="F1181" s="9">
        <v>45230</v>
      </c>
      <c r="G1181">
        <v>5299948.42</v>
      </c>
      <c r="H1181">
        <v>0</v>
      </c>
      <c r="I1181">
        <v>362057.16800000001</v>
      </c>
      <c r="J1181">
        <v>0</v>
      </c>
      <c r="K1181">
        <v>0</v>
      </c>
      <c r="L1181">
        <v>0</v>
      </c>
      <c r="M1181">
        <v>0</v>
      </c>
      <c r="T1181" s="9">
        <v>45108</v>
      </c>
      <c r="U1181" s="9">
        <v>45473</v>
      </c>
      <c r="V1181">
        <f>SUM(POTABLE_NONPOTABLE_API[[#This Row],[RESIDENTIAL_SINGLEFAMILY_GAL]:[OTHER_GAL]])</f>
        <v>5662005.5879999995</v>
      </c>
      <c r="W1181">
        <f>SUM(POTABLE_NONPOTABLE_API[[#This Row],[NONPOTABLE_DEMAND_RESIDENTIAL_RECYCLED_WATER_GAL]:[NONPOTABLE_DEMAND_NONRESIDENTIAL_METERED_IRRIGATION_GAL]])</f>
        <v>0</v>
      </c>
      <c r="X1181" t="str">
        <f>IFERROR(INDEX(Crosswalk_API!$H$2:$H$527, MATCH(POTABLE_NONPOTABLE_API[[#This Row],[PWSID]], CW_PWSID_LIST, 0)), "")</f>
        <v>No</v>
      </c>
    </row>
    <row r="1182" spans="1:24" x14ac:dyDescent="0.25">
      <c r="A1182" t="s">
        <v>1021</v>
      </c>
      <c r="B1182" t="s">
        <v>1022</v>
      </c>
      <c r="C1182" t="s">
        <v>1029</v>
      </c>
      <c r="D1182" t="s">
        <v>1030</v>
      </c>
      <c r="E1182" s="9">
        <v>45231</v>
      </c>
      <c r="F1182" s="9">
        <v>45260</v>
      </c>
      <c r="G1182">
        <v>5615626.3640000001</v>
      </c>
      <c r="H1182">
        <v>0</v>
      </c>
      <c r="I1182">
        <v>288748.07199999999</v>
      </c>
      <c r="J1182">
        <v>0</v>
      </c>
      <c r="K1182">
        <v>0</v>
      </c>
      <c r="L1182">
        <v>0</v>
      </c>
      <c r="M1182">
        <v>0</v>
      </c>
      <c r="T1182" s="9">
        <v>45108</v>
      </c>
      <c r="U1182" s="9">
        <v>45473</v>
      </c>
      <c r="V1182">
        <f>SUM(POTABLE_NONPOTABLE_API[[#This Row],[RESIDENTIAL_SINGLEFAMILY_GAL]:[OTHER_GAL]])</f>
        <v>5904374.4359999998</v>
      </c>
      <c r="W1182">
        <f>SUM(POTABLE_NONPOTABLE_API[[#This Row],[NONPOTABLE_DEMAND_RESIDENTIAL_RECYCLED_WATER_GAL]:[NONPOTABLE_DEMAND_NONRESIDENTIAL_METERED_IRRIGATION_GAL]])</f>
        <v>0</v>
      </c>
      <c r="X1182" t="str">
        <f>IFERROR(INDEX(Crosswalk_API!$H$2:$H$527, MATCH(POTABLE_NONPOTABLE_API[[#This Row],[PWSID]], CW_PWSID_LIST, 0)), "")</f>
        <v>No</v>
      </c>
    </row>
    <row r="1183" spans="1:24" x14ac:dyDescent="0.25">
      <c r="A1183" t="s">
        <v>1021</v>
      </c>
      <c r="B1183" t="s">
        <v>1022</v>
      </c>
      <c r="C1183" t="s">
        <v>1029</v>
      </c>
      <c r="D1183" t="s">
        <v>1030</v>
      </c>
      <c r="E1183" s="9">
        <v>45261</v>
      </c>
      <c r="F1183" s="9">
        <v>45291</v>
      </c>
      <c r="G1183">
        <v>4139719.7680000002</v>
      </c>
      <c r="H1183">
        <v>0</v>
      </c>
      <c r="I1183">
        <v>203470.144</v>
      </c>
      <c r="J1183">
        <v>0</v>
      </c>
      <c r="K1183">
        <v>0</v>
      </c>
      <c r="L1183">
        <v>0</v>
      </c>
      <c r="M1183">
        <v>0</v>
      </c>
      <c r="T1183" s="9">
        <v>45108</v>
      </c>
      <c r="U1183" s="9">
        <v>45473</v>
      </c>
      <c r="V1183">
        <f>SUM(POTABLE_NONPOTABLE_API[[#This Row],[RESIDENTIAL_SINGLEFAMILY_GAL]:[OTHER_GAL]])</f>
        <v>4343189.9120000005</v>
      </c>
      <c r="W1183">
        <f>SUM(POTABLE_NONPOTABLE_API[[#This Row],[NONPOTABLE_DEMAND_RESIDENTIAL_RECYCLED_WATER_GAL]:[NONPOTABLE_DEMAND_NONRESIDENTIAL_METERED_IRRIGATION_GAL]])</f>
        <v>0</v>
      </c>
      <c r="X1183" t="str">
        <f>IFERROR(INDEX(Crosswalk_API!$H$2:$H$527, MATCH(POTABLE_NONPOTABLE_API[[#This Row],[PWSID]], CW_PWSID_LIST, 0)), "")</f>
        <v>No</v>
      </c>
    </row>
    <row r="1184" spans="1:24" x14ac:dyDescent="0.25">
      <c r="A1184" t="s">
        <v>1021</v>
      </c>
      <c r="B1184" t="s">
        <v>1022</v>
      </c>
      <c r="C1184" t="s">
        <v>1029</v>
      </c>
      <c r="D1184" t="s">
        <v>1030</v>
      </c>
      <c r="E1184" s="9">
        <v>45292</v>
      </c>
      <c r="F1184" s="9">
        <v>45322</v>
      </c>
      <c r="G1184">
        <v>4052945.736</v>
      </c>
      <c r="H1184">
        <v>0</v>
      </c>
      <c r="I1184">
        <v>91262.343999999997</v>
      </c>
      <c r="J1184">
        <v>0</v>
      </c>
      <c r="K1184">
        <v>0</v>
      </c>
      <c r="L1184">
        <v>0</v>
      </c>
      <c r="M1184">
        <v>0</v>
      </c>
      <c r="T1184" s="9">
        <v>45108</v>
      </c>
      <c r="U1184" s="9">
        <v>45473</v>
      </c>
      <c r="V1184">
        <f>SUM(POTABLE_NONPOTABLE_API[[#This Row],[RESIDENTIAL_SINGLEFAMILY_GAL]:[OTHER_GAL]])</f>
        <v>4144208.08</v>
      </c>
      <c r="W1184">
        <f>SUM(POTABLE_NONPOTABLE_API[[#This Row],[NONPOTABLE_DEMAND_RESIDENTIAL_RECYCLED_WATER_GAL]:[NONPOTABLE_DEMAND_NONRESIDENTIAL_METERED_IRRIGATION_GAL]])</f>
        <v>0</v>
      </c>
      <c r="X1184" t="str">
        <f>IFERROR(INDEX(Crosswalk_API!$H$2:$H$527, MATCH(POTABLE_NONPOTABLE_API[[#This Row],[PWSID]], CW_PWSID_LIST, 0)), "")</f>
        <v>No</v>
      </c>
    </row>
    <row r="1185" spans="1:24" x14ac:dyDescent="0.25">
      <c r="A1185" t="s">
        <v>1021</v>
      </c>
      <c r="B1185" t="s">
        <v>1022</v>
      </c>
      <c r="C1185" t="s">
        <v>1029</v>
      </c>
      <c r="D1185" t="s">
        <v>1030</v>
      </c>
      <c r="E1185" s="9">
        <v>45323</v>
      </c>
      <c r="F1185" s="9">
        <v>45351</v>
      </c>
      <c r="G1185">
        <v>4809974.3600000003</v>
      </c>
      <c r="H1185">
        <v>0</v>
      </c>
      <c r="I1185">
        <v>327646.77600000001</v>
      </c>
      <c r="J1185">
        <v>0</v>
      </c>
      <c r="K1185">
        <v>0</v>
      </c>
      <c r="L1185">
        <v>0</v>
      </c>
      <c r="M1185">
        <v>0</v>
      </c>
      <c r="T1185" s="9">
        <v>45108</v>
      </c>
      <c r="U1185" s="9">
        <v>45473</v>
      </c>
      <c r="V1185">
        <f>SUM(POTABLE_NONPOTABLE_API[[#This Row],[RESIDENTIAL_SINGLEFAMILY_GAL]:[OTHER_GAL]])</f>
        <v>5137621.1359999999</v>
      </c>
      <c r="W1185">
        <f>SUM(POTABLE_NONPOTABLE_API[[#This Row],[NONPOTABLE_DEMAND_RESIDENTIAL_RECYCLED_WATER_GAL]:[NONPOTABLE_DEMAND_NONRESIDENTIAL_METERED_IRRIGATION_GAL]])</f>
        <v>0</v>
      </c>
      <c r="X1185" t="str">
        <f>IFERROR(INDEX(Crosswalk_API!$H$2:$H$527, MATCH(POTABLE_NONPOTABLE_API[[#This Row],[PWSID]], CW_PWSID_LIST, 0)), "")</f>
        <v>No</v>
      </c>
    </row>
    <row r="1186" spans="1:24" x14ac:dyDescent="0.25">
      <c r="A1186" t="s">
        <v>1021</v>
      </c>
      <c r="B1186" t="s">
        <v>1022</v>
      </c>
      <c r="C1186" t="s">
        <v>1029</v>
      </c>
      <c r="D1186" t="s">
        <v>1030</v>
      </c>
      <c r="E1186" s="9">
        <v>45352</v>
      </c>
      <c r="F1186" s="9">
        <v>45382</v>
      </c>
      <c r="G1186">
        <v>3901839.2320000003</v>
      </c>
      <c r="H1186">
        <v>0</v>
      </c>
      <c r="I1186">
        <v>190005.20800000001</v>
      </c>
      <c r="J1186">
        <v>0</v>
      </c>
      <c r="K1186">
        <v>0</v>
      </c>
      <c r="L1186">
        <v>0</v>
      </c>
      <c r="M1186">
        <v>0</v>
      </c>
      <c r="T1186" s="9">
        <v>45108</v>
      </c>
      <c r="U1186" s="9">
        <v>45473</v>
      </c>
      <c r="V1186">
        <f>SUM(POTABLE_NONPOTABLE_API[[#This Row],[RESIDENTIAL_SINGLEFAMILY_GAL]:[OTHER_GAL]])</f>
        <v>4091844.4400000004</v>
      </c>
      <c r="W1186">
        <f>SUM(POTABLE_NONPOTABLE_API[[#This Row],[NONPOTABLE_DEMAND_RESIDENTIAL_RECYCLED_WATER_GAL]:[NONPOTABLE_DEMAND_NONRESIDENTIAL_METERED_IRRIGATION_GAL]])</f>
        <v>0</v>
      </c>
      <c r="X1186" t="str">
        <f>IFERROR(INDEX(Crosswalk_API!$H$2:$H$527, MATCH(POTABLE_NONPOTABLE_API[[#This Row],[PWSID]], CW_PWSID_LIST, 0)), "")</f>
        <v>No</v>
      </c>
    </row>
    <row r="1187" spans="1:24" x14ac:dyDescent="0.25">
      <c r="A1187" t="s">
        <v>1021</v>
      </c>
      <c r="B1187" t="s">
        <v>1022</v>
      </c>
      <c r="C1187" t="s">
        <v>1029</v>
      </c>
      <c r="D1187" t="s">
        <v>1030</v>
      </c>
      <c r="E1187" s="9">
        <v>45383</v>
      </c>
      <c r="F1187" s="9">
        <v>45412</v>
      </c>
      <c r="G1187">
        <v>4319252.2479999997</v>
      </c>
      <c r="H1187">
        <v>0</v>
      </c>
      <c r="I1187">
        <v>178784.42800000001</v>
      </c>
      <c r="J1187">
        <v>0</v>
      </c>
      <c r="K1187">
        <v>0</v>
      </c>
      <c r="L1187">
        <v>0</v>
      </c>
      <c r="M1187">
        <v>0</v>
      </c>
      <c r="T1187" s="9">
        <v>45108</v>
      </c>
      <c r="U1187" s="9">
        <v>45473</v>
      </c>
      <c r="V1187">
        <f>SUM(POTABLE_NONPOTABLE_API[[#This Row],[RESIDENTIAL_SINGLEFAMILY_GAL]:[OTHER_GAL]])</f>
        <v>4498036.676</v>
      </c>
      <c r="W1187">
        <f>SUM(POTABLE_NONPOTABLE_API[[#This Row],[NONPOTABLE_DEMAND_RESIDENTIAL_RECYCLED_WATER_GAL]:[NONPOTABLE_DEMAND_NONRESIDENTIAL_METERED_IRRIGATION_GAL]])</f>
        <v>0</v>
      </c>
      <c r="X1187" t="str">
        <f>IFERROR(INDEX(Crosswalk_API!$H$2:$H$527, MATCH(POTABLE_NONPOTABLE_API[[#This Row],[PWSID]], CW_PWSID_LIST, 0)), "")</f>
        <v>No</v>
      </c>
    </row>
    <row r="1188" spans="1:24" x14ac:dyDescent="0.25">
      <c r="A1188" t="s">
        <v>1021</v>
      </c>
      <c r="B1188" t="s">
        <v>1022</v>
      </c>
      <c r="C1188" t="s">
        <v>1029</v>
      </c>
      <c r="D1188" t="s">
        <v>1030</v>
      </c>
      <c r="E1188" s="9">
        <v>45413</v>
      </c>
      <c r="F1188" s="9">
        <v>45443</v>
      </c>
      <c r="G1188">
        <v>5572987.4000000004</v>
      </c>
      <c r="H1188">
        <v>0</v>
      </c>
      <c r="I1188">
        <v>385246.78</v>
      </c>
      <c r="J1188">
        <v>0</v>
      </c>
      <c r="K1188">
        <v>0</v>
      </c>
      <c r="L1188">
        <v>0</v>
      </c>
      <c r="M1188">
        <v>0</v>
      </c>
      <c r="T1188" s="9">
        <v>45108</v>
      </c>
      <c r="U1188" s="9">
        <v>45473</v>
      </c>
      <c r="V1188">
        <f>SUM(POTABLE_NONPOTABLE_API[[#This Row],[RESIDENTIAL_SINGLEFAMILY_GAL]:[OTHER_GAL]])</f>
        <v>5958234.1800000006</v>
      </c>
      <c r="W1188">
        <f>SUM(POTABLE_NONPOTABLE_API[[#This Row],[NONPOTABLE_DEMAND_RESIDENTIAL_RECYCLED_WATER_GAL]:[NONPOTABLE_DEMAND_NONRESIDENTIAL_METERED_IRRIGATION_GAL]])</f>
        <v>0</v>
      </c>
      <c r="X1188" t="str">
        <f>IFERROR(INDEX(Crosswalk_API!$H$2:$H$527, MATCH(POTABLE_NONPOTABLE_API[[#This Row],[PWSID]], CW_PWSID_LIST, 0)), "")</f>
        <v>No</v>
      </c>
    </row>
    <row r="1189" spans="1:24" x14ac:dyDescent="0.25">
      <c r="A1189" t="s">
        <v>1021</v>
      </c>
      <c r="B1189" t="s">
        <v>1022</v>
      </c>
      <c r="C1189" t="s">
        <v>1029</v>
      </c>
      <c r="D1189" t="s">
        <v>1030</v>
      </c>
      <c r="E1189" s="9">
        <v>45444</v>
      </c>
      <c r="F1189" s="9">
        <v>45473</v>
      </c>
      <c r="G1189">
        <v>5472000.3799999999</v>
      </c>
      <c r="H1189">
        <v>0</v>
      </c>
      <c r="I1189">
        <v>406192.23600000003</v>
      </c>
      <c r="J1189">
        <v>0</v>
      </c>
      <c r="K1189">
        <v>0</v>
      </c>
      <c r="L1189">
        <v>0</v>
      </c>
      <c r="M1189">
        <v>0</v>
      </c>
      <c r="T1189" s="9">
        <v>45108</v>
      </c>
      <c r="U1189" s="9">
        <v>45473</v>
      </c>
      <c r="V1189">
        <f>SUM(POTABLE_NONPOTABLE_API[[#This Row],[RESIDENTIAL_SINGLEFAMILY_GAL]:[OTHER_GAL]])</f>
        <v>5878192.6160000004</v>
      </c>
      <c r="W1189">
        <f>SUM(POTABLE_NONPOTABLE_API[[#This Row],[NONPOTABLE_DEMAND_RESIDENTIAL_RECYCLED_WATER_GAL]:[NONPOTABLE_DEMAND_NONRESIDENTIAL_METERED_IRRIGATION_GAL]])</f>
        <v>0</v>
      </c>
      <c r="X1189" t="str">
        <f>IFERROR(INDEX(Crosswalk_API!$H$2:$H$527, MATCH(POTABLE_NONPOTABLE_API[[#This Row],[PWSID]], CW_PWSID_LIST, 0)), "")</f>
        <v>No</v>
      </c>
    </row>
    <row r="1190" spans="1:24" x14ac:dyDescent="0.25">
      <c r="A1190" t="s">
        <v>1021</v>
      </c>
      <c r="B1190" t="s">
        <v>1022</v>
      </c>
      <c r="C1190" t="s">
        <v>1031</v>
      </c>
      <c r="D1190" t="s">
        <v>1032</v>
      </c>
      <c r="E1190" s="9">
        <v>45108</v>
      </c>
      <c r="F1190" s="9">
        <v>45138</v>
      </c>
      <c r="G1190">
        <v>6365174.4680000003</v>
      </c>
      <c r="H1190">
        <v>2805943.0520000001</v>
      </c>
      <c r="I1190">
        <v>89018.188000000009</v>
      </c>
      <c r="J1190">
        <v>0</v>
      </c>
      <c r="K1190">
        <v>0</v>
      </c>
      <c r="L1190">
        <v>0</v>
      </c>
      <c r="M1190">
        <v>0</v>
      </c>
      <c r="T1190" s="9">
        <v>45108</v>
      </c>
      <c r="U1190" s="9">
        <v>45473</v>
      </c>
      <c r="V1190">
        <f>SUM(POTABLE_NONPOTABLE_API[[#This Row],[RESIDENTIAL_SINGLEFAMILY_GAL]:[OTHER_GAL]])</f>
        <v>9260135.7079999987</v>
      </c>
      <c r="W1190">
        <f>SUM(POTABLE_NONPOTABLE_API[[#This Row],[NONPOTABLE_DEMAND_RESIDENTIAL_RECYCLED_WATER_GAL]:[NONPOTABLE_DEMAND_NONRESIDENTIAL_METERED_IRRIGATION_GAL]])</f>
        <v>0</v>
      </c>
      <c r="X1190" t="str">
        <f>IFERROR(INDEX(Crosswalk_API!$H$2:$H$527, MATCH(POTABLE_NONPOTABLE_API[[#This Row],[PWSID]], CW_PWSID_LIST, 0)), "")</f>
        <v>No</v>
      </c>
    </row>
    <row r="1191" spans="1:24" x14ac:dyDescent="0.25">
      <c r="A1191" t="s">
        <v>1021</v>
      </c>
      <c r="B1191" t="s">
        <v>1022</v>
      </c>
      <c r="C1191" t="s">
        <v>1031</v>
      </c>
      <c r="D1191" t="s">
        <v>1032</v>
      </c>
      <c r="E1191" s="9">
        <v>45139</v>
      </c>
      <c r="F1191" s="9">
        <v>45169</v>
      </c>
      <c r="G1191">
        <v>6269423.8119999999</v>
      </c>
      <c r="H1191">
        <v>2534400.176</v>
      </c>
      <c r="I1191">
        <v>119688.32000000001</v>
      </c>
      <c r="J1191">
        <v>0</v>
      </c>
      <c r="K1191">
        <v>0</v>
      </c>
      <c r="L1191">
        <v>0</v>
      </c>
      <c r="M1191">
        <v>0</v>
      </c>
      <c r="T1191" s="9">
        <v>45108</v>
      </c>
      <c r="U1191" s="9">
        <v>45473</v>
      </c>
      <c r="V1191">
        <f>SUM(POTABLE_NONPOTABLE_API[[#This Row],[RESIDENTIAL_SINGLEFAMILY_GAL]:[OTHER_GAL]])</f>
        <v>8923512.3080000002</v>
      </c>
      <c r="W1191">
        <f>SUM(POTABLE_NONPOTABLE_API[[#This Row],[NONPOTABLE_DEMAND_RESIDENTIAL_RECYCLED_WATER_GAL]:[NONPOTABLE_DEMAND_NONRESIDENTIAL_METERED_IRRIGATION_GAL]])</f>
        <v>0</v>
      </c>
      <c r="X1191" t="str">
        <f>IFERROR(INDEX(Crosswalk_API!$H$2:$H$527, MATCH(POTABLE_NONPOTABLE_API[[#This Row],[PWSID]], CW_PWSID_LIST, 0)), "")</f>
        <v>No</v>
      </c>
    </row>
    <row r="1192" spans="1:24" x14ac:dyDescent="0.25">
      <c r="A1192" t="s">
        <v>1021</v>
      </c>
      <c r="B1192" t="s">
        <v>1022</v>
      </c>
      <c r="C1192" t="s">
        <v>1031</v>
      </c>
      <c r="D1192" t="s">
        <v>1032</v>
      </c>
      <c r="E1192" s="9">
        <v>45170</v>
      </c>
      <c r="F1192" s="9">
        <v>45199</v>
      </c>
      <c r="G1192">
        <v>6490099.1519999998</v>
      </c>
      <c r="H1192">
        <v>2978743.0640000002</v>
      </c>
      <c r="I1192">
        <v>186264.948</v>
      </c>
      <c r="J1192">
        <v>0</v>
      </c>
      <c r="K1192">
        <v>0</v>
      </c>
      <c r="L1192">
        <v>0</v>
      </c>
      <c r="M1192">
        <v>0</v>
      </c>
      <c r="T1192" s="9">
        <v>45108</v>
      </c>
      <c r="U1192" s="9">
        <v>45473</v>
      </c>
      <c r="V1192">
        <f>SUM(POTABLE_NONPOTABLE_API[[#This Row],[RESIDENTIAL_SINGLEFAMILY_GAL]:[OTHER_GAL]])</f>
        <v>9655107.1640000008</v>
      </c>
      <c r="W1192">
        <f>SUM(POTABLE_NONPOTABLE_API[[#This Row],[NONPOTABLE_DEMAND_RESIDENTIAL_RECYCLED_WATER_GAL]:[NONPOTABLE_DEMAND_NONRESIDENTIAL_METERED_IRRIGATION_GAL]])</f>
        <v>0</v>
      </c>
      <c r="X1192" t="str">
        <f>IFERROR(INDEX(Crosswalk_API!$H$2:$H$527, MATCH(POTABLE_NONPOTABLE_API[[#This Row],[PWSID]], CW_PWSID_LIST, 0)), "")</f>
        <v>No</v>
      </c>
    </row>
    <row r="1193" spans="1:24" x14ac:dyDescent="0.25">
      <c r="A1193" t="s">
        <v>1021</v>
      </c>
      <c r="B1193" t="s">
        <v>1022</v>
      </c>
      <c r="C1193" t="s">
        <v>1031</v>
      </c>
      <c r="D1193" t="s">
        <v>1032</v>
      </c>
      <c r="E1193" s="9">
        <v>45200</v>
      </c>
      <c r="F1193" s="9">
        <v>45230</v>
      </c>
      <c r="G1193">
        <v>6125049.7760000005</v>
      </c>
      <c r="H1193">
        <v>3135085.932</v>
      </c>
      <c r="I1193">
        <v>159335.076</v>
      </c>
      <c r="J1193">
        <v>0</v>
      </c>
      <c r="K1193">
        <v>0</v>
      </c>
      <c r="L1193">
        <v>0</v>
      </c>
      <c r="M1193">
        <v>0</v>
      </c>
      <c r="T1193" s="9">
        <v>45108</v>
      </c>
      <c r="U1193" s="9">
        <v>45473</v>
      </c>
      <c r="V1193">
        <f>SUM(POTABLE_NONPOTABLE_API[[#This Row],[RESIDENTIAL_SINGLEFAMILY_GAL]:[OTHER_GAL]])</f>
        <v>9419470.784</v>
      </c>
      <c r="W1193">
        <f>SUM(POTABLE_NONPOTABLE_API[[#This Row],[NONPOTABLE_DEMAND_RESIDENTIAL_RECYCLED_WATER_GAL]:[NONPOTABLE_DEMAND_NONRESIDENTIAL_METERED_IRRIGATION_GAL]])</f>
        <v>0</v>
      </c>
      <c r="X1193" t="str">
        <f>IFERROR(INDEX(Crosswalk_API!$H$2:$H$527, MATCH(POTABLE_NONPOTABLE_API[[#This Row],[PWSID]], CW_PWSID_LIST, 0)), "")</f>
        <v>No</v>
      </c>
    </row>
    <row r="1194" spans="1:24" x14ac:dyDescent="0.25">
      <c r="A1194" t="s">
        <v>1021</v>
      </c>
      <c r="B1194" t="s">
        <v>1022</v>
      </c>
      <c r="C1194" t="s">
        <v>1031</v>
      </c>
      <c r="D1194" t="s">
        <v>1032</v>
      </c>
      <c r="E1194" s="9">
        <v>45231</v>
      </c>
      <c r="F1194" s="9">
        <v>45260</v>
      </c>
      <c r="G1194">
        <v>5835553.6519999998</v>
      </c>
      <c r="H1194">
        <v>2825392.4040000001</v>
      </c>
      <c r="I1194">
        <v>210202.61199999999</v>
      </c>
      <c r="J1194">
        <v>0</v>
      </c>
      <c r="K1194">
        <v>0</v>
      </c>
      <c r="L1194">
        <v>0</v>
      </c>
      <c r="M1194">
        <v>0</v>
      </c>
      <c r="T1194" s="9">
        <v>45108</v>
      </c>
      <c r="U1194" s="9">
        <v>45473</v>
      </c>
      <c r="V1194">
        <f>SUM(POTABLE_NONPOTABLE_API[[#This Row],[RESIDENTIAL_SINGLEFAMILY_GAL]:[OTHER_GAL]])</f>
        <v>8871148.6679999996</v>
      </c>
      <c r="W1194">
        <f>SUM(POTABLE_NONPOTABLE_API[[#This Row],[NONPOTABLE_DEMAND_RESIDENTIAL_RECYCLED_WATER_GAL]:[NONPOTABLE_DEMAND_NONRESIDENTIAL_METERED_IRRIGATION_GAL]])</f>
        <v>0</v>
      </c>
      <c r="X1194" t="str">
        <f>IFERROR(INDEX(Crosswalk_API!$H$2:$H$527, MATCH(POTABLE_NONPOTABLE_API[[#This Row],[PWSID]], CW_PWSID_LIST, 0)), "")</f>
        <v>No</v>
      </c>
    </row>
    <row r="1195" spans="1:24" x14ac:dyDescent="0.25">
      <c r="A1195" t="s">
        <v>1021</v>
      </c>
      <c r="B1195" t="s">
        <v>1022</v>
      </c>
      <c r="C1195" t="s">
        <v>1031</v>
      </c>
      <c r="D1195" t="s">
        <v>1032</v>
      </c>
      <c r="E1195" s="9">
        <v>45261</v>
      </c>
      <c r="F1195" s="9">
        <v>45291</v>
      </c>
      <c r="G1195">
        <v>4264644.4520000005</v>
      </c>
      <c r="H1195">
        <v>2296519.64</v>
      </c>
      <c r="I1195">
        <v>80789.616000000009</v>
      </c>
      <c r="J1195">
        <v>0</v>
      </c>
      <c r="K1195">
        <v>0</v>
      </c>
      <c r="L1195">
        <v>0</v>
      </c>
      <c r="M1195">
        <v>0</v>
      </c>
      <c r="T1195" s="9">
        <v>45108</v>
      </c>
      <c r="U1195" s="9">
        <v>45473</v>
      </c>
      <c r="V1195">
        <f>SUM(POTABLE_NONPOTABLE_API[[#This Row],[RESIDENTIAL_SINGLEFAMILY_GAL]:[OTHER_GAL]])</f>
        <v>6641953.7080000006</v>
      </c>
      <c r="W1195">
        <f>SUM(POTABLE_NONPOTABLE_API[[#This Row],[NONPOTABLE_DEMAND_RESIDENTIAL_RECYCLED_WATER_GAL]:[NONPOTABLE_DEMAND_NONRESIDENTIAL_METERED_IRRIGATION_GAL]])</f>
        <v>0</v>
      </c>
      <c r="X1195" t="str">
        <f>IFERROR(INDEX(Crosswalk_API!$H$2:$H$527, MATCH(POTABLE_NONPOTABLE_API[[#This Row],[PWSID]], CW_PWSID_LIST, 0)), "")</f>
        <v>No</v>
      </c>
    </row>
    <row r="1196" spans="1:24" x14ac:dyDescent="0.25">
      <c r="A1196" t="s">
        <v>1021</v>
      </c>
      <c r="B1196" t="s">
        <v>1022</v>
      </c>
      <c r="C1196" t="s">
        <v>1031</v>
      </c>
      <c r="D1196" t="s">
        <v>1032</v>
      </c>
      <c r="E1196" s="9">
        <v>45292</v>
      </c>
      <c r="F1196" s="9">
        <v>45322</v>
      </c>
      <c r="G1196">
        <v>3619823.628</v>
      </c>
      <c r="H1196">
        <v>2183563.7880000002</v>
      </c>
      <c r="I1196">
        <v>100987.02</v>
      </c>
      <c r="J1196">
        <v>0</v>
      </c>
      <c r="K1196">
        <v>0</v>
      </c>
      <c r="L1196">
        <v>0</v>
      </c>
      <c r="M1196">
        <v>0</v>
      </c>
      <c r="T1196" s="9">
        <v>45108</v>
      </c>
      <c r="U1196" s="9">
        <v>45473</v>
      </c>
      <c r="V1196">
        <f>SUM(POTABLE_NONPOTABLE_API[[#This Row],[RESIDENTIAL_SINGLEFAMILY_GAL]:[OTHER_GAL]])</f>
        <v>5904374.4359999998</v>
      </c>
      <c r="W1196">
        <f>SUM(POTABLE_NONPOTABLE_API[[#This Row],[NONPOTABLE_DEMAND_RESIDENTIAL_RECYCLED_WATER_GAL]:[NONPOTABLE_DEMAND_NONRESIDENTIAL_METERED_IRRIGATION_GAL]])</f>
        <v>0</v>
      </c>
      <c r="X1196" t="str">
        <f>IFERROR(INDEX(Crosswalk_API!$H$2:$H$527, MATCH(POTABLE_NONPOTABLE_API[[#This Row],[PWSID]], CW_PWSID_LIST, 0)), "")</f>
        <v>No</v>
      </c>
    </row>
    <row r="1197" spans="1:24" x14ac:dyDescent="0.25">
      <c r="A1197" t="s">
        <v>1021</v>
      </c>
      <c r="B1197" t="s">
        <v>1022</v>
      </c>
      <c r="C1197" t="s">
        <v>1031</v>
      </c>
      <c r="D1197" t="s">
        <v>1032</v>
      </c>
      <c r="E1197" s="9">
        <v>45323</v>
      </c>
      <c r="F1197" s="9">
        <v>45351</v>
      </c>
      <c r="G1197">
        <v>4204052.24</v>
      </c>
      <c r="H1197">
        <v>2211241.7120000003</v>
      </c>
      <c r="I1197">
        <v>93506.5</v>
      </c>
      <c r="J1197">
        <v>0</v>
      </c>
      <c r="K1197">
        <v>0</v>
      </c>
      <c r="L1197">
        <v>0</v>
      </c>
      <c r="M1197">
        <v>0</v>
      </c>
      <c r="T1197" s="9">
        <v>45108</v>
      </c>
      <c r="U1197" s="9">
        <v>45473</v>
      </c>
      <c r="V1197">
        <f>SUM(POTABLE_NONPOTABLE_API[[#This Row],[RESIDENTIAL_SINGLEFAMILY_GAL]:[OTHER_GAL]])</f>
        <v>6508800.4520000005</v>
      </c>
      <c r="W1197">
        <f>SUM(POTABLE_NONPOTABLE_API[[#This Row],[NONPOTABLE_DEMAND_RESIDENTIAL_RECYCLED_WATER_GAL]:[NONPOTABLE_DEMAND_NONRESIDENTIAL_METERED_IRRIGATION_GAL]])</f>
        <v>0</v>
      </c>
      <c r="X1197" t="str">
        <f>IFERROR(INDEX(Crosswalk_API!$H$2:$H$527, MATCH(POTABLE_NONPOTABLE_API[[#This Row],[PWSID]], CW_PWSID_LIST, 0)), "")</f>
        <v>No</v>
      </c>
    </row>
    <row r="1198" spans="1:24" x14ac:dyDescent="0.25">
      <c r="A1198" t="s">
        <v>1021</v>
      </c>
      <c r="B1198" t="s">
        <v>1022</v>
      </c>
      <c r="C1198" t="s">
        <v>1031</v>
      </c>
      <c r="D1198" t="s">
        <v>1032</v>
      </c>
      <c r="E1198" s="9">
        <v>45352</v>
      </c>
      <c r="F1198" s="9">
        <v>45382</v>
      </c>
      <c r="G1198">
        <v>3764945.716</v>
      </c>
      <c r="H1198">
        <v>2046670.2720000001</v>
      </c>
      <c r="I1198">
        <v>95002.604000000007</v>
      </c>
      <c r="J1198">
        <v>0</v>
      </c>
      <c r="K1198">
        <v>0</v>
      </c>
      <c r="L1198">
        <v>0</v>
      </c>
      <c r="M1198">
        <v>0</v>
      </c>
      <c r="T1198" s="9">
        <v>45108</v>
      </c>
      <c r="U1198" s="9">
        <v>45473</v>
      </c>
      <c r="V1198">
        <f>SUM(POTABLE_NONPOTABLE_API[[#This Row],[RESIDENTIAL_SINGLEFAMILY_GAL]:[OTHER_GAL]])</f>
        <v>5906618.5920000002</v>
      </c>
      <c r="W1198">
        <f>SUM(POTABLE_NONPOTABLE_API[[#This Row],[NONPOTABLE_DEMAND_RESIDENTIAL_RECYCLED_WATER_GAL]:[NONPOTABLE_DEMAND_NONRESIDENTIAL_METERED_IRRIGATION_GAL]])</f>
        <v>0</v>
      </c>
      <c r="X1198" t="str">
        <f>IFERROR(INDEX(Crosswalk_API!$H$2:$H$527, MATCH(POTABLE_NONPOTABLE_API[[#This Row],[PWSID]], CW_PWSID_LIST, 0)), "")</f>
        <v>No</v>
      </c>
    </row>
    <row r="1199" spans="1:24" x14ac:dyDescent="0.25">
      <c r="A1199" t="s">
        <v>1021</v>
      </c>
      <c r="B1199" t="s">
        <v>1022</v>
      </c>
      <c r="C1199" t="s">
        <v>1031</v>
      </c>
      <c r="D1199" t="s">
        <v>1032</v>
      </c>
      <c r="E1199" s="9">
        <v>45383</v>
      </c>
      <c r="F1199" s="9">
        <v>45412</v>
      </c>
      <c r="G1199">
        <v>3972904.1720000003</v>
      </c>
      <c r="H1199">
        <v>2113994.952</v>
      </c>
      <c r="I1199">
        <v>84529.876000000004</v>
      </c>
      <c r="J1199">
        <v>0</v>
      </c>
      <c r="K1199">
        <v>0</v>
      </c>
      <c r="L1199">
        <v>0</v>
      </c>
      <c r="M1199">
        <v>0</v>
      </c>
      <c r="T1199" s="9">
        <v>45108</v>
      </c>
      <c r="U1199" s="9">
        <v>45473</v>
      </c>
      <c r="V1199">
        <f>SUM(POTABLE_NONPOTABLE_API[[#This Row],[RESIDENTIAL_SINGLEFAMILY_GAL]:[OTHER_GAL]])</f>
        <v>6171429</v>
      </c>
      <c r="W1199">
        <f>SUM(POTABLE_NONPOTABLE_API[[#This Row],[NONPOTABLE_DEMAND_RESIDENTIAL_RECYCLED_WATER_GAL]:[NONPOTABLE_DEMAND_NONRESIDENTIAL_METERED_IRRIGATION_GAL]])</f>
        <v>0</v>
      </c>
      <c r="X1199" t="str">
        <f>IFERROR(INDEX(Crosswalk_API!$H$2:$H$527, MATCH(POTABLE_NONPOTABLE_API[[#This Row],[PWSID]], CW_PWSID_LIST, 0)), "")</f>
        <v>No</v>
      </c>
    </row>
    <row r="1200" spans="1:24" x14ac:dyDescent="0.25">
      <c r="A1200" t="s">
        <v>1021</v>
      </c>
      <c r="B1200" t="s">
        <v>1022</v>
      </c>
      <c r="C1200" t="s">
        <v>1031</v>
      </c>
      <c r="D1200" t="s">
        <v>1032</v>
      </c>
      <c r="E1200" s="9">
        <v>45413</v>
      </c>
      <c r="F1200" s="9">
        <v>45443</v>
      </c>
      <c r="G1200">
        <v>4723948.38</v>
      </c>
      <c r="H1200">
        <v>2312228.7319999998</v>
      </c>
      <c r="I1200">
        <v>110711.696</v>
      </c>
      <c r="J1200">
        <v>0</v>
      </c>
      <c r="K1200">
        <v>0</v>
      </c>
      <c r="L1200">
        <v>0</v>
      </c>
      <c r="M1200">
        <v>0</v>
      </c>
      <c r="T1200" s="9">
        <v>45108</v>
      </c>
      <c r="U1200" s="9">
        <v>45473</v>
      </c>
      <c r="V1200">
        <f>SUM(POTABLE_NONPOTABLE_API[[#This Row],[RESIDENTIAL_SINGLEFAMILY_GAL]:[OTHER_GAL]])</f>
        <v>7146888.8080000002</v>
      </c>
      <c r="W1200">
        <f>SUM(POTABLE_NONPOTABLE_API[[#This Row],[NONPOTABLE_DEMAND_RESIDENTIAL_RECYCLED_WATER_GAL]:[NONPOTABLE_DEMAND_NONRESIDENTIAL_METERED_IRRIGATION_GAL]])</f>
        <v>0</v>
      </c>
      <c r="X1200" t="str">
        <f>IFERROR(INDEX(Crosswalk_API!$H$2:$H$527, MATCH(POTABLE_NONPOTABLE_API[[#This Row],[PWSID]], CW_PWSID_LIST, 0)), "")</f>
        <v>No</v>
      </c>
    </row>
    <row r="1201" spans="1:24" x14ac:dyDescent="0.25">
      <c r="A1201" t="s">
        <v>1021</v>
      </c>
      <c r="B1201" t="s">
        <v>1022</v>
      </c>
      <c r="C1201" t="s">
        <v>1031</v>
      </c>
      <c r="D1201" t="s">
        <v>1032</v>
      </c>
      <c r="E1201" s="9">
        <v>45444</v>
      </c>
      <c r="F1201" s="9">
        <v>45473</v>
      </c>
      <c r="G1201">
        <v>6246234.2000000002</v>
      </c>
      <c r="H1201">
        <v>2709444.344</v>
      </c>
      <c r="I1201">
        <v>111459.74800000001</v>
      </c>
      <c r="J1201">
        <v>0</v>
      </c>
      <c r="K1201">
        <v>0</v>
      </c>
      <c r="L1201">
        <v>0</v>
      </c>
      <c r="M1201">
        <v>0</v>
      </c>
      <c r="T1201" s="9">
        <v>45108</v>
      </c>
      <c r="U1201" s="9">
        <v>45473</v>
      </c>
      <c r="V1201">
        <f>SUM(POTABLE_NONPOTABLE_API[[#This Row],[RESIDENTIAL_SINGLEFAMILY_GAL]:[OTHER_GAL]])</f>
        <v>9067138.2919999994</v>
      </c>
      <c r="W1201">
        <f>SUM(POTABLE_NONPOTABLE_API[[#This Row],[NONPOTABLE_DEMAND_RESIDENTIAL_RECYCLED_WATER_GAL]:[NONPOTABLE_DEMAND_NONRESIDENTIAL_METERED_IRRIGATION_GAL]])</f>
        <v>0</v>
      </c>
      <c r="X1201" t="str">
        <f>IFERROR(INDEX(Crosswalk_API!$H$2:$H$527, MATCH(POTABLE_NONPOTABLE_API[[#This Row],[PWSID]], CW_PWSID_LIST, 0)), "")</f>
        <v>No</v>
      </c>
    </row>
    <row r="1202" spans="1:24" x14ac:dyDescent="0.25">
      <c r="A1202" t="s">
        <v>1039</v>
      </c>
      <c r="B1202" t="s">
        <v>1040</v>
      </c>
      <c r="C1202" t="s">
        <v>1041</v>
      </c>
      <c r="D1202" t="s">
        <v>1042</v>
      </c>
      <c r="E1202" s="9">
        <v>45108</v>
      </c>
      <c r="F1202" s="9">
        <v>45138</v>
      </c>
      <c r="G1202">
        <v>100399799.18000001</v>
      </c>
      <c r="H1202">
        <v>13478400.936000001</v>
      </c>
      <c r="I1202">
        <v>26663565.488000002</v>
      </c>
      <c r="J1202">
        <v>0</v>
      </c>
      <c r="K1202">
        <v>1950171.564</v>
      </c>
      <c r="L1202">
        <v>26929.871999999999</v>
      </c>
      <c r="M1202">
        <v>0</v>
      </c>
      <c r="T1202" s="9">
        <v>45108</v>
      </c>
      <c r="U1202" s="9">
        <v>45473</v>
      </c>
      <c r="V1202">
        <f>SUM(POTABLE_NONPOTABLE_API[[#This Row],[RESIDENTIAL_SINGLEFAMILY_GAL]:[OTHER_GAL]])</f>
        <v>142518867.04000002</v>
      </c>
      <c r="W1202">
        <f>SUM(POTABLE_NONPOTABLE_API[[#This Row],[NONPOTABLE_DEMAND_RESIDENTIAL_RECYCLED_WATER_GAL]:[NONPOTABLE_DEMAND_NONRESIDENTIAL_METERED_IRRIGATION_GAL]])</f>
        <v>0</v>
      </c>
      <c r="X1202" t="str">
        <f>IFERROR(INDEX(Crosswalk_API!$H$2:$H$527, MATCH(POTABLE_NONPOTABLE_API[[#This Row],[PWSID]], CW_PWSID_LIST, 0)), "")</f>
        <v>No</v>
      </c>
    </row>
    <row r="1203" spans="1:24" x14ac:dyDescent="0.25">
      <c r="A1203" t="s">
        <v>1039</v>
      </c>
      <c r="B1203" t="s">
        <v>1040</v>
      </c>
      <c r="C1203" t="s">
        <v>1041</v>
      </c>
      <c r="D1203" t="s">
        <v>1042</v>
      </c>
      <c r="E1203" s="9">
        <v>45139</v>
      </c>
      <c r="F1203" s="9">
        <v>45169</v>
      </c>
      <c r="G1203">
        <v>91886967.420000002</v>
      </c>
      <c r="H1203">
        <v>10486940.988</v>
      </c>
      <c r="I1203">
        <v>28723700.696000002</v>
      </c>
      <c r="J1203">
        <v>0</v>
      </c>
      <c r="K1203">
        <v>1273932.5560000001</v>
      </c>
      <c r="L1203">
        <v>0</v>
      </c>
      <c r="M1203">
        <v>0</v>
      </c>
      <c r="T1203" s="9">
        <v>45108</v>
      </c>
      <c r="U1203" s="9">
        <v>45473</v>
      </c>
      <c r="V1203">
        <f>SUM(POTABLE_NONPOTABLE_API[[#This Row],[RESIDENTIAL_SINGLEFAMILY_GAL]:[OTHER_GAL]])</f>
        <v>132371541.66</v>
      </c>
      <c r="W1203">
        <f>SUM(POTABLE_NONPOTABLE_API[[#This Row],[NONPOTABLE_DEMAND_RESIDENTIAL_RECYCLED_WATER_GAL]:[NONPOTABLE_DEMAND_NONRESIDENTIAL_METERED_IRRIGATION_GAL]])</f>
        <v>0</v>
      </c>
      <c r="X1203" t="str">
        <f>IFERROR(INDEX(Crosswalk_API!$H$2:$H$527, MATCH(POTABLE_NONPOTABLE_API[[#This Row],[PWSID]], CW_PWSID_LIST, 0)), "")</f>
        <v>No</v>
      </c>
    </row>
    <row r="1204" spans="1:24" x14ac:dyDescent="0.25">
      <c r="A1204" t="s">
        <v>1039</v>
      </c>
      <c r="B1204" t="s">
        <v>1040</v>
      </c>
      <c r="C1204" t="s">
        <v>1041</v>
      </c>
      <c r="D1204" t="s">
        <v>1042</v>
      </c>
      <c r="E1204" s="9">
        <v>45170</v>
      </c>
      <c r="F1204" s="9">
        <v>45199</v>
      </c>
      <c r="G1204">
        <v>87900598.312000006</v>
      </c>
      <c r="H1204">
        <v>10794390.359999999</v>
      </c>
      <c r="I1204">
        <v>26290287.539999999</v>
      </c>
      <c r="J1204">
        <v>0</v>
      </c>
      <c r="K1204">
        <v>1569413.0960000001</v>
      </c>
      <c r="L1204">
        <v>305953.26799999998</v>
      </c>
      <c r="M1204">
        <v>0</v>
      </c>
      <c r="T1204" s="9">
        <v>45108</v>
      </c>
      <c r="U1204" s="9">
        <v>45473</v>
      </c>
      <c r="V1204">
        <f>SUM(POTABLE_NONPOTABLE_API[[#This Row],[RESIDENTIAL_SINGLEFAMILY_GAL]:[OTHER_GAL]])</f>
        <v>126860642.57600002</v>
      </c>
      <c r="W1204">
        <f>SUM(POTABLE_NONPOTABLE_API[[#This Row],[NONPOTABLE_DEMAND_RESIDENTIAL_RECYCLED_WATER_GAL]:[NONPOTABLE_DEMAND_NONRESIDENTIAL_METERED_IRRIGATION_GAL]])</f>
        <v>0</v>
      </c>
      <c r="X1204" t="str">
        <f>IFERROR(INDEX(Crosswalk_API!$H$2:$H$527, MATCH(POTABLE_NONPOTABLE_API[[#This Row],[PWSID]], CW_PWSID_LIST, 0)), "")</f>
        <v>No</v>
      </c>
    </row>
    <row r="1205" spans="1:24" x14ac:dyDescent="0.25">
      <c r="A1205" t="s">
        <v>1039</v>
      </c>
      <c r="B1205" t="s">
        <v>1040</v>
      </c>
      <c r="C1205" t="s">
        <v>1041</v>
      </c>
      <c r="D1205" t="s">
        <v>1042</v>
      </c>
      <c r="E1205" s="9">
        <v>45200</v>
      </c>
      <c r="F1205" s="9">
        <v>45230</v>
      </c>
      <c r="G1205">
        <v>74739371.423999995</v>
      </c>
      <c r="H1205">
        <v>9032727.9000000004</v>
      </c>
      <c r="I1205">
        <v>22715347.032000002</v>
      </c>
      <c r="J1205">
        <v>0</v>
      </c>
      <c r="K1205">
        <v>1191646.8360000001</v>
      </c>
      <c r="L1205">
        <v>295480.54000000004</v>
      </c>
      <c r="M1205">
        <v>0</v>
      </c>
      <c r="T1205" s="9">
        <v>45108</v>
      </c>
      <c r="U1205" s="9">
        <v>45473</v>
      </c>
      <c r="V1205">
        <f>SUM(POTABLE_NONPOTABLE_API[[#This Row],[RESIDENTIAL_SINGLEFAMILY_GAL]:[OTHER_GAL]])</f>
        <v>107974573.73200001</v>
      </c>
      <c r="W1205">
        <f>SUM(POTABLE_NONPOTABLE_API[[#This Row],[NONPOTABLE_DEMAND_RESIDENTIAL_RECYCLED_WATER_GAL]:[NONPOTABLE_DEMAND_NONRESIDENTIAL_METERED_IRRIGATION_GAL]])</f>
        <v>0</v>
      </c>
      <c r="X1205" t="str">
        <f>IFERROR(INDEX(Crosswalk_API!$H$2:$H$527, MATCH(POTABLE_NONPOTABLE_API[[#This Row],[PWSID]], CW_PWSID_LIST, 0)), "")</f>
        <v>No</v>
      </c>
    </row>
    <row r="1206" spans="1:24" x14ac:dyDescent="0.25">
      <c r="A1206" t="s">
        <v>1039</v>
      </c>
      <c r="B1206" t="s">
        <v>1040</v>
      </c>
      <c r="C1206" t="s">
        <v>1041</v>
      </c>
      <c r="D1206" t="s">
        <v>1042</v>
      </c>
      <c r="E1206" s="9">
        <v>45231</v>
      </c>
      <c r="F1206" s="9">
        <v>45260</v>
      </c>
      <c r="G1206">
        <v>59850144.416000001</v>
      </c>
      <c r="H1206">
        <v>6976332.9520000005</v>
      </c>
      <c r="I1206">
        <v>18017580.471999999</v>
      </c>
      <c r="J1206">
        <v>0</v>
      </c>
      <c r="K1206">
        <v>880457.20400000003</v>
      </c>
      <c r="L1206">
        <v>1035303.968</v>
      </c>
      <c r="M1206">
        <v>0</v>
      </c>
      <c r="T1206" s="9">
        <v>45108</v>
      </c>
      <c r="U1206" s="9">
        <v>45473</v>
      </c>
      <c r="V1206">
        <f>SUM(POTABLE_NONPOTABLE_API[[#This Row],[RESIDENTIAL_SINGLEFAMILY_GAL]:[OTHER_GAL]])</f>
        <v>86759819.011999995</v>
      </c>
      <c r="W1206">
        <f>SUM(POTABLE_NONPOTABLE_API[[#This Row],[NONPOTABLE_DEMAND_RESIDENTIAL_RECYCLED_WATER_GAL]:[NONPOTABLE_DEMAND_NONRESIDENTIAL_METERED_IRRIGATION_GAL]])</f>
        <v>0</v>
      </c>
      <c r="X1206" t="str">
        <f>IFERROR(INDEX(Crosswalk_API!$H$2:$H$527, MATCH(POTABLE_NONPOTABLE_API[[#This Row],[PWSID]], CW_PWSID_LIST, 0)), "")</f>
        <v>No</v>
      </c>
    </row>
    <row r="1207" spans="1:24" x14ac:dyDescent="0.25">
      <c r="A1207" t="s">
        <v>1039</v>
      </c>
      <c r="B1207" t="s">
        <v>1040</v>
      </c>
      <c r="C1207" t="s">
        <v>1041</v>
      </c>
      <c r="D1207" t="s">
        <v>1042</v>
      </c>
      <c r="E1207" s="9">
        <v>45261</v>
      </c>
      <c r="F1207" s="9">
        <v>45291</v>
      </c>
      <c r="G1207">
        <v>52617229.627999999</v>
      </c>
      <c r="H1207">
        <v>8005652.5040000007</v>
      </c>
      <c r="I1207">
        <v>14699969.852</v>
      </c>
      <c r="J1207">
        <v>0</v>
      </c>
      <c r="K1207">
        <v>757028.62400000007</v>
      </c>
      <c r="L1207">
        <v>671750.696</v>
      </c>
      <c r="M1207">
        <v>0</v>
      </c>
      <c r="T1207" s="9">
        <v>45108</v>
      </c>
      <c r="U1207" s="9">
        <v>45473</v>
      </c>
      <c r="V1207">
        <f>SUM(POTABLE_NONPOTABLE_API[[#This Row],[RESIDENTIAL_SINGLEFAMILY_GAL]:[OTHER_GAL]])</f>
        <v>76751631.30399999</v>
      </c>
      <c r="W1207">
        <f>SUM(POTABLE_NONPOTABLE_API[[#This Row],[NONPOTABLE_DEMAND_RESIDENTIAL_RECYCLED_WATER_GAL]:[NONPOTABLE_DEMAND_NONRESIDENTIAL_METERED_IRRIGATION_GAL]])</f>
        <v>0</v>
      </c>
      <c r="X1207" t="str">
        <f>IFERROR(INDEX(Crosswalk_API!$H$2:$H$527, MATCH(POTABLE_NONPOTABLE_API[[#This Row],[PWSID]], CW_PWSID_LIST, 0)), "")</f>
        <v>No</v>
      </c>
    </row>
    <row r="1208" spans="1:24" x14ac:dyDescent="0.25">
      <c r="A1208" t="s">
        <v>1039</v>
      </c>
      <c r="B1208" t="s">
        <v>1040</v>
      </c>
      <c r="C1208" t="s">
        <v>1041</v>
      </c>
      <c r="D1208" t="s">
        <v>1042</v>
      </c>
      <c r="E1208" s="9">
        <v>45292</v>
      </c>
      <c r="F1208" s="9">
        <v>45322</v>
      </c>
      <c r="G1208">
        <v>44340782.300000004</v>
      </c>
      <c r="H1208">
        <v>6606047.2120000003</v>
      </c>
      <c r="I1208">
        <v>12998151.552000001</v>
      </c>
      <c r="J1208">
        <v>0</v>
      </c>
      <c r="K1208">
        <v>374774.05200000003</v>
      </c>
      <c r="L1208">
        <v>30670.132000000001</v>
      </c>
      <c r="M1208">
        <v>0</v>
      </c>
      <c r="T1208" s="9">
        <v>45108</v>
      </c>
      <c r="U1208" s="9">
        <v>45473</v>
      </c>
      <c r="V1208">
        <f>SUM(POTABLE_NONPOTABLE_API[[#This Row],[RESIDENTIAL_SINGLEFAMILY_GAL]:[OTHER_GAL]])</f>
        <v>64350425.248000003</v>
      </c>
      <c r="W1208">
        <f>SUM(POTABLE_NONPOTABLE_API[[#This Row],[NONPOTABLE_DEMAND_RESIDENTIAL_RECYCLED_WATER_GAL]:[NONPOTABLE_DEMAND_NONRESIDENTIAL_METERED_IRRIGATION_GAL]])</f>
        <v>0</v>
      </c>
      <c r="X1208" t="str">
        <f>IFERROR(INDEX(Crosswalk_API!$H$2:$H$527, MATCH(POTABLE_NONPOTABLE_API[[#This Row],[PWSID]], CW_PWSID_LIST, 0)), "")</f>
        <v>No</v>
      </c>
    </row>
    <row r="1209" spans="1:24" x14ac:dyDescent="0.25">
      <c r="A1209" t="s">
        <v>1039</v>
      </c>
      <c r="B1209" t="s">
        <v>1040</v>
      </c>
      <c r="C1209" t="s">
        <v>1041</v>
      </c>
      <c r="D1209" t="s">
        <v>1042</v>
      </c>
      <c r="E1209" s="9">
        <v>45323</v>
      </c>
      <c r="F1209" s="9">
        <v>45351</v>
      </c>
      <c r="G1209">
        <v>38118485.763999999</v>
      </c>
      <c r="H1209">
        <v>5907366.6440000003</v>
      </c>
      <c r="I1209">
        <v>10183231.876</v>
      </c>
      <c r="J1209">
        <v>0</v>
      </c>
      <c r="K1209">
        <v>338867.55599999998</v>
      </c>
      <c r="L1209">
        <v>30670.132000000001</v>
      </c>
      <c r="M1209">
        <v>0</v>
      </c>
      <c r="T1209" s="9">
        <v>45108</v>
      </c>
      <c r="U1209" s="9">
        <v>45473</v>
      </c>
      <c r="V1209">
        <f>SUM(POTABLE_NONPOTABLE_API[[#This Row],[RESIDENTIAL_SINGLEFAMILY_GAL]:[OTHER_GAL]])</f>
        <v>54578621.972000003</v>
      </c>
      <c r="W1209">
        <f>SUM(POTABLE_NONPOTABLE_API[[#This Row],[NONPOTABLE_DEMAND_RESIDENTIAL_RECYCLED_WATER_GAL]:[NONPOTABLE_DEMAND_NONRESIDENTIAL_METERED_IRRIGATION_GAL]])</f>
        <v>0</v>
      </c>
      <c r="X1209" t="str">
        <f>IFERROR(INDEX(Crosswalk_API!$H$2:$H$527, MATCH(POTABLE_NONPOTABLE_API[[#This Row],[PWSID]], CW_PWSID_LIST, 0)), "")</f>
        <v>No</v>
      </c>
    </row>
    <row r="1210" spans="1:24" x14ac:dyDescent="0.25">
      <c r="A1210" t="s">
        <v>1039</v>
      </c>
      <c r="B1210" t="s">
        <v>1040</v>
      </c>
      <c r="C1210" t="s">
        <v>1041</v>
      </c>
      <c r="D1210" t="s">
        <v>1042</v>
      </c>
      <c r="E1210" s="9">
        <v>45352</v>
      </c>
      <c r="F1210" s="9">
        <v>45382</v>
      </c>
      <c r="G1210">
        <v>39932511.864</v>
      </c>
      <c r="H1210">
        <v>6055480.9400000004</v>
      </c>
      <c r="I1210">
        <v>11119044.928000001</v>
      </c>
      <c r="J1210">
        <v>0</v>
      </c>
      <c r="K1210">
        <v>387490.93599999999</v>
      </c>
      <c r="L1210">
        <v>0</v>
      </c>
      <c r="M1210">
        <v>0</v>
      </c>
      <c r="T1210" s="9">
        <v>45108</v>
      </c>
      <c r="U1210" s="9">
        <v>45473</v>
      </c>
      <c r="V1210">
        <f>SUM(POTABLE_NONPOTABLE_API[[#This Row],[RESIDENTIAL_SINGLEFAMILY_GAL]:[OTHER_GAL]])</f>
        <v>57494528.667999998</v>
      </c>
      <c r="W1210">
        <f>SUM(POTABLE_NONPOTABLE_API[[#This Row],[NONPOTABLE_DEMAND_RESIDENTIAL_RECYCLED_WATER_GAL]:[NONPOTABLE_DEMAND_NONRESIDENTIAL_METERED_IRRIGATION_GAL]])</f>
        <v>0</v>
      </c>
      <c r="X1210" t="str">
        <f>IFERROR(INDEX(Crosswalk_API!$H$2:$H$527, MATCH(POTABLE_NONPOTABLE_API[[#This Row],[PWSID]], CW_PWSID_LIST, 0)), "")</f>
        <v>No</v>
      </c>
    </row>
    <row r="1211" spans="1:24" x14ac:dyDescent="0.25">
      <c r="A1211" t="s">
        <v>1039</v>
      </c>
      <c r="B1211" t="s">
        <v>1040</v>
      </c>
      <c r="C1211" t="s">
        <v>1041</v>
      </c>
      <c r="D1211" t="s">
        <v>1042</v>
      </c>
      <c r="E1211" s="9">
        <v>45383</v>
      </c>
      <c r="F1211" s="9">
        <v>45412</v>
      </c>
      <c r="G1211">
        <v>43830610.836000003</v>
      </c>
      <c r="H1211">
        <v>6798296.5760000004</v>
      </c>
      <c r="I1211">
        <v>13115595.716</v>
      </c>
      <c r="J1211">
        <v>0</v>
      </c>
      <c r="K1211">
        <v>281267.55200000003</v>
      </c>
      <c r="L1211">
        <v>305205.21600000001</v>
      </c>
      <c r="M1211">
        <v>0</v>
      </c>
      <c r="T1211" s="9">
        <v>45108</v>
      </c>
      <c r="U1211" s="9">
        <v>45473</v>
      </c>
      <c r="V1211">
        <f>SUM(POTABLE_NONPOTABLE_API[[#This Row],[RESIDENTIAL_SINGLEFAMILY_GAL]:[OTHER_GAL]])</f>
        <v>64330975.895999998</v>
      </c>
      <c r="W1211">
        <f>SUM(POTABLE_NONPOTABLE_API[[#This Row],[NONPOTABLE_DEMAND_RESIDENTIAL_RECYCLED_WATER_GAL]:[NONPOTABLE_DEMAND_NONRESIDENTIAL_METERED_IRRIGATION_GAL]])</f>
        <v>0</v>
      </c>
      <c r="X1211" t="str">
        <f>IFERROR(INDEX(Crosswalk_API!$H$2:$H$527, MATCH(POTABLE_NONPOTABLE_API[[#This Row],[PWSID]], CW_PWSID_LIST, 0)), "")</f>
        <v>No</v>
      </c>
    </row>
    <row r="1212" spans="1:24" x14ac:dyDescent="0.25">
      <c r="A1212" t="s">
        <v>1039</v>
      </c>
      <c r="B1212" t="s">
        <v>1040</v>
      </c>
      <c r="C1212" t="s">
        <v>1041</v>
      </c>
      <c r="D1212" t="s">
        <v>1042</v>
      </c>
      <c r="E1212" s="9">
        <v>45413</v>
      </c>
      <c r="F1212" s="9">
        <v>45443</v>
      </c>
      <c r="G1212">
        <v>61183921.131999999</v>
      </c>
      <c r="H1212">
        <v>8346764.216</v>
      </c>
      <c r="I1212">
        <v>16642660.896</v>
      </c>
      <c r="J1212">
        <v>0</v>
      </c>
      <c r="K1212">
        <v>1150503.976</v>
      </c>
      <c r="L1212">
        <v>897662.4</v>
      </c>
      <c r="M1212">
        <v>0</v>
      </c>
      <c r="T1212" s="9">
        <v>45108</v>
      </c>
      <c r="U1212" s="9">
        <v>45473</v>
      </c>
      <c r="V1212">
        <f>SUM(POTABLE_NONPOTABLE_API[[#This Row],[RESIDENTIAL_SINGLEFAMILY_GAL]:[OTHER_GAL]])</f>
        <v>88221512.620000005</v>
      </c>
      <c r="W1212">
        <f>SUM(POTABLE_NONPOTABLE_API[[#This Row],[NONPOTABLE_DEMAND_RESIDENTIAL_RECYCLED_WATER_GAL]:[NONPOTABLE_DEMAND_NONRESIDENTIAL_METERED_IRRIGATION_GAL]])</f>
        <v>0</v>
      </c>
      <c r="X1212" t="str">
        <f>IFERROR(INDEX(Crosswalk_API!$H$2:$H$527, MATCH(POTABLE_NONPOTABLE_API[[#This Row],[PWSID]], CW_PWSID_LIST, 0)), "")</f>
        <v>No</v>
      </c>
    </row>
    <row r="1213" spans="1:24" x14ac:dyDescent="0.25">
      <c r="A1213" t="s">
        <v>1039</v>
      </c>
      <c r="B1213" t="s">
        <v>1040</v>
      </c>
      <c r="C1213" t="s">
        <v>1041</v>
      </c>
      <c r="D1213" t="s">
        <v>1042</v>
      </c>
      <c r="E1213" s="9">
        <v>45444</v>
      </c>
      <c r="F1213" s="9">
        <v>45473</v>
      </c>
      <c r="G1213">
        <v>91028203.724000007</v>
      </c>
      <c r="H1213">
        <v>12104229.412</v>
      </c>
      <c r="I1213">
        <v>24883949.780000001</v>
      </c>
      <c r="J1213">
        <v>0</v>
      </c>
      <c r="K1213">
        <v>1799065.06</v>
      </c>
      <c r="L1213">
        <v>28425.976000000002</v>
      </c>
      <c r="M1213">
        <v>0</v>
      </c>
      <c r="T1213" s="9">
        <v>45108</v>
      </c>
      <c r="U1213" s="9">
        <v>45473</v>
      </c>
      <c r="V1213">
        <f>SUM(POTABLE_NONPOTABLE_API[[#This Row],[RESIDENTIAL_SINGLEFAMILY_GAL]:[OTHER_GAL]])</f>
        <v>129843873.95200001</v>
      </c>
      <c r="W1213">
        <f>SUM(POTABLE_NONPOTABLE_API[[#This Row],[NONPOTABLE_DEMAND_RESIDENTIAL_RECYCLED_WATER_GAL]:[NONPOTABLE_DEMAND_NONRESIDENTIAL_METERED_IRRIGATION_GAL]])</f>
        <v>0</v>
      </c>
      <c r="X1213" t="str">
        <f>IFERROR(INDEX(Crosswalk_API!$H$2:$H$527, MATCH(POTABLE_NONPOTABLE_API[[#This Row],[PWSID]], CW_PWSID_LIST, 0)), "")</f>
        <v>No</v>
      </c>
    </row>
    <row r="1214" spans="1:24" x14ac:dyDescent="0.25">
      <c r="A1214" t="s">
        <v>1043</v>
      </c>
      <c r="B1214" t="s">
        <v>1044</v>
      </c>
      <c r="C1214" t="s">
        <v>1045</v>
      </c>
      <c r="D1214" t="s">
        <v>1046</v>
      </c>
      <c r="E1214" s="9">
        <v>45108</v>
      </c>
      <c r="F1214" s="9">
        <v>45138</v>
      </c>
      <c r="G1214">
        <v>69851599.656000003</v>
      </c>
      <c r="H1214">
        <v>12072811.228</v>
      </c>
      <c r="I1214">
        <v>99873170.571999997</v>
      </c>
      <c r="J1214">
        <v>0</v>
      </c>
      <c r="K1214">
        <v>11656146.264</v>
      </c>
      <c r="L1214">
        <v>890181.88</v>
      </c>
      <c r="M1214">
        <v>0</v>
      </c>
      <c r="T1214" s="9">
        <v>45108</v>
      </c>
      <c r="U1214" s="9">
        <v>45473</v>
      </c>
      <c r="V1214">
        <f>SUM(POTABLE_NONPOTABLE_API[[#This Row],[RESIDENTIAL_SINGLEFAMILY_GAL]:[OTHER_GAL]])</f>
        <v>194343909.59999999</v>
      </c>
      <c r="W1214">
        <f>SUM(POTABLE_NONPOTABLE_API[[#This Row],[NONPOTABLE_DEMAND_RESIDENTIAL_RECYCLED_WATER_GAL]:[NONPOTABLE_DEMAND_NONRESIDENTIAL_METERED_IRRIGATION_GAL]])</f>
        <v>0</v>
      </c>
      <c r="X1214" t="str">
        <f>IFERROR(INDEX(Crosswalk_API!$H$2:$H$527, MATCH(POTABLE_NONPOTABLE_API[[#This Row],[PWSID]], CW_PWSID_LIST, 0)), "")</f>
        <v>No</v>
      </c>
    </row>
    <row r="1215" spans="1:24" x14ac:dyDescent="0.25">
      <c r="A1215" t="s">
        <v>1043</v>
      </c>
      <c r="B1215" t="s">
        <v>1044</v>
      </c>
      <c r="C1215" t="s">
        <v>1045</v>
      </c>
      <c r="D1215" t="s">
        <v>1046</v>
      </c>
      <c r="E1215" s="9">
        <v>45139</v>
      </c>
      <c r="F1215" s="9">
        <v>45169</v>
      </c>
      <c r="G1215">
        <v>62153396.524000004</v>
      </c>
      <c r="H1215">
        <v>11449683.912</v>
      </c>
      <c r="I1215">
        <v>99151300.392000005</v>
      </c>
      <c r="J1215">
        <v>0</v>
      </c>
      <c r="K1215">
        <v>8600353.8440000005</v>
      </c>
      <c r="L1215">
        <v>1018098.772</v>
      </c>
      <c r="M1215">
        <v>0</v>
      </c>
      <c r="T1215" s="9">
        <v>45108</v>
      </c>
      <c r="U1215" s="9">
        <v>45473</v>
      </c>
      <c r="V1215">
        <f>SUM(POTABLE_NONPOTABLE_API[[#This Row],[RESIDENTIAL_SINGLEFAMILY_GAL]:[OTHER_GAL]])</f>
        <v>182372833.44400004</v>
      </c>
      <c r="W1215">
        <f>SUM(POTABLE_NONPOTABLE_API[[#This Row],[NONPOTABLE_DEMAND_RESIDENTIAL_RECYCLED_WATER_GAL]:[NONPOTABLE_DEMAND_NONRESIDENTIAL_METERED_IRRIGATION_GAL]])</f>
        <v>0</v>
      </c>
      <c r="X1215" t="str">
        <f>IFERROR(INDEX(Crosswalk_API!$H$2:$H$527, MATCH(POTABLE_NONPOTABLE_API[[#This Row],[PWSID]], CW_PWSID_LIST, 0)), "")</f>
        <v>No</v>
      </c>
    </row>
    <row r="1216" spans="1:24" x14ac:dyDescent="0.25">
      <c r="A1216" t="s">
        <v>1043</v>
      </c>
      <c r="B1216" t="s">
        <v>1044</v>
      </c>
      <c r="C1216" t="s">
        <v>1045</v>
      </c>
      <c r="D1216" t="s">
        <v>1046</v>
      </c>
      <c r="E1216" s="9">
        <v>45170</v>
      </c>
      <c r="F1216" s="9">
        <v>45199</v>
      </c>
      <c r="G1216">
        <v>69655610.032000005</v>
      </c>
      <c r="H1216">
        <v>12347346.312000001</v>
      </c>
      <c r="I1216">
        <v>110785753.148</v>
      </c>
      <c r="J1216">
        <v>0</v>
      </c>
      <c r="K1216">
        <v>8960166.8560000006</v>
      </c>
      <c r="L1216">
        <v>1912020.912</v>
      </c>
      <c r="M1216">
        <v>0</v>
      </c>
      <c r="T1216" s="9">
        <v>45108</v>
      </c>
      <c r="U1216" s="9">
        <v>45473</v>
      </c>
      <c r="V1216">
        <f>SUM(POTABLE_NONPOTABLE_API[[#This Row],[RESIDENTIAL_SINGLEFAMILY_GAL]:[OTHER_GAL]])</f>
        <v>203660897.26000002</v>
      </c>
      <c r="W1216">
        <f>SUM(POTABLE_NONPOTABLE_API[[#This Row],[NONPOTABLE_DEMAND_RESIDENTIAL_RECYCLED_WATER_GAL]:[NONPOTABLE_DEMAND_NONRESIDENTIAL_METERED_IRRIGATION_GAL]])</f>
        <v>0</v>
      </c>
      <c r="X1216" t="str">
        <f>IFERROR(INDEX(Crosswalk_API!$H$2:$H$527, MATCH(POTABLE_NONPOTABLE_API[[#This Row],[PWSID]], CW_PWSID_LIST, 0)), "")</f>
        <v>No</v>
      </c>
    </row>
    <row r="1217" spans="1:24" x14ac:dyDescent="0.25">
      <c r="A1217" t="s">
        <v>1043</v>
      </c>
      <c r="B1217" t="s">
        <v>1044</v>
      </c>
      <c r="C1217" t="s">
        <v>1045</v>
      </c>
      <c r="D1217" t="s">
        <v>1046</v>
      </c>
      <c r="E1217" s="9">
        <v>45200</v>
      </c>
      <c r="F1217" s="9">
        <v>45230</v>
      </c>
      <c r="G1217">
        <v>65073791.532000005</v>
      </c>
      <c r="H1217">
        <v>11172904.672</v>
      </c>
      <c r="I1217">
        <v>107073171.072</v>
      </c>
      <c r="J1217">
        <v>0</v>
      </c>
      <c r="K1217">
        <v>8286920.0559999999</v>
      </c>
      <c r="L1217">
        <v>1401101.3959999999</v>
      </c>
      <c r="M1217">
        <v>0</v>
      </c>
      <c r="T1217" s="9">
        <v>45108</v>
      </c>
      <c r="U1217" s="9">
        <v>45473</v>
      </c>
      <c r="V1217">
        <f>SUM(POTABLE_NONPOTABLE_API[[#This Row],[RESIDENTIAL_SINGLEFAMILY_GAL]:[OTHER_GAL]])</f>
        <v>193007888.72800002</v>
      </c>
      <c r="W1217">
        <f>SUM(POTABLE_NONPOTABLE_API[[#This Row],[NONPOTABLE_DEMAND_RESIDENTIAL_RECYCLED_WATER_GAL]:[NONPOTABLE_DEMAND_NONRESIDENTIAL_METERED_IRRIGATION_GAL]])</f>
        <v>0</v>
      </c>
      <c r="X1217" t="str">
        <f>IFERROR(INDEX(Crosswalk_API!$H$2:$H$527, MATCH(POTABLE_NONPOTABLE_API[[#This Row],[PWSID]], CW_PWSID_LIST, 0)), "")</f>
        <v>No</v>
      </c>
    </row>
    <row r="1218" spans="1:24" x14ac:dyDescent="0.25">
      <c r="A1218" t="s">
        <v>1043</v>
      </c>
      <c r="B1218" t="s">
        <v>1044</v>
      </c>
      <c r="C1218" t="s">
        <v>1045</v>
      </c>
      <c r="D1218" t="s">
        <v>1046</v>
      </c>
      <c r="E1218" s="9">
        <v>45231</v>
      </c>
      <c r="F1218" s="9">
        <v>45260</v>
      </c>
      <c r="G1218">
        <v>59512772.964000002</v>
      </c>
      <c r="H1218">
        <v>9988738.3560000006</v>
      </c>
      <c r="I1218">
        <v>85245761.763999999</v>
      </c>
      <c r="J1218">
        <v>0</v>
      </c>
      <c r="K1218">
        <v>7885964.1840000004</v>
      </c>
      <c r="L1218">
        <v>1671148.1680000001</v>
      </c>
      <c r="M1218">
        <v>0</v>
      </c>
      <c r="T1218" s="9">
        <v>45108</v>
      </c>
      <c r="U1218" s="9">
        <v>45473</v>
      </c>
      <c r="V1218">
        <f>SUM(POTABLE_NONPOTABLE_API[[#This Row],[RESIDENTIAL_SINGLEFAMILY_GAL]:[OTHER_GAL]])</f>
        <v>164304385.43600002</v>
      </c>
      <c r="W1218">
        <f>SUM(POTABLE_NONPOTABLE_API[[#This Row],[NONPOTABLE_DEMAND_RESIDENTIAL_RECYCLED_WATER_GAL]:[NONPOTABLE_DEMAND_NONRESIDENTIAL_METERED_IRRIGATION_GAL]])</f>
        <v>0</v>
      </c>
      <c r="X1218" t="str">
        <f>IFERROR(INDEX(Crosswalk_API!$H$2:$H$527, MATCH(POTABLE_NONPOTABLE_API[[#This Row],[PWSID]], CW_PWSID_LIST, 0)), "")</f>
        <v>No</v>
      </c>
    </row>
    <row r="1219" spans="1:24" x14ac:dyDescent="0.25">
      <c r="A1219" t="s">
        <v>1043</v>
      </c>
      <c r="B1219" t="s">
        <v>1044</v>
      </c>
      <c r="C1219" t="s">
        <v>1045</v>
      </c>
      <c r="D1219" t="s">
        <v>1046</v>
      </c>
      <c r="E1219" s="9">
        <v>45261</v>
      </c>
      <c r="F1219" s="9">
        <v>45291</v>
      </c>
      <c r="G1219">
        <v>62283557.572000004</v>
      </c>
      <c r="H1219">
        <v>11984541.092</v>
      </c>
      <c r="I1219">
        <v>72575256.988000005</v>
      </c>
      <c r="J1219">
        <v>0</v>
      </c>
      <c r="K1219">
        <v>7224686.216</v>
      </c>
      <c r="L1219">
        <v>463792.24</v>
      </c>
      <c r="M1219">
        <v>0</v>
      </c>
      <c r="T1219" s="9">
        <v>45108</v>
      </c>
      <c r="U1219" s="9">
        <v>45473</v>
      </c>
      <c r="V1219">
        <f>SUM(POTABLE_NONPOTABLE_API[[#This Row],[RESIDENTIAL_SINGLEFAMILY_GAL]:[OTHER_GAL]])</f>
        <v>154531834.10800001</v>
      </c>
      <c r="W1219">
        <f>SUM(POTABLE_NONPOTABLE_API[[#This Row],[NONPOTABLE_DEMAND_RESIDENTIAL_RECYCLED_WATER_GAL]:[NONPOTABLE_DEMAND_NONRESIDENTIAL_METERED_IRRIGATION_GAL]])</f>
        <v>0</v>
      </c>
      <c r="X1219" t="str">
        <f>IFERROR(INDEX(Crosswalk_API!$H$2:$H$527, MATCH(POTABLE_NONPOTABLE_API[[#This Row],[PWSID]], CW_PWSID_LIST, 0)), "")</f>
        <v>No</v>
      </c>
    </row>
    <row r="1220" spans="1:24" x14ac:dyDescent="0.25">
      <c r="A1220" t="s">
        <v>1043</v>
      </c>
      <c r="B1220" t="s">
        <v>1044</v>
      </c>
      <c r="C1220" t="s">
        <v>1045</v>
      </c>
      <c r="D1220" t="s">
        <v>1046</v>
      </c>
      <c r="E1220" s="9">
        <v>45292</v>
      </c>
      <c r="F1220" s="9">
        <v>45322</v>
      </c>
      <c r="G1220">
        <v>60811391.236000001</v>
      </c>
      <c r="H1220">
        <v>13095398.312000001</v>
      </c>
      <c r="I1220">
        <v>65361043.5</v>
      </c>
      <c r="J1220">
        <v>0</v>
      </c>
      <c r="K1220">
        <v>9679792.8800000008</v>
      </c>
      <c r="L1220">
        <v>195241.57200000001</v>
      </c>
      <c r="M1220">
        <v>0</v>
      </c>
      <c r="T1220" s="9">
        <v>45108</v>
      </c>
      <c r="U1220" s="9">
        <v>45473</v>
      </c>
      <c r="V1220">
        <f>SUM(POTABLE_NONPOTABLE_API[[#This Row],[RESIDENTIAL_SINGLEFAMILY_GAL]:[OTHER_GAL]])</f>
        <v>149142867.5</v>
      </c>
      <c r="W1220">
        <f>SUM(POTABLE_NONPOTABLE_API[[#This Row],[NONPOTABLE_DEMAND_RESIDENTIAL_RECYCLED_WATER_GAL]:[NONPOTABLE_DEMAND_NONRESIDENTIAL_METERED_IRRIGATION_GAL]])</f>
        <v>0</v>
      </c>
      <c r="X1220" t="str">
        <f>IFERROR(INDEX(Crosswalk_API!$H$2:$H$527, MATCH(POTABLE_NONPOTABLE_API[[#This Row],[PWSID]], CW_PWSID_LIST, 0)), "")</f>
        <v>No</v>
      </c>
    </row>
    <row r="1221" spans="1:24" x14ac:dyDescent="0.25">
      <c r="A1221" t="s">
        <v>1043</v>
      </c>
      <c r="B1221" t="s">
        <v>1044</v>
      </c>
      <c r="C1221" t="s">
        <v>1045</v>
      </c>
      <c r="D1221" t="s">
        <v>1046</v>
      </c>
      <c r="E1221" s="9">
        <v>45323</v>
      </c>
      <c r="F1221" s="9">
        <v>45351</v>
      </c>
      <c r="G1221">
        <v>57170622.152000003</v>
      </c>
      <c r="H1221">
        <v>11687564.448000001</v>
      </c>
      <c r="I1221">
        <v>64960835.68</v>
      </c>
      <c r="J1221">
        <v>0</v>
      </c>
      <c r="K1221">
        <v>8586140.8560000006</v>
      </c>
      <c r="L1221">
        <v>130161.04800000001</v>
      </c>
      <c r="M1221">
        <v>0</v>
      </c>
      <c r="T1221" s="9">
        <v>45108</v>
      </c>
      <c r="U1221" s="9">
        <v>45473</v>
      </c>
      <c r="V1221">
        <f>SUM(POTABLE_NONPOTABLE_API[[#This Row],[RESIDENTIAL_SINGLEFAMILY_GAL]:[OTHER_GAL]])</f>
        <v>142535324.18400002</v>
      </c>
      <c r="W1221">
        <f>SUM(POTABLE_NONPOTABLE_API[[#This Row],[NONPOTABLE_DEMAND_RESIDENTIAL_RECYCLED_WATER_GAL]:[NONPOTABLE_DEMAND_NONRESIDENTIAL_METERED_IRRIGATION_GAL]])</f>
        <v>0</v>
      </c>
      <c r="X1221" t="str">
        <f>IFERROR(INDEX(Crosswalk_API!$H$2:$H$527, MATCH(POTABLE_NONPOTABLE_API[[#This Row],[PWSID]], CW_PWSID_LIST, 0)), "")</f>
        <v>No</v>
      </c>
    </row>
    <row r="1222" spans="1:24" x14ac:dyDescent="0.25">
      <c r="A1222" t="s">
        <v>1043</v>
      </c>
      <c r="B1222" t="s">
        <v>1044</v>
      </c>
      <c r="C1222" t="s">
        <v>1045</v>
      </c>
      <c r="D1222" t="s">
        <v>1046</v>
      </c>
      <c r="E1222" s="9">
        <v>45352</v>
      </c>
      <c r="F1222" s="9">
        <v>45382</v>
      </c>
      <c r="G1222">
        <v>56997074.088</v>
      </c>
      <c r="H1222">
        <v>11649413.796</v>
      </c>
      <c r="I1222">
        <v>68098165.768000007</v>
      </c>
      <c r="J1222">
        <v>0</v>
      </c>
      <c r="K1222">
        <v>8028842.1160000004</v>
      </c>
      <c r="L1222">
        <v>31418.184000000001</v>
      </c>
      <c r="M1222">
        <v>0</v>
      </c>
      <c r="T1222" s="9">
        <v>45108</v>
      </c>
      <c r="U1222" s="9">
        <v>45473</v>
      </c>
      <c r="V1222">
        <f>SUM(POTABLE_NONPOTABLE_API[[#This Row],[RESIDENTIAL_SINGLEFAMILY_GAL]:[OTHER_GAL]])</f>
        <v>144804913.95199999</v>
      </c>
      <c r="W1222">
        <f>SUM(POTABLE_NONPOTABLE_API[[#This Row],[NONPOTABLE_DEMAND_RESIDENTIAL_RECYCLED_WATER_GAL]:[NONPOTABLE_DEMAND_NONRESIDENTIAL_METERED_IRRIGATION_GAL]])</f>
        <v>0</v>
      </c>
      <c r="X1222" t="str">
        <f>IFERROR(INDEX(Crosswalk_API!$H$2:$H$527, MATCH(POTABLE_NONPOTABLE_API[[#This Row],[PWSID]], CW_PWSID_LIST, 0)), "")</f>
        <v>No</v>
      </c>
    </row>
    <row r="1223" spans="1:24" x14ac:dyDescent="0.25">
      <c r="A1223" t="s">
        <v>1043</v>
      </c>
      <c r="B1223" t="s">
        <v>1044</v>
      </c>
      <c r="C1223" t="s">
        <v>1045</v>
      </c>
      <c r="D1223" t="s">
        <v>1046</v>
      </c>
      <c r="E1223" s="9">
        <v>45383</v>
      </c>
      <c r="F1223" s="9">
        <v>45412</v>
      </c>
      <c r="G1223">
        <v>56346268.848000005</v>
      </c>
      <c r="H1223">
        <v>11572364.439999999</v>
      </c>
      <c r="I1223">
        <v>70422363.332000002</v>
      </c>
      <c r="J1223">
        <v>0</v>
      </c>
      <c r="K1223">
        <v>7205984.9160000002</v>
      </c>
      <c r="L1223">
        <v>327646.77600000001</v>
      </c>
      <c r="M1223">
        <v>0</v>
      </c>
      <c r="T1223" s="9">
        <v>45108</v>
      </c>
      <c r="U1223" s="9">
        <v>45473</v>
      </c>
      <c r="V1223">
        <f>SUM(POTABLE_NONPOTABLE_API[[#This Row],[RESIDENTIAL_SINGLEFAMILY_GAL]:[OTHER_GAL]])</f>
        <v>145874628.31200001</v>
      </c>
      <c r="W1223">
        <f>SUM(POTABLE_NONPOTABLE_API[[#This Row],[NONPOTABLE_DEMAND_RESIDENTIAL_RECYCLED_WATER_GAL]:[NONPOTABLE_DEMAND_NONRESIDENTIAL_METERED_IRRIGATION_GAL]])</f>
        <v>0</v>
      </c>
      <c r="X1223" t="str">
        <f>IFERROR(INDEX(Crosswalk_API!$H$2:$H$527, MATCH(POTABLE_NONPOTABLE_API[[#This Row],[PWSID]], CW_PWSID_LIST, 0)), "")</f>
        <v>No</v>
      </c>
    </row>
    <row r="1224" spans="1:24" x14ac:dyDescent="0.25">
      <c r="A1224" t="s">
        <v>1043</v>
      </c>
      <c r="B1224" t="s">
        <v>1044</v>
      </c>
      <c r="C1224" t="s">
        <v>1045</v>
      </c>
      <c r="D1224" t="s">
        <v>1046</v>
      </c>
      <c r="E1224" s="9">
        <v>45413</v>
      </c>
      <c r="F1224" s="9">
        <v>45443</v>
      </c>
      <c r="G1224">
        <v>59118549.560000002</v>
      </c>
      <c r="H1224">
        <v>11594806</v>
      </c>
      <c r="I1224">
        <v>83743673.348000005</v>
      </c>
      <c r="J1224">
        <v>0</v>
      </c>
      <c r="K1224">
        <v>7680249.8840000005</v>
      </c>
      <c r="L1224">
        <v>139137.67199999999</v>
      </c>
      <c r="M1224">
        <v>0</v>
      </c>
      <c r="T1224" s="9">
        <v>45108</v>
      </c>
      <c r="U1224" s="9">
        <v>45473</v>
      </c>
      <c r="V1224">
        <f>SUM(POTABLE_NONPOTABLE_API[[#This Row],[RESIDENTIAL_SINGLEFAMILY_GAL]:[OTHER_GAL]])</f>
        <v>162276416.46399999</v>
      </c>
      <c r="W1224">
        <f>SUM(POTABLE_NONPOTABLE_API[[#This Row],[NONPOTABLE_DEMAND_RESIDENTIAL_RECYCLED_WATER_GAL]:[NONPOTABLE_DEMAND_NONRESIDENTIAL_METERED_IRRIGATION_GAL]])</f>
        <v>0</v>
      </c>
      <c r="X1224" t="str">
        <f>IFERROR(INDEX(Crosswalk_API!$H$2:$H$527, MATCH(POTABLE_NONPOTABLE_API[[#This Row],[PWSID]], CW_PWSID_LIST, 0)), "")</f>
        <v>No</v>
      </c>
    </row>
    <row r="1225" spans="1:24" x14ac:dyDescent="0.25">
      <c r="A1225" t="s">
        <v>1043</v>
      </c>
      <c r="B1225" t="s">
        <v>1044</v>
      </c>
      <c r="C1225" t="s">
        <v>1045</v>
      </c>
      <c r="D1225" t="s">
        <v>1046</v>
      </c>
      <c r="E1225" s="9">
        <v>45444</v>
      </c>
      <c r="F1225" s="9">
        <v>45473</v>
      </c>
      <c r="G1225">
        <v>66370913.700000003</v>
      </c>
      <c r="H1225">
        <v>12147616.428000001</v>
      </c>
      <c r="I1225">
        <v>94526094.876000002</v>
      </c>
      <c r="J1225">
        <v>0</v>
      </c>
      <c r="K1225">
        <v>7991439.5159999998</v>
      </c>
      <c r="L1225">
        <v>500446.788</v>
      </c>
      <c r="M1225">
        <v>0</v>
      </c>
      <c r="T1225" s="9">
        <v>45108</v>
      </c>
      <c r="U1225" s="9">
        <v>45473</v>
      </c>
      <c r="V1225">
        <f>SUM(POTABLE_NONPOTABLE_API[[#This Row],[RESIDENTIAL_SINGLEFAMILY_GAL]:[OTHER_GAL]])</f>
        <v>181536511.308</v>
      </c>
      <c r="W1225">
        <f>SUM(POTABLE_NONPOTABLE_API[[#This Row],[NONPOTABLE_DEMAND_RESIDENTIAL_RECYCLED_WATER_GAL]:[NONPOTABLE_DEMAND_NONRESIDENTIAL_METERED_IRRIGATION_GAL]])</f>
        <v>0</v>
      </c>
      <c r="X1225" t="str">
        <f>IFERROR(INDEX(Crosswalk_API!$H$2:$H$527, MATCH(POTABLE_NONPOTABLE_API[[#This Row],[PWSID]], CW_PWSID_LIST, 0)), "")</f>
        <v>No</v>
      </c>
    </row>
    <row r="1226" spans="1:24" x14ac:dyDescent="0.25">
      <c r="A1226" t="s">
        <v>1047</v>
      </c>
      <c r="B1226" t="s">
        <v>1048</v>
      </c>
      <c r="C1226" t="s">
        <v>1049</v>
      </c>
      <c r="D1226" t="s">
        <v>1050</v>
      </c>
      <c r="E1226" s="9">
        <v>45108</v>
      </c>
      <c r="F1226" s="9">
        <v>45138</v>
      </c>
      <c r="G1226">
        <v>395584807</v>
      </c>
      <c r="H1226">
        <v>41503092</v>
      </c>
      <c r="I1226">
        <v>231859381</v>
      </c>
      <c r="J1226">
        <v>0</v>
      </c>
      <c r="K1226">
        <v>39591696</v>
      </c>
      <c r="L1226">
        <v>8691426</v>
      </c>
      <c r="M1226">
        <v>0</v>
      </c>
      <c r="T1226" s="9">
        <v>45108</v>
      </c>
      <c r="U1226" s="9">
        <v>45473</v>
      </c>
      <c r="V1226">
        <f>SUM(POTABLE_NONPOTABLE_API[[#This Row],[RESIDENTIAL_SINGLEFAMILY_GAL]:[OTHER_GAL]])</f>
        <v>717230402</v>
      </c>
      <c r="W1226">
        <f>SUM(POTABLE_NONPOTABLE_API[[#This Row],[NONPOTABLE_DEMAND_RESIDENTIAL_RECYCLED_WATER_GAL]:[NONPOTABLE_DEMAND_NONRESIDENTIAL_METERED_IRRIGATION_GAL]])</f>
        <v>0</v>
      </c>
      <c r="X1226" t="str">
        <f>IFERROR(INDEX(Crosswalk_API!$H$2:$H$527, MATCH(POTABLE_NONPOTABLE_API[[#This Row],[PWSID]], CW_PWSID_LIST, 0)), "")</f>
        <v>No</v>
      </c>
    </row>
    <row r="1227" spans="1:24" x14ac:dyDescent="0.25">
      <c r="A1227" t="s">
        <v>1047</v>
      </c>
      <c r="B1227" t="s">
        <v>1048</v>
      </c>
      <c r="C1227" t="s">
        <v>1049</v>
      </c>
      <c r="D1227" t="s">
        <v>1050</v>
      </c>
      <c r="E1227" s="9">
        <v>45139</v>
      </c>
      <c r="F1227" s="9">
        <v>45169</v>
      </c>
      <c r="G1227">
        <v>368980874</v>
      </c>
      <c r="H1227">
        <v>43121980</v>
      </c>
      <c r="I1227">
        <v>255322790</v>
      </c>
      <c r="J1227">
        <v>0</v>
      </c>
      <c r="K1227">
        <v>45530114</v>
      </c>
      <c r="L1227">
        <v>3818302</v>
      </c>
      <c r="M1227">
        <v>0</v>
      </c>
      <c r="T1227" s="9">
        <v>45108</v>
      </c>
      <c r="U1227" s="9">
        <v>45473</v>
      </c>
      <c r="V1227">
        <f>SUM(POTABLE_NONPOTABLE_API[[#This Row],[RESIDENTIAL_SINGLEFAMILY_GAL]:[OTHER_GAL]])</f>
        <v>716774060</v>
      </c>
      <c r="W1227">
        <f>SUM(POTABLE_NONPOTABLE_API[[#This Row],[NONPOTABLE_DEMAND_RESIDENTIAL_RECYCLED_WATER_GAL]:[NONPOTABLE_DEMAND_NONRESIDENTIAL_METERED_IRRIGATION_GAL]])</f>
        <v>0</v>
      </c>
      <c r="X1227" t="str">
        <f>IFERROR(INDEX(Crosswalk_API!$H$2:$H$527, MATCH(POTABLE_NONPOTABLE_API[[#This Row],[PWSID]], CW_PWSID_LIST, 0)), "")</f>
        <v>No</v>
      </c>
    </row>
    <row r="1228" spans="1:24" x14ac:dyDescent="0.25">
      <c r="A1228" t="s">
        <v>1047</v>
      </c>
      <c r="B1228" t="s">
        <v>1048</v>
      </c>
      <c r="C1228" t="s">
        <v>1049</v>
      </c>
      <c r="D1228" t="s">
        <v>1050</v>
      </c>
      <c r="E1228" s="9">
        <v>45170</v>
      </c>
      <c r="F1228" s="9">
        <v>45199</v>
      </c>
      <c r="G1228">
        <v>375629987</v>
      </c>
      <c r="H1228">
        <v>43280577</v>
      </c>
      <c r="I1228">
        <v>242365698</v>
      </c>
      <c r="J1228">
        <v>0</v>
      </c>
      <c r="K1228">
        <v>46958985</v>
      </c>
      <c r="L1228">
        <v>18518467</v>
      </c>
      <c r="M1228">
        <v>0</v>
      </c>
      <c r="T1228" s="9">
        <v>45108</v>
      </c>
      <c r="U1228" s="9">
        <v>45473</v>
      </c>
      <c r="V1228">
        <f>SUM(POTABLE_NONPOTABLE_API[[#This Row],[RESIDENTIAL_SINGLEFAMILY_GAL]:[OTHER_GAL]])</f>
        <v>726753714</v>
      </c>
      <c r="W1228">
        <f>SUM(POTABLE_NONPOTABLE_API[[#This Row],[NONPOTABLE_DEMAND_RESIDENTIAL_RECYCLED_WATER_GAL]:[NONPOTABLE_DEMAND_NONRESIDENTIAL_METERED_IRRIGATION_GAL]])</f>
        <v>0</v>
      </c>
      <c r="X1228" t="str">
        <f>IFERROR(INDEX(Crosswalk_API!$H$2:$H$527, MATCH(POTABLE_NONPOTABLE_API[[#This Row],[PWSID]], CW_PWSID_LIST, 0)), "")</f>
        <v>No</v>
      </c>
    </row>
    <row r="1229" spans="1:24" x14ac:dyDescent="0.25">
      <c r="A1229" t="s">
        <v>1047</v>
      </c>
      <c r="B1229" t="s">
        <v>1048</v>
      </c>
      <c r="C1229" t="s">
        <v>1049</v>
      </c>
      <c r="D1229" t="s">
        <v>1050</v>
      </c>
      <c r="E1229" s="9">
        <v>45200</v>
      </c>
      <c r="F1229" s="9">
        <v>45230</v>
      </c>
      <c r="G1229">
        <v>302245118</v>
      </c>
      <c r="H1229">
        <v>40294910</v>
      </c>
      <c r="I1229">
        <v>216096166</v>
      </c>
      <c r="J1229">
        <v>0</v>
      </c>
      <c r="K1229">
        <v>43803499</v>
      </c>
      <c r="L1229">
        <v>0</v>
      </c>
      <c r="M1229">
        <v>0</v>
      </c>
      <c r="T1229" s="9">
        <v>45108</v>
      </c>
      <c r="U1229" s="9">
        <v>45473</v>
      </c>
      <c r="V1229">
        <f>SUM(POTABLE_NONPOTABLE_API[[#This Row],[RESIDENTIAL_SINGLEFAMILY_GAL]:[OTHER_GAL]])</f>
        <v>602439693</v>
      </c>
      <c r="W1229">
        <f>SUM(POTABLE_NONPOTABLE_API[[#This Row],[NONPOTABLE_DEMAND_RESIDENTIAL_RECYCLED_WATER_GAL]:[NONPOTABLE_DEMAND_NONRESIDENTIAL_METERED_IRRIGATION_GAL]])</f>
        <v>0</v>
      </c>
      <c r="X1229" t="str">
        <f>IFERROR(INDEX(Crosswalk_API!$H$2:$H$527, MATCH(POTABLE_NONPOTABLE_API[[#This Row],[PWSID]], CW_PWSID_LIST, 0)), "")</f>
        <v>No</v>
      </c>
    </row>
    <row r="1230" spans="1:24" x14ac:dyDescent="0.25">
      <c r="A1230" t="s">
        <v>1047</v>
      </c>
      <c r="B1230" t="s">
        <v>1048</v>
      </c>
      <c r="C1230" t="s">
        <v>1049</v>
      </c>
      <c r="D1230" t="s">
        <v>1050</v>
      </c>
      <c r="E1230" s="9">
        <v>45231</v>
      </c>
      <c r="F1230" s="9">
        <v>45260</v>
      </c>
      <c r="G1230">
        <v>267785387</v>
      </c>
      <c r="H1230">
        <v>35620033</v>
      </c>
      <c r="I1230">
        <v>168310530</v>
      </c>
      <c r="J1230">
        <v>0</v>
      </c>
      <c r="K1230">
        <v>41344495</v>
      </c>
      <c r="L1230">
        <v>855078</v>
      </c>
      <c r="M1230">
        <v>0</v>
      </c>
      <c r="T1230" s="9">
        <v>45108</v>
      </c>
      <c r="U1230" s="9">
        <v>45473</v>
      </c>
      <c r="V1230">
        <f>SUM(POTABLE_NONPOTABLE_API[[#This Row],[RESIDENTIAL_SINGLEFAMILY_GAL]:[OTHER_GAL]])</f>
        <v>513915523</v>
      </c>
      <c r="W1230">
        <f>SUM(POTABLE_NONPOTABLE_API[[#This Row],[NONPOTABLE_DEMAND_RESIDENTIAL_RECYCLED_WATER_GAL]:[NONPOTABLE_DEMAND_NONRESIDENTIAL_METERED_IRRIGATION_GAL]])</f>
        <v>0</v>
      </c>
      <c r="X1230" t="str">
        <f>IFERROR(INDEX(Crosswalk_API!$H$2:$H$527, MATCH(POTABLE_NONPOTABLE_API[[#This Row],[PWSID]], CW_PWSID_LIST, 0)), "")</f>
        <v>No</v>
      </c>
    </row>
    <row r="1231" spans="1:24" x14ac:dyDescent="0.25">
      <c r="A1231" t="s">
        <v>1047</v>
      </c>
      <c r="B1231" t="s">
        <v>1048</v>
      </c>
      <c r="C1231" t="s">
        <v>1049</v>
      </c>
      <c r="D1231" t="s">
        <v>1050</v>
      </c>
      <c r="E1231" s="9">
        <v>45261</v>
      </c>
      <c r="F1231" s="9">
        <v>45291</v>
      </c>
      <c r="G1231">
        <v>241086447</v>
      </c>
      <c r="H1231">
        <v>35483879</v>
      </c>
      <c r="I1231">
        <v>151340630</v>
      </c>
      <c r="J1231">
        <v>0</v>
      </c>
      <c r="K1231">
        <v>38351347</v>
      </c>
      <c r="L1231">
        <v>2906369</v>
      </c>
      <c r="M1231">
        <v>0</v>
      </c>
      <c r="T1231" s="9">
        <v>45108</v>
      </c>
      <c r="U1231" s="9">
        <v>45473</v>
      </c>
      <c r="V1231">
        <f>SUM(POTABLE_NONPOTABLE_API[[#This Row],[RESIDENTIAL_SINGLEFAMILY_GAL]:[OTHER_GAL]])</f>
        <v>469168672</v>
      </c>
      <c r="W1231">
        <f>SUM(POTABLE_NONPOTABLE_API[[#This Row],[NONPOTABLE_DEMAND_RESIDENTIAL_RECYCLED_WATER_GAL]:[NONPOTABLE_DEMAND_NONRESIDENTIAL_METERED_IRRIGATION_GAL]])</f>
        <v>0</v>
      </c>
      <c r="X1231" t="str">
        <f>IFERROR(INDEX(Crosswalk_API!$H$2:$H$527, MATCH(POTABLE_NONPOTABLE_API[[#This Row],[PWSID]], CW_PWSID_LIST, 0)), "")</f>
        <v>No</v>
      </c>
    </row>
    <row r="1232" spans="1:24" x14ac:dyDescent="0.25">
      <c r="A1232" t="s">
        <v>1047</v>
      </c>
      <c r="B1232" t="s">
        <v>1048</v>
      </c>
      <c r="C1232" t="s">
        <v>1049</v>
      </c>
      <c r="D1232" t="s">
        <v>1050</v>
      </c>
      <c r="E1232" s="9">
        <v>45292</v>
      </c>
      <c r="F1232" s="9">
        <v>45322</v>
      </c>
      <c r="G1232">
        <v>223621168.77599999</v>
      </c>
      <c r="H1232">
        <v>34799379.039999999</v>
      </c>
      <c r="I1232">
        <v>127004268.56</v>
      </c>
      <c r="J1232">
        <v>0</v>
      </c>
      <c r="K1232">
        <v>39169498.824000001</v>
      </c>
      <c r="L1232">
        <v>250597.42</v>
      </c>
      <c r="M1232">
        <v>0</v>
      </c>
      <c r="T1232" s="9">
        <v>45108</v>
      </c>
      <c r="U1232" s="9">
        <v>45473</v>
      </c>
      <c r="V1232">
        <f>SUM(POTABLE_NONPOTABLE_API[[#This Row],[RESIDENTIAL_SINGLEFAMILY_GAL]:[OTHER_GAL]])</f>
        <v>424844912.62</v>
      </c>
      <c r="W1232">
        <f>SUM(POTABLE_NONPOTABLE_API[[#This Row],[NONPOTABLE_DEMAND_RESIDENTIAL_RECYCLED_WATER_GAL]:[NONPOTABLE_DEMAND_NONRESIDENTIAL_METERED_IRRIGATION_GAL]])</f>
        <v>0</v>
      </c>
      <c r="X1232" t="str">
        <f>IFERROR(INDEX(Crosswalk_API!$H$2:$H$527, MATCH(POTABLE_NONPOTABLE_API[[#This Row],[PWSID]], CW_PWSID_LIST, 0)), "")</f>
        <v>No</v>
      </c>
    </row>
    <row r="1233" spans="1:24" x14ac:dyDescent="0.25">
      <c r="A1233" t="s">
        <v>1047</v>
      </c>
      <c r="B1233" t="s">
        <v>1048</v>
      </c>
      <c r="C1233" t="s">
        <v>1049</v>
      </c>
      <c r="D1233" t="s">
        <v>1050</v>
      </c>
      <c r="E1233" s="9">
        <v>45323</v>
      </c>
      <c r="F1233" s="9">
        <v>45351</v>
      </c>
      <c r="G1233">
        <v>213713220.03600001</v>
      </c>
      <c r="H1233">
        <v>32452739.916000001</v>
      </c>
      <c r="I1233">
        <v>125446824.296</v>
      </c>
      <c r="J1233">
        <v>0</v>
      </c>
      <c r="K1233">
        <v>34332594.592</v>
      </c>
      <c r="L1233">
        <v>596197.44400000002</v>
      </c>
      <c r="M1233">
        <v>0</v>
      </c>
      <c r="T1233" s="9">
        <v>45108</v>
      </c>
      <c r="U1233" s="9">
        <v>45473</v>
      </c>
      <c r="V1233">
        <f>SUM(POTABLE_NONPOTABLE_API[[#This Row],[RESIDENTIAL_SINGLEFAMILY_GAL]:[OTHER_GAL]])</f>
        <v>406541576.28400004</v>
      </c>
      <c r="W1233">
        <f>SUM(POTABLE_NONPOTABLE_API[[#This Row],[NONPOTABLE_DEMAND_RESIDENTIAL_RECYCLED_WATER_GAL]:[NONPOTABLE_DEMAND_NONRESIDENTIAL_METERED_IRRIGATION_GAL]])</f>
        <v>0</v>
      </c>
      <c r="X1233" t="str">
        <f>IFERROR(INDEX(Crosswalk_API!$H$2:$H$527, MATCH(POTABLE_NONPOTABLE_API[[#This Row],[PWSID]], CW_PWSID_LIST, 0)), "")</f>
        <v>No</v>
      </c>
    </row>
    <row r="1234" spans="1:24" x14ac:dyDescent="0.25">
      <c r="A1234" t="s">
        <v>1047</v>
      </c>
      <c r="B1234" t="s">
        <v>1048</v>
      </c>
      <c r="C1234" t="s">
        <v>1049</v>
      </c>
      <c r="D1234" t="s">
        <v>1050</v>
      </c>
      <c r="E1234" s="9">
        <v>45352</v>
      </c>
      <c r="F1234" s="9">
        <v>45382</v>
      </c>
      <c r="G1234">
        <v>212755713.47600001</v>
      </c>
      <c r="H1234">
        <v>33055669.828000002</v>
      </c>
      <c r="I1234">
        <v>126037037.324</v>
      </c>
      <c r="J1234">
        <v>0</v>
      </c>
      <c r="K1234">
        <v>38978745.564000003</v>
      </c>
      <c r="L1234">
        <v>935813.05200000003</v>
      </c>
      <c r="M1234">
        <v>0</v>
      </c>
      <c r="T1234" s="9">
        <v>45108</v>
      </c>
      <c r="U1234" s="9">
        <v>45473</v>
      </c>
      <c r="V1234">
        <f>SUM(POTABLE_NONPOTABLE_API[[#This Row],[RESIDENTIAL_SINGLEFAMILY_GAL]:[OTHER_GAL]])</f>
        <v>411762979.24400002</v>
      </c>
      <c r="W1234">
        <f>SUM(POTABLE_NONPOTABLE_API[[#This Row],[NONPOTABLE_DEMAND_RESIDENTIAL_RECYCLED_WATER_GAL]:[NONPOTABLE_DEMAND_NONRESIDENTIAL_METERED_IRRIGATION_GAL]])</f>
        <v>0</v>
      </c>
      <c r="X1234" t="str">
        <f>IFERROR(INDEX(Crosswalk_API!$H$2:$H$527, MATCH(POTABLE_NONPOTABLE_API[[#This Row],[PWSID]], CW_PWSID_LIST, 0)), "")</f>
        <v>No</v>
      </c>
    </row>
    <row r="1235" spans="1:24" x14ac:dyDescent="0.25">
      <c r="A1235" t="s">
        <v>1047</v>
      </c>
      <c r="B1235" t="s">
        <v>1048</v>
      </c>
      <c r="C1235" t="s">
        <v>1049</v>
      </c>
      <c r="D1235" t="s">
        <v>1050</v>
      </c>
      <c r="E1235" s="9">
        <v>45383</v>
      </c>
      <c r="F1235" s="9">
        <v>45412</v>
      </c>
      <c r="G1235">
        <v>219177739.896</v>
      </c>
      <c r="H1235">
        <v>31309716.460000001</v>
      </c>
      <c r="I1235">
        <v>124592548.912</v>
      </c>
      <c r="J1235">
        <v>0</v>
      </c>
      <c r="K1235">
        <v>37802807.82</v>
      </c>
      <c r="L1235">
        <v>207958.45600000001</v>
      </c>
      <c r="M1235">
        <v>0</v>
      </c>
      <c r="T1235" s="9">
        <v>45108</v>
      </c>
      <c r="U1235" s="9">
        <v>45473</v>
      </c>
      <c r="V1235">
        <f>SUM(POTABLE_NONPOTABLE_API[[#This Row],[RESIDENTIAL_SINGLEFAMILY_GAL]:[OTHER_GAL]])</f>
        <v>413090771.54399997</v>
      </c>
      <c r="W1235">
        <f>SUM(POTABLE_NONPOTABLE_API[[#This Row],[NONPOTABLE_DEMAND_RESIDENTIAL_RECYCLED_WATER_GAL]:[NONPOTABLE_DEMAND_NONRESIDENTIAL_METERED_IRRIGATION_GAL]])</f>
        <v>0</v>
      </c>
      <c r="X1235" t="str">
        <f>IFERROR(INDEX(Crosswalk_API!$H$2:$H$527, MATCH(POTABLE_NONPOTABLE_API[[#This Row],[PWSID]], CW_PWSID_LIST, 0)), "")</f>
        <v>No</v>
      </c>
    </row>
    <row r="1236" spans="1:24" x14ac:dyDescent="0.25">
      <c r="A1236" t="s">
        <v>1047</v>
      </c>
      <c r="B1236" t="s">
        <v>1048</v>
      </c>
      <c r="C1236" t="s">
        <v>1049</v>
      </c>
      <c r="D1236" t="s">
        <v>1050</v>
      </c>
      <c r="E1236" s="9">
        <v>45413</v>
      </c>
      <c r="F1236" s="9">
        <v>45443</v>
      </c>
      <c r="G1236">
        <v>264259093.676</v>
      </c>
      <c r="H1236">
        <v>36136896.016000003</v>
      </c>
      <c r="I1236">
        <v>162043024.24000001</v>
      </c>
      <c r="J1236">
        <v>0</v>
      </c>
      <c r="K1236">
        <v>24535357.548</v>
      </c>
      <c r="L1236">
        <v>1165465.0160000001</v>
      </c>
      <c r="M1236">
        <v>0</v>
      </c>
      <c r="T1236" s="9">
        <v>45108</v>
      </c>
      <c r="U1236" s="9">
        <v>45473</v>
      </c>
      <c r="V1236">
        <f>SUM(POTABLE_NONPOTABLE_API[[#This Row],[RESIDENTIAL_SINGLEFAMILY_GAL]:[OTHER_GAL]])</f>
        <v>488139836.49599999</v>
      </c>
      <c r="W1236">
        <f>SUM(POTABLE_NONPOTABLE_API[[#This Row],[NONPOTABLE_DEMAND_RESIDENTIAL_RECYCLED_WATER_GAL]:[NONPOTABLE_DEMAND_NONRESIDENTIAL_METERED_IRRIGATION_GAL]])</f>
        <v>0</v>
      </c>
      <c r="X1236" t="str">
        <f>IFERROR(INDEX(Crosswalk_API!$H$2:$H$527, MATCH(POTABLE_NONPOTABLE_API[[#This Row],[PWSID]], CW_PWSID_LIST, 0)), "")</f>
        <v>No</v>
      </c>
    </row>
    <row r="1237" spans="1:24" x14ac:dyDescent="0.25">
      <c r="A1237" t="s">
        <v>1047</v>
      </c>
      <c r="B1237" t="s">
        <v>1048</v>
      </c>
      <c r="C1237" t="s">
        <v>1049</v>
      </c>
      <c r="D1237" t="s">
        <v>1050</v>
      </c>
      <c r="E1237" s="9">
        <v>45444</v>
      </c>
      <c r="F1237" s="9">
        <v>45473</v>
      </c>
      <c r="G1237">
        <v>365645573.44400001</v>
      </c>
      <c r="H1237">
        <v>43096023.772</v>
      </c>
      <c r="I1237">
        <v>211200513.368</v>
      </c>
      <c r="J1237">
        <v>0</v>
      </c>
      <c r="K1237">
        <v>38923389.715999998</v>
      </c>
      <c r="L1237">
        <v>2678026.16</v>
      </c>
      <c r="M1237">
        <v>0</v>
      </c>
      <c r="T1237" s="9">
        <v>45108</v>
      </c>
      <c r="U1237" s="9">
        <v>45473</v>
      </c>
      <c r="V1237">
        <f>SUM(POTABLE_NONPOTABLE_API[[#This Row],[RESIDENTIAL_SINGLEFAMILY_GAL]:[OTHER_GAL]])</f>
        <v>661543526.45999992</v>
      </c>
      <c r="W1237">
        <f>SUM(POTABLE_NONPOTABLE_API[[#This Row],[NONPOTABLE_DEMAND_RESIDENTIAL_RECYCLED_WATER_GAL]:[NONPOTABLE_DEMAND_NONRESIDENTIAL_METERED_IRRIGATION_GAL]])</f>
        <v>0</v>
      </c>
      <c r="X1237" t="str">
        <f>IFERROR(INDEX(Crosswalk_API!$H$2:$H$527, MATCH(POTABLE_NONPOTABLE_API[[#This Row],[PWSID]], CW_PWSID_LIST, 0)), "")</f>
        <v>No</v>
      </c>
    </row>
    <row r="1238" spans="1:24" x14ac:dyDescent="0.25">
      <c r="A1238" t="s">
        <v>1052</v>
      </c>
      <c r="B1238" t="s">
        <v>1053</v>
      </c>
      <c r="C1238" t="s">
        <v>1054</v>
      </c>
      <c r="D1238" t="s">
        <v>1055</v>
      </c>
      <c r="E1238" s="9">
        <v>45108</v>
      </c>
      <c r="F1238" s="9">
        <v>45138</v>
      </c>
      <c r="G1238">
        <v>584228.61199999996</v>
      </c>
      <c r="H1238">
        <v>0</v>
      </c>
      <c r="I1238">
        <v>0</v>
      </c>
      <c r="J1238">
        <v>0</v>
      </c>
      <c r="K1238">
        <v>0</v>
      </c>
      <c r="L1238">
        <v>0</v>
      </c>
      <c r="M1238">
        <v>0</v>
      </c>
      <c r="T1238" s="9">
        <v>45108</v>
      </c>
      <c r="U1238" s="9">
        <v>45473</v>
      </c>
      <c r="V1238">
        <f>SUM(POTABLE_NONPOTABLE_API[[#This Row],[RESIDENTIAL_SINGLEFAMILY_GAL]:[OTHER_GAL]])</f>
        <v>584228.61199999996</v>
      </c>
      <c r="W1238">
        <f>SUM(POTABLE_NONPOTABLE_API[[#This Row],[NONPOTABLE_DEMAND_RESIDENTIAL_RECYCLED_WATER_GAL]:[NONPOTABLE_DEMAND_NONRESIDENTIAL_METERED_IRRIGATION_GAL]])</f>
        <v>0</v>
      </c>
      <c r="X1238" t="str">
        <f>IFERROR(INDEX(Crosswalk_API!$H$2:$H$527, MATCH(POTABLE_NONPOTABLE_API[[#This Row],[PWSID]], CW_PWSID_LIST, 0)), "")</f>
        <v>No</v>
      </c>
    </row>
    <row r="1239" spans="1:24" x14ac:dyDescent="0.25">
      <c r="A1239" t="s">
        <v>1052</v>
      </c>
      <c r="B1239" t="s">
        <v>1053</v>
      </c>
      <c r="C1239" t="s">
        <v>1054</v>
      </c>
      <c r="D1239" t="s">
        <v>1055</v>
      </c>
      <c r="E1239" s="9">
        <v>45139</v>
      </c>
      <c r="F1239" s="9">
        <v>45169</v>
      </c>
      <c r="G1239">
        <v>567771.46799999999</v>
      </c>
      <c r="H1239">
        <v>0</v>
      </c>
      <c r="I1239">
        <v>0</v>
      </c>
      <c r="J1239">
        <v>0</v>
      </c>
      <c r="K1239">
        <v>0</v>
      </c>
      <c r="L1239">
        <v>0</v>
      </c>
      <c r="M1239">
        <v>0</v>
      </c>
      <c r="T1239" s="9">
        <v>45108</v>
      </c>
      <c r="U1239" s="9">
        <v>45473</v>
      </c>
      <c r="V1239">
        <f>SUM(POTABLE_NONPOTABLE_API[[#This Row],[RESIDENTIAL_SINGLEFAMILY_GAL]:[OTHER_GAL]])</f>
        <v>567771.46799999999</v>
      </c>
      <c r="W1239">
        <f>SUM(POTABLE_NONPOTABLE_API[[#This Row],[NONPOTABLE_DEMAND_RESIDENTIAL_RECYCLED_WATER_GAL]:[NONPOTABLE_DEMAND_NONRESIDENTIAL_METERED_IRRIGATION_GAL]])</f>
        <v>0</v>
      </c>
      <c r="X1239" t="str">
        <f>IFERROR(INDEX(Crosswalk_API!$H$2:$H$527, MATCH(POTABLE_NONPOTABLE_API[[#This Row],[PWSID]], CW_PWSID_LIST, 0)), "")</f>
        <v>No</v>
      </c>
    </row>
    <row r="1240" spans="1:24" x14ac:dyDescent="0.25">
      <c r="A1240" t="s">
        <v>1052</v>
      </c>
      <c r="B1240" t="s">
        <v>1053</v>
      </c>
      <c r="C1240" t="s">
        <v>1054</v>
      </c>
      <c r="D1240" t="s">
        <v>1055</v>
      </c>
      <c r="E1240" s="9">
        <v>45170</v>
      </c>
      <c r="F1240" s="9">
        <v>45199</v>
      </c>
      <c r="G1240">
        <v>530368.86800000002</v>
      </c>
      <c r="H1240">
        <v>0</v>
      </c>
      <c r="I1240">
        <v>0</v>
      </c>
      <c r="J1240">
        <v>0</v>
      </c>
      <c r="K1240">
        <v>0</v>
      </c>
      <c r="L1240">
        <v>0</v>
      </c>
      <c r="M1240">
        <v>0</v>
      </c>
      <c r="T1240" s="9">
        <v>45108</v>
      </c>
      <c r="U1240" s="9">
        <v>45473</v>
      </c>
      <c r="V1240">
        <f>SUM(POTABLE_NONPOTABLE_API[[#This Row],[RESIDENTIAL_SINGLEFAMILY_GAL]:[OTHER_GAL]])</f>
        <v>530368.86800000002</v>
      </c>
      <c r="W1240">
        <f>SUM(POTABLE_NONPOTABLE_API[[#This Row],[NONPOTABLE_DEMAND_RESIDENTIAL_RECYCLED_WATER_GAL]:[NONPOTABLE_DEMAND_NONRESIDENTIAL_METERED_IRRIGATION_GAL]])</f>
        <v>0</v>
      </c>
      <c r="X1240" t="str">
        <f>IFERROR(INDEX(Crosswalk_API!$H$2:$H$527, MATCH(POTABLE_NONPOTABLE_API[[#This Row],[PWSID]], CW_PWSID_LIST, 0)), "")</f>
        <v>No</v>
      </c>
    </row>
    <row r="1241" spans="1:24" x14ac:dyDescent="0.25">
      <c r="A1241" t="s">
        <v>1052</v>
      </c>
      <c r="B1241" t="s">
        <v>1053</v>
      </c>
      <c r="C1241" t="s">
        <v>1054</v>
      </c>
      <c r="D1241" t="s">
        <v>1055</v>
      </c>
      <c r="E1241" s="9">
        <v>45200</v>
      </c>
      <c r="F1241" s="9">
        <v>45230</v>
      </c>
      <c r="G1241">
        <v>518400.03600000002</v>
      </c>
      <c r="H1241">
        <v>0</v>
      </c>
      <c r="I1241">
        <v>0</v>
      </c>
      <c r="J1241">
        <v>0</v>
      </c>
      <c r="K1241">
        <v>0</v>
      </c>
      <c r="L1241">
        <v>0</v>
      </c>
      <c r="M1241">
        <v>0</v>
      </c>
      <c r="T1241" s="9">
        <v>45108</v>
      </c>
      <c r="U1241" s="9">
        <v>45473</v>
      </c>
      <c r="V1241">
        <f>SUM(POTABLE_NONPOTABLE_API[[#This Row],[RESIDENTIAL_SINGLEFAMILY_GAL]:[OTHER_GAL]])</f>
        <v>518400.03600000002</v>
      </c>
      <c r="W1241">
        <f>SUM(POTABLE_NONPOTABLE_API[[#This Row],[NONPOTABLE_DEMAND_RESIDENTIAL_RECYCLED_WATER_GAL]:[NONPOTABLE_DEMAND_NONRESIDENTIAL_METERED_IRRIGATION_GAL]])</f>
        <v>0</v>
      </c>
      <c r="X1241" t="str">
        <f>IFERROR(INDEX(Crosswalk_API!$H$2:$H$527, MATCH(POTABLE_NONPOTABLE_API[[#This Row],[PWSID]], CW_PWSID_LIST, 0)), "")</f>
        <v>No</v>
      </c>
    </row>
    <row r="1242" spans="1:24" x14ac:dyDescent="0.25">
      <c r="A1242" t="s">
        <v>1052</v>
      </c>
      <c r="B1242" t="s">
        <v>1053</v>
      </c>
      <c r="C1242" t="s">
        <v>1054</v>
      </c>
      <c r="D1242" t="s">
        <v>1055</v>
      </c>
      <c r="E1242" s="9">
        <v>45231</v>
      </c>
      <c r="F1242" s="9">
        <v>45260</v>
      </c>
      <c r="G1242">
        <v>448083.14799999999</v>
      </c>
      <c r="H1242">
        <v>0</v>
      </c>
      <c r="I1242">
        <v>0</v>
      </c>
      <c r="J1242">
        <v>0</v>
      </c>
      <c r="K1242">
        <v>0</v>
      </c>
      <c r="L1242">
        <v>0</v>
      </c>
      <c r="M1242">
        <v>0</v>
      </c>
      <c r="T1242" s="9">
        <v>45108</v>
      </c>
      <c r="U1242" s="9">
        <v>45473</v>
      </c>
      <c r="V1242">
        <f>SUM(POTABLE_NONPOTABLE_API[[#This Row],[RESIDENTIAL_SINGLEFAMILY_GAL]:[OTHER_GAL]])</f>
        <v>448083.14799999999</v>
      </c>
      <c r="W1242">
        <f>SUM(POTABLE_NONPOTABLE_API[[#This Row],[NONPOTABLE_DEMAND_RESIDENTIAL_RECYCLED_WATER_GAL]:[NONPOTABLE_DEMAND_NONRESIDENTIAL_METERED_IRRIGATION_GAL]])</f>
        <v>0</v>
      </c>
      <c r="X1242" t="str">
        <f>IFERROR(INDEX(Crosswalk_API!$H$2:$H$527, MATCH(POTABLE_NONPOTABLE_API[[#This Row],[PWSID]], CW_PWSID_LIST, 0)), "")</f>
        <v>No</v>
      </c>
    </row>
    <row r="1243" spans="1:24" x14ac:dyDescent="0.25">
      <c r="A1243" t="s">
        <v>1052</v>
      </c>
      <c r="B1243" t="s">
        <v>1053</v>
      </c>
      <c r="C1243" t="s">
        <v>1054</v>
      </c>
      <c r="D1243" t="s">
        <v>1055</v>
      </c>
      <c r="E1243" s="9">
        <v>45261</v>
      </c>
      <c r="F1243" s="9">
        <v>45291</v>
      </c>
      <c r="G1243">
        <v>408436.39199999999</v>
      </c>
      <c r="H1243">
        <v>0</v>
      </c>
      <c r="I1243">
        <v>0</v>
      </c>
      <c r="J1243">
        <v>0</v>
      </c>
      <c r="K1243">
        <v>0</v>
      </c>
      <c r="L1243">
        <v>0</v>
      </c>
      <c r="M1243">
        <v>0</v>
      </c>
      <c r="T1243" s="9">
        <v>45108</v>
      </c>
      <c r="U1243" s="9">
        <v>45473</v>
      </c>
      <c r="V1243">
        <f>SUM(POTABLE_NONPOTABLE_API[[#This Row],[RESIDENTIAL_SINGLEFAMILY_GAL]:[OTHER_GAL]])</f>
        <v>408436.39199999999</v>
      </c>
      <c r="W1243">
        <f>SUM(POTABLE_NONPOTABLE_API[[#This Row],[NONPOTABLE_DEMAND_RESIDENTIAL_RECYCLED_WATER_GAL]:[NONPOTABLE_DEMAND_NONRESIDENTIAL_METERED_IRRIGATION_GAL]])</f>
        <v>0</v>
      </c>
      <c r="X1243" t="str">
        <f>IFERROR(INDEX(Crosswalk_API!$H$2:$H$527, MATCH(POTABLE_NONPOTABLE_API[[#This Row],[PWSID]], CW_PWSID_LIST, 0)), "")</f>
        <v>No</v>
      </c>
    </row>
    <row r="1244" spans="1:24" x14ac:dyDescent="0.25">
      <c r="A1244" t="s">
        <v>1052</v>
      </c>
      <c r="B1244" t="s">
        <v>1053</v>
      </c>
      <c r="C1244" t="s">
        <v>1054</v>
      </c>
      <c r="D1244" t="s">
        <v>1055</v>
      </c>
      <c r="E1244" s="9">
        <v>45292</v>
      </c>
      <c r="F1244" s="9">
        <v>45322</v>
      </c>
      <c r="G1244">
        <v>318670.152</v>
      </c>
      <c r="H1244">
        <v>0</v>
      </c>
      <c r="I1244">
        <v>0</v>
      </c>
      <c r="J1244">
        <v>0</v>
      </c>
      <c r="K1244">
        <v>0</v>
      </c>
      <c r="L1244">
        <v>0</v>
      </c>
      <c r="M1244">
        <v>0</v>
      </c>
      <c r="T1244" s="9">
        <v>45108</v>
      </c>
      <c r="U1244" s="9">
        <v>45473</v>
      </c>
      <c r="V1244">
        <f>SUM(POTABLE_NONPOTABLE_API[[#This Row],[RESIDENTIAL_SINGLEFAMILY_GAL]:[OTHER_GAL]])</f>
        <v>318670.152</v>
      </c>
      <c r="W1244">
        <f>SUM(POTABLE_NONPOTABLE_API[[#This Row],[NONPOTABLE_DEMAND_RESIDENTIAL_RECYCLED_WATER_GAL]:[NONPOTABLE_DEMAND_NONRESIDENTIAL_METERED_IRRIGATION_GAL]])</f>
        <v>0</v>
      </c>
      <c r="X1244" t="str">
        <f>IFERROR(INDEX(Crosswalk_API!$H$2:$H$527, MATCH(POTABLE_NONPOTABLE_API[[#This Row],[PWSID]], CW_PWSID_LIST, 0)), "")</f>
        <v>No</v>
      </c>
    </row>
    <row r="1245" spans="1:24" x14ac:dyDescent="0.25">
      <c r="A1245" t="s">
        <v>1052</v>
      </c>
      <c r="B1245" t="s">
        <v>1053</v>
      </c>
      <c r="C1245" t="s">
        <v>1054</v>
      </c>
      <c r="D1245" t="s">
        <v>1055</v>
      </c>
      <c r="E1245" s="9">
        <v>45323</v>
      </c>
      <c r="F1245" s="9">
        <v>45351</v>
      </c>
      <c r="G1245">
        <v>259574.04399999999</v>
      </c>
      <c r="H1245">
        <v>0</v>
      </c>
      <c r="I1245">
        <v>0</v>
      </c>
      <c r="J1245">
        <v>0</v>
      </c>
      <c r="K1245">
        <v>0</v>
      </c>
      <c r="L1245">
        <v>0</v>
      </c>
      <c r="M1245">
        <v>0</v>
      </c>
      <c r="T1245" s="9">
        <v>45108</v>
      </c>
      <c r="U1245" s="9">
        <v>45473</v>
      </c>
      <c r="V1245">
        <f>SUM(POTABLE_NONPOTABLE_API[[#This Row],[RESIDENTIAL_SINGLEFAMILY_GAL]:[OTHER_GAL]])</f>
        <v>259574.04399999999</v>
      </c>
      <c r="W1245">
        <f>SUM(POTABLE_NONPOTABLE_API[[#This Row],[NONPOTABLE_DEMAND_RESIDENTIAL_RECYCLED_WATER_GAL]:[NONPOTABLE_DEMAND_NONRESIDENTIAL_METERED_IRRIGATION_GAL]])</f>
        <v>0</v>
      </c>
      <c r="X1245" t="str">
        <f>IFERROR(INDEX(Crosswalk_API!$H$2:$H$527, MATCH(POTABLE_NONPOTABLE_API[[#This Row],[PWSID]], CW_PWSID_LIST, 0)), "")</f>
        <v>No</v>
      </c>
    </row>
    <row r="1246" spans="1:24" x14ac:dyDescent="0.25">
      <c r="A1246" t="s">
        <v>1052</v>
      </c>
      <c r="B1246" t="s">
        <v>1053</v>
      </c>
      <c r="C1246" t="s">
        <v>1054</v>
      </c>
      <c r="D1246" t="s">
        <v>1055</v>
      </c>
      <c r="E1246" s="9">
        <v>45352</v>
      </c>
      <c r="F1246" s="9">
        <v>45382</v>
      </c>
      <c r="G1246">
        <v>261818.2</v>
      </c>
      <c r="H1246">
        <v>0</v>
      </c>
      <c r="I1246">
        <v>0</v>
      </c>
      <c r="J1246">
        <v>0</v>
      </c>
      <c r="K1246">
        <v>0</v>
      </c>
      <c r="L1246">
        <v>0</v>
      </c>
      <c r="M1246">
        <v>0</v>
      </c>
      <c r="T1246" s="9">
        <v>45108</v>
      </c>
      <c r="U1246" s="9">
        <v>45473</v>
      </c>
      <c r="V1246">
        <f>SUM(POTABLE_NONPOTABLE_API[[#This Row],[RESIDENTIAL_SINGLEFAMILY_GAL]:[OTHER_GAL]])</f>
        <v>261818.2</v>
      </c>
      <c r="W1246">
        <f>SUM(POTABLE_NONPOTABLE_API[[#This Row],[NONPOTABLE_DEMAND_RESIDENTIAL_RECYCLED_WATER_GAL]:[NONPOTABLE_DEMAND_NONRESIDENTIAL_METERED_IRRIGATION_GAL]])</f>
        <v>0</v>
      </c>
      <c r="X1246" t="str">
        <f>IFERROR(INDEX(Crosswalk_API!$H$2:$H$527, MATCH(POTABLE_NONPOTABLE_API[[#This Row],[PWSID]], CW_PWSID_LIST, 0)), "")</f>
        <v>No</v>
      </c>
    </row>
    <row r="1247" spans="1:24" x14ac:dyDescent="0.25">
      <c r="A1247" t="s">
        <v>1052</v>
      </c>
      <c r="B1247" t="s">
        <v>1053</v>
      </c>
      <c r="C1247" t="s">
        <v>1054</v>
      </c>
      <c r="D1247" t="s">
        <v>1055</v>
      </c>
      <c r="E1247" s="9">
        <v>45383</v>
      </c>
      <c r="F1247" s="9">
        <v>45412</v>
      </c>
      <c r="G1247">
        <v>237132.484</v>
      </c>
      <c r="H1247">
        <v>0</v>
      </c>
      <c r="I1247">
        <v>0</v>
      </c>
      <c r="J1247">
        <v>0</v>
      </c>
      <c r="K1247">
        <v>0</v>
      </c>
      <c r="L1247">
        <v>0</v>
      </c>
      <c r="M1247">
        <v>0</v>
      </c>
      <c r="T1247" s="9">
        <v>45108</v>
      </c>
      <c r="U1247" s="9">
        <v>45473</v>
      </c>
      <c r="V1247">
        <f>SUM(POTABLE_NONPOTABLE_API[[#This Row],[RESIDENTIAL_SINGLEFAMILY_GAL]:[OTHER_GAL]])</f>
        <v>237132.484</v>
      </c>
      <c r="W1247">
        <f>SUM(POTABLE_NONPOTABLE_API[[#This Row],[NONPOTABLE_DEMAND_RESIDENTIAL_RECYCLED_WATER_GAL]:[NONPOTABLE_DEMAND_NONRESIDENTIAL_METERED_IRRIGATION_GAL]])</f>
        <v>0</v>
      </c>
      <c r="X1247" t="str">
        <f>IFERROR(INDEX(Crosswalk_API!$H$2:$H$527, MATCH(POTABLE_NONPOTABLE_API[[#This Row],[PWSID]], CW_PWSID_LIST, 0)), "")</f>
        <v>No</v>
      </c>
    </row>
    <row r="1248" spans="1:24" x14ac:dyDescent="0.25">
      <c r="A1248" t="s">
        <v>1052</v>
      </c>
      <c r="B1248" t="s">
        <v>1053</v>
      </c>
      <c r="C1248" t="s">
        <v>1054</v>
      </c>
      <c r="D1248" t="s">
        <v>1055</v>
      </c>
      <c r="E1248" s="9">
        <v>45413</v>
      </c>
      <c r="F1248" s="9">
        <v>45443</v>
      </c>
      <c r="G1248">
        <v>428633.79600000003</v>
      </c>
      <c r="H1248">
        <v>0</v>
      </c>
      <c r="I1248">
        <v>0</v>
      </c>
      <c r="J1248">
        <v>0</v>
      </c>
      <c r="K1248">
        <v>0</v>
      </c>
      <c r="L1248">
        <v>0</v>
      </c>
      <c r="M1248">
        <v>0</v>
      </c>
      <c r="T1248" s="9">
        <v>45108</v>
      </c>
      <c r="U1248" s="9">
        <v>45473</v>
      </c>
      <c r="V1248">
        <f>SUM(POTABLE_NONPOTABLE_API[[#This Row],[RESIDENTIAL_SINGLEFAMILY_GAL]:[OTHER_GAL]])</f>
        <v>428633.79600000003</v>
      </c>
      <c r="W1248">
        <f>SUM(POTABLE_NONPOTABLE_API[[#This Row],[NONPOTABLE_DEMAND_RESIDENTIAL_RECYCLED_WATER_GAL]:[NONPOTABLE_DEMAND_NONRESIDENTIAL_METERED_IRRIGATION_GAL]])</f>
        <v>0</v>
      </c>
      <c r="X1248" t="str">
        <f>IFERROR(INDEX(Crosswalk_API!$H$2:$H$527, MATCH(POTABLE_NONPOTABLE_API[[#This Row],[PWSID]], CW_PWSID_LIST, 0)), "")</f>
        <v>No</v>
      </c>
    </row>
    <row r="1249" spans="1:24" x14ac:dyDescent="0.25">
      <c r="A1249" t="s">
        <v>1052</v>
      </c>
      <c r="B1249" t="s">
        <v>1053</v>
      </c>
      <c r="C1249" t="s">
        <v>1054</v>
      </c>
      <c r="D1249" t="s">
        <v>1055</v>
      </c>
      <c r="E1249" s="9">
        <v>45444</v>
      </c>
      <c r="F1249" s="9">
        <v>45473</v>
      </c>
      <c r="G1249">
        <v>590213.02800000005</v>
      </c>
      <c r="H1249">
        <v>0</v>
      </c>
      <c r="I1249">
        <v>0</v>
      </c>
      <c r="J1249">
        <v>0</v>
      </c>
      <c r="K1249">
        <v>0</v>
      </c>
      <c r="L1249">
        <v>0</v>
      </c>
      <c r="M1249">
        <v>0</v>
      </c>
      <c r="T1249" s="9">
        <v>45108</v>
      </c>
      <c r="U1249" s="9">
        <v>45473</v>
      </c>
      <c r="V1249">
        <f>SUM(POTABLE_NONPOTABLE_API[[#This Row],[RESIDENTIAL_SINGLEFAMILY_GAL]:[OTHER_GAL]])</f>
        <v>590213.02800000005</v>
      </c>
      <c r="W1249">
        <f>SUM(POTABLE_NONPOTABLE_API[[#This Row],[NONPOTABLE_DEMAND_RESIDENTIAL_RECYCLED_WATER_GAL]:[NONPOTABLE_DEMAND_NONRESIDENTIAL_METERED_IRRIGATION_GAL]])</f>
        <v>0</v>
      </c>
      <c r="X1249" t="str">
        <f>IFERROR(INDEX(Crosswalk_API!$H$2:$H$527, MATCH(POTABLE_NONPOTABLE_API[[#This Row],[PWSID]], CW_PWSID_LIST, 0)), "")</f>
        <v>No</v>
      </c>
    </row>
    <row r="1250" spans="1:24" x14ac:dyDescent="0.25">
      <c r="A1250" t="s">
        <v>1052</v>
      </c>
      <c r="B1250" t="s">
        <v>1053</v>
      </c>
      <c r="C1250" t="s">
        <v>1057</v>
      </c>
      <c r="D1250" t="s">
        <v>1058</v>
      </c>
      <c r="E1250" s="9">
        <v>45108</v>
      </c>
      <c r="F1250" s="9">
        <v>45138</v>
      </c>
      <c r="G1250">
        <v>732452871.64400005</v>
      </c>
      <c r="H1250">
        <v>47512522.780000001</v>
      </c>
      <c r="I1250">
        <v>285621214.63999999</v>
      </c>
      <c r="J1250">
        <v>0</v>
      </c>
      <c r="K1250">
        <v>13976603.568</v>
      </c>
      <c r="L1250">
        <v>6466161.4879999999</v>
      </c>
      <c r="M1250">
        <v>0</v>
      </c>
      <c r="T1250" s="9">
        <v>45108</v>
      </c>
      <c r="U1250" s="9">
        <v>45473</v>
      </c>
      <c r="V1250">
        <f>SUM(POTABLE_NONPOTABLE_API[[#This Row],[RESIDENTIAL_SINGLEFAMILY_GAL]:[OTHER_GAL]])</f>
        <v>1086029374.1199999</v>
      </c>
      <c r="W1250">
        <f>SUM(POTABLE_NONPOTABLE_API[[#This Row],[NONPOTABLE_DEMAND_RESIDENTIAL_RECYCLED_WATER_GAL]:[NONPOTABLE_DEMAND_NONRESIDENTIAL_METERED_IRRIGATION_GAL]])</f>
        <v>0</v>
      </c>
      <c r="X1250" t="str">
        <f>IFERROR(INDEX(Crosswalk_API!$H$2:$H$527, MATCH(POTABLE_NONPOTABLE_API[[#This Row],[PWSID]], CW_PWSID_LIST, 0)), "")</f>
        <v>No</v>
      </c>
    </row>
    <row r="1251" spans="1:24" x14ac:dyDescent="0.25">
      <c r="A1251" t="s">
        <v>1052</v>
      </c>
      <c r="B1251" t="s">
        <v>1053</v>
      </c>
      <c r="C1251" t="s">
        <v>1057</v>
      </c>
      <c r="D1251" t="s">
        <v>1058</v>
      </c>
      <c r="E1251" s="9">
        <v>45139</v>
      </c>
      <c r="F1251" s="9">
        <v>45169</v>
      </c>
      <c r="G1251">
        <v>667186830.74800003</v>
      </c>
      <c r="H1251">
        <v>44399878.408</v>
      </c>
      <c r="I1251">
        <v>293666513.90000004</v>
      </c>
      <c r="J1251">
        <v>0</v>
      </c>
      <c r="K1251">
        <v>10495917.612</v>
      </c>
      <c r="L1251">
        <v>2419948.2200000002</v>
      </c>
      <c r="M1251">
        <v>0</v>
      </c>
      <c r="T1251" s="9">
        <v>45108</v>
      </c>
      <c r="U1251" s="9">
        <v>45473</v>
      </c>
      <c r="V1251">
        <f>SUM(POTABLE_NONPOTABLE_API[[#This Row],[RESIDENTIAL_SINGLEFAMILY_GAL]:[OTHER_GAL]])</f>
        <v>1018169088.888</v>
      </c>
      <c r="W1251">
        <f>SUM(POTABLE_NONPOTABLE_API[[#This Row],[NONPOTABLE_DEMAND_RESIDENTIAL_RECYCLED_WATER_GAL]:[NONPOTABLE_DEMAND_NONRESIDENTIAL_METERED_IRRIGATION_GAL]])</f>
        <v>0</v>
      </c>
      <c r="X1251" t="str">
        <f>IFERROR(INDEX(Crosswalk_API!$H$2:$H$527, MATCH(POTABLE_NONPOTABLE_API[[#This Row],[PWSID]], CW_PWSID_LIST, 0)), "")</f>
        <v>No</v>
      </c>
    </row>
    <row r="1252" spans="1:24" x14ac:dyDescent="0.25">
      <c r="A1252" t="s">
        <v>1052</v>
      </c>
      <c r="B1252" t="s">
        <v>1053</v>
      </c>
      <c r="C1252" t="s">
        <v>1057</v>
      </c>
      <c r="D1252" t="s">
        <v>1058</v>
      </c>
      <c r="E1252" s="9">
        <v>45170</v>
      </c>
      <c r="F1252" s="9">
        <v>45199</v>
      </c>
      <c r="G1252">
        <v>688015590.63600004</v>
      </c>
      <c r="H1252">
        <v>51020886.660000004</v>
      </c>
      <c r="I1252">
        <v>294407833.43199998</v>
      </c>
      <c r="J1252">
        <v>0</v>
      </c>
      <c r="K1252">
        <v>12789445.044</v>
      </c>
      <c r="L1252">
        <v>3806836.628</v>
      </c>
      <c r="M1252">
        <v>0</v>
      </c>
      <c r="T1252" s="9">
        <v>45108</v>
      </c>
      <c r="U1252" s="9">
        <v>45473</v>
      </c>
      <c r="V1252">
        <f>SUM(POTABLE_NONPOTABLE_API[[#This Row],[RESIDENTIAL_SINGLEFAMILY_GAL]:[OTHER_GAL]])</f>
        <v>1050040592.4</v>
      </c>
      <c r="W1252">
        <f>SUM(POTABLE_NONPOTABLE_API[[#This Row],[NONPOTABLE_DEMAND_RESIDENTIAL_RECYCLED_WATER_GAL]:[NONPOTABLE_DEMAND_NONRESIDENTIAL_METERED_IRRIGATION_GAL]])</f>
        <v>0</v>
      </c>
      <c r="X1252" t="str">
        <f>IFERROR(INDEX(Crosswalk_API!$H$2:$H$527, MATCH(POTABLE_NONPOTABLE_API[[#This Row],[PWSID]], CW_PWSID_LIST, 0)), "")</f>
        <v>No</v>
      </c>
    </row>
    <row r="1253" spans="1:24" x14ac:dyDescent="0.25">
      <c r="A1253" t="s">
        <v>1052</v>
      </c>
      <c r="B1253" t="s">
        <v>1053</v>
      </c>
      <c r="C1253" t="s">
        <v>1057</v>
      </c>
      <c r="D1253" t="s">
        <v>1058</v>
      </c>
      <c r="E1253" s="9">
        <v>45200</v>
      </c>
      <c r="F1253" s="9">
        <v>45230</v>
      </c>
      <c r="G1253">
        <v>575962637.39999998</v>
      </c>
      <c r="H1253">
        <v>42665145.82</v>
      </c>
      <c r="I1253">
        <v>273582813.80400002</v>
      </c>
      <c r="J1253">
        <v>0</v>
      </c>
      <c r="K1253">
        <v>11626224.184</v>
      </c>
      <c r="L1253">
        <v>4717215.9120000005</v>
      </c>
      <c r="M1253">
        <v>0</v>
      </c>
      <c r="T1253" s="9">
        <v>45108</v>
      </c>
      <c r="U1253" s="9">
        <v>45473</v>
      </c>
      <c r="V1253">
        <f>SUM(POTABLE_NONPOTABLE_API[[#This Row],[RESIDENTIAL_SINGLEFAMILY_GAL]:[OTHER_GAL]])</f>
        <v>908554037.12000012</v>
      </c>
      <c r="W1253">
        <f>SUM(POTABLE_NONPOTABLE_API[[#This Row],[NONPOTABLE_DEMAND_RESIDENTIAL_RECYCLED_WATER_GAL]:[NONPOTABLE_DEMAND_NONRESIDENTIAL_METERED_IRRIGATION_GAL]])</f>
        <v>0</v>
      </c>
      <c r="X1253" t="str">
        <f>IFERROR(INDEX(Crosswalk_API!$H$2:$H$527, MATCH(POTABLE_NONPOTABLE_API[[#This Row],[PWSID]], CW_PWSID_LIST, 0)), "")</f>
        <v>No</v>
      </c>
    </row>
    <row r="1254" spans="1:24" x14ac:dyDescent="0.25">
      <c r="A1254" t="s">
        <v>1052</v>
      </c>
      <c r="B1254" t="s">
        <v>1053</v>
      </c>
      <c r="C1254" t="s">
        <v>1057</v>
      </c>
      <c r="D1254" t="s">
        <v>1058</v>
      </c>
      <c r="E1254" s="9">
        <v>45231</v>
      </c>
      <c r="F1254" s="9">
        <v>45260</v>
      </c>
      <c r="G1254">
        <v>481594381.49599999</v>
      </c>
      <c r="H1254">
        <v>37584376.636</v>
      </c>
      <c r="I1254">
        <v>218849345.06800002</v>
      </c>
      <c r="J1254">
        <v>0</v>
      </c>
      <c r="K1254">
        <v>9812198.0840000007</v>
      </c>
      <c r="L1254">
        <v>5514639.3440000005</v>
      </c>
      <c r="M1254">
        <v>0</v>
      </c>
      <c r="T1254" s="9">
        <v>45108</v>
      </c>
      <c r="U1254" s="9">
        <v>45473</v>
      </c>
      <c r="V1254">
        <f>SUM(POTABLE_NONPOTABLE_API[[#This Row],[RESIDENTIAL_SINGLEFAMILY_GAL]:[OTHER_GAL]])</f>
        <v>753354940.62800002</v>
      </c>
      <c r="W1254">
        <f>SUM(POTABLE_NONPOTABLE_API[[#This Row],[NONPOTABLE_DEMAND_RESIDENTIAL_RECYCLED_WATER_GAL]:[NONPOTABLE_DEMAND_NONRESIDENTIAL_METERED_IRRIGATION_GAL]])</f>
        <v>0</v>
      </c>
      <c r="X1254" t="str">
        <f>IFERROR(INDEX(Crosswalk_API!$H$2:$H$527, MATCH(POTABLE_NONPOTABLE_API[[#This Row],[PWSID]], CW_PWSID_LIST, 0)), "")</f>
        <v>No</v>
      </c>
    </row>
    <row r="1255" spans="1:24" x14ac:dyDescent="0.25">
      <c r="A1255" t="s">
        <v>1052</v>
      </c>
      <c r="B1255" t="s">
        <v>1053</v>
      </c>
      <c r="C1255" t="s">
        <v>1057</v>
      </c>
      <c r="D1255" t="s">
        <v>1058</v>
      </c>
      <c r="E1255" s="9">
        <v>45261</v>
      </c>
      <c r="F1255" s="9">
        <v>45291</v>
      </c>
      <c r="G1255">
        <v>401665773.34799999</v>
      </c>
      <c r="H1255">
        <v>35614007.667999998</v>
      </c>
      <c r="I1255">
        <v>192649571.81999999</v>
      </c>
      <c r="J1255">
        <v>0</v>
      </c>
      <c r="K1255">
        <v>10237839.672</v>
      </c>
      <c r="L1255">
        <v>763013.04</v>
      </c>
      <c r="M1255">
        <v>0</v>
      </c>
      <c r="T1255" s="9">
        <v>45108</v>
      </c>
      <c r="U1255" s="9">
        <v>45473</v>
      </c>
      <c r="V1255">
        <f>SUM(POTABLE_NONPOTABLE_API[[#This Row],[RESIDENTIAL_SINGLEFAMILY_GAL]:[OTHER_GAL]])</f>
        <v>640930205.54799998</v>
      </c>
      <c r="W1255">
        <f>SUM(POTABLE_NONPOTABLE_API[[#This Row],[NONPOTABLE_DEMAND_RESIDENTIAL_RECYCLED_WATER_GAL]:[NONPOTABLE_DEMAND_NONRESIDENTIAL_METERED_IRRIGATION_GAL]])</f>
        <v>0</v>
      </c>
      <c r="X1255" t="str">
        <f>IFERROR(INDEX(Crosswalk_API!$H$2:$H$527, MATCH(POTABLE_NONPOTABLE_API[[#This Row],[PWSID]], CW_PWSID_LIST, 0)), "")</f>
        <v>No</v>
      </c>
    </row>
    <row r="1256" spans="1:24" x14ac:dyDescent="0.25">
      <c r="A1256" t="s">
        <v>1052</v>
      </c>
      <c r="B1256" t="s">
        <v>1053</v>
      </c>
      <c r="C1256" t="s">
        <v>1057</v>
      </c>
      <c r="D1256" t="s">
        <v>1058</v>
      </c>
      <c r="E1256" s="9">
        <v>45292</v>
      </c>
      <c r="F1256" s="9">
        <v>45322</v>
      </c>
      <c r="G1256">
        <v>322895149.69599998</v>
      </c>
      <c r="H1256">
        <v>32505851.607999999</v>
      </c>
      <c r="I1256">
        <v>125591198.332</v>
      </c>
      <c r="J1256">
        <v>0</v>
      </c>
      <c r="K1256">
        <v>10703876.068</v>
      </c>
      <c r="L1256">
        <v>5256561.4040000001</v>
      </c>
      <c r="M1256">
        <v>0</v>
      </c>
      <c r="T1256" s="9">
        <v>45108</v>
      </c>
      <c r="U1256" s="9">
        <v>45473</v>
      </c>
      <c r="V1256">
        <f>SUM(POTABLE_NONPOTABLE_API[[#This Row],[RESIDENTIAL_SINGLEFAMILY_GAL]:[OTHER_GAL]])</f>
        <v>496952637.10799998</v>
      </c>
      <c r="W1256">
        <f>SUM(POTABLE_NONPOTABLE_API[[#This Row],[NONPOTABLE_DEMAND_RESIDENTIAL_RECYCLED_WATER_GAL]:[NONPOTABLE_DEMAND_NONRESIDENTIAL_METERED_IRRIGATION_GAL]])</f>
        <v>0</v>
      </c>
      <c r="X1256" t="str">
        <f>IFERROR(INDEX(Crosswalk_API!$H$2:$H$527, MATCH(POTABLE_NONPOTABLE_API[[#This Row],[PWSID]], CW_PWSID_LIST, 0)), "")</f>
        <v>No</v>
      </c>
    </row>
    <row r="1257" spans="1:24" x14ac:dyDescent="0.25">
      <c r="A1257" t="s">
        <v>1052</v>
      </c>
      <c r="B1257" t="s">
        <v>1053</v>
      </c>
      <c r="C1257" t="s">
        <v>1057</v>
      </c>
      <c r="D1257" t="s">
        <v>1058</v>
      </c>
      <c r="E1257" s="9">
        <v>45323</v>
      </c>
      <c r="F1257" s="9">
        <v>45351</v>
      </c>
      <c r="G1257">
        <v>276208476.324</v>
      </c>
      <c r="H1257">
        <v>28906225.384</v>
      </c>
      <c r="I1257">
        <v>159205663.00400001</v>
      </c>
      <c r="J1257">
        <v>0</v>
      </c>
      <c r="K1257">
        <v>10195948.76</v>
      </c>
      <c r="L1257">
        <v>2799958.6359999999</v>
      </c>
      <c r="M1257">
        <v>0</v>
      </c>
      <c r="T1257" s="9">
        <v>45108</v>
      </c>
      <c r="U1257" s="9">
        <v>45473</v>
      </c>
      <c r="V1257">
        <f>SUM(POTABLE_NONPOTABLE_API[[#This Row],[RESIDENTIAL_SINGLEFAMILY_GAL]:[OTHER_GAL]])</f>
        <v>477316272.10799998</v>
      </c>
      <c r="W1257">
        <f>SUM(POTABLE_NONPOTABLE_API[[#This Row],[NONPOTABLE_DEMAND_RESIDENTIAL_RECYCLED_WATER_GAL]:[NONPOTABLE_DEMAND_NONRESIDENTIAL_METERED_IRRIGATION_GAL]])</f>
        <v>0</v>
      </c>
      <c r="X1257" t="str">
        <f>IFERROR(INDEX(Crosswalk_API!$H$2:$H$527, MATCH(POTABLE_NONPOTABLE_API[[#This Row],[PWSID]], CW_PWSID_LIST, 0)), "")</f>
        <v>No</v>
      </c>
    </row>
    <row r="1258" spans="1:24" x14ac:dyDescent="0.25">
      <c r="A1258" t="s">
        <v>1052</v>
      </c>
      <c r="B1258" t="s">
        <v>1053</v>
      </c>
      <c r="C1258" t="s">
        <v>1057</v>
      </c>
      <c r="D1258" t="s">
        <v>1058</v>
      </c>
      <c r="E1258" s="9">
        <v>45352</v>
      </c>
      <c r="F1258" s="9">
        <v>45382</v>
      </c>
      <c r="G1258">
        <v>284431811.95999998</v>
      </c>
      <c r="H1258">
        <v>28937643.568</v>
      </c>
      <c r="I1258">
        <v>134655344.41600001</v>
      </c>
      <c r="J1258">
        <v>0</v>
      </c>
      <c r="K1258">
        <v>10587179.956</v>
      </c>
      <c r="L1258">
        <v>938805.26</v>
      </c>
      <c r="M1258">
        <v>0</v>
      </c>
      <c r="T1258" s="9">
        <v>45108</v>
      </c>
      <c r="U1258" s="9">
        <v>45473</v>
      </c>
      <c r="V1258">
        <f>SUM(POTABLE_NONPOTABLE_API[[#This Row],[RESIDENTIAL_SINGLEFAMILY_GAL]:[OTHER_GAL]])</f>
        <v>459550785.15999997</v>
      </c>
      <c r="W1258">
        <f>SUM(POTABLE_NONPOTABLE_API[[#This Row],[NONPOTABLE_DEMAND_RESIDENTIAL_RECYCLED_WATER_GAL]:[NONPOTABLE_DEMAND_NONRESIDENTIAL_METERED_IRRIGATION_GAL]])</f>
        <v>0</v>
      </c>
      <c r="X1258" t="str">
        <f>IFERROR(INDEX(Crosswalk_API!$H$2:$H$527, MATCH(POTABLE_NONPOTABLE_API[[#This Row],[PWSID]], CW_PWSID_LIST, 0)), "")</f>
        <v>No</v>
      </c>
    </row>
    <row r="1259" spans="1:24" x14ac:dyDescent="0.25">
      <c r="A1259" t="s">
        <v>1052</v>
      </c>
      <c r="B1259" t="s">
        <v>1053</v>
      </c>
      <c r="C1259" t="s">
        <v>1057</v>
      </c>
      <c r="D1259" t="s">
        <v>1058</v>
      </c>
      <c r="E1259" s="9">
        <v>45383</v>
      </c>
      <c r="F1259" s="9">
        <v>45412</v>
      </c>
      <c r="G1259">
        <v>334963472.61199999</v>
      </c>
      <c r="H1259">
        <v>30463669.648000002</v>
      </c>
      <c r="I1259">
        <v>150441485.77200001</v>
      </c>
      <c r="J1259">
        <v>0</v>
      </c>
      <c r="K1259">
        <v>9980509.784</v>
      </c>
      <c r="L1259">
        <v>831085.772</v>
      </c>
      <c r="M1259">
        <v>0</v>
      </c>
      <c r="T1259" s="9">
        <v>45108</v>
      </c>
      <c r="U1259" s="9">
        <v>45473</v>
      </c>
      <c r="V1259">
        <f>SUM(POTABLE_NONPOTABLE_API[[#This Row],[RESIDENTIAL_SINGLEFAMILY_GAL]:[OTHER_GAL]])</f>
        <v>526680223.588</v>
      </c>
      <c r="W1259">
        <f>SUM(POTABLE_NONPOTABLE_API[[#This Row],[NONPOTABLE_DEMAND_RESIDENTIAL_RECYCLED_WATER_GAL]:[NONPOTABLE_DEMAND_NONRESIDENTIAL_METERED_IRRIGATION_GAL]])</f>
        <v>0</v>
      </c>
      <c r="X1259" t="str">
        <f>IFERROR(INDEX(Crosswalk_API!$H$2:$H$527, MATCH(POTABLE_NONPOTABLE_API[[#This Row],[PWSID]], CW_PWSID_LIST, 0)), "")</f>
        <v>No</v>
      </c>
    </row>
    <row r="1260" spans="1:24" x14ac:dyDescent="0.25">
      <c r="A1260" t="s">
        <v>1052</v>
      </c>
      <c r="B1260" t="s">
        <v>1053</v>
      </c>
      <c r="C1260" t="s">
        <v>1057</v>
      </c>
      <c r="D1260" t="s">
        <v>1058</v>
      </c>
      <c r="E1260" s="9">
        <v>45413</v>
      </c>
      <c r="F1260" s="9">
        <v>45443</v>
      </c>
      <c r="G1260">
        <v>456824135.62</v>
      </c>
      <c r="H1260">
        <v>33466350.376000002</v>
      </c>
      <c r="I1260">
        <v>196057696.73199999</v>
      </c>
      <c r="J1260">
        <v>0</v>
      </c>
      <c r="K1260">
        <v>10344063.056</v>
      </c>
      <c r="L1260">
        <v>2790233.96</v>
      </c>
      <c r="M1260">
        <v>0</v>
      </c>
      <c r="T1260" s="9">
        <v>45108</v>
      </c>
      <c r="U1260" s="9">
        <v>45473</v>
      </c>
      <c r="V1260">
        <f>SUM(POTABLE_NONPOTABLE_API[[#This Row],[RESIDENTIAL_SINGLEFAMILY_GAL]:[OTHER_GAL]])</f>
        <v>699482479.74399996</v>
      </c>
      <c r="W1260">
        <f>SUM(POTABLE_NONPOTABLE_API[[#This Row],[NONPOTABLE_DEMAND_RESIDENTIAL_RECYCLED_WATER_GAL]:[NONPOTABLE_DEMAND_NONRESIDENTIAL_METERED_IRRIGATION_GAL]])</f>
        <v>0</v>
      </c>
      <c r="X1260" t="str">
        <f>IFERROR(INDEX(Crosswalk_API!$H$2:$H$527, MATCH(POTABLE_NONPOTABLE_API[[#This Row],[PWSID]], CW_PWSID_LIST, 0)), "")</f>
        <v>No</v>
      </c>
    </row>
    <row r="1261" spans="1:24" x14ac:dyDescent="0.25">
      <c r="A1261" t="s">
        <v>1052</v>
      </c>
      <c r="B1261" t="s">
        <v>1053</v>
      </c>
      <c r="C1261" t="s">
        <v>1057</v>
      </c>
      <c r="D1261" t="s">
        <v>1058</v>
      </c>
      <c r="E1261" s="9">
        <v>45444</v>
      </c>
      <c r="F1261" s="9">
        <v>45473</v>
      </c>
      <c r="G1261">
        <v>658265562.59600008</v>
      </c>
      <c r="H1261">
        <v>43074330.263999999</v>
      </c>
      <c r="I1261">
        <v>239854645.22800002</v>
      </c>
      <c r="J1261">
        <v>0</v>
      </c>
      <c r="K1261">
        <v>12109465.776000001</v>
      </c>
      <c r="L1261">
        <v>110711.696</v>
      </c>
      <c r="M1261">
        <v>0</v>
      </c>
      <c r="T1261" s="9">
        <v>45108</v>
      </c>
      <c r="U1261" s="9">
        <v>45473</v>
      </c>
      <c r="V1261">
        <f>SUM(POTABLE_NONPOTABLE_API[[#This Row],[RESIDENTIAL_SINGLEFAMILY_GAL]:[OTHER_GAL]])</f>
        <v>953414715.56000018</v>
      </c>
      <c r="W1261">
        <f>SUM(POTABLE_NONPOTABLE_API[[#This Row],[NONPOTABLE_DEMAND_RESIDENTIAL_RECYCLED_WATER_GAL]:[NONPOTABLE_DEMAND_NONRESIDENTIAL_METERED_IRRIGATION_GAL]])</f>
        <v>0</v>
      </c>
      <c r="X1261" t="str">
        <f>IFERROR(INDEX(Crosswalk_API!$H$2:$H$527, MATCH(POTABLE_NONPOTABLE_API[[#This Row],[PWSID]], CW_PWSID_LIST, 0)), "")</f>
        <v>No</v>
      </c>
    </row>
    <row r="1262" spans="1:24" x14ac:dyDescent="0.25">
      <c r="A1262" t="s">
        <v>1052</v>
      </c>
      <c r="B1262" t="s">
        <v>1053</v>
      </c>
      <c r="C1262" t="s">
        <v>1059</v>
      </c>
      <c r="D1262" t="s">
        <v>1060</v>
      </c>
      <c r="E1262" s="9">
        <v>45108</v>
      </c>
      <c r="F1262" s="9">
        <v>45138</v>
      </c>
      <c r="G1262">
        <v>2670545.64</v>
      </c>
      <c r="H1262">
        <v>0</v>
      </c>
      <c r="I1262">
        <v>5984.4160000000002</v>
      </c>
      <c r="J1262">
        <v>0</v>
      </c>
      <c r="K1262">
        <v>0</v>
      </c>
      <c r="L1262">
        <v>0</v>
      </c>
      <c r="M1262">
        <v>0</v>
      </c>
      <c r="T1262" s="9">
        <v>45108</v>
      </c>
      <c r="U1262" s="9">
        <v>45473</v>
      </c>
      <c r="V1262">
        <f>SUM(POTABLE_NONPOTABLE_API[[#This Row],[RESIDENTIAL_SINGLEFAMILY_GAL]:[OTHER_GAL]])</f>
        <v>2676530.0560000003</v>
      </c>
      <c r="W1262">
        <f>SUM(POTABLE_NONPOTABLE_API[[#This Row],[NONPOTABLE_DEMAND_RESIDENTIAL_RECYCLED_WATER_GAL]:[NONPOTABLE_DEMAND_NONRESIDENTIAL_METERED_IRRIGATION_GAL]])</f>
        <v>0</v>
      </c>
      <c r="X1262" t="str">
        <f>IFERROR(INDEX(Crosswalk_API!$H$2:$H$527, MATCH(POTABLE_NONPOTABLE_API[[#This Row],[PWSID]], CW_PWSID_LIST, 0)), "")</f>
        <v>No</v>
      </c>
    </row>
    <row r="1263" spans="1:24" x14ac:dyDescent="0.25">
      <c r="A1263" t="s">
        <v>1052</v>
      </c>
      <c r="B1263" t="s">
        <v>1053</v>
      </c>
      <c r="C1263" t="s">
        <v>1059</v>
      </c>
      <c r="D1263" t="s">
        <v>1060</v>
      </c>
      <c r="E1263" s="9">
        <v>45139</v>
      </c>
      <c r="F1263" s="9">
        <v>45169</v>
      </c>
      <c r="G1263">
        <v>2127459.8880000003</v>
      </c>
      <c r="H1263">
        <v>0</v>
      </c>
      <c r="I1263">
        <v>6732.4679999999998</v>
      </c>
      <c r="J1263">
        <v>0</v>
      </c>
      <c r="K1263">
        <v>0</v>
      </c>
      <c r="L1263">
        <v>0</v>
      </c>
      <c r="M1263">
        <v>0</v>
      </c>
      <c r="T1263" s="9">
        <v>45108</v>
      </c>
      <c r="U1263" s="9">
        <v>45473</v>
      </c>
      <c r="V1263">
        <f>SUM(POTABLE_NONPOTABLE_API[[#This Row],[RESIDENTIAL_SINGLEFAMILY_GAL]:[OTHER_GAL]])</f>
        <v>2134192.3560000001</v>
      </c>
      <c r="W1263">
        <f>SUM(POTABLE_NONPOTABLE_API[[#This Row],[NONPOTABLE_DEMAND_RESIDENTIAL_RECYCLED_WATER_GAL]:[NONPOTABLE_DEMAND_NONRESIDENTIAL_METERED_IRRIGATION_GAL]])</f>
        <v>0</v>
      </c>
      <c r="X1263" t="str">
        <f>IFERROR(INDEX(Crosswalk_API!$H$2:$H$527, MATCH(POTABLE_NONPOTABLE_API[[#This Row],[PWSID]], CW_PWSID_LIST, 0)), "")</f>
        <v>No</v>
      </c>
    </row>
    <row r="1264" spans="1:24" x14ac:dyDescent="0.25">
      <c r="A1264" t="s">
        <v>1052</v>
      </c>
      <c r="B1264" t="s">
        <v>1053</v>
      </c>
      <c r="C1264" t="s">
        <v>1059</v>
      </c>
      <c r="D1264" t="s">
        <v>1060</v>
      </c>
      <c r="E1264" s="9">
        <v>45170</v>
      </c>
      <c r="F1264" s="9">
        <v>45199</v>
      </c>
      <c r="G1264">
        <v>1866389.74</v>
      </c>
      <c r="H1264">
        <v>0</v>
      </c>
      <c r="I1264">
        <v>5984.4160000000002</v>
      </c>
      <c r="J1264">
        <v>0</v>
      </c>
      <c r="K1264">
        <v>0</v>
      </c>
      <c r="L1264">
        <v>0</v>
      </c>
      <c r="M1264">
        <v>0</v>
      </c>
      <c r="T1264" s="9">
        <v>45108</v>
      </c>
      <c r="U1264" s="9">
        <v>45473</v>
      </c>
      <c r="V1264">
        <f>SUM(POTABLE_NONPOTABLE_API[[#This Row],[RESIDENTIAL_SINGLEFAMILY_GAL]:[OTHER_GAL]])</f>
        <v>1872374.156</v>
      </c>
      <c r="W1264">
        <f>SUM(POTABLE_NONPOTABLE_API[[#This Row],[NONPOTABLE_DEMAND_RESIDENTIAL_RECYCLED_WATER_GAL]:[NONPOTABLE_DEMAND_NONRESIDENTIAL_METERED_IRRIGATION_GAL]])</f>
        <v>0</v>
      </c>
      <c r="X1264" t="str">
        <f>IFERROR(INDEX(Crosswalk_API!$H$2:$H$527, MATCH(POTABLE_NONPOTABLE_API[[#This Row],[PWSID]], CW_PWSID_LIST, 0)), "")</f>
        <v>No</v>
      </c>
    </row>
    <row r="1265" spans="1:24" x14ac:dyDescent="0.25">
      <c r="A1265" t="s">
        <v>1052</v>
      </c>
      <c r="B1265" t="s">
        <v>1053</v>
      </c>
      <c r="C1265" t="s">
        <v>1059</v>
      </c>
      <c r="D1265" t="s">
        <v>1060</v>
      </c>
      <c r="E1265" s="9">
        <v>45200</v>
      </c>
      <c r="F1265" s="9">
        <v>45230</v>
      </c>
      <c r="G1265">
        <v>1357714.3800000001</v>
      </c>
      <c r="H1265">
        <v>0</v>
      </c>
      <c r="I1265">
        <v>8976.6239999999998</v>
      </c>
      <c r="J1265">
        <v>0</v>
      </c>
      <c r="K1265">
        <v>0</v>
      </c>
      <c r="L1265">
        <v>0</v>
      </c>
      <c r="M1265">
        <v>0</v>
      </c>
      <c r="T1265" s="9">
        <v>45108</v>
      </c>
      <c r="U1265" s="9">
        <v>45473</v>
      </c>
      <c r="V1265">
        <f>SUM(POTABLE_NONPOTABLE_API[[#This Row],[RESIDENTIAL_SINGLEFAMILY_GAL]:[OTHER_GAL]])</f>
        <v>1366691.0040000002</v>
      </c>
      <c r="W1265">
        <f>SUM(POTABLE_NONPOTABLE_API[[#This Row],[NONPOTABLE_DEMAND_RESIDENTIAL_RECYCLED_WATER_GAL]:[NONPOTABLE_DEMAND_NONRESIDENTIAL_METERED_IRRIGATION_GAL]])</f>
        <v>0</v>
      </c>
      <c r="X1265" t="str">
        <f>IFERROR(INDEX(Crosswalk_API!$H$2:$H$527, MATCH(POTABLE_NONPOTABLE_API[[#This Row],[PWSID]], CW_PWSID_LIST, 0)), "")</f>
        <v>No</v>
      </c>
    </row>
    <row r="1266" spans="1:24" x14ac:dyDescent="0.25">
      <c r="A1266" t="s">
        <v>1052</v>
      </c>
      <c r="B1266" t="s">
        <v>1053</v>
      </c>
      <c r="C1266" t="s">
        <v>1059</v>
      </c>
      <c r="D1266" t="s">
        <v>1060</v>
      </c>
      <c r="E1266" s="9">
        <v>45231</v>
      </c>
      <c r="F1266" s="9">
        <v>45260</v>
      </c>
      <c r="G1266">
        <v>1252987.1000000001</v>
      </c>
      <c r="H1266">
        <v>0</v>
      </c>
      <c r="I1266">
        <v>11220.78</v>
      </c>
      <c r="J1266">
        <v>0</v>
      </c>
      <c r="K1266">
        <v>0</v>
      </c>
      <c r="L1266">
        <v>0</v>
      </c>
      <c r="M1266">
        <v>0</v>
      </c>
      <c r="T1266" s="9">
        <v>45108</v>
      </c>
      <c r="U1266" s="9">
        <v>45473</v>
      </c>
      <c r="V1266">
        <f>SUM(POTABLE_NONPOTABLE_API[[#This Row],[RESIDENTIAL_SINGLEFAMILY_GAL]:[OTHER_GAL]])</f>
        <v>1264207.8800000001</v>
      </c>
      <c r="W1266">
        <f>SUM(POTABLE_NONPOTABLE_API[[#This Row],[NONPOTABLE_DEMAND_RESIDENTIAL_RECYCLED_WATER_GAL]:[NONPOTABLE_DEMAND_NONRESIDENTIAL_METERED_IRRIGATION_GAL]])</f>
        <v>0</v>
      </c>
      <c r="X1266" t="str">
        <f>IFERROR(INDEX(Crosswalk_API!$H$2:$H$527, MATCH(POTABLE_NONPOTABLE_API[[#This Row],[PWSID]], CW_PWSID_LIST, 0)), "")</f>
        <v>No</v>
      </c>
    </row>
    <row r="1267" spans="1:24" x14ac:dyDescent="0.25">
      <c r="A1267" t="s">
        <v>1052</v>
      </c>
      <c r="B1267" t="s">
        <v>1053</v>
      </c>
      <c r="C1267" t="s">
        <v>1059</v>
      </c>
      <c r="D1267" t="s">
        <v>1060</v>
      </c>
      <c r="E1267" s="9">
        <v>45261</v>
      </c>
      <c r="F1267" s="9">
        <v>45291</v>
      </c>
      <c r="G1267">
        <v>963490.97600000002</v>
      </c>
      <c r="H1267">
        <v>0</v>
      </c>
      <c r="I1267">
        <v>2992.2080000000001</v>
      </c>
      <c r="J1267">
        <v>0</v>
      </c>
      <c r="K1267">
        <v>0</v>
      </c>
      <c r="L1267">
        <v>0</v>
      </c>
      <c r="M1267">
        <v>0</v>
      </c>
      <c r="T1267" s="9">
        <v>45108</v>
      </c>
      <c r="U1267" s="9">
        <v>45473</v>
      </c>
      <c r="V1267">
        <f>SUM(POTABLE_NONPOTABLE_API[[#This Row],[RESIDENTIAL_SINGLEFAMILY_GAL]:[OTHER_GAL]])</f>
        <v>966483.18400000001</v>
      </c>
      <c r="W1267">
        <f>SUM(POTABLE_NONPOTABLE_API[[#This Row],[NONPOTABLE_DEMAND_RESIDENTIAL_RECYCLED_WATER_GAL]:[NONPOTABLE_DEMAND_NONRESIDENTIAL_METERED_IRRIGATION_GAL]])</f>
        <v>0</v>
      </c>
      <c r="X1267" t="str">
        <f>IFERROR(INDEX(Crosswalk_API!$H$2:$H$527, MATCH(POTABLE_NONPOTABLE_API[[#This Row],[PWSID]], CW_PWSID_LIST, 0)), "")</f>
        <v>No</v>
      </c>
    </row>
    <row r="1268" spans="1:24" x14ac:dyDescent="0.25">
      <c r="A1268" t="s">
        <v>1052</v>
      </c>
      <c r="B1268" t="s">
        <v>1053</v>
      </c>
      <c r="C1268" t="s">
        <v>1059</v>
      </c>
      <c r="D1268" t="s">
        <v>1060</v>
      </c>
      <c r="E1268" s="9">
        <v>45292</v>
      </c>
      <c r="F1268" s="9">
        <v>45322</v>
      </c>
      <c r="G1268">
        <v>899158.50400000007</v>
      </c>
      <c r="H1268">
        <v>0</v>
      </c>
      <c r="I1268">
        <v>3740.26</v>
      </c>
      <c r="J1268">
        <v>0</v>
      </c>
      <c r="K1268">
        <v>0</v>
      </c>
      <c r="L1268">
        <v>0</v>
      </c>
      <c r="M1268">
        <v>0</v>
      </c>
      <c r="T1268" s="9">
        <v>45108</v>
      </c>
      <c r="U1268" s="9">
        <v>45473</v>
      </c>
      <c r="V1268">
        <f>SUM(POTABLE_NONPOTABLE_API[[#This Row],[RESIDENTIAL_SINGLEFAMILY_GAL]:[OTHER_GAL]])</f>
        <v>902898.76400000008</v>
      </c>
      <c r="W1268">
        <f>SUM(POTABLE_NONPOTABLE_API[[#This Row],[NONPOTABLE_DEMAND_RESIDENTIAL_RECYCLED_WATER_GAL]:[NONPOTABLE_DEMAND_NONRESIDENTIAL_METERED_IRRIGATION_GAL]])</f>
        <v>0</v>
      </c>
      <c r="X1268" t="str">
        <f>IFERROR(INDEX(Crosswalk_API!$H$2:$H$527, MATCH(POTABLE_NONPOTABLE_API[[#This Row],[PWSID]], CW_PWSID_LIST, 0)), "")</f>
        <v>No</v>
      </c>
    </row>
    <row r="1269" spans="1:24" x14ac:dyDescent="0.25">
      <c r="A1269" t="s">
        <v>1052</v>
      </c>
      <c r="B1269" t="s">
        <v>1053</v>
      </c>
      <c r="C1269" t="s">
        <v>1059</v>
      </c>
      <c r="D1269" t="s">
        <v>1060</v>
      </c>
      <c r="E1269" s="9">
        <v>45323</v>
      </c>
      <c r="F1269" s="9">
        <v>45351</v>
      </c>
      <c r="G1269">
        <v>742815.63600000006</v>
      </c>
      <c r="H1269">
        <v>0</v>
      </c>
      <c r="I1269">
        <v>3740.26</v>
      </c>
      <c r="J1269">
        <v>0</v>
      </c>
      <c r="K1269">
        <v>0</v>
      </c>
      <c r="L1269">
        <v>0</v>
      </c>
      <c r="M1269">
        <v>0</v>
      </c>
      <c r="T1269" s="9">
        <v>45108</v>
      </c>
      <c r="U1269" s="9">
        <v>45473</v>
      </c>
      <c r="V1269">
        <f>SUM(POTABLE_NONPOTABLE_API[[#This Row],[RESIDENTIAL_SINGLEFAMILY_GAL]:[OTHER_GAL]])</f>
        <v>746555.89600000007</v>
      </c>
      <c r="W1269">
        <f>SUM(POTABLE_NONPOTABLE_API[[#This Row],[NONPOTABLE_DEMAND_RESIDENTIAL_RECYCLED_WATER_GAL]:[NONPOTABLE_DEMAND_NONRESIDENTIAL_METERED_IRRIGATION_GAL]])</f>
        <v>0</v>
      </c>
      <c r="X1269" t="str">
        <f>IFERROR(INDEX(Crosswalk_API!$H$2:$H$527, MATCH(POTABLE_NONPOTABLE_API[[#This Row],[PWSID]], CW_PWSID_LIST, 0)), "")</f>
        <v>No</v>
      </c>
    </row>
    <row r="1270" spans="1:24" x14ac:dyDescent="0.25">
      <c r="A1270" t="s">
        <v>1052</v>
      </c>
      <c r="B1270" t="s">
        <v>1053</v>
      </c>
      <c r="C1270" t="s">
        <v>1059</v>
      </c>
      <c r="D1270" t="s">
        <v>1060</v>
      </c>
      <c r="E1270" s="9">
        <v>45352</v>
      </c>
      <c r="F1270" s="9">
        <v>45382</v>
      </c>
      <c r="G1270">
        <v>945537.728</v>
      </c>
      <c r="H1270">
        <v>0</v>
      </c>
      <c r="I1270">
        <v>3740.26</v>
      </c>
      <c r="J1270">
        <v>0</v>
      </c>
      <c r="K1270">
        <v>0</v>
      </c>
      <c r="L1270">
        <v>0</v>
      </c>
      <c r="M1270">
        <v>0</v>
      </c>
      <c r="T1270" s="9">
        <v>45108</v>
      </c>
      <c r="U1270" s="9">
        <v>45473</v>
      </c>
      <c r="V1270">
        <f>SUM(POTABLE_NONPOTABLE_API[[#This Row],[RESIDENTIAL_SINGLEFAMILY_GAL]:[OTHER_GAL]])</f>
        <v>949277.98800000001</v>
      </c>
      <c r="W1270">
        <f>SUM(POTABLE_NONPOTABLE_API[[#This Row],[NONPOTABLE_DEMAND_RESIDENTIAL_RECYCLED_WATER_GAL]:[NONPOTABLE_DEMAND_NONRESIDENTIAL_METERED_IRRIGATION_GAL]])</f>
        <v>0</v>
      </c>
      <c r="X1270" t="str">
        <f>IFERROR(INDEX(Crosswalk_API!$H$2:$H$527, MATCH(POTABLE_NONPOTABLE_API[[#This Row],[PWSID]], CW_PWSID_LIST, 0)), "")</f>
        <v>No</v>
      </c>
    </row>
    <row r="1271" spans="1:24" x14ac:dyDescent="0.25">
      <c r="A1271" t="s">
        <v>1052</v>
      </c>
      <c r="B1271" t="s">
        <v>1053</v>
      </c>
      <c r="C1271" t="s">
        <v>1059</v>
      </c>
      <c r="D1271" t="s">
        <v>1060</v>
      </c>
      <c r="E1271" s="9">
        <v>45383</v>
      </c>
      <c r="F1271" s="9">
        <v>45412</v>
      </c>
      <c r="G1271">
        <v>950026.04</v>
      </c>
      <c r="H1271">
        <v>0</v>
      </c>
      <c r="I1271">
        <v>3740.26</v>
      </c>
      <c r="J1271">
        <v>0</v>
      </c>
      <c r="K1271">
        <v>0</v>
      </c>
      <c r="L1271">
        <v>0</v>
      </c>
      <c r="M1271">
        <v>0</v>
      </c>
      <c r="T1271" s="9">
        <v>45108</v>
      </c>
      <c r="U1271" s="9">
        <v>45473</v>
      </c>
      <c r="V1271">
        <f>SUM(POTABLE_NONPOTABLE_API[[#This Row],[RESIDENTIAL_SINGLEFAMILY_GAL]:[OTHER_GAL]])</f>
        <v>953766.3</v>
      </c>
      <c r="W1271">
        <f>SUM(POTABLE_NONPOTABLE_API[[#This Row],[NONPOTABLE_DEMAND_RESIDENTIAL_RECYCLED_WATER_GAL]:[NONPOTABLE_DEMAND_NONRESIDENTIAL_METERED_IRRIGATION_GAL]])</f>
        <v>0</v>
      </c>
      <c r="X1271" t="str">
        <f>IFERROR(INDEX(Crosswalk_API!$H$2:$H$527, MATCH(POTABLE_NONPOTABLE_API[[#This Row],[PWSID]], CW_PWSID_LIST, 0)), "")</f>
        <v>No</v>
      </c>
    </row>
    <row r="1272" spans="1:24" x14ac:dyDescent="0.25">
      <c r="A1272" t="s">
        <v>1052</v>
      </c>
      <c r="B1272" t="s">
        <v>1053</v>
      </c>
      <c r="C1272" t="s">
        <v>1059</v>
      </c>
      <c r="D1272" t="s">
        <v>1060</v>
      </c>
      <c r="E1272" s="9">
        <v>45413</v>
      </c>
      <c r="F1272" s="9">
        <v>45443</v>
      </c>
      <c r="G1272">
        <v>1552955.952</v>
      </c>
      <c r="H1272">
        <v>0</v>
      </c>
      <c r="I1272">
        <v>3740.26</v>
      </c>
      <c r="J1272">
        <v>0</v>
      </c>
      <c r="K1272">
        <v>0</v>
      </c>
      <c r="L1272">
        <v>0</v>
      </c>
      <c r="M1272">
        <v>0</v>
      </c>
      <c r="T1272" s="9">
        <v>45108</v>
      </c>
      <c r="U1272" s="9">
        <v>45473</v>
      </c>
      <c r="V1272">
        <f>SUM(POTABLE_NONPOTABLE_API[[#This Row],[RESIDENTIAL_SINGLEFAMILY_GAL]:[OTHER_GAL]])</f>
        <v>1556696.2120000001</v>
      </c>
      <c r="W1272">
        <f>SUM(POTABLE_NONPOTABLE_API[[#This Row],[NONPOTABLE_DEMAND_RESIDENTIAL_RECYCLED_WATER_GAL]:[NONPOTABLE_DEMAND_NONRESIDENTIAL_METERED_IRRIGATION_GAL]])</f>
        <v>0</v>
      </c>
      <c r="X1272" t="str">
        <f>IFERROR(INDEX(Crosswalk_API!$H$2:$H$527, MATCH(POTABLE_NONPOTABLE_API[[#This Row],[PWSID]], CW_PWSID_LIST, 0)), "")</f>
        <v>No</v>
      </c>
    </row>
    <row r="1273" spans="1:24" x14ac:dyDescent="0.25">
      <c r="A1273" t="s">
        <v>1052</v>
      </c>
      <c r="B1273" t="s">
        <v>1053</v>
      </c>
      <c r="C1273" t="s">
        <v>1059</v>
      </c>
      <c r="D1273" t="s">
        <v>1060</v>
      </c>
      <c r="E1273" s="9">
        <v>45444</v>
      </c>
      <c r="F1273" s="9">
        <v>45473</v>
      </c>
      <c r="G1273">
        <v>2219470.284</v>
      </c>
      <c r="H1273">
        <v>0</v>
      </c>
      <c r="I1273">
        <v>5236.3640000000005</v>
      </c>
      <c r="J1273">
        <v>0</v>
      </c>
      <c r="K1273">
        <v>0</v>
      </c>
      <c r="L1273">
        <v>0</v>
      </c>
      <c r="M1273">
        <v>0</v>
      </c>
      <c r="T1273" s="9">
        <v>45108</v>
      </c>
      <c r="U1273" s="9">
        <v>45473</v>
      </c>
      <c r="V1273">
        <f>SUM(POTABLE_NONPOTABLE_API[[#This Row],[RESIDENTIAL_SINGLEFAMILY_GAL]:[OTHER_GAL]])</f>
        <v>2224706.648</v>
      </c>
      <c r="W1273">
        <f>SUM(POTABLE_NONPOTABLE_API[[#This Row],[NONPOTABLE_DEMAND_RESIDENTIAL_RECYCLED_WATER_GAL]:[NONPOTABLE_DEMAND_NONRESIDENTIAL_METERED_IRRIGATION_GAL]])</f>
        <v>0</v>
      </c>
      <c r="X1273" t="str">
        <f>IFERROR(INDEX(Crosswalk_API!$H$2:$H$527, MATCH(POTABLE_NONPOTABLE_API[[#This Row],[PWSID]], CW_PWSID_LIST, 0)), "")</f>
        <v>No</v>
      </c>
    </row>
    <row r="1274" spans="1:24" x14ac:dyDescent="0.25">
      <c r="A1274" t="s">
        <v>1061</v>
      </c>
      <c r="B1274" t="s">
        <v>1062</v>
      </c>
      <c r="C1274" t="s">
        <v>1063</v>
      </c>
      <c r="D1274" t="s">
        <v>1064</v>
      </c>
      <c r="E1274" s="9">
        <v>45108</v>
      </c>
      <c r="F1274" s="9">
        <v>45138</v>
      </c>
      <c r="G1274">
        <v>117072382.156</v>
      </c>
      <c r="H1274">
        <v>5149589.9680000003</v>
      </c>
      <c r="I1274">
        <v>46770455.196000002</v>
      </c>
      <c r="J1274">
        <v>0</v>
      </c>
      <c r="K1274">
        <v>0</v>
      </c>
      <c r="L1274">
        <v>16457.144</v>
      </c>
      <c r="M1274">
        <v>0</v>
      </c>
      <c r="N1274">
        <v>0</v>
      </c>
      <c r="O1274">
        <v>0</v>
      </c>
      <c r="P1274">
        <v>0</v>
      </c>
      <c r="Q1274">
        <v>14170349.036</v>
      </c>
      <c r="R1274">
        <v>0</v>
      </c>
      <c r="S1274">
        <v>0</v>
      </c>
      <c r="T1274" s="9">
        <v>45108</v>
      </c>
      <c r="U1274" s="9">
        <v>45473</v>
      </c>
      <c r="V1274">
        <f>SUM(POTABLE_NONPOTABLE_API[[#This Row],[RESIDENTIAL_SINGLEFAMILY_GAL]:[OTHER_GAL]])</f>
        <v>169008884.46399999</v>
      </c>
      <c r="W1274">
        <f>SUM(POTABLE_NONPOTABLE_API[[#This Row],[NONPOTABLE_DEMAND_RESIDENTIAL_RECYCLED_WATER_GAL]:[NONPOTABLE_DEMAND_NONRESIDENTIAL_METERED_IRRIGATION_GAL]])</f>
        <v>14170349.036</v>
      </c>
      <c r="X1274" t="str">
        <f>IFERROR(INDEX(Crosswalk_API!$H$2:$H$527, MATCH(POTABLE_NONPOTABLE_API[[#This Row],[PWSID]], CW_PWSID_LIST, 0)), "")</f>
        <v>No</v>
      </c>
    </row>
    <row r="1275" spans="1:24" x14ac:dyDescent="0.25">
      <c r="A1275" t="s">
        <v>1061</v>
      </c>
      <c r="B1275" t="s">
        <v>1062</v>
      </c>
      <c r="C1275" t="s">
        <v>1063</v>
      </c>
      <c r="D1275" t="s">
        <v>1064</v>
      </c>
      <c r="E1275" s="9">
        <v>45139</v>
      </c>
      <c r="F1275" s="9">
        <v>45169</v>
      </c>
      <c r="G1275">
        <v>124694283.984</v>
      </c>
      <c r="H1275">
        <v>3999085.9920000001</v>
      </c>
      <c r="I1275">
        <v>53196969.928000003</v>
      </c>
      <c r="J1275">
        <v>0</v>
      </c>
      <c r="K1275">
        <v>0</v>
      </c>
      <c r="L1275">
        <v>47127.275999999998</v>
      </c>
      <c r="M1275">
        <v>0</v>
      </c>
      <c r="N1275">
        <v>0</v>
      </c>
      <c r="O1275">
        <v>0</v>
      </c>
      <c r="P1275">
        <v>0</v>
      </c>
      <c r="Q1275">
        <v>19312458484</v>
      </c>
      <c r="R1275">
        <v>0</v>
      </c>
      <c r="S1275">
        <v>0</v>
      </c>
      <c r="T1275" s="9">
        <v>45108</v>
      </c>
      <c r="U1275" s="9">
        <v>45473</v>
      </c>
      <c r="V1275">
        <f>SUM(POTABLE_NONPOTABLE_API[[#This Row],[RESIDENTIAL_SINGLEFAMILY_GAL]:[OTHER_GAL]])</f>
        <v>181937467.17999998</v>
      </c>
      <c r="W1275">
        <f>SUM(POTABLE_NONPOTABLE_API[[#This Row],[NONPOTABLE_DEMAND_RESIDENTIAL_RECYCLED_WATER_GAL]:[NONPOTABLE_DEMAND_NONRESIDENTIAL_METERED_IRRIGATION_GAL]])</f>
        <v>19312458484</v>
      </c>
      <c r="X1275" t="str">
        <f>IFERROR(INDEX(Crosswalk_API!$H$2:$H$527, MATCH(POTABLE_NONPOTABLE_API[[#This Row],[PWSID]], CW_PWSID_LIST, 0)), "")</f>
        <v>No</v>
      </c>
    </row>
    <row r="1276" spans="1:24" x14ac:dyDescent="0.25">
      <c r="A1276" t="s">
        <v>1061</v>
      </c>
      <c r="B1276" t="s">
        <v>1062</v>
      </c>
      <c r="C1276" t="s">
        <v>1063</v>
      </c>
      <c r="D1276" t="s">
        <v>1064</v>
      </c>
      <c r="E1276" s="9">
        <v>45170</v>
      </c>
      <c r="F1276" s="9">
        <v>45199</v>
      </c>
      <c r="G1276">
        <v>122699229.3</v>
      </c>
      <c r="H1276">
        <v>5154078.28</v>
      </c>
      <c r="I1276">
        <v>53419889.424000002</v>
      </c>
      <c r="J1276">
        <v>0</v>
      </c>
      <c r="K1276">
        <v>0</v>
      </c>
      <c r="L1276">
        <v>0</v>
      </c>
      <c r="M1276">
        <v>0</v>
      </c>
      <c r="N1276">
        <v>0</v>
      </c>
      <c r="O1276">
        <v>0</v>
      </c>
      <c r="P1276">
        <v>0</v>
      </c>
      <c r="Q1276">
        <v>13508323.016000001</v>
      </c>
      <c r="R1276">
        <v>0</v>
      </c>
      <c r="S1276">
        <v>0</v>
      </c>
      <c r="T1276" s="9">
        <v>45108</v>
      </c>
      <c r="U1276" s="9">
        <v>45473</v>
      </c>
      <c r="V1276">
        <f>SUM(POTABLE_NONPOTABLE_API[[#This Row],[RESIDENTIAL_SINGLEFAMILY_GAL]:[OTHER_GAL]])</f>
        <v>181273197.00400001</v>
      </c>
      <c r="W1276">
        <f>SUM(POTABLE_NONPOTABLE_API[[#This Row],[NONPOTABLE_DEMAND_RESIDENTIAL_RECYCLED_WATER_GAL]:[NONPOTABLE_DEMAND_NONRESIDENTIAL_METERED_IRRIGATION_GAL]])</f>
        <v>13508323.016000001</v>
      </c>
      <c r="X1276" t="str">
        <f>IFERROR(INDEX(Crosswalk_API!$H$2:$H$527, MATCH(POTABLE_NONPOTABLE_API[[#This Row],[PWSID]], CW_PWSID_LIST, 0)), "")</f>
        <v>No</v>
      </c>
    </row>
    <row r="1277" spans="1:24" x14ac:dyDescent="0.25">
      <c r="A1277" t="s">
        <v>1061</v>
      </c>
      <c r="B1277" t="s">
        <v>1062</v>
      </c>
      <c r="C1277" t="s">
        <v>1063</v>
      </c>
      <c r="D1277" t="s">
        <v>1064</v>
      </c>
      <c r="E1277" s="9">
        <v>45200</v>
      </c>
      <c r="F1277" s="9">
        <v>45230</v>
      </c>
      <c r="G1277">
        <v>109954667.376</v>
      </c>
      <c r="H1277">
        <v>5718109.4879999999</v>
      </c>
      <c r="I1277">
        <v>49488876.164000005</v>
      </c>
      <c r="J1277">
        <v>0</v>
      </c>
      <c r="K1277">
        <v>0</v>
      </c>
      <c r="L1277">
        <v>24685.716</v>
      </c>
      <c r="M1277">
        <v>0</v>
      </c>
      <c r="N1277">
        <v>0</v>
      </c>
      <c r="O1277">
        <v>0</v>
      </c>
      <c r="P1277">
        <v>0</v>
      </c>
      <c r="Q1277">
        <v>18289871.400000002</v>
      </c>
      <c r="R1277">
        <v>0</v>
      </c>
      <c r="S1277">
        <v>0</v>
      </c>
      <c r="T1277" s="9">
        <v>45108</v>
      </c>
      <c r="U1277" s="9">
        <v>45473</v>
      </c>
      <c r="V1277">
        <f>SUM(POTABLE_NONPOTABLE_API[[#This Row],[RESIDENTIAL_SINGLEFAMILY_GAL]:[OTHER_GAL]])</f>
        <v>165186338.74399999</v>
      </c>
      <c r="W1277">
        <f>SUM(POTABLE_NONPOTABLE_API[[#This Row],[NONPOTABLE_DEMAND_RESIDENTIAL_RECYCLED_WATER_GAL]:[NONPOTABLE_DEMAND_NONRESIDENTIAL_METERED_IRRIGATION_GAL]])</f>
        <v>18289871.400000002</v>
      </c>
      <c r="X1277" t="str">
        <f>IFERROR(INDEX(Crosswalk_API!$H$2:$H$527, MATCH(POTABLE_NONPOTABLE_API[[#This Row],[PWSID]], CW_PWSID_LIST, 0)), "")</f>
        <v>No</v>
      </c>
    </row>
    <row r="1278" spans="1:24" x14ac:dyDescent="0.25">
      <c r="A1278" t="s">
        <v>1061</v>
      </c>
      <c r="B1278" t="s">
        <v>1062</v>
      </c>
      <c r="C1278" t="s">
        <v>1063</v>
      </c>
      <c r="D1278" t="s">
        <v>1064</v>
      </c>
      <c r="E1278" s="9">
        <v>45231</v>
      </c>
      <c r="F1278" s="9">
        <v>45260</v>
      </c>
      <c r="G1278">
        <v>102204848.656</v>
      </c>
      <c r="H1278">
        <v>4737413.3160000006</v>
      </c>
      <c r="I1278">
        <v>46843764.292000003</v>
      </c>
      <c r="J1278">
        <v>0</v>
      </c>
      <c r="K1278">
        <v>0</v>
      </c>
      <c r="L1278">
        <v>0</v>
      </c>
      <c r="M1278">
        <v>0</v>
      </c>
      <c r="N1278">
        <v>0</v>
      </c>
      <c r="O1278">
        <v>0</v>
      </c>
      <c r="P1278">
        <v>0</v>
      </c>
      <c r="Q1278">
        <v>7767771.9680000003</v>
      </c>
      <c r="R1278">
        <v>0</v>
      </c>
      <c r="S1278">
        <v>0</v>
      </c>
      <c r="T1278" s="9">
        <v>45108</v>
      </c>
      <c r="U1278" s="9">
        <v>45473</v>
      </c>
      <c r="V1278">
        <f>SUM(POTABLE_NONPOTABLE_API[[#This Row],[RESIDENTIAL_SINGLEFAMILY_GAL]:[OTHER_GAL]])</f>
        <v>153786026.264</v>
      </c>
      <c r="W1278">
        <f>SUM(POTABLE_NONPOTABLE_API[[#This Row],[NONPOTABLE_DEMAND_RESIDENTIAL_RECYCLED_WATER_GAL]:[NONPOTABLE_DEMAND_NONRESIDENTIAL_METERED_IRRIGATION_GAL]])</f>
        <v>7767771.9680000003</v>
      </c>
      <c r="X1278" t="str">
        <f>IFERROR(INDEX(Crosswalk_API!$H$2:$H$527, MATCH(POTABLE_NONPOTABLE_API[[#This Row],[PWSID]], CW_PWSID_LIST, 0)), "")</f>
        <v>No</v>
      </c>
    </row>
    <row r="1279" spans="1:24" x14ac:dyDescent="0.25">
      <c r="A1279" t="s">
        <v>1061</v>
      </c>
      <c r="B1279" t="s">
        <v>1062</v>
      </c>
      <c r="C1279" t="s">
        <v>1063</v>
      </c>
      <c r="D1279" t="s">
        <v>1064</v>
      </c>
      <c r="E1279" s="9">
        <v>45261</v>
      </c>
      <c r="F1279" s="9">
        <v>45291</v>
      </c>
      <c r="G1279">
        <v>97513066.512000009</v>
      </c>
      <c r="H1279">
        <v>4153184.7039999999</v>
      </c>
      <c r="I1279">
        <v>41068802.851999998</v>
      </c>
      <c r="J1279">
        <v>0</v>
      </c>
      <c r="K1279">
        <v>0</v>
      </c>
      <c r="L1279">
        <v>0</v>
      </c>
      <c r="M1279">
        <v>0</v>
      </c>
      <c r="N1279">
        <v>0</v>
      </c>
      <c r="O1279">
        <v>0</v>
      </c>
      <c r="P1279">
        <v>0</v>
      </c>
      <c r="Q1279">
        <v>7635366.7640000004</v>
      </c>
      <c r="R1279">
        <v>0</v>
      </c>
      <c r="S1279">
        <v>0</v>
      </c>
      <c r="T1279" s="9">
        <v>45108</v>
      </c>
      <c r="U1279" s="9">
        <v>45473</v>
      </c>
      <c r="V1279">
        <f>SUM(POTABLE_NONPOTABLE_API[[#This Row],[RESIDENTIAL_SINGLEFAMILY_GAL]:[OTHER_GAL]])</f>
        <v>142735054.06800002</v>
      </c>
      <c r="W1279">
        <f>SUM(POTABLE_NONPOTABLE_API[[#This Row],[NONPOTABLE_DEMAND_RESIDENTIAL_RECYCLED_WATER_GAL]:[NONPOTABLE_DEMAND_NONRESIDENTIAL_METERED_IRRIGATION_GAL]])</f>
        <v>7635366.7640000004</v>
      </c>
      <c r="X1279" t="str">
        <f>IFERROR(INDEX(Crosswalk_API!$H$2:$H$527, MATCH(POTABLE_NONPOTABLE_API[[#This Row],[PWSID]], CW_PWSID_LIST, 0)), "")</f>
        <v>No</v>
      </c>
    </row>
    <row r="1280" spans="1:24" x14ac:dyDescent="0.25">
      <c r="A1280" t="s">
        <v>1061</v>
      </c>
      <c r="B1280" t="s">
        <v>1062</v>
      </c>
      <c r="C1280" t="s">
        <v>1063</v>
      </c>
      <c r="D1280" t="s">
        <v>1064</v>
      </c>
      <c r="E1280" s="9">
        <v>45292</v>
      </c>
      <c r="F1280" s="9">
        <v>45322</v>
      </c>
      <c r="G1280">
        <v>69701241.203999996</v>
      </c>
      <c r="H1280">
        <v>4011054.824</v>
      </c>
      <c r="I1280">
        <v>27267991.504000001</v>
      </c>
      <c r="J1280">
        <v>0</v>
      </c>
      <c r="K1280">
        <v>0</v>
      </c>
      <c r="L1280">
        <v>35906.495999999999</v>
      </c>
      <c r="M1280">
        <v>0</v>
      </c>
      <c r="N1280">
        <v>0</v>
      </c>
      <c r="O1280">
        <v>0</v>
      </c>
      <c r="P1280">
        <v>0</v>
      </c>
      <c r="Q1280">
        <v>2677278.108</v>
      </c>
      <c r="R1280">
        <v>0</v>
      </c>
      <c r="S1280">
        <v>0</v>
      </c>
      <c r="T1280" s="9">
        <v>45108</v>
      </c>
      <c r="U1280" s="9">
        <v>45473</v>
      </c>
      <c r="V1280">
        <f>SUM(POTABLE_NONPOTABLE_API[[#This Row],[RESIDENTIAL_SINGLEFAMILY_GAL]:[OTHER_GAL]])</f>
        <v>101016194.02800001</v>
      </c>
      <c r="W1280">
        <f>SUM(POTABLE_NONPOTABLE_API[[#This Row],[NONPOTABLE_DEMAND_RESIDENTIAL_RECYCLED_WATER_GAL]:[NONPOTABLE_DEMAND_NONRESIDENTIAL_METERED_IRRIGATION_GAL]])</f>
        <v>2677278.108</v>
      </c>
      <c r="X1280" t="str">
        <f>IFERROR(INDEX(Crosswalk_API!$H$2:$H$527, MATCH(POTABLE_NONPOTABLE_API[[#This Row],[PWSID]], CW_PWSID_LIST, 0)), "")</f>
        <v>No</v>
      </c>
    </row>
    <row r="1281" spans="1:24" x14ac:dyDescent="0.25">
      <c r="A1281" t="s">
        <v>1061</v>
      </c>
      <c r="B1281" t="s">
        <v>1062</v>
      </c>
      <c r="C1281" t="s">
        <v>1063</v>
      </c>
      <c r="D1281" t="s">
        <v>1064</v>
      </c>
      <c r="E1281" s="9">
        <v>45323</v>
      </c>
      <c r="F1281" s="9">
        <v>45351</v>
      </c>
      <c r="G1281">
        <v>50117987.895999998</v>
      </c>
      <c r="H1281">
        <v>3704353.5040000002</v>
      </c>
      <c r="I1281">
        <v>19145642.888</v>
      </c>
      <c r="J1281">
        <v>0</v>
      </c>
      <c r="K1281">
        <v>0</v>
      </c>
      <c r="L1281">
        <v>3740.26</v>
      </c>
      <c r="M1281">
        <v>0</v>
      </c>
      <c r="N1281">
        <v>0</v>
      </c>
      <c r="O1281">
        <v>0</v>
      </c>
      <c r="P1281">
        <v>0</v>
      </c>
      <c r="Q1281">
        <v>626119.52399999998</v>
      </c>
      <c r="R1281">
        <v>0</v>
      </c>
      <c r="S1281">
        <v>0</v>
      </c>
      <c r="T1281" s="9">
        <v>45108</v>
      </c>
      <c r="U1281" s="9">
        <v>45473</v>
      </c>
      <c r="V1281">
        <f>SUM(POTABLE_NONPOTABLE_API[[#This Row],[RESIDENTIAL_SINGLEFAMILY_GAL]:[OTHER_GAL]])</f>
        <v>72971724.548000008</v>
      </c>
      <c r="W1281">
        <f>SUM(POTABLE_NONPOTABLE_API[[#This Row],[NONPOTABLE_DEMAND_RESIDENTIAL_RECYCLED_WATER_GAL]:[NONPOTABLE_DEMAND_NONRESIDENTIAL_METERED_IRRIGATION_GAL]])</f>
        <v>626119.52399999998</v>
      </c>
      <c r="X1281" t="str">
        <f>IFERROR(INDEX(Crosswalk_API!$H$2:$H$527, MATCH(POTABLE_NONPOTABLE_API[[#This Row],[PWSID]], CW_PWSID_LIST, 0)), "")</f>
        <v>No</v>
      </c>
    </row>
    <row r="1282" spans="1:24" x14ac:dyDescent="0.25">
      <c r="A1282" t="s">
        <v>1061</v>
      </c>
      <c r="B1282" t="s">
        <v>1062</v>
      </c>
      <c r="C1282" t="s">
        <v>1063</v>
      </c>
      <c r="D1282" t="s">
        <v>1064</v>
      </c>
      <c r="E1282" s="9">
        <v>45352</v>
      </c>
      <c r="F1282" s="9">
        <v>45382</v>
      </c>
      <c r="G1282">
        <v>43930101.752000004</v>
      </c>
      <c r="H1282">
        <v>3580176.872</v>
      </c>
      <c r="I1282">
        <v>16754868.696</v>
      </c>
      <c r="J1282">
        <v>0</v>
      </c>
      <c r="K1282">
        <v>0</v>
      </c>
      <c r="L1282">
        <v>15709.092000000001</v>
      </c>
      <c r="M1282">
        <v>0</v>
      </c>
      <c r="N1282">
        <v>0</v>
      </c>
      <c r="O1282">
        <v>0</v>
      </c>
      <c r="P1282">
        <v>0</v>
      </c>
      <c r="Q1282">
        <v>494462.37200000003</v>
      </c>
      <c r="R1282">
        <v>0</v>
      </c>
      <c r="S1282">
        <v>0</v>
      </c>
      <c r="T1282" s="9">
        <v>45108</v>
      </c>
      <c r="U1282" s="9">
        <v>45473</v>
      </c>
      <c r="V1282">
        <f>SUM(POTABLE_NONPOTABLE_API[[#This Row],[RESIDENTIAL_SINGLEFAMILY_GAL]:[OTHER_GAL]])</f>
        <v>64280856.412000008</v>
      </c>
      <c r="W1282">
        <f>SUM(POTABLE_NONPOTABLE_API[[#This Row],[NONPOTABLE_DEMAND_RESIDENTIAL_RECYCLED_WATER_GAL]:[NONPOTABLE_DEMAND_NONRESIDENTIAL_METERED_IRRIGATION_GAL]])</f>
        <v>494462.37200000003</v>
      </c>
      <c r="X1282" t="str">
        <f>IFERROR(INDEX(Crosswalk_API!$H$2:$H$527, MATCH(POTABLE_NONPOTABLE_API[[#This Row],[PWSID]], CW_PWSID_LIST, 0)), "")</f>
        <v>No</v>
      </c>
    </row>
    <row r="1283" spans="1:24" x14ac:dyDescent="0.25">
      <c r="A1283" t="s">
        <v>1061</v>
      </c>
      <c r="B1283" t="s">
        <v>1062</v>
      </c>
      <c r="C1283" t="s">
        <v>1063</v>
      </c>
      <c r="D1283" t="s">
        <v>1064</v>
      </c>
      <c r="E1283" s="9">
        <v>45383</v>
      </c>
      <c r="F1283" s="9">
        <v>45412</v>
      </c>
      <c r="G1283">
        <v>60817375.652000003</v>
      </c>
      <c r="H1283">
        <v>3676675.58</v>
      </c>
      <c r="I1283">
        <v>24383502.992000002</v>
      </c>
      <c r="J1283">
        <v>0</v>
      </c>
      <c r="K1283">
        <v>0</v>
      </c>
      <c r="L1283">
        <v>0</v>
      </c>
      <c r="M1283">
        <v>0</v>
      </c>
      <c r="N1283">
        <v>0</v>
      </c>
      <c r="O1283">
        <v>0</v>
      </c>
      <c r="P1283">
        <v>0</v>
      </c>
      <c r="Q1283">
        <v>497454.58</v>
      </c>
      <c r="R1283">
        <v>0</v>
      </c>
      <c r="S1283">
        <v>0</v>
      </c>
      <c r="T1283" s="9">
        <v>45108</v>
      </c>
      <c r="U1283" s="9">
        <v>45473</v>
      </c>
      <c r="V1283">
        <f>SUM(POTABLE_NONPOTABLE_API[[#This Row],[RESIDENTIAL_SINGLEFAMILY_GAL]:[OTHER_GAL]])</f>
        <v>88877554.224000007</v>
      </c>
      <c r="W1283">
        <f>SUM(POTABLE_NONPOTABLE_API[[#This Row],[NONPOTABLE_DEMAND_RESIDENTIAL_RECYCLED_WATER_GAL]:[NONPOTABLE_DEMAND_NONRESIDENTIAL_METERED_IRRIGATION_GAL]])</f>
        <v>497454.58</v>
      </c>
      <c r="X1283" t="str">
        <f>IFERROR(INDEX(Crosswalk_API!$H$2:$H$527, MATCH(POTABLE_NONPOTABLE_API[[#This Row],[PWSID]], CW_PWSID_LIST, 0)), "")</f>
        <v>No</v>
      </c>
    </row>
    <row r="1284" spans="1:24" x14ac:dyDescent="0.25">
      <c r="A1284" t="s">
        <v>1061</v>
      </c>
      <c r="B1284" t="s">
        <v>1062</v>
      </c>
      <c r="C1284" t="s">
        <v>1063</v>
      </c>
      <c r="D1284" t="s">
        <v>1064</v>
      </c>
      <c r="E1284" s="9">
        <v>45413</v>
      </c>
      <c r="F1284" s="9">
        <v>45443</v>
      </c>
      <c r="G1284">
        <v>83027039.532000005</v>
      </c>
      <c r="H1284">
        <v>3934753.52</v>
      </c>
      <c r="I1284">
        <v>32134817.816</v>
      </c>
      <c r="J1284">
        <v>0</v>
      </c>
      <c r="K1284">
        <v>0</v>
      </c>
      <c r="L1284">
        <v>8976.6239999999998</v>
      </c>
      <c r="M1284">
        <v>0</v>
      </c>
      <c r="N1284">
        <v>0</v>
      </c>
      <c r="O1284">
        <v>0</v>
      </c>
      <c r="P1284">
        <v>0</v>
      </c>
      <c r="Q1284">
        <v>3218119.7039999999</v>
      </c>
      <c r="R1284">
        <v>0</v>
      </c>
      <c r="S1284">
        <v>0</v>
      </c>
      <c r="T1284" s="9">
        <v>45108</v>
      </c>
      <c r="U1284" s="9">
        <v>45473</v>
      </c>
      <c r="V1284">
        <f>SUM(POTABLE_NONPOTABLE_API[[#This Row],[RESIDENTIAL_SINGLEFAMILY_GAL]:[OTHER_GAL]])</f>
        <v>119105587.492</v>
      </c>
      <c r="W1284">
        <f>SUM(POTABLE_NONPOTABLE_API[[#This Row],[NONPOTABLE_DEMAND_RESIDENTIAL_RECYCLED_WATER_GAL]:[NONPOTABLE_DEMAND_NONRESIDENTIAL_METERED_IRRIGATION_GAL]])</f>
        <v>3218119.7039999999</v>
      </c>
      <c r="X1284" t="str">
        <f>IFERROR(INDEX(Crosswalk_API!$H$2:$H$527, MATCH(POTABLE_NONPOTABLE_API[[#This Row],[PWSID]], CW_PWSID_LIST, 0)), "")</f>
        <v>No</v>
      </c>
    </row>
    <row r="1285" spans="1:24" x14ac:dyDescent="0.25">
      <c r="A1285" t="s">
        <v>1061</v>
      </c>
      <c r="B1285" t="s">
        <v>1062</v>
      </c>
      <c r="C1285" t="s">
        <v>1063</v>
      </c>
      <c r="D1285" t="s">
        <v>1064</v>
      </c>
      <c r="E1285" s="9">
        <v>45444</v>
      </c>
      <c r="F1285" s="9">
        <v>45473</v>
      </c>
      <c r="G1285">
        <v>106978168.46800001</v>
      </c>
      <c r="H1285">
        <v>4819699.0360000003</v>
      </c>
      <c r="I1285">
        <v>45395535.620000005</v>
      </c>
      <c r="J1285">
        <v>0</v>
      </c>
      <c r="K1285">
        <v>0</v>
      </c>
      <c r="L1285">
        <v>748.05200000000002</v>
      </c>
      <c r="M1285">
        <v>0</v>
      </c>
      <c r="N1285">
        <v>0</v>
      </c>
      <c r="O1285">
        <v>0</v>
      </c>
      <c r="P1285">
        <v>0</v>
      </c>
      <c r="Q1285">
        <v>4344686.0159999998</v>
      </c>
      <c r="R1285">
        <v>0</v>
      </c>
      <c r="S1285">
        <v>0</v>
      </c>
      <c r="T1285" s="9">
        <v>45108</v>
      </c>
      <c r="U1285" s="9">
        <v>45473</v>
      </c>
      <c r="V1285">
        <f>SUM(POTABLE_NONPOTABLE_API[[#This Row],[RESIDENTIAL_SINGLEFAMILY_GAL]:[OTHER_GAL]])</f>
        <v>157194151.176</v>
      </c>
      <c r="W1285">
        <f>SUM(POTABLE_NONPOTABLE_API[[#This Row],[NONPOTABLE_DEMAND_RESIDENTIAL_RECYCLED_WATER_GAL]:[NONPOTABLE_DEMAND_NONRESIDENTIAL_METERED_IRRIGATION_GAL]])</f>
        <v>4344686.0159999998</v>
      </c>
      <c r="X1285" t="str">
        <f>IFERROR(INDEX(Crosswalk_API!$H$2:$H$527, MATCH(POTABLE_NONPOTABLE_API[[#This Row],[PWSID]], CW_PWSID_LIST, 0)), "")</f>
        <v>No</v>
      </c>
    </row>
    <row r="1286" spans="1:24" x14ac:dyDescent="0.25">
      <c r="A1286" t="s">
        <v>1065</v>
      </c>
      <c r="B1286" t="s">
        <v>1066</v>
      </c>
      <c r="C1286" t="s">
        <v>1067</v>
      </c>
      <c r="D1286" t="s">
        <v>1068</v>
      </c>
      <c r="E1286" s="9">
        <v>45108</v>
      </c>
      <c r="F1286" s="9">
        <v>45138</v>
      </c>
      <c r="G1286">
        <v>96031548.209999993</v>
      </c>
      <c r="H1286">
        <v>19319705.789999999</v>
      </c>
      <c r="I1286">
        <v>22007976.540000003</v>
      </c>
      <c r="J1286">
        <v>36566999.219999999</v>
      </c>
      <c r="K1286">
        <v>1062274.26</v>
      </c>
      <c r="L1286">
        <v>1479363.54</v>
      </c>
      <c r="M1286">
        <v>5027880.93</v>
      </c>
      <c r="N1286">
        <v>0</v>
      </c>
      <c r="O1286">
        <v>0</v>
      </c>
      <c r="P1286">
        <v>0</v>
      </c>
      <c r="Q1286">
        <v>11552167.036</v>
      </c>
      <c r="R1286">
        <v>0</v>
      </c>
      <c r="S1286">
        <v>0</v>
      </c>
      <c r="T1286" s="9">
        <v>45108</v>
      </c>
      <c r="U1286" s="9">
        <v>45473</v>
      </c>
      <c r="V1286">
        <f>SUM(POTABLE_NONPOTABLE_API[[#This Row],[RESIDENTIAL_SINGLEFAMILY_GAL]:[OTHER_GAL]])</f>
        <v>176467867.55999997</v>
      </c>
      <c r="W1286">
        <f>SUM(POTABLE_NONPOTABLE_API[[#This Row],[NONPOTABLE_DEMAND_RESIDENTIAL_RECYCLED_WATER_GAL]:[NONPOTABLE_DEMAND_NONRESIDENTIAL_METERED_IRRIGATION_GAL]])</f>
        <v>11552167.036</v>
      </c>
      <c r="X1286" t="str">
        <f>IFERROR(INDEX(Crosswalk_API!$H$2:$H$527, MATCH(POTABLE_NONPOTABLE_API[[#This Row],[PWSID]], CW_PWSID_LIST, 0)), "")</f>
        <v>No</v>
      </c>
    </row>
    <row r="1287" spans="1:24" x14ac:dyDescent="0.25">
      <c r="A1287" t="s">
        <v>1065</v>
      </c>
      <c r="B1287" t="s">
        <v>1066</v>
      </c>
      <c r="C1287" t="s">
        <v>1067</v>
      </c>
      <c r="D1287" t="s">
        <v>1068</v>
      </c>
      <c r="E1287" s="9">
        <v>45139</v>
      </c>
      <c r="F1287" s="9">
        <v>45169</v>
      </c>
      <c r="G1287">
        <v>120216209.43000001</v>
      </c>
      <c r="H1287">
        <v>20740416.149999999</v>
      </c>
      <c r="I1287">
        <v>26358087.390000001</v>
      </c>
      <c r="J1287">
        <v>57023925</v>
      </c>
      <c r="K1287">
        <v>1642289.04</v>
      </c>
      <c r="L1287">
        <v>1059015.75</v>
      </c>
      <c r="M1287">
        <v>7387042.1700000009</v>
      </c>
      <c r="N1287">
        <v>0</v>
      </c>
      <c r="O1287">
        <v>0</v>
      </c>
      <c r="Q1287">
        <v>13601020.74</v>
      </c>
      <c r="R1287">
        <v>0</v>
      </c>
      <c r="T1287" s="9">
        <v>45108</v>
      </c>
      <c r="U1287" s="9">
        <v>45473</v>
      </c>
      <c r="V1287">
        <f>SUM(POTABLE_NONPOTABLE_API[[#This Row],[RESIDENTIAL_SINGLEFAMILY_GAL]:[OTHER_GAL]])</f>
        <v>227039942.76000002</v>
      </c>
      <c r="W1287">
        <f>SUM(POTABLE_NONPOTABLE_API[[#This Row],[NONPOTABLE_DEMAND_RESIDENTIAL_RECYCLED_WATER_GAL]:[NONPOTABLE_DEMAND_NONRESIDENTIAL_METERED_IRRIGATION_GAL]])</f>
        <v>13601020.74</v>
      </c>
      <c r="X1287" t="str">
        <f>IFERROR(INDEX(Crosswalk_API!$H$2:$H$527, MATCH(POTABLE_NONPOTABLE_API[[#This Row],[PWSID]], CW_PWSID_LIST, 0)), "")</f>
        <v>No</v>
      </c>
    </row>
    <row r="1288" spans="1:24" x14ac:dyDescent="0.25">
      <c r="A1288" t="s">
        <v>1065</v>
      </c>
      <c r="B1288" t="s">
        <v>1066</v>
      </c>
      <c r="C1288" t="s">
        <v>1067</v>
      </c>
      <c r="D1288" t="s">
        <v>1068</v>
      </c>
      <c r="E1288" s="9">
        <v>45170</v>
      </c>
      <c r="F1288" s="9">
        <v>45199</v>
      </c>
      <c r="G1288">
        <v>102714752.22000001</v>
      </c>
      <c r="H1288">
        <v>20658953.399999999</v>
      </c>
      <c r="I1288">
        <v>24767934.510000002</v>
      </c>
      <c r="J1288">
        <v>45267220.919999994</v>
      </c>
      <c r="K1288">
        <v>1013396.61</v>
      </c>
      <c r="L1288">
        <v>1528241.1900000002</v>
      </c>
      <c r="M1288">
        <v>5383058.5199999996</v>
      </c>
      <c r="N1288">
        <v>0</v>
      </c>
      <c r="O1288">
        <v>0</v>
      </c>
      <c r="P1288">
        <v>0</v>
      </c>
      <c r="Q1288">
        <v>10541279.85</v>
      </c>
      <c r="R1288">
        <v>0</v>
      </c>
      <c r="T1288" s="9">
        <v>45108</v>
      </c>
      <c r="U1288" s="9">
        <v>45473</v>
      </c>
      <c r="V1288">
        <f>SUM(POTABLE_NONPOTABLE_API[[#This Row],[RESIDENTIAL_SINGLEFAMILY_GAL]:[OTHER_GAL]])</f>
        <v>195950498.84999999</v>
      </c>
      <c r="W1288">
        <f>SUM(POTABLE_NONPOTABLE_API[[#This Row],[NONPOTABLE_DEMAND_RESIDENTIAL_RECYCLED_WATER_GAL]:[NONPOTABLE_DEMAND_NONRESIDENTIAL_METERED_IRRIGATION_GAL]])</f>
        <v>10541279.85</v>
      </c>
      <c r="X1288" t="str">
        <f>IFERROR(INDEX(Crosswalk_API!$H$2:$H$527, MATCH(POTABLE_NONPOTABLE_API[[#This Row],[PWSID]], CW_PWSID_LIST, 0)), "")</f>
        <v>No</v>
      </c>
    </row>
    <row r="1289" spans="1:24" x14ac:dyDescent="0.25">
      <c r="A1289" t="s">
        <v>1065</v>
      </c>
      <c r="B1289" t="s">
        <v>1066</v>
      </c>
      <c r="C1289" t="s">
        <v>1067</v>
      </c>
      <c r="D1289" t="s">
        <v>1068</v>
      </c>
      <c r="E1289" s="9">
        <v>45200</v>
      </c>
      <c r="F1289" s="9">
        <v>45230</v>
      </c>
      <c r="G1289">
        <v>99873331.5</v>
      </c>
      <c r="H1289">
        <v>19596679.140000001</v>
      </c>
      <c r="I1289">
        <v>25057941.900000002</v>
      </c>
      <c r="J1289">
        <v>49177432.919999994</v>
      </c>
      <c r="K1289">
        <v>1303404</v>
      </c>
      <c r="L1289">
        <v>1068791.28</v>
      </c>
      <c r="M1289">
        <v>5731719.0899999999</v>
      </c>
      <c r="N1289">
        <v>0</v>
      </c>
      <c r="O1289">
        <v>0</v>
      </c>
      <c r="Q1289">
        <v>17143021.109999999</v>
      </c>
      <c r="R1289">
        <v>0</v>
      </c>
      <c r="T1289" s="9">
        <v>45108</v>
      </c>
      <c r="U1289" s="9">
        <v>45473</v>
      </c>
      <c r="V1289">
        <f>SUM(POTABLE_NONPOTABLE_API[[#This Row],[RESIDENTIAL_SINGLEFAMILY_GAL]:[OTHER_GAL]])</f>
        <v>196077580.73999998</v>
      </c>
      <c r="W1289">
        <f>SUM(POTABLE_NONPOTABLE_API[[#This Row],[NONPOTABLE_DEMAND_RESIDENTIAL_RECYCLED_WATER_GAL]:[NONPOTABLE_DEMAND_NONRESIDENTIAL_METERED_IRRIGATION_GAL]])</f>
        <v>17143021.109999999</v>
      </c>
      <c r="X1289" t="str">
        <f>IFERROR(INDEX(Crosswalk_API!$H$2:$H$527, MATCH(POTABLE_NONPOTABLE_API[[#This Row],[PWSID]], CW_PWSID_LIST, 0)), "")</f>
        <v>No</v>
      </c>
    </row>
    <row r="1290" spans="1:24" x14ac:dyDescent="0.25">
      <c r="A1290" t="s">
        <v>1065</v>
      </c>
      <c r="B1290" t="s">
        <v>1066</v>
      </c>
      <c r="C1290" t="s">
        <v>1067</v>
      </c>
      <c r="D1290" t="s">
        <v>1068</v>
      </c>
      <c r="E1290" s="9">
        <v>45231</v>
      </c>
      <c r="F1290" s="9">
        <v>45260</v>
      </c>
      <c r="G1290">
        <v>96983033.129999995</v>
      </c>
      <c r="H1290">
        <v>19420719.600000001</v>
      </c>
      <c r="I1290">
        <v>23901170.849999998</v>
      </c>
      <c r="J1290">
        <v>46166569.68</v>
      </c>
      <c r="K1290">
        <v>1189356.1499999999</v>
      </c>
      <c r="L1290">
        <v>990587.04</v>
      </c>
      <c r="M1290">
        <v>4731356.5199999996</v>
      </c>
      <c r="N1290">
        <v>0</v>
      </c>
      <c r="O1290">
        <v>0</v>
      </c>
      <c r="P1290">
        <v>0</v>
      </c>
      <c r="Q1290">
        <v>16536938.25</v>
      </c>
      <c r="R1290">
        <v>0</v>
      </c>
      <c r="S1290">
        <v>0</v>
      </c>
      <c r="T1290" s="9">
        <v>45108</v>
      </c>
      <c r="U1290" s="9">
        <v>45473</v>
      </c>
      <c r="V1290">
        <f>SUM(POTABLE_NONPOTABLE_API[[#This Row],[RESIDENTIAL_SINGLEFAMILY_GAL]:[OTHER_GAL]])</f>
        <v>188651436.44999999</v>
      </c>
      <c r="W1290">
        <f>SUM(POTABLE_NONPOTABLE_API[[#This Row],[NONPOTABLE_DEMAND_RESIDENTIAL_RECYCLED_WATER_GAL]:[NONPOTABLE_DEMAND_NONRESIDENTIAL_METERED_IRRIGATION_GAL]])</f>
        <v>16536938.25</v>
      </c>
      <c r="X1290" t="str">
        <f>IFERROR(INDEX(Crosswalk_API!$H$2:$H$527, MATCH(POTABLE_NONPOTABLE_API[[#This Row],[PWSID]], CW_PWSID_LIST, 0)), "")</f>
        <v>No</v>
      </c>
    </row>
    <row r="1291" spans="1:24" x14ac:dyDescent="0.25">
      <c r="A1291" t="s">
        <v>1065</v>
      </c>
      <c r="B1291" t="s">
        <v>1066</v>
      </c>
      <c r="C1291" t="s">
        <v>1067</v>
      </c>
      <c r="D1291" t="s">
        <v>1068</v>
      </c>
      <c r="E1291" s="9">
        <v>45261</v>
      </c>
      <c r="F1291" s="9">
        <v>45291</v>
      </c>
      <c r="G1291">
        <v>87448632.870000005</v>
      </c>
      <c r="H1291">
        <v>18896099.490000002</v>
      </c>
      <c r="I1291">
        <v>21258519.239999998</v>
      </c>
      <c r="J1291">
        <v>38610084.989999995</v>
      </c>
      <c r="K1291">
        <v>1016655.12</v>
      </c>
      <c r="L1291">
        <v>550688.18999999994</v>
      </c>
      <c r="M1291">
        <v>2574222.9</v>
      </c>
      <c r="N1291">
        <v>0</v>
      </c>
      <c r="O1291">
        <v>0</v>
      </c>
      <c r="P1291">
        <v>0</v>
      </c>
      <c r="Q1291">
        <v>9785305.5300000012</v>
      </c>
      <c r="R1291">
        <v>0</v>
      </c>
      <c r="S1291">
        <v>0</v>
      </c>
      <c r="T1291" s="9">
        <v>45108</v>
      </c>
      <c r="U1291" s="9">
        <v>45473</v>
      </c>
      <c r="V1291">
        <f>SUM(POTABLE_NONPOTABLE_API[[#This Row],[RESIDENTIAL_SINGLEFAMILY_GAL]:[OTHER_GAL]])</f>
        <v>167780679.90000001</v>
      </c>
      <c r="W1291">
        <f>SUM(POTABLE_NONPOTABLE_API[[#This Row],[NONPOTABLE_DEMAND_RESIDENTIAL_RECYCLED_WATER_GAL]:[NONPOTABLE_DEMAND_NONRESIDENTIAL_METERED_IRRIGATION_GAL]])</f>
        <v>9785305.5300000012</v>
      </c>
      <c r="X1291" t="str">
        <f>IFERROR(INDEX(Crosswalk_API!$H$2:$H$527, MATCH(POTABLE_NONPOTABLE_API[[#This Row],[PWSID]], CW_PWSID_LIST, 0)), "")</f>
        <v>No</v>
      </c>
    </row>
    <row r="1292" spans="1:24" x14ac:dyDescent="0.25">
      <c r="A1292" t="s">
        <v>1065</v>
      </c>
      <c r="B1292" t="s">
        <v>1066</v>
      </c>
      <c r="C1292" t="s">
        <v>1067</v>
      </c>
      <c r="D1292" t="s">
        <v>1068</v>
      </c>
      <c r="E1292" s="9">
        <v>45292</v>
      </c>
      <c r="F1292" s="9">
        <v>45322</v>
      </c>
      <c r="G1292">
        <v>76350147.810000002</v>
      </c>
      <c r="H1292">
        <v>19626005.73</v>
      </c>
      <c r="I1292">
        <v>21154246.920000002</v>
      </c>
      <c r="J1292">
        <v>18664745.280000001</v>
      </c>
      <c r="K1292">
        <v>1208907.21</v>
      </c>
      <c r="L1292">
        <v>322592.49</v>
      </c>
      <c r="M1292">
        <v>736423.25999999989</v>
      </c>
      <c r="N1292">
        <v>0</v>
      </c>
      <c r="O1292">
        <v>0</v>
      </c>
      <c r="P1292">
        <v>0</v>
      </c>
      <c r="Q1292">
        <v>6653877.4200000009</v>
      </c>
      <c r="R1292">
        <v>0</v>
      </c>
      <c r="S1292">
        <v>0</v>
      </c>
      <c r="T1292" s="9">
        <v>45108</v>
      </c>
      <c r="U1292" s="9">
        <v>45473</v>
      </c>
      <c r="V1292">
        <f>SUM(POTABLE_NONPOTABLE_API[[#This Row],[RESIDENTIAL_SINGLEFAMILY_GAL]:[OTHER_GAL]])</f>
        <v>137326645.44000003</v>
      </c>
      <c r="W1292">
        <f>SUM(POTABLE_NONPOTABLE_API[[#This Row],[NONPOTABLE_DEMAND_RESIDENTIAL_RECYCLED_WATER_GAL]:[NONPOTABLE_DEMAND_NONRESIDENTIAL_METERED_IRRIGATION_GAL]])</f>
        <v>6653877.4200000009</v>
      </c>
      <c r="X1292" t="str">
        <f>IFERROR(INDEX(Crosswalk_API!$H$2:$H$527, MATCH(POTABLE_NONPOTABLE_API[[#This Row],[PWSID]], CW_PWSID_LIST, 0)), "")</f>
        <v>No</v>
      </c>
    </row>
    <row r="1293" spans="1:24" x14ac:dyDescent="0.25">
      <c r="A1293" t="s">
        <v>1065</v>
      </c>
      <c r="B1293" t="s">
        <v>1066</v>
      </c>
      <c r="C1293" t="s">
        <v>1067</v>
      </c>
      <c r="D1293" t="s">
        <v>1068</v>
      </c>
      <c r="E1293" s="9">
        <v>45323</v>
      </c>
      <c r="F1293" s="9">
        <v>45351</v>
      </c>
      <c r="G1293">
        <v>66603944.399999999</v>
      </c>
      <c r="H1293">
        <v>19160038.800000001</v>
      </c>
      <c r="I1293">
        <v>19619488.710000001</v>
      </c>
      <c r="J1293">
        <v>8794718.4900000002</v>
      </c>
      <c r="K1293">
        <v>856988.13</v>
      </c>
      <c r="L1293">
        <v>208544.64000000001</v>
      </c>
      <c r="M1293">
        <v>1006879.59</v>
      </c>
      <c r="N1293">
        <v>0</v>
      </c>
      <c r="O1293">
        <v>0</v>
      </c>
      <c r="P1293">
        <v>0</v>
      </c>
      <c r="Q1293">
        <v>2720855.85</v>
      </c>
      <c r="R1293">
        <v>0</v>
      </c>
      <c r="S1293">
        <v>0</v>
      </c>
      <c r="T1293" s="9">
        <v>45108</v>
      </c>
      <c r="U1293" s="9">
        <v>45473</v>
      </c>
      <c r="V1293">
        <f>SUM(POTABLE_NONPOTABLE_API[[#This Row],[RESIDENTIAL_SINGLEFAMILY_GAL]:[OTHER_GAL]])</f>
        <v>115243723.16999999</v>
      </c>
      <c r="W1293">
        <f>SUM(POTABLE_NONPOTABLE_API[[#This Row],[NONPOTABLE_DEMAND_RESIDENTIAL_RECYCLED_WATER_GAL]:[NONPOTABLE_DEMAND_NONRESIDENTIAL_METERED_IRRIGATION_GAL]])</f>
        <v>2720855.85</v>
      </c>
      <c r="X1293" t="str">
        <f>IFERROR(INDEX(Crosswalk_API!$H$2:$H$527, MATCH(POTABLE_NONPOTABLE_API[[#This Row],[PWSID]], CW_PWSID_LIST, 0)), "")</f>
        <v>No</v>
      </c>
    </row>
    <row r="1294" spans="1:24" x14ac:dyDescent="0.25">
      <c r="A1294" t="s">
        <v>1065</v>
      </c>
      <c r="B1294" t="s">
        <v>1066</v>
      </c>
      <c r="C1294" t="s">
        <v>1067</v>
      </c>
      <c r="D1294" t="s">
        <v>1068</v>
      </c>
      <c r="E1294" s="9">
        <v>45352</v>
      </c>
      <c r="F1294" s="9">
        <v>45382</v>
      </c>
      <c r="G1294">
        <v>60021754.199999996</v>
      </c>
      <c r="H1294">
        <v>18821153.759999998</v>
      </c>
      <c r="I1294">
        <v>19114419.66</v>
      </c>
      <c r="J1294">
        <v>4750907.58</v>
      </c>
      <c r="K1294">
        <v>902607.27</v>
      </c>
      <c r="L1294">
        <v>179218.05000000002</v>
      </c>
      <c r="M1294">
        <v>1270818.8999999999</v>
      </c>
      <c r="N1294">
        <v>0</v>
      </c>
      <c r="O1294">
        <v>0</v>
      </c>
      <c r="P1294">
        <v>0</v>
      </c>
      <c r="Q1294">
        <v>5236425.57</v>
      </c>
      <c r="R1294">
        <v>0</v>
      </c>
      <c r="T1294" s="9">
        <v>45108</v>
      </c>
      <c r="U1294" s="9">
        <v>45473</v>
      </c>
      <c r="V1294">
        <f>SUM(POTABLE_NONPOTABLE_API[[#This Row],[RESIDENTIAL_SINGLEFAMILY_GAL]:[OTHER_GAL]])</f>
        <v>103790060.51999998</v>
      </c>
      <c r="W1294">
        <f>SUM(POTABLE_NONPOTABLE_API[[#This Row],[NONPOTABLE_DEMAND_RESIDENTIAL_RECYCLED_WATER_GAL]:[NONPOTABLE_DEMAND_NONRESIDENTIAL_METERED_IRRIGATION_GAL]])</f>
        <v>5236425.57</v>
      </c>
      <c r="X1294" t="str">
        <f>IFERROR(INDEX(Crosswalk_API!$H$2:$H$527, MATCH(POTABLE_NONPOTABLE_API[[#This Row],[PWSID]], CW_PWSID_LIST, 0)), "")</f>
        <v>No</v>
      </c>
    </row>
    <row r="1295" spans="1:24" x14ac:dyDescent="0.25">
      <c r="A1295" t="s">
        <v>1065</v>
      </c>
      <c r="B1295" t="s">
        <v>1066</v>
      </c>
      <c r="C1295" t="s">
        <v>1067</v>
      </c>
      <c r="D1295" t="s">
        <v>1068</v>
      </c>
      <c r="E1295" s="9">
        <v>45383</v>
      </c>
      <c r="F1295" s="9">
        <v>45412</v>
      </c>
      <c r="G1295">
        <v>71002932.900000006</v>
      </c>
      <c r="H1295">
        <v>19433753.640000001</v>
      </c>
      <c r="I1295">
        <v>20707831.050000001</v>
      </c>
      <c r="J1295">
        <v>12952577.25</v>
      </c>
      <c r="K1295">
        <v>984070.02</v>
      </c>
      <c r="L1295">
        <v>345402.06</v>
      </c>
      <c r="M1295">
        <v>3375816.36</v>
      </c>
      <c r="N1295">
        <v>0</v>
      </c>
      <c r="O1295">
        <v>0</v>
      </c>
      <c r="P1295">
        <v>0</v>
      </c>
      <c r="Q1295">
        <v>8608983.4199999999</v>
      </c>
      <c r="R1295">
        <v>0</v>
      </c>
      <c r="S1295">
        <v>0</v>
      </c>
      <c r="T1295" s="9">
        <v>45108</v>
      </c>
      <c r="U1295" s="9">
        <v>45473</v>
      </c>
      <c r="V1295">
        <f>SUM(POTABLE_NONPOTABLE_API[[#This Row],[RESIDENTIAL_SINGLEFAMILY_GAL]:[OTHER_GAL]])</f>
        <v>125426566.92</v>
      </c>
      <c r="W1295">
        <f>SUM(POTABLE_NONPOTABLE_API[[#This Row],[NONPOTABLE_DEMAND_RESIDENTIAL_RECYCLED_WATER_GAL]:[NONPOTABLE_DEMAND_NONRESIDENTIAL_METERED_IRRIGATION_GAL]])</f>
        <v>8608983.4199999999</v>
      </c>
      <c r="X1295" t="str">
        <f>IFERROR(INDEX(Crosswalk_API!$H$2:$H$527, MATCH(POTABLE_NONPOTABLE_API[[#This Row],[PWSID]], CW_PWSID_LIST, 0)), "")</f>
        <v>No</v>
      </c>
    </row>
    <row r="1296" spans="1:24" x14ac:dyDescent="0.25">
      <c r="A1296" t="s">
        <v>1065</v>
      </c>
      <c r="B1296" t="s">
        <v>1066</v>
      </c>
      <c r="C1296" t="s">
        <v>1067</v>
      </c>
      <c r="D1296" t="s">
        <v>1068</v>
      </c>
      <c r="E1296" s="9">
        <v>45413</v>
      </c>
      <c r="F1296" s="9">
        <v>45443</v>
      </c>
      <c r="G1296">
        <v>81857029.710000008</v>
      </c>
      <c r="H1296">
        <v>18993854.789999999</v>
      </c>
      <c r="I1296">
        <v>21897187.199999999</v>
      </c>
      <c r="J1296">
        <v>26074597.02</v>
      </c>
      <c r="K1296">
        <v>879797.70000000007</v>
      </c>
      <c r="L1296">
        <v>276973.34999999998</v>
      </c>
      <c r="M1296">
        <v>3812456.6999999997</v>
      </c>
      <c r="N1296">
        <v>0</v>
      </c>
      <c r="O1296">
        <v>0</v>
      </c>
      <c r="P1296">
        <v>0</v>
      </c>
      <c r="Q1296">
        <v>15064091.729999999</v>
      </c>
      <c r="R1296">
        <v>0</v>
      </c>
      <c r="S1296">
        <v>0</v>
      </c>
      <c r="T1296" s="9">
        <v>45108</v>
      </c>
      <c r="U1296" s="9">
        <v>45473</v>
      </c>
      <c r="V1296">
        <f>SUM(POTABLE_NONPOTABLE_API[[#This Row],[RESIDENTIAL_SINGLEFAMILY_GAL]:[OTHER_GAL]])</f>
        <v>149979439.76999998</v>
      </c>
      <c r="W1296">
        <f>SUM(POTABLE_NONPOTABLE_API[[#This Row],[NONPOTABLE_DEMAND_RESIDENTIAL_RECYCLED_WATER_GAL]:[NONPOTABLE_DEMAND_NONRESIDENTIAL_METERED_IRRIGATION_GAL]])</f>
        <v>15064091.729999999</v>
      </c>
      <c r="X1296" t="str">
        <f>IFERROR(INDEX(Crosswalk_API!$H$2:$H$527, MATCH(POTABLE_NONPOTABLE_API[[#This Row],[PWSID]], CW_PWSID_LIST, 0)), "")</f>
        <v>No</v>
      </c>
    </row>
    <row r="1297" spans="1:24" x14ac:dyDescent="0.25">
      <c r="A1297" t="s">
        <v>1065</v>
      </c>
      <c r="B1297" t="s">
        <v>1066</v>
      </c>
      <c r="C1297" t="s">
        <v>1067</v>
      </c>
      <c r="D1297" t="s">
        <v>1068</v>
      </c>
      <c r="E1297" s="9">
        <v>45444</v>
      </c>
      <c r="F1297" s="9">
        <v>45473</v>
      </c>
      <c r="G1297">
        <v>98247335.00999999</v>
      </c>
      <c r="H1297">
        <v>19880169.509999998</v>
      </c>
      <c r="I1297">
        <v>23836000.650000002</v>
      </c>
      <c r="J1297">
        <v>43103570.280000001</v>
      </c>
      <c r="K1297">
        <v>830920.04999999993</v>
      </c>
      <c r="L1297">
        <v>827661.54</v>
      </c>
      <c r="M1297">
        <v>5311371.3</v>
      </c>
      <c r="N1297">
        <v>0</v>
      </c>
      <c r="O1297">
        <v>0</v>
      </c>
      <c r="P1297">
        <v>0</v>
      </c>
      <c r="Q1297">
        <v>13229550.6</v>
      </c>
      <c r="R1297">
        <v>0</v>
      </c>
      <c r="S1297">
        <v>0</v>
      </c>
      <c r="T1297" s="9">
        <v>45108</v>
      </c>
      <c r="U1297" s="9">
        <v>45473</v>
      </c>
      <c r="V1297">
        <f>SUM(POTABLE_NONPOTABLE_API[[#This Row],[RESIDENTIAL_SINGLEFAMILY_GAL]:[OTHER_GAL]])</f>
        <v>186725657.03999999</v>
      </c>
      <c r="W1297">
        <f>SUM(POTABLE_NONPOTABLE_API[[#This Row],[NONPOTABLE_DEMAND_RESIDENTIAL_RECYCLED_WATER_GAL]:[NONPOTABLE_DEMAND_NONRESIDENTIAL_METERED_IRRIGATION_GAL]])</f>
        <v>13229550.6</v>
      </c>
      <c r="X1297" t="str">
        <f>IFERROR(INDEX(Crosswalk_API!$H$2:$H$527, MATCH(POTABLE_NONPOTABLE_API[[#This Row],[PWSID]], CW_PWSID_LIST, 0)), "")</f>
        <v>No</v>
      </c>
    </row>
    <row r="1298" spans="1:24" x14ac:dyDescent="0.25">
      <c r="A1298" t="s">
        <v>1069</v>
      </c>
      <c r="B1298" t="s">
        <v>1070</v>
      </c>
      <c r="C1298" t="s">
        <v>1071</v>
      </c>
      <c r="D1298" t="s">
        <v>1072</v>
      </c>
      <c r="E1298" s="9">
        <v>45108</v>
      </c>
      <c r="F1298" s="9">
        <v>45138</v>
      </c>
      <c r="G1298">
        <v>8680670.6400000006</v>
      </c>
      <c r="H1298">
        <v>508327.56</v>
      </c>
      <c r="I1298">
        <v>5197323.45</v>
      </c>
      <c r="J1298">
        <v>0</v>
      </c>
      <c r="K1298">
        <v>0</v>
      </c>
      <c r="L1298">
        <v>48877.65</v>
      </c>
      <c r="M1298">
        <v>0</v>
      </c>
      <c r="T1298" s="9">
        <v>45108</v>
      </c>
      <c r="U1298" s="9">
        <v>45473</v>
      </c>
      <c r="V1298">
        <f>SUM(POTABLE_NONPOTABLE_API[[#This Row],[RESIDENTIAL_SINGLEFAMILY_GAL]:[OTHER_GAL]])</f>
        <v>14435199.300000003</v>
      </c>
      <c r="W1298">
        <f>SUM(POTABLE_NONPOTABLE_API[[#This Row],[NONPOTABLE_DEMAND_RESIDENTIAL_RECYCLED_WATER_GAL]:[NONPOTABLE_DEMAND_NONRESIDENTIAL_METERED_IRRIGATION_GAL]])</f>
        <v>0</v>
      </c>
      <c r="X1298" t="str">
        <f>IFERROR(INDEX(Crosswalk_API!$H$2:$H$527, MATCH(POTABLE_NONPOTABLE_API[[#This Row],[PWSID]], CW_PWSID_LIST, 0)), "")</f>
        <v>No</v>
      </c>
    </row>
    <row r="1299" spans="1:24" x14ac:dyDescent="0.25">
      <c r="A1299" t="s">
        <v>1069</v>
      </c>
      <c r="B1299" t="s">
        <v>1070</v>
      </c>
      <c r="C1299" t="s">
        <v>1071</v>
      </c>
      <c r="D1299" t="s">
        <v>1072</v>
      </c>
      <c r="E1299" s="9">
        <v>45139</v>
      </c>
      <c r="F1299" s="9">
        <v>45169</v>
      </c>
      <c r="G1299">
        <v>8143016.4899999993</v>
      </c>
      <c r="H1299">
        <v>477371.71500000003</v>
      </c>
      <c r="I1299">
        <v>4874079.2580000004</v>
      </c>
      <c r="J1299">
        <v>0</v>
      </c>
      <c r="K1299">
        <v>0</v>
      </c>
      <c r="L1299">
        <v>48877.65</v>
      </c>
      <c r="M1299">
        <v>0</v>
      </c>
      <c r="T1299" s="9">
        <v>45108</v>
      </c>
      <c r="U1299" s="9">
        <v>45473</v>
      </c>
      <c r="V1299">
        <f>SUM(POTABLE_NONPOTABLE_API[[#This Row],[RESIDENTIAL_SINGLEFAMILY_GAL]:[OTHER_GAL]])</f>
        <v>13543345.113</v>
      </c>
      <c r="W1299">
        <f>SUM(POTABLE_NONPOTABLE_API[[#This Row],[NONPOTABLE_DEMAND_RESIDENTIAL_RECYCLED_WATER_GAL]:[NONPOTABLE_DEMAND_NONRESIDENTIAL_METERED_IRRIGATION_GAL]])</f>
        <v>0</v>
      </c>
      <c r="X1299" t="str">
        <f>IFERROR(INDEX(Crosswalk_API!$H$2:$H$527, MATCH(POTABLE_NONPOTABLE_API[[#This Row],[PWSID]], CW_PWSID_LIST, 0)), "")</f>
        <v>No</v>
      </c>
    </row>
    <row r="1300" spans="1:24" x14ac:dyDescent="0.25">
      <c r="A1300" t="s">
        <v>1069</v>
      </c>
      <c r="B1300" t="s">
        <v>1070</v>
      </c>
      <c r="C1300" t="s">
        <v>1071</v>
      </c>
      <c r="D1300" t="s">
        <v>1072</v>
      </c>
      <c r="E1300" s="9">
        <v>45170</v>
      </c>
      <c r="F1300" s="9">
        <v>45199</v>
      </c>
      <c r="G1300">
        <v>7374008.1299999999</v>
      </c>
      <c r="H1300">
        <v>511586.07</v>
      </c>
      <c r="I1300">
        <v>4454383.17</v>
      </c>
      <c r="J1300">
        <v>0</v>
      </c>
      <c r="K1300">
        <v>0</v>
      </c>
      <c r="L1300">
        <v>48877.65</v>
      </c>
      <c r="M1300">
        <v>0</v>
      </c>
      <c r="T1300" s="9">
        <v>45108</v>
      </c>
      <c r="U1300" s="9">
        <v>45473</v>
      </c>
      <c r="V1300">
        <f>SUM(POTABLE_NONPOTABLE_API[[#This Row],[RESIDENTIAL_SINGLEFAMILY_GAL]:[OTHER_GAL]])</f>
        <v>12388855.020000001</v>
      </c>
      <c r="W1300">
        <f>SUM(POTABLE_NONPOTABLE_API[[#This Row],[NONPOTABLE_DEMAND_RESIDENTIAL_RECYCLED_WATER_GAL]:[NONPOTABLE_DEMAND_NONRESIDENTIAL_METERED_IRRIGATION_GAL]])</f>
        <v>0</v>
      </c>
      <c r="X1300" t="str">
        <f>IFERROR(INDEX(Crosswalk_API!$H$2:$H$527, MATCH(POTABLE_NONPOTABLE_API[[#This Row],[PWSID]], CW_PWSID_LIST, 0)), "")</f>
        <v>No</v>
      </c>
    </row>
    <row r="1301" spans="1:24" x14ac:dyDescent="0.25">
      <c r="A1301" t="s">
        <v>1069</v>
      </c>
      <c r="B1301" t="s">
        <v>1070</v>
      </c>
      <c r="C1301" t="s">
        <v>1071</v>
      </c>
      <c r="D1301" t="s">
        <v>1072</v>
      </c>
      <c r="E1301" s="9">
        <v>45200</v>
      </c>
      <c r="F1301" s="9">
        <v>45230</v>
      </c>
      <c r="G1301">
        <v>7624913.3999999994</v>
      </c>
      <c r="H1301">
        <v>527878.62</v>
      </c>
      <c r="I1301">
        <v>4604274.63</v>
      </c>
      <c r="J1301">
        <v>0</v>
      </c>
      <c r="K1301">
        <v>0</v>
      </c>
      <c r="L1301">
        <v>39102.119999999995</v>
      </c>
      <c r="M1301">
        <v>0</v>
      </c>
      <c r="T1301" s="9">
        <v>45108</v>
      </c>
      <c r="U1301" s="9">
        <v>45473</v>
      </c>
      <c r="V1301">
        <f>SUM(POTABLE_NONPOTABLE_API[[#This Row],[RESIDENTIAL_SINGLEFAMILY_GAL]:[OTHER_GAL]])</f>
        <v>12796168.769999998</v>
      </c>
      <c r="W1301">
        <f>SUM(POTABLE_NONPOTABLE_API[[#This Row],[NONPOTABLE_DEMAND_RESIDENTIAL_RECYCLED_WATER_GAL]:[NONPOTABLE_DEMAND_NONRESIDENTIAL_METERED_IRRIGATION_GAL]])</f>
        <v>0</v>
      </c>
      <c r="X1301" t="str">
        <f>IFERROR(INDEX(Crosswalk_API!$H$2:$H$527, MATCH(POTABLE_NONPOTABLE_API[[#This Row],[PWSID]], CW_PWSID_LIST, 0)), "")</f>
        <v>No</v>
      </c>
    </row>
    <row r="1302" spans="1:24" x14ac:dyDescent="0.25">
      <c r="A1302" t="s">
        <v>1069</v>
      </c>
      <c r="B1302" t="s">
        <v>1070</v>
      </c>
      <c r="C1302" t="s">
        <v>1071</v>
      </c>
      <c r="D1302" t="s">
        <v>1072</v>
      </c>
      <c r="E1302" s="9">
        <v>45231</v>
      </c>
      <c r="F1302" s="9">
        <v>45260</v>
      </c>
      <c r="G1302">
        <v>6779595.2760000005</v>
      </c>
      <c r="H1302">
        <v>505683.152</v>
      </c>
      <c r="I1302">
        <v>4658119.8040000005</v>
      </c>
      <c r="J1302">
        <v>0</v>
      </c>
      <c r="K1302">
        <v>0</v>
      </c>
      <c r="L1302">
        <v>48623.380000000005</v>
      </c>
      <c r="M1302">
        <v>0</v>
      </c>
      <c r="T1302" s="9">
        <v>45108</v>
      </c>
      <c r="U1302" s="9">
        <v>45473</v>
      </c>
      <c r="V1302">
        <f>SUM(POTABLE_NONPOTABLE_API[[#This Row],[RESIDENTIAL_SINGLEFAMILY_GAL]:[OTHER_GAL]])</f>
        <v>11992021.612000002</v>
      </c>
      <c r="W1302">
        <f>SUM(POTABLE_NONPOTABLE_API[[#This Row],[NONPOTABLE_DEMAND_RESIDENTIAL_RECYCLED_WATER_GAL]:[NONPOTABLE_DEMAND_NONRESIDENTIAL_METERED_IRRIGATION_GAL]])</f>
        <v>0</v>
      </c>
      <c r="X1302" t="str">
        <f>IFERROR(INDEX(Crosswalk_API!$H$2:$H$527, MATCH(POTABLE_NONPOTABLE_API[[#This Row],[PWSID]], CW_PWSID_LIST, 0)), "")</f>
        <v>No</v>
      </c>
    </row>
    <row r="1303" spans="1:24" x14ac:dyDescent="0.25">
      <c r="A1303" t="s">
        <v>1069</v>
      </c>
      <c r="B1303" t="s">
        <v>1070</v>
      </c>
      <c r="C1303" t="s">
        <v>1071</v>
      </c>
      <c r="D1303" t="s">
        <v>1072</v>
      </c>
      <c r="E1303" s="9">
        <v>45261</v>
      </c>
      <c r="F1303" s="9">
        <v>45291</v>
      </c>
      <c r="G1303">
        <v>6846129.5100000007</v>
      </c>
      <c r="H1303">
        <v>511586.07</v>
      </c>
      <c r="I1303">
        <v>4702029.93</v>
      </c>
      <c r="J1303">
        <v>0</v>
      </c>
      <c r="K1303">
        <v>0</v>
      </c>
      <c r="L1303">
        <v>48877.65</v>
      </c>
      <c r="M1303">
        <v>0</v>
      </c>
      <c r="T1303" s="9">
        <v>45108</v>
      </c>
      <c r="U1303" s="9">
        <v>45473</v>
      </c>
      <c r="V1303">
        <f>SUM(POTABLE_NONPOTABLE_API[[#This Row],[RESIDENTIAL_SINGLEFAMILY_GAL]:[OTHER_GAL]])</f>
        <v>12108623.160000002</v>
      </c>
      <c r="W1303">
        <f>SUM(POTABLE_NONPOTABLE_API[[#This Row],[NONPOTABLE_DEMAND_RESIDENTIAL_RECYCLED_WATER_GAL]:[NONPOTABLE_DEMAND_NONRESIDENTIAL_METERED_IRRIGATION_GAL]])</f>
        <v>0</v>
      </c>
      <c r="X1303" t="str">
        <f>IFERROR(INDEX(Crosswalk_API!$H$2:$H$527, MATCH(POTABLE_NONPOTABLE_API[[#This Row],[PWSID]], CW_PWSID_LIST, 0)), "")</f>
        <v>No</v>
      </c>
    </row>
    <row r="1304" spans="1:24" x14ac:dyDescent="0.25">
      <c r="A1304" t="s">
        <v>1069</v>
      </c>
      <c r="B1304" t="s">
        <v>1070</v>
      </c>
      <c r="C1304" t="s">
        <v>1071</v>
      </c>
      <c r="D1304" t="s">
        <v>1072</v>
      </c>
      <c r="E1304" s="9">
        <v>45292</v>
      </c>
      <c r="F1304" s="9">
        <v>45322</v>
      </c>
      <c r="G1304">
        <v>6623252.4079999998</v>
      </c>
      <c r="H1304">
        <v>510171.46400000004</v>
      </c>
      <c r="I1304">
        <v>3468717.1240000003</v>
      </c>
      <c r="J1304">
        <v>0</v>
      </c>
      <c r="K1304">
        <v>0</v>
      </c>
      <c r="L1304">
        <v>47875.328000000001</v>
      </c>
      <c r="M1304">
        <v>0</v>
      </c>
      <c r="T1304" s="9">
        <v>45108</v>
      </c>
      <c r="U1304" s="9">
        <v>45473</v>
      </c>
      <c r="V1304">
        <f>SUM(POTABLE_NONPOTABLE_API[[#This Row],[RESIDENTIAL_SINGLEFAMILY_GAL]:[OTHER_GAL]])</f>
        <v>10650016.323999999</v>
      </c>
      <c r="W1304">
        <f>SUM(POTABLE_NONPOTABLE_API[[#This Row],[NONPOTABLE_DEMAND_RESIDENTIAL_RECYCLED_WATER_GAL]:[NONPOTABLE_DEMAND_NONRESIDENTIAL_METERED_IRRIGATION_GAL]])</f>
        <v>0</v>
      </c>
      <c r="X1304" t="str">
        <f>IFERROR(INDEX(Crosswalk_API!$H$2:$H$527, MATCH(POTABLE_NONPOTABLE_API[[#This Row],[PWSID]], CW_PWSID_LIST, 0)), "")</f>
        <v>No</v>
      </c>
    </row>
    <row r="1305" spans="1:24" x14ac:dyDescent="0.25">
      <c r="A1305" t="s">
        <v>1069</v>
      </c>
      <c r="B1305" t="s">
        <v>1070</v>
      </c>
      <c r="C1305" t="s">
        <v>1071</v>
      </c>
      <c r="D1305" t="s">
        <v>1072</v>
      </c>
      <c r="E1305" s="9">
        <v>45323</v>
      </c>
      <c r="F1305" s="9">
        <v>45351</v>
      </c>
      <c r="G1305">
        <v>5461262.7600000007</v>
      </c>
      <c r="H1305">
        <v>387762.69</v>
      </c>
      <c r="I1305">
        <v>2671978.1999999997</v>
      </c>
      <c r="J1305">
        <v>0</v>
      </c>
      <c r="K1305">
        <v>0</v>
      </c>
      <c r="L1305">
        <v>32585.100000000002</v>
      </c>
      <c r="M1305">
        <v>0</v>
      </c>
      <c r="T1305" s="9">
        <v>45108</v>
      </c>
      <c r="U1305" s="9">
        <v>45473</v>
      </c>
      <c r="V1305">
        <f>SUM(POTABLE_NONPOTABLE_API[[#This Row],[RESIDENTIAL_SINGLEFAMILY_GAL]:[OTHER_GAL]])</f>
        <v>8553588.75</v>
      </c>
      <c r="W1305">
        <f>SUM(POTABLE_NONPOTABLE_API[[#This Row],[NONPOTABLE_DEMAND_RESIDENTIAL_RECYCLED_WATER_GAL]:[NONPOTABLE_DEMAND_NONRESIDENTIAL_METERED_IRRIGATION_GAL]])</f>
        <v>0</v>
      </c>
      <c r="X1305" t="str">
        <f>IFERROR(INDEX(Crosswalk_API!$H$2:$H$527, MATCH(POTABLE_NONPOTABLE_API[[#This Row],[PWSID]], CW_PWSID_LIST, 0)), "")</f>
        <v>No</v>
      </c>
    </row>
    <row r="1306" spans="1:24" x14ac:dyDescent="0.25">
      <c r="A1306" t="s">
        <v>1069</v>
      </c>
      <c r="B1306" t="s">
        <v>1070</v>
      </c>
      <c r="C1306" t="s">
        <v>1071</v>
      </c>
      <c r="D1306" t="s">
        <v>1072</v>
      </c>
      <c r="E1306" s="9">
        <v>45352</v>
      </c>
      <c r="F1306" s="9">
        <v>45382</v>
      </c>
      <c r="G1306">
        <v>5617671.2399999993</v>
      </c>
      <c r="H1306">
        <v>430123.32</v>
      </c>
      <c r="I1306">
        <v>3502898.25</v>
      </c>
      <c r="J1306">
        <v>0</v>
      </c>
      <c r="K1306">
        <v>0</v>
      </c>
      <c r="L1306">
        <v>48877.65</v>
      </c>
      <c r="M1306">
        <v>0</v>
      </c>
      <c r="T1306" s="9">
        <v>45108</v>
      </c>
      <c r="U1306" s="9">
        <v>45473</v>
      </c>
      <c r="V1306">
        <f>SUM(POTABLE_NONPOTABLE_API[[#This Row],[RESIDENTIAL_SINGLEFAMILY_GAL]:[OTHER_GAL]])</f>
        <v>9599570.459999999</v>
      </c>
      <c r="W1306">
        <f>SUM(POTABLE_NONPOTABLE_API[[#This Row],[NONPOTABLE_DEMAND_RESIDENTIAL_RECYCLED_WATER_GAL]:[NONPOTABLE_DEMAND_NONRESIDENTIAL_METERED_IRRIGATION_GAL]])</f>
        <v>0</v>
      </c>
      <c r="X1306" t="str">
        <f>IFERROR(INDEX(Crosswalk_API!$H$2:$H$527, MATCH(POTABLE_NONPOTABLE_API[[#This Row],[PWSID]], CW_PWSID_LIST, 0)), "")</f>
        <v>No</v>
      </c>
    </row>
    <row r="1307" spans="1:24" x14ac:dyDescent="0.25">
      <c r="A1307" t="s">
        <v>1069</v>
      </c>
      <c r="B1307" t="s">
        <v>1070</v>
      </c>
      <c r="C1307" t="s">
        <v>1071</v>
      </c>
      <c r="D1307" t="s">
        <v>1072</v>
      </c>
      <c r="E1307" s="9">
        <v>45383</v>
      </c>
      <c r="F1307" s="9">
        <v>45412</v>
      </c>
      <c r="G1307">
        <v>5529691.4699999997</v>
      </c>
      <c r="H1307">
        <v>423606.3</v>
      </c>
      <c r="I1307">
        <v>3447503.58</v>
      </c>
      <c r="J1307">
        <v>0</v>
      </c>
      <c r="K1307">
        <v>0</v>
      </c>
      <c r="L1307">
        <v>61911.69</v>
      </c>
      <c r="M1307">
        <v>0</v>
      </c>
      <c r="T1307" s="9">
        <v>45108</v>
      </c>
      <c r="U1307" s="9">
        <v>45473</v>
      </c>
      <c r="V1307">
        <f>SUM(POTABLE_NONPOTABLE_API[[#This Row],[RESIDENTIAL_SINGLEFAMILY_GAL]:[OTHER_GAL]])</f>
        <v>9462713.0399999991</v>
      </c>
      <c r="W1307">
        <f>SUM(POTABLE_NONPOTABLE_API[[#This Row],[NONPOTABLE_DEMAND_RESIDENTIAL_RECYCLED_WATER_GAL]:[NONPOTABLE_DEMAND_NONRESIDENTIAL_METERED_IRRIGATION_GAL]])</f>
        <v>0</v>
      </c>
      <c r="X1307" t="str">
        <f>IFERROR(INDEX(Crosswalk_API!$H$2:$H$527, MATCH(POTABLE_NONPOTABLE_API[[#This Row],[PWSID]], CW_PWSID_LIST, 0)), "")</f>
        <v>No</v>
      </c>
    </row>
    <row r="1308" spans="1:24" x14ac:dyDescent="0.25">
      <c r="A1308" t="s">
        <v>1069</v>
      </c>
      <c r="B1308" t="s">
        <v>1070</v>
      </c>
      <c r="C1308" t="s">
        <v>1071</v>
      </c>
      <c r="D1308" t="s">
        <v>1072</v>
      </c>
      <c r="E1308" s="9">
        <v>45413</v>
      </c>
      <c r="F1308" s="9">
        <v>45443</v>
      </c>
      <c r="G1308">
        <v>6934109.2800000003</v>
      </c>
      <c r="H1308">
        <v>479000.97</v>
      </c>
      <c r="I1308">
        <v>3946055.61</v>
      </c>
      <c r="J1308">
        <v>0</v>
      </c>
      <c r="K1308">
        <v>0</v>
      </c>
      <c r="L1308">
        <v>48877.65</v>
      </c>
      <c r="M1308">
        <v>0</v>
      </c>
      <c r="T1308" s="9">
        <v>45108</v>
      </c>
      <c r="U1308" s="9">
        <v>45473</v>
      </c>
      <c r="V1308">
        <f>SUM(POTABLE_NONPOTABLE_API[[#This Row],[RESIDENTIAL_SINGLEFAMILY_GAL]:[OTHER_GAL]])</f>
        <v>11408043.51</v>
      </c>
      <c r="W1308">
        <f>SUM(POTABLE_NONPOTABLE_API[[#This Row],[NONPOTABLE_DEMAND_RESIDENTIAL_RECYCLED_WATER_GAL]:[NONPOTABLE_DEMAND_NONRESIDENTIAL_METERED_IRRIGATION_GAL]])</f>
        <v>0</v>
      </c>
      <c r="X1308" t="str">
        <f>IFERROR(INDEX(Crosswalk_API!$H$2:$H$527, MATCH(POTABLE_NONPOTABLE_API[[#This Row],[PWSID]], CW_PWSID_LIST, 0)), "")</f>
        <v>No</v>
      </c>
    </row>
    <row r="1309" spans="1:24" x14ac:dyDescent="0.25">
      <c r="A1309" t="s">
        <v>1069</v>
      </c>
      <c r="B1309" t="s">
        <v>1070</v>
      </c>
      <c r="C1309" t="s">
        <v>1071</v>
      </c>
      <c r="D1309" t="s">
        <v>1072</v>
      </c>
      <c r="E1309" s="9">
        <v>45444</v>
      </c>
      <c r="F1309" s="9">
        <v>45473</v>
      </c>
      <c r="G1309">
        <v>7807389.96</v>
      </c>
      <c r="H1309">
        <v>537654.15</v>
      </c>
      <c r="I1309">
        <v>4441349.13</v>
      </c>
      <c r="J1309">
        <v>0</v>
      </c>
      <c r="K1309">
        <v>0</v>
      </c>
      <c r="L1309">
        <v>48877.65</v>
      </c>
      <c r="M1309">
        <v>0</v>
      </c>
      <c r="T1309" s="9">
        <v>45108</v>
      </c>
      <c r="U1309" s="9">
        <v>45473</v>
      </c>
      <c r="V1309">
        <f>SUM(POTABLE_NONPOTABLE_API[[#This Row],[RESIDENTIAL_SINGLEFAMILY_GAL]:[OTHER_GAL]])</f>
        <v>12835270.890000001</v>
      </c>
      <c r="W1309">
        <f>SUM(POTABLE_NONPOTABLE_API[[#This Row],[NONPOTABLE_DEMAND_RESIDENTIAL_RECYCLED_WATER_GAL]:[NONPOTABLE_DEMAND_NONRESIDENTIAL_METERED_IRRIGATION_GAL]])</f>
        <v>0</v>
      </c>
      <c r="X1309" t="str">
        <f>IFERROR(INDEX(Crosswalk_API!$H$2:$H$527, MATCH(POTABLE_NONPOTABLE_API[[#This Row],[PWSID]], CW_PWSID_LIST, 0)), "")</f>
        <v>No</v>
      </c>
    </row>
    <row r="1310" spans="1:24" x14ac:dyDescent="0.25">
      <c r="A1310" t="s">
        <v>1073</v>
      </c>
      <c r="B1310" t="s">
        <v>1074</v>
      </c>
      <c r="C1310" t="s">
        <v>1075</v>
      </c>
      <c r="D1310" t="s">
        <v>1076</v>
      </c>
      <c r="E1310" s="9">
        <v>45108</v>
      </c>
      <c r="F1310" s="9">
        <v>45138</v>
      </c>
      <c r="G1310">
        <v>145941204.94</v>
      </c>
      <c r="H1310">
        <v>4345434.068</v>
      </c>
      <c r="I1310">
        <v>8801579.8320000004</v>
      </c>
      <c r="J1310">
        <v>22914328.864</v>
      </c>
      <c r="K1310">
        <v>19314702.640000001</v>
      </c>
      <c r="L1310">
        <v>23937.664000000001</v>
      </c>
      <c r="M1310">
        <v>15845237.464</v>
      </c>
      <c r="N1310">
        <v>0</v>
      </c>
      <c r="O1310">
        <v>0</v>
      </c>
      <c r="P1310">
        <v>18800042.864</v>
      </c>
      <c r="Q1310">
        <v>13999045.128</v>
      </c>
      <c r="R1310">
        <v>104251518.928</v>
      </c>
      <c r="S1310">
        <v>29966215.068</v>
      </c>
      <c r="T1310" s="9">
        <v>45108</v>
      </c>
      <c r="U1310" s="9">
        <v>45473</v>
      </c>
      <c r="V1310">
        <f>SUM(POTABLE_NONPOTABLE_API[[#This Row],[RESIDENTIAL_SINGLEFAMILY_GAL]:[OTHER_GAL]])</f>
        <v>201341188.00799999</v>
      </c>
      <c r="W1310">
        <f>SUM(POTABLE_NONPOTABLE_API[[#This Row],[NONPOTABLE_DEMAND_RESIDENTIAL_RECYCLED_WATER_GAL]:[NONPOTABLE_DEMAND_NONRESIDENTIAL_METERED_IRRIGATION_GAL]])</f>
        <v>167016821.98800001</v>
      </c>
      <c r="X1310" t="str">
        <f>IFERROR(INDEX(Crosswalk_API!$H$2:$H$527, MATCH(POTABLE_NONPOTABLE_API[[#This Row],[PWSID]], CW_PWSID_LIST, 0)), "")</f>
        <v>No</v>
      </c>
    </row>
    <row r="1311" spans="1:24" x14ac:dyDescent="0.25">
      <c r="A1311" t="s">
        <v>1073</v>
      </c>
      <c r="B1311" t="s">
        <v>1074</v>
      </c>
      <c r="C1311" t="s">
        <v>1075</v>
      </c>
      <c r="D1311" t="s">
        <v>1076</v>
      </c>
      <c r="E1311" s="9">
        <v>45139</v>
      </c>
      <c r="F1311" s="9">
        <v>45169</v>
      </c>
      <c r="G1311">
        <v>134002295.02000001</v>
      </c>
      <c r="H1311">
        <v>4058930.1520000002</v>
      </c>
      <c r="I1311">
        <v>10357527.992000001</v>
      </c>
      <c r="J1311">
        <v>21074868.995999999</v>
      </c>
      <c r="K1311">
        <v>17830567.471999999</v>
      </c>
      <c r="L1311">
        <v>61340.264000000003</v>
      </c>
      <c r="M1311">
        <v>10617850.088</v>
      </c>
      <c r="N1311">
        <v>0</v>
      </c>
      <c r="O1311">
        <v>0</v>
      </c>
      <c r="P1311">
        <v>16896250.524</v>
      </c>
      <c r="Q1311">
        <v>11760873.544</v>
      </c>
      <c r="R1311">
        <v>98337419.816</v>
      </c>
      <c r="S1311">
        <v>27513352.560000002</v>
      </c>
      <c r="T1311" s="9">
        <v>45108</v>
      </c>
      <c r="U1311" s="9">
        <v>45473</v>
      </c>
      <c r="V1311">
        <f>SUM(POTABLE_NONPOTABLE_API[[#This Row],[RESIDENTIAL_SINGLEFAMILY_GAL]:[OTHER_GAL]])</f>
        <v>187385529.89600003</v>
      </c>
      <c r="W1311">
        <f>SUM(POTABLE_NONPOTABLE_API[[#This Row],[NONPOTABLE_DEMAND_RESIDENTIAL_RECYCLED_WATER_GAL]:[NONPOTABLE_DEMAND_NONRESIDENTIAL_METERED_IRRIGATION_GAL]])</f>
        <v>154507896.44400001</v>
      </c>
      <c r="X1311" t="str">
        <f>IFERROR(INDEX(Crosswalk_API!$H$2:$H$527, MATCH(POTABLE_NONPOTABLE_API[[#This Row],[PWSID]], CW_PWSID_LIST, 0)), "")</f>
        <v>No</v>
      </c>
    </row>
    <row r="1312" spans="1:24" x14ac:dyDescent="0.25">
      <c r="A1312" t="s">
        <v>1073</v>
      </c>
      <c r="B1312" t="s">
        <v>1074</v>
      </c>
      <c r="C1312" t="s">
        <v>1075</v>
      </c>
      <c r="D1312" t="s">
        <v>1076</v>
      </c>
      <c r="E1312" s="9">
        <v>45170</v>
      </c>
      <c r="F1312" s="9">
        <v>45199</v>
      </c>
      <c r="G1312">
        <v>128793608.94400001</v>
      </c>
      <c r="H1312">
        <v>3761953.5079999999</v>
      </c>
      <c r="I1312">
        <v>9355138.3120000008</v>
      </c>
      <c r="J1312">
        <v>21032230.032000002</v>
      </c>
      <c r="K1312">
        <v>14280312.68</v>
      </c>
      <c r="L1312">
        <v>49371.432000000001</v>
      </c>
      <c r="M1312">
        <v>9664083.7880000006</v>
      </c>
      <c r="N1312">
        <v>0</v>
      </c>
      <c r="O1312">
        <v>0</v>
      </c>
      <c r="P1312">
        <v>16781050.515999999</v>
      </c>
      <c r="Q1312">
        <v>13477652.884</v>
      </c>
      <c r="R1312">
        <v>94820827.364000008</v>
      </c>
      <c r="S1312">
        <v>23043741.859999999</v>
      </c>
      <c r="T1312" s="9">
        <v>45108</v>
      </c>
      <c r="U1312" s="9">
        <v>45473</v>
      </c>
      <c r="V1312">
        <f>SUM(POTABLE_NONPOTABLE_API[[#This Row],[RESIDENTIAL_SINGLEFAMILY_GAL]:[OTHER_GAL]])</f>
        <v>177272614.90800002</v>
      </c>
      <c r="W1312">
        <f>SUM(POTABLE_NONPOTABLE_API[[#This Row],[NONPOTABLE_DEMAND_RESIDENTIAL_RECYCLED_WATER_GAL]:[NONPOTABLE_DEMAND_NONRESIDENTIAL_METERED_IRRIGATION_GAL]])</f>
        <v>148123272.62400001</v>
      </c>
      <c r="X1312" t="str">
        <f>IFERROR(INDEX(Crosswalk_API!$H$2:$H$527, MATCH(POTABLE_NONPOTABLE_API[[#This Row],[PWSID]], CW_PWSID_LIST, 0)), "")</f>
        <v>No</v>
      </c>
    </row>
    <row r="1313" spans="1:24" x14ac:dyDescent="0.25">
      <c r="A1313" t="s">
        <v>1073</v>
      </c>
      <c r="B1313" t="s">
        <v>1074</v>
      </c>
      <c r="C1313" t="s">
        <v>1075</v>
      </c>
      <c r="D1313" t="s">
        <v>1076</v>
      </c>
      <c r="E1313" s="9">
        <v>45200</v>
      </c>
      <c r="F1313" s="9">
        <v>45230</v>
      </c>
      <c r="G1313">
        <v>122580289.03200001</v>
      </c>
      <c r="H1313">
        <v>4221257.4359999998</v>
      </c>
      <c r="I1313">
        <v>8293652.5240000002</v>
      </c>
      <c r="J1313">
        <v>20340281.932</v>
      </c>
      <c r="K1313">
        <v>15480936.140000001</v>
      </c>
      <c r="L1313">
        <v>151106.50400000002</v>
      </c>
      <c r="M1313">
        <v>10500405.924000001</v>
      </c>
      <c r="N1313">
        <v>0</v>
      </c>
      <c r="O1313">
        <v>0</v>
      </c>
      <c r="P1313">
        <v>14427678.924000001</v>
      </c>
      <c r="Q1313">
        <v>9716447.4279999994</v>
      </c>
      <c r="R1313">
        <v>109685368.656</v>
      </c>
      <c r="S1313">
        <v>19834598.780000001</v>
      </c>
      <c r="T1313" s="9">
        <v>45108</v>
      </c>
      <c r="U1313" s="9">
        <v>45473</v>
      </c>
      <c r="V1313">
        <f>SUM(POTABLE_NONPOTABLE_API[[#This Row],[RESIDENTIAL_SINGLEFAMILY_GAL]:[OTHER_GAL]])</f>
        <v>171067523.56800002</v>
      </c>
      <c r="W1313">
        <f>SUM(POTABLE_NONPOTABLE_API[[#This Row],[NONPOTABLE_DEMAND_RESIDENTIAL_RECYCLED_WATER_GAL]:[NONPOTABLE_DEMAND_NONRESIDENTIAL_METERED_IRRIGATION_GAL]])</f>
        <v>153664093.78799999</v>
      </c>
      <c r="X1313" t="str">
        <f>IFERROR(INDEX(Crosswalk_API!$H$2:$H$527, MATCH(POTABLE_NONPOTABLE_API[[#This Row],[PWSID]], CW_PWSID_LIST, 0)), "")</f>
        <v>No</v>
      </c>
    </row>
    <row r="1314" spans="1:24" x14ac:dyDescent="0.25">
      <c r="A1314" t="s">
        <v>1073</v>
      </c>
      <c r="B1314" t="s">
        <v>1074</v>
      </c>
      <c r="C1314" t="s">
        <v>1075</v>
      </c>
      <c r="D1314" t="s">
        <v>1076</v>
      </c>
      <c r="E1314" s="9">
        <v>45231</v>
      </c>
      <c r="F1314" s="9">
        <v>45260</v>
      </c>
      <c r="G1314">
        <v>119141493.98800001</v>
      </c>
      <c r="H1314">
        <v>3938493.7800000003</v>
      </c>
      <c r="I1314">
        <v>8164239.5279999999</v>
      </c>
      <c r="J1314">
        <v>14463585.42</v>
      </c>
      <c r="K1314">
        <v>13776873.684</v>
      </c>
      <c r="L1314">
        <v>89766.24</v>
      </c>
      <c r="M1314">
        <v>11497559.24</v>
      </c>
      <c r="N1314">
        <v>0</v>
      </c>
      <c r="O1314">
        <v>0</v>
      </c>
      <c r="P1314">
        <v>14581777.636</v>
      </c>
      <c r="Q1314">
        <v>12392229.432</v>
      </c>
      <c r="R1314">
        <v>82241584.931999996</v>
      </c>
      <c r="S1314">
        <v>23454422.408</v>
      </c>
      <c r="T1314" s="9">
        <v>45108</v>
      </c>
      <c r="U1314" s="9">
        <v>45473</v>
      </c>
      <c r="V1314">
        <f>SUM(POTABLE_NONPOTABLE_API[[#This Row],[RESIDENTIAL_SINGLEFAMILY_GAL]:[OTHER_GAL]])</f>
        <v>159574452.63999999</v>
      </c>
      <c r="W1314">
        <f>SUM(POTABLE_NONPOTABLE_API[[#This Row],[NONPOTABLE_DEMAND_RESIDENTIAL_RECYCLED_WATER_GAL]:[NONPOTABLE_DEMAND_NONRESIDENTIAL_METERED_IRRIGATION_GAL]])</f>
        <v>132670014.40799999</v>
      </c>
      <c r="X1314" t="str">
        <f>IFERROR(INDEX(Crosswalk_API!$H$2:$H$527, MATCH(POTABLE_NONPOTABLE_API[[#This Row],[PWSID]], CW_PWSID_LIST, 0)), "")</f>
        <v>No</v>
      </c>
    </row>
    <row r="1315" spans="1:24" x14ac:dyDescent="0.25">
      <c r="A1315" t="s">
        <v>1073</v>
      </c>
      <c r="B1315" t="s">
        <v>1074</v>
      </c>
      <c r="C1315" t="s">
        <v>1075</v>
      </c>
      <c r="D1315" t="s">
        <v>1076</v>
      </c>
      <c r="E1315" s="9">
        <v>45261</v>
      </c>
      <c r="F1315" s="9">
        <v>45291</v>
      </c>
      <c r="G1315">
        <v>97694843.148000002</v>
      </c>
      <c r="H1315">
        <v>3791127.5360000003</v>
      </c>
      <c r="I1315">
        <v>6222296.5360000003</v>
      </c>
      <c r="J1315">
        <v>12321164.492000001</v>
      </c>
      <c r="K1315">
        <v>9395533.120000001</v>
      </c>
      <c r="L1315">
        <v>1439252.048</v>
      </c>
      <c r="M1315">
        <v>6841683.5920000002</v>
      </c>
      <c r="N1315">
        <v>0</v>
      </c>
      <c r="O1315">
        <v>0</v>
      </c>
      <c r="P1315">
        <v>8587636.9600000009</v>
      </c>
      <c r="Q1315">
        <v>7226182.3200000003</v>
      </c>
      <c r="R1315">
        <v>45811452.531999998</v>
      </c>
      <c r="S1315">
        <v>10555761.772</v>
      </c>
      <c r="T1315" s="9">
        <v>45108</v>
      </c>
      <c r="U1315" s="9">
        <v>45473</v>
      </c>
      <c r="V1315">
        <f>SUM(POTABLE_NONPOTABLE_API[[#This Row],[RESIDENTIAL_SINGLEFAMILY_GAL]:[OTHER_GAL]])</f>
        <v>130864216.88</v>
      </c>
      <c r="W1315">
        <f>SUM(POTABLE_NONPOTABLE_API[[#This Row],[NONPOTABLE_DEMAND_RESIDENTIAL_RECYCLED_WATER_GAL]:[NONPOTABLE_DEMAND_NONRESIDENTIAL_METERED_IRRIGATION_GAL]])</f>
        <v>72181033.583999991</v>
      </c>
      <c r="X1315" t="str">
        <f>IFERROR(INDEX(Crosswalk_API!$H$2:$H$527, MATCH(POTABLE_NONPOTABLE_API[[#This Row],[PWSID]], CW_PWSID_LIST, 0)), "")</f>
        <v>No</v>
      </c>
    </row>
    <row r="1316" spans="1:24" x14ac:dyDescent="0.25">
      <c r="A1316" t="s">
        <v>1073</v>
      </c>
      <c r="B1316" t="s">
        <v>1074</v>
      </c>
      <c r="C1316" t="s">
        <v>1075</v>
      </c>
      <c r="D1316" t="s">
        <v>1076</v>
      </c>
      <c r="E1316" s="9">
        <v>45292</v>
      </c>
      <c r="F1316" s="9">
        <v>45322</v>
      </c>
      <c r="G1316">
        <v>63540945</v>
      </c>
      <c r="H1316">
        <v>2691529.26</v>
      </c>
      <c r="I1316">
        <v>4755469.4939999999</v>
      </c>
      <c r="J1316">
        <v>6543088.0799999991</v>
      </c>
      <c r="K1316">
        <v>6543185.8353000004</v>
      </c>
      <c r="L1316">
        <v>1271144.7509999999</v>
      </c>
      <c r="M1316">
        <v>3732004.0880999998</v>
      </c>
      <c r="N1316">
        <v>0</v>
      </c>
      <c r="O1316">
        <v>0</v>
      </c>
      <c r="P1316">
        <v>4043215.4596581296</v>
      </c>
      <c r="Q1316">
        <v>4626693.1787999999</v>
      </c>
      <c r="R1316">
        <v>121151401.8</v>
      </c>
      <c r="S1316">
        <v>3249386.1719999998</v>
      </c>
      <c r="T1316" s="9">
        <v>45108</v>
      </c>
      <c r="U1316" s="9">
        <v>45473</v>
      </c>
      <c r="V1316">
        <f>SUM(POTABLE_NONPOTABLE_API[[#This Row],[RESIDENTIAL_SINGLEFAMILY_GAL]:[OTHER_GAL]])</f>
        <v>85345362.420299992</v>
      </c>
      <c r="W1316">
        <f>SUM(POTABLE_NONPOTABLE_API[[#This Row],[NONPOTABLE_DEMAND_RESIDENTIAL_RECYCLED_WATER_GAL]:[NONPOTABLE_DEMAND_NONRESIDENTIAL_METERED_IRRIGATION_GAL]])</f>
        <v>133070696.61045814</v>
      </c>
      <c r="X1316" t="str">
        <f>IFERROR(INDEX(Crosswalk_API!$H$2:$H$527, MATCH(POTABLE_NONPOTABLE_API[[#This Row],[PWSID]], CW_PWSID_LIST, 0)), "")</f>
        <v>No</v>
      </c>
    </row>
    <row r="1317" spans="1:24" x14ac:dyDescent="0.25">
      <c r="A1317" t="s">
        <v>1073</v>
      </c>
      <c r="B1317" t="s">
        <v>1074</v>
      </c>
      <c r="C1317" t="s">
        <v>1075</v>
      </c>
      <c r="D1317" t="s">
        <v>1076</v>
      </c>
      <c r="E1317" s="9">
        <v>45323</v>
      </c>
      <c r="F1317" s="9">
        <v>45351</v>
      </c>
      <c r="G1317">
        <v>51085219.131999999</v>
      </c>
      <c r="H1317">
        <v>2611449.5320000001</v>
      </c>
      <c r="I1317">
        <v>5115179.5760000004</v>
      </c>
      <c r="J1317">
        <v>2850826.1720000003</v>
      </c>
      <c r="K1317">
        <v>3716322.3360000001</v>
      </c>
      <c r="L1317">
        <v>125672.736</v>
      </c>
      <c r="M1317">
        <v>4498784.7280000001</v>
      </c>
      <c r="N1317">
        <v>0</v>
      </c>
      <c r="O1317">
        <v>0</v>
      </c>
      <c r="P1317">
        <v>1723511.808</v>
      </c>
      <c r="Q1317">
        <v>3626556.0959999999</v>
      </c>
      <c r="R1317">
        <v>80678156.252000004</v>
      </c>
      <c r="S1317">
        <v>7024956.3320000004</v>
      </c>
      <c r="T1317" s="9">
        <v>45108</v>
      </c>
      <c r="U1317" s="9">
        <v>45473</v>
      </c>
      <c r="V1317">
        <f>SUM(POTABLE_NONPOTABLE_API[[#This Row],[RESIDENTIAL_SINGLEFAMILY_GAL]:[OTHER_GAL]])</f>
        <v>65504669.483999997</v>
      </c>
      <c r="W1317">
        <f>SUM(POTABLE_NONPOTABLE_API[[#This Row],[NONPOTABLE_DEMAND_RESIDENTIAL_RECYCLED_WATER_GAL]:[NONPOTABLE_DEMAND_NONRESIDENTIAL_METERED_IRRIGATION_GAL]])</f>
        <v>93053180.488000005</v>
      </c>
      <c r="X1317" t="str">
        <f>IFERROR(INDEX(Crosswalk_API!$H$2:$H$527, MATCH(POTABLE_NONPOTABLE_API[[#This Row],[PWSID]], CW_PWSID_LIST, 0)), "")</f>
        <v>No</v>
      </c>
    </row>
    <row r="1318" spans="1:24" x14ac:dyDescent="0.25">
      <c r="A1318" t="s">
        <v>1073</v>
      </c>
      <c r="B1318" t="s">
        <v>1074</v>
      </c>
      <c r="C1318" t="s">
        <v>1075</v>
      </c>
      <c r="D1318" t="s">
        <v>1076</v>
      </c>
      <c r="E1318" s="9">
        <v>45352</v>
      </c>
      <c r="F1318" s="9">
        <v>45382</v>
      </c>
      <c r="G1318">
        <v>71178643.903999999</v>
      </c>
      <c r="H1318">
        <v>2787241.7519999999</v>
      </c>
      <c r="I1318">
        <v>6137018.608</v>
      </c>
      <c r="J1318">
        <v>4507013.3</v>
      </c>
      <c r="K1318">
        <v>4943127.6160000004</v>
      </c>
      <c r="L1318">
        <v>250597.42</v>
      </c>
      <c r="M1318">
        <v>6483366.6840000004</v>
      </c>
      <c r="N1318">
        <v>0</v>
      </c>
      <c r="O1318">
        <v>0</v>
      </c>
      <c r="P1318">
        <v>4697766.5600000005</v>
      </c>
      <c r="Q1318">
        <v>5968706.9079999998</v>
      </c>
      <c r="R1318">
        <v>150809527.35600001</v>
      </c>
      <c r="S1318">
        <v>29954246.236000001</v>
      </c>
      <c r="T1318" s="9">
        <v>45108</v>
      </c>
      <c r="U1318" s="9">
        <v>45473</v>
      </c>
      <c r="V1318">
        <f>SUM(POTABLE_NONPOTABLE_API[[#This Row],[RESIDENTIAL_SINGLEFAMILY_GAL]:[OTHER_GAL]])</f>
        <v>89803642.599999994</v>
      </c>
      <c r="W1318">
        <f>SUM(POTABLE_NONPOTABLE_API[[#This Row],[NONPOTABLE_DEMAND_RESIDENTIAL_RECYCLED_WATER_GAL]:[NONPOTABLE_DEMAND_NONRESIDENTIAL_METERED_IRRIGATION_GAL]])</f>
        <v>191430247.06</v>
      </c>
      <c r="X1318" t="str">
        <f>IFERROR(INDEX(Crosswalk_API!$H$2:$H$527, MATCH(POTABLE_NONPOTABLE_API[[#This Row],[PWSID]], CW_PWSID_LIST, 0)), "")</f>
        <v>No</v>
      </c>
    </row>
    <row r="1319" spans="1:24" x14ac:dyDescent="0.25">
      <c r="A1319" t="s">
        <v>1073</v>
      </c>
      <c r="B1319" t="s">
        <v>1074</v>
      </c>
      <c r="C1319" t="s">
        <v>1075</v>
      </c>
      <c r="D1319" t="s">
        <v>1076</v>
      </c>
      <c r="E1319" s="9">
        <v>45383</v>
      </c>
      <c r="F1319" s="9">
        <v>45412</v>
      </c>
      <c r="G1319">
        <v>76042478.008000001</v>
      </c>
      <c r="H1319">
        <v>3616083.3680000002</v>
      </c>
      <c r="I1319">
        <v>5460779.6000000006</v>
      </c>
      <c r="J1319">
        <v>9356634.4160000011</v>
      </c>
      <c r="K1319">
        <v>12043637.200000001</v>
      </c>
      <c r="L1319">
        <v>234888.32800000001</v>
      </c>
      <c r="M1319">
        <v>10311896.82</v>
      </c>
      <c r="N1319">
        <v>0</v>
      </c>
      <c r="O1319">
        <v>0</v>
      </c>
      <c r="P1319">
        <v>7104249.8440000005</v>
      </c>
      <c r="Q1319">
        <v>7366816.0959999999</v>
      </c>
      <c r="R1319">
        <v>228141647.01199999</v>
      </c>
      <c r="S1319">
        <v>27754973.356000002</v>
      </c>
      <c r="T1319" s="9">
        <v>45108</v>
      </c>
      <c r="U1319" s="9">
        <v>45473</v>
      </c>
      <c r="V1319">
        <f>SUM(POTABLE_NONPOTABLE_API[[#This Row],[RESIDENTIAL_SINGLEFAMILY_GAL]:[OTHER_GAL]])</f>
        <v>106754500.91999999</v>
      </c>
      <c r="W1319">
        <f>SUM(POTABLE_NONPOTABLE_API[[#This Row],[NONPOTABLE_DEMAND_RESIDENTIAL_RECYCLED_WATER_GAL]:[NONPOTABLE_DEMAND_NONRESIDENTIAL_METERED_IRRIGATION_GAL]])</f>
        <v>270367686.30799997</v>
      </c>
      <c r="X1319" t="str">
        <f>IFERROR(INDEX(Crosswalk_API!$H$2:$H$527, MATCH(POTABLE_NONPOTABLE_API[[#This Row],[PWSID]], CW_PWSID_LIST, 0)), "")</f>
        <v>No</v>
      </c>
    </row>
    <row r="1320" spans="1:24" x14ac:dyDescent="0.25">
      <c r="A1320" t="s">
        <v>1073</v>
      </c>
      <c r="B1320" t="s">
        <v>1074</v>
      </c>
      <c r="C1320" t="s">
        <v>1075</v>
      </c>
      <c r="D1320" t="s">
        <v>1076</v>
      </c>
      <c r="E1320" s="9">
        <v>45413</v>
      </c>
      <c r="F1320" s="9">
        <v>45443</v>
      </c>
      <c r="G1320">
        <v>118560257.58400001</v>
      </c>
      <c r="H1320">
        <v>4138223.6640000003</v>
      </c>
      <c r="I1320">
        <v>7952540.8119999999</v>
      </c>
      <c r="J1320">
        <v>18168686.976</v>
      </c>
      <c r="K1320">
        <v>14978245.196</v>
      </c>
      <c r="L1320">
        <v>368041.58400000003</v>
      </c>
      <c r="M1320">
        <v>18410307.772</v>
      </c>
      <c r="N1320">
        <v>0</v>
      </c>
      <c r="O1320">
        <v>0</v>
      </c>
      <c r="P1320">
        <v>14138182.800000001</v>
      </c>
      <c r="Q1320">
        <v>12640582.696</v>
      </c>
      <c r="R1320">
        <v>262250574.05599999</v>
      </c>
      <c r="S1320">
        <v>100787290.116</v>
      </c>
      <c r="T1320" s="9">
        <v>45108</v>
      </c>
      <c r="U1320" s="9">
        <v>45473</v>
      </c>
      <c r="V1320">
        <f>SUM(POTABLE_NONPOTABLE_API[[#This Row],[RESIDENTIAL_SINGLEFAMILY_GAL]:[OTHER_GAL]])</f>
        <v>164165995.81600001</v>
      </c>
      <c r="W1320">
        <f>SUM(POTABLE_NONPOTABLE_API[[#This Row],[NONPOTABLE_DEMAND_RESIDENTIAL_RECYCLED_WATER_GAL]:[NONPOTABLE_DEMAND_NONRESIDENTIAL_METERED_IRRIGATION_GAL]])</f>
        <v>389816629.66799998</v>
      </c>
      <c r="X1320" t="str">
        <f>IFERROR(INDEX(Crosswalk_API!$H$2:$H$527, MATCH(POTABLE_NONPOTABLE_API[[#This Row],[PWSID]], CW_PWSID_LIST, 0)), "")</f>
        <v>No</v>
      </c>
    </row>
    <row r="1321" spans="1:24" x14ac:dyDescent="0.25">
      <c r="A1321" t="s">
        <v>1073</v>
      </c>
      <c r="B1321" t="s">
        <v>1074</v>
      </c>
      <c r="C1321" t="s">
        <v>1075</v>
      </c>
      <c r="D1321" t="s">
        <v>1076</v>
      </c>
      <c r="E1321" s="9">
        <v>45444</v>
      </c>
      <c r="F1321" s="9">
        <v>45473</v>
      </c>
      <c r="G1321">
        <v>137725349.824</v>
      </c>
      <c r="H1321">
        <v>5449558.8200000003</v>
      </c>
      <c r="I1321">
        <v>8385662.9199999999</v>
      </c>
      <c r="J1321">
        <v>21926900.223999999</v>
      </c>
      <c r="K1321">
        <v>16826681.688000001</v>
      </c>
      <c r="L1321">
        <v>192997.416</v>
      </c>
      <c r="M1321">
        <v>23829944.512000002</v>
      </c>
      <c r="N1321">
        <v>0</v>
      </c>
      <c r="O1321">
        <v>0</v>
      </c>
      <c r="P1321">
        <v>18149985.675999999</v>
      </c>
      <c r="Q1321">
        <v>12722120.364</v>
      </c>
      <c r="R1321">
        <v>164883377.68400002</v>
      </c>
      <c r="S1321">
        <v>87828037.268000007</v>
      </c>
      <c r="T1321" s="9">
        <v>45108</v>
      </c>
      <c r="U1321" s="9">
        <v>45473</v>
      </c>
      <c r="V1321">
        <f>SUM(POTABLE_NONPOTABLE_API[[#This Row],[RESIDENTIAL_SINGLEFAMILY_GAL]:[OTHER_GAL]])</f>
        <v>190507150.89199999</v>
      </c>
      <c r="W1321">
        <f>SUM(POTABLE_NONPOTABLE_API[[#This Row],[NONPOTABLE_DEMAND_RESIDENTIAL_RECYCLED_WATER_GAL]:[NONPOTABLE_DEMAND_NONRESIDENTIAL_METERED_IRRIGATION_GAL]])</f>
        <v>283583520.99199998</v>
      </c>
      <c r="X1321" t="str">
        <f>IFERROR(INDEX(Crosswalk_API!$H$2:$H$527, MATCH(POTABLE_NONPOTABLE_API[[#This Row],[PWSID]], CW_PWSID_LIST, 0)), "")</f>
        <v>No</v>
      </c>
    </row>
    <row r="1322" spans="1:24" x14ac:dyDescent="0.25">
      <c r="A1322" t="s">
        <v>1077</v>
      </c>
      <c r="B1322" t="s">
        <v>1078</v>
      </c>
      <c r="C1322" t="s">
        <v>1079</v>
      </c>
      <c r="D1322" t="s">
        <v>1080</v>
      </c>
      <c r="E1322" s="9">
        <v>45108</v>
      </c>
      <c r="F1322" s="9">
        <v>45138</v>
      </c>
      <c r="G1322">
        <v>204298801.47</v>
      </c>
      <c r="H1322">
        <v>46902992.939999998</v>
      </c>
      <c r="I1322">
        <v>78060865.560000002</v>
      </c>
      <c r="J1322">
        <v>49363167.990000002</v>
      </c>
      <c r="K1322">
        <v>697321.14</v>
      </c>
      <c r="L1322">
        <v>7110068.8200000003</v>
      </c>
      <c r="M1322">
        <v>3196598.31</v>
      </c>
      <c r="N1322">
        <v>0</v>
      </c>
      <c r="O1322">
        <v>0</v>
      </c>
      <c r="P1322">
        <v>0</v>
      </c>
      <c r="Q1322">
        <v>0</v>
      </c>
      <c r="R1322">
        <v>0</v>
      </c>
      <c r="S1322">
        <v>119277758.55</v>
      </c>
      <c r="T1322" s="9">
        <v>45108</v>
      </c>
      <c r="U1322" s="9">
        <v>45473</v>
      </c>
      <c r="V1322">
        <f>SUM(POTABLE_NONPOTABLE_API[[#This Row],[RESIDENTIAL_SINGLEFAMILY_GAL]:[OTHER_GAL]])</f>
        <v>386433217.92000002</v>
      </c>
      <c r="W1322">
        <f>SUM(POTABLE_NONPOTABLE_API[[#This Row],[NONPOTABLE_DEMAND_RESIDENTIAL_RECYCLED_WATER_GAL]:[NONPOTABLE_DEMAND_NONRESIDENTIAL_METERED_IRRIGATION_GAL]])</f>
        <v>119277758.55</v>
      </c>
      <c r="X1322" t="str">
        <f>IFERROR(INDEX(Crosswalk_API!$H$2:$H$527, MATCH(POTABLE_NONPOTABLE_API[[#This Row],[PWSID]], CW_PWSID_LIST, 0)), "")</f>
        <v>No</v>
      </c>
    </row>
    <row r="1323" spans="1:24" x14ac:dyDescent="0.25">
      <c r="A1323" t="s">
        <v>1077</v>
      </c>
      <c r="B1323" t="s">
        <v>1078</v>
      </c>
      <c r="C1323" t="s">
        <v>1079</v>
      </c>
      <c r="D1323" t="s">
        <v>1080</v>
      </c>
      <c r="E1323" s="9">
        <v>45139</v>
      </c>
      <c r="F1323" s="9">
        <v>45169</v>
      </c>
      <c r="G1323">
        <v>236900194.01999998</v>
      </c>
      <c r="H1323">
        <v>50875116.629999995</v>
      </c>
      <c r="I1323">
        <v>86340739.470000014</v>
      </c>
      <c r="J1323">
        <v>64192647</v>
      </c>
      <c r="K1323">
        <v>632150.93999999994</v>
      </c>
      <c r="L1323">
        <v>13653156.9</v>
      </c>
      <c r="M1323">
        <v>4708546.95</v>
      </c>
      <c r="N1323">
        <v>0</v>
      </c>
      <c r="O1323">
        <v>0</v>
      </c>
      <c r="P1323">
        <v>0</v>
      </c>
      <c r="Q1323">
        <v>0</v>
      </c>
      <c r="R1323">
        <v>0</v>
      </c>
      <c r="S1323">
        <v>148734688.94999999</v>
      </c>
      <c r="T1323" s="9">
        <v>45108</v>
      </c>
      <c r="U1323" s="9">
        <v>45473</v>
      </c>
      <c r="V1323">
        <f>SUM(POTABLE_NONPOTABLE_API[[#This Row],[RESIDENTIAL_SINGLEFAMILY_GAL]:[OTHER_GAL]])</f>
        <v>452594004.95999998</v>
      </c>
      <c r="W1323">
        <f>SUM(POTABLE_NONPOTABLE_API[[#This Row],[NONPOTABLE_DEMAND_RESIDENTIAL_RECYCLED_WATER_GAL]:[NONPOTABLE_DEMAND_NONRESIDENTIAL_METERED_IRRIGATION_GAL]])</f>
        <v>148734688.94999999</v>
      </c>
      <c r="X1323" t="str">
        <f>IFERROR(INDEX(Crosswalk_API!$H$2:$H$527, MATCH(POTABLE_NONPOTABLE_API[[#This Row],[PWSID]], CW_PWSID_LIST, 0)), "")</f>
        <v>No</v>
      </c>
    </row>
    <row r="1324" spans="1:24" x14ac:dyDescent="0.25">
      <c r="A1324" t="s">
        <v>1077</v>
      </c>
      <c r="B1324" t="s">
        <v>1078</v>
      </c>
      <c r="C1324" t="s">
        <v>1079</v>
      </c>
      <c r="D1324" t="s">
        <v>1080</v>
      </c>
      <c r="E1324" s="9">
        <v>45170</v>
      </c>
      <c r="F1324" s="9">
        <v>45199</v>
      </c>
      <c r="G1324">
        <v>215934940.67999998</v>
      </c>
      <c r="H1324">
        <v>50291843.340000004</v>
      </c>
      <c r="I1324">
        <v>85063403.549999997</v>
      </c>
      <c r="J1324">
        <v>51168382.530000001</v>
      </c>
      <c r="K1324">
        <v>762491.34</v>
      </c>
      <c r="L1324">
        <v>8332010.0700000003</v>
      </c>
      <c r="M1324">
        <v>4447866.1500000004</v>
      </c>
      <c r="N1324">
        <v>0</v>
      </c>
      <c r="O1324">
        <v>0</v>
      </c>
      <c r="P1324">
        <v>0</v>
      </c>
      <c r="Q1324">
        <v>0</v>
      </c>
      <c r="R1324">
        <v>0</v>
      </c>
      <c r="S1324">
        <v>124488116.04000001</v>
      </c>
      <c r="T1324" s="9">
        <v>45108</v>
      </c>
      <c r="U1324" s="9">
        <v>45473</v>
      </c>
      <c r="V1324">
        <f>SUM(POTABLE_NONPOTABLE_API[[#This Row],[RESIDENTIAL_SINGLEFAMILY_GAL]:[OTHER_GAL]])</f>
        <v>411553071.50999999</v>
      </c>
      <c r="W1324">
        <f>SUM(POTABLE_NONPOTABLE_API[[#This Row],[NONPOTABLE_DEMAND_RESIDENTIAL_RECYCLED_WATER_GAL]:[NONPOTABLE_DEMAND_NONRESIDENTIAL_METERED_IRRIGATION_GAL]])</f>
        <v>124488116.04000001</v>
      </c>
      <c r="X1324" t="str">
        <f>IFERROR(INDEX(Crosswalk_API!$H$2:$H$527, MATCH(POTABLE_NONPOTABLE_API[[#This Row],[PWSID]], CW_PWSID_LIST, 0)), "")</f>
        <v>No</v>
      </c>
    </row>
    <row r="1325" spans="1:24" x14ac:dyDescent="0.25">
      <c r="A1325" t="s">
        <v>1077</v>
      </c>
      <c r="B1325" t="s">
        <v>1078</v>
      </c>
      <c r="C1325" t="s">
        <v>1079</v>
      </c>
      <c r="D1325" t="s">
        <v>1080</v>
      </c>
      <c r="E1325" s="9">
        <v>45200</v>
      </c>
      <c r="F1325" s="9">
        <v>45230</v>
      </c>
      <c r="G1325">
        <v>204777802.44000003</v>
      </c>
      <c r="H1325">
        <v>47365701.360000007</v>
      </c>
      <c r="I1325">
        <v>74893593.840000004</v>
      </c>
      <c r="J1325">
        <v>48933044.669999994</v>
      </c>
      <c r="K1325">
        <v>1075308.3</v>
      </c>
      <c r="L1325">
        <v>6468142.3500000006</v>
      </c>
      <c r="M1325">
        <v>2583998.4299999997</v>
      </c>
      <c r="N1325">
        <v>0</v>
      </c>
      <c r="O1325">
        <v>0</v>
      </c>
      <c r="Q1325">
        <v>0</v>
      </c>
      <c r="R1325">
        <v>0</v>
      </c>
      <c r="S1325">
        <v>109476160.47000001</v>
      </c>
      <c r="T1325" s="9">
        <v>45108</v>
      </c>
      <c r="U1325" s="9">
        <v>45473</v>
      </c>
      <c r="V1325">
        <f>SUM(POTABLE_NONPOTABLE_API[[#This Row],[RESIDENTIAL_SINGLEFAMILY_GAL]:[OTHER_GAL]])</f>
        <v>383513592.9600001</v>
      </c>
      <c r="W1325">
        <f>SUM(POTABLE_NONPOTABLE_API[[#This Row],[NONPOTABLE_DEMAND_RESIDENTIAL_RECYCLED_WATER_GAL]:[NONPOTABLE_DEMAND_NONRESIDENTIAL_METERED_IRRIGATION_GAL]])</f>
        <v>109476160.47000001</v>
      </c>
      <c r="X1325" t="str">
        <f>IFERROR(INDEX(Crosswalk_API!$H$2:$H$527, MATCH(POTABLE_NONPOTABLE_API[[#This Row],[PWSID]], CW_PWSID_LIST, 0)), "")</f>
        <v>No</v>
      </c>
    </row>
    <row r="1326" spans="1:24" x14ac:dyDescent="0.25">
      <c r="A1326" t="s">
        <v>1077</v>
      </c>
      <c r="B1326" t="s">
        <v>1078</v>
      </c>
      <c r="C1326" t="s">
        <v>1079</v>
      </c>
      <c r="D1326" t="s">
        <v>1080</v>
      </c>
      <c r="E1326" s="9">
        <v>45231</v>
      </c>
      <c r="F1326" s="9">
        <v>45260</v>
      </c>
      <c r="G1326">
        <v>206338628.73000002</v>
      </c>
      <c r="H1326">
        <v>48392132.009999998</v>
      </c>
      <c r="I1326">
        <v>78696275.00999999</v>
      </c>
      <c r="J1326">
        <v>45159690.090000004</v>
      </c>
      <c r="K1326">
        <v>821144.52</v>
      </c>
      <c r="L1326">
        <v>6217237.0799999991</v>
      </c>
      <c r="M1326">
        <v>2678495.2200000002</v>
      </c>
      <c r="N1326">
        <v>0</v>
      </c>
      <c r="O1326">
        <v>0</v>
      </c>
      <c r="P1326">
        <v>0</v>
      </c>
      <c r="Q1326">
        <v>0</v>
      </c>
      <c r="R1326">
        <v>0</v>
      </c>
      <c r="S1326">
        <v>106680358.89</v>
      </c>
      <c r="T1326" s="9">
        <v>45108</v>
      </c>
      <c r="U1326" s="9">
        <v>45473</v>
      </c>
      <c r="V1326">
        <f>SUM(POTABLE_NONPOTABLE_API[[#This Row],[RESIDENTIAL_SINGLEFAMILY_GAL]:[OTHER_GAL]])</f>
        <v>385625107.44</v>
      </c>
      <c r="W1326">
        <f>SUM(POTABLE_NONPOTABLE_API[[#This Row],[NONPOTABLE_DEMAND_RESIDENTIAL_RECYCLED_WATER_GAL]:[NONPOTABLE_DEMAND_NONRESIDENTIAL_METERED_IRRIGATION_GAL]])</f>
        <v>106680358.89</v>
      </c>
      <c r="X1326" t="str">
        <f>IFERROR(INDEX(Crosswalk_API!$H$2:$H$527, MATCH(POTABLE_NONPOTABLE_API[[#This Row],[PWSID]], CW_PWSID_LIST, 0)), "")</f>
        <v>No</v>
      </c>
    </row>
    <row r="1327" spans="1:24" x14ac:dyDescent="0.25">
      <c r="A1327" t="s">
        <v>1077</v>
      </c>
      <c r="B1327" t="s">
        <v>1078</v>
      </c>
      <c r="C1327" t="s">
        <v>1079</v>
      </c>
      <c r="D1327" t="s">
        <v>1080</v>
      </c>
      <c r="E1327" s="9">
        <v>45261</v>
      </c>
      <c r="F1327" s="9">
        <v>45291</v>
      </c>
      <c r="G1327">
        <v>184366495.79999998</v>
      </c>
      <c r="H1327">
        <v>46391406.870000005</v>
      </c>
      <c r="I1327">
        <v>72857025.090000004</v>
      </c>
      <c r="J1327">
        <v>34634702.789999999</v>
      </c>
      <c r="K1327">
        <v>700579.65</v>
      </c>
      <c r="L1327">
        <v>6914558.2199999997</v>
      </c>
      <c r="M1327">
        <v>7110068.8200000003</v>
      </c>
      <c r="N1327">
        <v>0</v>
      </c>
      <c r="O1327">
        <v>0</v>
      </c>
      <c r="P1327">
        <v>0</v>
      </c>
      <c r="Q1327">
        <v>0</v>
      </c>
      <c r="R1327">
        <v>0</v>
      </c>
      <c r="S1327">
        <v>87246605.25</v>
      </c>
      <c r="T1327" s="9">
        <v>45108</v>
      </c>
      <c r="U1327" s="9">
        <v>45473</v>
      </c>
      <c r="V1327">
        <f>SUM(POTABLE_NONPOTABLE_API[[#This Row],[RESIDENTIAL_SINGLEFAMILY_GAL]:[OTHER_GAL]])</f>
        <v>345864768.42000002</v>
      </c>
      <c r="W1327">
        <f>SUM(POTABLE_NONPOTABLE_API[[#This Row],[NONPOTABLE_DEMAND_RESIDENTIAL_RECYCLED_WATER_GAL]:[NONPOTABLE_DEMAND_NONRESIDENTIAL_METERED_IRRIGATION_GAL]])</f>
        <v>87246605.25</v>
      </c>
      <c r="X1327" t="str">
        <f>IFERROR(INDEX(Crosswalk_API!$H$2:$H$527, MATCH(POTABLE_NONPOTABLE_API[[#This Row],[PWSID]], CW_PWSID_LIST, 0)), "")</f>
        <v>No</v>
      </c>
    </row>
    <row r="1328" spans="1:24" x14ac:dyDescent="0.25">
      <c r="A1328" t="s">
        <v>1077</v>
      </c>
      <c r="B1328" t="s">
        <v>1078</v>
      </c>
      <c r="C1328" t="s">
        <v>1079</v>
      </c>
      <c r="D1328" t="s">
        <v>1080</v>
      </c>
      <c r="E1328" s="9">
        <v>45292</v>
      </c>
      <c r="F1328" s="9">
        <v>45322</v>
      </c>
      <c r="G1328">
        <v>169279594.5</v>
      </c>
      <c r="H1328">
        <v>47763239.580000006</v>
      </c>
      <c r="I1328">
        <v>68620962.090000004</v>
      </c>
      <c r="J1328">
        <v>23210366.73</v>
      </c>
      <c r="K1328">
        <v>814627.5</v>
      </c>
      <c r="L1328">
        <v>2496018.66</v>
      </c>
      <c r="M1328">
        <v>3555034.41</v>
      </c>
      <c r="N1328">
        <v>0</v>
      </c>
      <c r="O1328">
        <v>0</v>
      </c>
      <c r="P1328">
        <v>0</v>
      </c>
      <c r="Q1328">
        <v>0</v>
      </c>
      <c r="R1328">
        <v>0</v>
      </c>
      <c r="S1328">
        <v>50076781.68</v>
      </c>
      <c r="T1328" s="9">
        <v>45108</v>
      </c>
      <c r="U1328" s="9">
        <v>45473</v>
      </c>
      <c r="V1328">
        <f>SUM(POTABLE_NONPOTABLE_API[[#This Row],[RESIDENTIAL_SINGLEFAMILY_GAL]:[OTHER_GAL]])</f>
        <v>312184809.06000006</v>
      </c>
      <c r="W1328">
        <f>SUM(POTABLE_NONPOTABLE_API[[#This Row],[NONPOTABLE_DEMAND_RESIDENTIAL_RECYCLED_WATER_GAL]:[NONPOTABLE_DEMAND_NONRESIDENTIAL_METERED_IRRIGATION_GAL]])</f>
        <v>50076781.68</v>
      </c>
      <c r="X1328" t="str">
        <f>IFERROR(INDEX(Crosswalk_API!$H$2:$H$527, MATCH(POTABLE_NONPOTABLE_API[[#This Row],[PWSID]], CW_PWSID_LIST, 0)), "")</f>
        <v>No</v>
      </c>
    </row>
    <row r="1329" spans="1:24" x14ac:dyDescent="0.25">
      <c r="A1329" t="s">
        <v>1077</v>
      </c>
      <c r="B1329" t="s">
        <v>1078</v>
      </c>
      <c r="C1329" t="s">
        <v>1079</v>
      </c>
      <c r="D1329" t="s">
        <v>1080</v>
      </c>
      <c r="E1329" s="9">
        <v>45323</v>
      </c>
      <c r="F1329" s="9">
        <v>45351</v>
      </c>
      <c r="G1329">
        <v>142908473.06999999</v>
      </c>
      <c r="H1329">
        <v>44247307.289999999</v>
      </c>
      <c r="I1329">
        <v>66225957.240000002</v>
      </c>
      <c r="J1329">
        <v>9374733.2699999996</v>
      </c>
      <c r="K1329">
        <v>1026430.65</v>
      </c>
      <c r="L1329">
        <v>1173063.6000000001</v>
      </c>
      <c r="M1329">
        <v>3835266.27</v>
      </c>
      <c r="N1329">
        <v>0</v>
      </c>
      <c r="O1329">
        <v>0</v>
      </c>
      <c r="P1329">
        <v>0</v>
      </c>
      <c r="Q1329">
        <v>0</v>
      </c>
      <c r="R1329">
        <v>0</v>
      </c>
      <c r="S1329">
        <v>23751279.390000001</v>
      </c>
      <c r="T1329" s="9">
        <v>45108</v>
      </c>
      <c r="U1329" s="9">
        <v>45473</v>
      </c>
      <c r="V1329">
        <f>SUM(POTABLE_NONPOTABLE_API[[#This Row],[RESIDENTIAL_SINGLEFAMILY_GAL]:[OTHER_GAL]])</f>
        <v>264955965.12</v>
      </c>
      <c r="W1329">
        <f>SUM(POTABLE_NONPOTABLE_API[[#This Row],[NONPOTABLE_DEMAND_RESIDENTIAL_RECYCLED_WATER_GAL]:[NONPOTABLE_DEMAND_NONRESIDENTIAL_METERED_IRRIGATION_GAL]])</f>
        <v>23751279.390000001</v>
      </c>
      <c r="X1329" t="str">
        <f>IFERROR(INDEX(Crosswalk_API!$H$2:$H$527, MATCH(POTABLE_NONPOTABLE_API[[#This Row],[PWSID]], CW_PWSID_LIST, 0)), "")</f>
        <v>No</v>
      </c>
    </row>
    <row r="1330" spans="1:24" x14ac:dyDescent="0.25">
      <c r="A1330" t="s">
        <v>1077</v>
      </c>
      <c r="B1330" t="s">
        <v>1078</v>
      </c>
      <c r="C1330" t="s">
        <v>1079</v>
      </c>
      <c r="D1330" t="s">
        <v>1080</v>
      </c>
      <c r="E1330" s="9">
        <v>45352</v>
      </c>
      <c r="F1330" s="9">
        <v>45382</v>
      </c>
      <c r="G1330">
        <v>109815045.50999999</v>
      </c>
      <c r="H1330">
        <v>40601034.600000001</v>
      </c>
      <c r="I1330">
        <v>62319003.75</v>
      </c>
      <c r="J1330">
        <v>3796164.15</v>
      </c>
      <c r="K1330">
        <v>1234975.29</v>
      </c>
      <c r="L1330">
        <v>1160029.56</v>
      </c>
      <c r="M1330">
        <v>2408038.8899999997</v>
      </c>
      <c r="N1330">
        <v>0</v>
      </c>
      <c r="O1330">
        <v>0</v>
      </c>
      <c r="P1330">
        <v>0</v>
      </c>
      <c r="Q1330">
        <v>0</v>
      </c>
      <c r="R1330">
        <v>0</v>
      </c>
      <c r="S1330">
        <v>8133240.96</v>
      </c>
      <c r="T1330" s="9">
        <v>45108</v>
      </c>
      <c r="U1330" s="9">
        <v>45473</v>
      </c>
      <c r="V1330">
        <f>SUM(POTABLE_NONPOTABLE_API[[#This Row],[RESIDENTIAL_SINGLEFAMILY_GAL]:[OTHER_GAL]])</f>
        <v>218926252.85999998</v>
      </c>
      <c r="W1330">
        <f>SUM(POTABLE_NONPOTABLE_API[[#This Row],[NONPOTABLE_DEMAND_RESIDENTIAL_RECYCLED_WATER_GAL]:[NONPOTABLE_DEMAND_NONRESIDENTIAL_METERED_IRRIGATION_GAL]])</f>
        <v>8133240.96</v>
      </c>
      <c r="X1330" t="str">
        <f>IFERROR(INDEX(Crosswalk_API!$H$2:$H$527, MATCH(POTABLE_NONPOTABLE_API[[#This Row],[PWSID]], CW_PWSID_LIST, 0)), "")</f>
        <v>No</v>
      </c>
    </row>
    <row r="1331" spans="1:24" x14ac:dyDescent="0.25">
      <c r="A1331" t="s">
        <v>1077</v>
      </c>
      <c r="B1331" t="s">
        <v>1078</v>
      </c>
      <c r="C1331" t="s">
        <v>1079</v>
      </c>
      <c r="D1331" t="s">
        <v>1080</v>
      </c>
      <c r="E1331" s="9">
        <v>45383</v>
      </c>
      <c r="F1331" s="9">
        <v>45412</v>
      </c>
      <c r="G1331">
        <v>136596739.19999999</v>
      </c>
      <c r="H1331">
        <v>45042383.729999997</v>
      </c>
      <c r="I1331">
        <v>71384178.569999993</v>
      </c>
      <c r="J1331">
        <v>11385233.939999999</v>
      </c>
      <c r="K1331">
        <v>1241492.31</v>
      </c>
      <c r="L1331">
        <v>2368936.77</v>
      </c>
      <c r="M1331">
        <v>4131790.6799999997</v>
      </c>
      <c r="N1331">
        <v>0</v>
      </c>
      <c r="O1331">
        <v>0</v>
      </c>
      <c r="P1331">
        <v>0</v>
      </c>
      <c r="Q1331">
        <v>0</v>
      </c>
      <c r="R1331">
        <v>0</v>
      </c>
      <c r="S1331">
        <v>30232455.780000001</v>
      </c>
      <c r="T1331" s="9">
        <v>45108</v>
      </c>
      <c r="U1331" s="9">
        <v>45473</v>
      </c>
      <c r="V1331">
        <f>SUM(POTABLE_NONPOTABLE_API[[#This Row],[RESIDENTIAL_SINGLEFAMILY_GAL]:[OTHER_GAL]])</f>
        <v>268018964.51999998</v>
      </c>
      <c r="W1331">
        <f>SUM(POTABLE_NONPOTABLE_API[[#This Row],[NONPOTABLE_DEMAND_RESIDENTIAL_RECYCLED_WATER_GAL]:[NONPOTABLE_DEMAND_NONRESIDENTIAL_METERED_IRRIGATION_GAL]])</f>
        <v>30232455.780000001</v>
      </c>
      <c r="X1331" t="str">
        <f>IFERROR(INDEX(Crosswalk_API!$H$2:$H$527, MATCH(POTABLE_NONPOTABLE_API[[#This Row],[PWSID]], CW_PWSID_LIST, 0)), "")</f>
        <v>No</v>
      </c>
    </row>
    <row r="1332" spans="1:24" x14ac:dyDescent="0.25">
      <c r="A1332" t="s">
        <v>1077</v>
      </c>
      <c r="B1332" t="s">
        <v>1078</v>
      </c>
      <c r="C1332" t="s">
        <v>1079</v>
      </c>
      <c r="D1332" t="s">
        <v>1080</v>
      </c>
      <c r="E1332" s="9">
        <v>45413</v>
      </c>
      <c r="F1332" s="9">
        <v>45443</v>
      </c>
      <c r="G1332">
        <v>155688349.29000002</v>
      </c>
      <c r="H1332">
        <v>44960920.979999997</v>
      </c>
      <c r="I1332">
        <v>72954780.390000001</v>
      </c>
      <c r="J1332">
        <v>23559027.300000001</v>
      </c>
      <c r="K1332">
        <v>752715.81</v>
      </c>
      <c r="L1332">
        <v>2378712.2999999998</v>
      </c>
      <c r="M1332">
        <v>4539104.43</v>
      </c>
      <c r="N1332">
        <v>0</v>
      </c>
      <c r="O1332">
        <v>0</v>
      </c>
      <c r="P1332">
        <v>0</v>
      </c>
      <c r="Q1332">
        <v>0</v>
      </c>
      <c r="R1332">
        <v>0</v>
      </c>
      <c r="S1332">
        <v>71468899.829999998</v>
      </c>
      <c r="T1332" s="9">
        <v>45108</v>
      </c>
      <c r="U1332" s="9">
        <v>45473</v>
      </c>
      <c r="V1332">
        <f>SUM(POTABLE_NONPOTABLE_API[[#This Row],[RESIDENTIAL_SINGLEFAMILY_GAL]:[OTHER_GAL]])</f>
        <v>300294506.07000005</v>
      </c>
      <c r="W1332">
        <f>SUM(POTABLE_NONPOTABLE_API[[#This Row],[NONPOTABLE_DEMAND_RESIDENTIAL_RECYCLED_WATER_GAL]:[NONPOTABLE_DEMAND_NONRESIDENTIAL_METERED_IRRIGATION_GAL]])</f>
        <v>71468899.829999998</v>
      </c>
      <c r="X1332" t="str">
        <f>IFERROR(INDEX(Crosswalk_API!$H$2:$H$527, MATCH(POTABLE_NONPOTABLE_API[[#This Row],[PWSID]], CW_PWSID_LIST, 0)), "")</f>
        <v>No</v>
      </c>
    </row>
    <row r="1333" spans="1:24" x14ac:dyDescent="0.25">
      <c r="A1333" t="s">
        <v>1077</v>
      </c>
      <c r="B1333" t="s">
        <v>1078</v>
      </c>
      <c r="C1333" t="s">
        <v>1079</v>
      </c>
      <c r="D1333" t="s">
        <v>1080</v>
      </c>
      <c r="E1333" s="9">
        <v>45444</v>
      </c>
      <c r="F1333" s="9">
        <v>45473</v>
      </c>
      <c r="G1333">
        <v>203546085.66</v>
      </c>
      <c r="H1333">
        <v>49402270.110000007</v>
      </c>
      <c r="I1333">
        <v>79497868.469999999</v>
      </c>
      <c r="J1333">
        <v>44631811.469999999</v>
      </c>
      <c r="K1333">
        <v>1114410.42</v>
      </c>
      <c r="L1333">
        <v>3454020.6</v>
      </c>
      <c r="M1333">
        <v>4685737.38</v>
      </c>
      <c r="N1333">
        <v>0</v>
      </c>
      <c r="O1333">
        <v>0</v>
      </c>
      <c r="P1333">
        <v>0</v>
      </c>
      <c r="Q1333">
        <v>0</v>
      </c>
      <c r="R1333">
        <v>0</v>
      </c>
      <c r="S1333">
        <v>126625698.60000001</v>
      </c>
      <c r="T1333" s="9">
        <v>45108</v>
      </c>
      <c r="U1333" s="9">
        <v>45473</v>
      </c>
      <c r="V1333">
        <f>SUM(POTABLE_NONPOTABLE_API[[#This Row],[RESIDENTIAL_SINGLEFAMILY_GAL]:[OTHER_GAL]])</f>
        <v>381646466.73000008</v>
      </c>
      <c r="W1333">
        <f>SUM(POTABLE_NONPOTABLE_API[[#This Row],[NONPOTABLE_DEMAND_RESIDENTIAL_RECYCLED_WATER_GAL]:[NONPOTABLE_DEMAND_NONRESIDENTIAL_METERED_IRRIGATION_GAL]])</f>
        <v>126625698.60000001</v>
      </c>
      <c r="X1333" t="str">
        <f>IFERROR(INDEX(Crosswalk_API!$H$2:$H$527, MATCH(POTABLE_NONPOTABLE_API[[#This Row],[PWSID]], CW_PWSID_LIST, 0)), "")</f>
        <v>No</v>
      </c>
    </row>
    <row r="1334" spans="1:24" x14ac:dyDescent="0.25">
      <c r="A1334" t="s">
        <v>1081</v>
      </c>
      <c r="B1334" t="s">
        <v>1082</v>
      </c>
      <c r="C1334" t="s">
        <v>1083</v>
      </c>
      <c r="D1334" t="s">
        <v>1084</v>
      </c>
      <c r="E1334" s="9">
        <v>45108</v>
      </c>
      <c r="F1334" s="9">
        <v>45138</v>
      </c>
      <c r="G1334">
        <v>224836005.22400001</v>
      </c>
      <c r="H1334">
        <v>44435784.903999999</v>
      </c>
      <c r="I1334">
        <v>68211121.620000005</v>
      </c>
      <c r="J1334">
        <v>22983897.699999999</v>
      </c>
      <c r="K1334">
        <v>0</v>
      </c>
      <c r="L1334">
        <v>0</v>
      </c>
      <c r="M1334">
        <v>0</v>
      </c>
      <c r="T1334" s="9">
        <v>45108</v>
      </c>
      <c r="U1334" s="9">
        <v>45473</v>
      </c>
      <c r="V1334">
        <f>SUM(POTABLE_NONPOTABLE_API[[#This Row],[RESIDENTIAL_SINGLEFAMILY_GAL]:[OTHER_GAL]])</f>
        <v>360466809.44800001</v>
      </c>
      <c r="W1334">
        <f>SUM(POTABLE_NONPOTABLE_API[[#This Row],[NONPOTABLE_DEMAND_RESIDENTIAL_RECYCLED_WATER_GAL]:[NONPOTABLE_DEMAND_NONRESIDENTIAL_METERED_IRRIGATION_GAL]])</f>
        <v>0</v>
      </c>
      <c r="X1334" t="str">
        <f>IFERROR(INDEX(Crosswalk_API!$H$2:$H$527, MATCH(POTABLE_NONPOTABLE_API[[#This Row],[PWSID]], CW_PWSID_LIST, 0)), "")</f>
        <v>No</v>
      </c>
    </row>
    <row r="1335" spans="1:24" x14ac:dyDescent="0.25">
      <c r="A1335" t="s">
        <v>1081</v>
      </c>
      <c r="B1335" t="s">
        <v>1082</v>
      </c>
      <c r="C1335" t="s">
        <v>1083</v>
      </c>
      <c r="D1335" t="s">
        <v>1084</v>
      </c>
      <c r="E1335" s="9">
        <v>45139</v>
      </c>
      <c r="F1335" s="9">
        <v>45169</v>
      </c>
      <c r="G1335">
        <v>243630000</v>
      </c>
      <c r="H1335">
        <v>43720000</v>
      </c>
      <c r="I1335">
        <v>29720000</v>
      </c>
      <c r="J1335">
        <v>40090000</v>
      </c>
      <c r="K1335">
        <v>330000</v>
      </c>
      <c r="L1335">
        <v>0</v>
      </c>
      <c r="M1335">
        <v>0</v>
      </c>
      <c r="T1335" s="9">
        <v>45108</v>
      </c>
      <c r="U1335" s="9">
        <v>45473</v>
      </c>
      <c r="V1335">
        <f>SUM(POTABLE_NONPOTABLE_API[[#This Row],[RESIDENTIAL_SINGLEFAMILY_GAL]:[OTHER_GAL]])</f>
        <v>357490000</v>
      </c>
      <c r="W1335">
        <f>SUM(POTABLE_NONPOTABLE_API[[#This Row],[NONPOTABLE_DEMAND_RESIDENTIAL_RECYCLED_WATER_GAL]:[NONPOTABLE_DEMAND_NONRESIDENTIAL_METERED_IRRIGATION_GAL]])</f>
        <v>0</v>
      </c>
      <c r="X1335" t="str">
        <f>IFERROR(INDEX(Crosswalk_API!$H$2:$H$527, MATCH(POTABLE_NONPOTABLE_API[[#This Row],[PWSID]], CW_PWSID_LIST, 0)), "")</f>
        <v>No</v>
      </c>
    </row>
    <row r="1336" spans="1:24" x14ac:dyDescent="0.25">
      <c r="A1336" t="s">
        <v>1081</v>
      </c>
      <c r="B1336" t="s">
        <v>1082</v>
      </c>
      <c r="C1336" t="s">
        <v>1083</v>
      </c>
      <c r="D1336" t="s">
        <v>1084</v>
      </c>
      <c r="E1336" s="9">
        <v>45170</v>
      </c>
      <c r="F1336" s="9">
        <v>45199</v>
      </c>
      <c r="G1336">
        <v>204490000</v>
      </c>
      <c r="H1336">
        <v>40070000</v>
      </c>
      <c r="I1336">
        <v>26580000</v>
      </c>
      <c r="J1336">
        <v>28150000</v>
      </c>
      <c r="K1336">
        <v>320000</v>
      </c>
      <c r="L1336">
        <v>0</v>
      </c>
      <c r="M1336">
        <v>0</v>
      </c>
      <c r="T1336" s="9">
        <v>45108</v>
      </c>
      <c r="U1336" s="9">
        <v>45473</v>
      </c>
      <c r="V1336">
        <f>SUM(POTABLE_NONPOTABLE_API[[#This Row],[RESIDENTIAL_SINGLEFAMILY_GAL]:[OTHER_GAL]])</f>
        <v>299610000</v>
      </c>
      <c r="W1336">
        <f>SUM(POTABLE_NONPOTABLE_API[[#This Row],[NONPOTABLE_DEMAND_RESIDENTIAL_RECYCLED_WATER_GAL]:[NONPOTABLE_DEMAND_NONRESIDENTIAL_METERED_IRRIGATION_GAL]])</f>
        <v>0</v>
      </c>
      <c r="X1336" t="str">
        <f>IFERROR(INDEX(Crosswalk_API!$H$2:$H$527, MATCH(POTABLE_NONPOTABLE_API[[#This Row],[PWSID]], CW_PWSID_LIST, 0)), "")</f>
        <v>No</v>
      </c>
    </row>
    <row r="1337" spans="1:24" x14ac:dyDescent="0.25">
      <c r="A1337" t="s">
        <v>1081</v>
      </c>
      <c r="B1337" t="s">
        <v>1082</v>
      </c>
      <c r="C1337" t="s">
        <v>1083</v>
      </c>
      <c r="D1337" t="s">
        <v>1084</v>
      </c>
      <c r="E1337" s="9">
        <v>45200</v>
      </c>
      <c r="F1337" s="9">
        <v>45230</v>
      </c>
      <c r="G1337">
        <v>159293000</v>
      </c>
      <c r="H1337">
        <v>36624000</v>
      </c>
      <c r="I1337">
        <v>21686000</v>
      </c>
      <c r="J1337">
        <v>19142000</v>
      </c>
      <c r="K1337">
        <v>333000</v>
      </c>
      <c r="L1337">
        <v>0</v>
      </c>
      <c r="M1337">
        <v>0</v>
      </c>
      <c r="T1337" s="9">
        <v>45108</v>
      </c>
      <c r="U1337" s="9">
        <v>45473</v>
      </c>
      <c r="V1337">
        <f>SUM(POTABLE_NONPOTABLE_API[[#This Row],[RESIDENTIAL_SINGLEFAMILY_GAL]:[OTHER_GAL]])</f>
        <v>237078000</v>
      </c>
      <c r="W1337">
        <f>SUM(POTABLE_NONPOTABLE_API[[#This Row],[NONPOTABLE_DEMAND_RESIDENTIAL_RECYCLED_WATER_GAL]:[NONPOTABLE_DEMAND_NONRESIDENTIAL_METERED_IRRIGATION_GAL]])</f>
        <v>0</v>
      </c>
      <c r="X1337" t="str">
        <f>IFERROR(INDEX(Crosswalk_API!$H$2:$H$527, MATCH(POTABLE_NONPOTABLE_API[[#This Row],[PWSID]], CW_PWSID_LIST, 0)), "")</f>
        <v>No</v>
      </c>
    </row>
    <row r="1338" spans="1:24" x14ac:dyDescent="0.25">
      <c r="A1338" t="s">
        <v>1081</v>
      </c>
      <c r="B1338" t="s">
        <v>1082</v>
      </c>
      <c r="C1338" t="s">
        <v>1083</v>
      </c>
      <c r="D1338" t="s">
        <v>1084</v>
      </c>
      <c r="E1338" s="9">
        <v>45231</v>
      </c>
      <c r="F1338" s="9">
        <v>45260</v>
      </c>
      <c r="G1338">
        <v>98727000</v>
      </c>
      <c r="H1338">
        <v>30874000</v>
      </c>
      <c r="I1338">
        <v>14349000</v>
      </c>
      <c r="J1338">
        <v>5226000</v>
      </c>
      <c r="K1338">
        <v>294000</v>
      </c>
      <c r="L1338">
        <v>0</v>
      </c>
      <c r="M1338">
        <v>0</v>
      </c>
      <c r="T1338" s="9">
        <v>45108</v>
      </c>
      <c r="U1338" s="9">
        <v>45473</v>
      </c>
      <c r="V1338">
        <f>SUM(POTABLE_NONPOTABLE_API[[#This Row],[RESIDENTIAL_SINGLEFAMILY_GAL]:[OTHER_GAL]])</f>
        <v>149470000</v>
      </c>
      <c r="W1338">
        <f>SUM(POTABLE_NONPOTABLE_API[[#This Row],[NONPOTABLE_DEMAND_RESIDENTIAL_RECYCLED_WATER_GAL]:[NONPOTABLE_DEMAND_NONRESIDENTIAL_METERED_IRRIGATION_GAL]])</f>
        <v>0</v>
      </c>
      <c r="X1338" t="str">
        <f>IFERROR(INDEX(Crosswalk_API!$H$2:$H$527, MATCH(POTABLE_NONPOTABLE_API[[#This Row],[PWSID]], CW_PWSID_LIST, 0)), "")</f>
        <v>No</v>
      </c>
    </row>
    <row r="1339" spans="1:24" x14ac:dyDescent="0.25">
      <c r="A1339" t="s">
        <v>1081</v>
      </c>
      <c r="B1339" t="s">
        <v>1082</v>
      </c>
      <c r="C1339" t="s">
        <v>1083</v>
      </c>
      <c r="D1339" t="s">
        <v>1084</v>
      </c>
      <c r="E1339" s="9">
        <v>45261</v>
      </c>
      <c r="F1339" s="9">
        <v>45291</v>
      </c>
      <c r="G1339">
        <v>73148000</v>
      </c>
      <c r="H1339">
        <v>28911000</v>
      </c>
      <c r="I1339">
        <v>10953000</v>
      </c>
      <c r="J1339">
        <v>2920000</v>
      </c>
      <c r="K1339">
        <v>228000</v>
      </c>
      <c r="L1339">
        <v>0</v>
      </c>
      <c r="M1339">
        <v>0</v>
      </c>
      <c r="T1339" s="9">
        <v>45108</v>
      </c>
      <c r="U1339" s="9">
        <v>45473</v>
      </c>
      <c r="V1339">
        <f>SUM(POTABLE_NONPOTABLE_API[[#This Row],[RESIDENTIAL_SINGLEFAMILY_GAL]:[OTHER_GAL]])</f>
        <v>116160000</v>
      </c>
      <c r="W1339">
        <f>SUM(POTABLE_NONPOTABLE_API[[#This Row],[NONPOTABLE_DEMAND_RESIDENTIAL_RECYCLED_WATER_GAL]:[NONPOTABLE_DEMAND_NONRESIDENTIAL_METERED_IRRIGATION_GAL]])</f>
        <v>0</v>
      </c>
      <c r="X1339" t="str">
        <f>IFERROR(INDEX(Crosswalk_API!$H$2:$H$527, MATCH(POTABLE_NONPOTABLE_API[[#This Row],[PWSID]], CW_PWSID_LIST, 0)), "")</f>
        <v>No</v>
      </c>
    </row>
    <row r="1340" spans="1:24" x14ac:dyDescent="0.25">
      <c r="A1340" t="s">
        <v>1081</v>
      </c>
      <c r="B1340" t="s">
        <v>1082</v>
      </c>
      <c r="C1340" t="s">
        <v>1083</v>
      </c>
      <c r="D1340" t="s">
        <v>1084</v>
      </c>
      <c r="E1340" s="9">
        <v>45292</v>
      </c>
      <c r="F1340" s="9">
        <v>45322</v>
      </c>
      <c r="G1340">
        <v>59954000</v>
      </c>
      <c r="H1340">
        <v>26393000</v>
      </c>
      <c r="I1340">
        <v>9567000</v>
      </c>
      <c r="J1340">
        <v>1126000</v>
      </c>
      <c r="K1340">
        <v>180000</v>
      </c>
      <c r="L1340">
        <v>0</v>
      </c>
      <c r="M1340">
        <v>0</v>
      </c>
      <c r="T1340" s="9">
        <v>45108</v>
      </c>
      <c r="U1340" s="9">
        <v>45473</v>
      </c>
      <c r="V1340">
        <f>SUM(POTABLE_NONPOTABLE_API[[#This Row],[RESIDENTIAL_SINGLEFAMILY_GAL]:[OTHER_GAL]])</f>
        <v>97220000</v>
      </c>
      <c r="W1340">
        <f>SUM(POTABLE_NONPOTABLE_API[[#This Row],[NONPOTABLE_DEMAND_RESIDENTIAL_RECYCLED_WATER_GAL]:[NONPOTABLE_DEMAND_NONRESIDENTIAL_METERED_IRRIGATION_GAL]])</f>
        <v>0</v>
      </c>
      <c r="X1340" t="str">
        <f>IFERROR(INDEX(Crosswalk_API!$H$2:$H$527, MATCH(POTABLE_NONPOTABLE_API[[#This Row],[PWSID]], CW_PWSID_LIST, 0)), "")</f>
        <v>No</v>
      </c>
    </row>
    <row r="1341" spans="1:24" x14ac:dyDescent="0.25">
      <c r="A1341" t="s">
        <v>1081</v>
      </c>
      <c r="B1341" t="s">
        <v>1082</v>
      </c>
      <c r="C1341" t="s">
        <v>1083</v>
      </c>
      <c r="D1341" t="s">
        <v>1084</v>
      </c>
      <c r="E1341" s="9">
        <v>45323</v>
      </c>
      <c r="F1341" s="9">
        <v>45351</v>
      </c>
      <c r="G1341">
        <v>54073000</v>
      </c>
      <c r="H1341">
        <v>24510000</v>
      </c>
      <c r="I1341">
        <v>9212000</v>
      </c>
      <c r="J1341">
        <v>579000</v>
      </c>
      <c r="K1341">
        <v>181000</v>
      </c>
      <c r="L1341">
        <v>0</v>
      </c>
      <c r="M1341">
        <v>0</v>
      </c>
      <c r="T1341" s="9">
        <v>45108</v>
      </c>
      <c r="U1341" s="9">
        <v>45473</v>
      </c>
      <c r="V1341">
        <f>SUM(POTABLE_NONPOTABLE_API[[#This Row],[RESIDENTIAL_SINGLEFAMILY_GAL]:[OTHER_GAL]])</f>
        <v>88555000</v>
      </c>
      <c r="W1341">
        <f>SUM(POTABLE_NONPOTABLE_API[[#This Row],[NONPOTABLE_DEMAND_RESIDENTIAL_RECYCLED_WATER_GAL]:[NONPOTABLE_DEMAND_NONRESIDENTIAL_METERED_IRRIGATION_GAL]])</f>
        <v>0</v>
      </c>
      <c r="X1341" t="str">
        <f>IFERROR(INDEX(Crosswalk_API!$H$2:$H$527, MATCH(POTABLE_NONPOTABLE_API[[#This Row],[PWSID]], CW_PWSID_LIST, 0)), "")</f>
        <v>No</v>
      </c>
    </row>
    <row r="1342" spans="1:24" x14ac:dyDescent="0.25">
      <c r="A1342" t="s">
        <v>1081</v>
      </c>
      <c r="B1342" t="s">
        <v>1082</v>
      </c>
      <c r="C1342" t="s">
        <v>1083</v>
      </c>
      <c r="D1342" t="s">
        <v>1084</v>
      </c>
      <c r="E1342" s="9">
        <v>45352</v>
      </c>
      <c r="F1342" s="9">
        <v>45382</v>
      </c>
      <c r="G1342">
        <v>66921000.000000007</v>
      </c>
      <c r="H1342">
        <v>26869000</v>
      </c>
      <c r="I1342">
        <v>10705000</v>
      </c>
      <c r="J1342">
        <v>5386000</v>
      </c>
      <c r="K1342">
        <v>215000</v>
      </c>
      <c r="L1342">
        <v>3000</v>
      </c>
      <c r="M1342">
        <v>0</v>
      </c>
      <c r="T1342" s="9">
        <v>45108</v>
      </c>
      <c r="U1342" s="9">
        <v>45473</v>
      </c>
      <c r="V1342">
        <f>SUM(POTABLE_NONPOTABLE_API[[#This Row],[RESIDENTIAL_SINGLEFAMILY_GAL]:[OTHER_GAL]])</f>
        <v>110099000</v>
      </c>
      <c r="W1342">
        <f>SUM(POTABLE_NONPOTABLE_API[[#This Row],[NONPOTABLE_DEMAND_RESIDENTIAL_RECYCLED_WATER_GAL]:[NONPOTABLE_DEMAND_NONRESIDENTIAL_METERED_IRRIGATION_GAL]])</f>
        <v>0</v>
      </c>
      <c r="X1342" t="str">
        <f>IFERROR(INDEX(Crosswalk_API!$H$2:$H$527, MATCH(POTABLE_NONPOTABLE_API[[#This Row],[PWSID]], CW_PWSID_LIST, 0)), "")</f>
        <v>No</v>
      </c>
    </row>
    <row r="1343" spans="1:24" x14ac:dyDescent="0.25">
      <c r="A1343" t="s">
        <v>1081</v>
      </c>
      <c r="B1343" t="s">
        <v>1082</v>
      </c>
      <c r="C1343" t="s">
        <v>1083</v>
      </c>
      <c r="D1343" t="s">
        <v>1084</v>
      </c>
      <c r="E1343" s="9">
        <v>45383</v>
      </c>
      <c r="F1343" s="9">
        <v>45412</v>
      </c>
      <c r="G1343">
        <v>96371000</v>
      </c>
      <c r="H1343">
        <v>28109000</v>
      </c>
      <c r="I1343">
        <v>13346000</v>
      </c>
      <c r="J1343">
        <v>14507000</v>
      </c>
      <c r="K1343">
        <v>204000</v>
      </c>
      <c r="L1343">
        <v>8000</v>
      </c>
      <c r="M1343">
        <v>0</v>
      </c>
      <c r="T1343" s="9">
        <v>45108</v>
      </c>
      <c r="U1343" s="9">
        <v>45473</v>
      </c>
      <c r="V1343">
        <f>SUM(POTABLE_NONPOTABLE_API[[#This Row],[RESIDENTIAL_SINGLEFAMILY_GAL]:[OTHER_GAL]])</f>
        <v>152545000</v>
      </c>
      <c r="W1343">
        <f>SUM(POTABLE_NONPOTABLE_API[[#This Row],[NONPOTABLE_DEMAND_RESIDENTIAL_RECYCLED_WATER_GAL]:[NONPOTABLE_DEMAND_NONRESIDENTIAL_METERED_IRRIGATION_GAL]])</f>
        <v>0</v>
      </c>
      <c r="X1343" t="str">
        <f>IFERROR(INDEX(Crosswalk_API!$H$2:$H$527, MATCH(POTABLE_NONPOTABLE_API[[#This Row],[PWSID]], CW_PWSID_LIST, 0)), "")</f>
        <v>No</v>
      </c>
    </row>
    <row r="1344" spans="1:24" x14ac:dyDescent="0.25">
      <c r="A1344" t="s">
        <v>1081</v>
      </c>
      <c r="B1344" t="s">
        <v>1082</v>
      </c>
      <c r="C1344" t="s">
        <v>1083</v>
      </c>
      <c r="D1344" t="s">
        <v>1084</v>
      </c>
      <c r="E1344" s="9">
        <v>45413</v>
      </c>
      <c r="F1344" s="9">
        <v>45443</v>
      </c>
      <c r="G1344">
        <v>170107000</v>
      </c>
      <c r="H1344">
        <v>34686000</v>
      </c>
      <c r="I1344">
        <v>20485000</v>
      </c>
      <c r="J1344">
        <v>27689000</v>
      </c>
      <c r="K1344">
        <v>278000</v>
      </c>
      <c r="L1344">
        <v>9000</v>
      </c>
      <c r="M1344">
        <v>0</v>
      </c>
      <c r="T1344" s="9">
        <v>45108</v>
      </c>
      <c r="U1344" s="9">
        <v>45473</v>
      </c>
      <c r="V1344">
        <f>SUM(POTABLE_NONPOTABLE_API[[#This Row],[RESIDENTIAL_SINGLEFAMILY_GAL]:[OTHER_GAL]])</f>
        <v>253254000</v>
      </c>
      <c r="W1344">
        <f>SUM(POTABLE_NONPOTABLE_API[[#This Row],[NONPOTABLE_DEMAND_RESIDENTIAL_RECYCLED_WATER_GAL]:[NONPOTABLE_DEMAND_NONRESIDENTIAL_METERED_IRRIGATION_GAL]])</f>
        <v>0</v>
      </c>
      <c r="X1344" t="str">
        <f>IFERROR(INDEX(Crosswalk_API!$H$2:$H$527, MATCH(POTABLE_NONPOTABLE_API[[#This Row],[PWSID]], CW_PWSID_LIST, 0)), "")</f>
        <v>No</v>
      </c>
    </row>
    <row r="1345" spans="1:24" x14ac:dyDescent="0.25">
      <c r="A1345" t="s">
        <v>1081</v>
      </c>
      <c r="B1345" t="s">
        <v>1082</v>
      </c>
      <c r="C1345" t="s">
        <v>1083</v>
      </c>
      <c r="D1345" t="s">
        <v>1084</v>
      </c>
      <c r="E1345" s="9">
        <v>45444</v>
      </c>
      <c r="F1345" s="9">
        <v>45473</v>
      </c>
      <c r="G1345">
        <v>229104000</v>
      </c>
      <c r="H1345">
        <v>40923000</v>
      </c>
      <c r="I1345">
        <v>25437000</v>
      </c>
      <c r="J1345">
        <v>42628000</v>
      </c>
      <c r="K1345">
        <v>322000</v>
      </c>
      <c r="L1345">
        <v>20000</v>
      </c>
      <c r="M1345">
        <v>0</v>
      </c>
      <c r="T1345" s="9">
        <v>45108</v>
      </c>
      <c r="U1345" s="9">
        <v>45473</v>
      </c>
      <c r="V1345">
        <f>SUM(POTABLE_NONPOTABLE_API[[#This Row],[RESIDENTIAL_SINGLEFAMILY_GAL]:[OTHER_GAL]])</f>
        <v>338434000</v>
      </c>
      <c r="W1345">
        <f>SUM(POTABLE_NONPOTABLE_API[[#This Row],[NONPOTABLE_DEMAND_RESIDENTIAL_RECYCLED_WATER_GAL]:[NONPOTABLE_DEMAND_NONRESIDENTIAL_METERED_IRRIGATION_GAL]])</f>
        <v>0</v>
      </c>
      <c r="X1345" t="str">
        <f>IFERROR(INDEX(Crosswalk_API!$H$2:$H$527, MATCH(POTABLE_NONPOTABLE_API[[#This Row],[PWSID]], CW_PWSID_LIST, 0)), "")</f>
        <v>No</v>
      </c>
    </row>
    <row r="1346" spans="1:24" x14ac:dyDescent="0.25">
      <c r="A1346" t="s">
        <v>1085</v>
      </c>
      <c r="B1346" t="s">
        <v>1086</v>
      </c>
      <c r="C1346" t="s">
        <v>1087</v>
      </c>
      <c r="D1346" t="s">
        <v>1088</v>
      </c>
      <c r="E1346" s="9">
        <v>45108</v>
      </c>
      <c r="F1346" s="9">
        <v>45138</v>
      </c>
      <c r="G1346">
        <v>25213092.66</v>
      </c>
      <c r="H1346">
        <v>11523741.060000001</v>
      </c>
      <c r="I1346">
        <v>12545580.092</v>
      </c>
      <c r="J1346">
        <v>3096935.2800000003</v>
      </c>
      <c r="K1346">
        <v>1715283.236</v>
      </c>
      <c r="L1346">
        <v>132756.78844</v>
      </c>
      <c r="M1346">
        <v>67552835.859999999</v>
      </c>
      <c r="T1346" s="9">
        <v>45108</v>
      </c>
      <c r="U1346" s="9">
        <v>45473</v>
      </c>
      <c r="V1346">
        <f>SUM(POTABLE_NONPOTABLE_API[[#This Row],[RESIDENTIAL_SINGLEFAMILY_GAL]:[OTHER_GAL]])</f>
        <v>54227389.116439998</v>
      </c>
      <c r="W1346">
        <f>SUM(POTABLE_NONPOTABLE_API[[#This Row],[NONPOTABLE_DEMAND_RESIDENTIAL_RECYCLED_WATER_GAL]:[NONPOTABLE_DEMAND_NONRESIDENTIAL_METERED_IRRIGATION_GAL]])</f>
        <v>0</v>
      </c>
      <c r="X1346" t="str">
        <f>IFERROR(INDEX(Crosswalk_API!$H$2:$H$527, MATCH(POTABLE_NONPOTABLE_API[[#This Row],[PWSID]], CW_PWSID_LIST, 0)), "")</f>
        <v>No</v>
      </c>
    </row>
    <row r="1347" spans="1:24" x14ac:dyDescent="0.25">
      <c r="A1347" t="s">
        <v>1085</v>
      </c>
      <c r="B1347" t="s">
        <v>1086</v>
      </c>
      <c r="C1347" t="s">
        <v>1087</v>
      </c>
      <c r="D1347" t="s">
        <v>1088</v>
      </c>
      <c r="E1347" s="9">
        <v>45139</v>
      </c>
      <c r="F1347" s="9">
        <v>45169</v>
      </c>
      <c r="G1347">
        <v>25112105.640000001</v>
      </c>
      <c r="H1347">
        <v>11923200.828</v>
      </c>
      <c r="I1347">
        <v>12798421.668</v>
      </c>
      <c r="J1347">
        <v>3176976.844</v>
      </c>
      <c r="K1347">
        <v>1950919.6160000002</v>
      </c>
      <c r="L1347">
        <v>269216.43427999999</v>
      </c>
      <c r="M1347">
        <v>66465168.252000004</v>
      </c>
      <c r="T1347" s="9">
        <v>45108</v>
      </c>
      <c r="U1347" s="9">
        <v>45473</v>
      </c>
      <c r="V1347">
        <f>SUM(POTABLE_NONPOTABLE_API[[#This Row],[RESIDENTIAL_SINGLEFAMILY_GAL]:[OTHER_GAL]])</f>
        <v>55230841.030279994</v>
      </c>
      <c r="W1347">
        <f>SUM(POTABLE_NONPOTABLE_API[[#This Row],[NONPOTABLE_DEMAND_RESIDENTIAL_RECYCLED_WATER_GAL]:[NONPOTABLE_DEMAND_NONRESIDENTIAL_METERED_IRRIGATION_GAL]])</f>
        <v>0</v>
      </c>
      <c r="X1347" t="str">
        <f>IFERROR(INDEX(Crosswalk_API!$H$2:$H$527, MATCH(POTABLE_NONPOTABLE_API[[#This Row],[PWSID]], CW_PWSID_LIST, 0)), "")</f>
        <v>No</v>
      </c>
    </row>
    <row r="1348" spans="1:24" x14ac:dyDescent="0.25">
      <c r="A1348" t="s">
        <v>1085</v>
      </c>
      <c r="B1348" t="s">
        <v>1086</v>
      </c>
      <c r="C1348" t="s">
        <v>1087</v>
      </c>
      <c r="D1348" t="s">
        <v>1088</v>
      </c>
      <c r="E1348" s="9">
        <v>45170</v>
      </c>
      <c r="F1348" s="9">
        <v>45199</v>
      </c>
      <c r="G1348">
        <v>24842806.920000002</v>
      </c>
      <c r="H1348">
        <v>11925444.984000001</v>
      </c>
      <c r="I1348">
        <v>12649559.32</v>
      </c>
      <c r="J1348">
        <v>3181465.156</v>
      </c>
      <c r="K1348">
        <v>1932966.368</v>
      </c>
      <c r="L1348">
        <v>495958.47600000002</v>
      </c>
      <c r="M1348">
        <v>70643038.672000006</v>
      </c>
      <c r="T1348" s="9">
        <v>45108</v>
      </c>
      <c r="U1348" s="9">
        <v>45473</v>
      </c>
      <c r="V1348">
        <f>SUM(POTABLE_NONPOTABLE_API[[#This Row],[RESIDENTIAL_SINGLEFAMILY_GAL]:[OTHER_GAL]])</f>
        <v>55028201.224000007</v>
      </c>
      <c r="W1348">
        <f>SUM(POTABLE_NONPOTABLE_API[[#This Row],[NONPOTABLE_DEMAND_RESIDENTIAL_RECYCLED_WATER_GAL]:[NONPOTABLE_DEMAND_NONRESIDENTIAL_METERED_IRRIGATION_GAL]])</f>
        <v>0</v>
      </c>
      <c r="X1348" t="str">
        <f>IFERROR(INDEX(Crosswalk_API!$H$2:$H$527, MATCH(POTABLE_NONPOTABLE_API[[#This Row],[PWSID]], CW_PWSID_LIST, 0)), "")</f>
        <v>No</v>
      </c>
    </row>
    <row r="1349" spans="1:24" x14ac:dyDescent="0.25">
      <c r="A1349" t="s">
        <v>1085</v>
      </c>
      <c r="B1349" t="s">
        <v>1086</v>
      </c>
      <c r="C1349" t="s">
        <v>1087</v>
      </c>
      <c r="D1349" t="s">
        <v>1088</v>
      </c>
      <c r="E1349" s="9">
        <v>45200</v>
      </c>
      <c r="F1349" s="9">
        <v>45230</v>
      </c>
      <c r="G1349">
        <v>23807502.952</v>
      </c>
      <c r="H1349">
        <v>11619491.716</v>
      </c>
      <c r="I1349">
        <v>11777330.688000001</v>
      </c>
      <c r="J1349">
        <v>3104415.8000000003</v>
      </c>
      <c r="K1349">
        <v>1936706.628</v>
      </c>
      <c r="L1349">
        <v>293236.38400000002</v>
      </c>
      <c r="M1349">
        <v>67325428.052000001</v>
      </c>
      <c r="T1349" s="9">
        <v>45108</v>
      </c>
      <c r="U1349" s="9">
        <v>45473</v>
      </c>
      <c r="V1349">
        <f>SUM(POTABLE_NONPOTABLE_API[[#This Row],[RESIDENTIAL_SINGLEFAMILY_GAL]:[OTHER_GAL]])</f>
        <v>52538684.167999998</v>
      </c>
      <c r="W1349">
        <f>SUM(POTABLE_NONPOTABLE_API[[#This Row],[NONPOTABLE_DEMAND_RESIDENTIAL_RECYCLED_WATER_GAL]:[NONPOTABLE_DEMAND_NONRESIDENTIAL_METERED_IRRIGATION_GAL]])</f>
        <v>0</v>
      </c>
      <c r="X1349" t="str">
        <f>IFERROR(INDEX(Crosswalk_API!$H$2:$H$527, MATCH(POTABLE_NONPOTABLE_API[[#This Row],[PWSID]], CW_PWSID_LIST, 0)), "")</f>
        <v>No</v>
      </c>
    </row>
    <row r="1350" spans="1:24" x14ac:dyDescent="0.25">
      <c r="A1350" t="s">
        <v>1085</v>
      </c>
      <c r="B1350" t="s">
        <v>1086</v>
      </c>
      <c r="C1350" t="s">
        <v>1087</v>
      </c>
      <c r="D1350" t="s">
        <v>1088</v>
      </c>
      <c r="E1350" s="9">
        <v>45231</v>
      </c>
      <c r="F1350" s="9">
        <v>45260</v>
      </c>
      <c r="G1350">
        <v>23605528.912</v>
      </c>
      <c r="H1350">
        <v>11949382.648</v>
      </c>
      <c r="I1350">
        <v>10884904.652000001</v>
      </c>
      <c r="J1350">
        <v>2624914.4679999999</v>
      </c>
      <c r="K1350">
        <v>1941194.94</v>
      </c>
      <c r="L1350">
        <v>401703.924</v>
      </c>
      <c r="M1350">
        <v>62142175.744000003</v>
      </c>
      <c r="T1350" s="9">
        <v>45108</v>
      </c>
      <c r="U1350" s="9">
        <v>45473</v>
      </c>
      <c r="V1350">
        <f>SUM(POTABLE_NONPOTABLE_API[[#This Row],[RESIDENTIAL_SINGLEFAMILY_GAL]:[OTHER_GAL]])</f>
        <v>51407629.544000007</v>
      </c>
      <c r="W1350">
        <f>SUM(POTABLE_NONPOTABLE_API[[#This Row],[NONPOTABLE_DEMAND_RESIDENTIAL_RECYCLED_WATER_GAL]:[NONPOTABLE_DEMAND_NONRESIDENTIAL_METERED_IRRIGATION_GAL]])</f>
        <v>0</v>
      </c>
      <c r="X1350" t="str">
        <f>IFERROR(INDEX(Crosswalk_API!$H$2:$H$527, MATCH(POTABLE_NONPOTABLE_API[[#This Row],[PWSID]], CW_PWSID_LIST, 0)), "")</f>
        <v>No</v>
      </c>
    </row>
    <row r="1351" spans="1:24" x14ac:dyDescent="0.25">
      <c r="A1351" t="s">
        <v>1085</v>
      </c>
      <c r="B1351" t="s">
        <v>1086</v>
      </c>
      <c r="C1351" t="s">
        <v>1087</v>
      </c>
      <c r="D1351" t="s">
        <v>1088</v>
      </c>
      <c r="E1351" s="9">
        <v>45261</v>
      </c>
      <c r="F1351" s="9">
        <v>45291</v>
      </c>
      <c r="G1351">
        <v>19167336.396000002</v>
      </c>
      <c r="H1351">
        <v>10421860.464</v>
      </c>
      <c r="I1351">
        <v>8363221.3600000003</v>
      </c>
      <c r="J1351">
        <v>1787844.28</v>
      </c>
      <c r="K1351">
        <v>1703314.4040000001</v>
      </c>
      <c r="L1351">
        <v>202722.092</v>
      </c>
      <c r="M1351">
        <v>41399441.836000003</v>
      </c>
      <c r="T1351" s="9">
        <v>45108</v>
      </c>
      <c r="U1351" s="9">
        <v>45473</v>
      </c>
      <c r="V1351">
        <f>SUM(POTABLE_NONPOTABLE_API[[#This Row],[RESIDENTIAL_SINGLEFAMILY_GAL]:[OTHER_GAL]])</f>
        <v>41646298.995999999</v>
      </c>
      <c r="W1351">
        <f>SUM(POTABLE_NONPOTABLE_API[[#This Row],[NONPOTABLE_DEMAND_RESIDENTIAL_RECYCLED_WATER_GAL]:[NONPOTABLE_DEMAND_NONRESIDENTIAL_METERED_IRRIGATION_GAL]])</f>
        <v>0</v>
      </c>
      <c r="X1351" t="str">
        <f>IFERROR(INDEX(Crosswalk_API!$H$2:$H$527, MATCH(POTABLE_NONPOTABLE_API[[#This Row],[PWSID]], CW_PWSID_LIST, 0)), "")</f>
        <v>No</v>
      </c>
    </row>
    <row r="1352" spans="1:24" x14ac:dyDescent="0.25">
      <c r="A1352" t="s">
        <v>1085</v>
      </c>
      <c r="B1352" t="s">
        <v>1086</v>
      </c>
      <c r="C1352" t="s">
        <v>1087</v>
      </c>
      <c r="D1352" t="s">
        <v>1088</v>
      </c>
      <c r="E1352" s="9">
        <v>45292</v>
      </c>
      <c r="F1352" s="9">
        <v>45322</v>
      </c>
      <c r="G1352">
        <v>13460447.688000001</v>
      </c>
      <c r="H1352">
        <v>8625039.5600000005</v>
      </c>
      <c r="I1352">
        <v>5935792.6200000001</v>
      </c>
      <c r="J1352">
        <v>439106.52400000003</v>
      </c>
      <c r="K1352">
        <v>1202867.6159999999</v>
      </c>
      <c r="L1352">
        <v>57600.004000000001</v>
      </c>
      <c r="M1352">
        <v>16354660.876</v>
      </c>
      <c r="T1352" s="9">
        <v>45108</v>
      </c>
      <c r="U1352" s="9">
        <v>45473</v>
      </c>
      <c r="V1352">
        <f>SUM(POTABLE_NONPOTABLE_API[[#This Row],[RESIDENTIAL_SINGLEFAMILY_GAL]:[OTHER_GAL]])</f>
        <v>29720854.012000006</v>
      </c>
      <c r="W1352">
        <f>SUM(POTABLE_NONPOTABLE_API[[#This Row],[NONPOTABLE_DEMAND_RESIDENTIAL_RECYCLED_WATER_GAL]:[NONPOTABLE_DEMAND_NONRESIDENTIAL_METERED_IRRIGATION_GAL]])</f>
        <v>0</v>
      </c>
      <c r="X1352" t="str">
        <f>IFERROR(INDEX(Crosswalk_API!$H$2:$H$527, MATCH(POTABLE_NONPOTABLE_API[[#This Row],[PWSID]], CW_PWSID_LIST, 0)), "")</f>
        <v>No</v>
      </c>
    </row>
    <row r="1353" spans="1:24" x14ac:dyDescent="0.25">
      <c r="A1353" t="s">
        <v>1085</v>
      </c>
      <c r="B1353" t="s">
        <v>1086</v>
      </c>
      <c r="C1353" t="s">
        <v>1087</v>
      </c>
      <c r="D1353" t="s">
        <v>1088</v>
      </c>
      <c r="E1353" s="9">
        <v>45323</v>
      </c>
      <c r="F1353" s="9">
        <v>45351</v>
      </c>
      <c r="G1353">
        <v>13669154.196</v>
      </c>
      <c r="H1353">
        <v>9320727.9199999999</v>
      </c>
      <c r="I1353">
        <v>5920831.5800000001</v>
      </c>
      <c r="J1353">
        <v>232644.17200000002</v>
      </c>
      <c r="K1353">
        <v>1049516.956</v>
      </c>
      <c r="L1353">
        <v>46379.224000000002</v>
      </c>
      <c r="M1353">
        <v>15317112.752</v>
      </c>
      <c r="T1353" s="9">
        <v>45108</v>
      </c>
      <c r="U1353" s="9">
        <v>45473</v>
      </c>
      <c r="V1353">
        <f>SUM(POTABLE_NONPOTABLE_API[[#This Row],[RESIDENTIAL_SINGLEFAMILY_GAL]:[OTHER_GAL]])</f>
        <v>30239254.048</v>
      </c>
      <c r="W1353">
        <f>SUM(POTABLE_NONPOTABLE_API[[#This Row],[NONPOTABLE_DEMAND_RESIDENTIAL_RECYCLED_WATER_GAL]:[NONPOTABLE_DEMAND_NONRESIDENTIAL_METERED_IRRIGATION_GAL]])</f>
        <v>0</v>
      </c>
      <c r="X1353" t="str">
        <f>IFERROR(INDEX(Crosswalk_API!$H$2:$H$527, MATCH(POTABLE_NONPOTABLE_API[[#This Row],[PWSID]], CW_PWSID_LIST, 0)), "")</f>
        <v>No</v>
      </c>
    </row>
    <row r="1354" spans="1:24" x14ac:dyDescent="0.25">
      <c r="A1354" t="s">
        <v>1085</v>
      </c>
      <c r="B1354" t="s">
        <v>1086</v>
      </c>
      <c r="C1354" t="s">
        <v>1087</v>
      </c>
      <c r="D1354" t="s">
        <v>1088</v>
      </c>
      <c r="E1354" s="9">
        <v>45352</v>
      </c>
      <c r="F1354" s="9">
        <v>45382</v>
      </c>
      <c r="G1354">
        <v>12850785.308</v>
      </c>
      <c r="H1354">
        <v>8234556.4160000002</v>
      </c>
      <c r="I1354">
        <v>6865621.2560000001</v>
      </c>
      <c r="J1354">
        <v>421901.32800000004</v>
      </c>
      <c r="K1354">
        <v>947033.83200000005</v>
      </c>
      <c r="L1354">
        <v>44883.12</v>
      </c>
      <c r="M1354">
        <v>18227035.032000002</v>
      </c>
      <c r="T1354" s="9">
        <v>45108</v>
      </c>
      <c r="U1354" s="9">
        <v>45473</v>
      </c>
      <c r="V1354">
        <f>SUM(POTABLE_NONPOTABLE_API[[#This Row],[RESIDENTIAL_SINGLEFAMILY_GAL]:[OTHER_GAL]])</f>
        <v>29364781.260000002</v>
      </c>
      <c r="W1354">
        <f>SUM(POTABLE_NONPOTABLE_API[[#This Row],[NONPOTABLE_DEMAND_RESIDENTIAL_RECYCLED_WATER_GAL]:[NONPOTABLE_DEMAND_NONRESIDENTIAL_METERED_IRRIGATION_GAL]])</f>
        <v>0</v>
      </c>
      <c r="X1354" t="str">
        <f>IFERROR(INDEX(Crosswalk_API!$H$2:$H$527, MATCH(POTABLE_NONPOTABLE_API[[#This Row],[PWSID]], CW_PWSID_LIST, 0)), "")</f>
        <v>No</v>
      </c>
    </row>
    <row r="1355" spans="1:24" x14ac:dyDescent="0.25">
      <c r="A1355" t="s">
        <v>1085</v>
      </c>
      <c r="B1355" t="s">
        <v>1086</v>
      </c>
      <c r="C1355" t="s">
        <v>1087</v>
      </c>
      <c r="D1355" t="s">
        <v>1088</v>
      </c>
      <c r="E1355" s="9">
        <v>45383</v>
      </c>
      <c r="F1355" s="9">
        <v>45412</v>
      </c>
      <c r="G1355">
        <v>14901195.84</v>
      </c>
      <c r="H1355">
        <v>9456873.3839999996</v>
      </c>
      <c r="I1355">
        <v>8196405.7640000004</v>
      </c>
      <c r="J1355">
        <v>947033.83200000005</v>
      </c>
      <c r="K1355">
        <v>1129558.52</v>
      </c>
      <c r="L1355">
        <v>47127.275999999998</v>
      </c>
      <c r="M1355">
        <v>19969248.140000001</v>
      </c>
      <c r="T1355" s="9">
        <v>45108</v>
      </c>
      <c r="U1355" s="9">
        <v>45473</v>
      </c>
      <c r="V1355">
        <f>SUM(POTABLE_NONPOTABLE_API[[#This Row],[RESIDENTIAL_SINGLEFAMILY_GAL]:[OTHER_GAL]])</f>
        <v>34678194.615999997</v>
      </c>
      <c r="W1355">
        <f>SUM(POTABLE_NONPOTABLE_API[[#This Row],[NONPOTABLE_DEMAND_RESIDENTIAL_RECYCLED_WATER_GAL]:[NONPOTABLE_DEMAND_NONRESIDENTIAL_METERED_IRRIGATION_GAL]])</f>
        <v>0</v>
      </c>
      <c r="X1355" t="str">
        <f>IFERROR(INDEX(Crosswalk_API!$H$2:$H$527, MATCH(POTABLE_NONPOTABLE_API[[#This Row],[PWSID]], CW_PWSID_LIST, 0)), "")</f>
        <v>No</v>
      </c>
    </row>
    <row r="1356" spans="1:24" x14ac:dyDescent="0.25">
      <c r="A1356" t="s">
        <v>1085</v>
      </c>
      <c r="B1356" t="s">
        <v>1086</v>
      </c>
      <c r="C1356" t="s">
        <v>1087</v>
      </c>
      <c r="D1356" t="s">
        <v>1088</v>
      </c>
      <c r="E1356" s="9">
        <v>45413</v>
      </c>
      <c r="F1356" s="9">
        <v>45443</v>
      </c>
      <c r="G1356">
        <v>19613175.388</v>
      </c>
      <c r="H1356">
        <v>10105434.468</v>
      </c>
      <c r="I1356">
        <v>10315637.08</v>
      </c>
      <c r="J1356">
        <v>2140176.7719999999</v>
      </c>
      <c r="K1356">
        <v>1346493.6</v>
      </c>
      <c r="L1356">
        <v>187761.052</v>
      </c>
      <c r="M1356">
        <v>37561935.075999998</v>
      </c>
      <c r="T1356" s="9">
        <v>45108</v>
      </c>
      <c r="U1356" s="9">
        <v>45473</v>
      </c>
      <c r="V1356">
        <f>SUM(POTABLE_NONPOTABLE_API[[#This Row],[RESIDENTIAL_SINGLEFAMILY_GAL]:[OTHER_GAL]])</f>
        <v>43708678.359999999</v>
      </c>
      <c r="W1356">
        <f>SUM(POTABLE_NONPOTABLE_API[[#This Row],[NONPOTABLE_DEMAND_RESIDENTIAL_RECYCLED_WATER_GAL]:[NONPOTABLE_DEMAND_NONRESIDENTIAL_METERED_IRRIGATION_GAL]])</f>
        <v>0</v>
      </c>
      <c r="X1356" t="str">
        <f>IFERROR(INDEX(Crosswalk_API!$H$2:$H$527, MATCH(POTABLE_NONPOTABLE_API[[#This Row],[PWSID]], CW_PWSID_LIST, 0)), "")</f>
        <v>No</v>
      </c>
    </row>
    <row r="1357" spans="1:24" x14ac:dyDescent="0.25">
      <c r="A1357" t="s">
        <v>1085</v>
      </c>
      <c r="B1357" t="s">
        <v>1086</v>
      </c>
      <c r="C1357" t="s">
        <v>1087</v>
      </c>
      <c r="D1357" t="s">
        <v>1088</v>
      </c>
      <c r="E1357" s="9">
        <v>45444</v>
      </c>
      <c r="F1357" s="9">
        <v>45473</v>
      </c>
      <c r="G1357">
        <v>22654754.82</v>
      </c>
      <c r="H1357">
        <v>11252198.184</v>
      </c>
      <c r="I1357">
        <v>11000104.66</v>
      </c>
      <c r="J1357">
        <v>2301756.0040000002</v>
      </c>
      <c r="K1357">
        <v>1589610.5</v>
      </c>
      <c r="L1357">
        <v>155594.81599999999</v>
      </c>
      <c r="M1357">
        <v>52760107.560000002</v>
      </c>
      <c r="T1357" s="9">
        <v>45108</v>
      </c>
      <c r="U1357" s="9">
        <v>45473</v>
      </c>
      <c r="V1357">
        <f>SUM(POTABLE_NONPOTABLE_API[[#This Row],[RESIDENTIAL_SINGLEFAMILY_GAL]:[OTHER_GAL]])</f>
        <v>48954018.984000005</v>
      </c>
      <c r="W1357">
        <f>SUM(POTABLE_NONPOTABLE_API[[#This Row],[NONPOTABLE_DEMAND_RESIDENTIAL_RECYCLED_WATER_GAL]:[NONPOTABLE_DEMAND_NONRESIDENTIAL_METERED_IRRIGATION_GAL]])</f>
        <v>0</v>
      </c>
      <c r="X1357" t="str">
        <f>IFERROR(INDEX(Crosswalk_API!$H$2:$H$527, MATCH(POTABLE_NONPOTABLE_API[[#This Row],[PWSID]], CW_PWSID_LIST, 0)), "")</f>
        <v>No</v>
      </c>
    </row>
    <row r="1358" spans="1:24" x14ac:dyDescent="0.25">
      <c r="A1358" t="s">
        <v>1090</v>
      </c>
      <c r="B1358" t="s">
        <v>1091</v>
      </c>
      <c r="C1358" t="s">
        <v>1092</v>
      </c>
      <c r="D1358" t="s">
        <v>1093</v>
      </c>
      <c r="E1358" s="9">
        <v>45108</v>
      </c>
      <c r="F1358" s="9">
        <v>45138</v>
      </c>
      <c r="G1358">
        <v>35022465.480000004</v>
      </c>
      <c r="H1358">
        <v>2815352.64</v>
      </c>
      <c r="I1358">
        <v>11991316.799999999</v>
      </c>
      <c r="J1358">
        <v>0</v>
      </c>
      <c r="K1358">
        <v>146632.95000000001</v>
      </c>
      <c r="L1358">
        <v>0</v>
      </c>
      <c r="M1358">
        <v>2157133.62</v>
      </c>
      <c r="T1358" s="9">
        <v>45108</v>
      </c>
      <c r="U1358" s="9">
        <v>45473</v>
      </c>
      <c r="V1358">
        <f>SUM(POTABLE_NONPOTABLE_API[[#This Row],[RESIDENTIAL_SINGLEFAMILY_GAL]:[OTHER_GAL]])</f>
        <v>49975767.870000005</v>
      </c>
      <c r="W1358">
        <f>SUM(POTABLE_NONPOTABLE_API[[#This Row],[NONPOTABLE_DEMAND_RESIDENTIAL_RECYCLED_WATER_GAL]:[NONPOTABLE_DEMAND_NONRESIDENTIAL_METERED_IRRIGATION_GAL]])</f>
        <v>0</v>
      </c>
      <c r="X1358" t="str">
        <f>IFERROR(INDEX(Crosswalk_API!$H$2:$H$527, MATCH(POTABLE_NONPOTABLE_API[[#This Row],[PWSID]], CW_PWSID_LIST, 0)), "")</f>
        <v>No</v>
      </c>
    </row>
    <row r="1359" spans="1:24" x14ac:dyDescent="0.25">
      <c r="A1359" t="s">
        <v>1090</v>
      </c>
      <c r="B1359" t="s">
        <v>1091</v>
      </c>
      <c r="C1359" t="s">
        <v>1092</v>
      </c>
      <c r="D1359" t="s">
        <v>1093</v>
      </c>
      <c r="E1359" s="9">
        <v>45139</v>
      </c>
      <c r="F1359" s="9">
        <v>45169</v>
      </c>
      <c r="G1359">
        <v>34432675.170000002</v>
      </c>
      <c r="H1359">
        <v>3190081.2899999996</v>
      </c>
      <c r="I1359">
        <v>12251997.6</v>
      </c>
      <c r="J1359">
        <v>0</v>
      </c>
      <c r="K1359">
        <v>192252.09</v>
      </c>
      <c r="L1359">
        <v>3258.51</v>
      </c>
      <c r="M1359">
        <v>1450036.95</v>
      </c>
      <c r="T1359" s="9">
        <v>45108</v>
      </c>
      <c r="U1359" s="9">
        <v>45473</v>
      </c>
      <c r="V1359">
        <f>SUM(POTABLE_NONPOTABLE_API[[#This Row],[RESIDENTIAL_SINGLEFAMILY_GAL]:[OTHER_GAL]])</f>
        <v>50070264.660000004</v>
      </c>
      <c r="W1359">
        <f>SUM(POTABLE_NONPOTABLE_API[[#This Row],[NONPOTABLE_DEMAND_RESIDENTIAL_RECYCLED_WATER_GAL]:[NONPOTABLE_DEMAND_NONRESIDENTIAL_METERED_IRRIGATION_GAL]])</f>
        <v>0</v>
      </c>
      <c r="X1359" t="str">
        <f>IFERROR(INDEX(Crosswalk_API!$H$2:$H$527, MATCH(POTABLE_NONPOTABLE_API[[#This Row],[PWSID]], CW_PWSID_LIST, 0)), "")</f>
        <v>No</v>
      </c>
    </row>
    <row r="1360" spans="1:24" x14ac:dyDescent="0.25">
      <c r="A1360" t="s">
        <v>1090</v>
      </c>
      <c r="B1360" t="s">
        <v>1091</v>
      </c>
      <c r="C1360" t="s">
        <v>1092</v>
      </c>
      <c r="D1360" t="s">
        <v>1093</v>
      </c>
      <c r="E1360" s="9">
        <v>45170</v>
      </c>
      <c r="F1360" s="9">
        <v>45199</v>
      </c>
      <c r="G1360">
        <v>35090894.189999998</v>
      </c>
      <c r="H1360">
        <v>3203115.33</v>
      </c>
      <c r="I1360">
        <v>11551417.950000001</v>
      </c>
      <c r="J1360">
        <v>0</v>
      </c>
      <c r="K1360">
        <v>218320.17</v>
      </c>
      <c r="L1360">
        <v>0</v>
      </c>
      <c r="M1360">
        <v>1599928.4100000001</v>
      </c>
      <c r="T1360" s="9">
        <v>45108</v>
      </c>
      <c r="U1360" s="9">
        <v>45473</v>
      </c>
      <c r="V1360">
        <f>SUM(POTABLE_NONPOTABLE_API[[#This Row],[RESIDENTIAL_SINGLEFAMILY_GAL]:[OTHER_GAL]])</f>
        <v>50063747.640000001</v>
      </c>
      <c r="W1360">
        <f>SUM(POTABLE_NONPOTABLE_API[[#This Row],[NONPOTABLE_DEMAND_RESIDENTIAL_RECYCLED_WATER_GAL]:[NONPOTABLE_DEMAND_NONRESIDENTIAL_METERED_IRRIGATION_GAL]])</f>
        <v>0</v>
      </c>
      <c r="X1360" t="str">
        <f>IFERROR(INDEX(Crosswalk_API!$H$2:$H$527, MATCH(POTABLE_NONPOTABLE_API[[#This Row],[PWSID]], CW_PWSID_LIST, 0)), "")</f>
        <v>No</v>
      </c>
    </row>
    <row r="1361" spans="1:24" x14ac:dyDescent="0.25">
      <c r="A1361" t="s">
        <v>1090</v>
      </c>
      <c r="B1361" t="s">
        <v>1091</v>
      </c>
      <c r="C1361" t="s">
        <v>1092</v>
      </c>
      <c r="D1361" t="s">
        <v>1093</v>
      </c>
      <c r="E1361" s="9">
        <v>45200</v>
      </c>
      <c r="F1361" s="9">
        <v>45230</v>
      </c>
      <c r="G1361">
        <v>34338178.379999995</v>
      </c>
      <c r="H1361">
        <v>3157496.19</v>
      </c>
      <c r="I1361">
        <v>11232083.969999999</v>
      </c>
      <c r="J1361">
        <v>0</v>
      </c>
      <c r="K1361">
        <v>127081.89</v>
      </c>
      <c r="L1361">
        <v>0</v>
      </c>
      <c r="M1361">
        <v>2088704.9100000001</v>
      </c>
      <c r="T1361" s="9">
        <v>45108</v>
      </c>
      <c r="U1361" s="9">
        <v>45473</v>
      </c>
      <c r="V1361">
        <f>SUM(POTABLE_NONPOTABLE_API[[#This Row],[RESIDENTIAL_SINGLEFAMILY_GAL]:[OTHER_GAL]])</f>
        <v>48854840.429999992</v>
      </c>
      <c r="W1361">
        <f>SUM(POTABLE_NONPOTABLE_API[[#This Row],[NONPOTABLE_DEMAND_RESIDENTIAL_RECYCLED_WATER_GAL]:[NONPOTABLE_DEMAND_NONRESIDENTIAL_METERED_IRRIGATION_GAL]])</f>
        <v>0</v>
      </c>
      <c r="X1361" t="str">
        <f>IFERROR(INDEX(Crosswalk_API!$H$2:$H$527, MATCH(POTABLE_NONPOTABLE_API[[#This Row],[PWSID]], CW_PWSID_LIST, 0)), "")</f>
        <v>No</v>
      </c>
    </row>
    <row r="1362" spans="1:24" x14ac:dyDescent="0.25">
      <c r="A1362" t="s">
        <v>1090</v>
      </c>
      <c r="B1362" t="s">
        <v>1091</v>
      </c>
      <c r="C1362" t="s">
        <v>1092</v>
      </c>
      <c r="D1362" t="s">
        <v>1093</v>
      </c>
      <c r="E1362" s="9">
        <v>45231</v>
      </c>
      <c r="F1362" s="9">
        <v>45260</v>
      </c>
      <c r="G1362">
        <v>27084735.120000001</v>
      </c>
      <c r="H1362">
        <v>3323680.1999999997</v>
      </c>
      <c r="I1362">
        <v>9257426.9100000001</v>
      </c>
      <c r="J1362">
        <v>0</v>
      </c>
      <c r="K1362">
        <v>94496.79</v>
      </c>
      <c r="L1362">
        <v>0</v>
      </c>
      <c r="M1362">
        <v>1437002.9100000001</v>
      </c>
      <c r="T1362" s="9">
        <v>45108</v>
      </c>
      <c r="U1362" s="9">
        <v>45473</v>
      </c>
      <c r="V1362">
        <f>SUM(POTABLE_NONPOTABLE_API[[#This Row],[RESIDENTIAL_SINGLEFAMILY_GAL]:[OTHER_GAL]])</f>
        <v>39760339.020000003</v>
      </c>
      <c r="W1362">
        <f>SUM(POTABLE_NONPOTABLE_API[[#This Row],[NONPOTABLE_DEMAND_RESIDENTIAL_RECYCLED_WATER_GAL]:[NONPOTABLE_DEMAND_NONRESIDENTIAL_METERED_IRRIGATION_GAL]])</f>
        <v>0</v>
      </c>
      <c r="X1362" t="str">
        <f>IFERROR(INDEX(Crosswalk_API!$H$2:$H$527, MATCH(POTABLE_NONPOTABLE_API[[#This Row],[PWSID]], CW_PWSID_LIST, 0)), "")</f>
        <v>No</v>
      </c>
    </row>
    <row r="1363" spans="1:24" x14ac:dyDescent="0.25">
      <c r="A1363" t="s">
        <v>1090</v>
      </c>
      <c r="B1363" t="s">
        <v>1091</v>
      </c>
      <c r="C1363" t="s">
        <v>1092</v>
      </c>
      <c r="D1363" t="s">
        <v>1093</v>
      </c>
      <c r="E1363" s="9">
        <v>45261</v>
      </c>
      <c r="F1363" s="9">
        <v>45291</v>
      </c>
      <c r="G1363">
        <v>23210366.73</v>
      </c>
      <c r="H1363">
        <v>3216149.3699999996</v>
      </c>
      <c r="I1363">
        <v>7673791.0499999998</v>
      </c>
      <c r="J1363">
        <v>0</v>
      </c>
      <c r="K1363">
        <v>78204.239999999991</v>
      </c>
      <c r="L1363">
        <v>0</v>
      </c>
      <c r="M1363">
        <v>931933.86</v>
      </c>
      <c r="T1363" s="9">
        <v>45108</v>
      </c>
      <c r="U1363" s="9">
        <v>45473</v>
      </c>
      <c r="V1363">
        <f>SUM(POTABLE_NONPOTABLE_API[[#This Row],[RESIDENTIAL_SINGLEFAMILY_GAL]:[OTHER_GAL]])</f>
        <v>34178511.390000001</v>
      </c>
      <c r="W1363">
        <f>SUM(POTABLE_NONPOTABLE_API[[#This Row],[NONPOTABLE_DEMAND_RESIDENTIAL_RECYCLED_WATER_GAL]:[NONPOTABLE_DEMAND_NONRESIDENTIAL_METERED_IRRIGATION_GAL]])</f>
        <v>0</v>
      </c>
      <c r="X1363" t="str">
        <f>IFERROR(INDEX(Crosswalk_API!$H$2:$H$527, MATCH(POTABLE_NONPOTABLE_API[[#This Row],[PWSID]], CW_PWSID_LIST, 0)), "")</f>
        <v>No</v>
      </c>
    </row>
    <row r="1364" spans="1:24" x14ac:dyDescent="0.25">
      <c r="A1364" t="s">
        <v>1090</v>
      </c>
      <c r="B1364" t="s">
        <v>1091</v>
      </c>
      <c r="C1364" t="s">
        <v>1092</v>
      </c>
      <c r="D1364" t="s">
        <v>1093</v>
      </c>
      <c r="E1364" s="9">
        <v>45292</v>
      </c>
      <c r="F1364" s="9">
        <v>45322</v>
      </c>
      <c r="G1364">
        <v>15122744.909999998</v>
      </c>
      <c r="H1364">
        <v>1564084.8</v>
      </c>
      <c r="I1364">
        <v>5415643.6200000001</v>
      </c>
      <c r="J1364">
        <v>172701.03</v>
      </c>
      <c r="K1364">
        <v>91238.280000000013</v>
      </c>
      <c r="L1364">
        <v>462708.42</v>
      </c>
      <c r="M1364">
        <v>130340.40000000001</v>
      </c>
      <c r="T1364" s="9">
        <v>45108</v>
      </c>
      <c r="U1364" s="9">
        <v>45473</v>
      </c>
      <c r="V1364">
        <f>SUM(POTABLE_NONPOTABLE_API[[#This Row],[RESIDENTIAL_SINGLEFAMILY_GAL]:[OTHER_GAL]])</f>
        <v>22829121.060000002</v>
      </c>
      <c r="W1364">
        <f>SUM(POTABLE_NONPOTABLE_API[[#This Row],[NONPOTABLE_DEMAND_RESIDENTIAL_RECYCLED_WATER_GAL]:[NONPOTABLE_DEMAND_NONRESIDENTIAL_METERED_IRRIGATION_GAL]])</f>
        <v>0</v>
      </c>
      <c r="X1364" t="str">
        <f>IFERROR(INDEX(Crosswalk_API!$H$2:$H$527, MATCH(POTABLE_NONPOTABLE_API[[#This Row],[PWSID]], CW_PWSID_LIST, 0)), "")</f>
        <v>No</v>
      </c>
    </row>
    <row r="1365" spans="1:24" x14ac:dyDescent="0.25">
      <c r="A1365" t="s">
        <v>1090</v>
      </c>
      <c r="B1365" t="s">
        <v>1091</v>
      </c>
      <c r="C1365" t="s">
        <v>1092</v>
      </c>
      <c r="D1365" t="s">
        <v>1093</v>
      </c>
      <c r="E1365" s="9">
        <v>45323</v>
      </c>
      <c r="F1365" s="9">
        <v>45351</v>
      </c>
      <c r="G1365">
        <v>12349752.9</v>
      </c>
      <c r="H1365">
        <v>1316438.04</v>
      </c>
      <c r="I1365">
        <v>5014846.8900000006</v>
      </c>
      <c r="J1365">
        <v>81462.75</v>
      </c>
      <c r="K1365">
        <v>84721.260000000009</v>
      </c>
      <c r="L1365">
        <v>319333.98</v>
      </c>
      <c r="M1365">
        <v>104272.32000000001</v>
      </c>
      <c r="T1365" s="9">
        <v>45108</v>
      </c>
      <c r="U1365" s="9">
        <v>45473</v>
      </c>
      <c r="V1365">
        <f>SUM(POTABLE_NONPOTABLE_API[[#This Row],[RESIDENTIAL_SINGLEFAMILY_GAL]:[OTHER_GAL]])</f>
        <v>19166555.820000004</v>
      </c>
      <c r="W1365">
        <f>SUM(POTABLE_NONPOTABLE_API[[#This Row],[NONPOTABLE_DEMAND_RESIDENTIAL_RECYCLED_WATER_GAL]:[NONPOTABLE_DEMAND_NONRESIDENTIAL_METERED_IRRIGATION_GAL]])</f>
        <v>0</v>
      </c>
      <c r="X1365" t="str">
        <f>IFERROR(INDEX(Crosswalk_API!$H$2:$H$527, MATCH(POTABLE_NONPOTABLE_API[[#This Row],[PWSID]], CW_PWSID_LIST, 0)), "")</f>
        <v>No</v>
      </c>
    </row>
    <row r="1366" spans="1:24" x14ac:dyDescent="0.25">
      <c r="A1366" t="s">
        <v>1090</v>
      </c>
      <c r="B1366" t="s">
        <v>1091</v>
      </c>
      <c r="C1366" t="s">
        <v>1092</v>
      </c>
      <c r="D1366" t="s">
        <v>1093</v>
      </c>
      <c r="E1366" s="9">
        <v>45352</v>
      </c>
      <c r="F1366" s="9">
        <v>45382</v>
      </c>
      <c r="G1366">
        <v>15041282.159999998</v>
      </c>
      <c r="H1366">
        <v>1599928.4100000001</v>
      </c>
      <c r="I1366">
        <v>6178134.96</v>
      </c>
      <c r="J1366">
        <v>166184.01</v>
      </c>
      <c r="K1366">
        <v>94496.79</v>
      </c>
      <c r="L1366">
        <v>664736.04</v>
      </c>
      <c r="M1366">
        <v>166184.01</v>
      </c>
      <c r="T1366" s="9">
        <v>45108</v>
      </c>
      <c r="U1366" s="9">
        <v>45473</v>
      </c>
      <c r="V1366">
        <f>SUM(POTABLE_NONPOTABLE_API[[#This Row],[RESIDENTIAL_SINGLEFAMILY_GAL]:[OTHER_GAL]])</f>
        <v>23744762.369999997</v>
      </c>
      <c r="W1366">
        <f>SUM(POTABLE_NONPOTABLE_API[[#This Row],[NONPOTABLE_DEMAND_RESIDENTIAL_RECYCLED_WATER_GAL]:[NONPOTABLE_DEMAND_NONRESIDENTIAL_METERED_IRRIGATION_GAL]])</f>
        <v>0</v>
      </c>
      <c r="X1366" t="str">
        <f>IFERROR(INDEX(Crosswalk_API!$H$2:$H$527, MATCH(POTABLE_NONPOTABLE_API[[#This Row],[PWSID]], CW_PWSID_LIST, 0)), "")</f>
        <v>No</v>
      </c>
    </row>
    <row r="1367" spans="1:24" x14ac:dyDescent="0.25">
      <c r="A1367" t="s">
        <v>1090</v>
      </c>
      <c r="B1367" t="s">
        <v>1091</v>
      </c>
      <c r="C1367" t="s">
        <v>1092</v>
      </c>
      <c r="D1367" t="s">
        <v>1093</v>
      </c>
      <c r="E1367" s="9">
        <v>45383</v>
      </c>
      <c r="F1367" s="9">
        <v>45412</v>
      </c>
      <c r="G1367">
        <v>15732086.280000001</v>
      </c>
      <c r="H1367">
        <v>1619479.47</v>
      </c>
      <c r="I1367">
        <v>6227012.6099999994</v>
      </c>
      <c r="J1367">
        <v>156408.47999999998</v>
      </c>
      <c r="K1367">
        <v>84721.260000000009</v>
      </c>
      <c r="L1367">
        <v>1925779.4100000001</v>
      </c>
      <c r="M1367">
        <v>156408.47999999998</v>
      </c>
      <c r="T1367" s="9">
        <v>45108</v>
      </c>
      <c r="U1367" s="9">
        <v>45473</v>
      </c>
      <c r="V1367">
        <f>SUM(POTABLE_NONPOTABLE_API[[#This Row],[RESIDENTIAL_SINGLEFAMILY_GAL]:[OTHER_GAL]])</f>
        <v>25745487.510000002</v>
      </c>
      <c r="W1367">
        <f>SUM(POTABLE_NONPOTABLE_API[[#This Row],[NONPOTABLE_DEMAND_RESIDENTIAL_RECYCLED_WATER_GAL]:[NONPOTABLE_DEMAND_NONRESIDENTIAL_METERED_IRRIGATION_GAL]])</f>
        <v>0</v>
      </c>
      <c r="X1367" t="str">
        <f>IFERROR(INDEX(Crosswalk_API!$H$2:$H$527, MATCH(POTABLE_NONPOTABLE_API[[#This Row],[PWSID]], CW_PWSID_LIST, 0)), "")</f>
        <v>No</v>
      </c>
    </row>
    <row r="1368" spans="1:24" x14ac:dyDescent="0.25">
      <c r="A1368" t="s">
        <v>1090</v>
      </c>
      <c r="B1368" t="s">
        <v>1091</v>
      </c>
      <c r="C1368" t="s">
        <v>1092</v>
      </c>
      <c r="D1368" t="s">
        <v>1093</v>
      </c>
      <c r="E1368" s="9">
        <v>45413</v>
      </c>
      <c r="F1368" s="9">
        <v>45443</v>
      </c>
      <c r="G1368">
        <v>26599217.129999999</v>
      </c>
      <c r="H1368">
        <v>2401521.87</v>
      </c>
      <c r="I1368">
        <v>8074587.7800000003</v>
      </c>
      <c r="J1368">
        <v>664736.04</v>
      </c>
      <c r="K1368">
        <v>87979.77</v>
      </c>
      <c r="L1368">
        <v>980811.50999999989</v>
      </c>
      <c r="M1368">
        <v>987328.52999999991</v>
      </c>
      <c r="T1368" s="9">
        <v>45108</v>
      </c>
      <c r="U1368" s="9">
        <v>45473</v>
      </c>
      <c r="V1368">
        <f>SUM(POTABLE_NONPOTABLE_API[[#This Row],[RESIDENTIAL_SINGLEFAMILY_GAL]:[OTHER_GAL]])</f>
        <v>38808854.100000001</v>
      </c>
      <c r="W1368">
        <f>SUM(POTABLE_NONPOTABLE_API[[#This Row],[NONPOTABLE_DEMAND_RESIDENTIAL_RECYCLED_WATER_GAL]:[NONPOTABLE_DEMAND_NONRESIDENTIAL_METERED_IRRIGATION_GAL]])</f>
        <v>0</v>
      </c>
      <c r="X1368" t="str">
        <f>IFERROR(INDEX(Crosswalk_API!$H$2:$H$527, MATCH(POTABLE_NONPOTABLE_API[[#This Row],[PWSID]], CW_PWSID_LIST, 0)), "")</f>
        <v>No</v>
      </c>
    </row>
    <row r="1369" spans="1:24" x14ac:dyDescent="0.25">
      <c r="A1369" t="s">
        <v>1090</v>
      </c>
      <c r="B1369" t="s">
        <v>1091</v>
      </c>
      <c r="C1369" t="s">
        <v>1092</v>
      </c>
      <c r="D1369" t="s">
        <v>1093</v>
      </c>
      <c r="E1369" s="9">
        <v>45444</v>
      </c>
      <c r="F1369" s="9">
        <v>45473</v>
      </c>
      <c r="G1369">
        <v>28635785.879999999</v>
      </c>
      <c r="H1369">
        <v>2424331.44</v>
      </c>
      <c r="I1369">
        <v>7745478.2699999996</v>
      </c>
      <c r="J1369">
        <v>778783.89</v>
      </c>
      <c r="K1369">
        <v>55394.670000000006</v>
      </c>
      <c r="L1369">
        <v>1332730.5899999999</v>
      </c>
      <c r="M1369">
        <v>1524982.68</v>
      </c>
      <c r="T1369" s="9">
        <v>45108</v>
      </c>
      <c r="U1369" s="9">
        <v>45473</v>
      </c>
      <c r="V1369">
        <f>SUM(POTABLE_NONPOTABLE_API[[#This Row],[RESIDENTIAL_SINGLEFAMILY_GAL]:[OTHER_GAL]])</f>
        <v>40972504.74000001</v>
      </c>
      <c r="W1369">
        <f>SUM(POTABLE_NONPOTABLE_API[[#This Row],[NONPOTABLE_DEMAND_RESIDENTIAL_RECYCLED_WATER_GAL]:[NONPOTABLE_DEMAND_NONRESIDENTIAL_METERED_IRRIGATION_GAL]])</f>
        <v>0</v>
      </c>
      <c r="X1369" t="str">
        <f>IFERROR(INDEX(Crosswalk_API!$H$2:$H$527, MATCH(POTABLE_NONPOTABLE_API[[#This Row],[PWSID]], CW_PWSID_LIST, 0)), "")</f>
        <v>No</v>
      </c>
    </row>
    <row r="1370" spans="1:24" x14ac:dyDescent="0.25">
      <c r="A1370" t="s">
        <v>1090</v>
      </c>
      <c r="B1370" t="s">
        <v>1091</v>
      </c>
      <c r="C1370" t="s">
        <v>1094</v>
      </c>
      <c r="D1370" t="s">
        <v>1095</v>
      </c>
      <c r="E1370" s="9">
        <v>45108</v>
      </c>
      <c r="F1370" s="9">
        <v>45138</v>
      </c>
      <c r="G1370">
        <v>32037670.319999997</v>
      </c>
      <c r="H1370">
        <v>6233529.6299999999</v>
      </c>
      <c r="I1370">
        <v>35723045.129999995</v>
      </c>
      <c r="J1370">
        <v>0</v>
      </c>
      <c r="K1370">
        <v>449674.37999999995</v>
      </c>
      <c r="L1370">
        <v>938450.88</v>
      </c>
      <c r="M1370">
        <v>147701741.28</v>
      </c>
      <c r="T1370" s="9">
        <v>45108</v>
      </c>
      <c r="U1370" s="9">
        <v>45473</v>
      </c>
      <c r="V1370">
        <f>SUM(POTABLE_NONPOTABLE_API[[#This Row],[RESIDENTIAL_SINGLEFAMILY_GAL]:[OTHER_GAL]])</f>
        <v>75382370.339999974</v>
      </c>
      <c r="W1370">
        <f>SUM(POTABLE_NONPOTABLE_API[[#This Row],[NONPOTABLE_DEMAND_RESIDENTIAL_RECYCLED_WATER_GAL]:[NONPOTABLE_DEMAND_NONRESIDENTIAL_METERED_IRRIGATION_GAL]])</f>
        <v>0</v>
      </c>
      <c r="X1370" t="str">
        <f>IFERROR(INDEX(Crosswalk_API!$H$2:$H$527, MATCH(POTABLE_NONPOTABLE_API[[#This Row],[PWSID]], CW_PWSID_LIST, 0)), "")</f>
        <v>No</v>
      </c>
    </row>
    <row r="1371" spans="1:24" x14ac:dyDescent="0.25">
      <c r="A1371" t="s">
        <v>1090</v>
      </c>
      <c r="B1371" t="s">
        <v>1091</v>
      </c>
      <c r="C1371" t="s">
        <v>1094</v>
      </c>
      <c r="D1371" t="s">
        <v>1095</v>
      </c>
      <c r="E1371" s="9">
        <v>45139</v>
      </c>
      <c r="F1371" s="9">
        <v>45169</v>
      </c>
      <c r="G1371">
        <v>30786402.48</v>
      </c>
      <c r="H1371">
        <v>6223754.1000000006</v>
      </c>
      <c r="I1371">
        <v>26035494.900000002</v>
      </c>
      <c r="J1371">
        <v>0</v>
      </c>
      <c r="K1371">
        <v>459449.91</v>
      </c>
      <c r="L1371">
        <v>710355.18</v>
      </c>
      <c r="M1371">
        <v>109489194.50999999</v>
      </c>
      <c r="T1371" s="9">
        <v>45108</v>
      </c>
      <c r="U1371" s="9">
        <v>45473</v>
      </c>
      <c r="V1371">
        <f>SUM(POTABLE_NONPOTABLE_API[[#This Row],[RESIDENTIAL_SINGLEFAMILY_GAL]:[OTHER_GAL]])</f>
        <v>64215456.57</v>
      </c>
      <c r="W1371">
        <f>SUM(POTABLE_NONPOTABLE_API[[#This Row],[NONPOTABLE_DEMAND_RESIDENTIAL_RECYCLED_WATER_GAL]:[NONPOTABLE_DEMAND_NONRESIDENTIAL_METERED_IRRIGATION_GAL]])</f>
        <v>0</v>
      </c>
      <c r="X1371" t="str">
        <f>IFERROR(INDEX(Crosswalk_API!$H$2:$H$527, MATCH(POTABLE_NONPOTABLE_API[[#This Row],[PWSID]], CW_PWSID_LIST, 0)), "")</f>
        <v>No</v>
      </c>
    </row>
    <row r="1372" spans="1:24" x14ac:dyDescent="0.25">
      <c r="A1372" t="s">
        <v>1090</v>
      </c>
      <c r="B1372" t="s">
        <v>1091</v>
      </c>
      <c r="C1372" t="s">
        <v>1094</v>
      </c>
      <c r="D1372" t="s">
        <v>1095</v>
      </c>
      <c r="E1372" s="9">
        <v>45170</v>
      </c>
      <c r="F1372" s="9">
        <v>45199</v>
      </c>
      <c r="G1372">
        <v>29300521.920000002</v>
      </c>
      <c r="H1372">
        <v>6262856.2199999997</v>
      </c>
      <c r="I1372">
        <v>24008701.680000003</v>
      </c>
      <c r="J1372">
        <v>0</v>
      </c>
      <c r="K1372">
        <v>433381.83</v>
      </c>
      <c r="L1372">
        <v>2463433.56</v>
      </c>
      <c r="M1372">
        <v>114908096.64</v>
      </c>
      <c r="T1372" s="9">
        <v>45108</v>
      </c>
      <c r="U1372" s="9">
        <v>45473</v>
      </c>
      <c r="V1372">
        <f>SUM(POTABLE_NONPOTABLE_API[[#This Row],[RESIDENTIAL_SINGLEFAMILY_GAL]:[OTHER_GAL]])</f>
        <v>62468895.210000008</v>
      </c>
      <c r="W1372">
        <f>SUM(POTABLE_NONPOTABLE_API[[#This Row],[NONPOTABLE_DEMAND_RESIDENTIAL_RECYCLED_WATER_GAL]:[NONPOTABLE_DEMAND_NONRESIDENTIAL_METERED_IRRIGATION_GAL]])</f>
        <v>0</v>
      </c>
      <c r="X1372" t="str">
        <f>IFERROR(INDEX(Crosswalk_API!$H$2:$H$527, MATCH(POTABLE_NONPOTABLE_API[[#This Row],[PWSID]], CW_PWSID_LIST, 0)), "")</f>
        <v>No</v>
      </c>
    </row>
    <row r="1373" spans="1:24" x14ac:dyDescent="0.25">
      <c r="A1373" t="s">
        <v>1090</v>
      </c>
      <c r="B1373" t="s">
        <v>1091</v>
      </c>
      <c r="C1373" t="s">
        <v>1094</v>
      </c>
      <c r="D1373" t="s">
        <v>1095</v>
      </c>
      <c r="E1373" s="9">
        <v>45200</v>
      </c>
      <c r="F1373" s="9">
        <v>45230</v>
      </c>
      <c r="G1373">
        <v>28019927.489999998</v>
      </c>
      <c r="H1373">
        <v>5950039.2600000007</v>
      </c>
      <c r="I1373">
        <v>24161851.650000002</v>
      </c>
      <c r="J1373">
        <v>0</v>
      </c>
      <c r="K1373">
        <v>547429.67999999993</v>
      </c>
      <c r="L1373">
        <v>534395.64</v>
      </c>
      <c r="M1373">
        <v>125436342.45</v>
      </c>
      <c r="T1373" s="9">
        <v>45108</v>
      </c>
      <c r="U1373" s="9">
        <v>45473</v>
      </c>
      <c r="V1373">
        <f>SUM(POTABLE_NONPOTABLE_API[[#This Row],[RESIDENTIAL_SINGLEFAMILY_GAL]:[OTHER_GAL]])</f>
        <v>59213643.720000006</v>
      </c>
      <c r="W1373">
        <f>SUM(POTABLE_NONPOTABLE_API[[#This Row],[NONPOTABLE_DEMAND_RESIDENTIAL_RECYCLED_WATER_GAL]:[NONPOTABLE_DEMAND_NONRESIDENTIAL_METERED_IRRIGATION_GAL]])</f>
        <v>0</v>
      </c>
      <c r="X1373" t="str">
        <f>IFERROR(INDEX(Crosswalk_API!$H$2:$H$527, MATCH(POTABLE_NONPOTABLE_API[[#This Row],[PWSID]], CW_PWSID_LIST, 0)), "")</f>
        <v>No</v>
      </c>
    </row>
    <row r="1374" spans="1:24" x14ac:dyDescent="0.25">
      <c r="A1374" t="s">
        <v>1090</v>
      </c>
      <c r="B1374" t="s">
        <v>1091</v>
      </c>
      <c r="C1374" t="s">
        <v>1094</v>
      </c>
      <c r="D1374" t="s">
        <v>1095</v>
      </c>
      <c r="E1374" s="9">
        <v>45231</v>
      </c>
      <c r="F1374" s="9">
        <v>45260</v>
      </c>
      <c r="G1374">
        <v>23435203.920000002</v>
      </c>
      <c r="H1374">
        <v>5285303.22</v>
      </c>
      <c r="I1374">
        <v>15077125.770000001</v>
      </c>
      <c r="J1374">
        <v>0</v>
      </c>
      <c r="K1374">
        <v>456191.39999999997</v>
      </c>
      <c r="L1374">
        <v>1365315.6900000002</v>
      </c>
      <c r="M1374">
        <v>92460221.25</v>
      </c>
      <c r="T1374" s="9">
        <v>45108</v>
      </c>
      <c r="U1374" s="9">
        <v>45473</v>
      </c>
      <c r="V1374">
        <f>SUM(POTABLE_NONPOTABLE_API[[#This Row],[RESIDENTIAL_SINGLEFAMILY_GAL]:[OTHER_GAL]])</f>
        <v>45619140</v>
      </c>
      <c r="W1374">
        <f>SUM(POTABLE_NONPOTABLE_API[[#This Row],[NONPOTABLE_DEMAND_RESIDENTIAL_RECYCLED_WATER_GAL]:[NONPOTABLE_DEMAND_NONRESIDENTIAL_METERED_IRRIGATION_GAL]])</f>
        <v>0</v>
      </c>
      <c r="X1374" t="str">
        <f>IFERROR(INDEX(Crosswalk_API!$H$2:$H$527, MATCH(POTABLE_NONPOTABLE_API[[#This Row],[PWSID]], CW_PWSID_LIST, 0)), "")</f>
        <v>No</v>
      </c>
    </row>
    <row r="1375" spans="1:24" x14ac:dyDescent="0.25">
      <c r="A1375" t="s">
        <v>1090</v>
      </c>
      <c r="B1375" t="s">
        <v>1091</v>
      </c>
      <c r="C1375" t="s">
        <v>1094</v>
      </c>
      <c r="D1375" t="s">
        <v>1095</v>
      </c>
      <c r="E1375" s="9">
        <v>45261</v>
      </c>
      <c r="F1375" s="9">
        <v>45291</v>
      </c>
      <c r="G1375">
        <v>20118040.740000002</v>
      </c>
      <c r="H1375">
        <v>5066983.05</v>
      </c>
      <c r="I1375">
        <v>8247288.8099999996</v>
      </c>
      <c r="J1375">
        <v>0</v>
      </c>
      <c r="K1375">
        <v>322592.49</v>
      </c>
      <c r="L1375">
        <v>81462.75</v>
      </c>
      <c r="M1375">
        <v>53876204.340000004</v>
      </c>
      <c r="T1375" s="9">
        <v>45108</v>
      </c>
      <c r="U1375" s="9">
        <v>45473</v>
      </c>
      <c r="V1375">
        <f>SUM(POTABLE_NONPOTABLE_API[[#This Row],[RESIDENTIAL_SINGLEFAMILY_GAL]:[OTHER_GAL]])</f>
        <v>33836367.840000004</v>
      </c>
      <c r="W1375">
        <f>SUM(POTABLE_NONPOTABLE_API[[#This Row],[NONPOTABLE_DEMAND_RESIDENTIAL_RECYCLED_WATER_GAL]:[NONPOTABLE_DEMAND_NONRESIDENTIAL_METERED_IRRIGATION_GAL]])</f>
        <v>0</v>
      </c>
      <c r="X1375" t="str">
        <f>IFERROR(INDEX(Crosswalk_API!$H$2:$H$527, MATCH(POTABLE_NONPOTABLE_API[[#This Row],[PWSID]], CW_PWSID_LIST, 0)), "")</f>
        <v>No</v>
      </c>
    </row>
    <row r="1376" spans="1:24" x14ac:dyDescent="0.25">
      <c r="A1376" t="s">
        <v>1090</v>
      </c>
      <c r="B1376" t="s">
        <v>1091</v>
      </c>
      <c r="C1376" t="s">
        <v>1094</v>
      </c>
      <c r="D1376" t="s">
        <v>1095</v>
      </c>
      <c r="E1376" s="9">
        <v>45292</v>
      </c>
      <c r="F1376" s="9">
        <v>45322</v>
      </c>
      <c r="G1376">
        <v>14037661.08</v>
      </c>
      <c r="H1376">
        <v>3949314.1199999996</v>
      </c>
      <c r="I1376">
        <v>4731356.5199999996</v>
      </c>
      <c r="J1376">
        <v>846756.40859999997</v>
      </c>
      <c r="K1376">
        <v>276973.34999999998</v>
      </c>
      <c r="L1376">
        <v>19551.059999999998</v>
      </c>
      <c r="M1376">
        <v>8749099.3499999996</v>
      </c>
      <c r="T1376" s="9">
        <v>45108</v>
      </c>
      <c r="U1376" s="9">
        <v>45473</v>
      </c>
      <c r="V1376">
        <f>SUM(POTABLE_NONPOTABLE_API[[#This Row],[RESIDENTIAL_SINGLEFAMILY_GAL]:[OTHER_GAL]])</f>
        <v>23861612.538599998</v>
      </c>
      <c r="W1376">
        <f>SUM(POTABLE_NONPOTABLE_API[[#This Row],[NONPOTABLE_DEMAND_RESIDENTIAL_RECYCLED_WATER_GAL]:[NONPOTABLE_DEMAND_NONRESIDENTIAL_METERED_IRRIGATION_GAL]])</f>
        <v>0</v>
      </c>
      <c r="X1376" t="str">
        <f>IFERROR(INDEX(Crosswalk_API!$H$2:$H$527, MATCH(POTABLE_NONPOTABLE_API[[#This Row],[PWSID]], CW_PWSID_LIST, 0)), "")</f>
        <v>No</v>
      </c>
    </row>
    <row r="1377" spans="1:24" x14ac:dyDescent="0.25">
      <c r="A1377" t="s">
        <v>1090</v>
      </c>
      <c r="B1377" t="s">
        <v>1091</v>
      </c>
      <c r="C1377" t="s">
        <v>1094</v>
      </c>
      <c r="D1377" t="s">
        <v>1095</v>
      </c>
      <c r="E1377" s="9">
        <v>45323</v>
      </c>
      <c r="F1377" s="9">
        <v>45351</v>
      </c>
      <c r="G1377">
        <v>13047074.039999999</v>
      </c>
      <c r="H1377">
        <v>3502898.25</v>
      </c>
      <c r="I1377">
        <v>3121652.58</v>
      </c>
      <c r="J1377">
        <v>371470.13999999996</v>
      </c>
      <c r="K1377">
        <v>417089.28000000003</v>
      </c>
      <c r="L1377">
        <v>19551.059999999998</v>
      </c>
      <c r="M1377">
        <v>6376904.0700000003</v>
      </c>
      <c r="T1377" s="9">
        <v>45108</v>
      </c>
      <c r="U1377" s="9">
        <v>45473</v>
      </c>
      <c r="V1377">
        <f>SUM(POTABLE_NONPOTABLE_API[[#This Row],[RESIDENTIAL_SINGLEFAMILY_GAL]:[OTHER_GAL]])</f>
        <v>20479735.349999998</v>
      </c>
      <c r="W1377">
        <f>SUM(POTABLE_NONPOTABLE_API[[#This Row],[NONPOTABLE_DEMAND_RESIDENTIAL_RECYCLED_WATER_GAL]:[NONPOTABLE_DEMAND_NONRESIDENTIAL_METERED_IRRIGATION_GAL]])</f>
        <v>0</v>
      </c>
      <c r="X1377" t="str">
        <f>IFERROR(INDEX(Crosswalk_API!$H$2:$H$527, MATCH(POTABLE_NONPOTABLE_API[[#This Row],[PWSID]], CW_PWSID_LIST, 0)), "")</f>
        <v>No</v>
      </c>
    </row>
    <row r="1378" spans="1:24" x14ac:dyDescent="0.25">
      <c r="A1378" t="s">
        <v>1090</v>
      </c>
      <c r="B1378" t="s">
        <v>1091</v>
      </c>
      <c r="C1378" t="s">
        <v>1094</v>
      </c>
      <c r="D1378" t="s">
        <v>1095</v>
      </c>
      <c r="E1378" s="9">
        <v>45352</v>
      </c>
      <c r="F1378" s="9">
        <v>45382</v>
      </c>
      <c r="G1378">
        <v>15233534.25</v>
      </c>
      <c r="H1378">
        <v>4063361.97</v>
      </c>
      <c r="I1378">
        <v>5607895.71</v>
      </c>
      <c r="J1378">
        <v>1528241.1900000002</v>
      </c>
      <c r="K1378">
        <v>583273.29</v>
      </c>
      <c r="L1378">
        <v>94496.79</v>
      </c>
      <c r="M1378">
        <v>11385233.939999999</v>
      </c>
      <c r="T1378" s="9">
        <v>45108</v>
      </c>
      <c r="U1378" s="9">
        <v>45473</v>
      </c>
      <c r="V1378">
        <f>SUM(POTABLE_NONPOTABLE_API[[#This Row],[RESIDENTIAL_SINGLEFAMILY_GAL]:[OTHER_GAL]])</f>
        <v>27110803.199999999</v>
      </c>
      <c r="W1378">
        <f>SUM(POTABLE_NONPOTABLE_API[[#This Row],[NONPOTABLE_DEMAND_RESIDENTIAL_RECYCLED_WATER_GAL]:[NONPOTABLE_DEMAND_NONRESIDENTIAL_METERED_IRRIGATION_GAL]])</f>
        <v>0</v>
      </c>
      <c r="X1378" t="str">
        <f>IFERROR(INDEX(Crosswalk_API!$H$2:$H$527, MATCH(POTABLE_NONPOTABLE_API[[#This Row],[PWSID]], CW_PWSID_LIST, 0)), "")</f>
        <v>No</v>
      </c>
    </row>
    <row r="1379" spans="1:24" x14ac:dyDescent="0.25">
      <c r="A1379" t="s">
        <v>1090</v>
      </c>
      <c r="B1379" t="s">
        <v>1091</v>
      </c>
      <c r="C1379" t="s">
        <v>1094</v>
      </c>
      <c r="D1379" t="s">
        <v>1095</v>
      </c>
      <c r="E1379" s="9">
        <v>45383</v>
      </c>
      <c r="F1379" s="9">
        <v>45412</v>
      </c>
      <c r="G1379">
        <v>15295445.939999999</v>
      </c>
      <c r="H1379">
        <v>3952572.6300000004</v>
      </c>
      <c r="I1379">
        <v>9583277.9100000001</v>
      </c>
      <c r="J1379">
        <v>2988053.67</v>
      </c>
      <c r="K1379">
        <v>351919.08</v>
      </c>
      <c r="L1379">
        <v>0</v>
      </c>
      <c r="M1379">
        <v>13728102.630000001</v>
      </c>
      <c r="T1379" s="9">
        <v>45108</v>
      </c>
      <c r="U1379" s="9">
        <v>45473</v>
      </c>
      <c r="V1379">
        <f>SUM(POTABLE_NONPOTABLE_API[[#This Row],[RESIDENTIAL_SINGLEFAMILY_GAL]:[OTHER_GAL]])</f>
        <v>32171269.229999997</v>
      </c>
      <c r="W1379">
        <f>SUM(POTABLE_NONPOTABLE_API[[#This Row],[NONPOTABLE_DEMAND_RESIDENTIAL_RECYCLED_WATER_GAL]:[NONPOTABLE_DEMAND_NONRESIDENTIAL_METERED_IRRIGATION_GAL]])</f>
        <v>0</v>
      </c>
      <c r="X1379" t="str">
        <f>IFERROR(INDEX(Crosswalk_API!$H$2:$H$527, MATCH(POTABLE_NONPOTABLE_API[[#This Row],[PWSID]], CW_PWSID_LIST, 0)), "")</f>
        <v>No</v>
      </c>
    </row>
    <row r="1380" spans="1:24" x14ac:dyDescent="0.25">
      <c r="A1380" t="s">
        <v>1090</v>
      </c>
      <c r="B1380" t="s">
        <v>1091</v>
      </c>
      <c r="C1380" t="s">
        <v>1094</v>
      </c>
      <c r="D1380" t="s">
        <v>1095</v>
      </c>
      <c r="E1380" s="9">
        <v>45413</v>
      </c>
      <c r="F1380" s="9">
        <v>45443</v>
      </c>
      <c r="G1380">
        <v>25478289.689999998</v>
      </c>
      <c r="H1380">
        <v>5555759.5499999998</v>
      </c>
      <c r="I1380">
        <v>11300512.68</v>
      </c>
      <c r="J1380">
        <v>7175239.0199999996</v>
      </c>
      <c r="K1380">
        <v>319333.98</v>
      </c>
      <c r="L1380">
        <v>22809.570000000003</v>
      </c>
      <c r="M1380">
        <v>70879109.520000011</v>
      </c>
      <c r="T1380" s="9">
        <v>45108</v>
      </c>
      <c r="U1380" s="9">
        <v>45473</v>
      </c>
      <c r="V1380">
        <f>SUM(POTABLE_NONPOTABLE_API[[#This Row],[RESIDENTIAL_SINGLEFAMILY_GAL]:[OTHER_GAL]])</f>
        <v>49851944.489999995</v>
      </c>
      <c r="W1380">
        <f>SUM(POTABLE_NONPOTABLE_API[[#This Row],[NONPOTABLE_DEMAND_RESIDENTIAL_RECYCLED_WATER_GAL]:[NONPOTABLE_DEMAND_NONRESIDENTIAL_METERED_IRRIGATION_GAL]])</f>
        <v>0</v>
      </c>
      <c r="X1380" t="str">
        <f>IFERROR(INDEX(Crosswalk_API!$H$2:$H$527, MATCH(POTABLE_NONPOTABLE_API[[#This Row],[PWSID]], CW_PWSID_LIST, 0)), "")</f>
        <v>No</v>
      </c>
    </row>
    <row r="1381" spans="1:24" x14ac:dyDescent="0.25">
      <c r="A1381" t="s">
        <v>1090</v>
      </c>
      <c r="B1381" t="s">
        <v>1091</v>
      </c>
      <c r="C1381" t="s">
        <v>1094</v>
      </c>
      <c r="D1381" t="s">
        <v>1095</v>
      </c>
      <c r="E1381" s="9">
        <v>45444</v>
      </c>
      <c r="F1381" s="9">
        <v>45473</v>
      </c>
      <c r="G1381">
        <v>27713627.550000001</v>
      </c>
      <c r="H1381">
        <v>5373282.9899999993</v>
      </c>
      <c r="I1381">
        <v>12427957.140000001</v>
      </c>
      <c r="J1381">
        <v>9521366.2199999988</v>
      </c>
      <c r="K1381">
        <v>303041.43</v>
      </c>
      <c r="L1381">
        <v>146632.95000000001</v>
      </c>
      <c r="M1381">
        <v>103056895.77</v>
      </c>
      <c r="T1381" s="9">
        <v>45108</v>
      </c>
      <c r="U1381" s="9">
        <v>45473</v>
      </c>
      <c r="V1381">
        <f>SUM(POTABLE_NONPOTABLE_API[[#This Row],[RESIDENTIAL_SINGLEFAMILY_GAL]:[OTHER_GAL]])</f>
        <v>55485908.280000001</v>
      </c>
      <c r="W1381">
        <f>SUM(POTABLE_NONPOTABLE_API[[#This Row],[NONPOTABLE_DEMAND_RESIDENTIAL_RECYCLED_WATER_GAL]:[NONPOTABLE_DEMAND_NONRESIDENTIAL_METERED_IRRIGATION_GAL]])</f>
        <v>0</v>
      </c>
      <c r="X1381" t="str">
        <f>IFERROR(INDEX(Crosswalk_API!$H$2:$H$527, MATCH(POTABLE_NONPOTABLE_API[[#This Row],[PWSID]], CW_PWSID_LIST, 0)), "")</f>
        <v>No</v>
      </c>
    </row>
    <row r="1382" spans="1:24" x14ac:dyDescent="0.25">
      <c r="A1382" t="s">
        <v>1096</v>
      </c>
      <c r="B1382" t="s">
        <v>1097</v>
      </c>
      <c r="C1382" t="s">
        <v>1098</v>
      </c>
      <c r="D1382" t="s">
        <v>1099</v>
      </c>
      <c r="E1382" s="9">
        <v>45108</v>
      </c>
      <c r="F1382" s="9">
        <v>45138</v>
      </c>
      <c r="G1382">
        <v>143570000</v>
      </c>
      <c r="H1382">
        <v>22486000</v>
      </c>
      <c r="I1382">
        <v>36246000</v>
      </c>
      <c r="J1382">
        <v>25149000</v>
      </c>
      <c r="K1382">
        <v>0</v>
      </c>
      <c r="L1382">
        <v>0</v>
      </c>
      <c r="M1382">
        <v>0</v>
      </c>
      <c r="T1382" s="9">
        <v>45108</v>
      </c>
      <c r="U1382" s="9">
        <v>45473</v>
      </c>
      <c r="V1382">
        <f>SUM(POTABLE_NONPOTABLE_API[[#This Row],[RESIDENTIAL_SINGLEFAMILY_GAL]:[OTHER_GAL]])</f>
        <v>227451000</v>
      </c>
      <c r="W1382">
        <f>SUM(POTABLE_NONPOTABLE_API[[#This Row],[NONPOTABLE_DEMAND_RESIDENTIAL_RECYCLED_WATER_GAL]:[NONPOTABLE_DEMAND_NONRESIDENTIAL_METERED_IRRIGATION_GAL]])</f>
        <v>0</v>
      </c>
      <c r="X1382" t="str">
        <f>IFERROR(INDEX(Crosswalk_API!$H$2:$H$527, MATCH(POTABLE_NONPOTABLE_API[[#This Row],[PWSID]], CW_PWSID_LIST, 0)), "")</f>
        <v>No</v>
      </c>
    </row>
    <row r="1383" spans="1:24" x14ac:dyDescent="0.25">
      <c r="A1383" t="s">
        <v>1096</v>
      </c>
      <c r="B1383" t="s">
        <v>1097</v>
      </c>
      <c r="C1383" t="s">
        <v>1098</v>
      </c>
      <c r="D1383" t="s">
        <v>1099</v>
      </c>
      <c r="E1383" s="9">
        <v>45139</v>
      </c>
      <c r="F1383" s="9">
        <v>45169</v>
      </c>
      <c r="G1383">
        <v>136899000</v>
      </c>
      <c r="H1383">
        <v>22508000</v>
      </c>
      <c r="I1383">
        <v>28403000</v>
      </c>
      <c r="J1383">
        <v>26869000</v>
      </c>
      <c r="K1383">
        <v>0</v>
      </c>
      <c r="L1383">
        <v>0</v>
      </c>
      <c r="M1383">
        <v>0</v>
      </c>
      <c r="T1383" s="9">
        <v>45108</v>
      </c>
      <c r="U1383" s="9">
        <v>45473</v>
      </c>
      <c r="V1383">
        <f>SUM(POTABLE_NONPOTABLE_API[[#This Row],[RESIDENTIAL_SINGLEFAMILY_GAL]:[OTHER_GAL]])</f>
        <v>214679000</v>
      </c>
      <c r="W1383">
        <f>SUM(POTABLE_NONPOTABLE_API[[#This Row],[NONPOTABLE_DEMAND_RESIDENTIAL_RECYCLED_WATER_GAL]:[NONPOTABLE_DEMAND_NONRESIDENTIAL_METERED_IRRIGATION_GAL]])</f>
        <v>0</v>
      </c>
      <c r="X1383" t="str">
        <f>IFERROR(INDEX(Crosswalk_API!$H$2:$H$527, MATCH(POTABLE_NONPOTABLE_API[[#This Row],[PWSID]], CW_PWSID_LIST, 0)), "")</f>
        <v>No</v>
      </c>
    </row>
    <row r="1384" spans="1:24" x14ac:dyDescent="0.25">
      <c r="A1384" t="s">
        <v>1096</v>
      </c>
      <c r="B1384" t="s">
        <v>1097</v>
      </c>
      <c r="C1384" t="s">
        <v>1098</v>
      </c>
      <c r="D1384" t="s">
        <v>1099</v>
      </c>
      <c r="E1384" s="9">
        <v>45170</v>
      </c>
      <c r="F1384" s="9">
        <v>45199</v>
      </c>
      <c r="G1384">
        <v>116994470</v>
      </c>
      <c r="H1384">
        <v>20021327</v>
      </c>
      <c r="I1384">
        <v>27436441</v>
      </c>
      <c r="J1384">
        <v>22843539</v>
      </c>
      <c r="K1384">
        <v>2419100</v>
      </c>
      <c r="L1384">
        <v>16782000</v>
      </c>
      <c r="M1384">
        <v>0</v>
      </c>
      <c r="T1384" s="9">
        <v>45108</v>
      </c>
      <c r="U1384" s="9">
        <v>45473</v>
      </c>
      <c r="V1384">
        <f>SUM(POTABLE_NONPOTABLE_API[[#This Row],[RESIDENTIAL_SINGLEFAMILY_GAL]:[OTHER_GAL]])</f>
        <v>206496877</v>
      </c>
      <c r="W1384">
        <f>SUM(POTABLE_NONPOTABLE_API[[#This Row],[NONPOTABLE_DEMAND_RESIDENTIAL_RECYCLED_WATER_GAL]:[NONPOTABLE_DEMAND_NONRESIDENTIAL_METERED_IRRIGATION_GAL]])</f>
        <v>0</v>
      </c>
      <c r="X1384" t="str">
        <f>IFERROR(INDEX(Crosswalk_API!$H$2:$H$527, MATCH(POTABLE_NONPOTABLE_API[[#This Row],[PWSID]], CW_PWSID_LIST, 0)), "")</f>
        <v>No</v>
      </c>
    </row>
    <row r="1385" spans="1:24" x14ac:dyDescent="0.25">
      <c r="A1385" t="s">
        <v>1096</v>
      </c>
      <c r="B1385" t="s">
        <v>1097</v>
      </c>
      <c r="C1385" t="s">
        <v>1098</v>
      </c>
      <c r="D1385" t="s">
        <v>1099</v>
      </c>
      <c r="E1385" s="9">
        <v>45200</v>
      </c>
      <c r="F1385" s="9">
        <v>45230</v>
      </c>
      <c r="G1385">
        <v>105862000</v>
      </c>
      <c r="H1385">
        <v>18856000</v>
      </c>
      <c r="I1385">
        <v>26804600</v>
      </c>
      <c r="J1385">
        <v>16527999.999999998</v>
      </c>
      <c r="K1385">
        <v>0</v>
      </c>
      <c r="L1385">
        <v>0</v>
      </c>
      <c r="M1385">
        <v>0</v>
      </c>
      <c r="T1385" s="9">
        <v>45108</v>
      </c>
      <c r="U1385" s="9">
        <v>45473</v>
      </c>
      <c r="V1385">
        <f>SUM(POTABLE_NONPOTABLE_API[[#This Row],[RESIDENTIAL_SINGLEFAMILY_GAL]:[OTHER_GAL]])</f>
        <v>168050600</v>
      </c>
      <c r="W1385">
        <f>SUM(POTABLE_NONPOTABLE_API[[#This Row],[NONPOTABLE_DEMAND_RESIDENTIAL_RECYCLED_WATER_GAL]:[NONPOTABLE_DEMAND_NONRESIDENTIAL_METERED_IRRIGATION_GAL]])</f>
        <v>0</v>
      </c>
      <c r="X1385" t="str">
        <f>IFERROR(INDEX(Crosswalk_API!$H$2:$H$527, MATCH(POTABLE_NONPOTABLE_API[[#This Row],[PWSID]], CW_PWSID_LIST, 0)), "")</f>
        <v>No</v>
      </c>
    </row>
    <row r="1386" spans="1:24" x14ac:dyDescent="0.25">
      <c r="A1386" t="s">
        <v>1096</v>
      </c>
      <c r="B1386" t="s">
        <v>1097</v>
      </c>
      <c r="C1386" t="s">
        <v>1098</v>
      </c>
      <c r="D1386" t="s">
        <v>1099</v>
      </c>
      <c r="E1386" s="9">
        <v>45231</v>
      </c>
      <c r="F1386" s="9">
        <v>45260</v>
      </c>
      <c r="G1386">
        <v>81663000</v>
      </c>
      <c r="H1386">
        <v>16602000</v>
      </c>
      <c r="I1386">
        <v>22219000</v>
      </c>
      <c r="J1386">
        <v>9611000</v>
      </c>
      <c r="K1386">
        <v>0</v>
      </c>
      <c r="L1386">
        <v>0</v>
      </c>
      <c r="M1386">
        <v>0</v>
      </c>
      <c r="T1386" s="9">
        <v>45108</v>
      </c>
      <c r="U1386" s="9">
        <v>45473</v>
      </c>
      <c r="V1386">
        <f>SUM(POTABLE_NONPOTABLE_API[[#This Row],[RESIDENTIAL_SINGLEFAMILY_GAL]:[OTHER_GAL]])</f>
        <v>130095000</v>
      </c>
      <c r="W1386">
        <f>SUM(POTABLE_NONPOTABLE_API[[#This Row],[NONPOTABLE_DEMAND_RESIDENTIAL_RECYCLED_WATER_GAL]:[NONPOTABLE_DEMAND_NONRESIDENTIAL_METERED_IRRIGATION_GAL]])</f>
        <v>0</v>
      </c>
      <c r="X1386" t="str">
        <f>IFERROR(INDEX(Crosswalk_API!$H$2:$H$527, MATCH(POTABLE_NONPOTABLE_API[[#This Row],[PWSID]], CW_PWSID_LIST, 0)), "")</f>
        <v>No</v>
      </c>
    </row>
    <row r="1387" spans="1:24" x14ac:dyDescent="0.25">
      <c r="A1387" t="s">
        <v>1096</v>
      </c>
      <c r="B1387" t="s">
        <v>1097</v>
      </c>
      <c r="C1387" t="s">
        <v>1098</v>
      </c>
      <c r="D1387" t="s">
        <v>1099</v>
      </c>
      <c r="E1387" s="9">
        <v>45261</v>
      </c>
      <c r="F1387" s="9">
        <v>45291</v>
      </c>
      <c r="G1387">
        <v>71815000</v>
      </c>
      <c r="H1387">
        <v>15326000</v>
      </c>
      <c r="I1387">
        <v>20567000</v>
      </c>
      <c r="J1387">
        <v>6959000</v>
      </c>
      <c r="K1387">
        <v>0</v>
      </c>
      <c r="L1387">
        <v>0</v>
      </c>
      <c r="M1387">
        <v>0</v>
      </c>
      <c r="T1387" s="9">
        <v>45108</v>
      </c>
      <c r="U1387" s="9">
        <v>45473</v>
      </c>
      <c r="V1387">
        <f>SUM(POTABLE_NONPOTABLE_API[[#This Row],[RESIDENTIAL_SINGLEFAMILY_GAL]:[OTHER_GAL]])</f>
        <v>114667000</v>
      </c>
      <c r="W1387">
        <f>SUM(POTABLE_NONPOTABLE_API[[#This Row],[NONPOTABLE_DEMAND_RESIDENTIAL_RECYCLED_WATER_GAL]:[NONPOTABLE_DEMAND_NONRESIDENTIAL_METERED_IRRIGATION_GAL]])</f>
        <v>0</v>
      </c>
      <c r="X1387" t="str">
        <f>IFERROR(INDEX(Crosswalk_API!$H$2:$H$527, MATCH(POTABLE_NONPOTABLE_API[[#This Row],[PWSID]], CW_PWSID_LIST, 0)), "")</f>
        <v>No</v>
      </c>
    </row>
    <row r="1388" spans="1:24" x14ac:dyDescent="0.25">
      <c r="A1388" t="s">
        <v>1096</v>
      </c>
      <c r="B1388" t="s">
        <v>1097</v>
      </c>
      <c r="C1388" t="s">
        <v>1098</v>
      </c>
      <c r="D1388" t="s">
        <v>1099</v>
      </c>
      <c r="E1388" s="9">
        <v>45292</v>
      </c>
      <c r="F1388" s="9">
        <v>45322</v>
      </c>
      <c r="G1388">
        <v>63323000</v>
      </c>
      <c r="H1388">
        <v>14941000</v>
      </c>
      <c r="I1388">
        <v>18892000</v>
      </c>
      <c r="J1388">
        <v>4917000</v>
      </c>
      <c r="K1388">
        <v>0</v>
      </c>
      <c r="L1388">
        <v>0</v>
      </c>
      <c r="M1388">
        <v>0</v>
      </c>
      <c r="T1388" s="9">
        <v>45108</v>
      </c>
      <c r="U1388" s="9">
        <v>45473</v>
      </c>
      <c r="V1388">
        <f>SUM(POTABLE_NONPOTABLE_API[[#This Row],[RESIDENTIAL_SINGLEFAMILY_GAL]:[OTHER_GAL]])</f>
        <v>102073000</v>
      </c>
      <c r="W1388">
        <f>SUM(POTABLE_NONPOTABLE_API[[#This Row],[NONPOTABLE_DEMAND_RESIDENTIAL_RECYCLED_WATER_GAL]:[NONPOTABLE_DEMAND_NONRESIDENTIAL_METERED_IRRIGATION_GAL]])</f>
        <v>0</v>
      </c>
      <c r="X1388" t="str">
        <f>IFERROR(INDEX(Crosswalk_API!$H$2:$H$527, MATCH(POTABLE_NONPOTABLE_API[[#This Row],[PWSID]], CW_PWSID_LIST, 0)), "")</f>
        <v>No</v>
      </c>
    </row>
    <row r="1389" spans="1:24" x14ac:dyDescent="0.25">
      <c r="A1389" t="s">
        <v>1096</v>
      </c>
      <c r="B1389" t="s">
        <v>1097</v>
      </c>
      <c r="C1389" t="s">
        <v>1098</v>
      </c>
      <c r="D1389" t="s">
        <v>1099</v>
      </c>
      <c r="E1389" s="9">
        <v>45323</v>
      </c>
      <c r="F1389" s="9">
        <v>45351</v>
      </c>
      <c r="G1389">
        <v>57725000</v>
      </c>
      <c r="H1389">
        <v>13742000</v>
      </c>
      <c r="I1389">
        <v>8159000.0000000009</v>
      </c>
      <c r="J1389">
        <v>7483000</v>
      </c>
      <c r="K1389">
        <v>0</v>
      </c>
      <c r="L1389">
        <v>0</v>
      </c>
      <c r="M1389">
        <v>0</v>
      </c>
      <c r="T1389" s="9">
        <v>45108</v>
      </c>
      <c r="U1389" s="9">
        <v>45473</v>
      </c>
      <c r="V1389">
        <f>SUM(POTABLE_NONPOTABLE_API[[#This Row],[RESIDENTIAL_SINGLEFAMILY_GAL]:[OTHER_GAL]])</f>
        <v>87109000</v>
      </c>
      <c r="W1389">
        <f>SUM(POTABLE_NONPOTABLE_API[[#This Row],[NONPOTABLE_DEMAND_RESIDENTIAL_RECYCLED_WATER_GAL]:[NONPOTABLE_DEMAND_NONRESIDENTIAL_METERED_IRRIGATION_GAL]])</f>
        <v>0</v>
      </c>
      <c r="X1389" t="str">
        <f>IFERROR(INDEX(Crosswalk_API!$H$2:$H$527, MATCH(POTABLE_NONPOTABLE_API[[#This Row],[PWSID]], CW_PWSID_LIST, 0)), "")</f>
        <v>No</v>
      </c>
    </row>
    <row r="1390" spans="1:24" x14ac:dyDescent="0.25">
      <c r="A1390" t="s">
        <v>1096</v>
      </c>
      <c r="B1390" t="s">
        <v>1097</v>
      </c>
      <c r="C1390" t="s">
        <v>1098</v>
      </c>
      <c r="D1390" t="s">
        <v>1099</v>
      </c>
      <c r="E1390" s="9">
        <v>45352</v>
      </c>
      <c r="F1390" s="9">
        <v>45382</v>
      </c>
      <c r="G1390">
        <v>69030000</v>
      </c>
      <c r="H1390">
        <v>15638000</v>
      </c>
      <c r="I1390">
        <v>9367000</v>
      </c>
      <c r="J1390">
        <v>7751000</v>
      </c>
      <c r="K1390">
        <v>0</v>
      </c>
      <c r="L1390">
        <v>0</v>
      </c>
      <c r="M1390">
        <v>0</v>
      </c>
      <c r="T1390" s="9">
        <v>45108</v>
      </c>
      <c r="U1390" s="9">
        <v>45473</v>
      </c>
      <c r="V1390">
        <f>SUM(POTABLE_NONPOTABLE_API[[#This Row],[RESIDENTIAL_SINGLEFAMILY_GAL]:[OTHER_GAL]])</f>
        <v>101786000</v>
      </c>
      <c r="W1390">
        <f>SUM(POTABLE_NONPOTABLE_API[[#This Row],[NONPOTABLE_DEMAND_RESIDENTIAL_RECYCLED_WATER_GAL]:[NONPOTABLE_DEMAND_NONRESIDENTIAL_METERED_IRRIGATION_GAL]])</f>
        <v>0</v>
      </c>
      <c r="X1390" t="str">
        <f>IFERROR(INDEX(Crosswalk_API!$H$2:$H$527, MATCH(POTABLE_NONPOTABLE_API[[#This Row],[PWSID]], CW_PWSID_LIST, 0)), "")</f>
        <v>No</v>
      </c>
    </row>
    <row r="1391" spans="1:24" x14ac:dyDescent="0.25">
      <c r="A1391" t="s">
        <v>1096</v>
      </c>
      <c r="B1391" t="s">
        <v>1097</v>
      </c>
      <c r="C1391" t="s">
        <v>1098</v>
      </c>
      <c r="D1391" t="s">
        <v>1099</v>
      </c>
      <c r="E1391" s="9">
        <v>45383</v>
      </c>
      <c r="F1391" s="9">
        <v>45412</v>
      </c>
      <c r="G1391">
        <v>76975000</v>
      </c>
      <c r="H1391">
        <v>16322000</v>
      </c>
      <c r="I1391">
        <v>22162000</v>
      </c>
      <c r="J1391">
        <v>10302000</v>
      </c>
      <c r="K1391">
        <v>0</v>
      </c>
      <c r="L1391">
        <v>0</v>
      </c>
      <c r="M1391">
        <v>0</v>
      </c>
      <c r="T1391" s="9">
        <v>45108</v>
      </c>
      <c r="U1391" s="9">
        <v>45473</v>
      </c>
      <c r="V1391">
        <f>SUM(POTABLE_NONPOTABLE_API[[#This Row],[RESIDENTIAL_SINGLEFAMILY_GAL]:[OTHER_GAL]])</f>
        <v>125761000</v>
      </c>
      <c r="W1391">
        <f>SUM(POTABLE_NONPOTABLE_API[[#This Row],[NONPOTABLE_DEMAND_RESIDENTIAL_RECYCLED_WATER_GAL]:[NONPOTABLE_DEMAND_NONRESIDENTIAL_METERED_IRRIGATION_GAL]])</f>
        <v>0</v>
      </c>
      <c r="X1391" t="str">
        <f>IFERROR(INDEX(Crosswalk_API!$H$2:$H$527, MATCH(POTABLE_NONPOTABLE_API[[#This Row],[PWSID]], CW_PWSID_LIST, 0)), "")</f>
        <v>No</v>
      </c>
    </row>
    <row r="1392" spans="1:24" x14ac:dyDescent="0.25">
      <c r="A1392" t="s">
        <v>1096</v>
      </c>
      <c r="B1392" t="s">
        <v>1097</v>
      </c>
      <c r="C1392" t="s">
        <v>1098</v>
      </c>
      <c r="D1392" t="s">
        <v>1099</v>
      </c>
      <c r="E1392" s="9">
        <v>45413</v>
      </c>
      <c r="F1392" s="9">
        <v>45443</v>
      </c>
      <c r="G1392">
        <v>111084000</v>
      </c>
      <c r="H1392">
        <v>19344000</v>
      </c>
      <c r="I1392">
        <v>16521000</v>
      </c>
      <c r="J1392">
        <v>16848000</v>
      </c>
      <c r="K1392">
        <v>0</v>
      </c>
      <c r="L1392">
        <v>66000</v>
      </c>
      <c r="M1392">
        <v>0</v>
      </c>
      <c r="T1392" s="9">
        <v>45108</v>
      </c>
      <c r="U1392" s="9">
        <v>45473</v>
      </c>
      <c r="V1392">
        <f>SUM(POTABLE_NONPOTABLE_API[[#This Row],[RESIDENTIAL_SINGLEFAMILY_GAL]:[OTHER_GAL]])</f>
        <v>163863000</v>
      </c>
      <c r="W1392">
        <f>SUM(POTABLE_NONPOTABLE_API[[#This Row],[NONPOTABLE_DEMAND_RESIDENTIAL_RECYCLED_WATER_GAL]:[NONPOTABLE_DEMAND_NONRESIDENTIAL_METERED_IRRIGATION_GAL]])</f>
        <v>0</v>
      </c>
      <c r="X1392" t="str">
        <f>IFERROR(INDEX(Crosswalk_API!$H$2:$H$527, MATCH(POTABLE_NONPOTABLE_API[[#This Row],[PWSID]], CW_PWSID_LIST, 0)), "")</f>
        <v>No</v>
      </c>
    </row>
    <row r="1393" spans="1:24" x14ac:dyDescent="0.25">
      <c r="A1393" t="s">
        <v>1096</v>
      </c>
      <c r="B1393" t="s">
        <v>1097</v>
      </c>
      <c r="C1393" t="s">
        <v>1098</v>
      </c>
      <c r="D1393" t="s">
        <v>1099</v>
      </c>
      <c r="E1393" s="9">
        <v>45444</v>
      </c>
      <c r="F1393" s="9">
        <v>45473</v>
      </c>
      <c r="G1393">
        <v>133312999.99999999</v>
      </c>
      <c r="H1393">
        <v>21566000</v>
      </c>
      <c r="I1393">
        <v>28233000</v>
      </c>
      <c r="J1393">
        <v>23212000</v>
      </c>
      <c r="K1393">
        <v>0</v>
      </c>
      <c r="L1393">
        <v>0</v>
      </c>
      <c r="M1393">
        <v>0</v>
      </c>
      <c r="T1393" s="9">
        <v>45108</v>
      </c>
      <c r="U1393" s="9">
        <v>45473</v>
      </c>
      <c r="V1393">
        <f>SUM(POTABLE_NONPOTABLE_API[[#This Row],[RESIDENTIAL_SINGLEFAMILY_GAL]:[OTHER_GAL]])</f>
        <v>206324000</v>
      </c>
      <c r="W1393">
        <f>SUM(POTABLE_NONPOTABLE_API[[#This Row],[NONPOTABLE_DEMAND_RESIDENTIAL_RECYCLED_WATER_GAL]:[NONPOTABLE_DEMAND_NONRESIDENTIAL_METERED_IRRIGATION_GAL]])</f>
        <v>0</v>
      </c>
      <c r="X1393" t="str">
        <f>IFERROR(INDEX(Crosswalk_API!$H$2:$H$527, MATCH(POTABLE_NONPOTABLE_API[[#This Row],[PWSID]], CW_PWSID_LIST, 0)), "")</f>
        <v>No</v>
      </c>
    </row>
    <row r="1394" spans="1:24" x14ac:dyDescent="0.25">
      <c r="A1394" t="s">
        <v>1101</v>
      </c>
      <c r="B1394" t="s">
        <v>1102</v>
      </c>
      <c r="C1394" t="s">
        <v>1103</v>
      </c>
      <c r="D1394" t="s">
        <v>1104</v>
      </c>
      <c r="E1394" s="9">
        <v>45108</v>
      </c>
      <c r="F1394" s="9">
        <v>45138</v>
      </c>
      <c r="G1394">
        <v>121952995.25999999</v>
      </c>
      <c r="H1394">
        <v>10479368.159999998</v>
      </c>
      <c r="I1394">
        <v>0</v>
      </c>
      <c r="J1394">
        <v>12111881.67</v>
      </c>
      <c r="K1394">
        <v>0</v>
      </c>
      <c r="L1394">
        <v>0</v>
      </c>
      <c r="M1394">
        <v>0</v>
      </c>
      <c r="N1394">
        <v>0</v>
      </c>
      <c r="O1394">
        <v>0</v>
      </c>
      <c r="Q1394">
        <v>83665502.75999999</v>
      </c>
      <c r="R1394">
        <v>0</v>
      </c>
      <c r="S1394">
        <v>83665502.75999999</v>
      </c>
      <c r="T1394" s="9">
        <v>45108</v>
      </c>
      <c r="U1394" s="9">
        <v>45473</v>
      </c>
      <c r="V1394">
        <f>SUM(POTABLE_NONPOTABLE_API[[#This Row],[RESIDENTIAL_SINGLEFAMILY_GAL]:[OTHER_GAL]])</f>
        <v>144544245.08999997</v>
      </c>
      <c r="W1394">
        <f>SUM(POTABLE_NONPOTABLE_API[[#This Row],[NONPOTABLE_DEMAND_RESIDENTIAL_RECYCLED_WATER_GAL]:[NONPOTABLE_DEMAND_NONRESIDENTIAL_METERED_IRRIGATION_GAL]])</f>
        <v>167331005.51999998</v>
      </c>
      <c r="X1394" t="str">
        <f>IFERROR(INDEX(Crosswalk_API!$H$2:$H$527, MATCH(POTABLE_NONPOTABLE_API[[#This Row],[PWSID]], CW_PWSID_LIST, 0)), "")</f>
        <v>No</v>
      </c>
    </row>
    <row r="1395" spans="1:24" x14ac:dyDescent="0.25">
      <c r="A1395" t="s">
        <v>1101</v>
      </c>
      <c r="B1395" t="s">
        <v>1102</v>
      </c>
      <c r="C1395" t="s">
        <v>1103</v>
      </c>
      <c r="D1395" t="s">
        <v>1104</v>
      </c>
      <c r="E1395" s="9">
        <v>45139</v>
      </c>
      <c r="F1395" s="9">
        <v>45169</v>
      </c>
      <c r="G1395">
        <v>120502958.31</v>
      </c>
      <c r="H1395">
        <v>20284224.75</v>
      </c>
      <c r="I1395">
        <v>49806325.350000001</v>
      </c>
      <c r="J1395">
        <v>17446062.539999999</v>
      </c>
      <c r="K1395">
        <v>0</v>
      </c>
      <c r="L1395">
        <v>0</v>
      </c>
      <c r="M1395">
        <v>0</v>
      </c>
      <c r="N1395">
        <v>0</v>
      </c>
      <c r="O1395">
        <v>0</v>
      </c>
      <c r="P1395">
        <v>0</v>
      </c>
      <c r="Q1395">
        <v>73652101.530000001</v>
      </c>
      <c r="R1395">
        <v>0</v>
      </c>
      <c r="S1395">
        <v>73652101.530000001</v>
      </c>
      <c r="T1395" s="9">
        <v>45108</v>
      </c>
      <c r="U1395" s="9">
        <v>45473</v>
      </c>
      <c r="V1395">
        <f>SUM(POTABLE_NONPOTABLE_API[[#This Row],[RESIDENTIAL_SINGLEFAMILY_GAL]:[OTHER_GAL]])</f>
        <v>208039570.94999999</v>
      </c>
      <c r="W1395">
        <f>SUM(POTABLE_NONPOTABLE_API[[#This Row],[NONPOTABLE_DEMAND_RESIDENTIAL_RECYCLED_WATER_GAL]:[NONPOTABLE_DEMAND_NONRESIDENTIAL_METERED_IRRIGATION_GAL]])</f>
        <v>147304203.06</v>
      </c>
      <c r="X1395" t="str">
        <f>IFERROR(INDEX(Crosswalk_API!$H$2:$H$527, MATCH(POTABLE_NONPOTABLE_API[[#This Row],[PWSID]], CW_PWSID_LIST, 0)), "")</f>
        <v>No</v>
      </c>
    </row>
    <row r="1396" spans="1:24" x14ac:dyDescent="0.25">
      <c r="A1396" t="s">
        <v>1101</v>
      </c>
      <c r="B1396" t="s">
        <v>1102</v>
      </c>
      <c r="C1396" t="s">
        <v>1103</v>
      </c>
      <c r="D1396" t="s">
        <v>1104</v>
      </c>
      <c r="E1396" s="9">
        <v>45170</v>
      </c>
      <c r="F1396" s="9">
        <v>45199</v>
      </c>
      <c r="G1396">
        <v>128473273.77</v>
      </c>
      <c r="H1396">
        <v>3372557.85</v>
      </c>
      <c r="I1396">
        <v>0</v>
      </c>
      <c r="J1396">
        <v>40307768.700000003</v>
      </c>
      <c r="K1396">
        <v>0</v>
      </c>
      <c r="L1396">
        <v>0</v>
      </c>
      <c r="M1396">
        <v>0</v>
      </c>
      <c r="N1396">
        <v>0</v>
      </c>
      <c r="O1396">
        <v>0</v>
      </c>
      <c r="P1396">
        <v>0</v>
      </c>
      <c r="Q1396">
        <v>0</v>
      </c>
      <c r="R1396">
        <v>0</v>
      </c>
      <c r="S1396">
        <v>79409888.700000003</v>
      </c>
      <c r="T1396" s="9">
        <v>45108</v>
      </c>
      <c r="U1396" s="9">
        <v>45473</v>
      </c>
      <c r="V1396">
        <f>SUM(POTABLE_NONPOTABLE_API[[#This Row],[RESIDENTIAL_SINGLEFAMILY_GAL]:[OTHER_GAL]])</f>
        <v>172153600.31999999</v>
      </c>
      <c r="W1396">
        <f>SUM(POTABLE_NONPOTABLE_API[[#This Row],[NONPOTABLE_DEMAND_RESIDENTIAL_RECYCLED_WATER_GAL]:[NONPOTABLE_DEMAND_NONRESIDENTIAL_METERED_IRRIGATION_GAL]])</f>
        <v>79409888.700000003</v>
      </c>
      <c r="X1396" t="str">
        <f>IFERROR(INDEX(Crosswalk_API!$H$2:$H$527, MATCH(POTABLE_NONPOTABLE_API[[#This Row],[PWSID]], CW_PWSID_LIST, 0)), "")</f>
        <v>No</v>
      </c>
    </row>
    <row r="1397" spans="1:24" x14ac:dyDescent="0.25">
      <c r="A1397" t="s">
        <v>1101</v>
      </c>
      <c r="B1397" t="s">
        <v>1102</v>
      </c>
      <c r="C1397" t="s">
        <v>1103</v>
      </c>
      <c r="D1397" t="s">
        <v>1104</v>
      </c>
      <c r="E1397" s="9">
        <v>45200</v>
      </c>
      <c r="F1397" s="9">
        <v>45230</v>
      </c>
      <c r="G1397">
        <v>117668054.61</v>
      </c>
      <c r="H1397">
        <v>20137591.800000001</v>
      </c>
      <c r="I1397">
        <v>0</v>
      </c>
      <c r="J1397">
        <v>69999311.819999993</v>
      </c>
      <c r="K1397">
        <v>0</v>
      </c>
      <c r="L1397">
        <v>0</v>
      </c>
      <c r="M1397">
        <v>0</v>
      </c>
      <c r="N1397">
        <v>0</v>
      </c>
      <c r="O1397">
        <v>0</v>
      </c>
      <c r="P1397">
        <v>0</v>
      </c>
      <c r="Q1397">
        <v>55818276.300000004</v>
      </c>
      <c r="R1397">
        <v>0</v>
      </c>
      <c r="S1397">
        <v>0</v>
      </c>
      <c r="T1397" s="9">
        <v>45108</v>
      </c>
      <c r="U1397" s="9">
        <v>45473</v>
      </c>
      <c r="V1397">
        <f>SUM(POTABLE_NONPOTABLE_API[[#This Row],[RESIDENTIAL_SINGLEFAMILY_GAL]:[OTHER_GAL]])</f>
        <v>207804958.22999999</v>
      </c>
      <c r="W1397">
        <f>SUM(POTABLE_NONPOTABLE_API[[#This Row],[NONPOTABLE_DEMAND_RESIDENTIAL_RECYCLED_WATER_GAL]:[NONPOTABLE_DEMAND_NONRESIDENTIAL_METERED_IRRIGATION_GAL]])</f>
        <v>55818276.300000004</v>
      </c>
      <c r="X1397" t="str">
        <f>IFERROR(INDEX(Crosswalk_API!$H$2:$H$527, MATCH(POTABLE_NONPOTABLE_API[[#This Row],[PWSID]], CW_PWSID_LIST, 0)), "")</f>
        <v>No</v>
      </c>
    </row>
    <row r="1398" spans="1:24" x14ac:dyDescent="0.25">
      <c r="A1398" t="s">
        <v>1101</v>
      </c>
      <c r="B1398" t="s">
        <v>1102</v>
      </c>
      <c r="C1398" t="s">
        <v>1103</v>
      </c>
      <c r="D1398" t="s">
        <v>1104</v>
      </c>
      <c r="E1398" s="9">
        <v>45231</v>
      </c>
      <c r="F1398" s="9">
        <v>45260</v>
      </c>
      <c r="G1398">
        <v>112509833.27999999</v>
      </c>
      <c r="H1398">
        <v>3186822.78</v>
      </c>
      <c r="I1398">
        <v>0</v>
      </c>
      <c r="J1398">
        <v>36130358.879999995</v>
      </c>
      <c r="K1398">
        <v>0</v>
      </c>
      <c r="L1398">
        <v>0</v>
      </c>
      <c r="M1398">
        <v>0</v>
      </c>
      <c r="N1398">
        <v>0</v>
      </c>
      <c r="O1398">
        <v>0</v>
      </c>
      <c r="P1398">
        <v>0</v>
      </c>
      <c r="Q1398">
        <v>43716170.159999996</v>
      </c>
      <c r="R1398">
        <v>0</v>
      </c>
      <c r="S1398">
        <v>0</v>
      </c>
      <c r="T1398" s="9">
        <v>45108</v>
      </c>
      <c r="U1398" s="9">
        <v>45473</v>
      </c>
      <c r="V1398">
        <f>SUM(POTABLE_NONPOTABLE_API[[#This Row],[RESIDENTIAL_SINGLEFAMILY_GAL]:[OTHER_GAL]])</f>
        <v>151827014.94</v>
      </c>
      <c r="W1398">
        <f>SUM(POTABLE_NONPOTABLE_API[[#This Row],[NONPOTABLE_DEMAND_RESIDENTIAL_RECYCLED_WATER_GAL]:[NONPOTABLE_DEMAND_NONRESIDENTIAL_METERED_IRRIGATION_GAL]])</f>
        <v>43716170.159999996</v>
      </c>
      <c r="X1398" t="str">
        <f>IFERROR(INDEX(Crosswalk_API!$H$2:$H$527, MATCH(POTABLE_NONPOTABLE_API[[#This Row],[PWSID]], CW_PWSID_LIST, 0)), "")</f>
        <v>No</v>
      </c>
    </row>
    <row r="1399" spans="1:24" x14ac:dyDescent="0.25">
      <c r="A1399" t="s">
        <v>1101</v>
      </c>
      <c r="B1399" t="s">
        <v>1102</v>
      </c>
      <c r="C1399" t="s">
        <v>1103</v>
      </c>
      <c r="D1399" t="s">
        <v>1104</v>
      </c>
      <c r="E1399" s="9">
        <v>45261</v>
      </c>
      <c r="F1399" s="9">
        <v>45291</v>
      </c>
      <c r="G1399">
        <v>99739732.589999989</v>
      </c>
      <c r="H1399">
        <v>13692259.020000001</v>
      </c>
      <c r="I1399">
        <v>0</v>
      </c>
      <c r="J1399">
        <v>43002556.469999999</v>
      </c>
      <c r="K1399">
        <v>0</v>
      </c>
      <c r="L1399">
        <v>0</v>
      </c>
      <c r="M1399">
        <v>0</v>
      </c>
      <c r="N1399">
        <v>0</v>
      </c>
      <c r="O1399">
        <v>0</v>
      </c>
      <c r="P1399">
        <v>0</v>
      </c>
      <c r="Q1399">
        <v>23337448.620000001</v>
      </c>
      <c r="R1399">
        <v>0</v>
      </c>
      <c r="S1399">
        <v>0</v>
      </c>
      <c r="T1399" s="9">
        <v>45108</v>
      </c>
      <c r="U1399" s="9">
        <v>45473</v>
      </c>
      <c r="V1399">
        <f>SUM(POTABLE_NONPOTABLE_API[[#This Row],[RESIDENTIAL_SINGLEFAMILY_GAL]:[OTHER_GAL]])</f>
        <v>156434548.07999998</v>
      </c>
      <c r="W1399">
        <f>SUM(POTABLE_NONPOTABLE_API[[#This Row],[NONPOTABLE_DEMAND_RESIDENTIAL_RECYCLED_WATER_GAL]:[NONPOTABLE_DEMAND_NONRESIDENTIAL_METERED_IRRIGATION_GAL]])</f>
        <v>23337448.620000001</v>
      </c>
      <c r="X1399" t="str">
        <f>IFERROR(INDEX(Crosswalk_API!$H$2:$H$527, MATCH(POTABLE_NONPOTABLE_API[[#This Row],[PWSID]], CW_PWSID_LIST, 0)), "")</f>
        <v>No</v>
      </c>
    </row>
    <row r="1400" spans="1:24" x14ac:dyDescent="0.25">
      <c r="A1400" t="s">
        <v>1101</v>
      </c>
      <c r="B1400" t="s">
        <v>1102</v>
      </c>
      <c r="C1400" t="s">
        <v>1103</v>
      </c>
      <c r="D1400" t="s">
        <v>1104</v>
      </c>
      <c r="E1400" s="9">
        <v>45292</v>
      </c>
      <c r="F1400" s="9">
        <v>45322</v>
      </c>
      <c r="G1400">
        <v>84118435.649999991</v>
      </c>
      <c r="H1400">
        <v>17455838.07</v>
      </c>
      <c r="I1400">
        <v>42380181.060000002</v>
      </c>
      <c r="J1400">
        <v>9475747.0800000001</v>
      </c>
      <c r="K1400">
        <v>0</v>
      </c>
      <c r="L1400">
        <v>0</v>
      </c>
      <c r="M1400">
        <v>0</v>
      </c>
      <c r="N1400">
        <v>0</v>
      </c>
      <c r="O1400">
        <v>0</v>
      </c>
      <c r="P1400">
        <v>0</v>
      </c>
      <c r="Q1400">
        <v>11310288.210000001</v>
      </c>
      <c r="R1400">
        <v>0</v>
      </c>
      <c r="S1400">
        <v>0</v>
      </c>
      <c r="T1400" s="9">
        <v>45108</v>
      </c>
      <c r="U1400" s="9">
        <v>45473</v>
      </c>
      <c r="V1400">
        <f>SUM(POTABLE_NONPOTABLE_API[[#This Row],[RESIDENTIAL_SINGLEFAMILY_GAL]:[OTHER_GAL]])</f>
        <v>153430201.86000001</v>
      </c>
      <c r="W1400">
        <f>SUM(POTABLE_NONPOTABLE_API[[#This Row],[NONPOTABLE_DEMAND_RESIDENTIAL_RECYCLED_WATER_GAL]:[NONPOTABLE_DEMAND_NONRESIDENTIAL_METERED_IRRIGATION_GAL]])</f>
        <v>11310288.210000001</v>
      </c>
      <c r="X1400" t="str">
        <f>IFERROR(INDEX(Crosswalk_API!$H$2:$H$527, MATCH(POTABLE_NONPOTABLE_API[[#This Row],[PWSID]], CW_PWSID_LIST, 0)), "")</f>
        <v>No</v>
      </c>
    </row>
    <row r="1401" spans="1:24" x14ac:dyDescent="0.25">
      <c r="A1401" t="s">
        <v>1101</v>
      </c>
      <c r="B1401" t="s">
        <v>1102</v>
      </c>
      <c r="C1401" t="s">
        <v>1103</v>
      </c>
      <c r="D1401" t="s">
        <v>1104</v>
      </c>
      <c r="E1401" s="9">
        <v>45323</v>
      </c>
      <c r="F1401" s="9">
        <v>45351</v>
      </c>
      <c r="G1401">
        <v>102274853.37</v>
      </c>
      <c r="H1401">
        <v>5040914.9700000007</v>
      </c>
      <c r="I1401">
        <v>0</v>
      </c>
      <c r="J1401">
        <v>35986984.439999998</v>
      </c>
      <c r="K1401">
        <v>0</v>
      </c>
      <c r="L1401">
        <v>0</v>
      </c>
      <c r="M1401">
        <v>0</v>
      </c>
      <c r="N1401">
        <v>0</v>
      </c>
      <c r="O1401">
        <v>0</v>
      </c>
      <c r="P1401">
        <v>0</v>
      </c>
      <c r="Q1401">
        <v>4728098.01</v>
      </c>
      <c r="R1401">
        <v>0</v>
      </c>
      <c r="S1401">
        <v>0</v>
      </c>
      <c r="T1401" s="9">
        <v>45108</v>
      </c>
      <c r="U1401" s="9">
        <v>45473</v>
      </c>
      <c r="V1401">
        <f>SUM(POTABLE_NONPOTABLE_API[[#This Row],[RESIDENTIAL_SINGLEFAMILY_GAL]:[OTHER_GAL]])</f>
        <v>143302752.78</v>
      </c>
      <c r="W1401">
        <f>SUM(POTABLE_NONPOTABLE_API[[#This Row],[NONPOTABLE_DEMAND_RESIDENTIAL_RECYCLED_WATER_GAL]:[NONPOTABLE_DEMAND_NONRESIDENTIAL_METERED_IRRIGATION_GAL]])</f>
        <v>4728098.01</v>
      </c>
      <c r="X1401" t="str">
        <f>IFERROR(INDEX(Crosswalk_API!$H$2:$H$527, MATCH(POTABLE_NONPOTABLE_API[[#This Row],[PWSID]], CW_PWSID_LIST, 0)), "")</f>
        <v>No</v>
      </c>
    </row>
    <row r="1402" spans="1:24" x14ac:dyDescent="0.25">
      <c r="A1402" t="s">
        <v>1101</v>
      </c>
      <c r="B1402" t="s">
        <v>1102</v>
      </c>
      <c r="C1402" t="s">
        <v>1103</v>
      </c>
      <c r="D1402" t="s">
        <v>1104</v>
      </c>
      <c r="E1402" s="9">
        <v>45352</v>
      </c>
      <c r="F1402" s="9">
        <v>45382</v>
      </c>
      <c r="G1402">
        <v>52100316.389999993</v>
      </c>
      <c r="H1402">
        <v>15266119.35</v>
      </c>
      <c r="I1402">
        <v>28466343.359999999</v>
      </c>
      <c r="J1402">
        <v>3121652.58</v>
      </c>
      <c r="K1402">
        <v>0</v>
      </c>
      <c r="L1402">
        <v>0</v>
      </c>
      <c r="M1402">
        <v>0</v>
      </c>
      <c r="N1402">
        <v>0</v>
      </c>
      <c r="O1402">
        <v>0</v>
      </c>
      <c r="P1402">
        <v>0</v>
      </c>
      <c r="Q1402">
        <v>23073509.310000002</v>
      </c>
      <c r="R1402">
        <v>0</v>
      </c>
      <c r="S1402">
        <v>23073509.310000002</v>
      </c>
      <c r="T1402" s="9">
        <v>45108</v>
      </c>
      <c r="U1402" s="9">
        <v>45473</v>
      </c>
      <c r="V1402">
        <f>SUM(POTABLE_NONPOTABLE_API[[#This Row],[RESIDENTIAL_SINGLEFAMILY_GAL]:[OTHER_GAL]])</f>
        <v>98954431.679999992</v>
      </c>
      <c r="W1402">
        <f>SUM(POTABLE_NONPOTABLE_API[[#This Row],[NONPOTABLE_DEMAND_RESIDENTIAL_RECYCLED_WATER_GAL]:[NONPOTABLE_DEMAND_NONRESIDENTIAL_METERED_IRRIGATION_GAL]])</f>
        <v>46147018.620000005</v>
      </c>
      <c r="X1402" t="str">
        <f>IFERROR(INDEX(Crosswalk_API!$H$2:$H$527, MATCH(POTABLE_NONPOTABLE_API[[#This Row],[PWSID]], CW_PWSID_LIST, 0)), "")</f>
        <v>No</v>
      </c>
    </row>
    <row r="1403" spans="1:24" x14ac:dyDescent="0.25">
      <c r="A1403" t="s">
        <v>1101</v>
      </c>
      <c r="B1403" t="s">
        <v>1102</v>
      </c>
      <c r="C1403" t="s">
        <v>1103</v>
      </c>
      <c r="D1403" t="s">
        <v>1104</v>
      </c>
      <c r="E1403" s="9">
        <v>45383</v>
      </c>
      <c r="F1403" s="9">
        <v>45412</v>
      </c>
      <c r="G1403">
        <v>84147762.24000001</v>
      </c>
      <c r="H1403">
        <v>4434832.1099999994</v>
      </c>
      <c r="I1403">
        <v>27452946.75</v>
      </c>
      <c r="J1403">
        <v>3154237.6799999997</v>
      </c>
      <c r="K1403">
        <v>0</v>
      </c>
      <c r="L1403">
        <v>0</v>
      </c>
      <c r="M1403">
        <v>0</v>
      </c>
      <c r="N1403">
        <v>34699872.989999995</v>
      </c>
      <c r="O1403">
        <v>0</v>
      </c>
      <c r="P1403">
        <v>0</v>
      </c>
      <c r="Q1403">
        <v>0</v>
      </c>
      <c r="R1403">
        <v>0</v>
      </c>
      <c r="S1403">
        <v>0</v>
      </c>
      <c r="T1403" s="9">
        <v>45108</v>
      </c>
      <c r="U1403" s="9">
        <v>45473</v>
      </c>
      <c r="V1403">
        <f>SUM(POTABLE_NONPOTABLE_API[[#This Row],[RESIDENTIAL_SINGLEFAMILY_GAL]:[OTHER_GAL]])</f>
        <v>119189778.78</v>
      </c>
      <c r="W1403">
        <f>SUM(POTABLE_NONPOTABLE_API[[#This Row],[NONPOTABLE_DEMAND_RESIDENTIAL_RECYCLED_WATER_GAL]:[NONPOTABLE_DEMAND_NONRESIDENTIAL_METERED_IRRIGATION_GAL]])</f>
        <v>34699872.989999995</v>
      </c>
      <c r="X1403" t="str">
        <f>IFERROR(INDEX(Crosswalk_API!$H$2:$H$527, MATCH(POTABLE_NONPOTABLE_API[[#This Row],[PWSID]], CW_PWSID_LIST, 0)), "")</f>
        <v>No</v>
      </c>
    </row>
    <row r="1404" spans="1:24" x14ac:dyDescent="0.25">
      <c r="A1404" t="s">
        <v>1101</v>
      </c>
      <c r="B1404" t="s">
        <v>1102</v>
      </c>
      <c r="C1404" t="s">
        <v>1103</v>
      </c>
      <c r="D1404" t="s">
        <v>1104</v>
      </c>
      <c r="E1404" s="9">
        <v>45413</v>
      </c>
      <c r="F1404" s="9">
        <v>45443</v>
      </c>
      <c r="G1404">
        <v>80876218.200000003</v>
      </c>
      <c r="H1404">
        <v>16168726.619999999</v>
      </c>
      <c r="I1404">
        <v>18117315.600000001</v>
      </c>
      <c r="J1404">
        <v>43807408.439999998</v>
      </c>
      <c r="K1404">
        <v>0</v>
      </c>
      <c r="L1404">
        <v>0</v>
      </c>
      <c r="M1404">
        <v>0</v>
      </c>
      <c r="N1404">
        <v>0</v>
      </c>
      <c r="O1404">
        <v>0</v>
      </c>
      <c r="P1404">
        <v>0</v>
      </c>
      <c r="Q1404">
        <v>38626377.539999999</v>
      </c>
      <c r="R1404">
        <v>0</v>
      </c>
      <c r="S1404">
        <v>0</v>
      </c>
      <c r="T1404" s="9">
        <v>45108</v>
      </c>
      <c r="U1404" s="9">
        <v>45473</v>
      </c>
      <c r="V1404">
        <f>SUM(POTABLE_NONPOTABLE_API[[#This Row],[RESIDENTIAL_SINGLEFAMILY_GAL]:[OTHER_GAL]])</f>
        <v>158969668.86000001</v>
      </c>
      <c r="W1404">
        <f>SUM(POTABLE_NONPOTABLE_API[[#This Row],[NONPOTABLE_DEMAND_RESIDENTIAL_RECYCLED_WATER_GAL]:[NONPOTABLE_DEMAND_NONRESIDENTIAL_METERED_IRRIGATION_GAL]])</f>
        <v>38626377.539999999</v>
      </c>
      <c r="X1404" t="str">
        <f>IFERROR(INDEX(Crosswalk_API!$H$2:$H$527, MATCH(POTABLE_NONPOTABLE_API[[#This Row],[PWSID]], CW_PWSID_LIST, 0)), "")</f>
        <v>No</v>
      </c>
    </row>
    <row r="1405" spans="1:24" x14ac:dyDescent="0.25">
      <c r="A1405" t="s">
        <v>1101</v>
      </c>
      <c r="B1405" t="s">
        <v>1102</v>
      </c>
      <c r="C1405" t="s">
        <v>1103</v>
      </c>
      <c r="D1405" t="s">
        <v>1104</v>
      </c>
      <c r="E1405" s="9">
        <v>45444</v>
      </c>
      <c r="F1405" s="9">
        <v>45473</v>
      </c>
      <c r="G1405">
        <v>103170943.62</v>
      </c>
      <c r="H1405">
        <v>4767200.13</v>
      </c>
      <c r="I1405">
        <v>0</v>
      </c>
      <c r="J1405">
        <v>35400452.640000001</v>
      </c>
      <c r="K1405">
        <v>0</v>
      </c>
      <c r="L1405">
        <v>0</v>
      </c>
      <c r="M1405">
        <v>0</v>
      </c>
      <c r="N1405">
        <v>0</v>
      </c>
      <c r="O1405">
        <v>0</v>
      </c>
      <c r="P1405">
        <v>0</v>
      </c>
      <c r="Q1405">
        <v>55906256.07</v>
      </c>
      <c r="R1405">
        <v>0</v>
      </c>
      <c r="S1405">
        <v>0</v>
      </c>
      <c r="T1405" s="9">
        <v>45108</v>
      </c>
      <c r="U1405" s="9">
        <v>45473</v>
      </c>
      <c r="V1405">
        <f>SUM(POTABLE_NONPOTABLE_API[[#This Row],[RESIDENTIAL_SINGLEFAMILY_GAL]:[OTHER_GAL]])</f>
        <v>143338596.38999999</v>
      </c>
      <c r="W1405">
        <f>SUM(POTABLE_NONPOTABLE_API[[#This Row],[NONPOTABLE_DEMAND_RESIDENTIAL_RECYCLED_WATER_GAL]:[NONPOTABLE_DEMAND_NONRESIDENTIAL_METERED_IRRIGATION_GAL]])</f>
        <v>55906256.07</v>
      </c>
      <c r="X1405" t="str">
        <f>IFERROR(INDEX(Crosswalk_API!$H$2:$H$527, MATCH(POTABLE_NONPOTABLE_API[[#This Row],[PWSID]], CW_PWSID_LIST, 0)), "")</f>
        <v>No</v>
      </c>
    </row>
    <row r="1406" spans="1:24" x14ac:dyDescent="0.25">
      <c r="A1406" t="s">
        <v>1105</v>
      </c>
      <c r="B1406" t="s">
        <v>1106</v>
      </c>
      <c r="C1406" t="s">
        <v>1107</v>
      </c>
      <c r="D1406" t="s">
        <v>1108</v>
      </c>
      <c r="E1406" s="9">
        <v>45108</v>
      </c>
      <c r="F1406" s="9">
        <v>45138</v>
      </c>
      <c r="G1406">
        <v>242433144</v>
      </c>
      <c r="H1406">
        <v>41894663.07</v>
      </c>
      <c r="I1406">
        <v>72997141.020000011</v>
      </c>
      <c r="J1406">
        <v>81283531.950000003</v>
      </c>
      <c r="K1406">
        <v>12972128.310000001</v>
      </c>
      <c r="L1406">
        <v>2701304.7899999996</v>
      </c>
      <c r="M1406">
        <v>801593.46</v>
      </c>
      <c r="N1406">
        <v>0</v>
      </c>
      <c r="O1406">
        <v>0</v>
      </c>
      <c r="P1406">
        <v>0</v>
      </c>
      <c r="Q1406">
        <v>98661165.779999986</v>
      </c>
      <c r="R1406">
        <v>0</v>
      </c>
      <c r="S1406">
        <v>68516689.770000011</v>
      </c>
      <c r="T1406" s="9">
        <v>45108</v>
      </c>
      <c r="U1406" s="9">
        <v>45473</v>
      </c>
      <c r="V1406">
        <f>SUM(POTABLE_NONPOTABLE_API[[#This Row],[RESIDENTIAL_SINGLEFAMILY_GAL]:[OTHER_GAL]])</f>
        <v>454281913.14000005</v>
      </c>
      <c r="W1406">
        <f>SUM(POTABLE_NONPOTABLE_API[[#This Row],[NONPOTABLE_DEMAND_RESIDENTIAL_RECYCLED_WATER_GAL]:[NONPOTABLE_DEMAND_NONRESIDENTIAL_METERED_IRRIGATION_GAL]])</f>
        <v>167177855.55000001</v>
      </c>
      <c r="X1406" t="str">
        <f>IFERROR(INDEX(Crosswalk_API!$H$2:$H$527, MATCH(POTABLE_NONPOTABLE_API[[#This Row],[PWSID]], CW_PWSID_LIST, 0)), "")</f>
        <v>No</v>
      </c>
    </row>
    <row r="1407" spans="1:24" x14ac:dyDescent="0.25">
      <c r="A1407" t="s">
        <v>1105</v>
      </c>
      <c r="B1407" t="s">
        <v>1106</v>
      </c>
      <c r="C1407" t="s">
        <v>1107</v>
      </c>
      <c r="D1407" t="s">
        <v>1108</v>
      </c>
      <c r="E1407" s="9">
        <v>45139</v>
      </c>
      <c r="F1407" s="9">
        <v>45169</v>
      </c>
      <c r="G1407">
        <v>220098591.90799999</v>
      </c>
      <c r="H1407">
        <v>37116844.136</v>
      </c>
      <c r="I1407">
        <v>64895755.156000003</v>
      </c>
      <c r="J1407">
        <v>82183984.928000003</v>
      </c>
      <c r="K1407">
        <v>12781964.524</v>
      </c>
      <c r="L1407">
        <v>1499844.26</v>
      </c>
      <c r="M1407">
        <v>460051.98000000004</v>
      </c>
      <c r="N1407">
        <v>0</v>
      </c>
      <c r="O1407">
        <v>0</v>
      </c>
      <c r="P1407">
        <v>0</v>
      </c>
      <c r="Q1407">
        <v>154356789.94</v>
      </c>
      <c r="R1407">
        <v>0</v>
      </c>
      <c r="S1407">
        <v>87848234.672000006</v>
      </c>
      <c r="T1407" s="9">
        <v>45108</v>
      </c>
      <c r="U1407" s="9">
        <v>45473</v>
      </c>
      <c r="V1407">
        <f>SUM(POTABLE_NONPOTABLE_API[[#This Row],[RESIDENTIAL_SINGLEFAMILY_GAL]:[OTHER_GAL]])</f>
        <v>418576984.912</v>
      </c>
      <c r="W1407">
        <f>SUM(POTABLE_NONPOTABLE_API[[#This Row],[NONPOTABLE_DEMAND_RESIDENTIAL_RECYCLED_WATER_GAL]:[NONPOTABLE_DEMAND_NONRESIDENTIAL_METERED_IRRIGATION_GAL]])</f>
        <v>242205024.61199999</v>
      </c>
      <c r="X1407" t="str">
        <f>IFERROR(INDEX(Crosswalk_API!$H$2:$H$527, MATCH(POTABLE_NONPOTABLE_API[[#This Row],[PWSID]], CW_PWSID_LIST, 0)), "")</f>
        <v>No</v>
      </c>
    </row>
    <row r="1408" spans="1:24" x14ac:dyDescent="0.25">
      <c r="A1408" t="s">
        <v>1105</v>
      </c>
      <c r="B1408" t="s">
        <v>1106</v>
      </c>
      <c r="C1408" t="s">
        <v>1107</v>
      </c>
      <c r="D1408" t="s">
        <v>1108</v>
      </c>
      <c r="E1408" s="9">
        <v>45170</v>
      </c>
      <c r="F1408" s="9">
        <v>45199</v>
      </c>
      <c r="G1408">
        <v>191597062.65600002</v>
      </c>
      <c r="H1408">
        <v>35691057.024000004</v>
      </c>
      <c r="I1408">
        <v>58861219.671999998</v>
      </c>
      <c r="J1408">
        <v>75218124.703999996</v>
      </c>
      <c r="K1408">
        <v>13222567.152000001</v>
      </c>
      <c r="L1408">
        <v>1098140.3360000001</v>
      </c>
      <c r="M1408">
        <v>152602.60800000001</v>
      </c>
      <c r="N1408">
        <v>0</v>
      </c>
      <c r="O1408">
        <v>0</v>
      </c>
      <c r="P1408">
        <v>0</v>
      </c>
      <c r="Q1408">
        <v>100056443.31200001</v>
      </c>
      <c r="R1408">
        <v>0</v>
      </c>
      <c r="S1408">
        <v>62143671.848000005</v>
      </c>
      <c r="T1408" s="9">
        <v>45108</v>
      </c>
      <c r="U1408" s="9">
        <v>45473</v>
      </c>
      <c r="V1408">
        <f>SUM(POTABLE_NONPOTABLE_API[[#This Row],[RESIDENTIAL_SINGLEFAMILY_GAL]:[OTHER_GAL]])</f>
        <v>375688171.54400003</v>
      </c>
      <c r="W1408">
        <f>SUM(POTABLE_NONPOTABLE_API[[#This Row],[NONPOTABLE_DEMAND_RESIDENTIAL_RECYCLED_WATER_GAL]:[NONPOTABLE_DEMAND_NONRESIDENTIAL_METERED_IRRIGATION_GAL]])</f>
        <v>162200115.16000003</v>
      </c>
      <c r="X1408" t="str">
        <f>IFERROR(INDEX(Crosswalk_API!$H$2:$H$527, MATCH(POTABLE_NONPOTABLE_API[[#This Row],[PWSID]], CW_PWSID_LIST, 0)), "")</f>
        <v>No</v>
      </c>
    </row>
    <row r="1409" spans="1:24" x14ac:dyDescent="0.25">
      <c r="A1409" t="s">
        <v>1105</v>
      </c>
      <c r="B1409" t="s">
        <v>1106</v>
      </c>
      <c r="C1409" t="s">
        <v>1107</v>
      </c>
      <c r="D1409" t="s">
        <v>1108</v>
      </c>
      <c r="E1409" s="9">
        <v>45200</v>
      </c>
      <c r="F1409" s="9">
        <v>45230</v>
      </c>
      <c r="G1409">
        <v>230578052.37600002</v>
      </c>
      <c r="H1409">
        <v>42860387.392000005</v>
      </c>
      <c r="I1409">
        <v>71419516.648000002</v>
      </c>
      <c r="J1409">
        <v>83086883.692000002</v>
      </c>
      <c r="K1409">
        <v>16217767.360000001</v>
      </c>
      <c r="L1409">
        <v>995657.21200000006</v>
      </c>
      <c r="M1409">
        <v>750296.15600000008</v>
      </c>
      <c r="N1409">
        <v>0</v>
      </c>
      <c r="O1409">
        <v>0</v>
      </c>
      <c r="P1409">
        <v>0</v>
      </c>
      <c r="Q1409">
        <v>144371791.84400001</v>
      </c>
      <c r="R1409">
        <v>0</v>
      </c>
      <c r="S1409">
        <v>79211974.332000002</v>
      </c>
      <c r="T1409" s="9">
        <v>45108</v>
      </c>
      <c r="U1409" s="9">
        <v>45473</v>
      </c>
      <c r="V1409">
        <f>SUM(POTABLE_NONPOTABLE_API[[#This Row],[RESIDENTIAL_SINGLEFAMILY_GAL]:[OTHER_GAL]])</f>
        <v>445158264.68000007</v>
      </c>
      <c r="W1409">
        <f>SUM(POTABLE_NONPOTABLE_API[[#This Row],[NONPOTABLE_DEMAND_RESIDENTIAL_RECYCLED_WATER_GAL]:[NONPOTABLE_DEMAND_NONRESIDENTIAL_METERED_IRRIGATION_GAL]])</f>
        <v>223583766.176</v>
      </c>
      <c r="X1409" t="str">
        <f>IFERROR(INDEX(Crosswalk_API!$H$2:$H$527, MATCH(POTABLE_NONPOTABLE_API[[#This Row],[PWSID]], CW_PWSID_LIST, 0)), "")</f>
        <v>No</v>
      </c>
    </row>
    <row r="1410" spans="1:24" x14ac:dyDescent="0.25">
      <c r="A1410" t="s">
        <v>1105</v>
      </c>
      <c r="B1410" t="s">
        <v>1106</v>
      </c>
      <c r="C1410" t="s">
        <v>1107</v>
      </c>
      <c r="D1410" t="s">
        <v>1108</v>
      </c>
      <c r="E1410" s="9">
        <v>45231</v>
      </c>
      <c r="F1410" s="9">
        <v>45260</v>
      </c>
      <c r="G1410">
        <v>180674007.352</v>
      </c>
      <c r="H1410">
        <v>33422215.308000002</v>
      </c>
      <c r="I1410">
        <v>56320835.079999998</v>
      </c>
      <c r="J1410">
        <v>62831879.688000001</v>
      </c>
      <c r="K1410">
        <v>12526130.74</v>
      </c>
      <c r="L1410">
        <v>1389132.564</v>
      </c>
      <c r="M1410">
        <v>441350.68</v>
      </c>
      <c r="N1410">
        <v>0</v>
      </c>
      <c r="O1410">
        <v>0</v>
      </c>
      <c r="P1410">
        <v>0</v>
      </c>
      <c r="Q1410">
        <v>90599569.928000003</v>
      </c>
      <c r="R1410">
        <v>0</v>
      </c>
      <c r="S1410">
        <v>74141677.876000002</v>
      </c>
      <c r="T1410" s="9">
        <v>45108</v>
      </c>
      <c r="U1410" s="9">
        <v>45473</v>
      </c>
      <c r="V1410">
        <f>SUM(POTABLE_NONPOTABLE_API[[#This Row],[RESIDENTIAL_SINGLEFAMILY_GAL]:[OTHER_GAL]])</f>
        <v>347164200.73200005</v>
      </c>
      <c r="W1410">
        <f>SUM(POTABLE_NONPOTABLE_API[[#This Row],[NONPOTABLE_DEMAND_RESIDENTIAL_RECYCLED_WATER_GAL]:[NONPOTABLE_DEMAND_NONRESIDENTIAL_METERED_IRRIGATION_GAL]])</f>
        <v>164741247.80400002</v>
      </c>
      <c r="X1410" t="str">
        <f>IFERROR(INDEX(Crosswalk_API!$H$2:$H$527, MATCH(POTABLE_NONPOTABLE_API[[#This Row],[PWSID]], CW_PWSID_LIST, 0)), "")</f>
        <v>No</v>
      </c>
    </row>
    <row r="1411" spans="1:24" x14ac:dyDescent="0.25">
      <c r="A1411" t="s">
        <v>1105</v>
      </c>
      <c r="B1411" t="s">
        <v>1106</v>
      </c>
      <c r="C1411" t="s">
        <v>1107</v>
      </c>
      <c r="D1411" t="s">
        <v>1108</v>
      </c>
      <c r="E1411" s="9">
        <v>45261</v>
      </c>
      <c r="F1411" s="9">
        <v>45291</v>
      </c>
      <c r="G1411">
        <v>156538109.572</v>
      </c>
      <c r="H1411">
        <v>32888854.232000001</v>
      </c>
      <c r="I1411">
        <v>50970767.175999999</v>
      </c>
      <c r="J1411">
        <v>50350632.068000004</v>
      </c>
      <c r="K1411">
        <v>12434868.396</v>
      </c>
      <c r="L1411">
        <v>806400.05599999998</v>
      </c>
      <c r="M1411">
        <v>365797.42800000001</v>
      </c>
      <c r="N1411">
        <v>0</v>
      </c>
      <c r="O1411">
        <v>0</v>
      </c>
      <c r="P1411">
        <v>0</v>
      </c>
      <c r="Q1411">
        <v>35812241.447999999</v>
      </c>
      <c r="R1411">
        <v>0</v>
      </c>
      <c r="S1411">
        <v>39470215.728</v>
      </c>
      <c r="T1411" s="9">
        <v>45108</v>
      </c>
      <c r="U1411" s="9">
        <v>45473</v>
      </c>
      <c r="V1411">
        <f>SUM(POTABLE_NONPOTABLE_API[[#This Row],[RESIDENTIAL_SINGLEFAMILY_GAL]:[OTHER_GAL]])</f>
        <v>303989631.5</v>
      </c>
      <c r="W1411">
        <f>SUM(POTABLE_NONPOTABLE_API[[#This Row],[NONPOTABLE_DEMAND_RESIDENTIAL_RECYCLED_WATER_GAL]:[NONPOTABLE_DEMAND_NONRESIDENTIAL_METERED_IRRIGATION_GAL]])</f>
        <v>75282457.175999999</v>
      </c>
      <c r="X1411" t="str">
        <f>IFERROR(INDEX(Crosswalk_API!$H$2:$H$527, MATCH(POTABLE_NONPOTABLE_API[[#This Row],[PWSID]], CW_PWSID_LIST, 0)), "")</f>
        <v>No</v>
      </c>
    </row>
    <row r="1412" spans="1:24" x14ac:dyDescent="0.25">
      <c r="A1412" t="s">
        <v>1105</v>
      </c>
      <c r="B1412" t="s">
        <v>1106</v>
      </c>
      <c r="C1412" t="s">
        <v>1107</v>
      </c>
      <c r="D1412" t="s">
        <v>1108</v>
      </c>
      <c r="E1412" s="9">
        <v>45292</v>
      </c>
      <c r="F1412" s="9">
        <v>45322</v>
      </c>
      <c r="G1412">
        <v>174528760.17199999</v>
      </c>
      <c r="H1412">
        <v>40410517.092</v>
      </c>
      <c r="I1412">
        <v>56008149.344000004</v>
      </c>
      <c r="J1412">
        <v>42571639.32</v>
      </c>
      <c r="K1412">
        <v>14374567.232000001</v>
      </c>
      <c r="L1412">
        <v>357568.85600000003</v>
      </c>
      <c r="M1412">
        <v>381506.52</v>
      </c>
      <c r="N1412">
        <v>0</v>
      </c>
      <c r="O1412">
        <v>0</v>
      </c>
      <c r="P1412">
        <v>0</v>
      </c>
      <c r="Q1412">
        <v>15150297.155999999</v>
      </c>
      <c r="R1412">
        <v>0</v>
      </c>
      <c r="S1412">
        <v>23408791.236000001</v>
      </c>
      <c r="T1412" s="9">
        <v>45108</v>
      </c>
      <c r="U1412" s="9">
        <v>45473</v>
      </c>
      <c r="V1412">
        <f>SUM(POTABLE_NONPOTABLE_API[[#This Row],[RESIDENTIAL_SINGLEFAMILY_GAL]:[OTHER_GAL]])</f>
        <v>328251202.01599997</v>
      </c>
      <c r="W1412">
        <f>SUM(POTABLE_NONPOTABLE_API[[#This Row],[NONPOTABLE_DEMAND_RESIDENTIAL_RECYCLED_WATER_GAL]:[NONPOTABLE_DEMAND_NONRESIDENTIAL_METERED_IRRIGATION_GAL]])</f>
        <v>38559088.392000005</v>
      </c>
      <c r="X1412" t="str">
        <f>IFERROR(INDEX(Crosswalk_API!$H$2:$H$527, MATCH(POTABLE_NONPOTABLE_API[[#This Row],[PWSID]], CW_PWSID_LIST, 0)), "")</f>
        <v>No</v>
      </c>
    </row>
    <row r="1413" spans="1:24" x14ac:dyDescent="0.25">
      <c r="A1413" t="s">
        <v>1105</v>
      </c>
      <c r="B1413" t="s">
        <v>1106</v>
      </c>
      <c r="C1413" t="s">
        <v>1107</v>
      </c>
      <c r="D1413" t="s">
        <v>1108</v>
      </c>
      <c r="E1413" s="9">
        <v>45323</v>
      </c>
      <c r="F1413" s="9">
        <v>45351</v>
      </c>
      <c r="G1413">
        <v>122980496.852</v>
      </c>
      <c r="H1413">
        <v>30489851.468000002</v>
      </c>
      <c r="I1413">
        <v>44559213.484000005</v>
      </c>
      <c r="J1413">
        <v>22072022.311999999</v>
      </c>
      <c r="K1413">
        <v>11257434.548</v>
      </c>
      <c r="L1413">
        <v>921600.06400000001</v>
      </c>
      <c r="M1413">
        <v>136893.516</v>
      </c>
      <c r="N1413">
        <v>0</v>
      </c>
      <c r="O1413">
        <v>0</v>
      </c>
      <c r="P1413">
        <v>0</v>
      </c>
      <c r="Q1413">
        <v>6013590.0279999999</v>
      </c>
      <c r="R1413">
        <v>0</v>
      </c>
      <c r="S1413">
        <v>7245631.6720000003</v>
      </c>
      <c r="T1413" s="9">
        <v>45108</v>
      </c>
      <c r="U1413" s="9">
        <v>45473</v>
      </c>
      <c r="V1413">
        <f>SUM(POTABLE_NONPOTABLE_API[[#This Row],[RESIDENTIAL_SINGLEFAMILY_GAL]:[OTHER_GAL]])</f>
        <v>232280618.72800002</v>
      </c>
      <c r="W1413">
        <f>SUM(POTABLE_NONPOTABLE_API[[#This Row],[NONPOTABLE_DEMAND_RESIDENTIAL_RECYCLED_WATER_GAL]:[NONPOTABLE_DEMAND_NONRESIDENTIAL_METERED_IRRIGATION_GAL]])</f>
        <v>13259221.699999999</v>
      </c>
      <c r="X1413" t="str">
        <f>IFERROR(INDEX(Crosswalk_API!$H$2:$H$527, MATCH(POTABLE_NONPOTABLE_API[[#This Row],[PWSID]], CW_PWSID_LIST, 0)), "")</f>
        <v>No</v>
      </c>
    </row>
    <row r="1414" spans="1:24" x14ac:dyDescent="0.25">
      <c r="A1414" t="s">
        <v>1105</v>
      </c>
      <c r="B1414" t="s">
        <v>1106</v>
      </c>
      <c r="C1414" t="s">
        <v>1107</v>
      </c>
      <c r="D1414" t="s">
        <v>1108</v>
      </c>
      <c r="E1414" s="9">
        <v>45352</v>
      </c>
      <c r="F1414" s="9">
        <v>45382</v>
      </c>
      <c r="G1414">
        <v>114749680.69600001</v>
      </c>
      <c r="H1414">
        <v>28742401.995999999</v>
      </c>
      <c r="I1414">
        <v>45523452.512000002</v>
      </c>
      <c r="J1414">
        <v>14256375.016000001</v>
      </c>
      <c r="K1414">
        <v>11065185.184</v>
      </c>
      <c r="L1414">
        <v>261070.14800000002</v>
      </c>
      <c r="M1414">
        <v>32166.236000000001</v>
      </c>
      <c r="N1414">
        <v>0</v>
      </c>
      <c r="O1414">
        <v>0</v>
      </c>
      <c r="P1414">
        <v>0</v>
      </c>
      <c r="Q1414">
        <v>2603969.0120000001</v>
      </c>
      <c r="R1414">
        <v>0</v>
      </c>
      <c r="S1414">
        <v>4942379.5640000002</v>
      </c>
      <c r="T1414" s="9">
        <v>45108</v>
      </c>
      <c r="U1414" s="9">
        <v>45473</v>
      </c>
      <c r="V1414">
        <f>SUM(POTABLE_NONPOTABLE_API[[#This Row],[RESIDENTIAL_SINGLEFAMILY_GAL]:[OTHER_GAL]])</f>
        <v>214598165.55199999</v>
      </c>
      <c r="W1414">
        <f>SUM(POTABLE_NONPOTABLE_API[[#This Row],[NONPOTABLE_DEMAND_RESIDENTIAL_RECYCLED_WATER_GAL]:[NONPOTABLE_DEMAND_NONRESIDENTIAL_METERED_IRRIGATION_GAL]])</f>
        <v>7546348.5760000004</v>
      </c>
      <c r="X1414" t="str">
        <f>IFERROR(INDEX(Crosswalk_API!$H$2:$H$527, MATCH(POTABLE_NONPOTABLE_API[[#This Row],[PWSID]], CW_PWSID_LIST, 0)), "")</f>
        <v>No</v>
      </c>
    </row>
    <row r="1415" spans="1:24" x14ac:dyDescent="0.25">
      <c r="A1415" t="s">
        <v>1105</v>
      </c>
      <c r="B1415" t="s">
        <v>1106</v>
      </c>
      <c r="C1415" t="s">
        <v>1107</v>
      </c>
      <c r="D1415" t="s">
        <v>1108</v>
      </c>
      <c r="E1415" s="9">
        <v>45383</v>
      </c>
      <c r="F1415" s="9">
        <v>45412</v>
      </c>
      <c r="G1415">
        <v>156776738.16</v>
      </c>
      <c r="H1415">
        <v>37446735.068000004</v>
      </c>
      <c r="I1415">
        <v>56459972.752000004</v>
      </c>
      <c r="J1415">
        <v>25790588.804000001</v>
      </c>
      <c r="K1415">
        <v>13628759.388</v>
      </c>
      <c r="L1415">
        <v>1213340.344</v>
      </c>
      <c r="M1415">
        <v>395719.50800000003</v>
      </c>
      <c r="N1415">
        <v>0</v>
      </c>
      <c r="O1415">
        <v>0</v>
      </c>
      <c r="P1415">
        <v>0</v>
      </c>
      <c r="Q1415">
        <v>12415419.044</v>
      </c>
      <c r="R1415">
        <v>0</v>
      </c>
      <c r="S1415">
        <v>20949196.260000002</v>
      </c>
      <c r="T1415" s="9">
        <v>45108</v>
      </c>
      <c r="U1415" s="9">
        <v>45473</v>
      </c>
      <c r="V1415">
        <f>SUM(POTABLE_NONPOTABLE_API[[#This Row],[RESIDENTIAL_SINGLEFAMILY_GAL]:[OTHER_GAL]])</f>
        <v>291316134.51599997</v>
      </c>
      <c r="W1415">
        <f>SUM(POTABLE_NONPOTABLE_API[[#This Row],[NONPOTABLE_DEMAND_RESIDENTIAL_RECYCLED_WATER_GAL]:[NONPOTABLE_DEMAND_NONRESIDENTIAL_METERED_IRRIGATION_GAL]])</f>
        <v>33364615.304000001</v>
      </c>
      <c r="X1415" t="str">
        <f>IFERROR(INDEX(Crosswalk_API!$H$2:$H$527, MATCH(POTABLE_NONPOTABLE_API[[#This Row],[PWSID]], CW_PWSID_LIST, 0)), "")</f>
        <v>No</v>
      </c>
    </row>
    <row r="1416" spans="1:24" x14ac:dyDescent="0.25">
      <c r="A1416" t="s">
        <v>1105</v>
      </c>
      <c r="B1416" t="s">
        <v>1106</v>
      </c>
      <c r="C1416" t="s">
        <v>1107</v>
      </c>
      <c r="D1416" t="s">
        <v>1108</v>
      </c>
      <c r="E1416" s="9">
        <v>45413</v>
      </c>
      <c r="F1416" s="9">
        <v>45443</v>
      </c>
      <c r="G1416">
        <v>152834504.12</v>
      </c>
      <c r="H1416">
        <v>32817789.291999999</v>
      </c>
      <c r="I1416">
        <v>49998299.576000005</v>
      </c>
      <c r="J1416">
        <v>41933550.964000002</v>
      </c>
      <c r="K1416">
        <v>11099595.575999999</v>
      </c>
      <c r="L1416">
        <v>675490.95600000001</v>
      </c>
      <c r="M1416">
        <v>346348.076</v>
      </c>
      <c r="N1416">
        <v>0</v>
      </c>
      <c r="O1416">
        <v>0</v>
      </c>
      <c r="P1416">
        <v>0</v>
      </c>
      <c r="Q1416">
        <v>25307347.212000001</v>
      </c>
      <c r="R1416">
        <v>0</v>
      </c>
      <c r="S1416">
        <v>36686714.236000001</v>
      </c>
      <c r="T1416" s="9">
        <v>45108</v>
      </c>
      <c r="U1416" s="9">
        <v>45473</v>
      </c>
      <c r="V1416">
        <f>SUM(POTABLE_NONPOTABLE_API[[#This Row],[RESIDENTIAL_SINGLEFAMILY_GAL]:[OTHER_GAL]])</f>
        <v>289359230.48399997</v>
      </c>
      <c r="W1416">
        <f>SUM(POTABLE_NONPOTABLE_API[[#This Row],[NONPOTABLE_DEMAND_RESIDENTIAL_RECYCLED_WATER_GAL]:[NONPOTABLE_DEMAND_NONRESIDENTIAL_METERED_IRRIGATION_GAL]])</f>
        <v>61994061.447999999</v>
      </c>
      <c r="X1416" t="str">
        <f>IFERROR(INDEX(Crosswalk_API!$H$2:$H$527, MATCH(POTABLE_NONPOTABLE_API[[#This Row],[PWSID]], CW_PWSID_LIST, 0)), "")</f>
        <v>No</v>
      </c>
    </row>
    <row r="1417" spans="1:24" x14ac:dyDescent="0.25">
      <c r="A1417" t="s">
        <v>1105</v>
      </c>
      <c r="B1417" t="s">
        <v>1106</v>
      </c>
      <c r="C1417" t="s">
        <v>1107</v>
      </c>
      <c r="D1417" t="s">
        <v>1108</v>
      </c>
      <c r="E1417" s="9">
        <v>45444</v>
      </c>
      <c r="F1417" s="9">
        <v>45473</v>
      </c>
      <c r="G1417">
        <v>228345865.208</v>
      </c>
      <c r="H1417">
        <v>42714517.252000004</v>
      </c>
      <c r="I1417">
        <v>67547599.496000007</v>
      </c>
      <c r="J1417">
        <v>77797408</v>
      </c>
      <c r="K1417">
        <v>13346743.784</v>
      </c>
      <c r="L1417">
        <v>807896.16</v>
      </c>
      <c r="M1417">
        <v>464540.29200000002</v>
      </c>
      <c r="N1417">
        <v>0</v>
      </c>
      <c r="O1417">
        <v>0</v>
      </c>
      <c r="P1417">
        <v>0</v>
      </c>
      <c r="Q1417">
        <v>42315057.484000005</v>
      </c>
      <c r="R1417">
        <v>0</v>
      </c>
      <c r="S1417">
        <v>61797323.772</v>
      </c>
      <c r="T1417" s="9">
        <v>45108</v>
      </c>
      <c r="U1417" s="9">
        <v>45473</v>
      </c>
      <c r="V1417">
        <f>SUM(POTABLE_NONPOTABLE_API[[#This Row],[RESIDENTIAL_SINGLEFAMILY_GAL]:[OTHER_GAL]])</f>
        <v>430560029.90000004</v>
      </c>
      <c r="W1417">
        <f>SUM(POTABLE_NONPOTABLE_API[[#This Row],[NONPOTABLE_DEMAND_RESIDENTIAL_RECYCLED_WATER_GAL]:[NONPOTABLE_DEMAND_NONRESIDENTIAL_METERED_IRRIGATION_GAL]])</f>
        <v>104112381.25600001</v>
      </c>
      <c r="X1417" t="str">
        <f>IFERROR(INDEX(Crosswalk_API!$H$2:$H$527, MATCH(POTABLE_NONPOTABLE_API[[#This Row],[PWSID]], CW_PWSID_LIST, 0)), "")</f>
        <v>No</v>
      </c>
    </row>
    <row r="1418" spans="1:24" x14ac:dyDescent="0.25">
      <c r="A1418" t="s">
        <v>1109</v>
      </c>
      <c r="B1418" t="s">
        <v>1110</v>
      </c>
      <c r="C1418" t="s">
        <v>1111</v>
      </c>
      <c r="D1418" t="s">
        <v>1112</v>
      </c>
      <c r="E1418" s="9">
        <v>45108</v>
      </c>
      <c r="F1418" s="9">
        <v>45138</v>
      </c>
      <c r="G1418">
        <v>232696535.64000002</v>
      </c>
      <c r="H1418">
        <v>28743150.048</v>
      </c>
      <c r="I1418">
        <v>38370579.288000003</v>
      </c>
      <c r="J1418">
        <v>47166174.704000004</v>
      </c>
      <c r="K1418">
        <v>0</v>
      </c>
      <c r="L1418">
        <v>0</v>
      </c>
      <c r="M1418">
        <v>0</v>
      </c>
      <c r="N1418">
        <v>0</v>
      </c>
      <c r="O1418">
        <v>0</v>
      </c>
      <c r="P1418">
        <v>0</v>
      </c>
      <c r="Q1418">
        <v>0</v>
      </c>
      <c r="R1418">
        <v>0</v>
      </c>
      <c r="S1418">
        <v>404657.64</v>
      </c>
      <c r="T1418" s="9">
        <v>45108</v>
      </c>
      <c r="U1418" s="9">
        <v>45473</v>
      </c>
      <c r="V1418">
        <f>SUM(POTABLE_NONPOTABLE_API[[#This Row],[RESIDENTIAL_SINGLEFAMILY_GAL]:[OTHER_GAL]])</f>
        <v>346976439.68000001</v>
      </c>
      <c r="W1418">
        <f>SUM(POTABLE_NONPOTABLE_API[[#This Row],[NONPOTABLE_DEMAND_RESIDENTIAL_RECYCLED_WATER_GAL]:[NONPOTABLE_DEMAND_NONRESIDENTIAL_METERED_IRRIGATION_GAL]])</f>
        <v>404657.64</v>
      </c>
      <c r="X1418" t="str">
        <f>IFERROR(INDEX(Crosswalk_API!$H$2:$H$527, MATCH(POTABLE_NONPOTABLE_API[[#This Row],[PWSID]], CW_PWSID_LIST, 0)), "")</f>
        <v>No</v>
      </c>
    </row>
    <row r="1419" spans="1:24" x14ac:dyDescent="0.25">
      <c r="A1419" t="s">
        <v>1109</v>
      </c>
      <c r="B1419" t="s">
        <v>1110</v>
      </c>
      <c r="C1419" t="s">
        <v>1111</v>
      </c>
      <c r="D1419" t="s">
        <v>1112</v>
      </c>
      <c r="E1419" s="9">
        <v>45139</v>
      </c>
      <c r="F1419" s="9">
        <v>45169</v>
      </c>
      <c r="G1419">
        <v>263120558.53200001</v>
      </c>
      <c r="H1419">
        <v>33123742.560000002</v>
      </c>
      <c r="I1419">
        <v>45772553.828000002</v>
      </c>
      <c r="J1419">
        <v>67286529.348000005</v>
      </c>
      <c r="K1419">
        <v>0</v>
      </c>
      <c r="L1419">
        <v>0</v>
      </c>
      <c r="M1419">
        <v>0</v>
      </c>
      <c r="N1419">
        <v>0</v>
      </c>
      <c r="O1419">
        <v>0</v>
      </c>
      <c r="P1419">
        <v>0</v>
      </c>
      <c r="Q1419">
        <v>59957275.049999997</v>
      </c>
      <c r="R1419">
        <v>0</v>
      </c>
      <c r="S1419">
        <v>0</v>
      </c>
      <c r="T1419" s="9">
        <v>45108</v>
      </c>
      <c r="U1419" s="9">
        <v>45473</v>
      </c>
      <c r="V1419">
        <f>SUM(POTABLE_NONPOTABLE_API[[#This Row],[RESIDENTIAL_SINGLEFAMILY_GAL]:[OTHER_GAL]])</f>
        <v>409303384.26800001</v>
      </c>
      <c r="W1419">
        <f>SUM(POTABLE_NONPOTABLE_API[[#This Row],[NONPOTABLE_DEMAND_RESIDENTIAL_RECYCLED_WATER_GAL]:[NONPOTABLE_DEMAND_NONRESIDENTIAL_METERED_IRRIGATION_GAL]])</f>
        <v>59957275.049999997</v>
      </c>
      <c r="X1419" t="str">
        <f>IFERROR(INDEX(Crosswalk_API!$H$2:$H$527, MATCH(POTABLE_NONPOTABLE_API[[#This Row],[PWSID]], CW_PWSID_LIST, 0)), "")</f>
        <v>No</v>
      </c>
    </row>
    <row r="1420" spans="1:24" x14ac:dyDescent="0.25">
      <c r="A1420" t="s">
        <v>1109</v>
      </c>
      <c r="B1420" t="s">
        <v>1110</v>
      </c>
      <c r="C1420" t="s">
        <v>1111</v>
      </c>
      <c r="D1420" t="s">
        <v>1112</v>
      </c>
      <c r="E1420" s="9">
        <v>45170</v>
      </c>
      <c r="F1420" s="9">
        <v>45199</v>
      </c>
      <c r="G1420">
        <v>232258177.16800001</v>
      </c>
      <c r="H1420">
        <v>31302983.992000002</v>
      </c>
      <c r="I1420">
        <v>34655005.004000001</v>
      </c>
      <c r="J1420">
        <v>58242580.668000005</v>
      </c>
      <c r="K1420">
        <v>0</v>
      </c>
      <c r="L1420">
        <v>0</v>
      </c>
      <c r="M1420">
        <v>0</v>
      </c>
      <c r="N1420">
        <v>0</v>
      </c>
      <c r="O1420">
        <v>0</v>
      </c>
      <c r="P1420">
        <v>0</v>
      </c>
      <c r="Q1420">
        <v>44680284</v>
      </c>
      <c r="R1420">
        <v>0</v>
      </c>
      <c r="S1420">
        <v>0</v>
      </c>
      <c r="T1420" s="9">
        <v>45108</v>
      </c>
      <c r="U1420" s="9">
        <v>45473</v>
      </c>
      <c r="V1420">
        <f>SUM(POTABLE_NONPOTABLE_API[[#This Row],[RESIDENTIAL_SINGLEFAMILY_GAL]:[OTHER_GAL]])</f>
        <v>356458746.83200002</v>
      </c>
      <c r="W1420">
        <f>SUM(POTABLE_NONPOTABLE_API[[#This Row],[NONPOTABLE_DEMAND_RESIDENTIAL_RECYCLED_WATER_GAL]:[NONPOTABLE_DEMAND_NONRESIDENTIAL_METERED_IRRIGATION_GAL]])</f>
        <v>44680284</v>
      </c>
      <c r="X1420" t="str">
        <f>IFERROR(INDEX(Crosswalk_API!$H$2:$H$527, MATCH(POTABLE_NONPOTABLE_API[[#This Row],[PWSID]], CW_PWSID_LIST, 0)), "")</f>
        <v>No</v>
      </c>
    </row>
    <row r="1421" spans="1:24" x14ac:dyDescent="0.25">
      <c r="A1421" t="s">
        <v>1109</v>
      </c>
      <c r="B1421" t="s">
        <v>1110</v>
      </c>
      <c r="C1421" t="s">
        <v>1111</v>
      </c>
      <c r="D1421" t="s">
        <v>1112</v>
      </c>
      <c r="E1421" s="9">
        <v>45200</v>
      </c>
      <c r="F1421" s="9">
        <v>45230</v>
      </c>
      <c r="G1421">
        <v>205008886.96400002</v>
      </c>
      <c r="H1421">
        <v>28233726.636</v>
      </c>
      <c r="I1421">
        <v>34484449.148000002</v>
      </c>
      <c r="J1421">
        <v>45080605.728</v>
      </c>
      <c r="K1421">
        <v>0</v>
      </c>
      <c r="L1421">
        <v>0</v>
      </c>
      <c r="M1421">
        <v>0</v>
      </c>
      <c r="N1421">
        <v>0</v>
      </c>
      <c r="O1421">
        <v>0</v>
      </c>
      <c r="P1421">
        <v>0</v>
      </c>
      <c r="Q1421">
        <v>37756796</v>
      </c>
      <c r="R1421">
        <v>0</v>
      </c>
      <c r="S1421">
        <v>0</v>
      </c>
      <c r="T1421" s="9">
        <v>45108</v>
      </c>
      <c r="U1421" s="9">
        <v>45473</v>
      </c>
      <c r="V1421">
        <f>SUM(POTABLE_NONPOTABLE_API[[#This Row],[RESIDENTIAL_SINGLEFAMILY_GAL]:[OTHER_GAL]])</f>
        <v>312807668.47600001</v>
      </c>
      <c r="W1421">
        <f>SUM(POTABLE_NONPOTABLE_API[[#This Row],[NONPOTABLE_DEMAND_RESIDENTIAL_RECYCLED_WATER_GAL]:[NONPOTABLE_DEMAND_NONRESIDENTIAL_METERED_IRRIGATION_GAL]])</f>
        <v>37756796</v>
      </c>
      <c r="X1421" t="str">
        <f>IFERROR(INDEX(Crosswalk_API!$H$2:$H$527, MATCH(POTABLE_NONPOTABLE_API[[#This Row],[PWSID]], CW_PWSID_LIST, 0)), "")</f>
        <v>No</v>
      </c>
    </row>
    <row r="1422" spans="1:24" x14ac:dyDescent="0.25">
      <c r="A1422" t="s">
        <v>1109</v>
      </c>
      <c r="B1422" t="s">
        <v>1110</v>
      </c>
      <c r="C1422" t="s">
        <v>1111</v>
      </c>
      <c r="D1422" t="s">
        <v>1112</v>
      </c>
      <c r="E1422" s="9">
        <v>45231</v>
      </c>
      <c r="F1422" s="9">
        <v>45260</v>
      </c>
      <c r="G1422">
        <v>220576597.13600001</v>
      </c>
      <c r="H1422">
        <v>30131534.560000002</v>
      </c>
      <c r="I1422">
        <v>37260470.119999997</v>
      </c>
      <c r="J1422">
        <v>43281540.667999998</v>
      </c>
      <c r="K1422">
        <v>0</v>
      </c>
      <c r="L1422">
        <v>0</v>
      </c>
      <c r="M1422">
        <v>0</v>
      </c>
      <c r="N1422">
        <v>0</v>
      </c>
      <c r="O1422">
        <v>0</v>
      </c>
      <c r="P1422">
        <v>0</v>
      </c>
      <c r="Q1422">
        <v>32728771.104000002</v>
      </c>
      <c r="R1422">
        <v>0</v>
      </c>
      <c r="S1422">
        <v>0</v>
      </c>
      <c r="T1422" s="9">
        <v>45108</v>
      </c>
      <c r="U1422" s="9">
        <v>45473</v>
      </c>
      <c r="V1422">
        <f>SUM(POTABLE_NONPOTABLE_API[[#This Row],[RESIDENTIAL_SINGLEFAMILY_GAL]:[OTHER_GAL]])</f>
        <v>331250142.48399997</v>
      </c>
      <c r="W1422">
        <f>SUM(POTABLE_NONPOTABLE_API[[#This Row],[NONPOTABLE_DEMAND_RESIDENTIAL_RECYCLED_WATER_GAL]:[NONPOTABLE_DEMAND_NONRESIDENTIAL_METERED_IRRIGATION_GAL]])</f>
        <v>32728771.104000002</v>
      </c>
      <c r="X1422" t="str">
        <f>IFERROR(INDEX(Crosswalk_API!$H$2:$H$527, MATCH(POTABLE_NONPOTABLE_API[[#This Row],[PWSID]], CW_PWSID_LIST, 0)), "")</f>
        <v>No</v>
      </c>
    </row>
    <row r="1423" spans="1:24" x14ac:dyDescent="0.25">
      <c r="A1423" t="s">
        <v>1109</v>
      </c>
      <c r="B1423" t="s">
        <v>1110</v>
      </c>
      <c r="C1423" t="s">
        <v>1111</v>
      </c>
      <c r="D1423" t="s">
        <v>1112</v>
      </c>
      <c r="E1423" s="9">
        <v>45261</v>
      </c>
      <c r="F1423" s="9">
        <v>45291</v>
      </c>
      <c r="G1423">
        <v>174008864.03200001</v>
      </c>
      <c r="H1423">
        <v>25456957.612</v>
      </c>
      <c r="I1423">
        <v>25254983.572000001</v>
      </c>
      <c r="J1423">
        <v>25232542.012000002</v>
      </c>
      <c r="K1423">
        <v>0</v>
      </c>
      <c r="L1423">
        <v>0</v>
      </c>
      <c r="M1423">
        <v>0</v>
      </c>
      <c r="N1423">
        <v>0</v>
      </c>
      <c r="O1423">
        <v>0</v>
      </c>
      <c r="P1423">
        <v>0</v>
      </c>
      <c r="Q1423">
        <v>20519814.412</v>
      </c>
      <c r="R1423">
        <v>0</v>
      </c>
      <c r="S1423">
        <v>0</v>
      </c>
      <c r="T1423" s="9">
        <v>45108</v>
      </c>
      <c r="U1423" s="9">
        <v>45473</v>
      </c>
      <c r="V1423">
        <f>SUM(POTABLE_NONPOTABLE_API[[#This Row],[RESIDENTIAL_SINGLEFAMILY_GAL]:[OTHER_GAL]])</f>
        <v>249953347.22799999</v>
      </c>
      <c r="W1423">
        <f>SUM(POTABLE_NONPOTABLE_API[[#This Row],[NONPOTABLE_DEMAND_RESIDENTIAL_RECYCLED_WATER_GAL]:[NONPOTABLE_DEMAND_NONRESIDENTIAL_METERED_IRRIGATION_GAL]])</f>
        <v>20519814.412</v>
      </c>
      <c r="X1423" t="str">
        <f>IFERROR(INDEX(Crosswalk_API!$H$2:$H$527, MATCH(POTABLE_NONPOTABLE_API[[#This Row],[PWSID]], CW_PWSID_LIST, 0)), "")</f>
        <v>No</v>
      </c>
    </row>
    <row r="1424" spans="1:24" x14ac:dyDescent="0.25">
      <c r="A1424" t="s">
        <v>1109</v>
      </c>
      <c r="B1424" t="s">
        <v>1110</v>
      </c>
      <c r="C1424" t="s">
        <v>1111</v>
      </c>
      <c r="D1424" t="s">
        <v>1112</v>
      </c>
      <c r="E1424" s="9">
        <v>45292</v>
      </c>
      <c r="F1424" s="9">
        <v>45322</v>
      </c>
      <c r="G1424">
        <v>173443336.72</v>
      </c>
      <c r="H1424">
        <v>30651430.699999999</v>
      </c>
      <c r="I1424">
        <v>26096542.072000001</v>
      </c>
      <c r="J1424">
        <v>13166463.252</v>
      </c>
      <c r="K1424">
        <v>0</v>
      </c>
      <c r="L1424">
        <v>0</v>
      </c>
      <c r="M1424">
        <v>0</v>
      </c>
      <c r="N1424">
        <v>0</v>
      </c>
      <c r="O1424">
        <v>0</v>
      </c>
      <c r="P1424">
        <v>0</v>
      </c>
      <c r="Q1424">
        <v>7752810.9280000003</v>
      </c>
      <c r="R1424">
        <v>0</v>
      </c>
      <c r="S1424">
        <v>0</v>
      </c>
      <c r="T1424" s="9">
        <v>45108</v>
      </c>
      <c r="U1424" s="9">
        <v>45473</v>
      </c>
      <c r="V1424">
        <f>SUM(POTABLE_NONPOTABLE_API[[#This Row],[RESIDENTIAL_SINGLEFAMILY_GAL]:[OTHER_GAL]])</f>
        <v>243357772.74399999</v>
      </c>
      <c r="W1424">
        <f>SUM(POTABLE_NONPOTABLE_API[[#This Row],[NONPOTABLE_DEMAND_RESIDENTIAL_RECYCLED_WATER_GAL]:[NONPOTABLE_DEMAND_NONRESIDENTIAL_METERED_IRRIGATION_GAL]])</f>
        <v>7752810.9280000003</v>
      </c>
      <c r="X1424" t="str">
        <f>IFERROR(INDEX(Crosswalk_API!$H$2:$H$527, MATCH(POTABLE_NONPOTABLE_API[[#This Row],[PWSID]], CW_PWSID_LIST, 0)), "")</f>
        <v>No</v>
      </c>
    </row>
    <row r="1425" spans="1:24" x14ac:dyDescent="0.25">
      <c r="A1425" t="s">
        <v>1109</v>
      </c>
      <c r="B1425" t="s">
        <v>1110</v>
      </c>
      <c r="C1425" t="s">
        <v>1111</v>
      </c>
      <c r="D1425" t="s">
        <v>1112</v>
      </c>
      <c r="E1425" s="9">
        <v>45323</v>
      </c>
      <c r="F1425" s="9">
        <v>45351</v>
      </c>
      <c r="G1425">
        <v>128504112.82000001</v>
      </c>
      <c r="H1425">
        <v>24096251.024</v>
      </c>
      <c r="I1425">
        <v>19520416.940000001</v>
      </c>
      <c r="J1425">
        <v>5754015.9840000002</v>
      </c>
      <c r="K1425">
        <v>0</v>
      </c>
      <c r="L1425">
        <v>0</v>
      </c>
      <c r="M1425">
        <v>0</v>
      </c>
      <c r="N1425">
        <v>0</v>
      </c>
      <c r="O1425">
        <v>0</v>
      </c>
      <c r="Q1425">
        <v>3257018.4080000003</v>
      </c>
      <c r="R1425">
        <v>0</v>
      </c>
      <c r="T1425" s="9">
        <v>45108</v>
      </c>
      <c r="U1425" s="9">
        <v>45473</v>
      </c>
      <c r="V1425">
        <f>SUM(POTABLE_NONPOTABLE_API[[#This Row],[RESIDENTIAL_SINGLEFAMILY_GAL]:[OTHER_GAL]])</f>
        <v>177874796.76800001</v>
      </c>
      <c r="W1425">
        <f>SUM(POTABLE_NONPOTABLE_API[[#This Row],[NONPOTABLE_DEMAND_RESIDENTIAL_RECYCLED_WATER_GAL]:[NONPOTABLE_DEMAND_NONRESIDENTIAL_METERED_IRRIGATION_GAL]])</f>
        <v>3257018.4080000003</v>
      </c>
      <c r="X1425" t="str">
        <f>IFERROR(INDEX(Crosswalk_API!$H$2:$H$527, MATCH(POTABLE_NONPOTABLE_API[[#This Row],[PWSID]], CW_PWSID_LIST, 0)), "")</f>
        <v>No</v>
      </c>
    </row>
    <row r="1426" spans="1:24" x14ac:dyDescent="0.25">
      <c r="A1426" t="s">
        <v>1109</v>
      </c>
      <c r="B1426" t="s">
        <v>1110</v>
      </c>
      <c r="C1426" t="s">
        <v>1111</v>
      </c>
      <c r="D1426" t="s">
        <v>1112</v>
      </c>
      <c r="E1426" s="9">
        <v>45352</v>
      </c>
      <c r="F1426" s="9">
        <v>45382</v>
      </c>
      <c r="G1426">
        <v>117798740.648</v>
      </c>
      <c r="H1426">
        <v>23532967.868000001</v>
      </c>
      <c r="I1426">
        <v>21181840.432</v>
      </c>
      <c r="J1426">
        <v>4608000.32</v>
      </c>
      <c r="K1426">
        <v>0</v>
      </c>
      <c r="L1426">
        <v>0</v>
      </c>
      <c r="M1426">
        <v>0</v>
      </c>
      <c r="N1426">
        <v>0</v>
      </c>
      <c r="O1426">
        <v>0</v>
      </c>
      <c r="P1426">
        <v>0</v>
      </c>
      <c r="Q1426">
        <v>2824644.352</v>
      </c>
      <c r="R1426">
        <v>0</v>
      </c>
      <c r="S1426">
        <v>0</v>
      </c>
      <c r="T1426" s="9">
        <v>45108</v>
      </c>
      <c r="U1426" s="9">
        <v>45473</v>
      </c>
      <c r="V1426">
        <f>SUM(POTABLE_NONPOTABLE_API[[#This Row],[RESIDENTIAL_SINGLEFAMILY_GAL]:[OTHER_GAL]])</f>
        <v>167121549.26800001</v>
      </c>
      <c r="W1426">
        <f>SUM(POTABLE_NONPOTABLE_API[[#This Row],[NONPOTABLE_DEMAND_RESIDENTIAL_RECYCLED_WATER_GAL]:[NONPOTABLE_DEMAND_NONRESIDENTIAL_METERED_IRRIGATION_GAL]])</f>
        <v>2824644.352</v>
      </c>
      <c r="X1426" t="str">
        <f>IFERROR(INDEX(Crosswalk_API!$H$2:$H$527, MATCH(POTABLE_NONPOTABLE_API[[#This Row],[PWSID]], CW_PWSID_LIST, 0)), "")</f>
        <v>No</v>
      </c>
    </row>
    <row r="1427" spans="1:24" x14ac:dyDescent="0.25">
      <c r="A1427" t="s">
        <v>1109</v>
      </c>
      <c r="B1427" t="s">
        <v>1110</v>
      </c>
      <c r="C1427" t="s">
        <v>1111</v>
      </c>
      <c r="D1427" t="s">
        <v>1112</v>
      </c>
      <c r="E1427" s="9">
        <v>45383</v>
      </c>
      <c r="F1427" s="9">
        <v>45412</v>
      </c>
      <c r="G1427">
        <v>133214596.264</v>
      </c>
      <c r="H1427">
        <v>25234786.168000001</v>
      </c>
      <c r="I1427">
        <v>21817684.631999999</v>
      </c>
      <c r="J1427">
        <v>7301735.5720000006</v>
      </c>
      <c r="K1427">
        <v>0</v>
      </c>
      <c r="L1427">
        <v>0</v>
      </c>
      <c r="M1427">
        <v>0</v>
      </c>
      <c r="N1427">
        <v>0</v>
      </c>
      <c r="O1427">
        <v>0</v>
      </c>
      <c r="P1427">
        <v>0</v>
      </c>
      <c r="Q1427">
        <v>6381631.6119999997</v>
      </c>
      <c r="R1427">
        <v>0</v>
      </c>
      <c r="S1427">
        <v>0</v>
      </c>
      <c r="T1427" s="9">
        <v>45108</v>
      </c>
      <c r="U1427" s="9">
        <v>45473</v>
      </c>
      <c r="V1427">
        <f>SUM(POTABLE_NONPOTABLE_API[[#This Row],[RESIDENTIAL_SINGLEFAMILY_GAL]:[OTHER_GAL]])</f>
        <v>187568802.63600001</v>
      </c>
      <c r="W1427">
        <f>SUM(POTABLE_NONPOTABLE_API[[#This Row],[NONPOTABLE_DEMAND_RESIDENTIAL_RECYCLED_WATER_GAL]:[NONPOTABLE_DEMAND_NONRESIDENTIAL_METERED_IRRIGATION_GAL]])</f>
        <v>6381631.6119999997</v>
      </c>
      <c r="X1427" t="str">
        <f>IFERROR(INDEX(Crosswalk_API!$H$2:$H$527, MATCH(POTABLE_NONPOTABLE_API[[#This Row],[PWSID]], CW_PWSID_LIST, 0)), "")</f>
        <v>No</v>
      </c>
    </row>
    <row r="1428" spans="1:24" x14ac:dyDescent="0.25">
      <c r="A1428" t="s">
        <v>1109</v>
      </c>
      <c r="B1428" t="s">
        <v>1110</v>
      </c>
      <c r="C1428" t="s">
        <v>1111</v>
      </c>
      <c r="D1428" t="s">
        <v>1112</v>
      </c>
      <c r="E1428" s="9">
        <v>45413</v>
      </c>
      <c r="F1428" s="9">
        <v>45443</v>
      </c>
      <c r="G1428">
        <v>180888698.27599999</v>
      </c>
      <c r="H1428">
        <v>28542672.112</v>
      </c>
      <c r="I1428">
        <v>30488355.364</v>
      </c>
      <c r="J1428">
        <v>27339804.495999999</v>
      </c>
      <c r="K1428">
        <v>0</v>
      </c>
      <c r="L1428">
        <v>0</v>
      </c>
      <c r="M1428">
        <v>0</v>
      </c>
      <c r="N1428">
        <v>0</v>
      </c>
      <c r="O1428">
        <v>0</v>
      </c>
      <c r="P1428">
        <v>0</v>
      </c>
      <c r="Q1428">
        <v>27135586.300000001</v>
      </c>
      <c r="R1428">
        <v>0</v>
      </c>
      <c r="S1428">
        <v>0</v>
      </c>
      <c r="T1428" s="9">
        <v>45108</v>
      </c>
      <c r="U1428" s="9">
        <v>45473</v>
      </c>
      <c r="V1428">
        <f>SUM(POTABLE_NONPOTABLE_API[[#This Row],[RESIDENTIAL_SINGLEFAMILY_GAL]:[OTHER_GAL]])</f>
        <v>267259530.24799997</v>
      </c>
      <c r="W1428">
        <f>SUM(POTABLE_NONPOTABLE_API[[#This Row],[NONPOTABLE_DEMAND_RESIDENTIAL_RECYCLED_WATER_GAL]:[NONPOTABLE_DEMAND_NONRESIDENTIAL_METERED_IRRIGATION_GAL]])</f>
        <v>27135586.300000001</v>
      </c>
      <c r="X1428" t="str">
        <f>IFERROR(INDEX(Crosswalk_API!$H$2:$H$527, MATCH(POTABLE_NONPOTABLE_API[[#This Row],[PWSID]], CW_PWSID_LIST, 0)), "")</f>
        <v>No</v>
      </c>
    </row>
    <row r="1429" spans="1:24" x14ac:dyDescent="0.25">
      <c r="A1429" t="s">
        <v>1109</v>
      </c>
      <c r="B1429" t="s">
        <v>1110</v>
      </c>
      <c r="C1429" t="s">
        <v>1111</v>
      </c>
      <c r="D1429" t="s">
        <v>1112</v>
      </c>
      <c r="E1429" s="9">
        <v>45444</v>
      </c>
      <c r="F1429" s="9">
        <v>45473</v>
      </c>
      <c r="G1429">
        <v>220221272.43600002</v>
      </c>
      <c r="H1429">
        <v>31320189.188000001</v>
      </c>
      <c r="I1429">
        <v>40645405.420000002</v>
      </c>
      <c r="J1429">
        <v>42329270.472000003</v>
      </c>
      <c r="K1429">
        <v>0</v>
      </c>
      <c r="L1429">
        <v>0</v>
      </c>
      <c r="M1429">
        <v>0</v>
      </c>
      <c r="N1429">
        <v>0</v>
      </c>
      <c r="O1429">
        <v>0</v>
      </c>
      <c r="P1429">
        <v>0</v>
      </c>
      <c r="Q1429">
        <v>42677114.652000003</v>
      </c>
      <c r="R1429">
        <v>0</v>
      </c>
      <c r="S1429">
        <v>0</v>
      </c>
      <c r="T1429" s="9">
        <v>45108</v>
      </c>
      <c r="U1429" s="9">
        <v>45473</v>
      </c>
      <c r="V1429">
        <f>SUM(POTABLE_NONPOTABLE_API[[#This Row],[RESIDENTIAL_SINGLEFAMILY_GAL]:[OTHER_GAL]])</f>
        <v>334516137.51600003</v>
      </c>
      <c r="W1429">
        <f>SUM(POTABLE_NONPOTABLE_API[[#This Row],[NONPOTABLE_DEMAND_RESIDENTIAL_RECYCLED_WATER_GAL]:[NONPOTABLE_DEMAND_NONRESIDENTIAL_METERED_IRRIGATION_GAL]])</f>
        <v>42677114.652000003</v>
      </c>
      <c r="X1429" t="str">
        <f>IFERROR(INDEX(Crosswalk_API!$H$2:$H$527, MATCH(POTABLE_NONPOTABLE_API[[#This Row],[PWSID]], CW_PWSID_LIST, 0)), "")</f>
        <v>No</v>
      </c>
    </row>
    <row r="1430" spans="1:24" x14ac:dyDescent="0.25">
      <c r="A1430" t="s">
        <v>2583</v>
      </c>
      <c r="B1430" t="s">
        <v>2584</v>
      </c>
      <c r="C1430" t="s">
        <v>2585</v>
      </c>
      <c r="D1430" t="s">
        <v>2586</v>
      </c>
      <c r="E1430" s="9">
        <v>45108</v>
      </c>
      <c r="F1430" s="9">
        <v>45138</v>
      </c>
      <c r="G1430">
        <v>65481528</v>
      </c>
      <c r="H1430">
        <v>2369387</v>
      </c>
      <c r="I1430">
        <v>23605773</v>
      </c>
      <c r="J1430">
        <v>3825661</v>
      </c>
      <c r="K1430">
        <v>565892</v>
      </c>
      <c r="L1430">
        <v>0</v>
      </c>
      <c r="M1430">
        <v>0</v>
      </c>
      <c r="T1430" s="9">
        <v>45108</v>
      </c>
      <c r="U1430" s="9">
        <v>45473</v>
      </c>
      <c r="V1430">
        <f>SUM(POTABLE_NONPOTABLE_API[[#This Row],[RESIDENTIAL_SINGLEFAMILY_GAL]:[OTHER_GAL]])</f>
        <v>95848241</v>
      </c>
      <c r="W1430">
        <f>SUM(POTABLE_NONPOTABLE_API[[#This Row],[NONPOTABLE_DEMAND_RESIDENTIAL_RECYCLED_WATER_GAL]:[NONPOTABLE_DEMAND_NONRESIDENTIAL_METERED_IRRIGATION_GAL]])</f>
        <v>0</v>
      </c>
      <c r="X1430" t="str">
        <f>IFERROR(INDEX(Crosswalk_API!$H$2:$H$527, MATCH(POTABLE_NONPOTABLE_API[[#This Row],[PWSID]], CW_PWSID_LIST, 0)), "")</f>
        <v>No</v>
      </c>
    </row>
    <row r="1431" spans="1:24" x14ac:dyDescent="0.25">
      <c r="A1431" t="s">
        <v>2583</v>
      </c>
      <c r="B1431" t="s">
        <v>2584</v>
      </c>
      <c r="C1431" t="s">
        <v>2585</v>
      </c>
      <c r="D1431" t="s">
        <v>2586</v>
      </c>
      <c r="E1431" s="9">
        <v>45139</v>
      </c>
      <c r="F1431" s="9">
        <v>45169</v>
      </c>
      <c r="G1431">
        <v>60981426</v>
      </c>
      <c r="H1431">
        <v>1939392</v>
      </c>
      <c r="I1431">
        <v>22854691</v>
      </c>
      <c r="J1431">
        <v>3642528</v>
      </c>
      <c r="K1431">
        <v>429823</v>
      </c>
      <c r="L1431">
        <v>0</v>
      </c>
      <c r="M1431">
        <v>0</v>
      </c>
      <c r="T1431" s="9">
        <v>45108</v>
      </c>
      <c r="U1431" s="9">
        <v>45473</v>
      </c>
      <c r="V1431">
        <f>SUM(POTABLE_NONPOTABLE_API[[#This Row],[RESIDENTIAL_SINGLEFAMILY_GAL]:[OTHER_GAL]])</f>
        <v>89847860</v>
      </c>
      <c r="W1431">
        <f>SUM(POTABLE_NONPOTABLE_API[[#This Row],[NONPOTABLE_DEMAND_RESIDENTIAL_RECYCLED_WATER_GAL]:[NONPOTABLE_DEMAND_NONRESIDENTIAL_METERED_IRRIGATION_GAL]])</f>
        <v>0</v>
      </c>
      <c r="X1431" t="str">
        <f>IFERROR(INDEX(Crosswalk_API!$H$2:$H$527, MATCH(POTABLE_NONPOTABLE_API[[#This Row],[PWSID]], CW_PWSID_LIST, 0)), "")</f>
        <v>No</v>
      </c>
    </row>
    <row r="1432" spans="1:24" x14ac:dyDescent="0.25">
      <c r="A1432" t="s">
        <v>2583</v>
      </c>
      <c r="B1432" t="s">
        <v>2584</v>
      </c>
      <c r="C1432" t="s">
        <v>2585</v>
      </c>
      <c r="D1432" t="s">
        <v>2586</v>
      </c>
      <c r="E1432" s="9">
        <v>45170</v>
      </c>
      <c r="F1432" s="9">
        <v>45199</v>
      </c>
      <c r="G1432">
        <v>71834404</v>
      </c>
      <c r="H1432">
        <v>2640911</v>
      </c>
      <c r="I1432">
        <v>28384962</v>
      </c>
      <c r="J1432">
        <v>2554555</v>
      </c>
      <c r="K1432">
        <v>327961</v>
      </c>
      <c r="L1432">
        <v>0</v>
      </c>
      <c r="M1432">
        <v>0</v>
      </c>
      <c r="T1432" s="9">
        <v>45108</v>
      </c>
      <c r="U1432" s="9">
        <v>45473</v>
      </c>
      <c r="V1432">
        <f>SUM(POTABLE_NONPOTABLE_API[[#This Row],[RESIDENTIAL_SINGLEFAMILY_GAL]:[OTHER_GAL]])</f>
        <v>105742793</v>
      </c>
      <c r="W1432">
        <f>SUM(POTABLE_NONPOTABLE_API[[#This Row],[NONPOTABLE_DEMAND_RESIDENTIAL_RECYCLED_WATER_GAL]:[NONPOTABLE_DEMAND_NONRESIDENTIAL_METERED_IRRIGATION_GAL]])</f>
        <v>0</v>
      </c>
      <c r="X1432" t="str">
        <f>IFERROR(INDEX(Crosswalk_API!$H$2:$H$527, MATCH(POTABLE_NONPOTABLE_API[[#This Row],[PWSID]], CW_PWSID_LIST, 0)), "")</f>
        <v>No</v>
      </c>
    </row>
    <row r="1433" spans="1:24" x14ac:dyDescent="0.25">
      <c r="A1433" t="s">
        <v>2583</v>
      </c>
      <c r="B1433" t="s">
        <v>2584</v>
      </c>
      <c r="C1433" t="s">
        <v>2585</v>
      </c>
      <c r="D1433" t="s">
        <v>2586</v>
      </c>
      <c r="E1433" s="9">
        <v>45200</v>
      </c>
      <c r="F1433" s="9">
        <v>45230</v>
      </c>
      <c r="G1433">
        <v>46051046</v>
      </c>
      <c r="H1433">
        <v>1674084</v>
      </c>
      <c r="I1433">
        <v>16435924</v>
      </c>
      <c r="J1433">
        <v>4596460</v>
      </c>
      <c r="K1433">
        <v>241365</v>
      </c>
      <c r="L1433">
        <v>7742279</v>
      </c>
      <c r="M1433">
        <v>0</v>
      </c>
      <c r="T1433" s="9">
        <v>45108</v>
      </c>
      <c r="U1433" s="9">
        <v>45473</v>
      </c>
      <c r="V1433">
        <f>SUM(POTABLE_NONPOTABLE_API[[#This Row],[RESIDENTIAL_SINGLEFAMILY_GAL]:[OTHER_GAL]])</f>
        <v>76741158</v>
      </c>
      <c r="W1433">
        <f>SUM(POTABLE_NONPOTABLE_API[[#This Row],[NONPOTABLE_DEMAND_RESIDENTIAL_RECYCLED_WATER_GAL]:[NONPOTABLE_DEMAND_NONRESIDENTIAL_METERED_IRRIGATION_GAL]])</f>
        <v>0</v>
      </c>
      <c r="X1433" t="str">
        <f>IFERROR(INDEX(Crosswalk_API!$H$2:$H$527, MATCH(POTABLE_NONPOTABLE_API[[#This Row],[PWSID]], CW_PWSID_LIST, 0)), "")</f>
        <v>No</v>
      </c>
    </row>
    <row r="1434" spans="1:24" x14ac:dyDescent="0.25">
      <c r="A1434" t="s">
        <v>2583</v>
      </c>
      <c r="B1434" t="s">
        <v>2584</v>
      </c>
      <c r="C1434" t="s">
        <v>2585</v>
      </c>
      <c r="D1434" t="s">
        <v>2586</v>
      </c>
      <c r="E1434" s="9">
        <v>45231</v>
      </c>
      <c r="F1434" s="9">
        <v>45260</v>
      </c>
      <c r="G1434">
        <v>44587435</v>
      </c>
      <c r="H1434">
        <v>1863313</v>
      </c>
      <c r="I1434">
        <v>15700438</v>
      </c>
      <c r="J1434">
        <v>2907057</v>
      </c>
      <c r="K1434">
        <v>278458</v>
      </c>
      <c r="L1434">
        <v>0</v>
      </c>
      <c r="M1434">
        <v>0</v>
      </c>
      <c r="T1434" s="9">
        <v>45108</v>
      </c>
      <c r="U1434" s="9">
        <v>45473</v>
      </c>
      <c r="V1434">
        <f>SUM(POTABLE_NONPOTABLE_API[[#This Row],[RESIDENTIAL_SINGLEFAMILY_GAL]:[OTHER_GAL]])</f>
        <v>65336701</v>
      </c>
      <c r="W1434">
        <f>SUM(POTABLE_NONPOTABLE_API[[#This Row],[NONPOTABLE_DEMAND_RESIDENTIAL_RECYCLED_WATER_GAL]:[NONPOTABLE_DEMAND_NONRESIDENTIAL_METERED_IRRIGATION_GAL]])</f>
        <v>0</v>
      </c>
      <c r="X1434" t="str">
        <f>IFERROR(INDEX(Crosswalk_API!$H$2:$H$527, MATCH(POTABLE_NONPOTABLE_API[[#This Row],[PWSID]], CW_PWSID_LIST, 0)), "")</f>
        <v>No</v>
      </c>
    </row>
    <row r="1435" spans="1:24" x14ac:dyDescent="0.25">
      <c r="A1435" t="s">
        <v>2583</v>
      </c>
      <c r="B1435" t="s">
        <v>2584</v>
      </c>
      <c r="C1435" t="s">
        <v>2585</v>
      </c>
      <c r="D1435" t="s">
        <v>2586</v>
      </c>
      <c r="E1435" s="9">
        <v>45261</v>
      </c>
      <c r="F1435" s="9">
        <v>45291</v>
      </c>
      <c r="G1435">
        <v>30276908</v>
      </c>
      <c r="H1435">
        <v>1513638</v>
      </c>
      <c r="I1435">
        <v>10669352</v>
      </c>
      <c r="J1435">
        <v>2582956</v>
      </c>
      <c r="K1435">
        <v>197704</v>
      </c>
      <c r="L1435">
        <v>0</v>
      </c>
      <c r="M1435">
        <v>0</v>
      </c>
      <c r="T1435" s="9">
        <v>45108</v>
      </c>
      <c r="U1435" s="9">
        <v>45473</v>
      </c>
      <c r="V1435">
        <f>SUM(POTABLE_NONPOTABLE_API[[#This Row],[RESIDENTIAL_SINGLEFAMILY_GAL]:[OTHER_GAL]])</f>
        <v>45240558</v>
      </c>
      <c r="W1435">
        <f>SUM(POTABLE_NONPOTABLE_API[[#This Row],[NONPOTABLE_DEMAND_RESIDENTIAL_RECYCLED_WATER_GAL]:[NONPOTABLE_DEMAND_NONRESIDENTIAL_METERED_IRRIGATION_GAL]])</f>
        <v>0</v>
      </c>
      <c r="X1435" t="str">
        <f>IFERROR(INDEX(Crosswalk_API!$H$2:$H$527, MATCH(POTABLE_NONPOTABLE_API[[#This Row],[PWSID]], CW_PWSID_LIST, 0)), "")</f>
        <v>No</v>
      </c>
    </row>
    <row r="1436" spans="1:24" x14ac:dyDescent="0.25">
      <c r="A1436" t="s">
        <v>2583</v>
      </c>
      <c r="B1436" t="s">
        <v>2584</v>
      </c>
      <c r="C1436" t="s">
        <v>2585</v>
      </c>
      <c r="D1436" t="s">
        <v>2586</v>
      </c>
      <c r="E1436" s="9">
        <v>45292</v>
      </c>
      <c r="F1436" s="9">
        <v>45322</v>
      </c>
      <c r="G1436">
        <v>28251676</v>
      </c>
      <c r="H1436">
        <v>1740200</v>
      </c>
      <c r="I1436">
        <v>8260762</v>
      </c>
      <c r="J1436">
        <v>1530520</v>
      </c>
      <c r="K1436">
        <v>244731</v>
      </c>
      <c r="L1436">
        <v>0</v>
      </c>
      <c r="M1436">
        <v>0</v>
      </c>
      <c r="T1436" s="9">
        <v>45108</v>
      </c>
      <c r="U1436" s="9">
        <v>45473</v>
      </c>
      <c r="V1436">
        <f>SUM(POTABLE_NONPOTABLE_API[[#This Row],[RESIDENTIAL_SINGLEFAMILY_GAL]:[OTHER_GAL]])</f>
        <v>40027889</v>
      </c>
      <c r="W1436">
        <f>SUM(POTABLE_NONPOTABLE_API[[#This Row],[NONPOTABLE_DEMAND_RESIDENTIAL_RECYCLED_WATER_GAL]:[NONPOTABLE_DEMAND_NONRESIDENTIAL_METERED_IRRIGATION_GAL]])</f>
        <v>0</v>
      </c>
      <c r="X1436" t="str">
        <f>IFERROR(INDEX(Crosswalk_API!$H$2:$H$527, MATCH(POTABLE_NONPOTABLE_API[[#This Row],[PWSID]], CW_PWSID_LIST, 0)), "")</f>
        <v>No</v>
      </c>
    </row>
    <row r="1437" spans="1:24" x14ac:dyDescent="0.25">
      <c r="A1437" t="s">
        <v>2583</v>
      </c>
      <c r="B1437" t="s">
        <v>2584</v>
      </c>
      <c r="C1437" t="s">
        <v>2585</v>
      </c>
      <c r="D1437" t="s">
        <v>2586</v>
      </c>
      <c r="E1437" s="9">
        <v>45323</v>
      </c>
      <c r="F1437" s="9">
        <v>45351</v>
      </c>
      <c r="G1437">
        <v>25995842</v>
      </c>
      <c r="H1437">
        <v>2237530</v>
      </c>
      <c r="I1437">
        <v>7086313</v>
      </c>
      <c r="J1437">
        <v>234371</v>
      </c>
      <c r="K1437">
        <v>252555</v>
      </c>
      <c r="L1437">
        <v>0</v>
      </c>
      <c r="M1437">
        <v>0</v>
      </c>
      <c r="T1437" s="9">
        <v>45108</v>
      </c>
      <c r="U1437" s="9">
        <v>45473</v>
      </c>
      <c r="V1437">
        <f>SUM(POTABLE_NONPOTABLE_API[[#This Row],[RESIDENTIAL_SINGLEFAMILY_GAL]:[OTHER_GAL]])</f>
        <v>35806611</v>
      </c>
      <c r="W1437">
        <f>SUM(POTABLE_NONPOTABLE_API[[#This Row],[NONPOTABLE_DEMAND_RESIDENTIAL_RECYCLED_WATER_GAL]:[NONPOTABLE_DEMAND_NONRESIDENTIAL_METERED_IRRIGATION_GAL]])</f>
        <v>0</v>
      </c>
      <c r="X1437" t="str">
        <f>IFERROR(INDEX(Crosswalk_API!$H$2:$H$527, MATCH(POTABLE_NONPOTABLE_API[[#This Row],[PWSID]], CW_PWSID_LIST, 0)), "")</f>
        <v>No</v>
      </c>
    </row>
    <row r="1438" spans="1:24" x14ac:dyDescent="0.25">
      <c r="A1438" t="s">
        <v>2583</v>
      </c>
      <c r="B1438" t="s">
        <v>2584</v>
      </c>
      <c r="C1438" t="s">
        <v>2585</v>
      </c>
      <c r="D1438" t="s">
        <v>2586</v>
      </c>
      <c r="E1438" s="9">
        <v>45352</v>
      </c>
      <c r="F1438" s="9">
        <v>45382</v>
      </c>
      <c r="G1438">
        <v>21383031</v>
      </c>
      <c r="H1438">
        <v>1309905</v>
      </c>
      <c r="I1438">
        <v>5958478</v>
      </c>
      <c r="J1438">
        <v>336338</v>
      </c>
      <c r="K1438">
        <v>268749</v>
      </c>
      <c r="L1438">
        <v>569587</v>
      </c>
      <c r="M1438">
        <v>0</v>
      </c>
      <c r="T1438" s="9">
        <v>45108</v>
      </c>
      <c r="U1438" s="9">
        <v>45473</v>
      </c>
      <c r="V1438">
        <f>SUM(POTABLE_NONPOTABLE_API[[#This Row],[RESIDENTIAL_SINGLEFAMILY_GAL]:[OTHER_GAL]])</f>
        <v>29826088</v>
      </c>
      <c r="W1438">
        <f>SUM(POTABLE_NONPOTABLE_API[[#This Row],[NONPOTABLE_DEMAND_RESIDENTIAL_RECYCLED_WATER_GAL]:[NONPOTABLE_DEMAND_NONRESIDENTIAL_METERED_IRRIGATION_GAL]])</f>
        <v>0</v>
      </c>
      <c r="X1438" t="str">
        <f>IFERROR(INDEX(Crosswalk_API!$H$2:$H$527, MATCH(POTABLE_NONPOTABLE_API[[#This Row],[PWSID]], CW_PWSID_LIST, 0)), "")</f>
        <v>No</v>
      </c>
    </row>
    <row r="1439" spans="1:24" x14ac:dyDescent="0.25">
      <c r="A1439" t="s">
        <v>2583</v>
      </c>
      <c r="B1439" t="s">
        <v>2584</v>
      </c>
      <c r="C1439" t="s">
        <v>2585</v>
      </c>
      <c r="D1439" t="s">
        <v>2586</v>
      </c>
      <c r="E1439" s="9">
        <v>45383</v>
      </c>
      <c r="F1439" s="9">
        <v>45412</v>
      </c>
      <c r="G1439">
        <v>25492887</v>
      </c>
      <c r="H1439">
        <v>1303106</v>
      </c>
      <c r="I1439">
        <v>7206284</v>
      </c>
      <c r="J1439">
        <v>943856</v>
      </c>
      <c r="K1439">
        <v>261172</v>
      </c>
      <c r="L1439">
        <v>2539886</v>
      </c>
      <c r="M1439">
        <v>0</v>
      </c>
      <c r="T1439" s="9">
        <v>45108</v>
      </c>
      <c r="U1439" s="9">
        <v>45473</v>
      </c>
      <c r="V1439">
        <f>SUM(POTABLE_NONPOTABLE_API[[#This Row],[RESIDENTIAL_SINGLEFAMILY_GAL]:[OTHER_GAL]])</f>
        <v>37747191</v>
      </c>
      <c r="W1439">
        <f>SUM(POTABLE_NONPOTABLE_API[[#This Row],[NONPOTABLE_DEMAND_RESIDENTIAL_RECYCLED_WATER_GAL]:[NONPOTABLE_DEMAND_NONRESIDENTIAL_METERED_IRRIGATION_GAL]])</f>
        <v>0</v>
      </c>
      <c r="X1439" t="str">
        <f>IFERROR(INDEX(Crosswalk_API!$H$2:$H$527, MATCH(POTABLE_NONPOTABLE_API[[#This Row],[PWSID]], CW_PWSID_LIST, 0)), "")</f>
        <v>No</v>
      </c>
    </row>
    <row r="1440" spans="1:24" x14ac:dyDescent="0.25">
      <c r="A1440" t="s">
        <v>2583</v>
      </c>
      <c r="B1440" t="s">
        <v>2584</v>
      </c>
      <c r="C1440" t="s">
        <v>2585</v>
      </c>
      <c r="D1440" t="s">
        <v>2586</v>
      </c>
      <c r="E1440" s="9">
        <v>45413</v>
      </c>
      <c r="F1440" s="9">
        <v>45443</v>
      </c>
      <c r="G1440">
        <v>37962264</v>
      </c>
      <c r="H1440">
        <v>1703076</v>
      </c>
      <c r="I1440">
        <v>14804977</v>
      </c>
      <c r="J1440">
        <v>2952895</v>
      </c>
      <c r="K1440">
        <v>224864</v>
      </c>
      <c r="L1440">
        <v>54387</v>
      </c>
      <c r="M1440">
        <v>0</v>
      </c>
      <c r="T1440" s="9">
        <v>45108</v>
      </c>
      <c r="U1440" s="9">
        <v>45473</v>
      </c>
      <c r="V1440">
        <f>SUM(POTABLE_NONPOTABLE_API[[#This Row],[RESIDENTIAL_SINGLEFAMILY_GAL]:[OTHER_GAL]])</f>
        <v>57702463</v>
      </c>
      <c r="W1440">
        <f>SUM(POTABLE_NONPOTABLE_API[[#This Row],[NONPOTABLE_DEMAND_RESIDENTIAL_RECYCLED_WATER_GAL]:[NONPOTABLE_DEMAND_NONRESIDENTIAL_METERED_IRRIGATION_GAL]])</f>
        <v>0</v>
      </c>
      <c r="X1440" t="str">
        <f>IFERROR(INDEX(Crosswalk_API!$H$2:$H$527, MATCH(POTABLE_NONPOTABLE_API[[#This Row],[PWSID]], CW_PWSID_LIST, 0)), "")</f>
        <v>No</v>
      </c>
    </row>
    <row r="1441" spans="1:24" x14ac:dyDescent="0.25">
      <c r="A1441" t="s">
        <v>2583</v>
      </c>
      <c r="B1441" t="s">
        <v>2584</v>
      </c>
      <c r="C1441" t="s">
        <v>2585</v>
      </c>
      <c r="D1441" t="s">
        <v>2586</v>
      </c>
      <c r="E1441" s="9">
        <v>45444</v>
      </c>
      <c r="F1441" s="9">
        <v>45473</v>
      </c>
      <c r="G1441">
        <v>57716795</v>
      </c>
      <c r="H1441">
        <v>1946992</v>
      </c>
      <c r="I1441">
        <v>20953664</v>
      </c>
      <c r="J1441">
        <v>5886738</v>
      </c>
      <c r="K1441">
        <v>289102</v>
      </c>
      <c r="L1441">
        <v>1287846</v>
      </c>
      <c r="M1441">
        <v>0</v>
      </c>
      <c r="T1441" s="9">
        <v>45108</v>
      </c>
      <c r="U1441" s="9">
        <v>45473</v>
      </c>
      <c r="V1441">
        <f>SUM(POTABLE_NONPOTABLE_API[[#This Row],[RESIDENTIAL_SINGLEFAMILY_GAL]:[OTHER_GAL]])</f>
        <v>88081137</v>
      </c>
      <c r="W1441">
        <f>SUM(POTABLE_NONPOTABLE_API[[#This Row],[NONPOTABLE_DEMAND_RESIDENTIAL_RECYCLED_WATER_GAL]:[NONPOTABLE_DEMAND_NONRESIDENTIAL_METERED_IRRIGATION_GAL]])</f>
        <v>0</v>
      </c>
      <c r="X1441" t="str">
        <f>IFERROR(INDEX(Crosswalk_API!$H$2:$H$527, MATCH(POTABLE_NONPOTABLE_API[[#This Row],[PWSID]], CW_PWSID_LIST, 0)), "")</f>
        <v>No</v>
      </c>
    </row>
    <row r="1442" spans="1:24" x14ac:dyDescent="0.25">
      <c r="A1442" t="s">
        <v>1113</v>
      </c>
      <c r="B1442" t="s">
        <v>1114</v>
      </c>
      <c r="C1442" t="s">
        <v>1115</v>
      </c>
      <c r="D1442" t="s">
        <v>1116</v>
      </c>
      <c r="E1442" s="9">
        <v>45108</v>
      </c>
      <c r="F1442" s="9">
        <v>45138</v>
      </c>
      <c r="G1442">
        <v>256177139.868</v>
      </c>
      <c r="H1442">
        <v>75078238.980000004</v>
      </c>
      <c r="I1442">
        <v>27746744.784000002</v>
      </c>
      <c r="J1442">
        <v>16914203.772</v>
      </c>
      <c r="K1442">
        <v>16276115.416000001</v>
      </c>
      <c r="L1442">
        <v>353828.59600000002</v>
      </c>
      <c r="M1442">
        <v>0</v>
      </c>
      <c r="T1442" s="9">
        <v>45108</v>
      </c>
      <c r="U1442" s="9">
        <v>45473</v>
      </c>
      <c r="V1442">
        <f>SUM(POTABLE_NONPOTABLE_API[[#This Row],[RESIDENTIAL_SINGLEFAMILY_GAL]:[OTHER_GAL]])</f>
        <v>392546271.41600001</v>
      </c>
      <c r="W1442">
        <f>SUM(POTABLE_NONPOTABLE_API[[#This Row],[NONPOTABLE_DEMAND_RESIDENTIAL_RECYCLED_WATER_GAL]:[NONPOTABLE_DEMAND_NONRESIDENTIAL_METERED_IRRIGATION_GAL]])</f>
        <v>0</v>
      </c>
      <c r="X1442" t="str">
        <f>IFERROR(INDEX(Crosswalk_API!$H$2:$H$527, MATCH(POTABLE_NONPOTABLE_API[[#This Row],[PWSID]], CW_PWSID_LIST, 0)), "")</f>
        <v>No</v>
      </c>
    </row>
    <row r="1443" spans="1:24" x14ac:dyDescent="0.25">
      <c r="A1443" t="s">
        <v>1113</v>
      </c>
      <c r="B1443" t="s">
        <v>1114</v>
      </c>
      <c r="C1443" t="s">
        <v>1115</v>
      </c>
      <c r="D1443" t="s">
        <v>1116</v>
      </c>
      <c r="E1443" s="9">
        <v>45139</v>
      </c>
      <c r="F1443" s="9">
        <v>45169</v>
      </c>
      <c r="G1443">
        <v>386522956.71200001</v>
      </c>
      <c r="H1443">
        <v>92373201.219999999</v>
      </c>
      <c r="I1443">
        <v>45214507.035999998</v>
      </c>
      <c r="J1443">
        <v>35643181.696000002</v>
      </c>
      <c r="K1443">
        <v>9977517.5759999994</v>
      </c>
      <c r="L1443">
        <v>1594098.8120000002</v>
      </c>
      <c r="M1443">
        <v>0</v>
      </c>
      <c r="T1443" s="9">
        <v>45108</v>
      </c>
      <c r="U1443" s="9">
        <v>45473</v>
      </c>
      <c r="V1443">
        <f>SUM(POTABLE_NONPOTABLE_API[[#This Row],[RESIDENTIAL_SINGLEFAMILY_GAL]:[OTHER_GAL]])</f>
        <v>571325463.05200005</v>
      </c>
      <c r="W1443">
        <f>SUM(POTABLE_NONPOTABLE_API[[#This Row],[NONPOTABLE_DEMAND_RESIDENTIAL_RECYCLED_WATER_GAL]:[NONPOTABLE_DEMAND_NONRESIDENTIAL_METERED_IRRIGATION_GAL]])</f>
        <v>0</v>
      </c>
      <c r="X1443" t="str">
        <f>IFERROR(INDEX(Crosswalk_API!$H$2:$H$527, MATCH(POTABLE_NONPOTABLE_API[[#This Row],[PWSID]], CW_PWSID_LIST, 0)), "")</f>
        <v>No</v>
      </c>
    </row>
    <row r="1444" spans="1:24" x14ac:dyDescent="0.25">
      <c r="A1444" t="s">
        <v>1113</v>
      </c>
      <c r="B1444" t="s">
        <v>1114</v>
      </c>
      <c r="C1444" t="s">
        <v>1115</v>
      </c>
      <c r="D1444" t="s">
        <v>1116</v>
      </c>
      <c r="E1444" s="9">
        <v>45170</v>
      </c>
      <c r="F1444" s="9">
        <v>45199</v>
      </c>
      <c r="G1444">
        <v>197084772.12799999</v>
      </c>
      <c r="H1444">
        <v>68478176.184</v>
      </c>
      <c r="I1444">
        <v>22067534</v>
      </c>
      <c r="J1444">
        <v>15604364.720000001</v>
      </c>
      <c r="K1444">
        <v>18794806.5</v>
      </c>
      <c r="L1444">
        <v>739075.37600000005</v>
      </c>
      <c r="M1444">
        <v>0</v>
      </c>
      <c r="T1444" s="9">
        <v>45108</v>
      </c>
      <c r="U1444" s="9">
        <v>45473</v>
      </c>
      <c r="V1444">
        <f>SUM(POTABLE_NONPOTABLE_API[[#This Row],[RESIDENTIAL_SINGLEFAMILY_GAL]:[OTHER_GAL]])</f>
        <v>322768728.90799999</v>
      </c>
      <c r="W1444">
        <f>SUM(POTABLE_NONPOTABLE_API[[#This Row],[NONPOTABLE_DEMAND_RESIDENTIAL_RECYCLED_WATER_GAL]:[NONPOTABLE_DEMAND_NONRESIDENTIAL_METERED_IRRIGATION_GAL]])</f>
        <v>0</v>
      </c>
      <c r="X1444" t="str">
        <f>IFERROR(INDEX(Crosswalk_API!$H$2:$H$527, MATCH(POTABLE_NONPOTABLE_API[[#This Row],[PWSID]], CW_PWSID_LIST, 0)), "")</f>
        <v>No</v>
      </c>
    </row>
    <row r="1445" spans="1:24" x14ac:dyDescent="0.25">
      <c r="A1445" t="s">
        <v>1113</v>
      </c>
      <c r="B1445" t="s">
        <v>1114</v>
      </c>
      <c r="C1445" t="s">
        <v>1115</v>
      </c>
      <c r="D1445" t="s">
        <v>1116</v>
      </c>
      <c r="E1445" s="9">
        <v>45200</v>
      </c>
      <c r="F1445" s="9">
        <v>45230</v>
      </c>
      <c r="G1445">
        <v>295185059.45999998</v>
      </c>
      <c r="H1445">
        <v>82859475.884000003</v>
      </c>
      <c r="I1445">
        <v>43739348.491999999</v>
      </c>
      <c r="J1445">
        <v>31017976.18</v>
      </c>
      <c r="K1445">
        <v>9600499.3680000007</v>
      </c>
      <c r="L1445">
        <v>1540987.12</v>
      </c>
      <c r="M1445">
        <v>0</v>
      </c>
      <c r="T1445" s="9">
        <v>45108</v>
      </c>
      <c r="U1445" s="9">
        <v>45473</v>
      </c>
      <c r="V1445">
        <f>SUM(POTABLE_NONPOTABLE_API[[#This Row],[RESIDENTIAL_SINGLEFAMILY_GAL]:[OTHER_GAL]])</f>
        <v>463943346.50399995</v>
      </c>
      <c r="W1445">
        <f>SUM(POTABLE_NONPOTABLE_API[[#This Row],[NONPOTABLE_DEMAND_RESIDENTIAL_RECYCLED_WATER_GAL]:[NONPOTABLE_DEMAND_NONRESIDENTIAL_METERED_IRRIGATION_GAL]])</f>
        <v>0</v>
      </c>
      <c r="X1445" t="str">
        <f>IFERROR(INDEX(Crosswalk_API!$H$2:$H$527, MATCH(POTABLE_NONPOTABLE_API[[#This Row],[PWSID]], CW_PWSID_LIST, 0)), "")</f>
        <v>No</v>
      </c>
    </row>
    <row r="1446" spans="1:24" x14ac:dyDescent="0.25">
      <c r="A1446" t="s">
        <v>1113</v>
      </c>
      <c r="B1446" t="s">
        <v>1114</v>
      </c>
      <c r="C1446" t="s">
        <v>1115</v>
      </c>
      <c r="D1446" t="s">
        <v>1116</v>
      </c>
      <c r="E1446" s="9">
        <v>45231</v>
      </c>
      <c r="F1446" s="9">
        <v>45260</v>
      </c>
      <c r="G1446">
        <v>194572065.46000001</v>
      </c>
      <c r="H1446">
        <v>79881480.872000009</v>
      </c>
      <c r="I1446">
        <v>93496775.324000001</v>
      </c>
      <c r="J1446">
        <v>10895377.380000001</v>
      </c>
      <c r="K1446">
        <v>11916468.359999999</v>
      </c>
      <c r="L1446">
        <v>241620.796</v>
      </c>
      <c r="M1446">
        <v>0</v>
      </c>
      <c r="T1446" s="9">
        <v>45108</v>
      </c>
      <c r="U1446" s="9">
        <v>45473</v>
      </c>
      <c r="V1446">
        <f>SUM(POTABLE_NONPOTABLE_API[[#This Row],[RESIDENTIAL_SINGLEFAMILY_GAL]:[OTHER_GAL]])</f>
        <v>391003788.19200003</v>
      </c>
      <c r="W1446">
        <f>SUM(POTABLE_NONPOTABLE_API[[#This Row],[NONPOTABLE_DEMAND_RESIDENTIAL_RECYCLED_WATER_GAL]:[NONPOTABLE_DEMAND_NONRESIDENTIAL_METERED_IRRIGATION_GAL]])</f>
        <v>0</v>
      </c>
      <c r="X1446" t="str">
        <f>IFERROR(INDEX(Crosswalk_API!$H$2:$H$527, MATCH(POTABLE_NONPOTABLE_API[[#This Row],[PWSID]], CW_PWSID_LIST, 0)), "")</f>
        <v>No</v>
      </c>
    </row>
    <row r="1447" spans="1:24" x14ac:dyDescent="0.25">
      <c r="A1447" t="s">
        <v>1113</v>
      </c>
      <c r="B1447" t="s">
        <v>1114</v>
      </c>
      <c r="C1447" t="s">
        <v>1115</v>
      </c>
      <c r="D1447" t="s">
        <v>1116</v>
      </c>
      <c r="E1447" s="9">
        <v>45261</v>
      </c>
      <c r="F1447" s="9">
        <v>45291</v>
      </c>
      <c r="G1447">
        <v>93021762.304000005</v>
      </c>
      <c r="H1447">
        <v>18794058.447999999</v>
      </c>
      <c r="I1447">
        <v>12757278.808</v>
      </c>
      <c r="J1447">
        <v>4190587.304</v>
      </c>
      <c r="K1447">
        <v>3168000.22</v>
      </c>
      <c r="L1447">
        <v>317922.10000000003</v>
      </c>
      <c r="M1447">
        <v>0</v>
      </c>
      <c r="T1447" s="9">
        <v>45108</v>
      </c>
      <c r="U1447" s="9">
        <v>45473</v>
      </c>
      <c r="V1447">
        <f>SUM(POTABLE_NONPOTABLE_API[[#This Row],[RESIDENTIAL_SINGLEFAMILY_GAL]:[OTHER_GAL]])</f>
        <v>132249609.184</v>
      </c>
      <c r="W1447">
        <f>SUM(POTABLE_NONPOTABLE_API[[#This Row],[NONPOTABLE_DEMAND_RESIDENTIAL_RECYCLED_WATER_GAL]:[NONPOTABLE_DEMAND_NONRESIDENTIAL_METERED_IRRIGATION_GAL]])</f>
        <v>0</v>
      </c>
      <c r="X1447" t="str">
        <f>IFERROR(INDEX(Crosswalk_API!$H$2:$H$527, MATCH(POTABLE_NONPOTABLE_API[[#This Row],[PWSID]], CW_PWSID_LIST, 0)), "")</f>
        <v>No</v>
      </c>
    </row>
    <row r="1448" spans="1:24" x14ac:dyDescent="0.25">
      <c r="A1448" t="s">
        <v>1113</v>
      </c>
      <c r="B1448" t="s">
        <v>1114</v>
      </c>
      <c r="C1448" t="s">
        <v>1115</v>
      </c>
      <c r="D1448" t="s">
        <v>1116</v>
      </c>
      <c r="E1448" s="9">
        <v>45292</v>
      </c>
      <c r="F1448" s="9">
        <v>45322</v>
      </c>
      <c r="G1448">
        <v>126532995.8</v>
      </c>
      <c r="H1448">
        <v>75386436.403999999</v>
      </c>
      <c r="I1448">
        <v>24705913.403999999</v>
      </c>
      <c r="J1448">
        <v>3420841.7960000001</v>
      </c>
      <c r="K1448">
        <v>7090784.9079999998</v>
      </c>
      <c r="L1448">
        <v>66576.627999999997</v>
      </c>
      <c r="M1448">
        <v>0</v>
      </c>
      <c r="T1448" s="9">
        <v>45108</v>
      </c>
      <c r="U1448" s="9">
        <v>45473</v>
      </c>
      <c r="V1448">
        <f>SUM(POTABLE_NONPOTABLE_API[[#This Row],[RESIDENTIAL_SINGLEFAMILY_GAL]:[OTHER_GAL]])</f>
        <v>237203548.93999997</v>
      </c>
      <c r="W1448">
        <f>SUM(POTABLE_NONPOTABLE_API[[#This Row],[NONPOTABLE_DEMAND_RESIDENTIAL_RECYCLED_WATER_GAL]:[NONPOTABLE_DEMAND_NONRESIDENTIAL_METERED_IRRIGATION_GAL]])</f>
        <v>0</v>
      </c>
      <c r="X1448" t="str">
        <f>IFERROR(INDEX(Crosswalk_API!$H$2:$H$527, MATCH(POTABLE_NONPOTABLE_API[[#This Row],[PWSID]], CW_PWSID_LIST, 0)), "")</f>
        <v>No</v>
      </c>
    </row>
    <row r="1449" spans="1:24" x14ac:dyDescent="0.25">
      <c r="A1449" t="s">
        <v>1113</v>
      </c>
      <c r="B1449" t="s">
        <v>1114</v>
      </c>
      <c r="C1449" t="s">
        <v>1115</v>
      </c>
      <c r="D1449" t="s">
        <v>1116</v>
      </c>
      <c r="E1449" s="9">
        <v>45323</v>
      </c>
      <c r="F1449" s="9">
        <v>45351</v>
      </c>
      <c r="G1449">
        <v>100871071.94</v>
      </c>
      <c r="H1449">
        <v>24011721.148000002</v>
      </c>
      <c r="I1449">
        <v>11518504.696</v>
      </c>
      <c r="J1449">
        <v>1532010.496</v>
      </c>
      <c r="K1449">
        <v>3375210.6240000003</v>
      </c>
      <c r="L1449">
        <v>89766.24</v>
      </c>
      <c r="M1449">
        <v>0</v>
      </c>
      <c r="T1449" s="9">
        <v>45108</v>
      </c>
      <c r="U1449" s="9">
        <v>45473</v>
      </c>
      <c r="V1449">
        <f>SUM(POTABLE_NONPOTABLE_API[[#This Row],[RESIDENTIAL_SINGLEFAMILY_GAL]:[OTHER_GAL]])</f>
        <v>141398285.14400002</v>
      </c>
      <c r="W1449">
        <f>SUM(POTABLE_NONPOTABLE_API[[#This Row],[NONPOTABLE_DEMAND_RESIDENTIAL_RECYCLED_WATER_GAL]:[NONPOTABLE_DEMAND_NONRESIDENTIAL_METERED_IRRIGATION_GAL]])</f>
        <v>0</v>
      </c>
      <c r="X1449" t="str">
        <f>IFERROR(INDEX(Crosswalk_API!$H$2:$H$527, MATCH(POTABLE_NONPOTABLE_API[[#This Row],[PWSID]], CW_PWSID_LIST, 0)), "")</f>
        <v>No</v>
      </c>
    </row>
    <row r="1450" spans="1:24" x14ac:dyDescent="0.25">
      <c r="A1450" t="s">
        <v>1113</v>
      </c>
      <c r="B1450" t="s">
        <v>1114</v>
      </c>
      <c r="C1450" t="s">
        <v>1115</v>
      </c>
      <c r="D1450" t="s">
        <v>1116</v>
      </c>
      <c r="E1450" s="9">
        <v>45352</v>
      </c>
      <c r="F1450" s="9">
        <v>45382</v>
      </c>
      <c r="G1450">
        <v>57594767.636</v>
      </c>
      <c r="H1450">
        <v>36394973.956</v>
      </c>
      <c r="I1450">
        <v>11751896.92</v>
      </c>
      <c r="J1450">
        <v>936561.10400000005</v>
      </c>
      <c r="K1450">
        <v>3508363.88</v>
      </c>
      <c r="L1450">
        <v>64332.472000000002</v>
      </c>
      <c r="M1450">
        <v>0</v>
      </c>
      <c r="T1450" s="9">
        <v>45108</v>
      </c>
      <c r="U1450" s="9">
        <v>45473</v>
      </c>
      <c r="V1450">
        <f>SUM(POTABLE_NONPOTABLE_API[[#This Row],[RESIDENTIAL_SINGLEFAMILY_GAL]:[OTHER_GAL]])</f>
        <v>110250895.96800001</v>
      </c>
      <c r="W1450">
        <f>SUM(POTABLE_NONPOTABLE_API[[#This Row],[NONPOTABLE_DEMAND_RESIDENTIAL_RECYCLED_WATER_GAL]:[NONPOTABLE_DEMAND_NONRESIDENTIAL_METERED_IRRIGATION_GAL]])</f>
        <v>0</v>
      </c>
      <c r="X1450" t="str">
        <f>IFERROR(INDEX(Crosswalk_API!$H$2:$H$527, MATCH(POTABLE_NONPOTABLE_API[[#This Row],[PWSID]], CW_PWSID_LIST, 0)), "")</f>
        <v>No</v>
      </c>
    </row>
    <row r="1451" spans="1:24" x14ac:dyDescent="0.25">
      <c r="A1451" t="s">
        <v>1113</v>
      </c>
      <c r="B1451" t="s">
        <v>1114</v>
      </c>
      <c r="C1451" t="s">
        <v>1115</v>
      </c>
      <c r="D1451" t="s">
        <v>1116</v>
      </c>
      <c r="E1451" s="9">
        <v>45383</v>
      </c>
      <c r="F1451" s="9">
        <v>45412</v>
      </c>
      <c r="G1451">
        <v>124817712.56400001</v>
      </c>
      <c r="H1451">
        <v>52439941.304000005</v>
      </c>
      <c r="I1451">
        <v>19289268.872000001</v>
      </c>
      <c r="J1451">
        <v>3738763.8960000002</v>
      </c>
      <c r="K1451">
        <v>3595137.912</v>
      </c>
      <c r="L1451">
        <v>197485.728</v>
      </c>
      <c r="M1451">
        <v>0</v>
      </c>
      <c r="T1451" s="9">
        <v>45108</v>
      </c>
      <c r="U1451" s="9">
        <v>45473</v>
      </c>
      <c r="V1451">
        <f>SUM(POTABLE_NONPOTABLE_API[[#This Row],[RESIDENTIAL_SINGLEFAMILY_GAL]:[OTHER_GAL]])</f>
        <v>204078310.27600002</v>
      </c>
      <c r="W1451">
        <f>SUM(POTABLE_NONPOTABLE_API[[#This Row],[NONPOTABLE_DEMAND_RESIDENTIAL_RECYCLED_WATER_GAL]:[NONPOTABLE_DEMAND_NONRESIDENTIAL_METERED_IRRIGATION_GAL]])</f>
        <v>0</v>
      </c>
      <c r="X1451" t="str">
        <f>IFERROR(INDEX(Crosswalk_API!$H$2:$H$527, MATCH(POTABLE_NONPOTABLE_API[[#This Row],[PWSID]], CW_PWSID_LIST, 0)), "")</f>
        <v>No</v>
      </c>
    </row>
    <row r="1452" spans="1:24" x14ac:dyDescent="0.25">
      <c r="A1452" t="s">
        <v>1113</v>
      </c>
      <c r="B1452" t="s">
        <v>1114</v>
      </c>
      <c r="C1452" t="s">
        <v>1115</v>
      </c>
      <c r="D1452" t="s">
        <v>1116</v>
      </c>
      <c r="E1452" s="9">
        <v>45413</v>
      </c>
      <c r="F1452" s="9">
        <v>45443</v>
      </c>
      <c r="G1452">
        <v>104058521.51200001</v>
      </c>
      <c r="H1452">
        <v>45431442.116000004</v>
      </c>
      <c r="I1452">
        <v>15044821.824000001</v>
      </c>
      <c r="J1452">
        <v>5195221.1400000006</v>
      </c>
      <c r="K1452">
        <v>10075512.388</v>
      </c>
      <c r="L1452">
        <v>97994.812000000005</v>
      </c>
      <c r="M1452">
        <v>0</v>
      </c>
      <c r="T1452" s="9">
        <v>45108</v>
      </c>
      <c r="U1452" s="9">
        <v>45473</v>
      </c>
      <c r="V1452">
        <f>SUM(POTABLE_NONPOTABLE_API[[#This Row],[RESIDENTIAL_SINGLEFAMILY_GAL]:[OTHER_GAL]])</f>
        <v>179903513.79200003</v>
      </c>
      <c r="W1452">
        <f>SUM(POTABLE_NONPOTABLE_API[[#This Row],[NONPOTABLE_DEMAND_RESIDENTIAL_RECYCLED_WATER_GAL]:[NONPOTABLE_DEMAND_NONRESIDENTIAL_METERED_IRRIGATION_GAL]])</f>
        <v>0</v>
      </c>
      <c r="X1452" t="str">
        <f>IFERROR(INDEX(Crosswalk_API!$H$2:$H$527, MATCH(POTABLE_NONPOTABLE_API[[#This Row],[PWSID]], CW_PWSID_LIST, 0)), "")</f>
        <v>No</v>
      </c>
    </row>
    <row r="1453" spans="1:24" x14ac:dyDescent="0.25">
      <c r="A1453" t="s">
        <v>1113</v>
      </c>
      <c r="B1453" t="s">
        <v>1114</v>
      </c>
      <c r="C1453" t="s">
        <v>1115</v>
      </c>
      <c r="D1453" t="s">
        <v>1116</v>
      </c>
      <c r="E1453" s="9">
        <v>45444</v>
      </c>
      <c r="F1453" s="9">
        <v>45473</v>
      </c>
      <c r="G1453">
        <v>230664826.40799999</v>
      </c>
      <c r="H1453">
        <v>58406404.056000002</v>
      </c>
      <c r="I1453">
        <v>29022921.495999999</v>
      </c>
      <c r="J1453">
        <v>15450266.008000001</v>
      </c>
      <c r="K1453">
        <v>5005215.932</v>
      </c>
      <c r="L1453">
        <v>1017350.72</v>
      </c>
      <c r="M1453">
        <v>0</v>
      </c>
      <c r="T1453" s="9">
        <v>45108</v>
      </c>
      <c r="U1453" s="9">
        <v>45473</v>
      </c>
      <c r="V1453">
        <f>SUM(POTABLE_NONPOTABLE_API[[#This Row],[RESIDENTIAL_SINGLEFAMILY_GAL]:[OTHER_GAL]])</f>
        <v>339566984.62</v>
      </c>
      <c r="W1453">
        <f>SUM(POTABLE_NONPOTABLE_API[[#This Row],[NONPOTABLE_DEMAND_RESIDENTIAL_RECYCLED_WATER_GAL]:[NONPOTABLE_DEMAND_NONRESIDENTIAL_METERED_IRRIGATION_GAL]])</f>
        <v>0</v>
      </c>
      <c r="X1453" t="str">
        <f>IFERROR(INDEX(Crosswalk_API!$H$2:$H$527, MATCH(POTABLE_NONPOTABLE_API[[#This Row],[PWSID]], CW_PWSID_LIST, 0)), "")</f>
        <v>No</v>
      </c>
    </row>
    <row r="1454" spans="1:24" x14ac:dyDescent="0.25">
      <c r="A1454" t="s">
        <v>771</v>
      </c>
      <c r="B1454" t="s">
        <v>772</v>
      </c>
      <c r="C1454" t="s">
        <v>773</v>
      </c>
      <c r="D1454" t="s">
        <v>774</v>
      </c>
      <c r="E1454" s="9">
        <v>45108</v>
      </c>
      <c r="F1454" s="9">
        <v>45138</v>
      </c>
      <c r="G1454">
        <v>81394782</v>
      </c>
      <c r="H1454">
        <v>18044210</v>
      </c>
      <c r="I1454">
        <v>27761311</v>
      </c>
      <c r="J1454">
        <v>11714576</v>
      </c>
      <c r="K1454">
        <v>0</v>
      </c>
      <c r="L1454">
        <v>0</v>
      </c>
      <c r="M1454">
        <v>0</v>
      </c>
      <c r="T1454" s="9">
        <v>45108</v>
      </c>
      <c r="U1454" s="9">
        <v>45473</v>
      </c>
      <c r="V1454">
        <f>SUM(POTABLE_NONPOTABLE_API[[#This Row],[RESIDENTIAL_SINGLEFAMILY_GAL]:[OTHER_GAL]])</f>
        <v>138914879</v>
      </c>
      <c r="W1454">
        <f>SUM(POTABLE_NONPOTABLE_API[[#This Row],[NONPOTABLE_DEMAND_RESIDENTIAL_RECYCLED_WATER_GAL]:[NONPOTABLE_DEMAND_NONRESIDENTIAL_METERED_IRRIGATION_GAL]])</f>
        <v>0</v>
      </c>
      <c r="X1454" t="str">
        <f>IFERROR(INDEX(Crosswalk_API!$H$2:$H$527, MATCH(POTABLE_NONPOTABLE_API[[#This Row],[PWSID]], CW_PWSID_LIST, 0)), "")</f>
        <v>No</v>
      </c>
    </row>
    <row r="1455" spans="1:24" x14ac:dyDescent="0.25">
      <c r="A1455" t="s">
        <v>771</v>
      </c>
      <c r="B1455" t="s">
        <v>772</v>
      </c>
      <c r="C1455" t="s">
        <v>773</v>
      </c>
      <c r="D1455" t="s">
        <v>774</v>
      </c>
      <c r="E1455" s="9">
        <v>45139</v>
      </c>
      <c r="F1455" s="9">
        <v>45169</v>
      </c>
      <c r="G1455">
        <v>77664576</v>
      </c>
      <c r="H1455">
        <v>21376458</v>
      </c>
      <c r="I1455">
        <v>28618496</v>
      </c>
      <c r="J1455">
        <v>13517077</v>
      </c>
      <c r="K1455">
        <v>0</v>
      </c>
      <c r="L1455">
        <v>0</v>
      </c>
      <c r="M1455">
        <v>0</v>
      </c>
      <c r="T1455" s="9">
        <v>45108</v>
      </c>
      <c r="U1455" s="9">
        <v>45473</v>
      </c>
      <c r="V1455">
        <f>SUM(POTABLE_NONPOTABLE_API[[#This Row],[RESIDENTIAL_SINGLEFAMILY_GAL]:[OTHER_GAL]])</f>
        <v>141176607</v>
      </c>
      <c r="W1455">
        <f>SUM(POTABLE_NONPOTABLE_API[[#This Row],[NONPOTABLE_DEMAND_RESIDENTIAL_RECYCLED_WATER_GAL]:[NONPOTABLE_DEMAND_NONRESIDENTIAL_METERED_IRRIGATION_GAL]])</f>
        <v>0</v>
      </c>
      <c r="X1455" t="str">
        <f>IFERROR(INDEX(Crosswalk_API!$H$2:$H$527, MATCH(POTABLE_NONPOTABLE_API[[#This Row],[PWSID]], CW_PWSID_LIST, 0)), "")</f>
        <v>No</v>
      </c>
    </row>
    <row r="1456" spans="1:24" x14ac:dyDescent="0.25">
      <c r="A1456" t="s">
        <v>771</v>
      </c>
      <c r="B1456" t="s">
        <v>772</v>
      </c>
      <c r="C1456" t="s">
        <v>773</v>
      </c>
      <c r="D1456" t="s">
        <v>774</v>
      </c>
      <c r="E1456" s="9">
        <v>45170</v>
      </c>
      <c r="F1456" s="9">
        <v>45199</v>
      </c>
      <c r="G1456">
        <v>66617985</v>
      </c>
      <c r="H1456">
        <v>15759045</v>
      </c>
      <c r="I1456">
        <v>25546212</v>
      </c>
      <c r="J1456">
        <v>9330659</v>
      </c>
      <c r="K1456">
        <v>0</v>
      </c>
      <c r="L1456">
        <v>0</v>
      </c>
      <c r="M1456">
        <v>0</v>
      </c>
      <c r="T1456" s="9">
        <v>45108</v>
      </c>
      <c r="U1456" s="9">
        <v>45473</v>
      </c>
      <c r="V1456">
        <f>SUM(POTABLE_NONPOTABLE_API[[#This Row],[RESIDENTIAL_SINGLEFAMILY_GAL]:[OTHER_GAL]])</f>
        <v>117253901</v>
      </c>
      <c r="W1456">
        <f>SUM(POTABLE_NONPOTABLE_API[[#This Row],[NONPOTABLE_DEMAND_RESIDENTIAL_RECYCLED_WATER_GAL]:[NONPOTABLE_DEMAND_NONRESIDENTIAL_METERED_IRRIGATION_GAL]])</f>
        <v>0</v>
      </c>
      <c r="X1456" t="str">
        <f>IFERROR(INDEX(Crosswalk_API!$H$2:$H$527, MATCH(POTABLE_NONPOTABLE_API[[#This Row],[PWSID]], CW_PWSID_LIST, 0)), "")</f>
        <v>No</v>
      </c>
    </row>
    <row r="1457" spans="1:24" x14ac:dyDescent="0.25">
      <c r="A1457" t="s">
        <v>771</v>
      </c>
      <c r="B1457" t="s">
        <v>772</v>
      </c>
      <c r="C1457" t="s">
        <v>773</v>
      </c>
      <c r="D1457" t="s">
        <v>774</v>
      </c>
      <c r="E1457" s="9">
        <v>45200</v>
      </c>
      <c r="F1457" s="9">
        <v>45230</v>
      </c>
      <c r="G1457">
        <v>67755831</v>
      </c>
      <c r="H1457">
        <v>10975510</v>
      </c>
      <c r="I1457">
        <v>11984842</v>
      </c>
      <c r="J1457">
        <v>7825040</v>
      </c>
      <c r="K1457">
        <v>0</v>
      </c>
      <c r="L1457">
        <v>0</v>
      </c>
      <c r="M1457">
        <v>0</v>
      </c>
      <c r="T1457" s="9">
        <v>45108</v>
      </c>
      <c r="U1457" s="9">
        <v>45473</v>
      </c>
      <c r="V1457">
        <f>SUM(POTABLE_NONPOTABLE_API[[#This Row],[RESIDENTIAL_SINGLEFAMILY_GAL]:[OTHER_GAL]])</f>
        <v>98541223</v>
      </c>
      <c r="W1457">
        <f>SUM(POTABLE_NONPOTABLE_API[[#This Row],[NONPOTABLE_DEMAND_RESIDENTIAL_RECYCLED_WATER_GAL]:[NONPOTABLE_DEMAND_NONRESIDENTIAL_METERED_IRRIGATION_GAL]])</f>
        <v>0</v>
      </c>
      <c r="X1457" t="str">
        <f>IFERROR(INDEX(Crosswalk_API!$H$2:$H$527, MATCH(POTABLE_NONPOTABLE_API[[#This Row],[PWSID]], CW_PWSID_LIST, 0)), "")</f>
        <v>No</v>
      </c>
    </row>
    <row r="1458" spans="1:24" x14ac:dyDescent="0.25">
      <c r="A1458" t="s">
        <v>771</v>
      </c>
      <c r="B1458" t="s">
        <v>772</v>
      </c>
      <c r="C1458" t="s">
        <v>773</v>
      </c>
      <c r="D1458" t="s">
        <v>774</v>
      </c>
      <c r="E1458" s="9">
        <v>45231</v>
      </c>
      <c r="F1458" s="9">
        <v>45260</v>
      </c>
      <c r="G1458">
        <v>44553151</v>
      </c>
      <c r="H1458">
        <v>7739169</v>
      </c>
      <c r="I1458">
        <v>15972622</v>
      </c>
      <c r="J1458">
        <v>5799781</v>
      </c>
      <c r="K1458">
        <v>0</v>
      </c>
      <c r="L1458">
        <v>0</v>
      </c>
      <c r="M1458">
        <v>0</v>
      </c>
      <c r="T1458" s="9">
        <v>45108</v>
      </c>
      <c r="U1458" s="9">
        <v>45473</v>
      </c>
      <c r="V1458">
        <f>SUM(POTABLE_NONPOTABLE_API[[#This Row],[RESIDENTIAL_SINGLEFAMILY_GAL]:[OTHER_GAL]])</f>
        <v>74064723</v>
      </c>
      <c r="W1458">
        <f>SUM(POTABLE_NONPOTABLE_API[[#This Row],[NONPOTABLE_DEMAND_RESIDENTIAL_RECYCLED_WATER_GAL]:[NONPOTABLE_DEMAND_NONRESIDENTIAL_METERED_IRRIGATION_GAL]])</f>
        <v>0</v>
      </c>
      <c r="X1458" t="str">
        <f>IFERROR(INDEX(Crosswalk_API!$H$2:$H$527, MATCH(POTABLE_NONPOTABLE_API[[#This Row],[PWSID]], CW_PWSID_LIST, 0)), "")</f>
        <v>No</v>
      </c>
    </row>
    <row r="1459" spans="1:24" x14ac:dyDescent="0.25">
      <c r="A1459" t="s">
        <v>771</v>
      </c>
      <c r="B1459" t="s">
        <v>772</v>
      </c>
      <c r="C1459" t="s">
        <v>773</v>
      </c>
      <c r="D1459" t="s">
        <v>774</v>
      </c>
      <c r="E1459" s="9">
        <v>45261</v>
      </c>
      <c r="F1459" s="9">
        <v>45291</v>
      </c>
      <c r="G1459">
        <v>35391085</v>
      </c>
      <c r="H1459">
        <v>7247986</v>
      </c>
      <c r="I1459">
        <v>12876512</v>
      </c>
      <c r="J1459">
        <v>1369758</v>
      </c>
      <c r="K1459">
        <v>0</v>
      </c>
      <c r="L1459">
        <v>0</v>
      </c>
      <c r="M1459">
        <v>0</v>
      </c>
      <c r="T1459" s="9">
        <v>45108</v>
      </c>
      <c r="U1459" s="9">
        <v>45473</v>
      </c>
      <c r="V1459">
        <f>SUM(POTABLE_NONPOTABLE_API[[#This Row],[RESIDENTIAL_SINGLEFAMILY_GAL]:[OTHER_GAL]])</f>
        <v>56885341</v>
      </c>
      <c r="W1459">
        <f>SUM(POTABLE_NONPOTABLE_API[[#This Row],[NONPOTABLE_DEMAND_RESIDENTIAL_RECYCLED_WATER_GAL]:[NONPOTABLE_DEMAND_NONRESIDENTIAL_METERED_IRRIGATION_GAL]])</f>
        <v>0</v>
      </c>
      <c r="X1459" t="str">
        <f>IFERROR(INDEX(Crosswalk_API!$H$2:$H$527, MATCH(POTABLE_NONPOTABLE_API[[#This Row],[PWSID]], CW_PWSID_LIST, 0)), "")</f>
        <v>No</v>
      </c>
    </row>
    <row r="1460" spans="1:24" x14ac:dyDescent="0.25">
      <c r="A1460" t="s">
        <v>771</v>
      </c>
      <c r="B1460" t="s">
        <v>772</v>
      </c>
      <c r="C1460" t="s">
        <v>773</v>
      </c>
      <c r="D1460" t="s">
        <v>774</v>
      </c>
      <c r="E1460" s="9">
        <v>45292</v>
      </c>
      <c r="F1460" s="9">
        <v>45322</v>
      </c>
      <c r="G1460">
        <v>48367686</v>
      </c>
      <c r="H1460">
        <v>8029859</v>
      </c>
      <c r="I1460">
        <v>11544931</v>
      </c>
      <c r="J1460">
        <v>1297686</v>
      </c>
      <c r="K1460">
        <v>0</v>
      </c>
      <c r="L1460">
        <v>0</v>
      </c>
      <c r="M1460">
        <v>0</v>
      </c>
      <c r="T1460" s="9">
        <v>45108</v>
      </c>
      <c r="U1460" s="9">
        <v>45473</v>
      </c>
      <c r="V1460">
        <f>SUM(POTABLE_NONPOTABLE_API[[#This Row],[RESIDENTIAL_SINGLEFAMILY_GAL]:[OTHER_GAL]])</f>
        <v>69240162</v>
      </c>
      <c r="W1460">
        <f>SUM(POTABLE_NONPOTABLE_API[[#This Row],[NONPOTABLE_DEMAND_RESIDENTIAL_RECYCLED_WATER_GAL]:[NONPOTABLE_DEMAND_NONRESIDENTIAL_METERED_IRRIGATION_GAL]])</f>
        <v>0</v>
      </c>
      <c r="X1460" t="str">
        <f>IFERROR(INDEX(Crosswalk_API!$H$2:$H$527, MATCH(POTABLE_NONPOTABLE_API[[#This Row],[PWSID]], CW_PWSID_LIST, 0)), "")</f>
        <v>No</v>
      </c>
    </row>
    <row r="1461" spans="1:24" x14ac:dyDescent="0.25">
      <c r="A1461" t="s">
        <v>771</v>
      </c>
      <c r="B1461" t="s">
        <v>772</v>
      </c>
      <c r="C1461" t="s">
        <v>773</v>
      </c>
      <c r="D1461" t="s">
        <v>774</v>
      </c>
      <c r="E1461" s="9">
        <v>45323</v>
      </c>
      <c r="F1461" s="9">
        <v>45351</v>
      </c>
      <c r="G1461">
        <v>27182591</v>
      </c>
      <c r="H1461">
        <v>6661999</v>
      </c>
      <c r="I1461">
        <v>9300178</v>
      </c>
      <c r="J1461">
        <v>1205195</v>
      </c>
      <c r="K1461">
        <v>0</v>
      </c>
      <c r="L1461">
        <v>0</v>
      </c>
      <c r="M1461">
        <v>0</v>
      </c>
      <c r="T1461" s="9">
        <v>45108</v>
      </c>
      <c r="U1461" s="9">
        <v>45473</v>
      </c>
      <c r="V1461">
        <f>SUM(POTABLE_NONPOTABLE_API[[#This Row],[RESIDENTIAL_SINGLEFAMILY_GAL]:[OTHER_GAL]])</f>
        <v>44349963</v>
      </c>
      <c r="W1461">
        <f>SUM(POTABLE_NONPOTABLE_API[[#This Row],[NONPOTABLE_DEMAND_RESIDENTIAL_RECYCLED_WATER_GAL]:[NONPOTABLE_DEMAND_NONRESIDENTIAL_METERED_IRRIGATION_GAL]])</f>
        <v>0</v>
      </c>
      <c r="X1461" t="str">
        <f>IFERROR(INDEX(Crosswalk_API!$H$2:$H$527, MATCH(POTABLE_NONPOTABLE_API[[#This Row],[PWSID]], CW_PWSID_LIST, 0)), "")</f>
        <v>No</v>
      </c>
    </row>
    <row r="1462" spans="1:24" x14ac:dyDescent="0.25">
      <c r="A1462" t="s">
        <v>771</v>
      </c>
      <c r="B1462" t="s">
        <v>772</v>
      </c>
      <c r="C1462" t="s">
        <v>773</v>
      </c>
      <c r="D1462" t="s">
        <v>774</v>
      </c>
      <c r="E1462" s="9">
        <v>45352</v>
      </c>
      <c r="F1462" s="9">
        <v>45382</v>
      </c>
      <c r="G1462">
        <v>35649414</v>
      </c>
      <c r="H1462">
        <v>6697138</v>
      </c>
      <c r="I1462">
        <v>11927302</v>
      </c>
      <c r="J1462">
        <v>777788</v>
      </c>
      <c r="K1462">
        <v>0</v>
      </c>
      <c r="L1462">
        <v>0</v>
      </c>
      <c r="M1462">
        <v>0</v>
      </c>
      <c r="T1462" s="9">
        <v>45108</v>
      </c>
      <c r="U1462" s="9">
        <v>45473</v>
      </c>
      <c r="V1462">
        <f>SUM(POTABLE_NONPOTABLE_API[[#This Row],[RESIDENTIAL_SINGLEFAMILY_GAL]:[OTHER_GAL]])</f>
        <v>55051642</v>
      </c>
      <c r="W1462">
        <f>SUM(POTABLE_NONPOTABLE_API[[#This Row],[NONPOTABLE_DEMAND_RESIDENTIAL_RECYCLED_WATER_GAL]:[NONPOTABLE_DEMAND_NONRESIDENTIAL_METERED_IRRIGATION_GAL]])</f>
        <v>0</v>
      </c>
      <c r="X1462" t="str">
        <f>IFERROR(INDEX(Crosswalk_API!$H$2:$H$527, MATCH(POTABLE_NONPOTABLE_API[[#This Row],[PWSID]], CW_PWSID_LIST, 0)), "")</f>
        <v>No</v>
      </c>
    </row>
    <row r="1463" spans="1:24" x14ac:dyDescent="0.25">
      <c r="A1463" t="s">
        <v>771</v>
      </c>
      <c r="B1463" t="s">
        <v>772</v>
      </c>
      <c r="C1463" t="s">
        <v>773</v>
      </c>
      <c r="D1463" t="s">
        <v>774</v>
      </c>
      <c r="E1463" s="9">
        <v>45383</v>
      </c>
      <c r="F1463" s="9">
        <v>45412</v>
      </c>
      <c r="G1463">
        <v>45144962</v>
      </c>
      <c r="H1463">
        <v>2414372</v>
      </c>
      <c r="I1463">
        <v>24325908</v>
      </c>
      <c r="J1463">
        <v>1171507</v>
      </c>
      <c r="K1463">
        <v>0</v>
      </c>
      <c r="L1463">
        <v>0</v>
      </c>
      <c r="M1463">
        <v>0</v>
      </c>
      <c r="T1463" s="9">
        <v>45108</v>
      </c>
      <c r="U1463" s="9">
        <v>45473</v>
      </c>
      <c r="V1463">
        <f>SUM(POTABLE_NONPOTABLE_API[[#This Row],[RESIDENTIAL_SINGLEFAMILY_GAL]:[OTHER_GAL]])</f>
        <v>73056749</v>
      </c>
      <c r="W1463">
        <f>SUM(POTABLE_NONPOTABLE_API[[#This Row],[NONPOTABLE_DEMAND_RESIDENTIAL_RECYCLED_WATER_GAL]:[NONPOTABLE_DEMAND_NONRESIDENTIAL_METERED_IRRIGATION_GAL]])</f>
        <v>0</v>
      </c>
      <c r="X1463" t="str">
        <f>IFERROR(INDEX(Crosswalk_API!$H$2:$H$527, MATCH(POTABLE_NONPOTABLE_API[[#This Row],[PWSID]], CW_PWSID_LIST, 0)), "")</f>
        <v>No</v>
      </c>
    </row>
    <row r="1464" spans="1:24" x14ac:dyDescent="0.25">
      <c r="A1464" t="s">
        <v>771</v>
      </c>
      <c r="B1464" t="s">
        <v>772</v>
      </c>
      <c r="C1464" t="s">
        <v>773</v>
      </c>
      <c r="D1464" t="s">
        <v>774</v>
      </c>
      <c r="E1464" s="9">
        <v>45413</v>
      </c>
      <c r="F1464" s="9">
        <v>45443</v>
      </c>
      <c r="G1464">
        <v>70046153</v>
      </c>
      <c r="H1464">
        <v>15062622</v>
      </c>
      <c r="I1464">
        <v>69528720</v>
      </c>
      <c r="J1464">
        <v>7210433</v>
      </c>
      <c r="K1464">
        <v>0</v>
      </c>
      <c r="L1464">
        <v>0</v>
      </c>
      <c r="M1464">
        <v>0</v>
      </c>
      <c r="T1464" s="9">
        <v>45108</v>
      </c>
      <c r="U1464" s="9">
        <v>45473</v>
      </c>
      <c r="V1464">
        <f>SUM(POTABLE_NONPOTABLE_API[[#This Row],[RESIDENTIAL_SINGLEFAMILY_GAL]:[OTHER_GAL]])</f>
        <v>161847928</v>
      </c>
      <c r="W1464">
        <f>SUM(POTABLE_NONPOTABLE_API[[#This Row],[NONPOTABLE_DEMAND_RESIDENTIAL_RECYCLED_WATER_GAL]:[NONPOTABLE_DEMAND_NONRESIDENTIAL_METERED_IRRIGATION_GAL]])</f>
        <v>0</v>
      </c>
      <c r="X1464" t="str">
        <f>IFERROR(INDEX(Crosswalk_API!$H$2:$H$527, MATCH(POTABLE_NONPOTABLE_API[[#This Row],[PWSID]], CW_PWSID_LIST, 0)), "")</f>
        <v>No</v>
      </c>
    </row>
    <row r="1465" spans="1:24" x14ac:dyDescent="0.25">
      <c r="A1465" t="s">
        <v>771</v>
      </c>
      <c r="B1465" t="s">
        <v>772</v>
      </c>
      <c r="C1465" t="s">
        <v>773</v>
      </c>
      <c r="D1465" t="s">
        <v>774</v>
      </c>
      <c r="E1465" s="9">
        <v>45444</v>
      </c>
      <c r="F1465" s="9">
        <v>45473</v>
      </c>
      <c r="G1465">
        <v>87737549</v>
      </c>
      <c r="H1465">
        <v>20316730</v>
      </c>
      <c r="I1465">
        <v>27665696</v>
      </c>
      <c r="J1465">
        <v>9528605</v>
      </c>
      <c r="K1465">
        <v>0</v>
      </c>
      <c r="L1465">
        <v>0</v>
      </c>
      <c r="M1465">
        <v>0</v>
      </c>
      <c r="T1465" s="9">
        <v>45108</v>
      </c>
      <c r="U1465" s="9">
        <v>45473</v>
      </c>
      <c r="V1465">
        <f>SUM(POTABLE_NONPOTABLE_API[[#This Row],[RESIDENTIAL_SINGLEFAMILY_GAL]:[OTHER_GAL]])</f>
        <v>145248580</v>
      </c>
      <c r="W1465">
        <f>SUM(POTABLE_NONPOTABLE_API[[#This Row],[NONPOTABLE_DEMAND_RESIDENTIAL_RECYCLED_WATER_GAL]:[NONPOTABLE_DEMAND_NONRESIDENTIAL_METERED_IRRIGATION_GAL]])</f>
        <v>0</v>
      </c>
      <c r="X1465" t="str">
        <f>IFERROR(INDEX(Crosswalk_API!$H$2:$H$527, MATCH(POTABLE_NONPOTABLE_API[[#This Row],[PWSID]], CW_PWSID_LIST, 0)), "")</f>
        <v>No</v>
      </c>
    </row>
    <row r="1466" spans="1:24" x14ac:dyDescent="0.25">
      <c r="A1466" t="s">
        <v>1603</v>
      </c>
      <c r="B1466" t="s">
        <v>1604</v>
      </c>
      <c r="C1466" t="s">
        <v>1605</v>
      </c>
      <c r="D1466" t="s">
        <v>1606</v>
      </c>
      <c r="E1466" s="9">
        <v>45108</v>
      </c>
      <c r="F1466" s="9">
        <v>45138</v>
      </c>
      <c r="G1466">
        <v>40571708.010000005</v>
      </c>
      <c r="H1466">
        <v>8139757.9800000004</v>
      </c>
      <c r="I1466">
        <v>24569165.400000002</v>
      </c>
      <c r="J1466">
        <v>371470.13999999996</v>
      </c>
      <c r="K1466">
        <v>12571331.58</v>
      </c>
      <c r="L1466">
        <v>0</v>
      </c>
      <c r="M1466">
        <v>0</v>
      </c>
      <c r="T1466" s="9">
        <v>45108</v>
      </c>
      <c r="U1466" s="9">
        <v>45473</v>
      </c>
      <c r="V1466">
        <f>SUM(POTABLE_NONPOTABLE_API[[#This Row],[RESIDENTIAL_SINGLEFAMILY_GAL]:[OTHER_GAL]])</f>
        <v>86223433.110000014</v>
      </c>
      <c r="W1466">
        <f>SUM(POTABLE_NONPOTABLE_API[[#This Row],[NONPOTABLE_DEMAND_RESIDENTIAL_RECYCLED_WATER_GAL]:[NONPOTABLE_DEMAND_NONRESIDENTIAL_METERED_IRRIGATION_GAL]])</f>
        <v>0</v>
      </c>
      <c r="X1466" t="str">
        <f>IFERROR(INDEX(Crosswalk_API!$H$2:$H$527, MATCH(POTABLE_NONPOTABLE_API[[#This Row],[PWSID]], CW_PWSID_LIST, 0)), "")</f>
        <v>No</v>
      </c>
    </row>
    <row r="1467" spans="1:24" x14ac:dyDescent="0.25">
      <c r="A1467" t="s">
        <v>1603</v>
      </c>
      <c r="B1467" t="s">
        <v>1604</v>
      </c>
      <c r="C1467" t="s">
        <v>1605</v>
      </c>
      <c r="D1467" t="s">
        <v>1606</v>
      </c>
      <c r="E1467" s="9">
        <v>45139</v>
      </c>
      <c r="F1467" s="9">
        <v>45169</v>
      </c>
      <c r="G1467">
        <v>38398281.840000004</v>
      </c>
      <c r="H1467">
        <v>7980090.9899999993</v>
      </c>
      <c r="I1467">
        <v>19277345.16</v>
      </c>
      <c r="J1467">
        <v>273714.83999999997</v>
      </c>
      <c r="K1467">
        <v>6373645.5599999996</v>
      </c>
      <c r="L1467">
        <v>0</v>
      </c>
      <c r="M1467">
        <v>0</v>
      </c>
      <c r="T1467" s="9">
        <v>45108</v>
      </c>
      <c r="U1467" s="9">
        <v>45473</v>
      </c>
      <c r="V1467">
        <f>SUM(POTABLE_NONPOTABLE_API[[#This Row],[RESIDENTIAL_SINGLEFAMILY_GAL]:[OTHER_GAL]])</f>
        <v>72303078.390000015</v>
      </c>
      <c r="W1467">
        <f>SUM(POTABLE_NONPOTABLE_API[[#This Row],[NONPOTABLE_DEMAND_RESIDENTIAL_RECYCLED_WATER_GAL]:[NONPOTABLE_DEMAND_NONRESIDENTIAL_METERED_IRRIGATION_GAL]])</f>
        <v>0</v>
      </c>
      <c r="X1467" t="str">
        <f>IFERROR(INDEX(Crosswalk_API!$H$2:$H$527, MATCH(POTABLE_NONPOTABLE_API[[#This Row],[PWSID]], CW_PWSID_LIST, 0)), "")</f>
        <v>No</v>
      </c>
    </row>
    <row r="1468" spans="1:24" x14ac:dyDescent="0.25">
      <c r="A1468" t="s">
        <v>1603</v>
      </c>
      <c r="B1468" t="s">
        <v>1604</v>
      </c>
      <c r="C1468" t="s">
        <v>1605</v>
      </c>
      <c r="D1468" t="s">
        <v>1606</v>
      </c>
      <c r="E1468" s="9">
        <v>45170</v>
      </c>
      <c r="F1468" s="9">
        <v>45199</v>
      </c>
      <c r="G1468">
        <v>31428328.949999999</v>
      </c>
      <c r="H1468">
        <v>6024984.9899999993</v>
      </c>
      <c r="I1468">
        <v>20245122.630000003</v>
      </c>
      <c r="J1468">
        <v>329109.51</v>
      </c>
      <c r="K1468">
        <v>6484434.8999999994</v>
      </c>
      <c r="L1468">
        <v>0</v>
      </c>
      <c r="M1468">
        <v>0</v>
      </c>
      <c r="T1468" s="9">
        <v>45108</v>
      </c>
      <c r="U1468" s="9">
        <v>45473</v>
      </c>
      <c r="V1468">
        <f>SUM(POTABLE_NONPOTABLE_API[[#This Row],[RESIDENTIAL_SINGLEFAMILY_GAL]:[OTHER_GAL]])</f>
        <v>64511980.979999997</v>
      </c>
      <c r="W1468">
        <f>SUM(POTABLE_NONPOTABLE_API[[#This Row],[NONPOTABLE_DEMAND_RESIDENTIAL_RECYCLED_WATER_GAL]:[NONPOTABLE_DEMAND_NONRESIDENTIAL_METERED_IRRIGATION_GAL]])</f>
        <v>0</v>
      </c>
      <c r="X1468" t="str">
        <f>IFERROR(INDEX(Crosswalk_API!$H$2:$H$527, MATCH(POTABLE_NONPOTABLE_API[[#This Row],[PWSID]], CW_PWSID_LIST, 0)), "")</f>
        <v>No</v>
      </c>
    </row>
    <row r="1469" spans="1:24" x14ac:dyDescent="0.25">
      <c r="A1469" t="s">
        <v>1603</v>
      </c>
      <c r="B1469" t="s">
        <v>1604</v>
      </c>
      <c r="C1469" t="s">
        <v>1605</v>
      </c>
      <c r="D1469" t="s">
        <v>1606</v>
      </c>
      <c r="E1469" s="9">
        <v>45200</v>
      </c>
      <c r="F1469" s="9">
        <v>45230</v>
      </c>
      <c r="G1469">
        <v>29652441</v>
      </c>
      <c r="H1469">
        <v>6650618.9100000001</v>
      </c>
      <c r="I1469">
        <v>18091247.52</v>
      </c>
      <c r="J1469">
        <v>224837.18999999997</v>
      </c>
      <c r="K1469">
        <v>8074587.7800000003</v>
      </c>
      <c r="L1469">
        <v>0</v>
      </c>
      <c r="M1469">
        <v>0</v>
      </c>
      <c r="T1469" s="9">
        <v>45108</v>
      </c>
      <c r="U1469" s="9">
        <v>45473</v>
      </c>
      <c r="V1469">
        <f>SUM(POTABLE_NONPOTABLE_API[[#This Row],[RESIDENTIAL_SINGLEFAMILY_GAL]:[OTHER_GAL]])</f>
        <v>62693732.399999991</v>
      </c>
      <c r="W1469">
        <f>SUM(POTABLE_NONPOTABLE_API[[#This Row],[NONPOTABLE_DEMAND_RESIDENTIAL_RECYCLED_WATER_GAL]:[NONPOTABLE_DEMAND_NONRESIDENTIAL_METERED_IRRIGATION_GAL]])</f>
        <v>0</v>
      </c>
      <c r="X1469" t="str">
        <f>IFERROR(INDEX(Crosswalk_API!$H$2:$H$527, MATCH(POTABLE_NONPOTABLE_API[[#This Row],[PWSID]], CW_PWSID_LIST, 0)), "")</f>
        <v>No</v>
      </c>
    </row>
    <row r="1470" spans="1:24" x14ac:dyDescent="0.25">
      <c r="A1470" t="s">
        <v>1603</v>
      </c>
      <c r="B1470" t="s">
        <v>1604</v>
      </c>
      <c r="C1470" t="s">
        <v>1605</v>
      </c>
      <c r="D1470" t="s">
        <v>1606</v>
      </c>
      <c r="E1470" s="9">
        <v>45231</v>
      </c>
      <c r="F1470" s="9">
        <v>45260</v>
      </c>
      <c r="G1470">
        <v>26123474.670000002</v>
      </c>
      <c r="H1470">
        <v>5897903.1000000006</v>
      </c>
      <c r="I1470">
        <v>16615142.49</v>
      </c>
      <c r="J1470">
        <v>159666.99</v>
      </c>
      <c r="K1470">
        <v>9700584.2699999996</v>
      </c>
      <c r="L1470">
        <v>0</v>
      </c>
      <c r="M1470">
        <v>0</v>
      </c>
      <c r="T1470" s="9">
        <v>45108</v>
      </c>
      <c r="U1470" s="9">
        <v>45473</v>
      </c>
      <c r="V1470">
        <f>SUM(POTABLE_NONPOTABLE_API[[#This Row],[RESIDENTIAL_SINGLEFAMILY_GAL]:[OTHER_GAL]])</f>
        <v>58496771.520000011</v>
      </c>
      <c r="W1470">
        <f>SUM(POTABLE_NONPOTABLE_API[[#This Row],[NONPOTABLE_DEMAND_RESIDENTIAL_RECYCLED_WATER_GAL]:[NONPOTABLE_DEMAND_NONRESIDENTIAL_METERED_IRRIGATION_GAL]])</f>
        <v>0</v>
      </c>
      <c r="X1470" t="str">
        <f>IFERROR(INDEX(Crosswalk_API!$H$2:$H$527, MATCH(POTABLE_NONPOTABLE_API[[#This Row],[PWSID]], CW_PWSID_LIST, 0)), "")</f>
        <v>No</v>
      </c>
    </row>
    <row r="1471" spans="1:24" x14ac:dyDescent="0.25">
      <c r="A1471" t="s">
        <v>1603</v>
      </c>
      <c r="B1471" t="s">
        <v>1604</v>
      </c>
      <c r="C1471" t="s">
        <v>1605</v>
      </c>
      <c r="D1471" t="s">
        <v>1606</v>
      </c>
      <c r="E1471" s="9">
        <v>45261</v>
      </c>
      <c r="F1471" s="9">
        <v>45291</v>
      </c>
      <c r="G1471">
        <v>14011593</v>
      </c>
      <c r="H1471">
        <v>5213616</v>
      </c>
      <c r="I1471">
        <v>8749099.3499999996</v>
      </c>
      <c r="J1471">
        <v>156408.47999999998</v>
      </c>
      <c r="K1471">
        <v>7738961.25</v>
      </c>
      <c r="L1471">
        <v>0</v>
      </c>
      <c r="M1471">
        <v>0</v>
      </c>
      <c r="T1471" s="9">
        <v>45108</v>
      </c>
      <c r="U1471" s="9">
        <v>45473</v>
      </c>
      <c r="V1471">
        <f>SUM(POTABLE_NONPOTABLE_API[[#This Row],[RESIDENTIAL_SINGLEFAMILY_GAL]:[OTHER_GAL]])</f>
        <v>35869678.079999998</v>
      </c>
      <c r="W1471">
        <f>SUM(POTABLE_NONPOTABLE_API[[#This Row],[NONPOTABLE_DEMAND_RESIDENTIAL_RECYCLED_WATER_GAL]:[NONPOTABLE_DEMAND_NONRESIDENTIAL_METERED_IRRIGATION_GAL]])</f>
        <v>0</v>
      </c>
      <c r="X1471" t="str">
        <f>IFERROR(INDEX(Crosswalk_API!$H$2:$H$527, MATCH(POTABLE_NONPOTABLE_API[[#This Row],[PWSID]], CW_PWSID_LIST, 0)), "")</f>
        <v>No</v>
      </c>
    </row>
    <row r="1472" spans="1:24" x14ac:dyDescent="0.25">
      <c r="A1472" t="s">
        <v>1603</v>
      </c>
      <c r="B1472" t="s">
        <v>1604</v>
      </c>
      <c r="C1472" t="s">
        <v>1605</v>
      </c>
      <c r="D1472" t="s">
        <v>1606</v>
      </c>
      <c r="E1472" s="9">
        <v>45292</v>
      </c>
      <c r="F1472" s="9">
        <v>45322</v>
      </c>
      <c r="G1472">
        <v>16100297.909999998</v>
      </c>
      <c r="H1472">
        <v>4649893.7699999996</v>
      </c>
      <c r="I1472">
        <v>8824045.0800000001</v>
      </c>
      <c r="J1472">
        <v>136857.41999999998</v>
      </c>
      <c r="K1472">
        <v>11202757.380000001</v>
      </c>
      <c r="L1472">
        <v>0</v>
      </c>
      <c r="M1472">
        <v>0</v>
      </c>
      <c r="T1472" s="9">
        <v>45108</v>
      </c>
      <c r="U1472" s="9">
        <v>45473</v>
      </c>
      <c r="V1472">
        <f>SUM(POTABLE_NONPOTABLE_API[[#This Row],[RESIDENTIAL_SINGLEFAMILY_GAL]:[OTHER_GAL]])</f>
        <v>40913851.560000002</v>
      </c>
      <c r="W1472">
        <f>SUM(POTABLE_NONPOTABLE_API[[#This Row],[NONPOTABLE_DEMAND_RESIDENTIAL_RECYCLED_WATER_GAL]:[NONPOTABLE_DEMAND_NONRESIDENTIAL_METERED_IRRIGATION_GAL]])</f>
        <v>0</v>
      </c>
      <c r="X1472" t="str">
        <f>IFERROR(INDEX(Crosswalk_API!$H$2:$H$527, MATCH(POTABLE_NONPOTABLE_API[[#This Row],[PWSID]], CW_PWSID_LIST, 0)), "")</f>
        <v>No</v>
      </c>
    </row>
    <row r="1473" spans="1:24" x14ac:dyDescent="0.25">
      <c r="A1473" t="s">
        <v>1603</v>
      </c>
      <c r="B1473" t="s">
        <v>1604</v>
      </c>
      <c r="C1473" t="s">
        <v>1605</v>
      </c>
      <c r="D1473" t="s">
        <v>1606</v>
      </c>
      <c r="E1473" s="9">
        <v>45323</v>
      </c>
      <c r="F1473" s="9">
        <v>45351</v>
      </c>
      <c r="G1473">
        <v>14946785.369999999</v>
      </c>
      <c r="H1473">
        <v>3636497.16</v>
      </c>
      <c r="I1473">
        <v>5207098.9800000004</v>
      </c>
      <c r="J1473">
        <v>127081.89</v>
      </c>
      <c r="K1473">
        <v>15047799.18</v>
      </c>
      <c r="L1473">
        <v>0</v>
      </c>
      <c r="M1473">
        <v>0</v>
      </c>
      <c r="T1473" s="9">
        <v>45108</v>
      </c>
      <c r="U1473" s="9">
        <v>45473</v>
      </c>
      <c r="V1473">
        <f>SUM(POTABLE_NONPOTABLE_API[[#This Row],[RESIDENTIAL_SINGLEFAMILY_GAL]:[OTHER_GAL]])</f>
        <v>38965262.579999998</v>
      </c>
      <c r="W1473">
        <f>SUM(POTABLE_NONPOTABLE_API[[#This Row],[NONPOTABLE_DEMAND_RESIDENTIAL_RECYCLED_WATER_GAL]:[NONPOTABLE_DEMAND_NONRESIDENTIAL_METERED_IRRIGATION_GAL]])</f>
        <v>0</v>
      </c>
      <c r="X1473" t="str">
        <f>IFERROR(INDEX(Crosswalk_API!$H$2:$H$527, MATCH(POTABLE_NONPOTABLE_API[[#This Row],[PWSID]], CW_PWSID_LIST, 0)), "")</f>
        <v>No</v>
      </c>
    </row>
    <row r="1474" spans="1:24" x14ac:dyDescent="0.25">
      <c r="A1474" t="s">
        <v>1603</v>
      </c>
      <c r="B1474" t="s">
        <v>1604</v>
      </c>
      <c r="C1474" t="s">
        <v>1605</v>
      </c>
      <c r="D1474" t="s">
        <v>1606</v>
      </c>
      <c r="E1474" s="9">
        <v>45352</v>
      </c>
      <c r="F1474" s="9">
        <v>45382</v>
      </c>
      <c r="G1474">
        <v>14229913.17</v>
      </c>
      <c r="H1474">
        <v>4627084.2</v>
      </c>
      <c r="I1474">
        <v>8058295.2300000004</v>
      </c>
      <c r="J1474">
        <v>130340.40000000001</v>
      </c>
      <c r="K1474">
        <v>15047799.18</v>
      </c>
      <c r="L1474">
        <v>0</v>
      </c>
      <c r="M1474">
        <v>0</v>
      </c>
      <c r="T1474" s="9">
        <v>45108</v>
      </c>
      <c r="U1474" s="9">
        <v>45473</v>
      </c>
      <c r="V1474">
        <f>SUM(POTABLE_NONPOTABLE_API[[#This Row],[RESIDENTIAL_SINGLEFAMILY_GAL]:[OTHER_GAL]])</f>
        <v>42093432.18</v>
      </c>
      <c r="W1474">
        <f>SUM(POTABLE_NONPOTABLE_API[[#This Row],[NONPOTABLE_DEMAND_RESIDENTIAL_RECYCLED_WATER_GAL]:[NONPOTABLE_DEMAND_NONRESIDENTIAL_METERED_IRRIGATION_GAL]])</f>
        <v>0</v>
      </c>
      <c r="X1474" t="str">
        <f>IFERROR(INDEX(Crosswalk_API!$H$2:$H$527, MATCH(POTABLE_NONPOTABLE_API[[#This Row],[PWSID]], CW_PWSID_LIST, 0)), "")</f>
        <v>No</v>
      </c>
    </row>
    <row r="1475" spans="1:24" x14ac:dyDescent="0.25">
      <c r="A1475" t="s">
        <v>1603</v>
      </c>
      <c r="B1475" t="s">
        <v>1604</v>
      </c>
      <c r="C1475" t="s">
        <v>1605</v>
      </c>
      <c r="D1475" t="s">
        <v>1606</v>
      </c>
      <c r="E1475" s="9">
        <v>45383</v>
      </c>
      <c r="F1475" s="9">
        <v>45412</v>
      </c>
      <c r="G1475">
        <v>19388134.5</v>
      </c>
      <c r="H1475">
        <v>4656410.79</v>
      </c>
      <c r="I1475">
        <v>6161842.4100000001</v>
      </c>
      <c r="J1475">
        <v>179218.05000000002</v>
      </c>
      <c r="K1475">
        <v>21023906.52</v>
      </c>
      <c r="L1475">
        <v>0</v>
      </c>
      <c r="M1475">
        <v>0</v>
      </c>
      <c r="T1475" s="9">
        <v>45108</v>
      </c>
      <c r="U1475" s="9">
        <v>45473</v>
      </c>
      <c r="V1475">
        <f>SUM(POTABLE_NONPOTABLE_API[[#This Row],[RESIDENTIAL_SINGLEFAMILY_GAL]:[OTHER_GAL]])</f>
        <v>51409512.269999996</v>
      </c>
      <c r="W1475">
        <f>SUM(POTABLE_NONPOTABLE_API[[#This Row],[NONPOTABLE_DEMAND_RESIDENTIAL_RECYCLED_WATER_GAL]:[NONPOTABLE_DEMAND_NONRESIDENTIAL_METERED_IRRIGATION_GAL]])</f>
        <v>0</v>
      </c>
      <c r="X1475" t="str">
        <f>IFERROR(INDEX(Crosswalk_API!$H$2:$H$527, MATCH(POTABLE_NONPOTABLE_API[[#This Row],[PWSID]], CW_PWSID_LIST, 0)), "")</f>
        <v>No</v>
      </c>
    </row>
    <row r="1476" spans="1:24" x14ac:dyDescent="0.25">
      <c r="A1476" t="s">
        <v>1603</v>
      </c>
      <c r="B1476" t="s">
        <v>1604</v>
      </c>
      <c r="C1476" t="s">
        <v>1605</v>
      </c>
      <c r="D1476" t="s">
        <v>1606</v>
      </c>
      <c r="E1476" s="9">
        <v>45413</v>
      </c>
      <c r="F1476" s="9">
        <v>45443</v>
      </c>
      <c r="G1476">
        <v>18817895.25</v>
      </c>
      <c r="H1476">
        <v>5633963.79</v>
      </c>
      <c r="I1476">
        <v>11453662.65</v>
      </c>
      <c r="J1476">
        <v>182476.56000000003</v>
      </c>
      <c r="K1476">
        <v>17602471.02</v>
      </c>
      <c r="L1476">
        <v>0</v>
      </c>
      <c r="M1476">
        <v>0</v>
      </c>
      <c r="T1476" s="9">
        <v>45108</v>
      </c>
      <c r="U1476" s="9">
        <v>45473</v>
      </c>
      <c r="V1476">
        <f>SUM(POTABLE_NONPOTABLE_API[[#This Row],[RESIDENTIAL_SINGLEFAMILY_GAL]:[OTHER_GAL]])</f>
        <v>53690469.269999996</v>
      </c>
      <c r="W1476">
        <f>SUM(POTABLE_NONPOTABLE_API[[#This Row],[NONPOTABLE_DEMAND_RESIDENTIAL_RECYCLED_WATER_GAL]:[NONPOTABLE_DEMAND_NONRESIDENTIAL_METERED_IRRIGATION_GAL]])</f>
        <v>0</v>
      </c>
      <c r="X1476" t="str">
        <f>IFERROR(INDEX(Crosswalk_API!$H$2:$H$527, MATCH(POTABLE_NONPOTABLE_API[[#This Row],[PWSID]], CW_PWSID_LIST, 0)), "")</f>
        <v>No</v>
      </c>
    </row>
    <row r="1477" spans="1:24" x14ac:dyDescent="0.25">
      <c r="A1477" t="s">
        <v>1603</v>
      </c>
      <c r="B1477" t="s">
        <v>1604</v>
      </c>
      <c r="C1477" t="s">
        <v>1605</v>
      </c>
      <c r="D1477" t="s">
        <v>1606</v>
      </c>
      <c r="E1477" s="9">
        <v>45444</v>
      </c>
      <c r="F1477" s="9">
        <v>45473</v>
      </c>
      <c r="G1477">
        <v>42800528.850000001</v>
      </c>
      <c r="H1477">
        <v>6028243.5</v>
      </c>
      <c r="I1477">
        <v>18221587.920000002</v>
      </c>
      <c r="J1477">
        <v>195510.6</v>
      </c>
      <c r="K1477">
        <v>14796893.909999998</v>
      </c>
      <c r="L1477">
        <v>0</v>
      </c>
      <c r="M1477">
        <v>0</v>
      </c>
      <c r="T1477" s="9">
        <v>45108</v>
      </c>
      <c r="U1477" s="9">
        <v>45473</v>
      </c>
      <c r="V1477">
        <f>SUM(POTABLE_NONPOTABLE_API[[#This Row],[RESIDENTIAL_SINGLEFAMILY_GAL]:[OTHER_GAL]])</f>
        <v>82042764.780000001</v>
      </c>
      <c r="W1477">
        <f>SUM(POTABLE_NONPOTABLE_API[[#This Row],[NONPOTABLE_DEMAND_RESIDENTIAL_RECYCLED_WATER_GAL]:[NONPOTABLE_DEMAND_NONRESIDENTIAL_METERED_IRRIGATION_GAL]])</f>
        <v>0</v>
      </c>
      <c r="X1477" t="str">
        <f>IFERROR(INDEX(Crosswalk_API!$H$2:$H$527, MATCH(POTABLE_NONPOTABLE_API[[#This Row],[PWSID]], CW_PWSID_LIST, 0)), "")</f>
        <v>No</v>
      </c>
    </row>
    <row r="1478" spans="1:24" x14ac:dyDescent="0.25">
      <c r="A1478" t="s">
        <v>1117</v>
      </c>
      <c r="B1478" t="s">
        <v>1118</v>
      </c>
      <c r="C1478" t="s">
        <v>1119</v>
      </c>
      <c r="D1478" t="s">
        <v>1120</v>
      </c>
      <c r="E1478" s="9">
        <v>45108</v>
      </c>
      <c r="F1478" s="9">
        <v>45138</v>
      </c>
      <c r="G1478">
        <v>19470440</v>
      </c>
      <c r="H1478">
        <v>2481864</v>
      </c>
      <c r="I1478">
        <v>5592796</v>
      </c>
      <c r="J1478">
        <v>2882792</v>
      </c>
      <c r="K1478">
        <v>676940</v>
      </c>
      <c r="L1478">
        <v>757724</v>
      </c>
      <c r="M1478">
        <v>0</v>
      </c>
      <c r="T1478" s="9">
        <v>45108</v>
      </c>
      <c r="U1478" s="9">
        <v>45473</v>
      </c>
      <c r="V1478">
        <f>SUM(POTABLE_NONPOTABLE_API[[#This Row],[RESIDENTIAL_SINGLEFAMILY_GAL]:[OTHER_GAL]])</f>
        <v>31862556</v>
      </c>
      <c r="W1478">
        <f>SUM(POTABLE_NONPOTABLE_API[[#This Row],[NONPOTABLE_DEMAND_RESIDENTIAL_RECYCLED_WATER_GAL]:[NONPOTABLE_DEMAND_NONRESIDENTIAL_METERED_IRRIGATION_GAL]])</f>
        <v>0</v>
      </c>
      <c r="X1478" t="str">
        <f>IFERROR(INDEX(Crosswalk_API!$H$2:$H$527, MATCH(POTABLE_NONPOTABLE_API[[#This Row],[PWSID]], CW_PWSID_LIST, 0)), "")</f>
        <v>No</v>
      </c>
    </row>
    <row r="1479" spans="1:24" x14ac:dyDescent="0.25">
      <c r="A1479" t="s">
        <v>1117</v>
      </c>
      <c r="B1479" t="s">
        <v>1118</v>
      </c>
      <c r="C1479" t="s">
        <v>1119</v>
      </c>
      <c r="D1479" t="s">
        <v>1120</v>
      </c>
      <c r="E1479" s="9">
        <v>45139</v>
      </c>
      <c r="F1479" s="9">
        <v>45169</v>
      </c>
      <c r="G1479">
        <v>21784752</v>
      </c>
      <c r="H1479">
        <v>3005464</v>
      </c>
      <c r="I1479">
        <v>6078996</v>
      </c>
      <c r="J1479">
        <v>4265096</v>
      </c>
      <c r="K1479">
        <v>894608</v>
      </c>
      <c r="L1479">
        <v>855712</v>
      </c>
      <c r="M1479">
        <v>0</v>
      </c>
      <c r="T1479" s="9">
        <v>45108</v>
      </c>
      <c r="U1479" s="9">
        <v>45473</v>
      </c>
      <c r="V1479">
        <f>SUM(POTABLE_NONPOTABLE_API[[#This Row],[RESIDENTIAL_SINGLEFAMILY_GAL]:[OTHER_GAL]])</f>
        <v>36884628</v>
      </c>
      <c r="W1479">
        <f>SUM(POTABLE_NONPOTABLE_API[[#This Row],[NONPOTABLE_DEMAND_RESIDENTIAL_RECYCLED_WATER_GAL]:[NONPOTABLE_DEMAND_NONRESIDENTIAL_METERED_IRRIGATION_GAL]])</f>
        <v>0</v>
      </c>
      <c r="X1479" t="str">
        <f>IFERROR(INDEX(Crosswalk_API!$H$2:$H$527, MATCH(POTABLE_NONPOTABLE_API[[#This Row],[PWSID]], CW_PWSID_LIST, 0)), "")</f>
        <v>No</v>
      </c>
    </row>
    <row r="1480" spans="1:24" x14ac:dyDescent="0.25">
      <c r="A1480" t="s">
        <v>1117</v>
      </c>
      <c r="B1480" t="s">
        <v>1118</v>
      </c>
      <c r="C1480" t="s">
        <v>1119</v>
      </c>
      <c r="D1480" t="s">
        <v>1120</v>
      </c>
      <c r="E1480" s="9">
        <v>45170</v>
      </c>
      <c r="F1480" s="9">
        <v>45199</v>
      </c>
      <c r="G1480">
        <v>14806660</v>
      </c>
      <c r="H1480">
        <v>2095896</v>
      </c>
      <c r="I1480">
        <v>4797672</v>
      </c>
      <c r="J1480">
        <v>2297108</v>
      </c>
      <c r="K1480">
        <v>717332</v>
      </c>
      <c r="L1480">
        <v>409904</v>
      </c>
      <c r="M1480">
        <v>0</v>
      </c>
      <c r="T1480" s="9">
        <v>45108</v>
      </c>
      <c r="U1480" s="9">
        <v>45473</v>
      </c>
      <c r="V1480">
        <f>SUM(POTABLE_NONPOTABLE_API[[#This Row],[RESIDENTIAL_SINGLEFAMILY_GAL]:[OTHER_GAL]])</f>
        <v>25124572</v>
      </c>
      <c r="W1480">
        <f>SUM(POTABLE_NONPOTABLE_API[[#This Row],[NONPOTABLE_DEMAND_RESIDENTIAL_RECYCLED_WATER_GAL]:[NONPOTABLE_DEMAND_NONRESIDENTIAL_METERED_IRRIGATION_GAL]])</f>
        <v>0</v>
      </c>
      <c r="X1480" t="str">
        <f>IFERROR(INDEX(Crosswalk_API!$H$2:$H$527, MATCH(POTABLE_NONPOTABLE_API[[#This Row],[PWSID]], CW_PWSID_LIST, 0)), "")</f>
        <v>No</v>
      </c>
    </row>
    <row r="1481" spans="1:24" x14ac:dyDescent="0.25">
      <c r="A1481" t="s">
        <v>1117</v>
      </c>
      <c r="B1481" t="s">
        <v>1118</v>
      </c>
      <c r="C1481" t="s">
        <v>1119</v>
      </c>
      <c r="D1481" t="s">
        <v>1120</v>
      </c>
      <c r="E1481" s="9">
        <v>45200</v>
      </c>
      <c r="F1481" s="9">
        <v>45230</v>
      </c>
      <c r="G1481">
        <v>14321208</v>
      </c>
      <c r="H1481">
        <v>1832600</v>
      </c>
      <c r="I1481">
        <v>3802832</v>
      </c>
      <c r="J1481">
        <v>1716660</v>
      </c>
      <c r="K1481">
        <v>365772</v>
      </c>
      <c r="L1481">
        <v>524348</v>
      </c>
      <c r="M1481">
        <v>0</v>
      </c>
      <c r="T1481" s="9">
        <v>45108</v>
      </c>
      <c r="U1481" s="9">
        <v>45473</v>
      </c>
      <c r="V1481">
        <f>SUM(POTABLE_NONPOTABLE_API[[#This Row],[RESIDENTIAL_SINGLEFAMILY_GAL]:[OTHER_GAL]])</f>
        <v>22563420</v>
      </c>
      <c r="W1481">
        <f>SUM(POTABLE_NONPOTABLE_API[[#This Row],[NONPOTABLE_DEMAND_RESIDENTIAL_RECYCLED_WATER_GAL]:[NONPOTABLE_DEMAND_NONRESIDENTIAL_METERED_IRRIGATION_GAL]])</f>
        <v>0</v>
      </c>
      <c r="X1481" t="str">
        <f>IFERROR(INDEX(Crosswalk_API!$H$2:$H$527, MATCH(POTABLE_NONPOTABLE_API[[#This Row],[PWSID]], CW_PWSID_LIST, 0)), "")</f>
        <v>No</v>
      </c>
    </row>
    <row r="1482" spans="1:24" x14ac:dyDescent="0.25">
      <c r="A1482" t="s">
        <v>1117</v>
      </c>
      <c r="B1482" t="s">
        <v>1118</v>
      </c>
      <c r="C1482" t="s">
        <v>1119</v>
      </c>
      <c r="D1482" t="s">
        <v>1120</v>
      </c>
      <c r="E1482" s="9">
        <v>45231</v>
      </c>
      <c r="F1482" s="9">
        <v>45260</v>
      </c>
      <c r="G1482">
        <v>11140712</v>
      </c>
      <c r="H1482">
        <v>2137036</v>
      </c>
      <c r="I1482">
        <v>3710080</v>
      </c>
      <c r="J1482">
        <v>801856</v>
      </c>
      <c r="K1482">
        <v>400928</v>
      </c>
      <c r="L1482">
        <v>198968</v>
      </c>
      <c r="M1482">
        <v>0</v>
      </c>
      <c r="T1482" s="9">
        <v>45108</v>
      </c>
      <c r="U1482" s="9">
        <v>45473</v>
      </c>
      <c r="V1482">
        <f>SUM(POTABLE_NONPOTABLE_API[[#This Row],[RESIDENTIAL_SINGLEFAMILY_GAL]:[OTHER_GAL]])</f>
        <v>18389580</v>
      </c>
      <c r="W1482">
        <f>SUM(POTABLE_NONPOTABLE_API[[#This Row],[NONPOTABLE_DEMAND_RESIDENTIAL_RECYCLED_WATER_GAL]:[NONPOTABLE_DEMAND_NONRESIDENTIAL_METERED_IRRIGATION_GAL]])</f>
        <v>0</v>
      </c>
      <c r="X1482" t="str">
        <f>IFERROR(INDEX(Crosswalk_API!$H$2:$H$527, MATCH(POTABLE_NONPOTABLE_API[[#This Row],[PWSID]], CW_PWSID_LIST, 0)), "")</f>
        <v>No</v>
      </c>
    </row>
    <row r="1483" spans="1:24" x14ac:dyDescent="0.25">
      <c r="A1483" t="s">
        <v>1117</v>
      </c>
      <c r="B1483" t="s">
        <v>1118</v>
      </c>
      <c r="C1483" t="s">
        <v>1119</v>
      </c>
      <c r="D1483" t="s">
        <v>1120</v>
      </c>
      <c r="E1483" s="9">
        <v>45261</v>
      </c>
      <c r="F1483" s="9">
        <v>45291</v>
      </c>
      <c r="G1483">
        <v>11140712</v>
      </c>
      <c r="H1483">
        <v>2137036</v>
      </c>
      <c r="I1483">
        <v>3710828</v>
      </c>
      <c r="J1483">
        <v>801856</v>
      </c>
      <c r="K1483">
        <v>400928</v>
      </c>
      <c r="L1483">
        <v>198968</v>
      </c>
      <c r="M1483">
        <v>0</v>
      </c>
      <c r="T1483" s="9">
        <v>45108</v>
      </c>
      <c r="U1483" s="9">
        <v>45473</v>
      </c>
      <c r="V1483">
        <f>SUM(POTABLE_NONPOTABLE_API[[#This Row],[RESIDENTIAL_SINGLEFAMILY_GAL]:[OTHER_GAL]])</f>
        <v>18390328</v>
      </c>
      <c r="W1483">
        <f>SUM(POTABLE_NONPOTABLE_API[[#This Row],[NONPOTABLE_DEMAND_RESIDENTIAL_RECYCLED_WATER_GAL]:[NONPOTABLE_DEMAND_NONRESIDENTIAL_METERED_IRRIGATION_GAL]])</f>
        <v>0</v>
      </c>
      <c r="X1483" t="str">
        <f>IFERROR(INDEX(Crosswalk_API!$H$2:$H$527, MATCH(POTABLE_NONPOTABLE_API[[#This Row],[PWSID]], CW_PWSID_LIST, 0)), "")</f>
        <v>No</v>
      </c>
    </row>
    <row r="1484" spans="1:24" x14ac:dyDescent="0.25">
      <c r="A1484" t="s">
        <v>1117</v>
      </c>
      <c r="B1484" t="s">
        <v>1118</v>
      </c>
      <c r="C1484" t="s">
        <v>1119</v>
      </c>
      <c r="D1484" t="s">
        <v>1120</v>
      </c>
      <c r="E1484" s="9">
        <v>45292</v>
      </c>
      <c r="F1484" s="9">
        <v>45322</v>
      </c>
      <c r="G1484">
        <v>10227404</v>
      </c>
      <c r="H1484">
        <v>1763784</v>
      </c>
      <c r="I1484">
        <v>3645752</v>
      </c>
      <c r="J1484">
        <v>383724</v>
      </c>
      <c r="K1484">
        <v>286484</v>
      </c>
      <c r="L1484">
        <v>3740</v>
      </c>
      <c r="M1484">
        <v>0</v>
      </c>
      <c r="T1484" s="9">
        <v>45108</v>
      </c>
      <c r="U1484" s="9">
        <v>45473</v>
      </c>
      <c r="V1484">
        <f>SUM(POTABLE_NONPOTABLE_API[[#This Row],[RESIDENTIAL_SINGLEFAMILY_GAL]:[OTHER_GAL]])</f>
        <v>16310888</v>
      </c>
      <c r="W1484">
        <f>SUM(POTABLE_NONPOTABLE_API[[#This Row],[NONPOTABLE_DEMAND_RESIDENTIAL_RECYCLED_WATER_GAL]:[NONPOTABLE_DEMAND_NONRESIDENTIAL_METERED_IRRIGATION_GAL]])</f>
        <v>0</v>
      </c>
      <c r="X1484" t="str">
        <f>IFERROR(INDEX(Crosswalk_API!$H$2:$H$527, MATCH(POTABLE_NONPOTABLE_API[[#This Row],[PWSID]], CW_PWSID_LIST, 0)), "")</f>
        <v>No</v>
      </c>
    </row>
    <row r="1485" spans="1:24" x14ac:dyDescent="0.25">
      <c r="A1485" t="s">
        <v>1117</v>
      </c>
      <c r="B1485" t="s">
        <v>1118</v>
      </c>
      <c r="C1485" t="s">
        <v>1119</v>
      </c>
      <c r="D1485" t="s">
        <v>1120</v>
      </c>
      <c r="E1485" s="9">
        <v>45323</v>
      </c>
      <c r="F1485" s="9">
        <v>45351</v>
      </c>
      <c r="G1485">
        <v>9667900</v>
      </c>
      <c r="H1485">
        <v>1926848</v>
      </c>
      <c r="I1485">
        <v>3287460</v>
      </c>
      <c r="J1485">
        <v>422620</v>
      </c>
      <c r="K1485">
        <v>280500</v>
      </c>
      <c r="L1485">
        <v>7480</v>
      </c>
      <c r="M1485">
        <v>0</v>
      </c>
      <c r="T1485" s="9">
        <v>45108</v>
      </c>
      <c r="U1485" s="9">
        <v>45473</v>
      </c>
      <c r="V1485">
        <f>SUM(POTABLE_NONPOTABLE_API[[#This Row],[RESIDENTIAL_SINGLEFAMILY_GAL]:[OTHER_GAL]])</f>
        <v>15592808</v>
      </c>
      <c r="W1485">
        <f>SUM(POTABLE_NONPOTABLE_API[[#This Row],[NONPOTABLE_DEMAND_RESIDENTIAL_RECYCLED_WATER_GAL]:[NONPOTABLE_DEMAND_NONRESIDENTIAL_METERED_IRRIGATION_GAL]])</f>
        <v>0</v>
      </c>
      <c r="X1485" t="str">
        <f>IFERROR(INDEX(Crosswalk_API!$H$2:$H$527, MATCH(POTABLE_NONPOTABLE_API[[#This Row],[PWSID]], CW_PWSID_LIST, 0)), "")</f>
        <v>No</v>
      </c>
    </row>
    <row r="1486" spans="1:24" x14ac:dyDescent="0.25">
      <c r="A1486" t="s">
        <v>1117</v>
      </c>
      <c r="B1486" t="s">
        <v>1118</v>
      </c>
      <c r="C1486" t="s">
        <v>1119</v>
      </c>
      <c r="D1486" t="s">
        <v>1120</v>
      </c>
      <c r="E1486" s="9">
        <v>45352</v>
      </c>
      <c r="F1486" s="9">
        <v>45382</v>
      </c>
      <c r="G1486">
        <v>10572980</v>
      </c>
      <c r="H1486">
        <v>2052512</v>
      </c>
      <c r="I1486">
        <v>2778820</v>
      </c>
      <c r="J1486">
        <v>223652</v>
      </c>
      <c r="K1486">
        <v>171292</v>
      </c>
      <c r="L1486">
        <v>27676</v>
      </c>
      <c r="M1486">
        <v>0</v>
      </c>
      <c r="T1486" s="9">
        <v>45108</v>
      </c>
      <c r="U1486" s="9">
        <v>45473</v>
      </c>
      <c r="V1486">
        <f>SUM(POTABLE_NONPOTABLE_API[[#This Row],[RESIDENTIAL_SINGLEFAMILY_GAL]:[OTHER_GAL]])</f>
        <v>15826932</v>
      </c>
      <c r="W1486">
        <f>SUM(POTABLE_NONPOTABLE_API[[#This Row],[NONPOTABLE_DEMAND_RESIDENTIAL_RECYCLED_WATER_GAL]:[NONPOTABLE_DEMAND_NONRESIDENTIAL_METERED_IRRIGATION_GAL]])</f>
        <v>0</v>
      </c>
      <c r="X1486" t="str">
        <f>IFERROR(INDEX(Crosswalk_API!$H$2:$H$527, MATCH(POTABLE_NONPOTABLE_API[[#This Row],[PWSID]], CW_PWSID_LIST, 0)), "")</f>
        <v>No</v>
      </c>
    </row>
    <row r="1487" spans="1:24" x14ac:dyDescent="0.25">
      <c r="A1487" t="s">
        <v>1117</v>
      </c>
      <c r="B1487" t="s">
        <v>1118</v>
      </c>
      <c r="C1487" t="s">
        <v>1119</v>
      </c>
      <c r="D1487" t="s">
        <v>1120</v>
      </c>
      <c r="E1487" s="9">
        <v>45383</v>
      </c>
      <c r="F1487" s="9">
        <v>45412</v>
      </c>
      <c r="G1487">
        <v>14680248</v>
      </c>
      <c r="H1487">
        <v>2326280</v>
      </c>
      <c r="I1487">
        <v>3786376</v>
      </c>
      <c r="J1487">
        <v>1086844</v>
      </c>
      <c r="K1487">
        <v>436084</v>
      </c>
      <c r="L1487">
        <v>329120</v>
      </c>
      <c r="M1487">
        <v>0</v>
      </c>
      <c r="T1487" s="9">
        <v>45108</v>
      </c>
      <c r="U1487" s="9">
        <v>45473</v>
      </c>
      <c r="V1487">
        <f>SUM(POTABLE_NONPOTABLE_API[[#This Row],[RESIDENTIAL_SINGLEFAMILY_GAL]:[OTHER_GAL]])</f>
        <v>22644952</v>
      </c>
      <c r="W1487">
        <f>SUM(POTABLE_NONPOTABLE_API[[#This Row],[NONPOTABLE_DEMAND_RESIDENTIAL_RECYCLED_WATER_GAL]:[NONPOTABLE_DEMAND_NONRESIDENTIAL_METERED_IRRIGATION_GAL]])</f>
        <v>0</v>
      </c>
      <c r="X1487" t="str">
        <f>IFERROR(INDEX(Crosswalk_API!$H$2:$H$527, MATCH(POTABLE_NONPOTABLE_API[[#This Row],[PWSID]], CW_PWSID_LIST, 0)), "")</f>
        <v>No</v>
      </c>
    </row>
    <row r="1488" spans="1:24" x14ac:dyDescent="0.25">
      <c r="A1488" t="s">
        <v>1117</v>
      </c>
      <c r="B1488" t="s">
        <v>1118</v>
      </c>
      <c r="C1488" t="s">
        <v>1119</v>
      </c>
      <c r="D1488" t="s">
        <v>1120</v>
      </c>
      <c r="E1488" s="9">
        <v>45413</v>
      </c>
      <c r="F1488" s="9">
        <v>45443</v>
      </c>
      <c r="G1488">
        <v>17554064</v>
      </c>
      <c r="H1488">
        <v>2223056</v>
      </c>
      <c r="I1488">
        <v>4296512</v>
      </c>
      <c r="J1488">
        <v>2831928</v>
      </c>
      <c r="K1488">
        <v>544544</v>
      </c>
      <c r="L1488">
        <v>258808</v>
      </c>
      <c r="M1488">
        <v>0</v>
      </c>
      <c r="T1488" s="9">
        <v>45108</v>
      </c>
      <c r="U1488" s="9">
        <v>45473</v>
      </c>
      <c r="V1488">
        <f>SUM(POTABLE_NONPOTABLE_API[[#This Row],[RESIDENTIAL_SINGLEFAMILY_GAL]:[OTHER_GAL]])</f>
        <v>27708912</v>
      </c>
      <c r="W1488">
        <f>SUM(POTABLE_NONPOTABLE_API[[#This Row],[NONPOTABLE_DEMAND_RESIDENTIAL_RECYCLED_WATER_GAL]:[NONPOTABLE_DEMAND_NONRESIDENTIAL_METERED_IRRIGATION_GAL]])</f>
        <v>0</v>
      </c>
      <c r="X1488" t="str">
        <f>IFERROR(INDEX(Crosswalk_API!$H$2:$H$527, MATCH(POTABLE_NONPOTABLE_API[[#This Row],[PWSID]], CW_PWSID_LIST, 0)), "")</f>
        <v>No</v>
      </c>
    </row>
    <row r="1489" spans="1:24" x14ac:dyDescent="0.25">
      <c r="A1489" t="s">
        <v>1117</v>
      </c>
      <c r="B1489" t="s">
        <v>1118</v>
      </c>
      <c r="C1489" t="s">
        <v>1119</v>
      </c>
      <c r="D1489" t="s">
        <v>1120</v>
      </c>
      <c r="E1489" s="9">
        <v>45444</v>
      </c>
      <c r="F1489" s="9">
        <v>45473</v>
      </c>
      <c r="G1489">
        <v>22858132</v>
      </c>
      <c r="H1489">
        <v>2567884</v>
      </c>
      <c r="I1489">
        <v>5657872</v>
      </c>
      <c r="J1489">
        <v>3535796</v>
      </c>
      <c r="K1489">
        <v>717332</v>
      </c>
      <c r="L1489">
        <v>578204</v>
      </c>
      <c r="M1489">
        <v>0</v>
      </c>
      <c r="T1489" s="9">
        <v>45108</v>
      </c>
      <c r="U1489" s="9">
        <v>45473</v>
      </c>
      <c r="V1489">
        <f>SUM(POTABLE_NONPOTABLE_API[[#This Row],[RESIDENTIAL_SINGLEFAMILY_GAL]:[OTHER_GAL]])</f>
        <v>35915220</v>
      </c>
      <c r="W1489">
        <f>SUM(POTABLE_NONPOTABLE_API[[#This Row],[NONPOTABLE_DEMAND_RESIDENTIAL_RECYCLED_WATER_GAL]:[NONPOTABLE_DEMAND_NONRESIDENTIAL_METERED_IRRIGATION_GAL]])</f>
        <v>0</v>
      </c>
      <c r="X1489" t="str">
        <f>IFERROR(INDEX(Crosswalk_API!$H$2:$H$527, MATCH(POTABLE_NONPOTABLE_API[[#This Row],[PWSID]], CW_PWSID_LIST, 0)), "")</f>
        <v>No</v>
      </c>
    </row>
    <row r="1490" spans="1:24" x14ac:dyDescent="0.25">
      <c r="A1490" t="s">
        <v>1122</v>
      </c>
      <c r="B1490" t="s">
        <v>1123</v>
      </c>
      <c r="C1490" t="s">
        <v>1124</v>
      </c>
      <c r="D1490" t="s">
        <v>1125</v>
      </c>
      <c r="E1490" s="9">
        <v>45108</v>
      </c>
      <c r="F1490" s="9">
        <v>45138</v>
      </c>
      <c r="G1490">
        <v>730850000</v>
      </c>
      <c r="H1490">
        <v>57022000</v>
      </c>
      <c r="I1490">
        <v>47400000</v>
      </c>
      <c r="J1490">
        <v>152524000</v>
      </c>
      <c r="K1490">
        <v>239000</v>
      </c>
      <c r="L1490">
        <v>3520000</v>
      </c>
      <c r="M1490">
        <v>0</v>
      </c>
      <c r="N1490">
        <v>0</v>
      </c>
      <c r="O1490">
        <v>0</v>
      </c>
      <c r="P1490">
        <v>0</v>
      </c>
      <c r="Q1490">
        <v>1127000</v>
      </c>
      <c r="R1490">
        <v>1735000</v>
      </c>
      <c r="S1490">
        <v>44139000</v>
      </c>
      <c r="T1490" s="9">
        <v>45108</v>
      </c>
      <c r="U1490" s="9">
        <v>45473</v>
      </c>
      <c r="V1490">
        <f>SUM(POTABLE_NONPOTABLE_API[[#This Row],[RESIDENTIAL_SINGLEFAMILY_GAL]:[OTHER_GAL]])</f>
        <v>991555000</v>
      </c>
      <c r="W1490">
        <f>SUM(POTABLE_NONPOTABLE_API[[#This Row],[NONPOTABLE_DEMAND_RESIDENTIAL_RECYCLED_WATER_GAL]:[NONPOTABLE_DEMAND_NONRESIDENTIAL_METERED_IRRIGATION_GAL]])</f>
        <v>47001000</v>
      </c>
      <c r="X1490" t="str">
        <f>IFERROR(INDEX(Crosswalk_API!$H$2:$H$527, MATCH(POTABLE_NONPOTABLE_API[[#This Row],[PWSID]], CW_PWSID_LIST, 0)), "")</f>
        <v>No</v>
      </c>
    </row>
    <row r="1491" spans="1:24" x14ac:dyDescent="0.25">
      <c r="A1491" t="s">
        <v>1122</v>
      </c>
      <c r="B1491" t="s">
        <v>1123</v>
      </c>
      <c r="C1491" t="s">
        <v>1124</v>
      </c>
      <c r="D1491" t="s">
        <v>1125</v>
      </c>
      <c r="E1491" s="9">
        <v>45139</v>
      </c>
      <c r="F1491" s="9">
        <v>45169</v>
      </c>
      <c r="G1491">
        <v>515599000.00000006</v>
      </c>
      <c r="H1491">
        <v>108668000</v>
      </c>
      <c r="I1491">
        <v>69577000</v>
      </c>
      <c r="J1491">
        <v>133211999.99999999</v>
      </c>
      <c r="K1491">
        <v>29001000</v>
      </c>
      <c r="L1491">
        <v>5377000</v>
      </c>
      <c r="M1491">
        <v>0</v>
      </c>
      <c r="N1491">
        <v>0</v>
      </c>
      <c r="O1491">
        <v>0</v>
      </c>
      <c r="P1491">
        <v>0</v>
      </c>
      <c r="Q1491">
        <v>1914000</v>
      </c>
      <c r="R1491">
        <v>699000</v>
      </c>
      <c r="S1491">
        <v>39148000</v>
      </c>
      <c r="T1491" s="9">
        <v>45108</v>
      </c>
      <c r="U1491" s="9">
        <v>45473</v>
      </c>
      <c r="V1491">
        <f>SUM(POTABLE_NONPOTABLE_API[[#This Row],[RESIDENTIAL_SINGLEFAMILY_GAL]:[OTHER_GAL]])</f>
        <v>861434000</v>
      </c>
      <c r="W1491">
        <f>SUM(POTABLE_NONPOTABLE_API[[#This Row],[NONPOTABLE_DEMAND_RESIDENTIAL_RECYCLED_WATER_GAL]:[NONPOTABLE_DEMAND_NONRESIDENTIAL_METERED_IRRIGATION_GAL]])</f>
        <v>41761000</v>
      </c>
      <c r="X1491" t="str">
        <f>IFERROR(INDEX(Crosswalk_API!$H$2:$H$527, MATCH(POTABLE_NONPOTABLE_API[[#This Row],[PWSID]], CW_PWSID_LIST, 0)), "")</f>
        <v>No</v>
      </c>
    </row>
    <row r="1492" spans="1:24" x14ac:dyDescent="0.25">
      <c r="A1492" t="s">
        <v>1122</v>
      </c>
      <c r="B1492" t="s">
        <v>1123</v>
      </c>
      <c r="C1492" t="s">
        <v>1124</v>
      </c>
      <c r="D1492" t="s">
        <v>1125</v>
      </c>
      <c r="E1492" s="9">
        <v>45170</v>
      </c>
      <c r="F1492" s="9">
        <v>45199</v>
      </c>
      <c r="G1492">
        <v>786409000</v>
      </c>
      <c r="H1492">
        <v>62131000</v>
      </c>
      <c r="I1492">
        <v>50968000</v>
      </c>
      <c r="J1492">
        <v>97463000</v>
      </c>
      <c r="K1492">
        <v>255000</v>
      </c>
      <c r="L1492">
        <v>3829000</v>
      </c>
      <c r="M1492">
        <v>0</v>
      </c>
      <c r="N1492">
        <v>0</v>
      </c>
      <c r="O1492">
        <v>0</v>
      </c>
      <c r="P1492">
        <v>0</v>
      </c>
      <c r="Q1492">
        <v>3482000</v>
      </c>
      <c r="R1492">
        <v>286000</v>
      </c>
      <c r="S1492">
        <v>28491000</v>
      </c>
      <c r="T1492" s="9">
        <v>45108</v>
      </c>
      <c r="U1492" s="9">
        <v>45473</v>
      </c>
      <c r="V1492">
        <f>SUM(POTABLE_NONPOTABLE_API[[#This Row],[RESIDENTIAL_SINGLEFAMILY_GAL]:[OTHER_GAL]])</f>
        <v>1001055000</v>
      </c>
      <c r="W1492">
        <f>SUM(POTABLE_NONPOTABLE_API[[#This Row],[NONPOTABLE_DEMAND_RESIDENTIAL_RECYCLED_WATER_GAL]:[NONPOTABLE_DEMAND_NONRESIDENTIAL_METERED_IRRIGATION_GAL]])</f>
        <v>32259000</v>
      </c>
      <c r="X1492" t="str">
        <f>IFERROR(INDEX(Crosswalk_API!$H$2:$H$527, MATCH(POTABLE_NONPOTABLE_API[[#This Row],[PWSID]], CW_PWSID_LIST, 0)), "")</f>
        <v>No</v>
      </c>
    </row>
    <row r="1493" spans="1:24" x14ac:dyDescent="0.25">
      <c r="A1493" t="s">
        <v>1122</v>
      </c>
      <c r="B1493" t="s">
        <v>1123</v>
      </c>
      <c r="C1493" t="s">
        <v>1124</v>
      </c>
      <c r="D1493" t="s">
        <v>1125</v>
      </c>
      <c r="E1493" s="9">
        <v>45200</v>
      </c>
      <c r="F1493" s="9">
        <v>45230</v>
      </c>
      <c r="G1493">
        <v>487840000</v>
      </c>
      <c r="H1493">
        <v>111023000</v>
      </c>
      <c r="I1493">
        <v>73159000</v>
      </c>
      <c r="J1493">
        <v>82916000</v>
      </c>
      <c r="K1493">
        <v>24080000</v>
      </c>
      <c r="L1493">
        <v>5723000</v>
      </c>
      <c r="M1493">
        <v>0</v>
      </c>
      <c r="N1493">
        <v>0</v>
      </c>
      <c r="O1493">
        <v>0</v>
      </c>
      <c r="P1493">
        <v>0</v>
      </c>
      <c r="Q1493">
        <v>815000</v>
      </c>
      <c r="R1493">
        <v>0</v>
      </c>
      <c r="S1493">
        <v>22433000</v>
      </c>
      <c r="T1493" s="9">
        <v>45108</v>
      </c>
      <c r="U1493" s="9">
        <v>45473</v>
      </c>
      <c r="V1493">
        <f>SUM(POTABLE_NONPOTABLE_API[[#This Row],[RESIDENTIAL_SINGLEFAMILY_GAL]:[OTHER_GAL]])</f>
        <v>784741000</v>
      </c>
      <c r="W1493">
        <f>SUM(POTABLE_NONPOTABLE_API[[#This Row],[NONPOTABLE_DEMAND_RESIDENTIAL_RECYCLED_WATER_GAL]:[NONPOTABLE_DEMAND_NONRESIDENTIAL_METERED_IRRIGATION_GAL]])</f>
        <v>23248000</v>
      </c>
      <c r="X1493" t="str">
        <f>IFERROR(INDEX(Crosswalk_API!$H$2:$H$527, MATCH(POTABLE_NONPOTABLE_API[[#This Row],[PWSID]], CW_PWSID_LIST, 0)), "")</f>
        <v>No</v>
      </c>
    </row>
    <row r="1494" spans="1:24" x14ac:dyDescent="0.25">
      <c r="A1494" t="s">
        <v>1122</v>
      </c>
      <c r="B1494" t="s">
        <v>1123</v>
      </c>
      <c r="C1494" t="s">
        <v>1124</v>
      </c>
      <c r="D1494" t="s">
        <v>1125</v>
      </c>
      <c r="E1494" s="9">
        <v>45231</v>
      </c>
      <c r="F1494" s="9">
        <v>45260</v>
      </c>
      <c r="G1494">
        <v>573484000</v>
      </c>
      <c r="H1494">
        <v>52771000</v>
      </c>
      <c r="I1494">
        <v>39654000</v>
      </c>
      <c r="J1494">
        <v>42418000</v>
      </c>
      <c r="K1494">
        <v>136000</v>
      </c>
      <c r="L1494">
        <v>3483000</v>
      </c>
      <c r="M1494">
        <v>0</v>
      </c>
      <c r="N1494">
        <v>0</v>
      </c>
      <c r="O1494">
        <v>0</v>
      </c>
      <c r="P1494">
        <v>0</v>
      </c>
      <c r="Q1494">
        <v>0</v>
      </c>
      <c r="R1494">
        <v>0</v>
      </c>
      <c r="S1494">
        <v>8540000</v>
      </c>
      <c r="T1494" s="9">
        <v>45108</v>
      </c>
      <c r="U1494" s="9">
        <v>45473</v>
      </c>
      <c r="V1494">
        <f>SUM(POTABLE_NONPOTABLE_API[[#This Row],[RESIDENTIAL_SINGLEFAMILY_GAL]:[OTHER_GAL]])</f>
        <v>711946000</v>
      </c>
      <c r="W1494">
        <f>SUM(POTABLE_NONPOTABLE_API[[#This Row],[NONPOTABLE_DEMAND_RESIDENTIAL_RECYCLED_WATER_GAL]:[NONPOTABLE_DEMAND_NONRESIDENTIAL_METERED_IRRIGATION_GAL]])</f>
        <v>8540000</v>
      </c>
      <c r="X1494" t="str">
        <f>IFERROR(INDEX(Crosswalk_API!$H$2:$H$527, MATCH(POTABLE_NONPOTABLE_API[[#This Row],[PWSID]], CW_PWSID_LIST, 0)), "")</f>
        <v>No</v>
      </c>
    </row>
    <row r="1495" spans="1:24" x14ac:dyDescent="0.25">
      <c r="A1495" t="s">
        <v>1122</v>
      </c>
      <c r="B1495" t="s">
        <v>1123</v>
      </c>
      <c r="C1495" t="s">
        <v>1124</v>
      </c>
      <c r="D1495" t="s">
        <v>1125</v>
      </c>
      <c r="E1495" s="9">
        <v>45261</v>
      </c>
      <c r="F1495" s="9">
        <v>45291</v>
      </c>
      <c r="G1495">
        <v>357181000</v>
      </c>
      <c r="H1495">
        <v>91077000</v>
      </c>
      <c r="I1495">
        <v>62095000</v>
      </c>
      <c r="J1495">
        <v>49331000</v>
      </c>
      <c r="K1495">
        <v>10939000</v>
      </c>
      <c r="L1495">
        <v>2870000</v>
      </c>
      <c r="M1495">
        <v>0</v>
      </c>
      <c r="N1495">
        <v>0</v>
      </c>
      <c r="O1495">
        <v>0</v>
      </c>
      <c r="P1495">
        <v>0</v>
      </c>
      <c r="Q1495">
        <v>0</v>
      </c>
      <c r="R1495">
        <v>0</v>
      </c>
      <c r="S1495">
        <v>3986000</v>
      </c>
      <c r="T1495" s="9">
        <v>45108</v>
      </c>
      <c r="U1495" s="9">
        <v>45473</v>
      </c>
      <c r="V1495">
        <f>SUM(POTABLE_NONPOTABLE_API[[#This Row],[RESIDENTIAL_SINGLEFAMILY_GAL]:[OTHER_GAL]])</f>
        <v>573493000</v>
      </c>
      <c r="W1495">
        <f>SUM(POTABLE_NONPOTABLE_API[[#This Row],[NONPOTABLE_DEMAND_RESIDENTIAL_RECYCLED_WATER_GAL]:[NONPOTABLE_DEMAND_NONRESIDENTIAL_METERED_IRRIGATION_GAL]])</f>
        <v>3986000</v>
      </c>
      <c r="X1495" t="str">
        <f>IFERROR(INDEX(Crosswalk_API!$H$2:$H$527, MATCH(POTABLE_NONPOTABLE_API[[#This Row],[PWSID]], CW_PWSID_LIST, 0)), "")</f>
        <v>No</v>
      </c>
    </row>
    <row r="1496" spans="1:24" x14ac:dyDescent="0.25">
      <c r="A1496" t="s">
        <v>1122</v>
      </c>
      <c r="B1496" t="s">
        <v>1123</v>
      </c>
      <c r="C1496" t="s">
        <v>1124</v>
      </c>
      <c r="D1496" t="s">
        <v>1125</v>
      </c>
      <c r="E1496" s="9">
        <v>45292</v>
      </c>
      <c r="F1496" s="9">
        <v>45322</v>
      </c>
      <c r="G1496">
        <v>330060000</v>
      </c>
      <c r="H1496">
        <v>39486000</v>
      </c>
      <c r="I1496">
        <v>32089000</v>
      </c>
      <c r="J1496">
        <v>21736000</v>
      </c>
      <c r="K1496">
        <v>79000</v>
      </c>
      <c r="L1496">
        <v>4786000</v>
      </c>
      <c r="M1496">
        <v>0</v>
      </c>
      <c r="N1496">
        <v>0</v>
      </c>
      <c r="O1496">
        <v>0</v>
      </c>
      <c r="P1496">
        <v>0</v>
      </c>
      <c r="Q1496">
        <v>0</v>
      </c>
      <c r="R1496">
        <v>0</v>
      </c>
      <c r="S1496">
        <v>1997000</v>
      </c>
      <c r="T1496" s="9">
        <v>45108</v>
      </c>
      <c r="U1496" s="9">
        <v>45473</v>
      </c>
      <c r="V1496">
        <f>SUM(POTABLE_NONPOTABLE_API[[#This Row],[RESIDENTIAL_SINGLEFAMILY_GAL]:[OTHER_GAL]])</f>
        <v>428236000</v>
      </c>
      <c r="W1496">
        <f>SUM(POTABLE_NONPOTABLE_API[[#This Row],[NONPOTABLE_DEMAND_RESIDENTIAL_RECYCLED_WATER_GAL]:[NONPOTABLE_DEMAND_NONRESIDENTIAL_METERED_IRRIGATION_GAL]])</f>
        <v>1997000</v>
      </c>
      <c r="X1496" t="str">
        <f>IFERROR(INDEX(Crosswalk_API!$H$2:$H$527, MATCH(POTABLE_NONPOTABLE_API[[#This Row],[PWSID]], CW_PWSID_LIST, 0)), "")</f>
        <v>No</v>
      </c>
    </row>
    <row r="1497" spans="1:24" x14ac:dyDescent="0.25">
      <c r="A1497" t="s">
        <v>1122</v>
      </c>
      <c r="B1497" t="s">
        <v>1123</v>
      </c>
      <c r="C1497" t="s">
        <v>1124</v>
      </c>
      <c r="D1497" t="s">
        <v>1125</v>
      </c>
      <c r="E1497" s="9">
        <v>45323</v>
      </c>
      <c r="F1497" s="9">
        <v>45351</v>
      </c>
      <c r="G1497">
        <v>209473000</v>
      </c>
      <c r="H1497">
        <v>58991000</v>
      </c>
      <c r="I1497">
        <v>63754000</v>
      </c>
      <c r="J1497">
        <v>22530000</v>
      </c>
      <c r="K1497">
        <v>13917000</v>
      </c>
      <c r="L1497">
        <v>872000</v>
      </c>
      <c r="M1497">
        <v>0</v>
      </c>
      <c r="N1497">
        <v>0</v>
      </c>
      <c r="O1497">
        <v>0</v>
      </c>
      <c r="P1497">
        <v>0</v>
      </c>
      <c r="Q1497">
        <v>0</v>
      </c>
      <c r="R1497">
        <v>0</v>
      </c>
      <c r="S1497">
        <v>1004000</v>
      </c>
      <c r="T1497" s="9">
        <v>45108</v>
      </c>
      <c r="U1497" s="9">
        <v>45473</v>
      </c>
      <c r="V1497">
        <f>SUM(POTABLE_NONPOTABLE_API[[#This Row],[RESIDENTIAL_SINGLEFAMILY_GAL]:[OTHER_GAL]])</f>
        <v>369537000</v>
      </c>
      <c r="W1497">
        <f>SUM(POTABLE_NONPOTABLE_API[[#This Row],[NONPOTABLE_DEMAND_RESIDENTIAL_RECYCLED_WATER_GAL]:[NONPOTABLE_DEMAND_NONRESIDENTIAL_METERED_IRRIGATION_GAL]])</f>
        <v>1004000</v>
      </c>
      <c r="X1497" t="str">
        <f>IFERROR(INDEX(Crosswalk_API!$H$2:$H$527, MATCH(POTABLE_NONPOTABLE_API[[#This Row],[PWSID]], CW_PWSID_LIST, 0)), "")</f>
        <v>No</v>
      </c>
    </row>
    <row r="1498" spans="1:24" x14ac:dyDescent="0.25">
      <c r="A1498" t="s">
        <v>1122</v>
      </c>
      <c r="B1498" t="s">
        <v>1123</v>
      </c>
      <c r="C1498" t="s">
        <v>1124</v>
      </c>
      <c r="D1498" t="s">
        <v>1125</v>
      </c>
      <c r="E1498" s="9">
        <v>45352</v>
      </c>
      <c r="F1498" s="9">
        <v>45382</v>
      </c>
      <c r="G1498">
        <v>240814000</v>
      </c>
      <c r="H1498">
        <v>31982000</v>
      </c>
      <c r="I1498">
        <v>31489000</v>
      </c>
      <c r="J1498">
        <v>14731000</v>
      </c>
      <c r="K1498">
        <v>88000</v>
      </c>
      <c r="L1498">
        <v>581000</v>
      </c>
      <c r="M1498">
        <v>0</v>
      </c>
      <c r="N1498">
        <v>0</v>
      </c>
      <c r="O1498">
        <v>0</v>
      </c>
      <c r="P1498">
        <v>0</v>
      </c>
      <c r="Q1498">
        <v>0</v>
      </c>
      <c r="R1498">
        <v>0</v>
      </c>
      <c r="S1498">
        <v>4190000.0000000005</v>
      </c>
      <c r="T1498" s="9">
        <v>45108</v>
      </c>
      <c r="U1498" s="9">
        <v>45473</v>
      </c>
      <c r="V1498">
        <f>SUM(POTABLE_NONPOTABLE_API[[#This Row],[RESIDENTIAL_SINGLEFAMILY_GAL]:[OTHER_GAL]])</f>
        <v>319685000</v>
      </c>
      <c r="W1498">
        <f>SUM(POTABLE_NONPOTABLE_API[[#This Row],[NONPOTABLE_DEMAND_RESIDENTIAL_RECYCLED_WATER_GAL]:[NONPOTABLE_DEMAND_NONRESIDENTIAL_METERED_IRRIGATION_GAL]])</f>
        <v>4190000.0000000005</v>
      </c>
      <c r="X1498" t="str">
        <f>IFERROR(INDEX(Crosswalk_API!$H$2:$H$527, MATCH(POTABLE_NONPOTABLE_API[[#This Row],[PWSID]], CW_PWSID_LIST, 0)), "")</f>
        <v>No</v>
      </c>
    </row>
    <row r="1499" spans="1:24" x14ac:dyDescent="0.25">
      <c r="A1499" t="s">
        <v>1122</v>
      </c>
      <c r="B1499" t="s">
        <v>1123</v>
      </c>
      <c r="C1499" t="s">
        <v>1124</v>
      </c>
      <c r="D1499" t="s">
        <v>1125</v>
      </c>
      <c r="E1499" s="9">
        <v>45383</v>
      </c>
      <c r="F1499" s="9">
        <v>45412</v>
      </c>
      <c r="G1499">
        <v>217516000</v>
      </c>
      <c r="H1499">
        <v>58543000</v>
      </c>
      <c r="I1499">
        <v>61614000</v>
      </c>
      <c r="J1499">
        <v>21416000</v>
      </c>
      <c r="K1499">
        <v>14417000</v>
      </c>
      <c r="L1499">
        <v>1724000</v>
      </c>
      <c r="M1499">
        <v>0</v>
      </c>
      <c r="N1499">
        <v>0</v>
      </c>
      <c r="O1499">
        <v>0</v>
      </c>
      <c r="P1499">
        <v>0</v>
      </c>
      <c r="Q1499">
        <v>0</v>
      </c>
      <c r="R1499">
        <v>0</v>
      </c>
      <c r="S1499">
        <v>10584000</v>
      </c>
      <c r="T1499" s="9">
        <v>45108</v>
      </c>
      <c r="U1499" s="9">
        <v>45473</v>
      </c>
      <c r="V1499">
        <f>SUM(POTABLE_NONPOTABLE_API[[#This Row],[RESIDENTIAL_SINGLEFAMILY_GAL]:[OTHER_GAL]])</f>
        <v>375230000</v>
      </c>
      <c r="W1499">
        <f>SUM(POTABLE_NONPOTABLE_API[[#This Row],[NONPOTABLE_DEMAND_RESIDENTIAL_RECYCLED_WATER_GAL]:[NONPOTABLE_DEMAND_NONRESIDENTIAL_METERED_IRRIGATION_GAL]])</f>
        <v>10584000</v>
      </c>
      <c r="X1499" t="str">
        <f>IFERROR(INDEX(Crosswalk_API!$H$2:$H$527, MATCH(POTABLE_NONPOTABLE_API[[#This Row],[PWSID]], CW_PWSID_LIST, 0)), "")</f>
        <v>No</v>
      </c>
    </row>
    <row r="1500" spans="1:24" x14ac:dyDescent="0.25">
      <c r="A1500" t="s">
        <v>1122</v>
      </c>
      <c r="B1500" t="s">
        <v>1123</v>
      </c>
      <c r="C1500" t="s">
        <v>1124</v>
      </c>
      <c r="D1500" t="s">
        <v>1125</v>
      </c>
      <c r="E1500" s="9">
        <v>45413</v>
      </c>
      <c r="F1500" s="9">
        <v>45443</v>
      </c>
      <c r="G1500">
        <v>352278000</v>
      </c>
      <c r="H1500">
        <v>38453000</v>
      </c>
      <c r="I1500">
        <v>53370000</v>
      </c>
      <c r="J1500">
        <v>72466000</v>
      </c>
      <c r="K1500">
        <v>142000</v>
      </c>
      <c r="L1500">
        <v>1101000</v>
      </c>
      <c r="M1500">
        <v>0</v>
      </c>
      <c r="N1500">
        <v>0</v>
      </c>
      <c r="O1500">
        <v>0</v>
      </c>
      <c r="P1500">
        <v>0</v>
      </c>
      <c r="Q1500">
        <v>0</v>
      </c>
      <c r="R1500">
        <v>0</v>
      </c>
      <c r="S1500">
        <v>30711000</v>
      </c>
      <c r="T1500" s="9">
        <v>45108</v>
      </c>
      <c r="U1500" s="9">
        <v>45473</v>
      </c>
      <c r="V1500">
        <f>SUM(POTABLE_NONPOTABLE_API[[#This Row],[RESIDENTIAL_SINGLEFAMILY_GAL]:[OTHER_GAL]])</f>
        <v>517810000</v>
      </c>
      <c r="W1500">
        <f>SUM(POTABLE_NONPOTABLE_API[[#This Row],[NONPOTABLE_DEMAND_RESIDENTIAL_RECYCLED_WATER_GAL]:[NONPOTABLE_DEMAND_NONRESIDENTIAL_METERED_IRRIGATION_GAL]])</f>
        <v>30711000</v>
      </c>
      <c r="X1500" t="str">
        <f>IFERROR(INDEX(Crosswalk_API!$H$2:$H$527, MATCH(POTABLE_NONPOTABLE_API[[#This Row],[PWSID]], CW_PWSID_LIST, 0)), "")</f>
        <v>No</v>
      </c>
    </row>
    <row r="1501" spans="1:24" x14ac:dyDescent="0.25">
      <c r="A1501" t="s">
        <v>1122</v>
      </c>
      <c r="B1501" t="s">
        <v>1123</v>
      </c>
      <c r="C1501" t="s">
        <v>1124</v>
      </c>
      <c r="D1501" t="s">
        <v>1125</v>
      </c>
      <c r="E1501" s="9">
        <v>45444</v>
      </c>
      <c r="F1501" s="9">
        <v>45473</v>
      </c>
      <c r="G1501">
        <v>403174000</v>
      </c>
      <c r="H1501">
        <v>84458000</v>
      </c>
      <c r="I1501">
        <v>119964000</v>
      </c>
      <c r="J1501">
        <v>106436000</v>
      </c>
      <c r="K1501">
        <v>22839000</v>
      </c>
      <c r="L1501">
        <v>2999000</v>
      </c>
      <c r="M1501">
        <v>0</v>
      </c>
      <c r="N1501">
        <v>0</v>
      </c>
      <c r="O1501">
        <v>0</v>
      </c>
      <c r="P1501">
        <v>0</v>
      </c>
      <c r="Q1501">
        <v>0</v>
      </c>
      <c r="R1501">
        <v>0</v>
      </c>
      <c r="S1501">
        <v>36872000</v>
      </c>
      <c r="T1501" s="9">
        <v>45108</v>
      </c>
      <c r="U1501" s="9">
        <v>45473</v>
      </c>
      <c r="V1501">
        <f>SUM(POTABLE_NONPOTABLE_API[[#This Row],[RESIDENTIAL_SINGLEFAMILY_GAL]:[OTHER_GAL]])</f>
        <v>739870000</v>
      </c>
      <c r="W1501">
        <f>SUM(POTABLE_NONPOTABLE_API[[#This Row],[NONPOTABLE_DEMAND_RESIDENTIAL_RECYCLED_WATER_GAL]:[NONPOTABLE_DEMAND_NONRESIDENTIAL_METERED_IRRIGATION_GAL]])</f>
        <v>36872000</v>
      </c>
      <c r="X1501" t="str">
        <f>IFERROR(INDEX(Crosswalk_API!$H$2:$H$527, MATCH(POTABLE_NONPOTABLE_API[[#This Row],[PWSID]], CW_PWSID_LIST, 0)), "")</f>
        <v>No</v>
      </c>
    </row>
    <row r="1502" spans="1:24" x14ac:dyDescent="0.25">
      <c r="A1502" t="s">
        <v>1126</v>
      </c>
      <c r="B1502" t="s">
        <v>1127</v>
      </c>
      <c r="C1502" t="s">
        <v>1128</v>
      </c>
      <c r="D1502" t="s">
        <v>1129</v>
      </c>
      <c r="E1502" s="9">
        <v>45108</v>
      </c>
      <c r="F1502" s="9">
        <v>45138</v>
      </c>
      <c r="G1502">
        <v>136500000</v>
      </c>
      <c r="H1502">
        <v>21800000</v>
      </c>
      <c r="I1502">
        <v>27800000</v>
      </c>
      <c r="J1502">
        <v>39900000</v>
      </c>
      <c r="K1502">
        <v>0</v>
      </c>
      <c r="L1502">
        <v>3300000</v>
      </c>
      <c r="M1502">
        <v>0</v>
      </c>
      <c r="T1502" s="9">
        <v>45108</v>
      </c>
      <c r="U1502" s="9">
        <v>45473</v>
      </c>
      <c r="V1502">
        <f>SUM(POTABLE_NONPOTABLE_API[[#This Row],[RESIDENTIAL_SINGLEFAMILY_GAL]:[OTHER_GAL]])</f>
        <v>229300000</v>
      </c>
      <c r="W1502">
        <f>SUM(POTABLE_NONPOTABLE_API[[#This Row],[NONPOTABLE_DEMAND_RESIDENTIAL_RECYCLED_WATER_GAL]:[NONPOTABLE_DEMAND_NONRESIDENTIAL_METERED_IRRIGATION_GAL]])</f>
        <v>0</v>
      </c>
      <c r="X1502" t="str">
        <f>IFERROR(INDEX(Crosswalk_API!$H$2:$H$527, MATCH(POTABLE_NONPOTABLE_API[[#This Row],[PWSID]], CW_PWSID_LIST, 0)), "")</f>
        <v>No</v>
      </c>
    </row>
    <row r="1503" spans="1:24" x14ac:dyDescent="0.25">
      <c r="A1503" t="s">
        <v>1126</v>
      </c>
      <c r="B1503" t="s">
        <v>1127</v>
      </c>
      <c r="C1503" t="s">
        <v>1128</v>
      </c>
      <c r="D1503" t="s">
        <v>1129</v>
      </c>
      <c r="E1503" s="9">
        <v>45139</v>
      </c>
      <c r="F1503" s="9">
        <v>45169</v>
      </c>
      <c r="G1503">
        <v>158290300</v>
      </c>
      <c r="H1503">
        <v>22650000</v>
      </c>
      <c r="I1503">
        <v>31650000</v>
      </c>
      <c r="J1503">
        <v>25310000</v>
      </c>
      <c r="K1503">
        <v>0</v>
      </c>
      <c r="L1503">
        <v>1460000</v>
      </c>
      <c r="M1503">
        <v>0</v>
      </c>
      <c r="T1503" s="9">
        <v>45108</v>
      </c>
      <c r="U1503" s="9">
        <v>45473</v>
      </c>
      <c r="V1503">
        <f>SUM(POTABLE_NONPOTABLE_API[[#This Row],[RESIDENTIAL_SINGLEFAMILY_GAL]:[OTHER_GAL]])</f>
        <v>239360300</v>
      </c>
      <c r="W1503">
        <f>SUM(POTABLE_NONPOTABLE_API[[#This Row],[NONPOTABLE_DEMAND_RESIDENTIAL_RECYCLED_WATER_GAL]:[NONPOTABLE_DEMAND_NONRESIDENTIAL_METERED_IRRIGATION_GAL]])</f>
        <v>0</v>
      </c>
      <c r="X1503" t="str">
        <f>IFERROR(INDEX(Crosswalk_API!$H$2:$H$527, MATCH(POTABLE_NONPOTABLE_API[[#This Row],[PWSID]], CW_PWSID_LIST, 0)), "")</f>
        <v>No</v>
      </c>
    </row>
    <row r="1504" spans="1:24" x14ac:dyDescent="0.25">
      <c r="A1504" t="s">
        <v>1126</v>
      </c>
      <c r="B1504" t="s">
        <v>1127</v>
      </c>
      <c r="C1504" t="s">
        <v>1128</v>
      </c>
      <c r="D1504" t="s">
        <v>1129</v>
      </c>
      <c r="E1504" s="9">
        <v>45170</v>
      </c>
      <c r="F1504" s="9">
        <v>45199</v>
      </c>
      <c r="G1504">
        <v>76900000</v>
      </c>
      <c r="H1504">
        <v>21800000</v>
      </c>
      <c r="I1504">
        <v>25900000</v>
      </c>
      <c r="J1504">
        <v>22500000</v>
      </c>
      <c r="K1504">
        <v>0</v>
      </c>
      <c r="L1504">
        <v>1300000</v>
      </c>
      <c r="M1504">
        <v>0</v>
      </c>
      <c r="T1504" s="9">
        <v>45108</v>
      </c>
      <c r="U1504" s="9">
        <v>45473</v>
      </c>
      <c r="V1504">
        <f>SUM(POTABLE_NONPOTABLE_API[[#This Row],[RESIDENTIAL_SINGLEFAMILY_GAL]:[OTHER_GAL]])</f>
        <v>148400000</v>
      </c>
      <c r="W1504">
        <f>SUM(POTABLE_NONPOTABLE_API[[#This Row],[NONPOTABLE_DEMAND_RESIDENTIAL_RECYCLED_WATER_GAL]:[NONPOTABLE_DEMAND_NONRESIDENTIAL_METERED_IRRIGATION_GAL]])</f>
        <v>0</v>
      </c>
      <c r="X1504" t="str">
        <f>IFERROR(INDEX(Crosswalk_API!$H$2:$H$527, MATCH(POTABLE_NONPOTABLE_API[[#This Row],[PWSID]], CW_PWSID_LIST, 0)), "")</f>
        <v>No</v>
      </c>
    </row>
    <row r="1505" spans="1:24" x14ac:dyDescent="0.25">
      <c r="A1505" t="s">
        <v>1126</v>
      </c>
      <c r="B1505" t="s">
        <v>1127</v>
      </c>
      <c r="C1505" t="s">
        <v>1128</v>
      </c>
      <c r="D1505" t="s">
        <v>1129</v>
      </c>
      <c r="E1505" s="9">
        <v>45200</v>
      </c>
      <c r="F1505" s="9">
        <v>45230</v>
      </c>
      <c r="G1505">
        <v>98350000</v>
      </c>
      <c r="H1505">
        <v>23240000</v>
      </c>
      <c r="I1505">
        <v>26330000</v>
      </c>
      <c r="J1505">
        <v>34640000</v>
      </c>
      <c r="K1505">
        <v>0</v>
      </c>
      <c r="L1505">
        <v>910000</v>
      </c>
      <c r="M1505">
        <v>0</v>
      </c>
      <c r="T1505" s="9">
        <v>45108</v>
      </c>
      <c r="U1505" s="9">
        <v>45473</v>
      </c>
      <c r="V1505">
        <f>SUM(POTABLE_NONPOTABLE_API[[#This Row],[RESIDENTIAL_SINGLEFAMILY_GAL]:[OTHER_GAL]])</f>
        <v>183470000</v>
      </c>
      <c r="W1505">
        <f>SUM(POTABLE_NONPOTABLE_API[[#This Row],[NONPOTABLE_DEMAND_RESIDENTIAL_RECYCLED_WATER_GAL]:[NONPOTABLE_DEMAND_NONRESIDENTIAL_METERED_IRRIGATION_GAL]])</f>
        <v>0</v>
      </c>
      <c r="X1505" t="str">
        <f>IFERROR(INDEX(Crosswalk_API!$H$2:$H$527, MATCH(POTABLE_NONPOTABLE_API[[#This Row],[PWSID]], CW_PWSID_LIST, 0)), "")</f>
        <v>No</v>
      </c>
    </row>
    <row r="1506" spans="1:24" x14ac:dyDescent="0.25">
      <c r="A1506" t="s">
        <v>1126</v>
      </c>
      <c r="B1506" t="s">
        <v>1127</v>
      </c>
      <c r="C1506" t="s">
        <v>1128</v>
      </c>
      <c r="D1506" t="s">
        <v>1129</v>
      </c>
      <c r="E1506" s="9">
        <v>45231</v>
      </c>
      <c r="F1506" s="9">
        <v>45260</v>
      </c>
      <c r="G1506">
        <v>84200000</v>
      </c>
      <c r="H1506">
        <v>20150000</v>
      </c>
      <c r="I1506">
        <v>24520000</v>
      </c>
      <c r="J1506">
        <v>28720000</v>
      </c>
      <c r="K1506">
        <v>0</v>
      </c>
      <c r="L1506">
        <v>1420000</v>
      </c>
      <c r="M1506">
        <v>0</v>
      </c>
      <c r="T1506" s="9">
        <v>45108</v>
      </c>
      <c r="U1506" s="9">
        <v>45473</v>
      </c>
      <c r="V1506">
        <f>SUM(POTABLE_NONPOTABLE_API[[#This Row],[RESIDENTIAL_SINGLEFAMILY_GAL]:[OTHER_GAL]])</f>
        <v>159010000</v>
      </c>
      <c r="W1506">
        <f>SUM(POTABLE_NONPOTABLE_API[[#This Row],[NONPOTABLE_DEMAND_RESIDENTIAL_RECYCLED_WATER_GAL]:[NONPOTABLE_DEMAND_NONRESIDENTIAL_METERED_IRRIGATION_GAL]])</f>
        <v>0</v>
      </c>
      <c r="X1506" t="str">
        <f>IFERROR(INDEX(Crosswalk_API!$H$2:$H$527, MATCH(POTABLE_NONPOTABLE_API[[#This Row],[PWSID]], CW_PWSID_LIST, 0)), "")</f>
        <v>No</v>
      </c>
    </row>
    <row r="1507" spans="1:24" x14ac:dyDescent="0.25">
      <c r="A1507" t="s">
        <v>1126</v>
      </c>
      <c r="B1507" t="s">
        <v>1127</v>
      </c>
      <c r="C1507" t="s">
        <v>1128</v>
      </c>
      <c r="D1507" t="s">
        <v>1129</v>
      </c>
      <c r="E1507" s="9">
        <v>45261</v>
      </c>
      <c r="F1507" s="9">
        <v>45291</v>
      </c>
      <c r="G1507">
        <v>78700000</v>
      </c>
      <c r="H1507">
        <v>17000000</v>
      </c>
      <c r="I1507">
        <v>22100000</v>
      </c>
      <c r="J1507">
        <v>16800000</v>
      </c>
      <c r="K1507">
        <v>0</v>
      </c>
      <c r="L1507">
        <v>1400000</v>
      </c>
      <c r="M1507">
        <v>0</v>
      </c>
      <c r="T1507" s="9">
        <v>45108</v>
      </c>
      <c r="U1507" s="9">
        <v>45473</v>
      </c>
      <c r="V1507">
        <f>SUM(POTABLE_NONPOTABLE_API[[#This Row],[RESIDENTIAL_SINGLEFAMILY_GAL]:[OTHER_GAL]])</f>
        <v>136000000</v>
      </c>
      <c r="W1507">
        <f>SUM(POTABLE_NONPOTABLE_API[[#This Row],[NONPOTABLE_DEMAND_RESIDENTIAL_RECYCLED_WATER_GAL]:[NONPOTABLE_DEMAND_NONRESIDENTIAL_METERED_IRRIGATION_GAL]])</f>
        <v>0</v>
      </c>
      <c r="X1507" t="str">
        <f>IFERROR(INDEX(Crosswalk_API!$H$2:$H$527, MATCH(POTABLE_NONPOTABLE_API[[#This Row],[PWSID]], CW_PWSID_LIST, 0)), "")</f>
        <v>No</v>
      </c>
    </row>
    <row r="1508" spans="1:24" x14ac:dyDescent="0.25">
      <c r="A1508" t="s">
        <v>1126</v>
      </c>
      <c r="B1508" t="s">
        <v>1127</v>
      </c>
      <c r="C1508" t="s">
        <v>1128</v>
      </c>
      <c r="D1508" t="s">
        <v>1129</v>
      </c>
      <c r="E1508" s="9">
        <v>45292</v>
      </c>
      <c r="F1508" s="9">
        <v>45322</v>
      </c>
      <c r="G1508">
        <v>70700000</v>
      </c>
      <c r="H1508">
        <v>20100000</v>
      </c>
      <c r="I1508">
        <v>17800000</v>
      </c>
      <c r="J1508">
        <v>13700000</v>
      </c>
      <c r="K1508">
        <v>0</v>
      </c>
      <c r="L1508">
        <v>4370000</v>
      </c>
      <c r="M1508">
        <v>0</v>
      </c>
      <c r="T1508" s="9">
        <v>45108</v>
      </c>
      <c r="U1508" s="9">
        <v>45473</v>
      </c>
      <c r="V1508">
        <f>SUM(POTABLE_NONPOTABLE_API[[#This Row],[RESIDENTIAL_SINGLEFAMILY_GAL]:[OTHER_GAL]])</f>
        <v>126670000</v>
      </c>
      <c r="W1508">
        <f>SUM(POTABLE_NONPOTABLE_API[[#This Row],[NONPOTABLE_DEMAND_RESIDENTIAL_RECYCLED_WATER_GAL]:[NONPOTABLE_DEMAND_NONRESIDENTIAL_METERED_IRRIGATION_GAL]])</f>
        <v>0</v>
      </c>
      <c r="X1508" t="str">
        <f>IFERROR(INDEX(Crosswalk_API!$H$2:$H$527, MATCH(POTABLE_NONPOTABLE_API[[#This Row],[PWSID]], CW_PWSID_LIST, 0)), "")</f>
        <v>No</v>
      </c>
    </row>
    <row r="1509" spans="1:24" x14ac:dyDescent="0.25">
      <c r="A1509" t="s">
        <v>1126</v>
      </c>
      <c r="B1509" t="s">
        <v>1127</v>
      </c>
      <c r="C1509" t="s">
        <v>1128</v>
      </c>
      <c r="D1509" t="s">
        <v>1129</v>
      </c>
      <c r="E1509" s="9">
        <v>45323</v>
      </c>
      <c r="F1509" s="9">
        <v>45351</v>
      </c>
      <c r="G1509">
        <v>80350000</v>
      </c>
      <c r="H1509">
        <v>20480000</v>
      </c>
      <c r="I1509">
        <v>16300000</v>
      </c>
      <c r="J1509">
        <v>12000000</v>
      </c>
      <c r="K1509">
        <v>0</v>
      </c>
      <c r="L1509">
        <v>9000000</v>
      </c>
      <c r="M1509">
        <v>0</v>
      </c>
      <c r="T1509" s="9">
        <v>45108</v>
      </c>
      <c r="U1509" s="9">
        <v>45473</v>
      </c>
      <c r="V1509">
        <f>SUM(POTABLE_NONPOTABLE_API[[#This Row],[RESIDENTIAL_SINGLEFAMILY_GAL]:[OTHER_GAL]])</f>
        <v>138130000</v>
      </c>
      <c r="W1509">
        <f>SUM(POTABLE_NONPOTABLE_API[[#This Row],[NONPOTABLE_DEMAND_RESIDENTIAL_RECYCLED_WATER_GAL]:[NONPOTABLE_DEMAND_NONRESIDENTIAL_METERED_IRRIGATION_GAL]])</f>
        <v>0</v>
      </c>
      <c r="X1509" t="str">
        <f>IFERROR(INDEX(Crosswalk_API!$H$2:$H$527, MATCH(POTABLE_NONPOTABLE_API[[#This Row],[PWSID]], CW_PWSID_LIST, 0)), "")</f>
        <v>No</v>
      </c>
    </row>
    <row r="1510" spans="1:24" x14ac:dyDescent="0.25">
      <c r="A1510" t="s">
        <v>1126</v>
      </c>
      <c r="B1510" t="s">
        <v>1127</v>
      </c>
      <c r="C1510" t="s">
        <v>1128</v>
      </c>
      <c r="D1510" t="s">
        <v>1129</v>
      </c>
      <c r="E1510" s="9">
        <v>45352</v>
      </c>
      <c r="F1510" s="9">
        <v>45382</v>
      </c>
      <c r="G1510">
        <v>73300000</v>
      </c>
      <c r="H1510">
        <v>12500000</v>
      </c>
      <c r="I1510">
        <v>20600000</v>
      </c>
      <c r="J1510">
        <v>10500000</v>
      </c>
      <c r="K1510">
        <v>0</v>
      </c>
      <c r="L1510">
        <v>6000000</v>
      </c>
      <c r="M1510">
        <v>0</v>
      </c>
      <c r="T1510" s="9">
        <v>45108</v>
      </c>
      <c r="U1510" s="9">
        <v>45473</v>
      </c>
      <c r="V1510">
        <f>SUM(POTABLE_NONPOTABLE_API[[#This Row],[RESIDENTIAL_SINGLEFAMILY_GAL]:[OTHER_GAL]])</f>
        <v>122900000</v>
      </c>
      <c r="W1510">
        <f>SUM(POTABLE_NONPOTABLE_API[[#This Row],[NONPOTABLE_DEMAND_RESIDENTIAL_RECYCLED_WATER_GAL]:[NONPOTABLE_DEMAND_NONRESIDENTIAL_METERED_IRRIGATION_GAL]])</f>
        <v>0</v>
      </c>
      <c r="X1510" t="str">
        <f>IFERROR(INDEX(Crosswalk_API!$H$2:$H$527, MATCH(POTABLE_NONPOTABLE_API[[#This Row],[PWSID]], CW_PWSID_LIST, 0)), "")</f>
        <v>No</v>
      </c>
    </row>
    <row r="1511" spans="1:24" x14ac:dyDescent="0.25">
      <c r="A1511" t="s">
        <v>1126</v>
      </c>
      <c r="B1511" t="s">
        <v>1127</v>
      </c>
      <c r="C1511" t="s">
        <v>1128</v>
      </c>
      <c r="D1511" t="s">
        <v>1129</v>
      </c>
      <c r="E1511" s="9">
        <v>45383</v>
      </c>
      <c r="F1511" s="9">
        <v>45412</v>
      </c>
      <c r="G1511">
        <v>112000000</v>
      </c>
      <c r="H1511">
        <v>24100000</v>
      </c>
      <c r="I1511">
        <v>26400000</v>
      </c>
      <c r="J1511">
        <v>27300000</v>
      </c>
      <c r="K1511">
        <v>0</v>
      </c>
      <c r="L1511">
        <v>4600000</v>
      </c>
      <c r="M1511">
        <v>0</v>
      </c>
      <c r="T1511" s="9">
        <v>45108</v>
      </c>
      <c r="U1511" s="9">
        <v>45473</v>
      </c>
      <c r="V1511">
        <f>SUM(POTABLE_NONPOTABLE_API[[#This Row],[RESIDENTIAL_SINGLEFAMILY_GAL]:[OTHER_GAL]])</f>
        <v>194400000</v>
      </c>
      <c r="W1511">
        <f>SUM(POTABLE_NONPOTABLE_API[[#This Row],[NONPOTABLE_DEMAND_RESIDENTIAL_RECYCLED_WATER_GAL]:[NONPOTABLE_DEMAND_NONRESIDENTIAL_METERED_IRRIGATION_GAL]])</f>
        <v>0</v>
      </c>
      <c r="X1511" t="str">
        <f>IFERROR(INDEX(Crosswalk_API!$H$2:$H$527, MATCH(POTABLE_NONPOTABLE_API[[#This Row],[PWSID]], CW_PWSID_LIST, 0)), "")</f>
        <v>No</v>
      </c>
    </row>
    <row r="1512" spans="1:24" x14ac:dyDescent="0.25">
      <c r="A1512" t="s">
        <v>1126</v>
      </c>
      <c r="B1512" t="s">
        <v>1127</v>
      </c>
      <c r="C1512" t="s">
        <v>1128</v>
      </c>
      <c r="D1512" t="s">
        <v>1129</v>
      </c>
      <c r="E1512" s="9">
        <v>45413</v>
      </c>
      <c r="F1512" s="9">
        <v>45443</v>
      </c>
      <c r="G1512">
        <v>147356700</v>
      </c>
      <c r="H1512">
        <v>23087020</v>
      </c>
      <c r="I1512">
        <v>24450620</v>
      </c>
      <c r="J1512">
        <v>38132290</v>
      </c>
      <c r="K1512">
        <v>0</v>
      </c>
      <c r="L1512">
        <v>942480</v>
      </c>
      <c r="M1512">
        <v>0</v>
      </c>
      <c r="T1512" s="9">
        <v>45108</v>
      </c>
      <c r="U1512" s="9">
        <v>45473</v>
      </c>
      <c r="V1512">
        <f>SUM(POTABLE_NONPOTABLE_API[[#This Row],[RESIDENTIAL_SINGLEFAMILY_GAL]:[OTHER_GAL]])</f>
        <v>233969110</v>
      </c>
      <c r="W1512">
        <f>SUM(POTABLE_NONPOTABLE_API[[#This Row],[NONPOTABLE_DEMAND_RESIDENTIAL_RECYCLED_WATER_GAL]:[NONPOTABLE_DEMAND_NONRESIDENTIAL_METERED_IRRIGATION_GAL]])</f>
        <v>0</v>
      </c>
      <c r="X1512" t="str">
        <f>IFERROR(INDEX(Crosswalk_API!$H$2:$H$527, MATCH(POTABLE_NONPOTABLE_API[[#This Row],[PWSID]], CW_PWSID_LIST, 0)), "")</f>
        <v>No</v>
      </c>
    </row>
    <row r="1513" spans="1:24" x14ac:dyDescent="0.25">
      <c r="A1513" t="s">
        <v>1126</v>
      </c>
      <c r="B1513" t="s">
        <v>1127</v>
      </c>
      <c r="C1513" t="s">
        <v>1128</v>
      </c>
      <c r="D1513" t="s">
        <v>1129</v>
      </c>
      <c r="E1513" s="9">
        <v>45444</v>
      </c>
      <c r="F1513" s="9">
        <v>45473</v>
      </c>
      <c r="G1513">
        <v>70100000</v>
      </c>
      <c r="H1513">
        <v>13800000</v>
      </c>
      <c r="I1513">
        <v>22900000</v>
      </c>
      <c r="J1513">
        <v>25100000</v>
      </c>
      <c r="K1513">
        <v>0</v>
      </c>
      <c r="L1513">
        <v>6900000</v>
      </c>
      <c r="M1513">
        <v>0</v>
      </c>
      <c r="T1513" s="9">
        <v>45108</v>
      </c>
      <c r="U1513" s="9">
        <v>45473</v>
      </c>
      <c r="V1513">
        <f>SUM(POTABLE_NONPOTABLE_API[[#This Row],[RESIDENTIAL_SINGLEFAMILY_GAL]:[OTHER_GAL]])</f>
        <v>138800000</v>
      </c>
      <c r="W1513">
        <f>SUM(POTABLE_NONPOTABLE_API[[#This Row],[NONPOTABLE_DEMAND_RESIDENTIAL_RECYCLED_WATER_GAL]:[NONPOTABLE_DEMAND_NONRESIDENTIAL_METERED_IRRIGATION_GAL]])</f>
        <v>0</v>
      </c>
      <c r="X1513" t="str">
        <f>IFERROR(INDEX(Crosswalk_API!$H$2:$H$527, MATCH(POTABLE_NONPOTABLE_API[[#This Row],[PWSID]], CW_PWSID_LIST, 0)), "")</f>
        <v>No</v>
      </c>
    </row>
    <row r="1514" spans="1:24" x14ac:dyDescent="0.25">
      <c r="A1514" t="s">
        <v>1130</v>
      </c>
      <c r="B1514" t="s">
        <v>1131</v>
      </c>
      <c r="C1514" t="s">
        <v>1132</v>
      </c>
      <c r="D1514" t="s">
        <v>1133</v>
      </c>
      <c r="E1514" s="9">
        <v>45108</v>
      </c>
      <c r="F1514" s="9">
        <v>45138</v>
      </c>
      <c r="G1514">
        <v>1588093175.829</v>
      </c>
      <c r="H1514">
        <v>187543217.199</v>
      </c>
      <c r="I1514">
        <v>231337591.59899998</v>
      </c>
      <c r="J1514">
        <v>785085848.34000003</v>
      </c>
      <c r="K1514">
        <v>0</v>
      </c>
      <c r="L1514">
        <v>0</v>
      </c>
      <c r="M1514">
        <v>0</v>
      </c>
      <c r="T1514" s="9">
        <v>45108</v>
      </c>
      <c r="U1514" s="9">
        <v>45473</v>
      </c>
      <c r="V1514">
        <f>SUM(POTABLE_NONPOTABLE_API[[#This Row],[RESIDENTIAL_SINGLEFAMILY_GAL]:[OTHER_GAL]])</f>
        <v>2792059832.967</v>
      </c>
      <c r="W1514">
        <f>SUM(POTABLE_NONPOTABLE_API[[#This Row],[NONPOTABLE_DEMAND_RESIDENTIAL_RECYCLED_WATER_GAL]:[NONPOTABLE_DEMAND_NONRESIDENTIAL_METERED_IRRIGATION_GAL]])</f>
        <v>0</v>
      </c>
      <c r="X1514" t="str">
        <f>IFERROR(INDEX(Crosswalk_API!$H$2:$H$527, MATCH(POTABLE_NONPOTABLE_API[[#This Row],[PWSID]], CW_PWSID_LIST, 0)), "")</f>
        <v>No</v>
      </c>
    </row>
    <row r="1515" spans="1:24" x14ac:dyDescent="0.25">
      <c r="A1515" t="s">
        <v>1130</v>
      </c>
      <c r="B1515" t="s">
        <v>1131</v>
      </c>
      <c r="C1515" t="s">
        <v>1132</v>
      </c>
      <c r="D1515" t="s">
        <v>1133</v>
      </c>
      <c r="E1515" s="9">
        <v>45139</v>
      </c>
      <c r="F1515" s="9">
        <v>45169</v>
      </c>
      <c r="G1515">
        <v>1772855254.743</v>
      </c>
      <c r="H1515">
        <v>202318279.09200001</v>
      </c>
      <c r="I1515">
        <v>242423368.47</v>
      </c>
      <c r="J1515">
        <v>830440397.32799995</v>
      </c>
      <c r="K1515">
        <v>0</v>
      </c>
      <c r="L1515">
        <v>0</v>
      </c>
      <c r="M1515">
        <v>0</v>
      </c>
      <c r="T1515" s="9">
        <v>45108</v>
      </c>
      <c r="U1515" s="9">
        <v>45473</v>
      </c>
      <c r="V1515">
        <f>SUM(POTABLE_NONPOTABLE_API[[#This Row],[RESIDENTIAL_SINGLEFAMILY_GAL]:[OTHER_GAL]])</f>
        <v>3048037299.6329999</v>
      </c>
      <c r="W1515">
        <f>SUM(POTABLE_NONPOTABLE_API[[#This Row],[NONPOTABLE_DEMAND_RESIDENTIAL_RECYCLED_WATER_GAL]:[NONPOTABLE_DEMAND_NONRESIDENTIAL_METERED_IRRIGATION_GAL]])</f>
        <v>0</v>
      </c>
      <c r="X1515" t="str">
        <f>IFERROR(INDEX(Crosswalk_API!$H$2:$H$527, MATCH(POTABLE_NONPOTABLE_API[[#This Row],[PWSID]], CW_PWSID_LIST, 0)), "")</f>
        <v>No</v>
      </c>
    </row>
    <row r="1516" spans="1:24" x14ac:dyDescent="0.25">
      <c r="A1516" t="s">
        <v>1130</v>
      </c>
      <c r="B1516" t="s">
        <v>1131</v>
      </c>
      <c r="C1516" t="s">
        <v>1132</v>
      </c>
      <c r="D1516" t="s">
        <v>1133</v>
      </c>
      <c r="E1516" s="9">
        <v>45170</v>
      </c>
      <c r="F1516" s="9">
        <v>45199</v>
      </c>
      <c r="G1516">
        <v>1709805693.0510001</v>
      </c>
      <c r="H1516">
        <v>202712558.80199999</v>
      </c>
      <c r="I1516">
        <v>226647618.15600002</v>
      </c>
      <c r="J1516">
        <v>696152312.46300006</v>
      </c>
      <c r="K1516">
        <v>0</v>
      </c>
      <c r="L1516">
        <v>0</v>
      </c>
      <c r="M1516">
        <v>0</v>
      </c>
      <c r="T1516" s="9">
        <v>45108</v>
      </c>
      <c r="U1516" s="9">
        <v>45473</v>
      </c>
      <c r="V1516">
        <f>SUM(POTABLE_NONPOTABLE_API[[#This Row],[RESIDENTIAL_SINGLEFAMILY_GAL]:[OTHER_GAL]])</f>
        <v>2835318182.4720001</v>
      </c>
      <c r="W1516">
        <f>SUM(POTABLE_NONPOTABLE_API[[#This Row],[NONPOTABLE_DEMAND_RESIDENTIAL_RECYCLED_WATER_GAL]:[NONPOTABLE_DEMAND_NONRESIDENTIAL_METERED_IRRIGATION_GAL]])</f>
        <v>0</v>
      </c>
      <c r="X1516" t="str">
        <f>IFERROR(INDEX(Crosswalk_API!$H$2:$H$527, MATCH(POTABLE_NONPOTABLE_API[[#This Row],[PWSID]], CW_PWSID_LIST, 0)), "")</f>
        <v>No</v>
      </c>
    </row>
    <row r="1517" spans="1:24" x14ac:dyDescent="0.25">
      <c r="A1517" t="s">
        <v>1130</v>
      </c>
      <c r="B1517" t="s">
        <v>1131</v>
      </c>
      <c r="C1517" t="s">
        <v>1132</v>
      </c>
      <c r="D1517" t="s">
        <v>1133</v>
      </c>
      <c r="E1517" s="9">
        <v>45200</v>
      </c>
      <c r="F1517" s="9">
        <v>45230</v>
      </c>
      <c r="G1517">
        <v>1324773634.431</v>
      </c>
      <c r="H1517">
        <v>163309352.47799999</v>
      </c>
      <c r="I1517">
        <v>199825844.79300001</v>
      </c>
      <c r="J1517">
        <v>505909419.72899997</v>
      </c>
      <c r="K1517">
        <v>0</v>
      </c>
      <c r="L1517">
        <v>0</v>
      </c>
      <c r="M1517">
        <v>0</v>
      </c>
      <c r="T1517" s="9">
        <v>45108</v>
      </c>
      <c r="U1517" s="9">
        <v>45473</v>
      </c>
      <c r="V1517">
        <f>SUM(POTABLE_NONPOTABLE_API[[#This Row],[RESIDENTIAL_SINGLEFAMILY_GAL]:[OTHER_GAL]])</f>
        <v>2193818251.4309998</v>
      </c>
      <c r="W1517">
        <f>SUM(POTABLE_NONPOTABLE_API[[#This Row],[NONPOTABLE_DEMAND_RESIDENTIAL_RECYCLED_WATER_GAL]:[NONPOTABLE_DEMAND_NONRESIDENTIAL_METERED_IRRIGATION_GAL]])</f>
        <v>0</v>
      </c>
      <c r="X1517" t="str">
        <f>IFERROR(INDEX(Crosswalk_API!$H$2:$H$527, MATCH(POTABLE_NONPOTABLE_API[[#This Row],[PWSID]], CW_PWSID_LIST, 0)), "")</f>
        <v>No</v>
      </c>
    </row>
    <row r="1518" spans="1:24" x14ac:dyDescent="0.25">
      <c r="A1518" t="s">
        <v>1130</v>
      </c>
      <c r="B1518" t="s">
        <v>1131</v>
      </c>
      <c r="C1518" t="s">
        <v>1132</v>
      </c>
      <c r="D1518" t="s">
        <v>1133</v>
      </c>
      <c r="E1518" s="9">
        <v>45231</v>
      </c>
      <c r="F1518" s="9">
        <v>45260</v>
      </c>
      <c r="G1518">
        <v>1437224488.6800001</v>
      </c>
      <c r="H1518">
        <v>174446939.65799999</v>
      </c>
      <c r="I1518">
        <v>196322946.54300001</v>
      </c>
      <c r="J1518">
        <v>583383753.48899996</v>
      </c>
      <c r="K1518">
        <v>0</v>
      </c>
      <c r="L1518">
        <v>0</v>
      </c>
      <c r="M1518">
        <v>0</v>
      </c>
      <c r="T1518" s="9">
        <v>45108</v>
      </c>
      <c r="U1518" s="9">
        <v>45473</v>
      </c>
      <c r="V1518">
        <f>SUM(POTABLE_NONPOTABLE_API[[#This Row],[RESIDENTIAL_SINGLEFAMILY_GAL]:[OTHER_GAL]])</f>
        <v>2391378128.3699999</v>
      </c>
      <c r="W1518">
        <f>SUM(POTABLE_NONPOTABLE_API[[#This Row],[NONPOTABLE_DEMAND_RESIDENTIAL_RECYCLED_WATER_GAL]:[NONPOTABLE_DEMAND_NONRESIDENTIAL_METERED_IRRIGATION_GAL]])</f>
        <v>0</v>
      </c>
      <c r="X1518" t="str">
        <f>IFERROR(INDEX(Crosswalk_API!$H$2:$H$527, MATCH(POTABLE_NONPOTABLE_API[[#This Row],[PWSID]], CW_PWSID_LIST, 0)), "")</f>
        <v>No</v>
      </c>
    </row>
    <row r="1519" spans="1:24" x14ac:dyDescent="0.25">
      <c r="A1519" t="s">
        <v>1130</v>
      </c>
      <c r="B1519" t="s">
        <v>1131</v>
      </c>
      <c r="C1519" t="s">
        <v>1132</v>
      </c>
      <c r="D1519" t="s">
        <v>1133</v>
      </c>
      <c r="E1519" s="9">
        <v>45261</v>
      </c>
      <c r="F1519" s="9">
        <v>45291</v>
      </c>
      <c r="G1519">
        <v>1199319696.0270002</v>
      </c>
      <c r="H1519">
        <v>161886361.16099998</v>
      </c>
      <c r="I1519">
        <v>228189870.93900001</v>
      </c>
      <c r="J1519">
        <v>522824670.99000001</v>
      </c>
      <c r="K1519">
        <v>0</v>
      </c>
      <c r="L1519">
        <v>0</v>
      </c>
      <c r="M1519">
        <v>0</v>
      </c>
      <c r="T1519" s="9">
        <v>45108</v>
      </c>
      <c r="U1519" s="9">
        <v>45473</v>
      </c>
      <c r="V1519">
        <f>SUM(POTABLE_NONPOTABLE_API[[#This Row],[RESIDENTIAL_SINGLEFAMILY_GAL]:[OTHER_GAL]])</f>
        <v>2112220599.1170003</v>
      </c>
      <c r="W1519">
        <f>SUM(POTABLE_NONPOTABLE_API[[#This Row],[NONPOTABLE_DEMAND_RESIDENTIAL_RECYCLED_WATER_GAL]:[NONPOTABLE_DEMAND_NONRESIDENTIAL_METERED_IRRIGATION_GAL]])</f>
        <v>0</v>
      </c>
      <c r="X1519" t="str">
        <f>IFERROR(INDEX(Crosswalk_API!$H$2:$H$527, MATCH(POTABLE_NONPOTABLE_API[[#This Row],[PWSID]], CW_PWSID_LIST, 0)), "")</f>
        <v>No</v>
      </c>
    </row>
    <row r="1520" spans="1:24" x14ac:dyDescent="0.25">
      <c r="A1520" t="s">
        <v>1130</v>
      </c>
      <c r="B1520" t="s">
        <v>1131</v>
      </c>
      <c r="C1520" t="s">
        <v>1132</v>
      </c>
      <c r="D1520" t="s">
        <v>1133</v>
      </c>
      <c r="E1520" s="9">
        <v>45292</v>
      </c>
      <c r="F1520" s="9">
        <v>45322</v>
      </c>
      <c r="G1520">
        <v>967514508.24300003</v>
      </c>
      <c r="H1520">
        <v>158353484.61899999</v>
      </c>
      <c r="I1520">
        <v>159327779.109</v>
      </c>
      <c r="J1520">
        <v>359403877.47000003</v>
      </c>
      <c r="K1520">
        <v>0</v>
      </c>
      <c r="L1520">
        <v>0</v>
      </c>
      <c r="M1520">
        <v>0</v>
      </c>
      <c r="T1520" s="9">
        <v>45108</v>
      </c>
      <c r="U1520" s="9">
        <v>45473</v>
      </c>
      <c r="V1520">
        <f>SUM(POTABLE_NONPOTABLE_API[[#This Row],[RESIDENTIAL_SINGLEFAMILY_GAL]:[OTHER_GAL]])</f>
        <v>1644599649.441</v>
      </c>
      <c r="W1520">
        <f>SUM(POTABLE_NONPOTABLE_API[[#This Row],[NONPOTABLE_DEMAND_RESIDENTIAL_RECYCLED_WATER_GAL]:[NONPOTABLE_DEMAND_NONRESIDENTIAL_METERED_IRRIGATION_GAL]])</f>
        <v>0</v>
      </c>
      <c r="X1520" t="str">
        <f>IFERROR(INDEX(Crosswalk_API!$H$2:$H$527, MATCH(POTABLE_NONPOTABLE_API[[#This Row],[PWSID]], CW_PWSID_LIST, 0)), "")</f>
        <v>No</v>
      </c>
    </row>
    <row r="1521" spans="1:24" x14ac:dyDescent="0.25">
      <c r="A1521" t="s">
        <v>1130</v>
      </c>
      <c r="B1521" t="s">
        <v>1131</v>
      </c>
      <c r="C1521" t="s">
        <v>1132</v>
      </c>
      <c r="D1521" t="s">
        <v>1133</v>
      </c>
      <c r="E1521" s="9">
        <v>45323</v>
      </c>
      <c r="F1521" s="9">
        <v>45351</v>
      </c>
      <c r="G1521">
        <v>903718747.76100004</v>
      </c>
      <c r="H1521">
        <v>152512279.59299999</v>
      </c>
      <c r="I1521">
        <v>153654713.199</v>
      </c>
      <c r="J1521">
        <v>216070494.69600001</v>
      </c>
      <c r="K1521">
        <v>0</v>
      </c>
      <c r="L1521">
        <v>0</v>
      </c>
      <c r="M1521">
        <v>0</v>
      </c>
      <c r="T1521" s="9">
        <v>45108</v>
      </c>
      <c r="U1521" s="9">
        <v>45473</v>
      </c>
      <c r="V1521">
        <f>SUM(POTABLE_NONPOTABLE_API[[#This Row],[RESIDENTIAL_SINGLEFAMILY_GAL]:[OTHER_GAL]])</f>
        <v>1425956235.2490001</v>
      </c>
      <c r="W1521">
        <f>SUM(POTABLE_NONPOTABLE_API[[#This Row],[NONPOTABLE_DEMAND_RESIDENTIAL_RECYCLED_WATER_GAL]:[NONPOTABLE_DEMAND_NONRESIDENTIAL_METERED_IRRIGATION_GAL]])</f>
        <v>0</v>
      </c>
      <c r="X1521" t="str">
        <f>IFERROR(INDEX(Crosswalk_API!$H$2:$H$527, MATCH(POTABLE_NONPOTABLE_API[[#This Row],[PWSID]], CW_PWSID_LIST, 0)), "")</f>
        <v>No</v>
      </c>
    </row>
    <row r="1522" spans="1:24" x14ac:dyDescent="0.25">
      <c r="A1522" t="s">
        <v>1130</v>
      </c>
      <c r="B1522" t="s">
        <v>1131</v>
      </c>
      <c r="C1522" t="s">
        <v>1132</v>
      </c>
      <c r="D1522" t="s">
        <v>1133</v>
      </c>
      <c r="E1522" s="9">
        <v>45352</v>
      </c>
      <c r="F1522" s="9">
        <v>45382</v>
      </c>
      <c r="G1522">
        <v>813335174.93400002</v>
      </c>
      <c r="H1522">
        <v>129891377.32200001</v>
      </c>
      <c r="I1522">
        <v>147701089.57800001</v>
      </c>
      <c r="J1522">
        <v>223089976.93800002</v>
      </c>
      <c r="K1522">
        <v>0</v>
      </c>
      <c r="L1522">
        <v>0</v>
      </c>
      <c r="M1522">
        <v>0</v>
      </c>
      <c r="T1522" s="9">
        <v>45108</v>
      </c>
      <c r="U1522" s="9">
        <v>45473</v>
      </c>
      <c r="V1522">
        <f>SUM(POTABLE_NONPOTABLE_API[[#This Row],[RESIDENTIAL_SINGLEFAMILY_GAL]:[OTHER_GAL]])</f>
        <v>1314017618.7720001</v>
      </c>
      <c r="W1522">
        <f>SUM(POTABLE_NONPOTABLE_API[[#This Row],[NONPOTABLE_DEMAND_RESIDENTIAL_RECYCLED_WATER_GAL]:[NONPOTABLE_DEMAND_NONRESIDENTIAL_METERED_IRRIGATION_GAL]])</f>
        <v>0</v>
      </c>
      <c r="X1522" t="str">
        <f>IFERROR(INDEX(Crosswalk_API!$H$2:$H$527, MATCH(POTABLE_NONPOTABLE_API[[#This Row],[PWSID]], CW_PWSID_LIST, 0)), "")</f>
        <v>No</v>
      </c>
    </row>
    <row r="1523" spans="1:24" x14ac:dyDescent="0.25">
      <c r="A1523" t="s">
        <v>1130</v>
      </c>
      <c r="B1523" t="s">
        <v>1131</v>
      </c>
      <c r="C1523" t="s">
        <v>1132</v>
      </c>
      <c r="D1523" t="s">
        <v>1133</v>
      </c>
      <c r="E1523" s="9">
        <v>45383</v>
      </c>
      <c r="F1523" s="9">
        <v>45412</v>
      </c>
      <c r="G1523">
        <v>1101360739.1520002</v>
      </c>
      <c r="H1523">
        <v>163777926.21599999</v>
      </c>
      <c r="I1523">
        <v>200924288.514</v>
      </c>
      <c r="J1523">
        <v>446221011.102</v>
      </c>
      <c r="K1523">
        <v>0</v>
      </c>
      <c r="L1523">
        <v>0</v>
      </c>
      <c r="M1523">
        <v>0</v>
      </c>
      <c r="T1523" s="9">
        <v>45108</v>
      </c>
      <c r="U1523" s="9">
        <v>45473</v>
      </c>
      <c r="V1523">
        <f>SUM(POTABLE_NONPOTABLE_API[[#This Row],[RESIDENTIAL_SINGLEFAMILY_GAL]:[OTHER_GAL]])</f>
        <v>1912283964.9840002</v>
      </c>
      <c r="W1523">
        <f>SUM(POTABLE_NONPOTABLE_API[[#This Row],[NONPOTABLE_DEMAND_RESIDENTIAL_RECYCLED_WATER_GAL]:[NONPOTABLE_DEMAND_NONRESIDENTIAL_METERED_IRRIGATION_GAL]])</f>
        <v>0</v>
      </c>
      <c r="X1523" t="str">
        <f>IFERROR(INDEX(Crosswalk_API!$H$2:$H$527, MATCH(POTABLE_NONPOTABLE_API[[#This Row],[PWSID]], CW_PWSID_LIST, 0)), "")</f>
        <v>No</v>
      </c>
    </row>
    <row r="1524" spans="1:24" x14ac:dyDescent="0.25">
      <c r="A1524" t="s">
        <v>1130</v>
      </c>
      <c r="B1524" t="s">
        <v>1131</v>
      </c>
      <c r="C1524" t="s">
        <v>1132</v>
      </c>
      <c r="D1524" t="s">
        <v>1133</v>
      </c>
      <c r="E1524" s="9">
        <v>45413</v>
      </c>
      <c r="F1524" s="9">
        <v>45443</v>
      </c>
      <c r="G1524">
        <v>131663355.06</v>
      </c>
      <c r="H1524">
        <v>164795884.74000001</v>
      </c>
      <c r="I1524">
        <v>246678982.53</v>
      </c>
      <c r="J1524">
        <v>585232957.91399992</v>
      </c>
      <c r="K1524">
        <v>0</v>
      </c>
      <c r="L1524">
        <v>0</v>
      </c>
      <c r="M1524">
        <v>0</v>
      </c>
      <c r="T1524" s="9">
        <v>45108</v>
      </c>
      <c r="U1524" s="9">
        <v>45473</v>
      </c>
      <c r="V1524">
        <f>SUM(POTABLE_NONPOTABLE_API[[#This Row],[RESIDENTIAL_SINGLEFAMILY_GAL]:[OTHER_GAL]])</f>
        <v>1128371180.244</v>
      </c>
      <c r="W1524">
        <f>SUM(POTABLE_NONPOTABLE_API[[#This Row],[NONPOTABLE_DEMAND_RESIDENTIAL_RECYCLED_WATER_GAL]:[NONPOTABLE_DEMAND_NONRESIDENTIAL_METERED_IRRIGATION_GAL]])</f>
        <v>0</v>
      </c>
      <c r="X1524" t="str">
        <f>IFERROR(INDEX(Crosswalk_API!$H$2:$H$527, MATCH(POTABLE_NONPOTABLE_API[[#This Row],[PWSID]], CW_PWSID_LIST, 0)), "")</f>
        <v>No</v>
      </c>
    </row>
    <row r="1525" spans="1:24" x14ac:dyDescent="0.25">
      <c r="A1525" t="s">
        <v>1130</v>
      </c>
      <c r="B1525" t="s">
        <v>1131</v>
      </c>
      <c r="C1525" t="s">
        <v>1132</v>
      </c>
      <c r="D1525" t="s">
        <v>1133</v>
      </c>
      <c r="E1525" s="9">
        <v>45444</v>
      </c>
      <c r="F1525" s="9">
        <v>45473</v>
      </c>
      <c r="G1525">
        <v>1348281991.9004998</v>
      </c>
      <c r="H1525">
        <v>163566905.10839999</v>
      </c>
      <c r="I1525">
        <v>197326730.5485</v>
      </c>
      <c r="J1525">
        <v>604633432.39137006</v>
      </c>
      <c r="K1525">
        <v>0</v>
      </c>
      <c r="L1525">
        <v>0</v>
      </c>
      <c r="M1525">
        <v>0</v>
      </c>
      <c r="T1525" s="9">
        <v>45108</v>
      </c>
      <c r="U1525" s="9">
        <v>45473</v>
      </c>
      <c r="V1525">
        <f>SUM(POTABLE_NONPOTABLE_API[[#This Row],[RESIDENTIAL_SINGLEFAMILY_GAL]:[OTHER_GAL]])</f>
        <v>2313809059.9487696</v>
      </c>
      <c r="W1525">
        <f>SUM(POTABLE_NONPOTABLE_API[[#This Row],[NONPOTABLE_DEMAND_RESIDENTIAL_RECYCLED_WATER_GAL]:[NONPOTABLE_DEMAND_NONRESIDENTIAL_METERED_IRRIGATION_GAL]])</f>
        <v>0</v>
      </c>
      <c r="X1525" t="str">
        <f>IFERROR(INDEX(Crosswalk_API!$H$2:$H$527, MATCH(POTABLE_NONPOTABLE_API[[#This Row],[PWSID]], CW_PWSID_LIST, 0)), "")</f>
        <v>No</v>
      </c>
    </row>
    <row r="1526" spans="1:24" x14ac:dyDescent="0.25">
      <c r="A1526" t="s">
        <v>1130</v>
      </c>
      <c r="B1526" t="s">
        <v>1131</v>
      </c>
      <c r="C1526" t="s">
        <v>1134</v>
      </c>
      <c r="D1526" t="s">
        <v>1135</v>
      </c>
      <c r="E1526" s="9">
        <v>45108</v>
      </c>
      <c r="F1526" s="9">
        <v>45138</v>
      </c>
      <c r="G1526">
        <v>47881849.343999997</v>
      </c>
      <c r="H1526">
        <v>5654492.4030000009</v>
      </c>
      <c r="I1526">
        <v>6974840.6550000003</v>
      </c>
      <c r="J1526">
        <v>23670794.193</v>
      </c>
      <c r="K1526">
        <v>0</v>
      </c>
      <c r="L1526">
        <v>0</v>
      </c>
      <c r="M1526">
        <v>0</v>
      </c>
      <c r="T1526" s="9">
        <v>45108</v>
      </c>
      <c r="U1526" s="9">
        <v>45473</v>
      </c>
      <c r="V1526">
        <f>SUM(POTABLE_NONPOTABLE_API[[#This Row],[RESIDENTIAL_SINGLEFAMILY_GAL]:[OTHER_GAL]])</f>
        <v>84181976.594999999</v>
      </c>
      <c r="W1526">
        <f>SUM(POTABLE_NONPOTABLE_API[[#This Row],[NONPOTABLE_DEMAND_RESIDENTIAL_RECYCLED_WATER_GAL]:[NONPOTABLE_DEMAND_NONRESIDENTIAL_METERED_IRRIGATION_GAL]])</f>
        <v>0</v>
      </c>
      <c r="X1526" t="str">
        <f>IFERROR(INDEX(Crosswalk_API!$H$2:$H$527, MATCH(POTABLE_NONPOTABLE_API[[#This Row],[PWSID]], CW_PWSID_LIST, 0)), "")</f>
        <v>No</v>
      </c>
    </row>
    <row r="1527" spans="1:24" x14ac:dyDescent="0.25">
      <c r="A1527" t="s">
        <v>1130</v>
      </c>
      <c r="B1527" t="s">
        <v>1131</v>
      </c>
      <c r="C1527" t="s">
        <v>1134</v>
      </c>
      <c r="D1527" t="s">
        <v>1135</v>
      </c>
      <c r="E1527" s="9">
        <v>45139</v>
      </c>
      <c r="F1527" s="9">
        <v>45169</v>
      </c>
      <c r="G1527">
        <v>56451078.941999994</v>
      </c>
      <c r="H1527">
        <v>6442074.2699999996</v>
      </c>
      <c r="I1527">
        <v>7719084.3389999997</v>
      </c>
      <c r="J1527">
        <v>26442808.650000002</v>
      </c>
      <c r="K1527">
        <v>0</v>
      </c>
      <c r="L1527">
        <v>0</v>
      </c>
      <c r="M1527">
        <v>0</v>
      </c>
      <c r="T1527" s="9">
        <v>45108</v>
      </c>
      <c r="U1527" s="9">
        <v>45473</v>
      </c>
      <c r="V1527">
        <f>SUM(POTABLE_NONPOTABLE_API[[#This Row],[RESIDENTIAL_SINGLEFAMILY_GAL]:[OTHER_GAL]])</f>
        <v>97055046.201000005</v>
      </c>
      <c r="W1527">
        <f>SUM(POTABLE_NONPOTABLE_API[[#This Row],[NONPOTABLE_DEMAND_RESIDENTIAL_RECYCLED_WATER_GAL]:[NONPOTABLE_DEMAND_NONRESIDENTIAL_METERED_IRRIGATION_GAL]])</f>
        <v>0</v>
      </c>
      <c r="X1527" t="str">
        <f>IFERROR(INDEX(Crosswalk_API!$H$2:$H$527, MATCH(POTABLE_NONPOTABLE_API[[#This Row],[PWSID]], CW_PWSID_LIST, 0)), "")</f>
        <v>No</v>
      </c>
    </row>
    <row r="1528" spans="1:24" x14ac:dyDescent="0.25">
      <c r="A1528" t="s">
        <v>1130</v>
      </c>
      <c r="B1528" t="s">
        <v>1131</v>
      </c>
      <c r="C1528" t="s">
        <v>1134</v>
      </c>
      <c r="D1528" t="s">
        <v>1135</v>
      </c>
      <c r="E1528" s="9">
        <v>45170</v>
      </c>
      <c r="F1528" s="9">
        <v>45199</v>
      </c>
      <c r="G1528">
        <v>52956978.669</v>
      </c>
      <c r="H1528">
        <v>6278497.068</v>
      </c>
      <c r="I1528">
        <v>7019808.0929999994</v>
      </c>
      <c r="J1528">
        <v>21561560.670000002</v>
      </c>
      <c r="K1528">
        <v>0</v>
      </c>
      <c r="L1528">
        <v>0</v>
      </c>
      <c r="M1528">
        <v>0</v>
      </c>
      <c r="T1528" s="9">
        <v>45108</v>
      </c>
      <c r="U1528" s="9">
        <v>45473</v>
      </c>
      <c r="V1528">
        <f>SUM(POTABLE_NONPOTABLE_API[[#This Row],[RESIDENTIAL_SINGLEFAMILY_GAL]:[OTHER_GAL]])</f>
        <v>87816844.5</v>
      </c>
      <c r="W1528">
        <f>SUM(POTABLE_NONPOTABLE_API[[#This Row],[NONPOTABLE_DEMAND_RESIDENTIAL_RECYCLED_WATER_GAL]:[NONPOTABLE_DEMAND_NONRESIDENTIAL_METERED_IRRIGATION_GAL]])</f>
        <v>0</v>
      </c>
      <c r="X1528" t="str">
        <f>IFERROR(INDEX(Crosswalk_API!$H$2:$H$527, MATCH(POTABLE_NONPOTABLE_API[[#This Row],[PWSID]], CW_PWSID_LIST, 0)), "")</f>
        <v>No</v>
      </c>
    </row>
    <row r="1529" spans="1:24" x14ac:dyDescent="0.25">
      <c r="A1529" t="s">
        <v>1130</v>
      </c>
      <c r="B1529" t="s">
        <v>1131</v>
      </c>
      <c r="C1529" t="s">
        <v>1134</v>
      </c>
      <c r="D1529" t="s">
        <v>1135</v>
      </c>
      <c r="E1529" s="9">
        <v>45200</v>
      </c>
      <c r="F1529" s="9">
        <v>45230</v>
      </c>
      <c r="G1529">
        <v>39002083.743000001</v>
      </c>
      <c r="H1529">
        <v>4807931.5049999999</v>
      </c>
      <c r="I1529">
        <v>5882913.9539999999</v>
      </c>
      <c r="J1529">
        <v>14894323.359000001</v>
      </c>
      <c r="K1529">
        <v>0</v>
      </c>
      <c r="L1529">
        <v>0</v>
      </c>
      <c r="M1529">
        <v>0</v>
      </c>
      <c r="T1529" s="9">
        <v>45108</v>
      </c>
      <c r="U1529" s="9">
        <v>45473</v>
      </c>
      <c r="V1529">
        <f>SUM(POTABLE_NONPOTABLE_API[[#This Row],[RESIDENTIAL_SINGLEFAMILY_GAL]:[OTHER_GAL]])</f>
        <v>64587252.561000004</v>
      </c>
      <c r="W1529">
        <f>SUM(POTABLE_NONPOTABLE_API[[#This Row],[NONPOTABLE_DEMAND_RESIDENTIAL_RECYCLED_WATER_GAL]:[NONPOTABLE_DEMAND_NONRESIDENTIAL_METERED_IRRIGATION_GAL]])</f>
        <v>0</v>
      </c>
      <c r="X1529" t="str">
        <f>IFERROR(INDEX(Crosswalk_API!$H$2:$H$527, MATCH(POTABLE_NONPOTABLE_API[[#This Row],[PWSID]], CW_PWSID_LIST, 0)), "")</f>
        <v>No</v>
      </c>
    </row>
    <row r="1530" spans="1:24" x14ac:dyDescent="0.25">
      <c r="A1530" t="s">
        <v>1130</v>
      </c>
      <c r="B1530" t="s">
        <v>1131</v>
      </c>
      <c r="C1530" t="s">
        <v>1134</v>
      </c>
      <c r="D1530" t="s">
        <v>1135</v>
      </c>
      <c r="E1530" s="9">
        <v>45231</v>
      </c>
      <c r="F1530" s="9">
        <v>45260</v>
      </c>
      <c r="G1530">
        <v>39409397.493000001</v>
      </c>
      <c r="H1530">
        <v>4783166.8289999999</v>
      </c>
      <c r="I1530">
        <v>5383058.5199999996</v>
      </c>
      <c r="J1530">
        <v>15996677.291999999</v>
      </c>
      <c r="K1530">
        <v>0</v>
      </c>
      <c r="L1530">
        <v>0</v>
      </c>
      <c r="M1530">
        <v>0</v>
      </c>
      <c r="T1530" s="9">
        <v>45108</v>
      </c>
      <c r="U1530" s="9">
        <v>45473</v>
      </c>
      <c r="V1530">
        <f>SUM(POTABLE_NONPOTABLE_API[[#This Row],[RESIDENTIAL_SINGLEFAMILY_GAL]:[OTHER_GAL]])</f>
        <v>65572300.133999988</v>
      </c>
      <c r="W1530">
        <f>SUM(POTABLE_NONPOTABLE_API[[#This Row],[NONPOTABLE_DEMAND_RESIDENTIAL_RECYCLED_WATER_GAL]:[NONPOTABLE_DEMAND_NONRESIDENTIAL_METERED_IRRIGATION_GAL]])</f>
        <v>0</v>
      </c>
      <c r="X1530" t="str">
        <f>IFERROR(INDEX(Crosswalk_API!$H$2:$H$527, MATCH(POTABLE_NONPOTABLE_API[[#This Row],[PWSID]], CW_PWSID_LIST, 0)), "")</f>
        <v>No</v>
      </c>
    </row>
    <row r="1531" spans="1:24" x14ac:dyDescent="0.25">
      <c r="A1531" t="s">
        <v>1130</v>
      </c>
      <c r="B1531" t="s">
        <v>1131</v>
      </c>
      <c r="C1531" t="s">
        <v>1134</v>
      </c>
      <c r="D1531" t="s">
        <v>1135</v>
      </c>
      <c r="E1531" s="9">
        <v>45261</v>
      </c>
      <c r="F1531" s="9">
        <v>45291</v>
      </c>
      <c r="G1531">
        <v>36525616.142999999</v>
      </c>
      <c r="H1531">
        <v>4930125.63</v>
      </c>
      <c r="I1531">
        <v>6949424.2770000007</v>
      </c>
      <c r="J1531">
        <v>15922709.115</v>
      </c>
      <c r="K1531">
        <v>0</v>
      </c>
      <c r="L1531">
        <v>0</v>
      </c>
      <c r="M1531">
        <v>0</v>
      </c>
      <c r="T1531" s="9">
        <v>45108</v>
      </c>
      <c r="U1531" s="9">
        <v>45473</v>
      </c>
      <c r="V1531">
        <f>SUM(POTABLE_NONPOTABLE_API[[#This Row],[RESIDENTIAL_SINGLEFAMILY_GAL]:[OTHER_GAL]])</f>
        <v>64327875.165000007</v>
      </c>
      <c r="W1531">
        <f>SUM(POTABLE_NONPOTABLE_API[[#This Row],[NONPOTABLE_DEMAND_RESIDENTIAL_RECYCLED_WATER_GAL]:[NONPOTABLE_DEMAND_NONRESIDENTIAL_METERED_IRRIGATION_GAL]])</f>
        <v>0</v>
      </c>
      <c r="X1531" t="str">
        <f>IFERROR(INDEX(Crosswalk_API!$H$2:$H$527, MATCH(POTABLE_NONPOTABLE_API[[#This Row],[PWSID]], CW_PWSID_LIST, 0)), "")</f>
        <v>No</v>
      </c>
    </row>
    <row r="1532" spans="1:24" x14ac:dyDescent="0.25">
      <c r="A1532" t="s">
        <v>1130</v>
      </c>
      <c r="B1532" t="s">
        <v>1131</v>
      </c>
      <c r="C1532" t="s">
        <v>1134</v>
      </c>
      <c r="D1532" t="s">
        <v>1135</v>
      </c>
      <c r="E1532" s="9">
        <v>45292</v>
      </c>
      <c r="F1532" s="9">
        <v>45322</v>
      </c>
      <c r="G1532">
        <v>31585714.983000003</v>
      </c>
      <c r="H1532">
        <v>5169626.1150000002</v>
      </c>
      <c r="I1532">
        <v>5201233.6619999995</v>
      </c>
      <c r="J1532">
        <v>11733894.51</v>
      </c>
      <c r="K1532">
        <v>0</v>
      </c>
      <c r="L1532">
        <v>0</v>
      </c>
      <c r="M1532">
        <v>0</v>
      </c>
      <c r="T1532" s="9">
        <v>45108</v>
      </c>
      <c r="U1532" s="9">
        <v>45473</v>
      </c>
      <c r="V1532">
        <f>SUM(POTABLE_NONPOTABLE_API[[#This Row],[RESIDENTIAL_SINGLEFAMILY_GAL]:[OTHER_GAL]])</f>
        <v>53690469.270000003</v>
      </c>
      <c r="W1532">
        <f>SUM(POTABLE_NONPOTABLE_API[[#This Row],[NONPOTABLE_DEMAND_RESIDENTIAL_RECYCLED_WATER_GAL]:[NONPOTABLE_DEMAND_NONRESIDENTIAL_METERED_IRRIGATION_GAL]])</f>
        <v>0</v>
      </c>
      <c r="X1532" t="str">
        <f>IFERROR(INDEX(Crosswalk_API!$H$2:$H$527, MATCH(POTABLE_NONPOTABLE_API[[#This Row],[PWSID]], CW_PWSID_LIST, 0)), "")</f>
        <v>No</v>
      </c>
    </row>
    <row r="1533" spans="1:24" x14ac:dyDescent="0.25">
      <c r="A1533" t="s">
        <v>1130</v>
      </c>
      <c r="B1533" t="s">
        <v>1131</v>
      </c>
      <c r="C1533" t="s">
        <v>1134</v>
      </c>
      <c r="D1533" t="s">
        <v>1135</v>
      </c>
      <c r="E1533" s="9">
        <v>45323</v>
      </c>
      <c r="F1533" s="9">
        <v>45351</v>
      </c>
      <c r="G1533">
        <v>31727460.167999998</v>
      </c>
      <c r="H1533">
        <v>5354383.6319999993</v>
      </c>
      <c r="I1533">
        <v>5394463.3049999997</v>
      </c>
      <c r="J1533">
        <v>7585485.4289999995</v>
      </c>
      <c r="K1533">
        <v>0</v>
      </c>
      <c r="L1533">
        <v>0</v>
      </c>
      <c r="M1533">
        <v>0</v>
      </c>
      <c r="T1533" s="9">
        <v>45108</v>
      </c>
      <c r="U1533" s="9">
        <v>45473</v>
      </c>
      <c r="V1533">
        <f>SUM(POTABLE_NONPOTABLE_API[[#This Row],[RESIDENTIAL_SINGLEFAMILY_GAL]:[OTHER_GAL]])</f>
        <v>50061792.533999994</v>
      </c>
      <c r="W1533">
        <f>SUM(POTABLE_NONPOTABLE_API[[#This Row],[NONPOTABLE_DEMAND_RESIDENTIAL_RECYCLED_WATER_GAL]:[NONPOTABLE_DEMAND_NONRESIDENTIAL_METERED_IRRIGATION_GAL]])</f>
        <v>0</v>
      </c>
      <c r="X1533" t="str">
        <f>IFERROR(INDEX(Crosswalk_API!$H$2:$H$527, MATCH(POTABLE_NONPOTABLE_API[[#This Row],[PWSID]], CW_PWSID_LIST, 0)), "")</f>
        <v>No</v>
      </c>
    </row>
    <row r="1534" spans="1:24" x14ac:dyDescent="0.25">
      <c r="A1534" t="s">
        <v>1130</v>
      </c>
      <c r="B1534" t="s">
        <v>1131</v>
      </c>
      <c r="C1534" t="s">
        <v>1134</v>
      </c>
      <c r="D1534" t="s">
        <v>1135</v>
      </c>
      <c r="E1534" s="9">
        <v>45352</v>
      </c>
      <c r="F1534" s="9">
        <v>45382</v>
      </c>
      <c r="G1534">
        <v>25432670.550000001</v>
      </c>
      <c r="H1534">
        <v>4061406.8640000001</v>
      </c>
      <c r="I1534">
        <v>4618286.2230000002</v>
      </c>
      <c r="J1534">
        <v>6975818.2080000006</v>
      </c>
      <c r="K1534">
        <v>0</v>
      </c>
      <c r="L1534">
        <v>0</v>
      </c>
      <c r="M1534">
        <v>0</v>
      </c>
      <c r="T1534" s="9">
        <v>45108</v>
      </c>
      <c r="U1534" s="9">
        <v>45473</v>
      </c>
      <c r="V1534">
        <f>SUM(POTABLE_NONPOTABLE_API[[#This Row],[RESIDENTIAL_SINGLEFAMILY_GAL]:[OTHER_GAL]])</f>
        <v>41088181.844999999</v>
      </c>
      <c r="W1534">
        <f>SUM(POTABLE_NONPOTABLE_API[[#This Row],[NONPOTABLE_DEMAND_RESIDENTIAL_RECYCLED_WATER_GAL]:[NONPOTABLE_DEMAND_NONRESIDENTIAL_METERED_IRRIGATION_GAL]])</f>
        <v>0</v>
      </c>
      <c r="X1534" t="str">
        <f>IFERROR(INDEX(Crosswalk_API!$H$2:$H$527, MATCH(POTABLE_NONPOTABLE_API[[#This Row],[PWSID]], CW_PWSID_LIST, 0)), "")</f>
        <v>No</v>
      </c>
    </row>
    <row r="1535" spans="1:24" x14ac:dyDescent="0.25">
      <c r="A1535" t="s">
        <v>1130</v>
      </c>
      <c r="B1535" t="s">
        <v>1131</v>
      </c>
      <c r="C1535" t="s">
        <v>1134</v>
      </c>
      <c r="D1535" t="s">
        <v>1135</v>
      </c>
      <c r="E1535" s="9">
        <v>45383</v>
      </c>
      <c r="F1535" s="9">
        <v>45412</v>
      </c>
      <c r="G1535">
        <v>30932057.877</v>
      </c>
      <c r="H1535">
        <v>4599712.716</v>
      </c>
      <c r="I1535">
        <v>5642761.767</v>
      </c>
      <c r="J1535">
        <v>12532229.460000001</v>
      </c>
      <c r="K1535">
        <v>0</v>
      </c>
      <c r="L1535">
        <v>0</v>
      </c>
      <c r="M1535">
        <v>0</v>
      </c>
      <c r="T1535" s="9">
        <v>45108</v>
      </c>
      <c r="U1535" s="9">
        <v>45473</v>
      </c>
      <c r="V1535">
        <f>SUM(POTABLE_NONPOTABLE_API[[#This Row],[RESIDENTIAL_SINGLEFAMILY_GAL]:[OTHER_GAL]])</f>
        <v>53706761.82</v>
      </c>
      <c r="W1535">
        <f>SUM(POTABLE_NONPOTABLE_API[[#This Row],[NONPOTABLE_DEMAND_RESIDENTIAL_RECYCLED_WATER_GAL]:[NONPOTABLE_DEMAND_NONRESIDENTIAL_METERED_IRRIGATION_GAL]])</f>
        <v>0</v>
      </c>
      <c r="X1535" t="str">
        <f>IFERROR(INDEX(Crosswalk_API!$H$2:$H$527, MATCH(POTABLE_NONPOTABLE_API[[#This Row],[PWSID]], CW_PWSID_LIST, 0)), "")</f>
        <v>No</v>
      </c>
    </row>
    <row r="1536" spans="1:24" x14ac:dyDescent="0.25">
      <c r="A1536" t="s">
        <v>1130</v>
      </c>
      <c r="B1536" t="s">
        <v>1131</v>
      </c>
      <c r="C1536" t="s">
        <v>1134</v>
      </c>
      <c r="D1536" t="s">
        <v>1135</v>
      </c>
      <c r="E1536" s="9">
        <v>45413</v>
      </c>
      <c r="F1536" s="9">
        <v>45443</v>
      </c>
      <c r="G1536">
        <v>37001684.454000004</v>
      </c>
      <c r="H1536">
        <v>4631646.1140000001</v>
      </c>
      <c r="I1536">
        <v>6933522.7481999993</v>
      </c>
      <c r="J1536">
        <v>16448958.479999999</v>
      </c>
      <c r="K1536">
        <v>0</v>
      </c>
      <c r="L1536">
        <v>0</v>
      </c>
      <c r="M1536">
        <v>0</v>
      </c>
      <c r="T1536" s="9">
        <v>45108</v>
      </c>
      <c r="U1536" s="9">
        <v>45473</v>
      </c>
      <c r="V1536">
        <f>SUM(POTABLE_NONPOTABLE_API[[#This Row],[RESIDENTIAL_SINGLEFAMILY_GAL]:[OTHER_GAL]])</f>
        <v>65015811.7962</v>
      </c>
      <c r="W1536">
        <f>SUM(POTABLE_NONPOTABLE_API[[#This Row],[NONPOTABLE_DEMAND_RESIDENTIAL_RECYCLED_WATER_GAL]:[NONPOTABLE_DEMAND_NONRESIDENTIAL_METERED_IRRIGATION_GAL]])</f>
        <v>0</v>
      </c>
      <c r="X1536" t="str">
        <f>IFERROR(INDEX(Crosswalk_API!$H$2:$H$527, MATCH(POTABLE_NONPOTABLE_API[[#This Row],[PWSID]], CW_PWSID_LIST, 0)), "")</f>
        <v>No</v>
      </c>
    </row>
    <row r="1537" spans="1:24" x14ac:dyDescent="0.25">
      <c r="A1537" t="s">
        <v>1130</v>
      </c>
      <c r="B1537" t="s">
        <v>1131</v>
      </c>
      <c r="C1537" t="s">
        <v>1134</v>
      </c>
      <c r="D1537" t="s">
        <v>1135</v>
      </c>
      <c r="E1537" s="9">
        <v>45444</v>
      </c>
      <c r="F1537" s="9">
        <v>45473</v>
      </c>
      <c r="G1537">
        <v>38971453.748999998</v>
      </c>
      <c r="H1537">
        <v>4727772.159</v>
      </c>
      <c r="I1537">
        <v>5703370.0530000003</v>
      </c>
      <c r="J1537">
        <v>17476366.683000002</v>
      </c>
      <c r="K1537">
        <v>0</v>
      </c>
      <c r="L1537">
        <v>0</v>
      </c>
      <c r="M1537">
        <v>0</v>
      </c>
      <c r="T1537" s="9">
        <v>45108</v>
      </c>
      <c r="U1537" s="9">
        <v>45473</v>
      </c>
      <c r="V1537">
        <f>SUM(POTABLE_NONPOTABLE_API[[#This Row],[RESIDENTIAL_SINGLEFAMILY_GAL]:[OTHER_GAL]])</f>
        <v>66878962.644000009</v>
      </c>
      <c r="W1537">
        <f>SUM(POTABLE_NONPOTABLE_API[[#This Row],[NONPOTABLE_DEMAND_RESIDENTIAL_RECYCLED_WATER_GAL]:[NONPOTABLE_DEMAND_NONRESIDENTIAL_METERED_IRRIGATION_GAL]])</f>
        <v>0</v>
      </c>
      <c r="X1537" t="str">
        <f>IFERROR(INDEX(Crosswalk_API!$H$2:$H$527, MATCH(POTABLE_NONPOTABLE_API[[#This Row],[PWSID]], CW_PWSID_LIST, 0)), "")</f>
        <v>No</v>
      </c>
    </row>
    <row r="1538" spans="1:24" x14ac:dyDescent="0.25">
      <c r="A1538" t="s">
        <v>1136</v>
      </c>
      <c r="B1538" t="s">
        <v>1137</v>
      </c>
      <c r="C1538" t="s">
        <v>1138</v>
      </c>
      <c r="D1538" t="s">
        <v>1139</v>
      </c>
      <c r="E1538" s="9">
        <v>45108</v>
      </c>
      <c r="F1538" s="9">
        <v>45138</v>
      </c>
      <c r="G1538">
        <v>50160000</v>
      </c>
      <c r="H1538">
        <v>13930000</v>
      </c>
      <c r="I1538">
        <v>39710000</v>
      </c>
      <c r="J1538">
        <v>7880000</v>
      </c>
      <c r="K1538">
        <v>4710000</v>
      </c>
      <c r="L1538">
        <v>0</v>
      </c>
      <c r="M1538">
        <v>0</v>
      </c>
      <c r="T1538" s="9">
        <v>45108</v>
      </c>
      <c r="U1538" s="9">
        <v>45473</v>
      </c>
      <c r="V1538">
        <f>SUM(POTABLE_NONPOTABLE_API[[#This Row],[RESIDENTIAL_SINGLEFAMILY_GAL]:[OTHER_GAL]])</f>
        <v>116390000</v>
      </c>
      <c r="W1538">
        <f>SUM(POTABLE_NONPOTABLE_API[[#This Row],[NONPOTABLE_DEMAND_RESIDENTIAL_RECYCLED_WATER_GAL]:[NONPOTABLE_DEMAND_NONRESIDENTIAL_METERED_IRRIGATION_GAL]])</f>
        <v>0</v>
      </c>
      <c r="X1538" t="str">
        <f>IFERROR(INDEX(Crosswalk_API!$H$2:$H$527, MATCH(POTABLE_NONPOTABLE_API[[#This Row],[PWSID]], CW_PWSID_LIST, 0)), "")</f>
        <v>No</v>
      </c>
    </row>
    <row r="1539" spans="1:24" x14ac:dyDescent="0.25">
      <c r="A1539" t="s">
        <v>1136</v>
      </c>
      <c r="B1539" t="s">
        <v>1137</v>
      </c>
      <c r="C1539" t="s">
        <v>1138</v>
      </c>
      <c r="D1539" t="s">
        <v>1139</v>
      </c>
      <c r="E1539" s="9">
        <v>45139</v>
      </c>
      <c r="F1539" s="9">
        <v>45169</v>
      </c>
      <c r="G1539">
        <v>46000000</v>
      </c>
      <c r="H1539">
        <v>3770000</v>
      </c>
      <c r="I1539">
        <v>34060000</v>
      </c>
      <c r="J1539">
        <v>8540000</v>
      </c>
      <c r="K1539">
        <v>3860000</v>
      </c>
      <c r="L1539">
        <v>0</v>
      </c>
      <c r="M1539">
        <v>0</v>
      </c>
      <c r="T1539" s="9">
        <v>45108</v>
      </c>
      <c r="U1539" s="9">
        <v>45473</v>
      </c>
      <c r="V1539">
        <f>SUM(POTABLE_NONPOTABLE_API[[#This Row],[RESIDENTIAL_SINGLEFAMILY_GAL]:[OTHER_GAL]])</f>
        <v>96230000</v>
      </c>
      <c r="W1539">
        <f>SUM(POTABLE_NONPOTABLE_API[[#This Row],[NONPOTABLE_DEMAND_RESIDENTIAL_RECYCLED_WATER_GAL]:[NONPOTABLE_DEMAND_NONRESIDENTIAL_METERED_IRRIGATION_GAL]])</f>
        <v>0</v>
      </c>
      <c r="X1539" t="str">
        <f>IFERROR(INDEX(Crosswalk_API!$H$2:$H$527, MATCH(POTABLE_NONPOTABLE_API[[#This Row],[PWSID]], CW_PWSID_LIST, 0)), "")</f>
        <v>No</v>
      </c>
    </row>
    <row r="1540" spans="1:24" x14ac:dyDescent="0.25">
      <c r="A1540" t="s">
        <v>1136</v>
      </c>
      <c r="B1540" t="s">
        <v>1137</v>
      </c>
      <c r="C1540" t="s">
        <v>1138</v>
      </c>
      <c r="D1540" t="s">
        <v>1139</v>
      </c>
      <c r="E1540" s="9">
        <v>45170</v>
      </c>
      <c r="F1540" s="9">
        <v>45199</v>
      </c>
      <c r="G1540">
        <v>36920000</v>
      </c>
      <c r="H1540">
        <v>6440000</v>
      </c>
      <c r="I1540">
        <v>28210000</v>
      </c>
      <c r="J1540">
        <v>7240000</v>
      </c>
      <c r="K1540">
        <v>3990000</v>
      </c>
      <c r="L1540">
        <v>0</v>
      </c>
      <c r="M1540">
        <v>0</v>
      </c>
      <c r="T1540" s="9">
        <v>45108</v>
      </c>
      <c r="U1540" s="9">
        <v>45473</v>
      </c>
      <c r="V1540">
        <f>SUM(POTABLE_NONPOTABLE_API[[#This Row],[RESIDENTIAL_SINGLEFAMILY_GAL]:[OTHER_GAL]])</f>
        <v>82800000</v>
      </c>
      <c r="W1540">
        <f>SUM(POTABLE_NONPOTABLE_API[[#This Row],[NONPOTABLE_DEMAND_RESIDENTIAL_RECYCLED_WATER_GAL]:[NONPOTABLE_DEMAND_NONRESIDENTIAL_METERED_IRRIGATION_GAL]])</f>
        <v>0</v>
      </c>
      <c r="X1540" t="str">
        <f>IFERROR(INDEX(Crosswalk_API!$H$2:$H$527, MATCH(POTABLE_NONPOTABLE_API[[#This Row],[PWSID]], CW_PWSID_LIST, 0)), "")</f>
        <v>No</v>
      </c>
    </row>
    <row r="1541" spans="1:24" x14ac:dyDescent="0.25">
      <c r="A1541" t="s">
        <v>1136</v>
      </c>
      <c r="B1541" t="s">
        <v>1137</v>
      </c>
      <c r="C1541" t="s">
        <v>1138</v>
      </c>
      <c r="D1541" t="s">
        <v>1139</v>
      </c>
      <c r="E1541" s="9">
        <v>45200</v>
      </c>
      <c r="F1541" s="9">
        <v>45230</v>
      </c>
      <c r="G1541">
        <v>37620000</v>
      </c>
      <c r="H1541">
        <v>7610000</v>
      </c>
      <c r="I1541">
        <v>32710000</v>
      </c>
      <c r="J1541">
        <v>6780000</v>
      </c>
      <c r="K1541">
        <v>5450000</v>
      </c>
      <c r="L1541">
        <v>0</v>
      </c>
      <c r="M1541">
        <v>0</v>
      </c>
      <c r="T1541" s="9">
        <v>45108</v>
      </c>
      <c r="U1541" s="9">
        <v>45473</v>
      </c>
      <c r="V1541">
        <f>SUM(POTABLE_NONPOTABLE_API[[#This Row],[RESIDENTIAL_SINGLEFAMILY_GAL]:[OTHER_GAL]])</f>
        <v>90170000</v>
      </c>
      <c r="W1541">
        <f>SUM(POTABLE_NONPOTABLE_API[[#This Row],[NONPOTABLE_DEMAND_RESIDENTIAL_RECYCLED_WATER_GAL]:[NONPOTABLE_DEMAND_NONRESIDENTIAL_METERED_IRRIGATION_GAL]])</f>
        <v>0</v>
      </c>
      <c r="X1541" t="str">
        <f>IFERROR(INDEX(Crosswalk_API!$H$2:$H$527, MATCH(POTABLE_NONPOTABLE_API[[#This Row],[PWSID]], CW_PWSID_LIST, 0)), "")</f>
        <v>No</v>
      </c>
    </row>
    <row r="1542" spans="1:24" x14ac:dyDescent="0.25">
      <c r="A1542" t="s">
        <v>1136</v>
      </c>
      <c r="B1542" t="s">
        <v>1137</v>
      </c>
      <c r="C1542" t="s">
        <v>1138</v>
      </c>
      <c r="D1542" t="s">
        <v>1139</v>
      </c>
      <c r="E1542" s="9">
        <v>45231</v>
      </c>
      <c r="F1542" s="9">
        <v>45260</v>
      </c>
      <c r="G1542">
        <v>27080000</v>
      </c>
      <c r="H1542">
        <v>4770000</v>
      </c>
      <c r="I1542">
        <v>19310000</v>
      </c>
      <c r="J1542">
        <v>3360000</v>
      </c>
      <c r="K1542">
        <v>4280000</v>
      </c>
      <c r="L1542">
        <v>0</v>
      </c>
      <c r="M1542">
        <v>0</v>
      </c>
      <c r="T1542" s="9">
        <v>45108</v>
      </c>
      <c r="U1542" s="9">
        <v>45473</v>
      </c>
      <c r="V1542">
        <f>SUM(POTABLE_NONPOTABLE_API[[#This Row],[RESIDENTIAL_SINGLEFAMILY_GAL]:[OTHER_GAL]])</f>
        <v>58800000</v>
      </c>
      <c r="W1542">
        <f>SUM(POTABLE_NONPOTABLE_API[[#This Row],[NONPOTABLE_DEMAND_RESIDENTIAL_RECYCLED_WATER_GAL]:[NONPOTABLE_DEMAND_NONRESIDENTIAL_METERED_IRRIGATION_GAL]])</f>
        <v>0</v>
      </c>
      <c r="X1542" t="str">
        <f>IFERROR(INDEX(Crosswalk_API!$H$2:$H$527, MATCH(POTABLE_NONPOTABLE_API[[#This Row],[PWSID]], CW_PWSID_LIST, 0)), "")</f>
        <v>No</v>
      </c>
    </row>
    <row r="1543" spans="1:24" x14ac:dyDescent="0.25">
      <c r="A1543" t="s">
        <v>1136</v>
      </c>
      <c r="B1543" t="s">
        <v>1137</v>
      </c>
      <c r="C1543" t="s">
        <v>1138</v>
      </c>
      <c r="D1543" t="s">
        <v>1139</v>
      </c>
      <c r="E1543" s="9">
        <v>45261</v>
      </c>
      <c r="F1543" s="9">
        <v>45291</v>
      </c>
      <c r="G1543">
        <v>22330000</v>
      </c>
      <c r="H1543">
        <v>4970000</v>
      </c>
      <c r="I1543">
        <v>17810000</v>
      </c>
      <c r="J1543">
        <v>2370000</v>
      </c>
      <c r="K1543">
        <v>4440000</v>
      </c>
      <c r="L1543">
        <v>0</v>
      </c>
      <c r="M1543">
        <v>0</v>
      </c>
      <c r="T1543" s="9">
        <v>45108</v>
      </c>
      <c r="U1543" s="9">
        <v>45473</v>
      </c>
      <c r="V1543">
        <f>SUM(POTABLE_NONPOTABLE_API[[#This Row],[RESIDENTIAL_SINGLEFAMILY_GAL]:[OTHER_GAL]])</f>
        <v>51920000</v>
      </c>
      <c r="W1543">
        <f>SUM(POTABLE_NONPOTABLE_API[[#This Row],[NONPOTABLE_DEMAND_RESIDENTIAL_RECYCLED_WATER_GAL]:[NONPOTABLE_DEMAND_NONRESIDENTIAL_METERED_IRRIGATION_GAL]])</f>
        <v>0</v>
      </c>
      <c r="X1543" t="str">
        <f>IFERROR(INDEX(Crosswalk_API!$H$2:$H$527, MATCH(POTABLE_NONPOTABLE_API[[#This Row],[PWSID]], CW_PWSID_LIST, 0)), "")</f>
        <v>No</v>
      </c>
    </row>
    <row r="1544" spans="1:24" x14ac:dyDescent="0.25">
      <c r="A1544" t="s">
        <v>1136</v>
      </c>
      <c r="B1544" t="s">
        <v>1137</v>
      </c>
      <c r="C1544" t="s">
        <v>1138</v>
      </c>
      <c r="D1544" t="s">
        <v>1139</v>
      </c>
      <c r="E1544" s="9">
        <v>45292</v>
      </c>
      <c r="F1544" s="9">
        <v>45322</v>
      </c>
      <c r="G1544">
        <v>20350000</v>
      </c>
      <c r="H1544">
        <v>6370000</v>
      </c>
      <c r="I1544">
        <v>16810000</v>
      </c>
      <c r="J1544">
        <v>450000</v>
      </c>
      <c r="K1544">
        <v>3970000</v>
      </c>
      <c r="L1544">
        <v>0</v>
      </c>
      <c r="M1544">
        <v>0</v>
      </c>
      <c r="T1544" s="9">
        <v>45108</v>
      </c>
      <c r="U1544" s="9">
        <v>45473</v>
      </c>
      <c r="V1544">
        <f>SUM(POTABLE_NONPOTABLE_API[[#This Row],[RESIDENTIAL_SINGLEFAMILY_GAL]:[OTHER_GAL]])</f>
        <v>47950000</v>
      </c>
      <c r="W1544">
        <f>SUM(POTABLE_NONPOTABLE_API[[#This Row],[NONPOTABLE_DEMAND_RESIDENTIAL_RECYCLED_WATER_GAL]:[NONPOTABLE_DEMAND_NONRESIDENTIAL_METERED_IRRIGATION_GAL]])</f>
        <v>0</v>
      </c>
      <c r="X1544" t="str">
        <f>IFERROR(INDEX(Crosswalk_API!$H$2:$H$527, MATCH(POTABLE_NONPOTABLE_API[[#This Row],[PWSID]], CW_PWSID_LIST, 0)), "")</f>
        <v>No</v>
      </c>
    </row>
    <row r="1545" spans="1:24" x14ac:dyDescent="0.25">
      <c r="A1545" t="s">
        <v>1136</v>
      </c>
      <c r="B1545" t="s">
        <v>1137</v>
      </c>
      <c r="C1545" t="s">
        <v>1138</v>
      </c>
      <c r="D1545" t="s">
        <v>1139</v>
      </c>
      <c r="E1545" s="9">
        <v>45323</v>
      </c>
      <c r="F1545" s="9">
        <v>45351</v>
      </c>
      <c r="G1545">
        <v>19030000</v>
      </c>
      <c r="H1545">
        <v>4150000.0000000005</v>
      </c>
      <c r="I1545">
        <v>16480000</v>
      </c>
      <c r="J1545">
        <v>1390000</v>
      </c>
      <c r="K1545">
        <v>3360000</v>
      </c>
      <c r="L1545">
        <v>0</v>
      </c>
      <c r="M1545">
        <v>0</v>
      </c>
      <c r="T1545" s="9">
        <v>45108</v>
      </c>
      <c r="U1545" s="9">
        <v>45473</v>
      </c>
      <c r="V1545">
        <f>SUM(POTABLE_NONPOTABLE_API[[#This Row],[RESIDENTIAL_SINGLEFAMILY_GAL]:[OTHER_GAL]])</f>
        <v>44410000</v>
      </c>
      <c r="W1545">
        <f>SUM(POTABLE_NONPOTABLE_API[[#This Row],[NONPOTABLE_DEMAND_RESIDENTIAL_RECYCLED_WATER_GAL]:[NONPOTABLE_DEMAND_NONRESIDENTIAL_METERED_IRRIGATION_GAL]])</f>
        <v>0</v>
      </c>
      <c r="X1545" t="str">
        <f>IFERROR(INDEX(Crosswalk_API!$H$2:$H$527, MATCH(POTABLE_NONPOTABLE_API[[#This Row],[PWSID]], CW_PWSID_LIST, 0)), "")</f>
        <v>No</v>
      </c>
    </row>
    <row r="1546" spans="1:24" x14ac:dyDescent="0.25">
      <c r="A1546" t="s">
        <v>1136</v>
      </c>
      <c r="B1546" t="s">
        <v>1137</v>
      </c>
      <c r="C1546" t="s">
        <v>1138</v>
      </c>
      <c r="D1546" t="s">
        <v>1139</v>
      </c>
      <c r="E1546" s="9">
        <v>45352</v>
      </c>
      <c r="F1546" s="9">
        <v>45382</v>
      </c>
      <c r="G1546">
        <v>23000000</v>
      </c>
      <c r="H1546">
        <v>4000000</v>
      </c>
      <c r="I1546">
        <v>18000000</v>
      </c>
      <c r="J1546">
        <v>4000000</v>
      </c>
      <c r="K1546">
        <v>4000000</v>
      </c>
      <c r="L1546">
        <v>0</v>
      </c>
      <c r="M1546">
        <v>0</v>
      </c>
      <c r="T1546" s="9">
        <v>45108</v>
      </c>
      <c r="U1546" s="9">
        <v>45473</v>
      </c>
      <c r="V1546">
        <f>SUM(POTABLE_NONPOTABLE_API[[#This Row],[RESIDENTIAL_SINGLEFAMILY_GAL]:[OTHER_GAL]])</f>
        <v>53000000</v>
      </c>
      <c r="W1546">
        <f>SUM(POTABLE_NONPOTABLE_API[[#This Row],[NONPOTABLE_DEMAND_RESIDENTIAL_RECYCLED_WATER_GAL]:[NONPOTABLE_DEMAND_NONRESIDENTIAL_METERED_IRRIGATION_GAL]])</f>
        <v>0</v>
      </c>
      <c r="X1546" t="str">
        <f>IFERROR(INDEX(Crosswalk_API!$H$2:$H$527, MATCH(POTABLE_NONPOTABLE_API[[#This Row],[PWSID]], CW_PWSID_LIST, 0)), "")</f>
        <v>No</v>
      </c>
    </row>
    <row r="1547" spans="1:24" x14ac:dyDescent="0.25">
      <c r="A1547" t="s">
        <v>1136</v>
      </c>
      <c r="B1547" t="s">
        <v>1137</v>
      </c>
      <c r="C1547" t="s">
        <v>1138</v>
      </c>
      <c r="D1547" t="s">
        <v>1139</v>
      </c>
      <c r="E1547" s="9">
        <v>45383</v>
      </c>
      <c r="F1547" s="9">
        <v>45412</v>
      </c>
      <c r="G1547">
        <v>35000000</v>
      </c>
      <c r="H1547">
        <v>7000000</v>
      </c>
      <c r="I1547">
        <v>26000000</v>
      </c>
      <c r="J1547">
        <v>9000000</v>
      </c>
      <c r="K1547">
        <v>4000000</v>
      </c>
      <c r="L1547">
        <v>0</v>
      </c>
      <c r="M1547">
        <v>0</v>
      </c>
      <c r="T1547" s="9">
        <v>45108</v>
      </c>
      <c r="U1547" s="9">
        <v>45473</v>
      </c>
      <c r="V1547">
        <f>SUM(POTABLE_NONPOTABLE_API[[#This Row],[RESIDENTIAL_SINGLEFAMILY_GAL]:[OTHER_GAL]])</f>
        <v>81000000</v>
      </c>
      <c r="W1547">
        <f>SUM(POTABLE_NONPOTABLE_API[[#This Row],[NONPOTABLE_DEMAND_RESIDENTIAL_RECYCLED_WATER_GAL]:[NONPOTABLE_DEMAND_NONRESIDENTIAL_METERED_IRRIGATION_GAL]])</f>
        <v>0</v>
      </c>
      <c r="X1547" t="str">
        <f>IFERROR(INDEX(Crosswalk_API!$H$2:$H$527, MATCH(POTABLE_NONPOTABLE_API[[#This Row],[PWSID]], CW_PWSID_LIST, 0)), "")</f>
        <v>No</v>
      </c>
    </row>
    <row r="1548" spans="1:24" x14ac:dyDescent="0.25">
      <c r="A1548" t="s">
        <v>1136</v>
      </c>
      <c r="B1548" t="s">
        <v>1137</v>
      </c>
      <c r="C1548" t="s">
        <v>1138</v>
      </c>
      <c r="D1548" t="s">
        <v>1139</v>
      </c>
      <c r="E1548" s="9">
        <v>45413</v>
      </c>
      <c r="F1548" s="9">
        <v>45443</v>
      </c>
      <c r="G1548">
        <v>43277000</v>
      </c>
      <c r="H1548">
        <v>7401000</v>
      </c>
      <c r="I1548">
        <v>28090000</v>
      </c>
      <c r="J1548">
        <v>12263000</v>
      </c>
      <c r="K1548">
        <v>3198000</v>
      </c>
      <c r="L1548">
        <v>0</v>
      </c>
      <c r="M1548">
        <v>0</v>
      </c>
      <c r="T1548" s="9">
        <v>45108</v>
      </c>
      <c r="U1548" s="9">
        <v>45473</v>
      </c>
      <c r="V1548">
        <f>SUM(POTABLE_NONPOTABLE_API[[#This Row],[RESIDENTIAL_SINGLEFAMILY_GAL]:[OTHER_GAL]])</f>
        <v>94229000</v>
      </c>
      <c r="W1548">
        <f>SUM(POTABLE_NONPOTABLE_API[[#This Row],[NONPOTABLE_DEMAND_RESIDENTIAL_RECYCLED_WATER_GAL]:[NONPOTABLE_DEMAND_NONRESIDENTIAL_METERED_IRRIGATION_GAL]])</f>
        <v>0</v>
      </c>
      <c r="X1548" t="str">
        <f>IFERROR(INDEX(Crosswalk_API!$H$2:$H$527, MATCH(POTABLE_NONPOTABLE_API[[#This Row],[PWSID]], CW_PWSID_LIST, 0)), "")</f>
        <v>No</v>
      </c>
    </row>
    <row r="1549" spans="1:24" x14ac:dyDescent="0.25">
      <c r="A1549" t="s">
        <v>1136</v>
      </c>
      <c r="B1549" t="s">
        <v>1137</v>
      </c>
      <c r="C1549" t="s">
        <v>1138</v>
      </c>
      <c r="D1549" t="s">
        <v>1139</v>
      </c>
      <c r="E1549" s="9">
        <v>45444</v>
      </c>
      <c r="F1549" s="9">
        <v>45473</v>
      </c>
      <c r="G1549">
        <v>52104000</v>
      </c>
      <c r="H1549">
        <v>9103000</v>
      </c>
      <c r="I1549">
        <v>30892000</v>
      </c>
      <c r="J1549">
        <v>17170000</v>
      </c>
      <c r="K1549">
        <v>3543000</v>
      </c>
      <c r="L1549">
        <v>0</v>
      </c>
      <c r="M1549">
        <v>0</v>
      </c>
      <c r="T1549" s="9">
        <v>45108</v>
      </c>
      <c r="U1549" s="9">
        <v>45473</v>
      </c>
      <c r="V1549">
        <f>SUM(POTABLE_NONPOTABLE_API[[#This Row],[RESIDENTIAL_SINGLEFAMILY_GAL]:[OTHER_GAL]])</f>
        <v>112812000</v>
      </c>
      <c r="W1549">
        <f>SUM(POTABLE_NONPOTABLE_API[[#This Row],[NONPOTABLE_DEMAND_RESIDENTIAL_RECYCLED_WATER_GAL]:[NONPOTABLE_DEMAND_NONRESIDENTIAL_METERED_IRRIGATION_GAL]])</f>
        <v>0</v>
      </c>
      <c r="X1549" t="str">
        <f>IFERROR(INDEX(Crosswalk_API!$H$2:$H$527, MATCH(POTABLE_NONPOTABLE_API[[#This Row],[PWSID]], CW_PWSID_LIST, 0)), "")</f>
        <v>No</v>
      </c>
    </row>
    <row r="1550" spans="1:24" x14ac:dyDescent="0.25">
      <c r="A1550" t="s">
        <v>1140</v>
      </c>
      <c r="B1550" t="s">
        <v>1141</v>
      </c>
      <c r="C1550" t="s">
        <v>1142</v>
      </c>
      <c r="D1550" t="s">
        <v>1143</v>
      </c>
      <c r="E1550" s="9">
        <v>45108</v>
      </c>
      <c r="F1550" s="9">
        <v>45138</v>
      </c>
      <c r="G1550">
        <v>25643832.780000001</v>
      </c>
      <c r="H1550">
        <v>2339010.7400000002</v>
      </c>
      <c r="I1550">
        <v>12000528.75</v>
      </c>
      <c r="J1550">
        <v>1903451.08</v>
      </c>
      <c r="K1550">
        <v>0</v>
      </c>
      <c r="L1550">
        <v>0</v>
      </c>
      <c r="M1550">
        <v>0</v>
      </c>
      <c r="N1550">
        <v>0</v>
      </c>
      <c r="O1550">
        <v>0</v>
      </c>
      <c r="P1550">
        <v>0</v>
      </c>
      <c r="Q1550">
        <v>0</v>
      </c>
      <c r="R1550">
        <v>0</v>
      </c>
      <c r="S1550">
        <v>5302235.4000000004</v>
      </c>
      <c r="T1550" s="9">
        <v>45108</v>
      </c>
      <c r="U1550" s="9">
        <v>45473</v>
      </c>
      <c r="V1550">
        <f>SUM(POTABLE_NONPOTABLE_API[[#This Row],[RESIDENTIAL_SINGLEFAMILY_GAL]:[OTHER_GAL]])</f>
        <v>41886823.350000001</v>
      </c>
      <c r="W1550">
        <f>SUM(POTABLE_NONPOTABLE_API[[#This Row],[NONPOTABLE_DEMAND_RESIDENTIAL_RECYCLED_WATER_GAL]:[NONPOTABLE_DEMAND_NONRESIDENTIAL_METERED_IRRIGATION_GAL]])</f>
        <v>5302235.4000000004</v>
      </c>
      <c r="X1550" t="str">
        <f>IFERROR(INDEX(Crosswalk_API!$H$2:$H$527, MATCH(POTABLE_NONPOTABLE_API[[#This Row],[PWSID]], CW_PWSID_LIST, 0)), "")</f>
        <v>No</v>
      </c>
    </row>
    <row r="1551" spans="1:24" x14ac:dyDescent="0.25">
      <c r="A1551" t="s">
        <v>1140</v>
      </c>
      <c r="B1551" t="s">
        <v>1141</v>
      </c>
      <c r="C1551" t="s">
        <v>1142</v>
      </c>
      <c r="D1551" t="s">
        <v>1143</v>
      </c>
      <c r="E1551" s="9">
        <v>45139</v>
      </c>
      <c r="F1551" s="9">
        <v>45169</v>
      </c>
      <c r="G1551">
        <v>26105824.73</v>
      </c>
      <c r="H1551">
        <v>2492168.074</v>
      </c>
      <c r="I1551">
        <v>12546858.74</v>
      </c>
      <c r="J1551">
        <v>2558008.9</v>
      </c>
      <c r="K1551">
        <v>0</v>
      </c>
      <c r="L1551">
        <v>0</v>
      </c>
      <c r="M1551">
        <v>0</v>
      </c>
      <c r="N1551">
        <v>0</v>
      </c>
      <c r="O1551">
        <v>0</v>
      </c>
      <c r="P1551">
        <v>0</v>
      </c>
      <c r="Q1551">
        <v>0</v>
      </c>
      <c r="R1551">
        <v>0</v>
      </c>
      <c r="S1551">
        <v>5854468.8399999999</v>
      </c>
      <c r="T1551" s="9">
        <v>45108</v>
      </c>
      <c r="U1551" s="9">
        <v>45473</v>
      </c>
      <c r="V1551">
        <f>SUM(POTABLE_NONPOTABLE_API[[#This Row],[RESIDENTIAL_SINGLEFAMILY_GAL]:[OTHER_GAL]])</f>
        <v>43702860.443999998</v>
      </c>
      <c r="W1551">
        <f>SUM(POTABLE_NONPOTABLE_API[[#This Row],[NONPOTABLE_DEMAND_RESIDENTIAL_RECYCLED_WATER_GAL]:[NONPOTABLE_DEMAND_NONRESIDENTIAL_METERED_IRRIGATION_GAL]])</f>
        <v>5854468.8399999999</v>
      </c>
      <c r="X1551" t="str">
        <f>IFERROR(INDEX(Crosswalk_API!$H$2:$H$527, MATCH(POTABLE_NONPOTABLE_API[[#This Row],[PWSID]], CW_PWSID_LIST, 0)), "")</f>
        <v>No</v>
      </c>
    </row>
    <row r="1552" spans="1:24" x14ac:dyDescent="0.25">
      <c r="A1552" t="s">
        <v>1140</v>
      </c>
      <c r="B1552" t="s">
        <v>1141</v>
      </c>
      <c r="C1552" t="s">
        <v>1142</v>
      </c>
      <c r="D1552" t="s">
        <v>1143</v>
      </c>
      <c r="E1552" s="9">
        <v>45170</v>
      </c>
      <c r="F1552" s="9">
        <v>45199</v>
      </c>
      <c r="G1552">
        <v>24497625.25</v>
      </c>
      <c r="H1552">
        <v>2261296.38</v>
      </c>
      <c r="I1552">
        <v>10277616.34</v>
      </c>
      <c r="J1552">
        <v>1995612.24</v>
      </c>
      <c r="K1552">
        <v>0</v>
      </c>
      <c r="L1552">
        <v>0</v>
      </c>
      <c r="M1552">
        <v>0</v>
      </c>
      <c r="N1552">
        <v>0</v>
      </c>
      <c r="O1552">
        <v>0</v>
      </c>
      <c r="P1552">
        <v>0</v>
      </c>
      <c r="Q1552">
        <v>0</v>
      </c>
      <c r="R1552">
        <v>0</v>
      </c>
      <c r="S1552">
        <v>7838292</v>
      </c>
      <c r="T1552" s="9">
        <v>45108</v>
      </c>
      <c r="U1552" s="9">
        <v>45473</v>
      </c>
      <c r="V1552">
        <f>SUM(POTABLE_NONPOTABLE_API[[#This Row],[RESIDENTIAL_SINGLEFAMILY_GAL]:[OTHER_GAL]])</f>
        <v>39032150.210000001</v>
      </c>
      <c r="W1552">
        <f>SUM(POTABLE_NONPOTABLE_API[[#This Row],[NONPOTABLE_DEMAND_RESIDENTIAL_RECYCLED_WATER_GAL]:[NONPOTABLE_DEMAND_NONRESIDENTIAL_METERED_IRRIGATION_GAL]])</f>
        <v>7838292</v>
      </c>
      <c r="X1552" t="str">
        <f>IFERROR(INDEX(Crosswalk_API!$H$2:$H$527, MATCH(POTABLE_NONPOTABLE_API[[#This Row],[PWSID]], CW_PWSID_LIST, 0)), "")</f>
        <v>No</v>
      </c>
    </row>
    <row r="1553" spans="1:24" x14ac:dyDescent="0.25">
      <c r="A1553" t="s">
        <v>1140</v>
      </c>
      <c r="B1553" t="s">
        <v>1141</v>
      </c>
      <c r="C1553" t="s">
        <v>1142</v>
      </c>
      <c r="D1553" t="s">
        <v>1143</v>
      </c>
      <c r="E1553" s="9">
        <v>45200</v>
      </c>
      <c r="F1553" s="9">
        <v>45230</v>
      </c>
      <c r="G1553">
        <v>25283638.010000002</v>
      </c>
      <c r="H1553">
        <v>2343165.2000000002</v>
      </c>
      <c r="I1553">
        <v>10886369.529999999</v>
      </c>
      <c r="J1553">
        <v>1433319.47</v>
      </c>
      <c r="K1553">
        <v>0</v>
      </c>
      <c r="L1553">
        <v>0</v>
      </c>
      <c r="M1553">
        <v>0</v>
      </c>
      <c r="N1553">
        <v>0</v>
      </c>
      <c r="O1553">
        <v>0</v>
      </c>
      <c r="P1553">
        <v>0</v>
      </c>
      <c r="Q1553">
        <v>0</v>
      </c>
      <c r="R1553">
        <v>0</v>
      </c>
      <c r="S1553">
        <v>5912917.5599999996</v>
      </c>
      <c r="T1553" s="9">
        <v>45108</v>
      </c>
      <c r="U1553" s="9">
        <v>45473</v>
      </c>
      <c r="V1553">
        <f>SUM(POTABLE_NONPOTABLE_API[[#This Row],[RESIDENTIAL_SINGLEFAMILY_GAL]:[OTHER_GAL]])</f>
        <v>39946492.210000001</v>
      </c>
      <c r="W1553">
        <f>SUM(POTABLE_NONPOTABLE_API[[#This Row],[NONPOTABLE_DEMAND_RESIDENTIAL_RECYCLED_WATER_GAL]:[NONPOTABLE_DEMAND_NONRESIDENTIAL_METERED_IRRIGATION_GAL]])</f>
        <v>5912917.5599999996</v>
      </c>
      <c r="X1553" t="str">
        <f>IFERROR(INDEX(Crosswalk_API!$H$2:$H$527, MATCH(POTABLE_NONPOTABLE_API[[#This Row],[PWSID]], CW_PWSID_LIST, 0)), "")</f>
        <v>No</v>
      </c>
    </row>
    <row r="1554" spans="1:24" x14ac:dyDescent="0.25">
      <c r="A1554" t="s">
        <v>1140</v>
      </c>
      <c r="B1554" t="s">
        <v>1141</v>
      </c>
      <c r="C1554" t="s">
        <v>1142</v>
      </c>
      <c r="D1554" t="s">
        <v>1143</v>
      </c>
      <c r="E1554" s="9">
        <v>45231</v>
      </c>
      <c r="F1554" s="9">
        <v>45260</v>
      </c>
      <c r="G1554">
        <v>21832672.02</v>
      </c>
      <c r="H1554">
        <v>2050620.23</v>
      </c>
      <c r="I1554">
        <v>8775506.4600000009</v>
      </c>
      <c r="J1554">
        <v>799304.42</v>
      </c>
      <c r="K1554">
        <v>0</v>
      </c>
      <c r="L1554">
        <v>0</v>
      </c>
      <c r="M1554">
        <v>0</v>
      </c>
      <c r="N1554">
        <v>0</v>
      </c>
      <c r="O1554">
        <v>0</v>
      </c>
      <c r="P1554">
        <v>0</v>
      </c>
      <c r="Q1554">
        <v>0</v>
      </c>
      <c r="R1554">
        <v>0</v>
      </c>
      <c r="S1554">
        <v>2504064.64</v>
      </c>
      <c r="T1554" s="9">
        <v>45108</v>
      </c>
      <c r="U1554" s="9">
        <v>45473</v>
      </c>
      <c r="V1554">
        <f>SUM(POTABLE_NONPOTABLE_API[[#This Row],[RESIDENTIAL_SINGLEFAMILY_GAL]:[OTHER_GAL]])</f>
        <v>33458103.130000003</v>
      </c>
      <c r="W1554">
        <f>SUM(POTABLE_NONPOTABLE_API[[#This Row],[NONPOTABLE_DEMAND_RESIDENTIAL_RECYCLED_WATER_GAL]:[NONPOTABLE_DEMAND_NONRESIDENTIAL_METERED_IRRIGATION_GAL]])</f>
        <v>2504064.64</v>
      </c>
      <c r="X1554" t="str">
        <f>IFERROR(INDEX(Crosswalk_API!$H$2:$H$527, MATCH(POTABLE_NONPOTABLE_API[[#This Row],[PWSID]], CW_PWSID_LIST, 0)), "")</f>
        <v>No</v>
      </c>
    </row>
    <row r="1555" spans="1:24" x14ac:dyDescent="0.25">
      <c r="A1555" t="s">
        <v>1140</v>
      </c>
      <c r="B1555" t="s">
        <v>1141</v>
      </c>
      <c r="C1555" t="s">
        <v>1142</v>
      </c>
      <c r="D1555" t="s">
        <v>1143</v>
      </c>
      <c r="E1555" s="9">
        <v>45261</v>
      </c>
      <c r="F1555" s="9">
        <v>45291</v>
      </c>
      <c r="G1555">
        <v>20567650.609999999</v>
      </c>
      <c r="H1555">
        <v>2051466.07</v>
      </c>
      <c r="I1555">
        <v>8419194.5299999993</v>
      </c>
      <c r="J1555">
        <v>524173.72</v>
      </c>
      <c r="K1555">
        <v>0</v>
      </c>
      <c r="L1555">
        <v>0</v>
      </c>
      <c r="M1555">
        <v>0</v>
      </c>
      <c r="N1555">
        <v>0</v>
      </c>
      <c r="O1555">
        <v>0</v>
      </c>
      <c r="P1555">
        <v>0</v>
      </c>
      <c r="Q1555">
        <v>0</v>
      </c>
      <c r="R1555">
        <v>0</v>
      </c>
      <c r="S1555">
        <v>2237627.04</v>
      </c>
      <c r="T1555" s="9">
        <v>45108</v>
      </c>
      <c r="U1555" s="9">
        <v>45473</v>
      </c>
      <c r="V1555">
        <f>SUM(POTABLE_NONPOTABLE_API[[#This Row],[RESIDENTIAL_SINGLEFAMILY_GAL]:[OTHER_GAL]])</f>
        <v>31562484.93</v>
      </c>
      <c r="W1555">
        <f>SUM(POTABLE_NONPOTABLE_API[[#This Row],[NONPOTABLE_DEMAND_RESIDENTIAL_RECYCLED_WATER_GAL]:[NONPOTABLE_DEMAND_NONRESIDENTIAL_METERED_IRRIGATION_GAL]])</f>
        <v>2237627.04</v>
      </c>
      <c r="X1555" t="str">
        <f>IFERROR(INDEX(Crosswalk_API!$H$2:$H$527, MATCH(POTABLE_NONPOTABLE_API[[#This Row],[PWSID]], CW_PWSID_LIST, 0)), "")</f>
        <v>No</v>
      </c>
    </row>
    <row r="1556" spans="1:24" x14ac:dyDescent="0.25">
      <c r="A1556" t="s">
        <v>1140</v>
      </c>
      <c r="B1556" t="s">
        <v>1141</v>
      </c>
      <c r="C1556" t="s">
        <v>1142</v>
      </c>
      <c r="D1556" t="s">
        <v>1143</v>
      </c>
      <c r="E1556" s="9">
        <v>45292</v>
      </c>
      <c r="F1556" s="9">
        <v>45322</v>
      </c>
      <c r="G1556">
        <v>19836749.27</v>
      </c>
      <c r="H1556">
        <v>2346143.02</v>
      </c>
      <c r="I1556">
        <v>7524507.6100000003</v>
      </c>
      <c r="J1556">
        <v>329522.95</v>
      </c>
      <c r="K1556">
        <v>0</v>
      </c>
      <c r="L1556">
        <v>0</v>
      </c>
      <c r="M1556">
        <v>0</v>
      </c>
      <c r="N1556">
        <v>0</v>
      </c>
      <c r="O1556">
        <v>0</v>
      </c>
      <c r="P1556">
        <v>0</v>
      </c>
      <c r="Q1556">
        <v>0</v>
      </c>
      <c r="R1556">
        <v>0</v>
      </c>
      <c r="S1556">
        <v>0</v>
      </c>
      <c r="T1556" s="9">
        <v>45108</v>
      </c>
      <c r="U1556" s="9">
        <v>45473</v>
      </c>
      <c r="V1556">
        <f>SUM(POTABLE_NONPOTABLE_API[[#This Row],[RESIDENTIAL_SINGLEFAMILY_GAL]:[OTHER_GAL]])</f>
        <v>30036922.849999998</v>
      </c>
      <c r="W1556">
        <f>SUM(POTABLE_NONPOTABLE_API[[#This Row],[NONPOTABLE_DEMAND_RESIDENTIAL_RECYCLED_WATER_GAL]:[NONPOTABLE_DEMAND_NONRESIDENTIAL_METERED_IRRIGATION_GAL]])</f>
        <v>0</v>
      </c>
      <c r="X1556" t="str">
        <f>IFERROR(INDEX(Crosswalk_API!$H$2:$H$527, MATCH(POTABLE_NONPOTABLE_API[[#This Row],[PWSID]], CW_PWSID_LIST, 0)), "")</f>
        <v>No</v>
      </c>
    </row>
    <row r="1557" spans="1:24" x14ac:dyDescent="0.25">
      <c r="A1557" t="s">
        <v>1140</v>
      </c>
      <c r="B1557" t="s">
        <v>1141</v>
      </c>
      <c r="C1557" t="s">
        <v>1142</v>
      </c>
      <c r="D1557" t="s">
        <v>1143</v>
      </c>
      <c r="E1557" s="9">
        <v>45323</v>
      </c>
      <c r="F1557" s="9">
        <v>45351</v>
      </c>
      <c r="G1557">
        <v>17496811.629999999</v>
      </c>
      <c r="H1557">
        <v>2087324.37</v>
      </c>
      <c r="I1557">
        <v>7726682.75</v>
      </c>
      <c r="J1557">
        <v>312140.65000000002</v>
      </c>
      <c r="K1557">
        <v>0</v>
      </c>
      <c r="L1557">
        <v>0</v>
      </c>
      <c r="M1557">
        <v>0</v>
      </c>
      <c r="N1557">
        <v>0</v>
      </c>
      <c r="O1557">
        <v>0</v>
      </c>
      <c r="P1557">
        <v>0</v>
      </c>
      <c r="Q1557">
        <v>0</v>
      </c>
      <c r="R1557">
        <v>0</v>
      </c>
      <c r="S1557">
        <v>0</v>
      </c>
      <c r="T1557" s="9">
        <v>45108</v>
      </c>
      <c r="U1557" s="9">
        <v>45473</v>
      </c>
      <c r="V1557">
        <f>SUM(POTABLE_NONPOTABLE_API[[#This Row],[RESIDENTIAL_SINGLEFAMILY_GAL]:[OTHER_GAL]])</f>
        <v>27622959.399999999</v>
      </c>
      <c r="W1557">
        <f>SUM(POTABLE_NONPOTABLE_API[[#This Row],[NONPOTABLE_DEMAND_RESIDENTIAL_RECYCLED_WATER_GAL]:[NONPOTABLE_DEMAND_NONRESIDENTIAL_METERED_IRRIGATION_GAL]])</f>
        <v>0</v>
      </c>
      <c r="X1557" t="str">
        <f>IFERROR(INDEX(Crosswalk_API!$H$2:$H$527, MATCH(POTABLE_NONPOTABLE_API[[#This Row],[PWSID]], CW_PWSID_LIST, 0)), "")</f>
        <v>No</v>
      </c>
    </row>
    <row r="1558" spans="1:24" x14ac:dyDescent="0.25">
      <c r="A1558" t="s">
        <v>1140</v>
      </c>
      <c r="B1558" t="s">
        <v>1141</v>
      </c>
      <c r="C1558" t="s">
        <v>1142</v>
      </c>
      <c r="D1558" t="s">
        <v>1143</v>
      </c>
      <c r="E1558" s="9">
        <v>45352</v>
      </c>
      <c r="F1558" s="9">
        <v>45382</v>
      </c>
      <c r="G1558">
        <v>19135016.5</v>
      </c>
      <c r="H1558">
        <v>2351380.02</v>
      </c>
      <c r="I1558">
        <v>8955937.1300000008</v>
      </c>
      <c r="J1558">
        <v>159678.45000000001</v>
      </c>
      <c r="K1558">
        <v>0</v>
      </c>
      <c r="L1558">
        <v>0</v>
      </c>
      <c r="M1558">
        <v>0</v>
      </c>
      <c r="N1558">
        <v>0</v>
      </c>
      <c r="O1558">
        <v>0</v>
      </c>
      <c r="P1558">
        <v>0</v>
      </c>
      <c r="Q1558">
        <v>0</v>
      </c>
      <c r="R1558">
        <v>0</v>
      </c>
      <c r="S1558">
        <v>3830635.16</v>
      </c>
      <c r="T1558" s="9">
        <v>45108</v>
      </c>
      <c r="U1558" s="9">
        <v>45473</v>
      </c>
      <c r="V1558">
        <f>SUM(POTABLE_NONPOTABLE_API[[#This Row],[RESIDENTIAL_SINGLEFAMILY_GAL]:[OTHER_GAL]])</f>
        <v>30602012.099999998</v>
      </c>
      <c r="W1558">
        <f>SUM(POTABLE_NONPOTABLE_API[[#This Row],[NONPOTABLE_DEMAND_RESIDENTIAL_RECYCLED_WATER_GAL]:[NONPOTABLE_DEMAND_NONRESIDENTIAL_METERED_IRRIGATION_GAL]])</f>
        <v>3830635.16</v>
      </c>
      <c r="X1558" t="str">
        <f>IFERROR(INDEX(Crosswalk_API!$H$2:$H$527, MATCH(POTABLE_NONPOTABLE_API[[#This Row],[PWSID]], CW_PWSID_LIST, 0)), "")</f>
        <v>No</v>
      </c>
    </row>
    <row r="1559" spans="1:24" x14ac:dyDescent="0.25">
      <c r="A1559" t="s">
        <v>1140</v>
      </c>
      <c r="B1559" t="s">
        <v>1141</v>
      </c>
      <c r="C1559" t="s">
        <v>1142</v>
      </c>
      <c r="D1559" t="s">
        <v>1143</v>
      </c>
      <c r="E1559" s="9">
        <v>45383</v>
      </c>
      <c r="F1559" s="9">
        <v>45412</v>
      </c>
      <c r="G1559">
        <v>19504802.960000001</v>
      </c>
      <c r="H1559">
        <v>2222505.86</v>
      </c>
      <c r="I1559">
        <v>8916669.1199999992</v>
      </c>
      <c r="J1559">
        <v>257739.08</v>
      </c>
      <c r="K1559">
        <v>0</v>
      </c>
      <c r="L1559">
        <v>0</v>
      </c>
      <c r="M1559">
        <v>0</v>
      </c>
      <c r="N1559">
        <v>0</v>
      </c>
      <c r="O1559">
        <v>0</v>
      </c>
      <c r="P1559">
        <v>0</v>
      </c>
      <c r="Q1559">
        <v>0</v>
      </c>
      <c r="R1559">
        <v>0</v>
      </c>
      <c r="S1559">
        <v>1099507.6399999999</v>
      </c>
      <c r="T1559" s="9">
        <v>45108</v>
      </c>
      <c r="U1559" s="9">
        <v>45473</v>
      </c>
      <c r="V1559">
        <f>SUM(POTABLE_NONPOTABLE_API[[#This Row],[RESIDENTIAL_SINGLEFAMILY_GAL]:[OTHER_GAL]])</f>
        <v>30901717.019999996</v>
      </c>
      <c r="W1559">
        <f>SUM(POTABLE_NONPOTABLE_API[[#This Row],[NONPOTABLE_DEMAND_RESIDENTIAL_RECYCLED_WATER_GAL]:[NONPOTABLE_DEMAND_NONRESIDENTIAL_METERED_IRRIGATION_GAL]])</f>
        <v>1099507.6399999999</v>
      </c>
      <c r="X1559" t="str">
        <f>IFERROR(INDEX(Crosswalk_API!$H$2:$H$527, MATCH(POTABLE_NONPOTABLE_API[[#This Row],[PWSID]], CW_PWSID_LIST, 0)), "")</f>
        <v>No</v>
      </c>
    </row>
    <row r="1560" spans="1:24" x14ac:dyDescent="0.25">
      <c r="A1560" t="s">
        <v>1140</v>
      </c>
      <c r="B1560" t="s">
        <v>1141</v>
      </c>
      <c r="C1560" t="s">
        <v>1142</v>
      </c>
      <c r="D1560" t="s">
        <v>1143</v>
      </c>
      <c r="E1560" s="9">
        <v>45413</v>
      </c>
      <c r="F1560" s="9">
        <v>45443</v>
      </c>
      <c r="G1560">
        <v>23557661.600000001</v>
      </c>
      <c r="H1560">
        <v>2448602.9300000002</v>
      </c>
      <c r="I1560">
        <v>10524534.529999999</v>
      </c>
      <c r="J1560">
        <v>1167702.8</v>
      </c>
      <c r="K1560">
        <v>0</v>
      </c>
      <c r="L1560">
        <v>0</v>
      </c>
      <c r="M1560">
        <v>0</v>
      </c>
      <c r="N1560">
        <v>0</v>
      </c>
      <c r="O1560">
        <v>0</v>
      </c>
      <c r="P1560">
        <v>0</v>
      </c>
      <c r="Q1560">
        <v>0</v>
      </c>
      <c r="R1560">
        <v>0</v>
      </c>
      <c r="S1560">
        <v>3078027.48</v>
      </c>
      <c r="T1560" s="9">
        <v>45108</v>
      </c>
      <c r="U1560" s="9">
        <v>45473</v>
      </c>
      <c r="V1560">
        <f>SUM(POTABLE_NONPOTABLE_API[[#This Row],[RESIDENTIAL_SINGLEFAMILY_GAL]:[OTHER_GAL]])</f>
        <v>37698501.859999999</v>
      </c>
      <c r="W1560">
        <f>SUM(POTABLE_NONPOTABLE_API[[#This Row],[NONPOTABLE_DEMAND_RESIDENTIAL_RECYCLED_WATER_GAL]:[NONPOTABLE_DEMAND_NONRESIDENTIAL_METERED_IRRIGATION_GAL]])</f>
        <v>3078027.48</v>
      </c>
      <c r="X1560" t="str">
        <f>IFERROR(INDEX(Crosswalk_API!$H$2:$H$527, MATCH(POTABLE_NONPOTABLE_API[[#This Row],[PWSID]], CW_PWSID_LIST, 0)), "")</f>
        <v>No</v>
      </c>
    </row>
    <row r="1561" spans="1:24" x14ac:dyDescent="0.25">
      <c r="A1561" t="s">
        <v>1140</v>
      </c>
      <c r="B1561" t="s">
        <v>1141</v>
      </c>
      <c r="C1561" t="s">
        <v>1142</v>
      </c>
      <c r="D1561" t="s">
        <v>1143</v>
      </c>
      <c r="E1561" s="9">
        <v>45444</v>
      </c>
      <c r="F1561" s="9">
        <v>45473</v>
      </c>
      <c r="G1561">
        <v>26316473.809999999</v>
      </c>
      <c r="H1561">
        <v>2586777.0299999998</v>
      </c>
      <c r="I1561">
        <v>12065336.52</v>
      </c>
      <c r="J1561">
        <v>2945720.52</v>
      </c>
      <c r="K1561">
        <v>0</v>
      </c>
      <c r="L1561">
        <v>0</v>
      </c>
      <c r="M1561">
        <v>0</v>
      </c>
      <c r="N1561">
        <v>0</v>
      </c>
      <c r="O1561">
        <v>0</v>
      </c>
      <c r="P1561">
        <v>0</v>
      </c>
      <c r="Q1561">
        <v>0</v>
      </c>
      <c r="R1561">
        <v>0</v>
      </c>
      <c r="S1561">
        <v>769071.16</v>
      </c>
      <c r="T1561" s="9">
        <v>45108</v>
      </c>
      <c r="U1561" s="9">
        <v>45473</v>
      </c>
      <c r="V1561">
        <f>SUM(POTABLE_NONPOTABLE_API[[#This Row],[RESIDENTIAL_SINGLEFAMILY_GAL]:[OTHER_GAL]])</f>
        <v>43914307.880000003</v>
      </c>
      <c r="W1561">
        <f>SUM(POTABLE_NONPOTABLE_API[[#This Row],[NONPOTABLE_DEMAND_RESIDENTIAL_RECYCLED_WATER_GAL]:[NONPOTABLE_DEMAND_NONRESIDENTIAL_METERED_IRRIGATION_GAL]])</f>
        <v>769071.16</v>
      </c>
      <c r="X1561" t="str">
        <f>IFERROR(INDEX(Crosswalk_API!$H$2:$H$527, MATCH(POTABLE_NONPOTABLE_API[[#This Row],[PWSID]], CW_PWSID_LIST, 0)), "")</f>
        <v>No</v>
      </c>
    </row>
    <row r="1562" spans="1:24" x14ac:dyDescent="0.25">
      <c r="A1562" t="s">
        <v>1144</v>
      </c>
      <c r="B1562" t="s">
        <v>1145</v>
      </c>
      <c r="C1562" t="s">
        <v>1146</v>
      </c>
      <c r="D1562" t="s">
        <v>1147</v>
      </c>
      <c r="E1562" s="9">
        <v>45108</v>
      </c>
      <c r="F1562" s="9">
        <v>45138</v>
      </c>
      <c r="G1562">
        <v>134511292.80000001</v>
      </c>
      <c r="H1562">
        <v>0</v>
      </c>
      <c r="I1562">
        <v>72990624</v>
      </c>
      <c r="J1562">
        <v>0</v>
      </c>
      <c r="K1562">
        <v>0</v>
      </c>
      <c r="L1562">
        <v>8309200.5</v>
      </c>
      <c r="M1562">
        <v>0</v>
      </c>
      <c r="T1562" s="9">
        <v>45108</v>
      </c>
      <c r="U1562" s="9">
        <v>45473</v>
      </c>
      <c r="V1562">
        <f>SUM(POTABLE_NONPOTABLE_API[[#This Row],[RESIDENTIAL_SINGLEFAMILY_GAL]:[OTHER_GAL]])</f>
        <v>215811117.30000001</v>
      </c>
      <c r="W1562">
        <f>SUM(POTABLE_NONPOTABLE_API[[#This Row],[NONPOTABLE_DEMAND_RESIDENTIAL_RECYCLED_WATER_GAL]:[NONPOTABLE_DEMAND_NONRESIDENTIAL_METERED_IRRIGATION_GAL]])</f>
        <v>0</v>
      </c>
      <c r="X1562" t="str">
        <f>IFERROR(INDEX(Crosswalk_API!$H$2:$H$527, MATCH(POTABLE_NONPOTABLE_API[[#This Row],[PWSID]], CW_PWSID_LIST, 0)), "")</f>
        <v>No</v>
      </c>
    </row>
    <row r="1563" spans="1:24" x14ac:dyDescent="0.25">
      <c r="A1563" t="s">
        <v>1144</v>
      </c>
      <c r="B1563" t="s">
        <v>1145</v>
      </c>
      <c r="C1563" t="s">
        <v>1146</v>
      </c>
      <c r="D1563" t="s">
        <v>1147</v>
      </c>
      <c r="E1563" s="9">
        <v>45139</v>
      </c>
      <c r="F1563" s="9">
        <v>45169</v>
      </c>
      <c r="G1563">
        <v>150901598.09999999</v>
      </c>
      <c r="H1563">
        <v>0</v>
      </c>
      <c r="I1563">
        <v>102968916</v>
      </c>
      <c r="J1563">
        <v>0</v>
      </c>
      <c r="K1563">
        <v>0</v>
      </c>
      <c r="L1563">
        <v>7038381.6000000006</v>
      </c>
      <c r="M1563">
        <v>0</v>
      </c>
      <c r="T1563" s="9">
        <v>45108</v>
      </c>
      <c r="U1563" s="9">
        <v>45473</v>
      </c>
      <c r="V1563">
        <f>SUM(POTABLE_NONPOTABLE_API[[#This Row],[RESIDENTIAL_SINGLEFAMILY_GAL]:[OTHER_GAL]])</f>
        <v>260908895.69999999</v>
      </c>
      <c r="W1563">
        <f>SUM(POTABLE_NONPOTABLE_API[[#This Row],[NONPOTABLE_DEMAND_RESIDENTIAL_RECYCLED_WATER_GAL]:[NONPOTABLE_DEMAND_NONRESIDENTIAL_METERED_IRRIGATION_GAL]])</f>
        <v>0</v>
      </c>
      <c r="X1563" t="str">
        <f>IFERROR(INDEX(Crosswalk_API!$H$2:$H$527, MATCH(POTABLE_NONPOTABLE_API[[#This Row],[PWSID]], CW_PWSID_LIST, 0)), "")</f>
        <v>No</v>
      </c>
    </row>
    <row r="1564" spans="1:24" x14ac:dyDescent="0.25">
      <c r="A1564" t="s">
        <v>1144</v>
      </c>
      <c r="B1564" t="s">
        <v>1145</v>
      </c>
      <c r="C1564" t="s">
        <v>1146</v>
      </c>
      <c r="D1564" t="s">
        <v>1147</v>
      </c>
      <c r="E1564" s="9">
        <v>45170</v>
      </c>
      <c r="F1564" s="9">
        <v>45199</v>
      </c>
      <c r="G1564">
        <v>149044247.40000001</v>
      </c>
      <c r="H1564">
        <v>0</v>
      </c>
      <c r="I1564">
        <v>117632211</v>
      </c>
      <c r="J1564">
        <v>0</v>
      </c>
      <c r="K1564">
        <v>0</v>
      </c>
      <c r="L1564">
        <v>7266477.2999999998</v>
      </c>
      <c r="M1564">
        <v>0</v>
      </c>
      <c r="T1564" s="9">
        <v>45108</v>
      </c>
      <c r="U1564" s="9">
        <v>45473</v>
      </c>
      <c r="V1564">
        <f>SUM(POTABLE_NONPOTABLE_API[[#This Row],[RESIDENTIAL_SINGLEFAMILY_GAL]:[OTHER_GAL]])</f>
        <v>273942935.69999999</v>
      </c>
      <c r="W1564">
        <f>SUM(POTABLE_NONPOTABLE_API[[#This Row],[NONPOTABLE_DEMAND_RESIDENTIAL_RECYCLED_WATER_GAL]:[NONPOTABLE_DEMAND_NONRESIDENTIAL_METERED_IRRIGATION_GAL]])</f>
        <v>0</v>
      </c>
      <c r="X1564" t="str">
        <f>IFERROR(INDEX(Crosswalk_API!$H$2:$H$527, MATCH(POTABLE_NONPOTABLE_API[[#This Row],[PWSID]], CW_PWSID_LIST, 0)), "")</f>
        <v>No</v>
      </c>
    </row>
    <row r="1565" spans="1:24" x14ac:dyDescent="0.25">
      <c r="A1565" t="s">
        <v>1144</v>
      </c>
      <c r="B1565" t="s">
        <v>1145</v>
      </c>
      <c r="C1565" t="s">
        <v>1146</v>
      </c>
      <c r="D1565" t="s">
        <v>1147</v>
      </c>
      <c r="E1565" s="9">
        <v>45200</v>
      </c>
      <c r="F1565" s="9">
        <v>45230</v>
      </c>
      <c r="G1565">
        <v>136890005.09999999</v>
      </c>
      <c r="H1565">
        <v>0</v>
      </c>
      <c r="I1565">
        <v>106553277</v>
      </c>
      <c r="J1565">
        <v>0</v>
      </c>
      <c r="K1565">
        <v>0</v>
      </c>
      <c r="L1565">
        <v>7690083.6000000006</v>
      </c>
      <c r="M1565">
        <v>0</v>
      </c>
      <c r="T1565" s="9">
        <v>45108</v>
      </c>
      <c r="U1565" s="9">
        <v>45473</v>
      </c>
      <c r="V1565">
        <f>SUM(POTABLE_NONPOTABLE_API[[#This Row],[RESIDENTIAL_SINGLEFAMILY_GAL]:[OTHER_GAL]])</f>
        <v>251133365.69999999</v>
      </c>
      <c r="W1565">
        <f>SUM(POTABLE_NONPOTABLE_API[[#This Row],[NONPOTABLE_DEMAND_RESIDENTIAL_RECYCLED_WATER_GAL]:[NONPOTABLE_DEMAND_NONRESIDENTIAL_METERED_IRRIGATION_GAL]])</f>
        <v>0</v>
      </c>
      <c r="X1565" t="str">
        <f>IFERROR(INDEX(Crosswalk_API!$H$2:$H$527, MATCH(POTABLE_NONPOTABLE_API[[#This Row],[PWSID]], CW_PWSID_LIST, 0)), "")</f>
        <v>No</v>
      </c>
    </row>
    <row r="1566" spans="1:24" x14ac:dyDescent="0.25">
      <c r="A1566" t="s">
        <v>1144</v>
      </c>
      <c r="B1566" t="s">
        <v>1145</v>
      </c>
      <c r="C1566" t="s">
        <v>1146</v>
      </c>
      <c r="D1566" t="s">
        <v>1147</v>
      </c>
      <c r="E1566" s="9">
        <v>45231</v>
      </c>
      <c r="F1566" s="9">
        <v>45260</v>
      </c>
      <c r="G1566">
        <v>117762551.39999999</v>
      </c>
      <c r="H1566">
        <v>0</v>
      </c>
      <c r="I1566">
        <v>91564131</v>
      </c>
      <c r="J1566">
        <v>0</v>
      </c>
      <c r="K1566">
        <v>0</v>
      </c>
      <c r="L1566">
        <v>27143388.300000001</v>
      </c>
      <c r="M1566">
        <v>0</v>
      </c>
      <c r="T1566" s="9">
        <v>45108</v>
      </c>
      <c r="U1566" s="9">
        <v>45473</v>
      </c>
      <c r="V1566">
        <f>SUM(POTABLE_NONPOTABLE_API[[#This Row],[RESIDENTIAL_SINGLEFAMILY_GAL]:[OTHER_GAL]])</f>
        <v>236470070.69999999</v>
      </c>
      <c r="W1566">
        <f>SUM(POTABLE_NONPOTABLE_API[[#This Row],[NONPOTABLE_DEMAND_RESIDENTIAL_RECYCLED_WATER_GAL]:[NONPOTABLE_DEMAND_NONRESIDENTIAL_METERED_IRRIGATION_GAL]])</f>
        <v>0</v>
      </c>
      <c r="X1566" t="str">
        <f>IFERROR(INDEX(Crosswalk_API!$H$2:$H$527, MATCH(POTABLE_NONPOTABLE_API[[#This Row],[PWSID]], CW_PWSID_LIST, 0)), "")</f>
        <v>No</v>
      </c>
    </row>
    <row r="1567" spans="1:24" x14ac:dyDescent="0.25">
      <c r="A1567" t="s">
        <v>1144</v>
      </c>
      <c r="B1567" t="s">
        <v>1145</v>
      </c>
      <c r="C1567" t="s">
        <v>1146</v>
      </c>
      <c r="D1567" t="s">
        <v>1147</v>
      </c>
      <c r="E1567" s="9">
        <v>45261</v>
      </c>
      <c r="F1567" s="9">
        <v>45291</v>
      </c>
      <c r="G1567">
        <v>98472172.200000003</v>
      </c>
      <c r="H1567">
        <v>0</v>
      </c>
      <c r="I1567">
        <v>85047111</v>
      </c>
      <c r="J1567">
        <v>0</v>
      </c>
      <c r="K1567">
        <v>0</v>
      </c>
      <c r="L1567">
        <v>4822594.8</v>
      </c>
      <c r="M1567">
        <v>0</v>
      </c>
      <c r="T1567" s="9">
        <v>45108</v>
      </c>
      <c r="U1567" s="9">
        <v>45473</v>
      </c>
      <c r="V1567">
        <f>SUM(POTABLE_NONPOTABLE_API[[#This Row],[RESIDENTIAL_SINGLEFAMILY_GAL]:[OTHER_GAL]])</f>
        <v>188341878</v>
      </c>
      <c r="W1567">
        <f>SUM(POTABLE_NONPOTABLE_API[[#This Row],[NONPOTABLE_DEMAND_RESIDENTIAL_RECYCLED_WATER_GAL]:[NONPOTABLE_DEMAND_NONRESIDENTIAL_METERED_IRRIGATION_GAL]])</f>
        <v>0</v>
      </c>
      <c r="X1567" t="str">
        <f>IFERROR(INDEX(Crosswalk_API!$H$2:$H$527, MATCH(POTABLE_NONPOTABLE_API[[#This Row],[PWSID]], CW_PWSID_LIST, 0)), "")</f>
        <v>No</v>
      </c>
    </row>
    <row r="1568" spans="1:24" x14ac:dyDescent="0.25">
      <c r="A1568" t="s">
        <v>1144</v>
      </c>
      <c r="B1568" t="s">
        <v>1145</v>
      </c>
      <c r="C1568" t="s">
        <v>1146</v>
      </c>
      <c r="D1568" t="s">
        <v>1147</v>
      </c>
      <c r="E1568" s="9">
        <v>45292</v>
      </c>
      <c r="F1568" s="9">
        <v>45322</v>
      </c>
      <c r="G1568">
        <v>90391067.399999991</v>
      </c>
      <c r="H1568">
        <v>0</v>
      </c>
      <c r="I1568">
        <v>74945730</v>
      </c>
      <c r="J1568">
        <v>0</v>
      </c>
      <c r="K1568">
        <v>0</v>
      </c>
      <c r="L1568">
        <v>2965244.1</v>
      </c>
      <c r="M1568">
        <v>0</v>
      </c>
      <c r="T1568" s="9">
        <v>45108</v>
      </c>
      <c r="U1568" s="9">
        <v>45473</v>
      </c>
      <c r="V1568">
        <f>SUM(POTABLE_NONPOTABLE_API[[#This Row],[RESIDENTIAL_SINGLEFAMILY_GAL]:[OTHER_GAL]])</f>
        <v>168302041.49999997</v>
      </c>
      <c r="W1568">
        <f>SUM(POTABLE_NONPOTABLE_API[[#This Row],[NONPOTABLE_DEMAND_RESIDENTIAL_RECYCLED_WATER_GAL]:[NONPOTABLE_DEMAND_NONRESIDENTIAL_METERED_IRRIGATION_GAL]])</f>
        <v>0</v>
      </c>
      <c r="X1568" t="str">
        <f>IFERROR(INDEX(Crosswalk_API!$H$2:$H$527, MATCH(POTABLE_NONPOTABLE_API[[#This Row],[PWSID]], CW_PWSID_LIST, 0)), "")</f>
        <v>No</v>
      </c>
    </row>
    <row r="1569" spans="1:24" x14ac:dyDescent="0.25">
      <c r="A1569" t="s">
        <v>1144</v>
      </c>
      <c r="B1569" t="s">
        <v>1145</v>
      </c>
      <c r="C1569" t="s">
        <v>1146</v>
      </c>
      <c r="D1569" t="s">
        <v>1147</v>
      </c>
      <c r="E1569" s="9">
        <v>45323</v>
      </c>
      <c r="F1569" s="9">
        <v>45351</v>
      </c>
      <c r="G1569">
        <v>77682878.400000006</v>
      </c>
      <c r="H1569">
        <v>0</v>
      </c>
      <c r="I1569">
        <v>88175280.600000009</v>
      </c>
      <c r="J1569">
        <v>0</v>
      </c>
      <c r="K1569">
        <v>0</v>
      </c>
      <c r="L1569">
        <v>20007251.399999999</v>
      </c>
      <c r="M1569">
        <v>0</v>
      </c>
      <c r="T1569" s="9">
        <v>45108</v>
      </c>
      <c r="U1569" s="9">
        <v>45473</v>
      </c>
      <c r="V1569">
        <f>SUM(POTABLE_NONPOTABLE_API[[#This Row],[RESIDENTIAL_SINGLEFAMILY_GAL]:[OTHER_GAL]])</f>
        <v>185865410.40000001</v>
      </c>
      <c r="W1569">
        <f>SUM(POTABLE_NONPOTABLE_API[[#This Row],[NONPOTABLE_DEMAND_RESIDENTIAL_RECYCLED_WATER_GAL]:[NONPOTABLE_DEMAND_NONRESIDENTIAL_METERED_IRRIGATION_GAL]])</f>
        <v>0</v>
      </c>
      <c r="X1569" t="str">
        <f>IFERROR(INDEX(Crosswalk_API!$H$2:$H$527, MATCH(POTABLE_NONPOTABLE_API[[#This Row],[PWSID]], CW_PWSID_LIST, 0)), "")</f>
        <v>No</v>
      </c>
    </row>
    <row r="1570" spans="1:24" x14ac:dyDescent="0.25">
      <c r="A1570" t="s">
        <v>1144</v>
      </c>
      <c r="B1570" t="s">
        <v>1145</v>
      </c>
      <c r="C1570" t="s">
        <v>1146</v>
      </c>
      <c r="D1570" t="s">
        <v>1147</v>
      </c>
      <c r="E1570" s="9">
        <v>45352</v>
      </c>
      <c r="F1570" s="9">
        <v>45382</v>
      </c>
      <c r="G1570">
        <v>85177451.399999991</v>
      </c>
      <c r="H1570">
        <v>0</v>
      </c>
      <c r="I1570">
        <v>79442473.799999997</v>
      </c>
      <c r="J1570">
        <v>0</v>
      </c>
      <c r="K1570">
        <v>0</v>
      </c>
      <c r="L1570">
        <v>5376541.5</v>
      </c>
      <c r="M1570">
        <v>0</v>
      </c>
      <c r="T1570" s="9">
        <v>45108</v>
      </c>
      <c r="U1570" s="9">
        <v>45473</v>
      </c>
      <c r="V1570">
        <f>SUM(POTABLE_NONPOTABLE_API[[#This Row],[RESIDENTIAL_SINGLEFAMILY_GAL]:[OTHER_GAL]])</f>
        <v>169996466.69999999</v>
      </c>
      <c r="W1570">
        <f>SUM(POTABLE_NONPOTABLE_API[[#This Row],[NONPOTABLE_DEMAND_RESIDENTIAL_RECYCLED_WATER_GAL]:[NONPOTABLE_DEMAND_NONRESIDENTIAL_METERED_IRRIGATION_GAL]])</f>
        <v>0</v>
      </c>
      <c r="X1570" t="str">
        <f>IFERROR(INDEX(Crosswalk_API!$H$2:$H$527, MATCH(POTABLE_NONPOTABLE_API[[#This Row],[PWSID]], CW_PWSID_LIST, 0)), "")</f>
        <v>No</v>
      </c>
    </row>
    <row r="1571" spans="1:24" x14ac:dyDescent="0.25">
      <c r="A1571" t="s">
        <v>1144</v>
      </c>
      <c r="B1571" t="s">
        <v>1145</v>
      </c>
      <c r="C1571" t="s">
        <v>1146</v>
      </c>
      <c r="D1571" t="s">
        <v>1147</v>
      </c>
      <c r="E1571" s="9">
        <v>45383</v>
      </c>
      <c r="F1571" s="9">
        <v>45412</v>
      </c>
      <c r="G1571">
        <v>129069581.10000001</v>
      </c>
      <c r="H1571">
        <v>0</v>
      </c>
      <c r="I1571">
        <v>147643088.09999999</v>
      </c>
      <c r="J1571">
        <v>0</v>
      </c>
      <c r="K1571">
        <v>0</v>
      </c>
      <c r="L1571">
        <v>7266477.2999999998</v>
      </c>
      <c r="M1571">
        <v>0</v>
      </c>
      <c r="T1571" s="9">
        <v>45108</v>
      </c>
      <c r="U1571" s="9">
        <v>45473</v>
      </c>
      <c r="V1571">
        <f>SUM(POTABLE_NONPOTABLE_API[[#This Row],[RESIDENTIAL_SINGLEFAMILY_GAL]:[OTHER_GAL]])</f>
        <v>283979146.5</v>
      </c>
      <c r="W1571">
        <f>SUM(POTABLE_NONPOTABLE_API[[#This Row],[NONPOTABLE_DEMAND_RESIDENTIAL_RECYCLED_WATER_GAL]:[NONPOTABLE_DEMAND_NONRESIDENTIAL_METERED_IRRIGATION_GAL]])</f>
        <v>0</v>
      </c>
      <c r="X1571" t="str">
        <f>IFERROR(INDEX(Crosswalk_API!$H$2:$H$527, MATCH(POTABLE_NONPOTABLE_API[[#This Row],[PWSID]], CW_PWSID_LIST, 0)), "")</f>
        <v>No</v>
      </c>
    </row>
    <row r="1572" spans="1:24" x14ac:dyDescent="0.25">
      <c r="A1572" t="s">
        <v>1144</v>
      </c>
      <c r="B1572" t="s">
        <v>1145</v>
      </c>
      <c r="C1572" t="s">
        <v>1146</v>
      </c>
      <c r="D1572" t="s">
        <v>1147</v>
      </c>
      <c r="E1572" s="9">
        <v>45413</v>
      </c>
      <c r="F1572" s="9">
        <v>45443</v>
      </c>
      <c r="G1572">
        <v>145883492.69999999</v>
      </c>
      <c r="H1572">
        <v>0</v>
      </c>
      <c r="I1572">
        <v>190329569.09999999</v>
      </c>
      <c r="J1572">
        <v>0</v>
      </c>
      <c r="K1572">
        <v>0</v>
      </c>
      <c r="L1572">
        <v>3910212</v>
      </c>
      <c r="M1572">
        <v>0</v>
      </c>
      <c r="T1572" s="9">
        <v>45108</v>
      </c>
      <c r="U1572" s="9">
        <v>45473</v>
      </c>
      <c r="V1572">
        <f>SUM(POTABLE_NONPOTABLE_API[[#This Row],[RESIDENTIAL_SINGLEFAMILY_GAL]:[OTHER_GAL]])</f>
        <v>340123273.79999995</v>
      </c>
      <c r="W1572">
        <f>SUM(POTABLE_NONPOTABLE_API[[#This Row],[NONPOTABLE_DEMAND_RESIDENTIAL_RECYCLED_WATER_GAL]:[NONPOTABLE_DEMAND_NONRESIDENTIAL_METERED_IRRIGATION_GAL]])</f>
        <v>0</v>
      </c>
      <c r="X1572" t="str">
        <f>IFERROR(INDEX(Crosswalk_API!$H$2:$H$527, MATCH(POTABLE_NONPOTABLE_API[[#This Row],[PWSID]], CW_PWSID_LIST, 0)), "")</f>
        <v>No</v>
      </c>
    </row>
    <row r="1573" spans="1:24" x14ac:dyDescent="0.25">
      <c r="A1573" t="s">
        <v>1144</v>
      </c>
      <c r="B1573" t="s">
        <v>1145</v>
      </c>
      <c r="C1573" t="s">
        <v>1146</v>
      </c>
      <c r="D1573" t="s">
        <v>1147</v>
      </c>
      <c r="E1573" s="9">
        <v>45444</v>
      </c>
      <c r="F1573" s="9">
        <v>45473</v>
      </c>
      <c r="G1573">
        <v>116393977.2</v>
      </c>
      <c r="H1573">
        <v>0</v>
      </c>
      <c r="I1573">
        <v>78595261.200000003</v>
      </c>
      <c r="J1573">
        <v>0</v>
      </c>
      <c r="K1573">
        <v>0</v>
      </c>
      <c r="L1573">
        <v>9808115.0999999996</v>
      </c>
      <c r="M1573">
        <v>0</v>
      </c>
      <c r="T1573" s="9">
        <v>45108</v>
      </c>
      <c r="U1573" s="9">
        <v>45473</v>
      </c>
      <c r="V1573">
        <f>SUM(POTABLE_NONPOTABLE_API[[#This Row],[RESIDENTIAL_SINGLEFAMILY_GAL]:[OTHER_GAL]])</f>
        <v>204797353.5</v>
      </c>
      <c r="W1573">
        <f>SUM(POTABLE_NONPOTABLE_API[[#This Row],[NONPOTABLE_DEMAND_RESIDENTIAL_RECYCLED_WATER_GAL]:[NONPOTABLE_DEMAND_NONRESIDENTIAL_METERED_IRRIGATION_GAL]])</f>
        <v>0</v>
      </c>
      <c r="X1573" t="str">
        <f>IFERROR(INDEX(Crosswalk_API!$H$2:$H$527, MATCH(POTABLE_NONPOTABLE_API[[#This Row],[PWSID]], CW_PWSID_LIST, 0)), "")</f>
        <v>No</v>
      </c>
    </row>
    <row r="1574" spans="1:24" x14ac:dyDescent="0.25">
      <c r="A1574" t="s">
        <v>1148</v>
      </c>
      <c r="B1574" t="s">
        <v>1149</v>
      </c>
      <c r="C1574" t="s">
        <v>1150</v>
      </c>
      <c r="D1574" t="s">
        <v>1151</v>
      </c>
      <c r="E1574" s="9">
        <v>45108</v>
      </c>
      <c r="F1574" s="9">
        <v>45138</v>
      </c>
      <c r="G1574">
        <v>117743000.33999999</v>
      </c>
      <c r="H1574">
        <v>15155330.01</v>
      </c>
      <c r="I1574">
        <v>39108637.019999996</v>
      </c>
      <c r="J1574">
        <v>7686825.0899999999</v>
      </c>
      <c r="K1574">
        <v>0</v>
      </c>
      <c r="L1574">
        <v>27589804.170000002</v>
      </c>
      <c r="M1574">
        <v>0</v>
      </c>
      <c r="T1574" s="9">
        <v>45108</v>
      </c>
      <c r="U1574" s="9">
        <v>45473</v>
      </c>
      <c r="V1574">
        <f>SUM(POTABLE_NONPOTABLE_API[[#This Row],[RESIDENTIAL_SINGLEFAMILY_GAL]:[OTHER_GAL]])</f>
        <v>207283596.63</v>
      </c>
      <c r="W1574">
        <f>SUM(POTABLE_NONPOTABLE_API[[#This Row],[NONPOTABLE_DEMAND_RESIDENTIAL_RECYCLED_WATER_GAL]:[NONPOTABLE_DEMAND_NONRESIDENTIAL_METERED_IRRIGATION_GAL]])</f>
        <v>0</v>
      </c>
      <c r="X1574" t="str">
        <f>IFERROR(INDEX(Crosswalk_API!$H$2:$H$527, MATCH(POTABLE_NONPOTABLE_API[[#This Row],[PWSID]], CW_PWSID_LIST, 0)), "")</f>
        <v>No</v>
      </c>
    </row>
    <row r="1575" spans="1:24" x14ac:dyDescent="0.25">
      <c r="A1575" t="s">
        <v>1148</v>
      </c>
      <c r="B1575" t="s">
        <v>1149</v>
      </c>
      <c r="C1575" t="s">
        <v>1150</v>
      </c>
      <c r="D1575" t="s">
        <v>1151</v>
      </c>
      <c r="E1575" s="9">
        <v>45139</v>
      </c>
      <c r="F1575" s="9">
        <v>45169</v>
      </c>
      <c r="G1575">
        <v>112203533.33999999</v>
      </c>
      <c r="H1575">
        <v>14063729.159999998</v>
      </c>
      <c r="I1575">
        <v>34549981.530000001</v>
      </c>
      <c r="J1575">
        <v>8204928.1799999997</v>
      </c>
      <c r="K1575">
        <v>0</v>
      </c>
      <c r="L1575">
        <v>23229917.790000003</v>
      </c>
      <c r="M1575">
        <v>0</v>
      </c>
      <c r="T1575" s="9">
        <v>45108</v>
      </c>
      <c r="U1575" s="9">
        <v>45473</v>
      </c>
      <c r="V1575">
        <f>SUM(POTABLE_NONPOTABLE_API[[#This Row],[RESIDENTIAL_SINGLEFAMILY_GAL]:[OTHER_GAL]])</f>
        <v>192252089.99999997</v>
      </c>
      <c r="W1575">
        <f>SUM(POTABLE_NONPOTABLE_API[[#This Row],[NONPOTABLE_DEMAND_RESIDENTIAL_RECYCLED_WATER_GAL]:[NONPOTABLE_DEMAND_NONRESIDENTIAL_METERED_IRRIGATION_GAL]])</f>
        <v>0</v>
      </c>
      <c r="X1575" t="str">
        <f>IFERROR(INDEX(Crosswalk_API!$H$2:$H$527, MATCH(POTABLE_NONPOTABLE_API[[#This Row],[PWSID]], CW_PWSID_LIST, 0)), "")</f>
        <v>No</v>
      </c>
    </row>
    <row r="1576" spans="1:24" x14ac:dyDescent="0.25">
      <c r="A1576" t="s">
        <v>1148</v>
      </c>
      <c r="B1576" t="s">
        <v>1149</v>
      </c>
      <c r="C1576" t="s">
        <v>1150</v>
      </c>
      <c r="D1576" t="s">
        <v>1151</v>
      </c>
      <c r="E1576" s="9">
        <v>45170</v>
      </c>
      <c r="F1576" s="9">
        <v>45199</v>
      </c>
      <c r="G1576">
        <v>123658173.543</v>
      </c>
      <c r="H1576">
        <v>15609892.155000001</v>
      </c>
      <c r="I1576">
        <v>31343607.689999998</v>
      </c>
      <c r="J1576">
        <v>9602828.9699999988</v>
      </c>
      <c r="K1576">
        <v>0</v>
      </c>
      <c r="L1576">
        <v>24334552.680000003</v>
      </c>
      <c r="M1576">
        <v>0</v>
      </c>
      <c r="T1576" s="9">
        <v>45108</v>
      </c>
      <c r="U1576" s="9">
        <v>45473</v>
      </c>
      <c r="V1576">
        <f>SUM(POTABLE_NONPOTABLE_API[[#This Row],[RESIDENTIAL_SINGLEFAMILY_GAL]:[OTHER_GAL]])</f>
        <v>204549055.03800002</v>
      </c>
      <c r="W1576">
        <f>SUM(POTABLE_NONPOTABLE_API[[#This Row],[NONPOTABLE_DEMAND_RESIDENTIAL_RECYCLED_WATER_GAL]:[NONPOTABLE_DEMAND_NONRESIDENTIAL_METERED_IRRIGATION_GAL]])</f>
        <v>0</v>
      </c>
      <c r="X1576" t="str">
        <f>IFERROR(INDEX(Crosswalk_API!$H$2:$H$527, MATCH(POTABLE_NONPOTABLE_API[[#This Row],[PWSID]], CW_PWSID_LIST, 0)), "")</f>
        <v>No</v>
      </c>
    </row>
    <row r="1577" spans="1:24" x14ac:dyDescent="0.25">
      <c r="A1577" t="s">
        <v>1148</v>
      </c>
      <c r="B1577" t="s">
        <v>1149</v>
      </c>
      <c r="C1577" t="s">
        <v>1150</v>
      </c>
      <c r="D1577" t="s">
        <v>1151</v>
      </c>
      <c r="E1577" s="9">
        <v>45200</v>
      </c>
      <c r="F1577" s="9">
        <v>45230</v>
      </c>
      <c r="G1577">
        <v>101453057.148</v>
      </c>
      <c r="H1577">
        <v>13017747.450000001</v>
      </c>
      <c r="I1577">
        <v>27638355.969000001</v>
      </c>
      <c r="J1577">
        <v>7830199.5300000003</v>
      </c>
      <c r="K1577">
        <v>0</v>
      </c>
      <c r="L1577">
        <v>12056487</v>
      </c>
      <c r="M1577">
        <v>0</v>
      </c>
      <c r="T1577" s="9">
        <v>45108</v>
      </c>
      <c r="U1577" s="9">
        <v>45473</v>
      </c>
      <c r="V1577">
        <f>SUM(POTABLE_NONPOTABLE_API[[#This Row],[RESIDENTIAL_SINGLEFAMILY_GAL]:[OTHER_GAL]])</f>
        <v>161995847.097</v>
      </c>
      <c r="W1577">
        <f>SUM(POTABLE_NONPOTABLE_API[[#This Row],[NONPOTABLE_DEMAND_RESIDENTIAL_RECYCLED_WATER_GAL]:[NONPOTABLE_DEMAND_NONRESIDENTIAL_METERED_IRRIGATION_GAL]])</f>
        <v>0</v>
      </c>
      <c r="X1577" t="str">
        <f>IFERROR(INDEX(Crosswalk_API!$H$2:$H$527, MATCH(POTABLE_NONPOTABLE_API[[#This Row],[PWSID]], CW_PWSID_LIST, 0)), "")</f>
        <v>No</v>
      </c>
    </row>
    <row r="1578" spans="1:24" x14ac:dyDescent="0.25">
      <c r="A1578" t="s">
        <v>1148</v>
      </c>
      <c r="B1578" t="s">
        <v>1149</v>
      </c>
      <c r="C1578" t="s">
        <v>1150</v>
      </c>
      <c r="D1578" t="s">
        <v>1151</v>
      </c>
      <c r="E1578" s="9">
        <v>45231</v>
      </c>
      <c r="F1578" s="9">
        <v>45260</v>
      </c>
      <c r="G1578">
        <v>112962766.17</v>
      </c>
      <c r="H1578">
        <v>14643743.939999999</v>
      </c>
      <c r="I1578">
        <v>28723765.650000002</v>
      </c>
      <c r="J1578">
        <v>9171076.3949999996</v>
      </c>
      <c r="K1578">
        <v>0</v>
      </c>
      <c r="L1578">
        <v>11355907.35</v>
      </c>
      <c r="M1578">
        <v>0</v>
      </c>
      <c r="T1578" s="9">
        <v>45108</v>
      </c>
      <c r="U1578" s="9">
        <v>45473</v>
      </c>
      <c r="V1578">
        <f>SUM(POTABLE_NONPOTABLE_API[[#This Row],[RESIDENTIAL_SINGLEFAMILY_GAL]:[OTHER_GAL]])</f>
        <v>176857259.505</v>
      </c>
      <c r="W1578">
        <f>SUM(POTABLE_NONPOTABLE_API[[#This Row],[NONPOTABLE_DEMAND_RESIDENTIAL_RECYCLED_WATER_GAL]:[NONPOTABLE_DEMAND_NONRESIDENTIAL_METERED_IRRIGATION_GAL]])</f>
        <v>0</v>
      </c>
      <c r="X1578" t="str">
        <f>IFERROR(INDEX(Crosswalk_API!$H$2:$H$527, MATCH(POTABLE_NONPOTABLE_API[[#This Row],[PWSID]], CW_PWSID_LIST, 0)), "")</f>
        <v>No</v>
      </c>
    </row>
    <row r="1579" spans="1:24" x14ac:dyDescent="0.25">
      <c r="A1579" t="s">
        <v>1148</v>
      </c>
      <c r="B1579" t="s">
        <v>1149</v>
      </c>
      <c r="C1579" t="s">
        <v>1150</v>
      </c>
      <c r="D1579" t="s">
        <v>1151</v>
      </c>
      <c r="E1579" s="9">
        <v>45261</v>
      </c>
      <c r="F1579" s="9">
        <v>45291</v>
      </c>
      <c r="G1579">
        <v>100562832.21599999</v>
      </c>
      <c r="H1579">
        <v>13438095.24</v>
      </c>
      <c r="I1579">
        <v>25250193.989999998</v>
      </c>
      <c r="J1579">
        <v>8096093.9460000005</v>
      </c>
      <c r="K1579">
        <v>0</v>
      </c>
      <c r="L1579">
        <v>8204928.1799999997</v>
      </c>
      <c r="M1579">
        <v>0</v>
      </c>
      <c r="T1579" s="9">
        <v>45108</v>
      </c>
      <c r="U1579" s="9">
        <v>45473</v>
      </c>
      <c r="V1579">
        <f>SUM(POTABLE_NONPOTABLE_API[[#This Row],[RESIDENTIAL_SINGLEFAMILY_GAL]:[OTHER_GAL]])</f>
        <v>155552143.572</v>
      </c>
      <c r="W1579">
        <f>SUM(POTABLE_NONPOTABLE_API[[#This Row],[NONPOTABLE_DEMAND_RESIDENTIAL_RECYCLED_WATER_GAL]:[NONPOTABLE_DEMAND_NONRESIDENTIAL_METERED_IRRIGATION_GAL]])</f>
        <v>0</v>
      </c>
      <c r="X1579" t="str">
        <f>IFERROR(INDEX(Crosswalk_API!$H$2:$H$527, MATCH(POTABLE_NONPOTABLE_API[[#This Row],[PWSID]], CW_PWSID_LIST, 0)), "")</f>
        <v>No</v>
      </c>
    </row>
    <row r="1580" spans="1:24" x14ac:dyDescent="0.25">
      <c r="A1580" t="s">
        <v>1148</v>
      </c>
      <c r="B1580" t="s">
        <v>1149</v>
      </c>
      <c r="C1580" t="s">
        <v>1150</v>
      </c>
      <c r="D1580" t="s">
        <v>1151</v>
      </c>
      <c r="E1580" s="9">
        <v>45292</v>
      </c>
      <c r="F1580" s="9">
        <v>45322</v>
      </c>
      <c r="G1580">
        <v>102920690.05199999</v>
      </c>
      <c r="H1580">
        <v>15481181.01</v>
      </c>
      <c r="I1580">
        <v>24631077.09</v>
      </c>
      <c r="J1580">
        <v>7427447.6940000001</v>
      </c>
      <c r="K1580">
        <v>0</v>
      </c>
      <c r="L1580">
        <v>23334190.109999999</v>
      </c>
      <c r="M1580">
        <v>0</v>
      </c>
      <c r="T1580" s="9">
        <v>45108</v>
      </c>
      <c r="U1580" s="9">
        <v>45473</v>
      </c>
      <c r="V1580">
        <f>SUM(POTABLE_NONPOTABLE_API[[#This Row],[RESIDENTIAL_SINGLEFAMILY_GAL]:[OTHER_GAL]])</f>
        <v>173794585.95599997</v>
      </c>
      <c r="W1580">
        <f>SUM(POTABLE_NONPOTABLE_API[[#This Row],[NONPOTABLE_DEMAND_RESIDENTIAL_RECYCLED_WATER_GAL]:[NONPOTABLE_DEMAND_NONRESIDENTIAL_METERED_IRRIGATION_GAL]])</f>
        <v>0</v>
      </c>
      <c r="X1580" t="str">
        <f>IFERROR(INDEX(Crosswalk_API!$H$2:$H$527, MATCH(POTABLE_NONPOTABLE_API[[#This Row],[PWSID]], CW_PWSID_LIST, 0)), "")</f>
        <v>No</v>
      </c>
    </row>
    <row r="1581" spans="1:24" x14ac:dyDescent="0.25">
      <c r="A1581" t="s">
        <v>1148</v>
      </c>
      <c r="B1581" t="s">
        <v>1149</v>
      </c>
      <c r="C1581" t="s">
        <v>1150</v>
      </c>
      <c r="D1581" t="s">
        <v>1151</v>
      </c>
      <c r="E1581" s="9">
        <v>45323</v>
      </c>
      <c r="F1581" s="9">
        <v>45351</v>
      </c>
      <c r="G1581">
        <v>93725500.682999998</v>
      </c>
      <c r="H1581">
        <v>13752541.455</v>
      </c>
      <c r="I1581">
        <v>25880715.675000001</v>
      </c>
      <c r="J1581">
        <v>7705072.7460000003</v>
      </c>
      <c r="K1581">
        <v>0</v>
      </c>
      <c r="L1581">
        <v>7479909.7049999991</v>
      </c>
      <c r="M1581">
        <v>0</v>
      </c>
      <c r="T1581" s="9">
        <v>45108</v>
      </c>
      <c r="U1581" s="9">
        <v>45473</v>
      </c>
      <c r="V1581">
        <f>SUM(POTABLE_NONPOTABLE_API[[#This Row],[RESIDENTIAL_SINGLEFAMILY_GAL]:[OTHER_GAL]])</f>
        <v>148543740.264</v>
      </c>
      <c r="W1581">
        <f>SUM(POTABLE_NONPOTABLE_API[[#This Row],[NONPOTABLE_DEMAND_RESIDENTIAL_RECYCLED_WATER_GAL]:[NONPOTABLE_DEMAND_NONRESIDENTIAL_METERED_IRRIGATION_GAL]])</f>
        <v>0</v>
      </c>
      <c r="X1581" t="str">
        <f>IFERROR(INDEX(Crosswalk_API!$H$2:$H$527, MATCH(POTABLE_NONPOTABLE_API[[#This Row],[PWSID]], CW_PWSID_LIST, 0)), "")</f>
        <v>No</v>
      </c>
    </row>
    <row r="1582" spans="1:24" x14ac:dyDescent="0.25">
      <c r="A1582" t="s">
        <v>1148</v>
      </c>
      <c r="B1582" t="s">
        <v>1149</v>
      </c>
      <c r="C1582" t="s">
        <v>1150</v>
      </c>
      <c r="D1582" t="s">
        <v>1151</v>
      </c>
      <c r="E1582" s="9">
        <v>45352</v>
      </c>
      <c r="F1582" s="9">
        <v>45382</v>
      </c>
      <c r="G1582">
        <v>89317932</v>
      </c>
      <c r="H1582">
        <v>12713756</v>
      </c>
      <c r="I1582">
        <v>30348604</v>
      </c>
      <c r="J1582">
        <v>323136</v>
      </c>
      <c r="K1582">
        <v>6602596</v>
      </c>
      <c r="L1582">
        <v>1519936</v>
      </c>
      <c r="M1582">
        <v>0</v>
      </c>
      <c r="T1582" s="9">
        <v>45108</v>
      </c>
      <c r="U1582" s="9">
        <v>45473</v>
      </c>
      <c r="V1582">
        <f>SUM(POTABLE_NONPOTABLE_API[[#This Row],[RESIDENTIAL_SINGLEFAMILY_GAL]:[OTHER_GAL]])</f>
        <v>140825960</v>
      </c>
      <c r="W1582">
        <f>SUM(POTABLE_NONPOTABLE_API[[#This Row],[NONPOTABLE_DEMAND_RESIDENTIAL_RECYCLED_WATER_GAL]:[NONPOTABLE_DEMAND_NONRESIDENTIAL_METERED_IRRIGATION_GAL]])</f>
        <v>0</v>
      </c>
      <c r="X1582" t="str">
        <f>IFERROR(INDEX(Crosswalk_API!$H$2:$H$527, MATCH(POTABLE_NONPOTABLE_API[[#This Row],[PWSID]], CW_PWSID_LIST, 0)), "")</f>
        <v>No</v>
      </c>
    </row>
    <row r="1583" spans="1:24" x14ac:dyDescent="0.25">
      <c r="A1583" t="s">
        <v>1148</v>
      </c>
      <c r="B1583" t="s">
        <v>1149</v>
      </c>
      <c r="C1583" t="s">
        <v>1150</v>
      </c>
      <c r="D1583" t="s">
        <v>1151</v>
      </c>
      <c r="E1583" s="9">
        <v>45383</v>
      </c>
      <c r="F1583" s="9">
        <v>45412</v>
      </c>
      <c r="G1583">
        <v>99379280</v>
      </c>
      <c r="H1583">
        <v>15933896</v>
      </c>
      <c r="I1583">
        <v>23956944</v>
      </c>
      <c r="J1583">
        <v>8172648</v>
      </c>
      <c r="K1583">
        <v>0</v>
      </c>
      <c r="L1583">
        <v>4153644</v>
      </c>
      <c r="M1583">
        <v>0</v>
      </c>
      <c r="T1583" s="9">
        <v>45108</v>
      </c>
      <c r="U1583" s="9">
        <v>45473</v>
      </c>
      <c r="V1583">
        <f>SUM(POTABLE_NONPOTABLE_API[[#This Row],[RESIDENTIAL_SINGLEFAMILY_GAL]:[OTHER_GAL]])</f>
        <v>151596412</v>
      </c>
      <c r="W1583">
        <f>SUM(POTABLE_NONPOTABLE_API[[#This Row],[NONPOTABLE_DEMAND_RESIDENTIAL_RECYCLED_WATER_GAL]:[NONPOTABLE_DEMAND_NONRESIDENTIAL_METERED_IRRIGATION_GAL]])</f>
        <v>0</v>
      </c>
      <c r="X1583" t="str">
        <f>IFERROR(INDEX(Crosswalk_API!$H$2:$H$527, MATCH(POTABLE_NONPOTABLE_API[[#This Row],[PWSID]], CW_PWSID_LIST, 0)), "")</f>
        <v>No</v>
      </c>
    </row>
    <row r="1584" spans="1:24" x14ac:dyDescent="0.25">
      <c r="A1584" t="s">
        <v>1148</v>
      </c>
      <c r="B1584" t="s">
        <v>1149</v>
      </c>
      <c r="C1584" t="s">
        <v>1150</v>
      </c>
      <c r="D1584" t="s">
        <v>1151</v>
      </c>
      <c r="E1584" s="9">
        <v>45413</v>
      </c>
      <c r="F1584" s="9">
        <v>45443</v>
      </c>
      <c r="G1584">
        <v>112381764</v>
      </c>
      <c r="H1584">
        <v>112948</v>
      </c>
      <c r="I1584">
        <v>30522140</v>
      </c>
      <c r="J1584">
        <v>7361816</v>
      </c>
      <c r="K1584">
        <v>0</v>
      </c>
      <c r="L1584">
        <v>7542832</v>
      </c>
      <c r="M1584">
        <v>0</v>
      </c>
      <c r="T1584" s="9">
        <v>45108</v>
      </c>
      <c r="U1584" s="9">
        <v>45473</v>
      </c>
      <c r="V1584">
        <f>SUM(POTABLE_NONPOTABLE_API[[#This Row],[RESIDENTIAL_SINGLEFAMILY_GAL]:[OTHER_GAL]])</f>
        <v>157921500</v>
      </c>
      <c r="W1584">
        <f>SUM(POTABLE_NONPOTABLE_API[[#This Row],[NONPOTABLE_DEMAND_RESIDENTIAL_RECYCLED_WATER_GAL]:[NONPOTABLE_DEMAND_NONRESIDENTIAL_METERED_IRRIGATION_GAL]])</f>
        <v>0</v>
      </c>
      <c r="X1584" t="str">
        <f>IFERROR(INDEX(Crosswalk_API!$H$2:$H$527, MATCH(POTABLE_NONPOTABLE_API[[#This Row],[PWSID]], CW_PWSID_LIST, 0)), "")</f>
        <v>No</v>
      </c>
    </row>
    <row r="1585" spans="1:24" x14ac:dyDescent="0.25">
      <c r="A1585" t="s">
        <v>1148</v>
      </c>
      <c r="B1585" t="s">
        <v>1149</v>
      </c>
      <c r="C1585" t="s">
        <v>1150</v>
      </c>
      <c r="D1585" t="s">
        <v>1151</v>
      </c>
      <c r="E1585" s="9">
        <v>45444</v>
      </c>
      <c r="F1585" s="9">
        <v>45473</v>
      </c>
      <c r="G1585">
        <v>111883596</v>
      </c>
      <c r="H1585">
        <v>16085740</v>
      </c>
      <c r="I1585">
        <v>29943188</v>
      </c>
      <c r="J1585">
        <v>8117296</v>
      </c>
      <c r="K1585">
        <v>0</v>
      </c>
      <c r="L1585">
        <v>10741280</v>
      </c>
      <c r="M1585">
        <v>0</v>
      </c>
      <c r="T1585" s="9">
        <v>45108</v>
      </c>
      <c r="U1585" s="9">
        <v>45473</v>
      </c>
      <c r="V1585">
        <f>SUM(POTABLE_NONPOTABLE_API[[#This Row],[RESIDENTIAL_SINGLEFAMILY_GAL]:[OTHER_GAL]])</f>
        <v>176771100</v>
      </c>
      <c r="W1585">
        <f>SUM(POTABLE_NONPOTABLE_API[[#This Row],[NONPOTABLE_DEMAND_RESIDENTIAL_RECYCLED_WATER_GAL]:[NONPOTABLE_DEMAND_NONRESIDENTIAL_METERED_IRRIGATION_GAL]])</f>
        <v>0</v>
      </c>
      <c r="X1585" t="str">
        <f>IFERROR(INDEX(Crosswalk_API!$H$2:$H$527, MATCH(POTABLE_NONPOTABLE_API[[#This Row],[PWSID]], CW_PWSID_LIST, 0)), "")</f>
        <v>No</v>
      </c>
    </row>
    <row r="1586" spans="1:24" x14ac:dyDescent="0.25">
      <c r="A1586" t="s">
        <v>1152</v>
      </c>
      <c r="B1586" t="s">
        <v>1153</v>
      </c>
      <c r="C1586" t="s">
        <v>1154</v>
      </c>
      <c r="D1586" t="s">
        <v>1155</v>
      </c>
      <c r="E1586" s="9">
        <v>45108</v>
      </c>
      <c r="F1586" s="9">
        <v>45138</v>
      </c>
      <c r="G1586">
        <v>518934145.12800002</v>
      </c>
      <c r="H1586">
        <v>241171964.80000001</v>
      </c>
      <c r="I1586">
        <v>121728257.80400001</v>
      </c>
      <c r="J1586">
        <v>53372762.148000002</v>
      </c>
      <c r="K1586">
        <v>1653194.9200000002</v>
      </c>
      <c r="L1586">
        <v>1565672.8360000001</v>
      </c>
      <c r="M1586">
        <v>0</v>
      </c>
      <c r="T1586" s="9">
        <v>45108</v>
      </c>
      <c r="U1586" s="9">
        <v>45473</v>
      </c>
      <c r="V1586">
        <f>SUM(POTABLE_NONPOTABLE_API[[#This Row],[RESIDENTIAL_SINGLEFAMILY_GAL]:[OTHER_GAL]])</f>
        <v>938425997.63599992</v>
      </c>
      <c r="W1586">
        <f>SUM(POTABLE_NONPOTABLE_API[[#This Row],[NONPOTABLE_DEMAND_RESIDENTIAL_RECYCLED_WATER_GAL]:[NONPOTABLE_DEMAND_NONRESIDENTIAL_METERED_IRRIGATION_GAL]])</f>
        <v>0</v>
      </c>
      <c r="X1586" t="str">
        <f>IFERROR(INDEX(Crosswalk_API!$H$2:$H$527, MATCH(POTABLE_NONPOTABLE_API[[#This Row],[PWSID]], CW_PWSID_LIST, 0)), "")</f>
        <v>No</v>
      </c>
    </row>
    <row r="1587" spans="1:24" x14ac:dyDescent="0.25">
      <c r="A1587" t="s">
        <v>1152</v>
      </c>
      <c r="B1587" t="s">
        <v>1153</v>
      </c>
      <c r="C1587" t="s">
        <v>1154</v>
      </c>
      <c r="D1587" t="s">
        <v>1155</v>
      </c>
      <c r="E1587" s="9">
        <v>45139</v>
      </c>
      <c r="F1587" s="9">
        <v>45169</v>
      </c>
      <c r="G1587">
        <v>527149252.19200003</v>
      </c>
      <c r="H1587">
        <v>165487055.648</v>
      </c>
      <c r="I1587">
        <v>142936280.05599999</v>
      </c>
      <c r="J1587">
        <v>80191174.400000006</v>
      </c>
      <c r="K1587">
        <v>682223.424</v>
      </c>
      <c r="L1587">
        <v>1821506.62</v>
      </c>
      <c r="M1587">
        <v>0</v>
      </c>
      <c r="T1587" s="9">
        <v>45108</v>
      </c>
      <c r="U1587" s="9">
        <v>45473</v>
      </c>
      <c r="V1587">
        <f>SUM(POTABLE_NONPOTABLE_API[[#This Row],[RESIDENTIAL_SINGLEFAMILY_GAL]:[OTHER_GAL]])</f>
        <v>918267492.34000003</v>
      </c>
      <c r="W1587">
        <f>SUM(POTABLE_NONPOTABLE_API[[#This Row],[NONPOTABLE_DEMAND_RESIDENTIAL_RECYCLED_WATER_GAL]:[NONPOTABLE_DEMAND_NONRESIDENTIAL_METERED_IRRIGATION_GAL]])</f>
        <v>0</v>
      </c>
      <c r="X1587" t="str">
        <f>IFERROR(INDEX(Crosswalk_API!$H$2:$H$527, MATCH(POTABLE_NONPOTABLE_API[[#This Row],[PWSID]], CW_PWSID_LIST, 0)), "")</f>
        <v>No</v>
      </c>
    </row>
    <row r="1588" spans="1:24" x14ac:dyDescent="0.25">
      <c r="A1588" t="s">
        <v>1152</v>
      </c>
      <c r="B1588" t="s">
        <v>1153</v>
      </c>
      <c r="C1588" t="s">
        <v>1154</v>
      </c>
      <c r="D1588" t="s">
        <v>1155</v>
      </c>
      <c r="E1588" s="9">
        <v>45170</v>
      </c>
      <c r="F1588" s="9">
        <v>45199</v>
      </c>
      <c r="G1588">
        <v>553596630.65200007</v>
      </c>
      <c r="H1588">
        <v>260292173.92000002</v>
      </c>
      <c r="I1588">
        <v>126774616.596</v>
      </c>
      <c r="J1588">
        <v>62635890.064000003</v>
      </c>
      <c r="K1588">
        <v>2130452.0959999999</v>
      </c>
      <c r="L1588">
        <v>936561.10400000005</v>
      </c>
      <c r="M1588">
        <v>0</v>
      </c>
      <c r="T1588" s="9">
        <v>45108</v>
      </c>
      <c r="U1588" s="9">
        <v>45473</v>
      </c>
      <c r="V1588">
        <f>SUM(POTABLE_NONPOTABLE_API[[#This Row],[RESIDENTIAL_SINGLEFAMILY_GAL]:[OTHER_GAL]])</f>
        <v>1006366324.4319999</v>
      </c>
      <c r="W1588">
        <f>SUM(POTABLE_NONPOTABLE_API[[#This Row],[NONPOTABLE_DEMAND_RESIDENTIAL_RECYCLED_WATER_GAL]:[NONPOTABLE_DEMAND_NONRESIDENTIAL_METERED_IRRIGATION_GAL]])</f>
        <v>0</v>
      </c>
      <c r="X1588" t="str">
        <f>IFERROR(INDEX(Crosswalk_API!$H$2:$H$527, MATCH(POTABLE_NONPOTABLE_API[[#This Row],[PWSID]], CW_PWSID_LIST, 0)), "")</f>
        <v>No</v>
      </c>
    </row>
    <row r="1589" spans="1:24" x14ac:dyDescent="0.25">
      <c r="A1589" t="s">
        <v>1152</v>
      </c>
      <c r="B1589" t="s">
        <v>1153</v>
      </c>
      <c r="C1589" t="s">
        <v>1154</v>
      </c>
      <c r="D1589" t="s">
        <v>1155</v>
      </c>
      <c r="E1589" s="9">
        <v>45200</v>
      </c>
      <c r="F1589" s="9">
        <v>45230</v>
      </c>
      <c r="G1589">
        <v>503016346.62</v>
      </c>
      <c r="H1589">
        <v>153010296.34</v>
      </c>
      <c r="I1589">
        <v>120474522.65200001</v>
      </c>
      <c r="J1589">
        <v>74968275.335999995</v>
      </c>
      <c r="K1589">
        <v>658285.76</v>
      </c>
      <c r="L1589">
        <v>6735460.2080000006</v>
      </c>
      <c r="M1589">
        <v>0</v>
      </c>
      <c r="T1589" s="9">
        <v>45108</v>
      </c>
      <c r="U1589" s="9">
        <v>45473</v>
      </c>
      <c r="V1589">
        <f>SUM(POTABLE_NONPOTABLE_API[[#This Row],[RESIDENTIAL_SINGLEFAMILY_GAL]:[OTHER_GAL]])</f>
        <v>858863186.91599989</v>
      </c>
      <c r="W1589">
        <f>SUM(POTABLE_NONPOTABLE_API[[#This Row],[NONPOTABLE_DEMAND_RESIDENTIAL_RECYCLED_WATER_GAL]:[NONPOTABLE_DEMAND_NONRESIDENTIAL_METERED_IRRIGATION_GAL]])</f>
        <v>0</v>
      </c>
      <c r="X1589" t="str">
        <f>IFERROR(INDEX(Crosswalk_API!$H$2:$H$527, MATCH(POTABLE_NONPOTABLE_API[[#This Row],[PWSID]], CW_PWSID_LIST, 0)), "")</f>
        <v>No</v>
      </c>
    </row>
    <row r="1590" spans="1:24" x14ac:dyDescent="0.25">
      <c r="A1590" t="s">
        <v>1152</v>
      </c>
      <c r="B1590" t="s">
        <v>1153</v>
      </c>
      <c r="C1590" t="s">
        <v>1154</v>
      </c>
      <c r="D1590" t="s">
        <v>1155</v>
      </c>
      <c r="E1590" s="9">
        <v>45231</v>
      </c>
      <c r="F1590" s="9">
        <v>45260</v>
      </c>
      <c r="G1590">
        <v>431945422.204</v>
      </c>
      <c r="H1590">
        <v>217950186.56400001</v>
      </c>
      <c r="I1590">
        <v>95456671.563999996</v>
      </c>
      <c r="J1590">
        <v>46879670.788000003</v>
      </c>
      <c r="K1590">
        <v>1609059.852</v>
      </c>
      <c r="L1590">
        <v>341111.712</v>
      </c>
      <c r="M1590">
        <v>0</v>
      </c>
      <c r="T1590" s="9">
        <v>45108</v>
      </c>
      <c r="U1590" s="9">
        <v>45473</v>
      </c>
      <c r="V1590">
        <f>SUM(POTABLE_NONPOTABLE_API[[#This Row],[RESIDENTIAL_SINGLEFAMILY_GAL]:[OTHER_GAL]])</f>
        <v>794182122.68400002</v>
      </c>
      <c r="W1590">
        <f>SUM(POTABLE_NONPOTABLE_API[[#This Row],[NONPOTABLE_DEMAND_RESIDENTIAL_RECYCLED_WATER_GAL]:[NONPOTABLE_DEMAND_NONRESIDENTIAL_METERED_IRRIGATION_GAL]])</f>
        <v>0</v>
      </c>
      <c r="X1590" t="str">
        <f>IFERROR(INDEX(Crosswalk_API!$H$2:$H$527, MATCH(POTABLE_NONPOTABLE_API[[#This Row],[PWSID]], CW_PWSID_LIST, 0)), "")</f>
        <v>No</v>
      </c>
    </row>
    <row r="1591" spans="1:24" x14ac:dyDescent="0.25">
      <c r="A1591" t="s">
        <v>1152</v>
      </c>
      <c r="B1591" t="s">
        <v>1153</v>
      </c>
      <c r="C1591" t="s">
        <v>1154</v>
      </c>
      <c r="D1591" t="s">
        <v>1155</v>
      </c>
      <c r="E1591" s="9">
        <v>45261</v>
      </c>
      <c r="F1591" s="9">
        <v>45291</v>
      </c>
      <c r="G1591">
        <v>342765654.972</v>
      </c>
      <c r="H1591">
        <v>110605472.616</v>
      </c>
      <c r="I1591">
        <v>91245138.804000005</v>
      </c>
      <c r="J1591">
        <v>36203472.644000001</v>
      </c>
      <c r="K1591">
        <v>426389.64</v>
      </c>
      <c r="L1591">
        <v>255833.78400000001</v>
      </c>
      <c r="M1591">
        <v>0</v>
      </c>
      <c r="T1591" s="9">
        <v>45108</v>
      </c>
      <c r="U1591" s="9">
        <v>45473</v>
      </c>
      <c r="V1591">
        <f>SUM(POTABLE_NONPOTABLE_API[[#This Row],[RESIDENTIAL_SINGLEFAMILY_GAL]:[OTHER_GAL]])</f>
        <v>581501962.46000004</v>
      </c>
      <c r="W1591">
        <f>SUM(POTABLE_NONPOTABLE_API[[#This Row],[NONPOTABLE_DEMAND_RESIDENTIAL_RECYCLED_WATER_GAL]:[NONPOTABLE_DEMAND_NONRESIDENTIAL_METERED_IRRIGATION_GAL]])</f>
        <v>0</v>
      </c>
      <c r="X1591" t="str">
        <f>IFERROR(INDEX(Crosswalk_API!$H$2:$H$527, MATCH(POTABLE_NONPOTABLE_API[[#This Row],[PWSID]], CW_PWSID_LIST, 0)), "")</f>
        <v>No</v>
      </c>
    </row>
    <row r="1592" spans="1:24" x14ac:dyDescent="0.25">
      <c r="A1592" t="s">
        <v>1152</v>
      </c>
      <c r="B1592" t="s">
        <v>1153</v>
      </c>
      <c r="C1592" t="s">
        <v>1154</v>
      </c>
      <c r="D1592" t="s">
        <v>1155</v>
      </c>
      <c r="E1592" s="9">
        <v>45292</v>
      </c>
      <c r="F1592" s="9">
        <v>45322</v>
      </c>
      <c r="G1592">
        <v>272992600.77600002</v>
      </c>
      <c r="H1592">
        <v>177600261.68400002</v>
      </c>
      <c r="I1592">
        <v>68842477.508000001</v>
      </c>
      <c r="J1592">
        <v>16035990.724000001</v>
      </c>
      <c r="K1592">
        <v>978452.01600000006</v>
      </c>
      <c r="L1592">
        <v>403200.02799999999</v>
      </c>
      <c r="M1592">
        <v>0</v>
      </c>
      <c r="T1592" s="9">
        <v>45108</v>
      </c>
      <c r="U1592" s="9">
        <v>45473</v>
      </c>
      <c r="V1592">
        <f>SUM(POTABLE_NONPOTABLE_API[[#This Row],[RESIDENTIAL_SINGLEFAMILY_GAL]:[OTHER_GAL]])</f>
        <v>536852982.736</v>
      </c>
      <c r="W1592">
        <f>SUM(POTABLE_NONPOTABLE_API[[#This Row],[NONPOTABLE_DEMAND_RESIDENTIAL_RECYCLED_WATER_GAL]:[NONPOTABLE_DEMAND_NONRESIDENTIAL_METERED_IRRIGATION_GAL]])</f>
        <v>0</v>
      </c>
      <c r="X1592" t="str">
        <f>IFERROR(INDEX(Crosswalk_API!$H$2:$H$527, MATCH(POTABLE_NONPOTABLE_API[[#This Row],[PWSID]], CW_PWSID_LIST, 0)), "")</f>
        <v>No</v>
      </c>
    </row>
    <row r="1593" spans="1:24" x14ac:dyDescent="0.25">
      <c r="A1593" t="s">
        <v>1152</v>
      </c>
      <c r="B1593" t="s">
        <v>1153</v>
      </c>
      <c r="C1593" t="s">
        <v>1154</v>
      </c>
      <c r="D1593" t="s">
        <v>1155</v>
      </c>
      <c r="E1593" s="9">
        <v>45323</v>
      </c>
      <c r="F1593" s="9">
        <v>45351</v>
      </c>
      <c r="G1593">
        <v>245460546.91600001</v>
      </c>
      <c r="H1593">
        <v>91591486.879999995</v>
      </c>
      <c r="I1593">
        <v>82411392.736000001</v>
      </c>
      <c r="J1593">
        <v>14339408.788000001</v>
      </c>
      <c r="K1593">
        <v>418161.06800000003</v>
      </c>
      <c r="L1593">
        <v>562535.10400000005</v>
      </c>
      <c r="M1593">
        <v>0</v>
      </c>
      <c r="T1593" s="9">
        <v>45108</v>
      </c>
      <c r="U1593" s="9">
        <v>45473</v>
      </c>
      <c r="V1593">
        <f>SUM(POTABLE_NONPOTABLE_API[[#This Row],[RESIDENTIAL_SINGLEFAMILY_GAL]:[OTHER_GAL]])</f>
        <v>434783531.49199998</v>
      </c>
      <c r="W1593">
        <f>SUM(POTABLE_NONPOTABLE_API[[#This Row],[NONPOTABLE_DEMAND_RESIDENTIAL_RECYCLED_WATER_GAL]:[NONPOTABLE_DEMAND_NONRESIDENTIAL_METERED_IRRIGATION_GAL]])</f>
        <v>0</v>
      </c>
      <c r="X1593" t="str">
        <f>IFERROR(INDEX(Crosswalk_API!$H$2:$H$527, MATCH(POTABLE_NONPOTABLE_API[[#This Row],[PWSID]], CW_PWSID_LIST, 0)), "")</f>
        <v>No</v>
      </c>
    </row>
    <row r="1594" spans="1:24" x14ac:dyDescent="0.25">
      <c r="A1594" t="s">
        <v>1152</v>
      </c>
      <c r="B1594" t="s">
        <v>1153</v>
      </c>
      <c r="C1594" t="s">
        <v>1154</v>
      </c>
      <c r="D1594" t="s">
        <v>1155</v>
      </c>
      <c r="E1594" s="9">
        <v>45352</v>
      </c>
      <c r="F1594" s="9">
        <v>45382</v>
      </c>
      <c r="G1594">
        <v>224233823.36399999</v>
      </c>
      <c r="H1594">
        <v>159663470.82800001</v>
      </c>
      <c r="I1594">
        <v>64835910.995999999</v>
      </c>
      <c r="J1594">
        <v>8665434.3680000007</v>
      </c>
      <c r="K1594">
        <v>400207.82</v>
      </c>
      <c r="L1594">
        <v>2119979.3680000002</v>
      </c>
      <c r="M1594">
        <v>0</v>
      </c>
      <c r="T1594" s="9">
        <v>45108</v>
      </c>
      <c r="U1594" s="9">
        <v>45473</v>
      </c>
      <c r="V1594">
        <f>SUM(POTABLE_NONPOTABLE_API[[#This Row],[RESIDENTIAL_SINGLEFAMILY_GAL]:[OTHER_GAL]])</f>
        <v>459918826.74399996</v>
      </c>
      <c r="W1594">
        <f>SUM(POTABLE_NONPOTABLE_API[[#This Row],[NONPOTABLE_DEMAND_RESIDENTIAL_RECYCLED_WATER_GAL]:[NONPOTABLE_DEMAND_NONRESIDENTIAL_METERED_IRRIGATION_GAL]])</f>
        <v>0</v>
      </c>
      <c r="X1594" t="str">
        <f>IFERROR(INDEX(Crosswalk_API!$H$2:$H$527, MATCH(POTABLE_NONPOTABLE_API[[#This Row],[PWSID]], CW_PWSID_LIST, 0)), "")</f>
        <v>No</v>
      </c>
    </row>
    <row r="1595" spans="1:24" x14ac:dyDescent="0.25">
      <c r="A1595" t="s">
        <v>1152</v>
      </c>
      <c r="B1595" t="s">
        <v>1153</v>
      </c>
      <c r="C1595" t="s">
        <v>1154</v>
      </c>
      <c r="D1595" t="s">
        <v>1155</v>
      </c>
      <c r="E1595" s="9">
        <v>45383</v>
      </c>
      <c r="F1595" s="9">
        <v>45412</v>
      </c>
      <c r="G1595">
        <v>240038666.02000001</v>
      </c>
      <c r="H1595">
        <v>89159569.828000009</v>
      </c>
      <c r="I1595">
        <v>82988140.828000009</v>
      </c>
      <c r="J1595">
        <v>10422608.516000001</v>
      </c>
      <c r="K1595">
        <v>400207.82</v>
      </c>
      <c r="L1595">
        <v>2810431.3640000001</v>
      </c>
      <c r="M1595">
        <v>0</v>
      </c>
      <c r="T1595" s="9">
        <v>45108</v>
      </c>
      <c r="U1595" s="9">
        <v>45473</v>
      </c>
      <c r="V1595">
        <f>SUM(POTABLE_NONPOTABLE_API[[#This Row],[RESIDENTIAL_SINGLEFAMILY_GAL]:[OTHER_GAL]])</f>
        <v>425819624.37600005</v>
      </c>
      <c r="W1595">
        <f>SUM(POTABLE_NONPOTABLE_API[[#This Row],[NONPOTABLE_DEMAND_RESIDENTIAL_RECYCLED_WATER_GAL]:[NONPOTABLE_DEMAND_NONRESIDENTIAL_METERED_IRRIGATION_GAL]])</f>
        <v>0</v>
      </c>
      <c r="X1595" t="str">
        <f>IFERROR(INDEX(Crosswalk_API!$H$2:$H$527, MATCH(POTABLE_NONPOTABLE_API[[#This Row],[PWSID]], CW_PWSID_LIST, 0)), "")</f>
        <v>No</v>
      </c>
    </row>
    <row r="1596" spans="1:24" x14ac:dyDescent="0.25">
      <c r="A1596" t="s">
        <v>1152</v>
      </c>
      <c r="B1596" t="s">
        <v>1153</v>
      </c>
      <c r="C1596" t="s">
        <v>1154</v>
      </c>
      <c r="D1596" t="s">
        <v>1155</v>
      </c>
      <c r="E1596" s="9">
        <v>45413</v>
      </c>
      <c r="F1596" s="9">
        <v>45443</v>
      </c>
      <c r="G1596">
        <v>325019617.37599999</v>
      </c>
      <c r="H1596">
        <v>188078226.04800001</v>
      </c>
      <c r="I1596">
        <v>79860535.416000009</v>
      </c>
      <c r="J1596">
        <v>27368978.524</v>
      </c>
      <c r="K1596">
        <v>953766.3</v>
      </c>
      <c r="L1596">
        <v>902898.76400000008</v>
      </c>
      <c r="M1596">
        <v>0</v>
      </c>
      <c r="T1596" s="9">
        <v>45108</v>
      </c>
      <c r="U1596" s="9">
        <v>45473</v>
      </c>
      <c r="V1596">
        <f>SUM(POTABLE_NONPOTABLE_API[[#This Row],[RESIDENTIAL_SINGLEFAMILY_GAL]:[OTHER_GAL]])</f>
        <v>622184022.42800009</v>
      </c>
      <c r="W1596">
        <f>SUM(POTABLE_NONPOTABLE_API[[#This Row],[NONPOTABLE_DEMAND_RESIDENTIAL_RECYCLED_WATER_GAL]:[NONPOTABLE_DEMAND_NONRESIDENTIAL_METERED_IRRIGATION_GAL]])</f>
        <v>0</v>
      </c>
      <c r="X1596" t="str">
        <f>IFERROR(INDEX(Crosswalk_API!$H$2:$H$527, MATCH(POTABLE_NONPOTABLE_API[[#This Row],[PWSID]], CW_PWSID_LIST, 0)), "")</f>
        <v>No</v>
      </c>
    </row>
    <row r="1597" spans="1:24" x14ac:dyDescent="0.25">
      <c r="A1597" t="s">
        <v>1152</v>
      </c>
      <c r="B1597" t="s">
        <v>1153</v>
      </c>
      <c r="C1597" t="s">
        <v>1154</v>
      </c>
      <c r="D1597" t="s">
        <v>1155</v>
      </c>
      <c r="E1597" s="9">
        <v>45444</v>
      </c>
      <c r="F1597" s="9">
        <v>45473</v>
      </c>
      <c r="G1597">
        <v>437186274.51600003</v>
      </c>
      <c r="H1597">
        <v>137884684.90000001</v>
      </c>
      <c r="I1597">
        <v>108249108.816</v>
      </c>
      <c r="J1597">
        <v>47462403.296000004</v>
      </c>
      <c r="K1597">
        <v>555054.58400000003</v>
      </c>
      <c r="L1597">
        <v>1389132.564</v>
      </c>
      <c r="M1597">
        <v>0</v>
      </c>
      <c r="T1597" s="9">
        <v>45108</v>
      </c>
      <c r="U1597" s="9">
        <v>45473</v>
      </c>
      <c r="V1597">
        <f>SUM(POTABLE_NONPOTABLE_API[[#This Row],[RESIDENTIAL_SINGLEFAMILY_GAL]:[OTHER_GAL]])</f>
        <v>732726658.676</v>
      </c>
      <c r="W1597">
        <f>SUM(POTABLE_NONPOTABLE_API[[#This Row],[NONPOTABLE_DEMAND_RESIDENTIAL_RECYCLED_WATER_GAL]:[NONPOTABLE_DEMAND_NONRESIDENTIAL_METERED_IRRIGATION_GAL]])</f>
        <v>0</v>
      </c>
      <c r="X1597" t="str">
        <f>IFERROR(INDEX(Crosswalk_API!$H$2:$H$527, MATCH(POTABLE_NONPOTABLE_API[[#This Row],[PWSID]], CW_PWSID_LIST, 0)), "")</f>
        <v>No</v>
      </c>
    </row>
    <row r="1598" spans="1:24" x14ac:dyDescent="0.25">
      <c r="A1598" t="s">
        <v>1156</v>
      </c>
      <c r="B1598" t="s">
        <v>1157</v>
      </c>
      <c r="C1598" t="s">
        <v>1158</v>
      </c>
      <c r="D1598" t="s">
        <v>1159</v>
      </c>
      <c r="E1598" s="9">
        <v>45108</v>
      </c>
      <c r="F1598" s="9">
        <v>45138</v>
      </c>
      <c r="G1598">
        <v>84973000</v>
      </c>
      <c r="H1598">
        <v>18724000</v>
      </c>
      <c r="I1598">
        <v>85400000</v>
      </c>
      <c r="J1598">
        <v>0</v>
      </c>
      <c r="K1598">
        <v>0</v>
      </c>
      <c r="L1598">
        <v>0</v>
      </c>
      <c r="M1598">
        <v>0</v>
      </c>
      <c r="T1598" s="9">
        <v>45108</v>
      </c>
      <c r="U1598" s="9">
        <v>45473</v>
      </c>
      <c r="V1598">
        <f>SUM(POTABLE_NONPOTABLE_API[[#This Row],[RESIDENTIAL_SINGLEFAMILY_GAL]:[OTHER_GAL]])</f>
        <v>189097000</v>
      </c>
      <c r="W1598">
        <f>SUM(POTABLE_NONPOTABLE_API[[#This Row],[NONPOTABLE_DEMAND_RESIDENTIAL_RECYCLED_WATER_GAL]:[NONPOTABLE_DEMAND_NONRESIDENTIAL_METERED_IRRIGATION_GAL]])</f>
        <v>0</v>
      </c>
      <c r="X1598" t="str">
        <f>IFERROR(INDEX(Crosswalk_API!$H$2:$H$527, MATCH(POTABLE_NONPOTABLE_API[[#This Row],[PWSID]], CW_PWSID_LIST, 0)), "")</f>
        <v>No</v>
      </c>
    </row>
    <row r="1599" spans="1:24" x14ac:dyDescent="0.25">
      <c r="A1599" t="s">
        <v>1156</v>
      </c>
      <c r="B1599" t="s">
        <v>1157</v>
      </c>
      <c r="C1599" t="s">
        <v>1158</v>
      </c>
      <c r="D1599" t="s">
        <v>1159</v>
      </c>
      <c r="E1599" s="9">
        <v>45139</v>
      </c>
      <c r="F1599" s="9">
        <v>45169</v>
      </c>
      <c r="G1599">
        <v>76504000</v>
      </c>
      <c r="H1599">
        <v>21410000</v>
      </c>
      <c r="I1599">
        <v>76640000</v>
      </c>
      <c r="J1599">
        <v>0</v>
      </c>
      <c r="K1599">
        <v>0</v>
      </c>
      <c r="L1599">
        <v>0</v>
      </c>
      <c r="M1599">
        <v>0</v>
      </c>
      <c r="T1599" s="9">
        <v>45108</v>
      </c>
      <c r="U1599" s="9">
        <v>45473</v>
      </c>
      <c r="V1599">
        <f>SUM(POTABLE_NONPOTABLE_API[[#This Row],[RESIDENTIAL_SINGLEFAMILY_GAL]:[OTHER_GAL]])</f>
        <v>174554000</v>
      </c>
      <c r="W1599">
        <f>SUM(POTABLE_NONPOTABLE_API[[#This Row],[NONPOTABLE_DEMAND_RESIDENTIAL_RECYCLED_WATER_GAL]:[NONPOTABLE_DEMAND_NONRESIDENTIAL_METERED_IRRIGATION_GAL]])</f>
        <v>0</v>
      </c>
      <c r="X1599" t="str">
        <f>IFERROR(INDEX(Crosswalk_API!$H$2:$H$527, MATCH(POTABLE_NONPOTABLE_API[[#This Row],[PWSID]], CW_PWSID_LIST, 0)), "")</f>
        <v>No</v>
      </c>
    </row>
    <row r="1600" spans="1:24" x14ac:dyDescent="0.25">
      <c r="A1600" t="s">
        <v>1156</v>
      </c>
      <c r="B1600" t="s">
        <v>1157</v>
      </c>
      <c r="C1600" t="s">
        <v>1158</v>
      </c>
      <c r="D1600" t="s">
        <v>1159</v>
      </c>
      <c r="E1600" s="9">
        <v>45170</v>
      </c>
      <c r="F1600" s="9">
        <v>45199</v>
      </c>
      <c r="G1600">
        <v>82847000</v>
      </c>
      <c r="H1600">
        <v>18770000</v>
      </c>
      <c r="I1600">
        <v>103950000</v>
      </c>
      <c r="J1600">
        <v>0</v>
      </c>
      <c r="K1600">
        <v>0</v>
      </c>
      <c r="L1600">
        <v>0</v>
      </c>
      <c r="M1600">
        <v>0</v>
      </c>
      <c r="T1600" s="9">
        <v>45108</v>
      </c>
      <c r="U1600" s="9">
        <v>45473</v>
      </c>
      <c r="V1600">
        <f>SUM(POTABLE_NONPOTABLE_API[[#This Row],[RESIDENTIAL_SINGLEFAMILY_GAL]:[OTHER_GAL]])</f>
        <v>205567000</v>
      </c>
      <c r="W1600">
        <f>SUM(POTABLE_NONPOTABLE_API[[#This Row],[NONPOTABLE_DEMAND_RESIDENTIAL_RECYCLED_WATER_GAL]:[NONPOTABLE_DEMAND_NONRESIDENTIAL_METERED_IRRIGATION_GAL]])</f>
        <v>0</v>
      </c>
      <c r="X1600" t="str">
        <f>IFERROR(INDEX(Crosswalk_API!$H$2:$H$527, MATCH(POTABLE_NONPOTABLE_API[[#This Row],[PWSID]], CW_PWSID_LIST, 0)), "")</f>
        <v>No</v>
      </c>
    </row>
    <row r="1601" spans="1:24" x14ac:dyDescent="0.25">
      <c r="A1601" t="s">
        <v>1156</v>
      </c>
      <c r="B1601" t="s">
        <v>1157</v>
      </c>
      <c r="C1601" t="s">
        <v>1158</v>
      </c>
      <c r="D1601" t="s">
        <v>1159</v>
      </c>
      <c r="E1601" s="9">
        <v>45200</v>
      </c>
      <c r="F1601" s="9">
        <v>45230</v>
      </c>
      <c r="G1601">
        <v>81417000</v>
      </c>
      <c r="H1601">
        <v>13730000</v>
      </c>
      <c r="I1601">
        <v>84820000</v>
      </c>
      <c r="J1601">
        <v>0</v>
      </c>
      <c r="K1601">
        <v>0</v>
      </c>
      <c r="L1601">
        <v>0</v>
      </c>
      <c r="M1601">
        <v>0</v>
      </c>
      <c r="T1601" s="9">
        <v>45108</v>
      </c>
      <c r="U1601" s="9">
        <v>45473</v>
      </c>
      <c r="V1601">
        <f>SUM(POTABLE_NONPOTABLE_API[[#This Row],[RESIDENTIAL_SINGLEFAMILY_GAL]:[OTHER_GAL]])</f>
        <v>179967000</v>
      </c>
      <c r="W1601">
        <f>SUM(POTABLE_NONPOTABLE_API[[#This Row],[NONPOTABLE_DEMAND_RESIDENTIAL_RECYCLED_WATER_GAL]:[NONPOTABLE_DEMAND_NONRESIDENTIAL_METERED_IRRIGATION_GAL]])</f>
        <v>0</v>
      </c>
      <c r="X1601" t="str">
        <f>IFERROR(INDEX(Crosswalk_API!$H$2:$H$527, MATCH(POTABLE_NONPOTABLE_API[[#This Row],[PWSID]], CW_PWSID_LIST, 0)), "")</f>
        <v>No</v>
      </c>
    </row>
    <row r="1602" spans="1:24" x14ac:dyDescent="0.25">
      <c r="A1602" t="s">
        <v>1156</v>
      </c>
      <c r="B1602" t="s">
        <v>1157</v>
      </c>
      <c r="C1602" t="s">
        <v>1158</v>
      </c>
      <c r="D1602" t="s">
        <v>1159</v>
      </c>
      <c r="E1602" s="9">
        <v>45231</v>
      </c>
      <c r="F1602" s="9">
        <v>45260</v>
      </c>
      <c r="G1602">
        <v>48938000</v>
      </c>
      <c r="H1602">
        <v>8773000</v>
      </c>
      <c r="I1602">
        <v>62170000</v>
      </c>
      <c r="J1602">
        <v>0</v>
      </c>
      <c r="K1602">
        <v>0</v>
      </c>
      <c r="L1602">
        <v>0</v>
      </c>
      <c r="M1602">
        <v>0</v>
      </c>
      <c r="T1602" s="9">
        <v>45108</v>
      </c>
      <c r="U1602" s="9">
        <v>45473</v>
      </c>
      <c r="V1602">
        <f>SUM(POTABLE_NONPOTABLE_API[[#This Row],[RESIDENTIAL_SINGLEFAMILY_GAL]:[OTHER_GAL]])</f>
        <v>119881000</v>
      </c>
      <c r="W1602">
        <f>SUM(POTABLE_NONPOTABLE_API[[#This Row],[NONPOTABLE_DEMAND_RESIDENTIAL_RECYCLED_WATER_GAL]:[NONPOTABLE_DEMAND_NONRESIDENTIAL_METERED_IRRIGATION_GAL]])</f>
        <v>0</v>
      </c>
      <c r="X1602" t="str">
        <f>IFERROR(INDEX(Crosswalk_API!$H$2:$H$527, MATCH(POTABLE_NONPOTABLE_API[[#This Row],[PWSID]], CW_PWSID_LIST, 0)), "")</f>
        <v>No</v>
      </c>
    </row>
    <row r="1603" spans="1:24" x14ac:dyDescent="0.25">
      <c r="A1603" t="s">
        <v>1156</v>
      </c>
      <c r="B1603" t="s">
        <v>1157</v>
      </c>
      <c r="C1603" t="s">
        <v>1158</v>
      </c>
      <c r="D1603" t="s">
        <v>1159</v>
      </c>
      <c r="E1603" s="9">
        <v>45261</v>
      </c>
      <c r="F1603" s="9">
        <v>45291</v>
      </c>
      <c r="G1603">
        <v>37980000</v>
      </c>
      <c r="H1603">
        <v>16730000</v>
      </c>
      <c r="I1603">
        <v>64010000.000000007</v>
      </c>
      <c r="J1603">
        <v>0</v>
      </c>
      <c r="K1603">
        <v>0</v>
      </c>
      <c r="L1603">
        <v>0</v>
      </c>
      <c r="M1603">
        <v>0</v>
      </c>
      <c r="T1603" s="9">
        <v>45108</v>
      </c>
      <c r="U1603" s="9">
        <v>45473</v>
      </c>
      <c r="V1603">
        <f>SUM(POTABLE_NONPOTABLE_API[[#This Row],[RESIDENTIAL_SINGLEFAMILY_GAL]:[OTHER_GAL]])</f>
        <v>118720000</v>
      </c>
      <c r="W1603">
        <f>SUM(POTABLE_NONPOTABLE_API[[#This Row],[NONPOTABLE_DEMAND_RESIDENTIAL_RECYCLED_WATER_GAL]:[NONPOTABLE_DEMAND_NONRESIDENTIAL_METERED_IRRIGATION_GAL]])</f>
        <v>0</v>
      </c>
      <c r="X1603" t="str">
        <f>IFERROR(INDEX(Crosswalk_API!$H$2:$H$527, MATCH(POTABLE_NONPOTABLE_API[[#This Row],[PWSID]], CW_PWSID_LIST, 0)), "")</f>
        <v>No</v>
      </c>
    </row>
    <row r="1604" spans="1:24" x14ac:dyDescent="0.25">
      <c r="A1604" t="s">
        <v>1156</v>
      </c>
      <c r="B1604" t="s">
        <v>1157</v>
      </c>
      <c r="C1604" t="s">
        <v>1158</v>
      </c>
      <c r="D1604" t="s">
        <v>1159</v>
      </c>
      <c r="E1604" s="9">
        <v>45292</v>
      </c>
      <c r="F1604" s="9">
        <v>45322</v>
      </c>
      <c r="G1604">
        <v>32915000</v>
      </c>
      <c r="H1604">
        <v>11646000</v>
      </c>
      <c r="I1604">
        <v>52355000</v>
      </c>
      <c r="J1604">
        <v>0</v>
      </c>
      <c r="K1604">
        <v>0</v>
      </c>
      <c r="L1604">
        <v>0</v>
      </c>
      <c r="M1604">
        <v>0</v>
      </c>
      <c r="T1604" s="9">
        <v>45108</v>
      </c>
      <c r="U1604" s="9">
        <v>45473</v>
      </c>
      <c r="V1604">
        <f>SUM(POTABLE_NONPOTABLE_API[[#This Row],[RESIDENTIAL_SINGLEFAMILY_GAL]:[OTHER_GAL]])</f>
        <v>96916000</v>
      </c>
      <c r="W1604">
        <f>SUM(POTABLE_NONPOTABLE_API[[#This Row],[NONPOTABLE_DEMAND_RESIDENTIAL_RECYCLED_WATER_GAL]:[NONPOTABLE_DEMAND_NONRESIDENTIAL_METERED_IRRIGATION_GAL]])</f>
        <v>0</v>
      </c>
      <c r="X1604" t="str">
        <f>IFERROR(INDEX(Crosswalk_API!$H$2:$H$527, MATCH(POTABLE_NONPOTABLE_API[[#This Row],[PWSID]], CW_PWSID_LIST, 0)), "")</f>
        <v>No</v>
      </c>
    </row>
    <row r="1605" spans="1:24" x14ac:dyDescent="0.25">
      <c r="A1605" t="s">
        <v>1156</v>
      </c>
      <c r="B1605" t="s">
        <v>1157</v>
      </c>
      <c r="C1605" t="s">
        <v>1158</v>
      </c>
      <c r="D1605" t="s">
        <v>1159</v>
      </c>
      <c r="E1605" s="9">
        <v>45323</v>
      </c>
      <c r="F1605" s="9">
        <v>45351</v>
      </c>
      <c r="G1605">
        <v>31116000</v>
      </c>
      <c r="H1605">
        <v>11152000</v>
      </c>
      <c r="I1605">
        <v>59313000</v>
      </c>
      <c r="J1605">
        <v>0</v>
      </c>
      <c r="K1605">
        <v>0</v>
      </c>
      <c r="L1605">
        <v>0</v>
      </c>
      <c r="M1605">
        <v>0</v>
      </c>
      <c r="T1605" s="9">
        <v>45108</v>
      </c>
      <c r="U1605" s="9">
        <v>45473</v>
      </c>
      <c r="V1605">
        <f>SUM(POTABLE_NONPOTABLE_API[[#This Row],[RESIDENTIAL_SINGLEFAMILY_GAL]:[OTHER_GAL]])</f>
        <v>101581000</v>
      </c>
      <c r="W1605">
        <f>SUM(POTABLE_NONPOTABLE_API[[#This Row],[NONPOTABLE_DEMAND_RESIDENTIAL_RECYCLED_WATER_GAL]:[NONPOTABLE_DEMAND_NONRESIDENTIAL_METERED_IRRIGATION_GAL]])</f>
        <v>0</v>
      </c>
      <c r="X1605" t="str">
        <f>IFERROR(INDEX(Crosswalk_API!$H$2:$H$527, MATCH(POTABLE_NONPOTABLE_API[[#This Row],[PWSID]], CW_PWSID_LIST, 0)), "")</f>
        <v>No</v>
      </c>
    </row>
    <row r="1606" spans="1:24" x14ac:dyDescent="0.25">
      <c r="A1606" t="s">
        <v>1156</v>
      </c>
      <c r="B1606" t="s">
        <v>1157</v>
      </c>
      <c r="C1606" t="s">
        <v>1158</v>
      </c>
      <c r="D1606" t="s">
        <v>1159</v>
      </c>
      <c r="E1606" s="9">
        <v>45352</v>
      </c>
      <c r="F1606" s="9">
        <v>45382</v>
      </c>
      <c r="G1606">
        <v>26760000</v>
      </c>
      <c r="H1606">
        <v>11290000</v>
      </c>
      <c r="I1606">
        <v>41644000</v>
      </c>
      <c r="J1606">
        <v>0</v>
      </c>
      <c r="K1606">
        <v>0</v>
      </c>
      <c r="L1606">
        <v>0</v>
      </c>
      <c r="M1606">
        <v>0</v>
      </c>
      <c r="T1606" s="9">
        <v>45108</v>
      </c>
      <c r="U1606" s="9">
        <v>45473</v>
      </c>
      <c r="V1606">
        <f>SUM(POTABLE_NONPOTABLE_API[[#This Row],[RESIDENTIAL_SINGLEFAMILY_GAL]:[OTHER_GAL]])</f>
        <v>79694000</v>
      </c>
      <c r="W1606">
        <f>SUM(POTABLE_NONPOTABLE_API[[#This Row],[NONPOTABLE_DEMAND_RESIDENTIAL_RECYCLED_WATER_GAL]:[NONPOTABLE_DEMAND_NONRESIDENTIAL_METERED_IRRIGATION_GAL]])</f>
        <v>0</v>
      </c>
      <c r="X1606" t="str">
        <f>IFERROR(INDEX(Crosswalk_API!$H$2:$H$527, MATCH(POTABLE_NONPOTABLE_API[[#This Row],[PWSID]], CW_PWSID_LIST, 0)), "")</f>
        <v>No</v>
      </c>
    </row>
    <row r="1607" spans="1:24" x14ac:dyDescent="0.25">
      <c r="A1607" t="s">
        <v>1156</v>
      </c>
      <c r="B1607" t="s">
        <v>1157</v>
      </c>
      <c r="C1607" t="s">
        <v>1158</v>
      </c>
      <c r="D1607" t="s">
        <v>1159</v>
      </c>
      <c r="E1607" s="9">
        <v>45383</v>
      </c>
      <c r="F1607" s="9">
        <v>45412</v>
      </c>
      <c r="G1607">
        <v>41376000</v>
      </c>
      <c r="H1607">
        <v>18220000</v>
      </c>
      <c r="I1607">
        <v>53860000</v>
      </c>
      <c r="J1607">
        <v>0</v>
      </c>
      <c r="K1607">
        <v>0</v>
      </c>
      <c r="L1607">
        <v>0</v>
      </c>
      <c r="M1607">
        <v>0</v>
      </c>
      <c r="T1607" s="9">
        <v>45108</v>
      </c>
      <c r="U1607" s="9">
        <v>45473</v>
      </c>
      <c r="V1607">
        <f>SUM(POTABLE_NONPOTABLE_API[[#This Row],[RESIDENTIAL_SINGLEFAMILY_GAL]:[OTHER_GAL]])</f>
        <v>113456000</v>
      </c>
      <c r="W1607">
        <f>SUM(POTABLE_NONPOTABLE_API[[#This Row],[NONPOTABLE_DEMAND_RESIDENTIAL_RECYCLED_WATER_GAL]:[NONPOTABLE_DEMAND_NONRESIDENTIAL_METERED_IRRIGATION_GAL]])</f>
        <v>0</v>
      </c>
      <c r="X1607" t="str">
        <f>IFERROR(INDEX(Crosswalk_API!$H$2:$H$527, MATCH(POTABLE_NONPOTABLE_API[[#This Row],[PWSID]], CW_PWSID_LIST, 0)), "")</f>
        <v>No</v>
      </c>
    </row>
    <row r="1608" spans="1:24" x14ac:dyDescent="0.25">
      <c r="A1608" t="s">
        <v>1156</v>
      </c>
      <c r="B1608" t="s">
        <v>1157</v>
      </c>
      <c r="C1608" t="s">
        <v>1158</v>
      </c>
      <c r="D1608" t="s">
        <v>1159</v>
      </c>
      <c r="E1608" s="9">
        <v>45413</v>
      </c>
      <c r="F1608" s="9">
        <v>45443</v>
      </c>
      <c r="G1608">
        <v>57940000</v>
      </c>
      <c r="H1608">
        <v>16410000</v>
      </c>
      <c r="I1608">
        <v>76230000</v>
      </c>
      <c r="J1608">
        <v>0</v>
      </c>
      <c r="K1608">
        <v>0</v>
      </c>
      <c r="L1608">
        <v>0</v>
      </c>
      <c r="M1608">
        <v>0</v>
      </c>
      <c r="T1608" s="9">
        <v>45108</v>
      </c>
      <c r="U1608" s="9">
        <v>45473</v>
      </c>
      <c r="V1608">
        <f>SUM(POTABLE_NONPOTABLE_API[[#This Row],[RESIDENTIAL_SINGLEFAMILY_GAL]:[OTHER_GAL]])</f>
        <v>150580000</v>
      </c>
      <c r="W1608">
        <f>SUM(POTABLE_NONPOTABLE_API[[#This Row],[NONPOTABLE_DEMAND_RESIDENTIAL_RECYCLED_WATER_GAL]:[NONPOTABLE_DEMAND_NONRESIDENTIAL_METERED_IRRIGATION_GAL]])</f>
        <v>0</v>
      </c>
      <c r="X1608" t="str">
        <f>IFERROR(INDEX(Crosswalk_API!$H$2:$H$527, MATCH(POTABLE_NONPOTABLE_API[[#This Row],[PWSID]], CW_PWSID_LIST, 0)), "")</f>
        <v>No</v>
      </c>
    </row>
    <row r="1609" spans="1:24" x14ac:dyDescent="0.25">
      <c r="A1609" t="s">
        <v>1156</v>
      </c>
      <c r="B1609" t="s">
        <v>1157</v>
      </c>
      <c r="C1609" t="s">
        <v>1158</v>
      </c>
      <c r="D1609" t="s">
        <v>1159</v>
      </c>
      <c r="E1609" s="9">
        <v>45444</v>
      </c>
      <c r="F1609" s="9">
        <v>45473</v>
      </c>
      <c r="G1609">
        <v>81990000</v>
      </c>
      <c r="H1609">
        <v>22000000</v>
      </c>
      <c r="I1609">
        <v>72575000</v>
      </c>
      <c r="J1609">
        <v>0</v>
      </c>
      <c r="K1609">
        <v>0</v>
      </c>
      <c r="L1609">
        <v>0</v>
      </c>
      <c r="M1609">
        <v>0</v>
      </c>
      <c r="T1609" s="9">
        <v>45108</v>
      </c>
      <c r="U1609" s="9">
        <v>45473</v>
      </c>
      <c r="V1609">
        <f>SUM(POTABLE_NONPOTABLE_API[[#This Row],[RESIDENTIAL_SINGLEFAMILY_GAL]:[OTHER_GAL]])</f>
        <v>176565000</v>
      </c>
      <c r="W1609">
        <f>SUM(POTABLE_NONPOTABLE_API[[#This Row],[NONPOTABLE_DEMAND_RESIDENTIAL_RECYCLED_WATER_GAL]:[NONPOTABLE_DEMAND_NONRESIDENTIAL_METERED_IRRIGATION_GAL]])</f>
        <v>0</v>
      </c>
      <c r="X1609" t="str">
        <f>IFERROR(INDEX(Crosswalk_API!$H$2:$H$527, MATCH(POTABLE_NONPOTABLE_API[[#This Row],[PWSID]], CW_PWSID_LIST, 0)), "")</f>
        <v>No</v>
      </c>
    </row>
    <row r="1610" spans="1:24" x14ac:dyDescent="0.25">
      <c r="A1610" t="s">
        <v>1161</v>
      </c>
      <c r="B1610" t="s">
        <v>1162</v>
      </c>
      <c r="C1610" t="s">
        <v>1163</v>
      </c>
      <c r="D1610" t="s">
        <v>1164</v>
      </c>
      <c r="E1610" s="9">
        <v>45108</v>
      </c>
      <c r="F1610" s="9">
        <v>45138</v>
      </c>
      <c r="G1610">
        <v>541411212.02999997</v>
      </c>
      <c r="H1610">
        <v>74610103.469999999</v>
      </c>
      <c r="I1610">
        <v>80090917.289999992</v>
      </c>
      <c r="J1610">
        <v>93359570.00999999</v>
      </c>
      <c r="K1610">
        <v>23295087.989999998</v>
      </c>
      <c r="L1610">
        <v>69370419.390000001</v>
      </c>
      <c r="M1610">
        <v>0</v>
      </c>
      <c r="N1610">
        <v>3639020</v>
      </c>
      <c r="O1610">
        <v>0</v>
      </c>
      <c r="P1610">
        <v>0</v>
      </c>
      <c r="Q1610">
        <v>122452836</v>
      </c>
      <c r="R1610">
        <v>0</v>
      </c>
      <c r="S1610">
        <v>0</v>
      </c>
      <c r="T1610" s="9">
        <v>45108</v>
      </c>
      <c r="U1610" s="9">
        <v>45473</v>
      </c>
      <c r="V1610">
        <f>SUM(POTABLE_NONPOTABLE_API[[#This Row],[RESIDENTIAL_SINGLEFAMILY_GAL]:[OTHER_GAL]])</f>
        <v>882137310.17999995</v>
      </c>
      <c r="W1610">
        <f>SUM(POTABLE_NONPOTABLE_API[[#This Row],[NONPOTABLE_DEMAND_RESIDENTIAL_RECYCLED_WATER_GAL]:[NONPOTABLE_DEMAND_NONRESIDENTIAL_METERED_IRRIGATION_GAL]])</f>
        <v>126091856</v>
      </c>
      <c r="X1610" t="str">
        <f>IFERROR(INDEX(Crosswalk_API!$H$2:$H$527, MATCH(POTABLE_NONPOTABLE_API[[#This Row],[PWSID]], CW_PWSID_LIST, 0)), "")</f>
        <v>No</v>
      </c>
    </row>
    <row r="1611" spans="1:24" x14ac:dyDescent="0.25">
      <c r="A1611" t="s">
        <v>1161</v>
      </c>
      <c r="B1611" t="s">
        <v>1162</v>
      </c>
      <c r="C1611" t="s">
        <v>1163</v>
      </c>
      <c r="D1611" t="s">
        <v>1164</v>
      </c>
      <c r="E1611" s="9">
        <v>45139</v>
      </c>
      <c r="F1611" s="9">
        <v>45169</v>
      </c>
      <c r="G1611">
        <v>655931545.98000002</v>
      </c>
      <c r="H1611">
        <v>79927991.789999992</v>
      </c>
      <c r="I1611">
        <v>91508736.329999998</v>
      </c>
      <c r="J1611">
        <v>122102886.72000001</v>
      </c>
      <c r="K1611">
        <v>27465980.790000003</v>
      </c>
      <c r="L1611">
        <v>2046344.28</v>
      </c>
      <c r="M1611">
        <v>0</v>
      </c>
      <c r="N1611">
        <v>4598704</v>
      </c>
      <c r="O1611">
        <v>0</v>
      </c>
      <c r="P1611">
        <v>0</v>
      </c>
      <c r="Q1611">
        <v>149317256</v>
      </c>
      <c r="R1611">
        <v>0</v>
      </c>
      <c r="S1611">
        <v>0</v>
      </c>
      <c r="T1611" s="9">
        <v>45108</v>
      </c>
      <c r="U1611" s="9">
        <v>45473</v>
      </c>
      <c r="V1611">
        <f>SUM(POTABLE_NONPOTABLE_API[[#This Row],[RESIDENTIAL_SINGLEFAMILY_GAL]:[OTHER_GAL]])</f>
        <v>978983485.88999999</v>
      </c>
      <c r="W1611">
        <f>SUM(POTABLE_NONPOTABLE_API[[#This Row],[NONPOTABLE_DEMAND_RESIDENTIAL_RECYCLED_WATER_GAL]:[NONPOTABLE_DEMAND_NONRESIDENTIAL_METERED_IRRIGATION_GAL]])</f>
        <v>153915960</v>
      </c>
      <c r="X1611" t="str">
        <f>IFERROR(INDEX(Crosswalk_API!$H$2:$H$527, MATCH(POTABLE_NONPOTABLE_API[[#This Row],[PWSID]], CW_PWSID_LIST, 0)), "")</f>
        <v>No</v>
      </c>
    </row>
    <row r="1612" spans="1:24" x14ac:dyDescent="0.25">
      <c r="A1612" t="s">
        <v>1161</v>
      </c>
      <c r="B1612" t="s">
        <v>1162</v>
      </c>
      <c r="C1612" t="s">
        <v>1163</v>
      </c>
      <c r="D1612" t="s">
        <v>1164</v>
      </c>
      <c r="E1612" s="9">
        <v>45170</v>
      </c>
      <c r="F1612" s="9">
        <v>45199</v>
      </c>
      <c r="G1612">
        <v>556136418.72000003</v>
      </c>
      <c r="H1612">
        <v>76219807.409999996</v>
      </c>
      <c r="I1612">
        <v>88582594.350000009</v>
      </c>
      <c r="J1612">
        <v>114422578.64999999</v>
      </c>
      <c r="K1612">
        <v>27511599.930000003</v>
      </c>
      <c r="L1612">
        <v>16533679.74</v>
      </c>
      <c r="M1612">
        <v>0</v>
      </c>
      <c r="N1612">
        <v>2120580</v>
      </c>
      <c r="O1612">
        <v>0</v>
      </c>
      <c r="P1612">
        <v>0</v>
      </c>
      <c r="Q1612">
        <v>124607824</v>
      </c>
      <c r="R1612">
        <v>0</v>
      </c>
      <c r="S1612">
        <v>0</v>
      </c>
      <c r="T1612" s="9">
        <v>45108</v>
      </c>
      <c r="U1612" s="9">
        <v>45473</v>
      </c>
      <c r="V1612">
        <f>SUM(POTABLE_NONPOTABLE_API[[#This Row],[RESIDENTIAL_SINGLEFAMILY_GAL]:[OTHER_GAL]])</f>
        <v>879406678.79999995</v>
      </c>
      <c r="W1612">
        <f>SUM(POTABLE_NONPOTABLE_API[[#This Row],[NONPOTABLE_DEMAND_RESIDENTIAL_RECYCLED_WATER_GAL]:[NONPOTABLE_DEMAND_NONRESIDENTIAL_METERED_IRRIGATION_GAL]])</f>
        <v>126728404</v>
      </c>
      <c r="X1612" t="str">
        <f>IFERROR(INDEX(Crosswalk_API!$H$2:$H$527, MATCH(POTABLE_NONPOTABLE_API[[#This Row],[PWSID]], CW_PWSID_LIST, 0)), "")</f>
        <v>No</v>
      </c>
    </row>
    <row r="1613" spans="1:24" x14ac:dyDescent="0.25">
      <c r="A1613" t="s">
        <v>1161</v>
      </c>
      <c r="B1613" t="s">
        <v>1162</v>
      </c>
      <c r="C1613" t="s">
        <v>1163</v>
      </c>
      <c r="D1613" t="s">
        <v>1164</v>
      </c>
      <c r="E1613" s="9">
        <v>45200</v>
      </c>
      <c r="F1613" s="9">
        <v>45230</v>
      </c>
      <c r="G1613">
        <v>554233448.88</v>
      </c>
      <c r="H1613">
        <v>77415680.579999998</v>
      </c>
      <c r="I1613">
        <v>83004025.229999989</v>
      </c>
      <c r="J1613">
        <v>100802006.85000001</v>
      </c>
      <c r="K1613">
        <v>26700230.939999998</v>
      </c>
      <c r="L1613">
        <v>1958364.51</v>
      </c>
      <c r="M1613">
        <v>0</v>
      </c>
      <c r="N1613">
        <v>2019600</v>
      </c>
      <c r="O1613">
        <v>0</v>
      </c>
      <c r="P1613">
        <v>0</v>
      </c>
      <c r="Q1613">
        <v>122218712</v>
      </c>
      <c r="R1613">
        <v>0</v>
      </c>
      <c r="S1613">
        <v>0</v>
      </c>
      <c r="T1613" s="9">
        <v>45108</v>
      </c>
      <c r="U1613" s="9">
        <v>45473</v>
      </c>
      <c r="V1613">
        <f>SUM(POTABLE_NONPOTABLE_API[[#This Row],[RESIDENTIAL_SINGLEFAMILY_GAL]:[OTHER_GAL]])</f>
        <v>844113756.99000001</v>
      </c>
      <c r="W1613">
        <f>SUM(POTABLE_NONPOTABLE_API[[#This Row],[NONPOTABLE_DEMAND_RESIDENTIAL_RECYCLED_WATER_GAL]:[NONPOTABLE_DEMAND_NONRESIDENTIAL_METERED_IRRIGATION_GAL]])</f>
        <v>124238312</v>
      </c>
      <c r="X1613" t="str">
        <f>IFERROR(INDEX(Crosswalk_API!$H$2:$H$527, MATCH(POTABLE_NONPOTABLE_API[[#This Row],[PWSID]], CW_PWSID_LIST, 0)), "")</f>
        <v>No</v>
      </c>
    </row>
    <row r="1614" spans="1:24" x14ac:dyDescent="0.25">
      <c r="A1614" t="s">
        <v>1161</v>
      </c>
      <c r="B1614" t="s">
        <v>1162</v>
      </c>
      <c r="C1614" t="s">
        <v>1163</v>
      </c>
      <c r="D1614" t="s">
        <v>1164</v>
      </c>
      <c r="E1614" s="9">
        <v>45231</v>
      </c>
      <c r="F1614" s="9">
        <v>45260</v>
      </c>
      <c r="G1614">
        <v>537083910.75</v>
      </c>
      <c r="H1614">
        <v>78722343.090000004</v>
      </c>
      <c r="I1614">
        <v>84076075.019999996</v>
      </c>
      <c r="J1614">
        <v>86862101.069999993</v>
      </c>
      <c r="K1614">
        <v>26390672.489999998</v>
      </c>
      <c r="L1614">
        <v>1899711.33</v>
      </c>
      <c r="M1614">
        <v>0</v>
      </c>
      <c r="N1614">
        <v>2371908</v>
      </c>
      <c r="O1614">
        <v>0</v>
      </c>
      <c r="P1614">
        <v>0</v>
      </c>
      <c r="Q1614">
        <v>121270248</v>
      </c>
      <c r="R1614">
        <v>0</v>
      </c>
      <c r="S1614">
        <v>0</v>
      </c>
      <c r="T1614" s="9">
        <v>45108</v>
      </c>
      <c r="U1614" s="9">
        <v>45473</v>
      </c>
      <c r="V1614">
        <f>SUM(POTABLE_NONPOTABLE_API[[#This Row],[RESIDENTIAL_SINGLEFAMILY_GAL]:[OTHER_GAL]])</f>
        <v>815034813.75000012</v>
      </c>
      <c r="W1614">
        <f>SUM(POTABLE_NONPOTABLE_API[[#This Row],[NONPOTABLE_DEMAND_RESIDENTIAL_RECYCLED_WATER_GAL]:[NONPOTABLE_DEMAND_NONRESIDENTIAL_METERED_IRRIGATION_GAL]])</f>
        <v>123642156</v>
      </c>
      <c r="X1614" t="str">
        <f>IFERROR(INDEX(Crosswalk_API!$H$2:$H$527, MATCH(POTABLE_NONPOTABLE_API[[#This Row],[PWSID]], CW_PWSID_LIST, 0)), "")</f>
        <v>No</v>
      </c>
    </row>
    <row r="1615" spans="1:24" x14ac:dyDescent="0.25">
      <c r="A1615" t="s">
        <v>1161</v>
      </c>
      <c r="B1615" t="s">
        <v>1162</v>
      </c>
      <c r="C1615" t="s">
        <v>1163</v>
      </c>
      <c r="D1615" t="s">
        <v>1164</v>
      </c>
      <c r="E1615" s="9">
        <v>45261</v>
      </c>
      <c r="F1615" s="9">
        <v>45291</v>
      </c>
      <c r="G1615">
        <v>437966553.56999999</v>
      </c>
      <c r="H1615">
        <v>71100688.200000003</v>
      </c>
      <c r="I1615">
        <v>72830957.00999999</v>
      </c>
      <c r="J1615">
        <v>68660064.210000008</v>
      </c>
      <c r="K1615">
        <v>23513408.16</v>
      </c>
      <c r="L1615">
        <v>1899711.33</v>
      </c>
      <c r="M1615">
        <v>0</v>
      </c>
      <c r="N1615">
        <v>2001648</v>
      </c>
      <c r="O1615">
        <v>0</v>
      </c>
      <c r="P1615">
        <v>0</v>
      </c>
      <c r="Q1615">
        <v>70175864</v>
      </c>
      <c r="R1615">
        <v>0</v>
      </c>
      <c r="S1615">
        <v>0</v>
      </c>
      <c r="T1615" s="9">
        <v>45108</v>
      </c>
      <c r="U1615" s="9">
        <v>45473</v>
      </c>
      <c r="V1615">
        <f>SUM(POTABLE_NONPOTABLE_API[[#This Row],[RESIDENTIAL_SINGLEFAMILY_GAL]:[OTHER_GAL]])</f>
        <v>675971382.48000002</v>
      </c>
      <c r="W1615">
        <f>SUM(POTABLE_NONPOTABLE_API[[#This Row],[NONPOTABLE_DEMAND_RESIDENTIAL_RECYCLED_WATER_GAL]:[NONPOTABLE_DEMAND_NONRESIDENTIAL_METERED_IRRIGATION_GAL]])</f>
        <v>72177512</v>
      </c>
      <c r="X1615" t="str">
        <f>IFERROR(INDEX(Crosswalk_API!$H$2:$H$527, MATCH(POTABLE_NONPOTABLE_API[[#This Row],[PWSID]], CW_PWSID_LIST, 0)), "")</f>
        <v>No</v>
      </c>
    </row>
    <row r="1616" spans="1:24" x14ac:dyDescent="0.25">
      <c r="A1616" t="s">
        <v>1161</v>
      </c>
      <c r="B1616" t="s">
        <v>1162</v>
      </c>
      <c r="C1616" t="s">
        <v>1163</v>
      </c>
      <c r="D1616" t="s">
        <v>1164</v>
      </c>
      <c r="E1616" s="9">
        <v>45292</v>
      </c>
      <c r="F1616" s="9">
        <v>45322</v>
      </c>
      <c r="G1616">
        <v>377345233.52999997</v>
      </c>
      <c r="H1616">
        <v>70279543.680000007</v>
      </c>
      <c r="I1616">
        <v>69142323.689999998</v>
      </c>
      <c r="J1616">
        <v>48887425.530000001</v>
      </c>
      <c r="K1616">
        <v>21131437.349999998</v>
      </c>
      <c r="L1616">
        <v>68686132.289999992</v>
      </c>
      <c r="M1616">
        <v>0</v>
      </c>
      <c r="N1616">
        <v>740520</v>
      </c>
      <c r="O1616">
        <v>0</v>
      </c>
      <c r="P1616">
        <v>0</v>
      </c>
      <c r="Q1616">
        <v>64819436</v>
      </c>
      <c r="R1616">
        <v>0</v>
      </c>
      <c r="S1616">
        <v>0</v>
      </c>
      <c r="T1616" s="9">
        <v>45108</v>
      </c>
      <c r="U1616" s="9">
        <v>45473</v>
      </c>
      <c r="V1616">
        <f>SUM(POTABLE_NONPOTABLE_API[[#This Row],[RESIDENTIAL_SINGLEFAMILY_GAL]:[OTHER_GAL]])</f>
        <v>655472096.06999993</v>
      </c>
      <c r="W1616">
        <f>SUM(POTABLE_NONPOTABLE_API[[#This Row],[NONPOTABLE_DEMAND_RESIDENTIAL_RECYCLED_WATER_GAL]:[NONPOTABLE_DEMAND_NONRESIDENTIAL_METERED_IRRIGATION_GAL]])</f>
        <v>65559956</v>
      </c>
      <c r="X1616" t="str">
        <f>IFERROR(INDEX(Crosswalk_API!$H$2:$H$527, MATCH(POTABLE_NONPOTABLE_API[[#This Row],[PWSID]], CW_PWSID_LIST, 0)), "")</f>
        <v>No</v>
      </c>
    </row>
    <row r="1617" spans="1:24" x14ac:dyDescent="0.25">
      <c r="A1617" t="s">
        <v>1161</v>
      </c>
      <c r="B1617" t="s">
        <v>1162</v>
      </c>
      <c r="C1617" t="s">
        <v>1163</v>
      </c>
      <c r="D1617" t="s">
        <v>1164</v>
      </c>
      <c r="E1617" s="9">
        <v>45323</v>
      </c>
      <c r="F1617" s="9">
        <v>45351</v>
      </c>
      <c r="G1617">
        <v>304387194.63</v>
      </c>
      <c r="H1617">
        <v>67542395.280000001</v>
      </c>
      <c r="I1617">
        <v>60732109.379999995</v>
      </c>
      <c r="J1617">
        <v>25813916.219999999</v>
      </c>
      <c r="K1617">
        <v>16549972.289999999</v>
      </c>
      <c r="L1617">
        <v>60807055.110000007</v>
      </c>
      <c r="M1617">
        <v>0</v>
      </c>
      <c r="N1617">
        <v>243100</v>
      </c>
      <c r="O1617">
        <v>0</v>
      </c>
      <c r="P1617">
        <v>0</v>
      </c>
      <c r="Q1617">
        <v>45034836</v>
      </c>
      <c r="R1617">
        <v>0</v>
      </c>
      <c r="S1617">
        <v>0</v>
      </c>
      <c r="T1617" s="9">
        <v>45108</v>
      </c>
      <c r="U1617" s="9">
        <v>45473</v>
      </c>
      <c r="V1617">
        <f>SUM(POTABLE_NONPOTABLE_API[[#This Row],[RESIDENTIAL_SINGLEFAMILY_GAL]:[OTHER_GAL]])</f>
        <v>535832642.91000003</v>
      </c>
      <c r="W1617">
        <f>SUM(POTABLE_NONPOTABLE_API[[#This Row],[NONPOTABLE_DEMAND_RESIDENTIAL_RECYCLED_WATER_GAL]:[NONPOTABLE_DEMAND_NONRESIDENTIAL_METERED_IRRIGATION_GAL]])</f>
        <v>45277936</v>
      </c>
      <c r="X1617" t="str">
        <f>IFERROR(INDEX(Crosswalk_API!$H$2:$H$527, MATCH(POTABLE_NONPOTABLE_API[[#This Row],[PWSID]], CW_PWSID_LIST, 0)), "")</f>
        <v>No</v>
      </c>
    </row>
    <row r="1618" spans="1:24" x14ac:dyDescent="0.25">
      <c r="A1618" t="s">
        <v>1161</v>
      </c>
      <c r="B1618" t="s">
        <v>1162</v>
      </c>
      <c r="C1618" t="s">
        <v>1163</v>
      </c>
      <c r="D1618" t="s">
        <v>1164</v>
      </c>
      <c r="E1618" s="9">
        <v>45352</v>
      </c>
      <c r="F1618" s="9">
        <v>45382</v>
      </c>
      <c r="G1618">
        <v>260361466.01999998</v>
      </c>
      <c r="H1618">
        <v>62882725.979999997</v>
      </c>
      <c r="I1618">
        <v>55935582.659999996</v>
      </c>
      <c r="J1618">
        <v>29398277.219999999</v>
      </c>
      <c r="K1618">
        <v>14953302.390000001</v>
      </c>
      <c r="L1618">
        <v>8172343.0799999991</v>
      </c>
      <c r="M1618">
        <v>0</v>
      </c>
      <c r="N1618">
        <v>332112</v>
      </c>
      <c r="O1618">
        <v>0</v>
      </c>
      <c r="P1618">
        <v>0</v>
      </c>
      <c r="Q1618">
        <v>38391848</v>
      </c>
      <c r="R1618">
        <v>0</v>
      </c>
      <c r="S1618">
        <v>0</v>
      </c>
      <c r="T1618" s="9">
        <v>45108</v>
      </c>
      <c r="U1618" s="9">
        <v>45473</v>
      </c>
      <c r="V1618">
        <f>SUM(POTABLE_NONPOTABLE_API[[#This Row],[RESIDENTIAL_SINGLEFAMILY_GAL]:[OTHER_GAL]])</f>
        <v>431703697.34999996</v>
      </c>
      <c r="W1618">
        <f>SUM(POTABLE_NONPOTABLE_API[[#This Row],[NONPOTABLE_DEMAND_RESIDENTIAL_RECYCLED_WATER_GAL]:[NONPOTABLE_DEMAND_NONRESIDENTIAL_METERED_IRRIGATION_GAL]])</f>
        <v>38723960</v>
      </c>
      <c r="X1618" t="str">
        <f>IFERROR(INDEX(Crosswalk_API!$H$2:$H$527, MATCH(POTABLE_NONPOTABLE_API[[#This Row],[PWSID]], CW_PWSID_LIST, 0)), "")</f>
        <v>No</v>
      </c>
    </row>
    <row r="1619" spans="1:24" x14ac:dyDescent="0.25">
      <c r="A1619" t="s">
        <v>1161</v>
      </c>
      <c r="B1619" t="s">
        <v>1162</v>
      </c>
      <c r="C1619" t="s">
        <v>1163</v>
      </c>
      <c r="D1619" t="s">
        <v>1164</v>
      </c>
      <c r="E1619" s="9">
        <v>45383</v>
      </c>
      <c r="F1619" s="9">
        <v>45412</v>
      </c>
      <c r="G1619">
        <v>294175024.28999996</v>
      </c>
      <c r="H1619">
        <v>64140510.840000004</v>
      </c>
      <c r="I1619">
        <v>60376931.789999999</v>
      </c>
      <c r="J1619">
        <v>24943894.050000001</v>
      </c>
      <c r="K1619">
        <v>15194432.130000001</v>
      </c>
      <c r="L1619">
        <v>16448958.479999999</v>
      </c>
      <c r="M1619">
        <v>0</v>
      </c>
      <c r="N1619">
        <v>264792</v>
      </c>
      <c r="O1619">
        <v>0</v>
      </c>
      <c r="P1619">
        <v>0</v>
      </c>
      <c r="Q1619">
        <v>50309732</v>
      </c>
      <c r="R1619">
        <v>0</v>
      </c>
      <c r="S1619">
        <v>0</v>
      </c>
      <c r="T1619" s="9">
        <v>45108</v>
      </c>
      <c r="U1619" s="9">
        <v>45473</v>
      </c>
      <c r="V1619">
        <f>SUM(POTABLE_NONPOTABLE_API[[#This Row],[RESIDENTIAL_SINGLEFAMILY_GAL]:[OTHER_GAL]])</f>
        <v>475279751.58000004</v>
      </c>
      <c r="W1619">
        <f>SUM(POTABLE_NONPOTABLE_API[[#This Row],[NONPOTABLE_DEMAND_RESIDENTIAL_RECYCLED_WATER_GAL]:[NONPOTABLE_DEMAND_NONRESIDENTIAL_METERED_IRRIGATION_GAL]])</f>
        <v>50574524</v>
      </c>
      <c r="X1619" t="str">
        <f>IFERROR(INDEX(Crosswalk_API!$H$2:$H$527, MATCH(POTABLE_NONPOTABLE_API[[#This Row],[PWSID]], CW_PWSID_LIST, 0)), "")</f>
        <v>No</v>
      </c>
    </row>
    <row r="1620" spans="1:24" x14ac:dyDescent="0.25">
      <c r="A1620" t="s">
        <v>1161</v>
      </c>
      <c r="B1620" t="s">
        <v>1162</v>
      </c>
      <c r="C1620" t="s">
        <v>1163</v>
      </c>
      <c r="D1620" t="s">
        <v>1164</v>
      </c>
      <c r="E1620" s="9">
        <v>45413</v>
      </c>
      <c r="F1620" s="9">
        <v>45443</v>
      </c>
      <c r="G1620">
        <v>373477382.16000003</v>
      </c>
      <c r="H1620">
        <v>64479395.879999995</v>
      </c>
      <c r="I1620">
        <v>65280989.340000004</v>
      </c>
      <c r="J1620">
        <v>46847598.270000003</v>
      </c>
      <c r="K1620">
        <v>17446062.539999999</v>
      </c>
      <c r="L1620">
        <v>2267922.96</v>
      </c>
      <c r="M1620">
        <v>0</v>
      </c>
      <c r="N1620">
        <v>1145936</v>
      </c>
      <c r="O1620">
        <v>0</v>
      </c>
      <c r="P1620">
        <v>0</v>
      </c>
      <c r="Q1620">
        <v>65553972</v>
      </c>
      <c r="R1620">
        <v>0</v>
      </c>
      <c r="S1620">
        <v>0</v>
      </c>
      <c r="T1620" s="9">
        <v>45108</v>
      </c>
      <c r="U1620" s="9">
        <v>45473</v>
      </c>
      <c r="V1620">
        <f>SUM(POTABLE_NONPOTABLE_API[[#This Row],[RESIDENTIAL_SINGLEFAMILY_GAL]:[OTHER_GAL]])</f>
        <v>569799351.14999998</v>
      </c>
      <c r="W1620">
        <f>SUM(POTABLE_NONPOTABLE_API[[#This Row],[NONPOTABLE_DEMAND_RESIDENTIAL_RECYCLED_WATER_GAL]:[NONPOTABLE_DEMAND_NONRESIDENTIAL_METERED_IRRIGATION_GAL]])</f>
        <v>66699908</v>
      </c>
      <c r="X1620" t="str">
        <f>IFERROR(INDEX(Crosswalk_API!$H$2:$H$527, MATCH(POTABLE_NONPOTABLE_API[[#This Row],[PWSID]], CW_PWSID_LIST, 0)), "")</f>
        <v>No</v>
      </c>
    </row>
    <row r="1621" spans="1:24" x14ac:dyDescent="0.25">
      <c r="A1621" t="s">
        <v>1161</v>
      </c>
      <c r="B1621" t="s">
        <v>1162</v>
      </c>
      <c r="C1621" t="s">
        <v>1163</v>
      </c>
      <c r="D1621" t="s">
        <v>1164</v>
      </c>
      <c r="E1621" s="9">
        <v>45444</v>
      </c>
      <c r="F1621" s="9">
        <v>45473</v>
      </c>
      <c r="G1621">
        <v>489842032.76999998</v>
      </c>
      <c r="H1621">
        <v>70901919.090000004</v>
      </c>
      <c r="I1621">
        <v>78882010.079999998</v>
      </c>
      <c r="J1621">
        <v>79602140.789999992</v>
      </c>
      <c r="K1621">
        <v>22284949.890000001</v>
      </c>
      <c r="L1621">
        <v>2704563.3000000003</v>
      </c>
      <c r="M1621">
        <v>0</v>
      </c>
      <c r="N1621">
        <v>1807168</v>
      </c>
      <c r="O1621">
        <v>0</v>
      </c>
      <c r="P1621">
        <v>0</v>
      </c>
      <c r="Q1621">
        <v>114102164</v>
      </c>
      <c r="R1621">
        <v>0</v>
      </c>
      <c r="S1621">
        <v>0</v>
      </c>
      <c r="T1621" s="9">
        <v>45108</v>
      </c>
      <c r="U1621" s="9">
        <v>45473</v>
      </c>
      <c r="V1621">
        <f>SUM(POTABLE_NONPOTABLE_API[[#This Row],[RESIDENTIAL_SINGLEFAMILY_GAL]:[OTHER_GAL]])</f>
        <v>744217615.91999996</v>
      </c>
      <c r="W1621">
        <f>SUM(POTABLE_NONPOTABLE_API[[#This Row],[NONPOTABLE_DEMAND_RESIDENTIAL_RECYCLED_WATER_GAL]:[NONPOTABLE_DEMAND_NONRESIDENTIAL_METERED_IRRIGATION_GAL]])</f>
        <v>115909332</v>
      </c>
      <c r="X1621" t="str">
        <f>IFERROR(INDEX(Crosswalk_API!$H$2:$H$527, MATCH(POTABLE_NONPOTABLE_API[[#This Row],[PWSID]], CW_PWSID_LIST, 0)), "")</f>
        <v>No</v>
      </c>
    </row>
    <row r="1622" spans="1:24" x14ac:dyDescent="0.25">
      <c r="A1622" t="s">
        <v>1165</v>
      </c>
      <c r="B1622" t="s">
        <v>1166</v>
      </c>
      <c r="C1622" t="s">
        <v>1167</v>
      </c>
      <c r="D1622" t="s">
        <v>1168</v>
      </c>
      <c r="E1622" s="9">
        <v>45108</v>
      </c>
      <c r="F1622" s="9">
        <v>45138</v>
      </c>
      <c r="G1622">
        <v>131340762.56999999</v>
      </c>
      <c r="H1622">
        <v>11997833.82</v>
      </c>
      <c r="I1622">
        <v>15243309.780000001</v>
      </c>
      <c r="J1622">
        <v>0</v>
      </c>
      <c r="K1622">
        <v>1635772.0199999998</v>
      </c>
      <c r="L1622">
        <v>0</v>
      </c>
      <c r="M1622">
        <v>0</v>
      </c>
      <c r="T1622" s="9">
        <v>45108</v>
      </c>
      <c r="U1622" s="9">
        <v>45473</v>
      </c>
      <c r="V1622">
        <f>SUM(POTABLE_NONPOTABLE_API[[#This Row],[RESIDENTIAL_SINGLEFAMILY_GAL]:[OTHER_GAL]])</f>
        <v>160217678.19</v>
      </c>
      <c r="W1622">
        <f>SUM(POTABLE_NONPOTABLE_API[[#This Row],[NONPOTABLE_DEMAND_RESIDENTIAL_RECYCLED_WATER_GAL]:[NONPOTABLE_DEMAND_NONRESIDENTIAL_METERED_IRRIGATION_GAL]])</f>
        <v>0</v>
      </c>
      <c r="X1622" t="str">
        <f>IFERROR(INDEX(Crosswalk_API!$H$2:$H$527, MATCH(POTABLE_NONPOTABLE_API[[#This Row],[PWSID]], CW_PWSID_LIST, 0)), "")</f>
        <v>No</v>
      </c>
    </row>
    <row r="1623" spans="1:24" x14ac:dyDescent="0.25">
      <c r="A1623" t="s">
        <v>1165</v>
      </c>
      <c r="B1623" t="s">
        <v>1166</v>
      </c>
      <c r="C1623" t="s">
        <v>1167</v>
      </c>
      <c r="D1623" t="s">
        <v>1168</v>
      </c>
      <c r="E1623" s="9">
        <v>45139</v>
      </c>
      <c r="F1623" s="9">
        <v>45169</v>
      </c>
      <c r="G1623">
        <v>123504046.02</v>
      </c>
      <c r="H1623">
        <v>12721223.039999999</v>
      </c>
      <c r="I1623">
        <v>18286758.119999997</v>
      </c>
      <c r="J1623">
        <v>0</v>
      </c>
      <c r="K1623">
        <v>3180305.76</v>
      </c>
      <c r="L1623">
        <v>0</v>
      </c>
      <c r="M1623">
        <v>0</v>
      </c>
      <c r="T1623" s="9">
        <v>45108</v>
      </c>
      <c r="U1623" s="9">
        <v>45473</v>
      </c>
      <c r="V1623">
        <f>SUM(POTABLE_NONPOTABLE_API[[#This Row],[RESIDENTIAL_SINGLEFAMILY_GAL]:[OTHER_GAL]])</f>
        <v>157692332.94</v>
      </c>
      <c r="W1623">
        <f>SUM(POTABLE_NONPOTABLE_API[[#This Row],[NONPOTABLE_DEMAND_RESIDENTIAL_RECYCLED_WATER_GAL]:[NONPOTABLE_DEMAND_NONRESIDENTIAL_METERED_IRRIGATION_GAL]])</f>
        <v>0</v>
      </c>
      <c r="X1623" t="str">
        <f>IFERROR(INDEX(Crosswalk_API!$H$2:$H$527, MATCH(POTABLE_NONPOTABLE_API[[#This Row],[PWSID]], CW_PWSID_LIST, 0)), "")</f>
        <v>No</v>
      </c>
    </row>
    <row r="1624" spans="1:24" x14ac:dyDescent="0.25">
      <c r="A1624" t="s">
        <v>1165</v>
      </c>
      <c r="B1624" t="s">
        <v>1166</v>
      </c>
      <c r="C1624" t="s">
        <v>1167</v>
      </c>
      <c r="D1624" t="s">
        <v>1168</v>
      </c>
      <c r="E1624" s="9">
        <v>45170</v>
      </c>
      <c r="F1624" s="9">
        <v>45199</v>
      </c>
      <c r="G1624">
        <v>110137638</v>
      </c>
      <c r="H1624">
        <v>11078934</v>
      </c>
      <c r="I1624">
        <v>12382338</v>
      </c>
      <c r="J1624">
        <v>0</v>
      </c>
      <c r="K1624">
        <v>2932659</v>
      </c>
      <c r="L1624">
        <v>0</v>
      </c>
      <c r="M1624">
        <v>0</v>
      </c>
      <c r="T1624" s="9">
        <v>45108</v>
      </c>
      <c r="U1624" s="9">
        <v>45473</v>
      </c>
      <c r="V1624">
        <f>SUM(POTABLE_NONPOTABLE_API[[#This Row],[RESIDENTIAL_SINGLEFAMILY_GAL]:[OTHER_GAL]])</f>
        <v>136531569</v>
      </c>
      <c r="W1624">
        <f>SUM(POTABLE_NONPOTABLE_API[[#This Row],[NONPOTABLE_DEMAND_RESIDENTIAL_RECYCLED_WATER_GAL]:[NONPOTABLE_DEMAND_NONRESIDENTIAL_METERED_IRRIGATION_GAL]])</f>
        <v>0</v>
      </c>
      <c r="X1624" t="str">
        <f>IFERROR(INDEX(Crosswalk_API!$H$2:$H$527, MATCH(POTABLE_NONPOTABLE_API[[#This Row],[PWSID]], CW_PWSID_LIST, 0)), "")</f>
        <v>No</v>
      </c>
    </row>
    <row r="1625" spans="1:24" x14ac:dyDescent="0.25">
      <c r="A1625" t="s">
        <v>1165</v>
      </c>
      <c r="B1625" t="s">
        <v>1166</v>
      </c>
      <c r="C1625" t="s">
        <v>1167</v>
      </c>
      <c r="D1625" t="s">
        <v>1168</v>
      </c>
      <c r="E1625" s="9">
        <v>45200</v>
      </c>
      <c r="F1625" s="9">
        <v>45230</v>
      </c>
      <c r="G1625">
        <v>108612655.31999999</v>
      </c>
      <c r="H1625">
        <v>9417093.9000000004</v>
      </c>
      <c r="I1625">
        <v>12949318.74</v>
      </c>
      <c r="J1625">
        <v>0</v>
      </c>
      <c r="K1625">
        <v>1342506.12</v>
      </c>
      <c r="L1625">
        <v>0</v>
      </c>
      <c r="M1625">
        <v>0</v>
      </c>
      <c r="T1625" s="9">
        <v>45108</v>
      </c>
      <c r="U1625" s="9">
        <v>45473</v>
      </c>
      <c r="V1625">
        <f>SUM(POTABLE_NONPOTABLE_API[[#This Row],[RESIDENTIAL_SINGLEFAMILY_GAL]:[OTHER_GAL]])</f>
        <v>132321574.08</v>
      </c>
      <c r="W1625">
        <f>SUM(POTABLE_NONPOTABLE_API[[#This Row],[NONPOTABLE_DEMAND_RESIDENTIAL_RECYCLED_WATER_GAL]:[NONPOTABLE_DEMAND_NONRESIDENTIAL_METERED_IRRIGATION_GAL]])</f>
        <v>0</v>
      </c>
      <c r="X1625" t="str">
        <f>IFERROR(INDEX(Crosswalk_API!$H$2:$H$527, MATCH(POTABLE_NONPOTABLE_API[[#This Row],[PWSID]], CW_PWSID_LIST, 0)), "")</f>
        <v>No</v>
      </c>
    </row>
    <row r="1626" spans="1:24" x14ac:dyDescent="0.25">
      <c r="A1626" t="s">
        <v>1165</v>
      </c>
      <c r="B1626" t="s">
        <v>1166</v>
      </c>
      <c r="C1626" t="s">
        <v>1167</v>
      </c>
      <c r="D1626" t="s">
        <v>1168</v>
      </c>
      <c r="E1626" s="9">
        <v>45231</v>
      </c>
      <c r="F1626" s="9">
        <v>45260</v>
      </c>
      <c r="G1626">
        <v>96181439.670000002</v>
      </c>
      <c r="H1626">
        <v>10616225.58</v>
      </c>
      <c r="I1626">
        <v>13737878.159999998</v>
      </c>
      <c r="J1626">
        <v>0</v>
      </c>
      <c r="K1626">
        <v>2499277.17</v>
      </c>
      <c r="L1626">
        <v>0</v>
      </c>
      <c r="M1626">
        <v>0</v>
      </c>
      <c r="T1626" s="9">
        <v>45108</v>
      </c>
      <c r="U1626" s="9">
        <v>45473</v>
      </c>
      <c r="V1626">
        <f>SUM(POTABLE_NONPOTABLE_API[[#This Row],[RESIDENTIAL_SINGLEFAMILY_GAL]:[OTHER_GAL]])</f>
        <v>123034820.58</v>
      </c>
      <c r="W1626">
        <f>SUM(POTABLE_NONPOTABLE_API[[#This Row],[NONPOTABLE_DEMAND_RESIDENTIAL_RECYCLED_WATER_GAL]:[NONPOTABLE_DEMAND_NONRESIDENTIAL_METERED_IRRIGATION_GAL]])</f>
        <v>0</v>
      </c>
      <c r="X1626" t="str">
        <f>IFERROR(INDEX(Crosswalk_API!$H$2:$H$527, MATCH(POTABLE_NONPOTABLE_API[[#This Row],[PWSID]], CW_PWSID_LIST, 0)), "")</f>
        <v>No</v>
      </c>
    </row>
    <row r="1627" spans="1:24" x14ac:dyDescent="0.25">
      <c r="A1627" t="s">
        <v>1165</v>
      </c>
      <c r="B1627" t="s">
        <v>1166</v>
      </c>
      <c r="C1627" t="s">
        <v>1167</v>
      </c>
      <c r="D1627" t="s">
        <v>1168</v>
      </c>
      <c r="E1627" s="9">
        <v>45261</v>
      </c>
      <c r="F1627" s="9">
        <v>45291</v>
      </c>
      <c r="G1627">
        <v>91847621.370000005</v>
      </c>
      <c r="H1627">
        <v>9531141.75</v>
      </c>
      <c r="I1627">
        <v>10443524.549999999</v>
      </c>
      <c r="J1627">
        <v>0</v>
      </c>
      <c r="K1627">
        <v>1124185.95</v>
      </c>
      <c r="L1627">
        <v>0</v>
      </c>
      <c r="M1627">
        <v>0</v>
      </c>
      <c r="T1627" s="9">
        <v>45108</v>
      </c>
      <c r="U1627" s="9">
        <v>45473</v>
      </c>
      <c r="V1627">
        <f>SUM(POTABLE_NONPOTABLE_API[[#This Row],[RESIDENTIAL_SINGLEFAMILY_GAL]:[OTHER_GAL]])</f>
        <v>112946473.62</v>
      </c>
      <c r="W1627">
        <f>SUM(POTABLE_NONPOTABLE_API[[#This Row],[NONPOTABLE_DEMAND_RESIDENTIAL_RECYCLED_WATER_GAL]:[NONPOTABLE_DEMAND_NONRESIDENTIAL_METERED_IRRIGATION_GAL]])</f>
        <v>0</v>
      </c>
      <c r="X1627" t="str">
        <f>IFERROR(INDEX(Crosswalk_API!$H$2:$H$527, MATCH(POTABLE_NONPOTABLE_API[[#This Row],[PWSID]], CW_PWSID_LIST, 0)), "")</f>
        <v>No</v>
      </c>
    </row>
    <row r="1628" spans="1:24" x14ac:dyDescent="0.25">
      <c r="A1628" t="s">
        <v>1165</v>
      </c>
      <c r="B1628" t="s">
        <v>1166</v>
      </c>
      <c r="C1628" t="s">
        <v>1167</v>
      </c>
      <c r="D1628" t="s">
        <v>1168</v>
      </c>
      <c r="E1628" s="9">
        <v>45292</v>
      </c>
      <c r="F1628" s="9">
        <v>45322</v>
      </c>
      <c r="G1628">
        <v>77194101.900000006</v>
      </c>
      <c r="H1628">
        <v>9531141.75</v>
      </c>
      <c r="I1628">
        <v>9003263.129999999</v>
      </c>
      <c r="J1628">
        <v>0</v>
      </c>
      <c r="K1628">
        <v>1541275.2300000002</v>
      </c>
      <c r="L1628">
        <v>0</v>
      </c>
      <c r="M1628">
        <v>0</v>
      </c>
      <c r="T1628" s="9">
        <v>45108</v>
      </c>
      <c r="U1628" s="9">
        <v>45473</v>
      </c>
      <c r="V1628">
        <f>SUM(POTABLE_NONPOTABLE_API[[#This Row],[RESIDENTIAL_SINGLEFAMILY_GAL]:[OTHER_GAL]])</f>
        <v>97269782.010000005</v>
      </c>
      <c r="W1628">
        <f>SUM(POTABLE_NONPOTABLE_API[[#This Row],[NONPOTABLE_DEMAND_RESIDENTIAL_RECYCLED_WATER_GAL]:[NONPOTABLE_DEMAND_NONRESIDENTIAL_METERED_IRRIGATION_GAL]])</f>
        <v>0</v>
      </c>
      <c r="X1628" t="str">
        <f>IFERROR(INDEX(Crosswalk_API!$H$2:$H$527, MATCH(POTABLE_NONPOTABLE_API[[#This Row],[PWSID]], CW_PWSID_LIST, 0)), "")</f>
        <v>No</v>
      </c>
    </row>
    <row r="1629" spans="1:24" x14ac:dyDescent="0.25">
      <c r="A1629" t="s">
        <v>1165</v>
      </c>
      <c r="B1629" t="s">
        <v>1166</v>
      </c>
      <c r="C1629" t="s">
        <v>1167</v>
      </c>
      <c r="D1629" t="s">
        <v>1168</v>
      </c>
      <c r="E1629" s="9">
        <v>45323</v>
      </c>
      <c r="F1629" s="9">
        <v>45351</v>
      </c>
      <c r="G1629">
        <v>66877659.240000002</v>
      </c>
      <c r="H1629">
        <v>6481176.3900000006</v>
      </c>
      <c r="I1629">
        <v>9430127.9400000013</v>
      </c>
      <c r="J1629">
        <v>0</v>
      </c>
      <c r="K1629">
        <v>1345764.63</v>
      </c>
      <c r="L1629">
        <v>0</v>
      </c>
      <c r="M1629">
        <v>0</v>
      </c>
      <c r="T1629" s="9">
        <v>45108</v>
      </c>
      <c r="U1629" s="9">
        <v>45473</v>
      </c>
      <c r="V1629">
        <f>SUM(POTABLE_NONPOTABLE_API[[#This Row],[RESIDENTIAL_SINGLEFAMILY_GAL]:[OTHER_GAL]])</f>
        <v>84134728.199999988</v>
      </c>
      <c r="W1629">
        <f>SUM(POTABLE_NONPOTABLE_API[[#This Row],[NONPOTABLE_DEMAND_RESIDENTIAL_RECYCLED_WATER_GAL]:[NONPOTABLE_DEMAND_NONRESIDENTIAL_METERED_IRRIGATION_GAL]])</f>
        <v>0</v>
      </c>
      <c r="X1629" t="str">
        <f>IFERROR(INDEX(Crosswalk_API!$H$2:$H$527, MATCH(POTABLE_NONPOTABLE_API[[#This Row],[PWSID]], CW_PWSID_LIST, 0)), "")</f>
        <v>No</v>
      </c>
    </row>
    <row r="1630" spans="1:24" x14ac:dyDescent="0.25">
      <c r="A1630" t="s">
        <v>1165</v>
      </c>
      <c r="B1630" t="s">
        <v>1166</v>
      </c>
      <c r="C1630" t="s">
        <v>1167</v>
      </c>
      <c r="D1630" t="s">
        <v>1168</v>
      </c>
      <c r="E1630" s="9">
        <v>45352</v>
      </c>
      <c r="F1630" s="9">
        <v>45382</v>
      </c>
      <c r="G1630">
        <v>72208581.599999994</v>
      </c>
      <c r="H1630">
        <v>1857350.7</v>
      </c>
      <c r="I1630">
        <v>9612604.5</v>
      </c>
      <c r="J1630">
        <v>0</v>
      </c>
      <c r="K1630">
        <v>847212.6</v>
      </c>
      <c r="L1630">
        <v>0</v>
      </c>
      <c r="M1630">
        <v>0</v>
      </c>
      <c r="T1630" s="9">
        <v>45108</v>
      </c>
      <c r="U1630" s="9">
        <v>45473</v>
      </c>
      <c r="V1630">
        <f>SUM(POTABLE_NONPOTABLE_API[[#This Row],[RESIDENTIAL_SINGLEFAMILY_GAL]:[OTHER_GAL]])</f>
        <v>84525749.399999991</v>
      </c>
      <c r="W1630">
        <f>SUM(POTABLE_NONPOTABLE_API[[#This Row],[NONPOTABLE_DEMAND_RESIDENTIAL_RECYCLED_WATER_GAL]:[NONPOTABLE_DEMAND_NONRESIDENTIAL_METERED_IRRIGATION_GAL]])</f>
        <v>0</v>
      </c>
      <c r="X1630" t="str">
        <f>IFERROR(INDEX(Crosswalk_API!$H$2:$H$527, MATCH(POTABLE_NONPOTABLE_API[[#This Row],[PWSID]], CW_PWSID_LIST, 0)), "")</f>
        <v>No</v>
      </c>
    </row>
    <row r="1631" spans="1:24" x14ac:dyDescent="0.25">
      <c r="A1631" t="s">
        <v>1165</v>
      </c>
      <c r="B1631" t="s">
        <v>1166</v>
      </c>
      <c r="C1631" t="s">
        <v>1167</v>
      </c>
      <c r="D1631" t="s">
        <v>1168</v>
      </c>
      <c r="E1631" s="9">
        <v>45383</v>
      </c>
      <c r="F1631" s="9">
        <v>45412</v>
      </c>
      <c r="G1631">
        <v>58907343.780000001</v>
      </c>
      <c r="H1631">
        <v>16690088.219999999</v>
      </c>
      <c r="I1631">
        <v>11779513.65</v>
      </c>
      <c r="J1631">
        <v>1274077.4100000001</v>
      </c>
      <c r="K1631">
        <v>5989141.3799999999</v>
      </c>
      <c r="L1631">
        <v>0</v>
      </c>
      <c r="M1631">
        <v>0</v>
      </c>
      <c r="T1631" s="9">
        <v>45108</v>
      </c>
      <c r="U1631" s="9">
        <v>45473</v>
      </c>
      <c r="V1631">
        <f>SUM(POTABLE_NONPOTABLE_API[[#This Row],[RESIDENTIAL_SINGLEFAMILY_GAL]:[OTHER_GAL]])</f>
        <v>94640164.439999998</v>
      </c>
      <c r="W1631">
        <f>SUM(POTABLE_NONPOTABLE_API[[#This Row],[NONPOTABLE_DEMAND_RESIDENTIAL_RECYCLED_WATER_GAL]:[NONPOTABLE_DEMAND_NONRESIDENTIAL_METERED_IRRIGATION_GAL]])</f>
        <v>0</v>
      </c>
      <c r="X1631" t="str">
        <f>IFERROR(INDEX(Crosswalk_API!$H$2:$H$527, MATCH(POTABLE_NONPOTABLE_API[[#This Row],[PWSID]], CW_PWSID_LIST, 0)), "")</f>
        <v>No</v>
      </c>
    </row>
    <row r="1632" spans="1:24" x14ac:dyDescent="0.25">
      <c r="A1632" t="s">
        <v>1165</v>
      </c>
      <c r="B1632" t="s">
        <v>1166</v>
      </c>
      <c r="C1632" t="s">
        <v>1167</v>
      </c>
      <c r="D1632" t="s">
        <v>1168</v>
      </c>
      <c r="E1632" s="9">
        <v>45413</v>
      </c>
      <c r="F1632" s="9">
        <v>45443</v>
      </c>
      <c r="G1632">
        <v>77653551.810000002</v>
      </c>
      <c r="H1632">
        <v>22001459.52</v>
      </c>
      <c r="I1632">
        <v>15530058.659999998</v>
      </c>
      <c r="J1632">
        <v>1293628.47</v>
      </c>
      <c r="K1632">
        <v>7765029.3299999991</v>
      </c>
      <c r="L1632">
        <v>0</v>
      </c>
      <c r="M1632">
        <v>0</v>
      </c>
      <c r="T1632" s="9">
        <v>45108</v>
      </c>
      <c r="U1632" s="9">
        <v>45473</v>
      </c>
      <c r="V1632">
        <f>SUM(POTABLE_NONPOTABLE_API[[#This Row],[RESIDENTIAL_SINGLEFAMILY_GAL]:[OTHER_GAL]])</f>
        <v>124243727.78999999</v>
      </c>
      <c r="W1632">
        <f>SUM(POTABLE_NONPOTABLE_API[[#This Row],[NONPOTABLE_DEMAND_RESIDENTIAL_RECYCLED_WATER_GAL]:[NONPOTABLE_DEMAND_NONRESIDENTIAL_METERED_IRRIGATION_GAL]])</f>
        <v>0</v>
      </c>
      <c r="X1632" t="str">
        <f>IFERROR(INDEX(Crosswalk_API!$H$2:$H$527, MATCH(POTABLE_NONPOTABLE_API[[#This Row],[PWSID]], CW_PWSID_LIST, 0)), "")</f>
        <v>No</v>
      </c>
    </row>
    <row r="1633" spans="1:24" x14ac:dyDescent="0.25">
      <c r="A1633" t="s">
        <v>1165</v>
      </c>
      <c r="B1633" t="s">
        <v>1166</v>
      </c>
      <c r="C1633" t="s">
        <v>1167</v>
      </c>
      <c r="D1633" t="s">
        <v>1168</v>
      </c>
      <c r="E1633" s="9">
        <v>45444</v>
      </c>
      <c r="F1633" s="9">
        <v>45473</v>
      </c>
      <c r="G1633">
        <v>84532266.420000002</v>
      </c>
      <c r="H1633">
        <v>25341432.27</v>
      </c>
      <c r="I1633">
        <v>15328031.039999999</v>
      </c>
      <c r="J1633">
        <v>1270818.8999999999</v>
      </c>
      <c r="K1633">
        <v>13099210.200000001</v>
      </c>
      <c r="L1633">
        <v>0</v>
      </c>
      <c r="M1633">
        <v>0</v>
      </c>
      <c r="T1633" s="9">
        <v>45108</v>
      </c>
      <c r="U1633" s="9">
        <v>45473</v>
      </c>
      <c r="V1633">
        <f>SUM(POTABLE_NONPOTABLE_API[[#This Row],[RESIDENTIAL_SINGLEFAMILY_GAL]:[OTHER_GAL]])</f>
        <v>139571758.82999998</v>
      </c>
      <c r="W1633">
        <f>SUM(POTABLE_NONPOTABLE_API[[#This Row],[NONPOTABLE_DEMAND_RESIDENTIAL_RECYCLED_WATER_GAL]:[NONPOTABLE_DEMAND_NONRESIDENTIAL_METERED_IRRIGATION_GAL]])</f>
        <v>0</v>
      </c>
      <c r="X1633" t="str">
        <f>IFERROR(INDEX(Crosswalk_API!$H$2:$H$527, MATCH(POTABLE_NONPOTABLE_API[[#This Row],[PWSID]], CW_PWSID_LIST, 0)), "")</f>
        <v>No</v>
      </c>
    </row>
    <row r="1634" spans="1:24" x14ac:dyDescent="0.25">
      <c r="A1634" t="s">
        <v>1169</v>
      </c>
      <c r="B1634" t="s">
        <v>1170</v>
      </c>
      <c r="C1634" t="s">
        <v>1171</v>
      </c>
      <c r="D1634" t="s">
        <v>1172</v>
      </c>
      <c r="E1634" s="9">
        <v>45108</v>
      </c>
      <c r="F1634" s="9">
        <v>45138</v>
      </c>
      <c r="G1634">
        <v>18247733.63084</v>
      </c>
      <c r="H1634">
        <v>0</v>
      </c>
      <c r="I1634">
        <v>27745832.160560001</v>
      </c>
      <c r="J1634">
        <v>0</v>
      </c>
      <c r="K1634">
        <v>28328.729240000001</v>
      </c>
      <c r="L1634">
        <v>0</v>
      </c>
      <c r="M1634">
        <v>0</v>
      </c>
      <c r="T1634" s="9">
        <v>45108</v>
      </c>
      <c r="U1634" s="9">
        <v>45473</v>
      </c>
      <c r="V1634">
        <f>SUM(POTABLE_NONPOTABLE_API[[#This Row],[RESIDENTIAL_SINGLEFAMILY_GAL]:[OTHER_GAL]])</f>
        <v>46021894.520640001</v>
      </c>
      <c r="W1634">
        <f>SUM(POTABLE_NONPOTABLE_API[[#This Row],[NONPOTABLE_DEMAND_RESIDENTIAL_RECYCLED_WATER_GAL]:[NONPOTABLE_DEMAND_NONRESIDENTIAL_METERED_IRRIGATION_GAL]])</f>
        <v>0</v>
      </c>
      <c r="X1634" t="str">
        <f>IFERROR(INDEX(Crosswalk_API!$H$2:$H$527, MATCH(POTABLE_NONPOTABLE_API[[#This Row],[PWSID]], CW_PWSID_LIST, 0)), "")</f>
        <v>No</v>
      </c>
    </row>
    <row r="1635" spans="1:24" x14ac:dyDescent="0.25">
      <c r="A1635" t="s">
        <v>1169</v>
      </c>
      <c r="B1635" t="s">
        <v>1170</v>
      </c>
      <c r="C1635" t="s">
        <v>1171</v>
      </c>
      <c r="D1635" t="s">
        <v>1172</v>
      </c>
      <c r="E1635" s="9">
        <v>45139</v>
      </c>
      <c r="F1635" s="9">
        <v>45169</v>
      </c>
      <c r="G1635">
        <v>21547435.885960001</v>
      </c>
      <c r="H1635">
        <v>0</v>
      </c>
      <c r="I1635">
        <v>27745832.160560001</v>
      </c>
      <c r="J1635">
        <v>0</v>
      </c>
      <c r="K1635">
        <v>36093.508999999998</v>
      </c>
      <c r="L1635">
        <v>0</v>
      </c>
      <c r="M1635">
        <v>0</v>
      </c>
      <c r="T1635" s="9">
        <v>45108</v>
      </c>
      <c r="U1635" s="9">
        <v>45473</v>
      </c>
      <c r="V1635">
        <f>SUM(POTABLE_NONPOTABLE_API[[#This Row],[RESIDENTIAL_SINGLEFAMILY_GAL]:[OTHER_GAL]])</f>
        <v>49329361.555520006</v>
      </c>
      <c r="W1635">
        <f>SUM(POTABLE_NONPOTABLE_API[[#This Row],[NONPOTABLE_DEMAND_RESIDENTIAL_RECYCLED_WATER_GAL]:[NONPOTABLE_DEMAND_NONRESIDENTIAL_METERED_IRRIGATION_GAL]])</f>
        <v>0</v>
      </c>
      <c r="X1635" t="str">
        <f>IFERROR(INDEX(Crosswalk_API!$H$2:$H$527, MATCH(POTABLE_NONPOTABLE_API[[#This Row],[PWSID]], CW_PWSID_LIST, 0)), "")</f>
        <v>No</v>
      </c>
    </row>
    <row r="1636" spans="1:24" x14ac:dyDescent="0.25">
      <c r="A1636" t="s">
        <v>1169</v>
      </c>
      <c r="B1636" t="s">
        <v>1170</v>
      </c>
      <c r="C1636" t="s">
        <v>1171</v>
      </c>
      <c r="D1636" t="s">
        <v>1172</v>
      </c>
      <c r="E1636" s="9">
        <v>45170</v>
      </c>
      <c r="F1636" s="9">
        <v>45199</v>
      </c>
      <c r="G1636">
        <v>18681117.557040002</v>
      </c>
      <c r="H1636">
        <v>0</v>
      </c>
      <c r="I1636">
        <v>31449145.124228004</v>
      </c>
      <c r="J1636">
        <v>0</v>
      </c>
      <c r="K1636">
        <v>38644.366320000001</v>
      </c>
      <c r="L1636">
        <v>0</v>
      </c>
      <c r="M1636">
        <v>0</v>
      </c>
      <c r="T1636" s="9">
        <v>45108</v>
      </c>
      <c r="U1636" s="9">
        <v>45473</v>
      </c>
      <c r="V1636">
        <f>SUM(POTABLE_NONPOTABLE_API[[#This Row],[RESIDENTIAL_SINGLEFAMILY_GAL]:[OTHER_GAL]])</f>
        <v>50168907.047588006</v>
      </c>
      <c r="W1636">
        <f>SUM(POTABLE_NONPOTABLE_API[[#This Row],[NONPOTABLE_DEMAND_RESIDENTIAL_RECYCLED_WATER_GAL]:[NONPOTABLE_DEMAND_NONRESIDENTIAL_METERED_IRRIGATION_GAL]])</f>
        <v>0</v>
      </c>
      <c r="X1636" t="str">
        <f>IFERROR(INDEX(Crosswalk_API!$H$2:$H$527, MATCH(POTABLE_NONPOTABLE_API[[#This Row],[PWSID]], CW_PWSID_LIST, 0)), "")</f>
        <v>No</v>
      </c>
    </row>
    <row r="1637" spans="1:24" x14ac:dyDescent="0.25">
      <c r="A1637" t="s">
        <v>1169</v>
      </c>
      <c r="B1637" t="s">
        <v>1170</v>
      </c>
      <c r="C1637" t="s">
        <v>1171</v>
      </c>
      <c r="D1637" t="s">
        <v>1172</v>
      </c>
      <c r="E1637" s="9">
        <v>45200</v>
      </c>
      <c r="F1637" s="9">
        <v>45230</v>
      </c>
      <c r="G1637">
        <v>14067955.678239999</v>
      </c>
      <c r="H1637">
        <v>0</v>
      </c>
      <c r="I1637">
        <v>23209772.001400001</v>
      </c>
      <c r="J1637">
        <v>0</v>
      </c>
      <c r="K1637">
        <v>42960.626360000002</v>
      </c>
      <c r="L1637">
        <v>0</v>
      </c>
      <c r="M1637">
        <v>0</v>
      </c>
      <c r="T1637" s="9">
        <v>45108</v>
      </c>
      <c r="U1637" s="9">
        <v>45473</v>
      </c>
      <c r="V1637">
        <f>SUM(POTABLE_NONPOTABLE_API[[#This Row],[RESIDENTIAL_SINGLEFAMILY_GAL]:[OTHER_GAL]])</f>
        <v>37320688.306000002</v>
      </c>
      <c r="W1637">
        <f>SUM(POTABLE_NONPOTABLE_API[[#This Row],[NONPOTABLE_DEMAND_RESIDENTIAL_RECYCLED_WATER_GAL]:[NONPOTABLE_DEMAND_NONRESIDENTIAL_METERED_IRRIGATION_GAL]])</f>
        <v>0</v>
      </c>
      <c r="X1637" t="str">
        <f>IFERROR(INDEX(Crosswalk_API!$H$2:$H$527, MATCH(POTABLE_NONPOTABLE_API[[#This Row],[PWSID]], CW_PWSID_LIST, 0)), "")</f>
        <v>No</v>
      </c>
    </row>
    <row r="1638" spans="1:24" x14ac:dyDescent="0.25">
      <c r="A1638" t="s">
        <v>1169</v>
      </c>
      <c r="B1638" t="s">
        <v>1170</v>
      </c>
      <c r="C1638" t="s">
        <v>1171</v>
      </c>
      <c r="D1638" t="s">
        <v>1172</v>
      </c>
      <c r="E1638" s="9">
        <v>45231</v>
      </c>
      <c r="F1638" s="9">
        <v>45260</v>
      </c>
      <c r="G1638">
        <v>12081032.31948</v>
      </c>
      <c r="H1638">
        <v>0</v>
      </c>
      <c r="I1638">
        <v>22240569.64838</v>
      </c>
      <c r="J1638">
        <v>0</v>
      </c>
      <c r="K1638">
        <v>15462.234840000001</v>
      </c>
      <c r="L1638">
        <v>0</v>
      </c>
      <c r="M1638">
        <v>0</v>
      </c>
      <c r="T1638" s="9">
        <v>45108</v>
      </c>
      <c r="U1638" s="9">
        <v>45473</v>
      </c>
      <c r="V1638">
        <f>SUM(POTABLE_NONPOTABLE_API[[#This Row],[RESIDENTIAL_SINGLEFAMILY_GAL]:[OTHER_GAL]])</f>
        <v>34337064.202699997</v>
      </c>
      <c r="W1638">
        <f>SUM(POTABLE_NONPOTABLE_API[[#This Row],[NONPOTABLE_DEMAND_RESIDENTIAL_RECYCLED_WATER_GAL]:[NONPOTABLE_DEMAND_NONRESIDENTIAL_METERED_IRRIGATION_GAL]])</f>
        <v>0</v>
      </c>
      <c r="X1638" t="str">
        <f>IFERROR(INDEX(Crosswalk_API!$H$2:$H$527, MATCH(POTABLE_NONPOTABLE_API[[#This Row],[PWSID]], CW_PWSID_LIST, 0)), "")</f>
        <v>No</v>
      </c>
    </row>
    <row r="1639" spans="1:24" x14ac:dyDescent="0.25">
      <c r="A1639" t="s">
        <v>1169</v>
      </c>
      <c r="B1639" t="s">
        <v>1170</v>
      </c>
      <c r="C1639" t="s">
        <v>1171</v>
      </c>
      <c r="D1639" t="s">
        <v>1172</v>
      </c>
      <c r="E1639" s="9">
        <v>45261</v>
      </c>
      <c r="F1639" s="9">
        <v>45291</v>
      </c>
      <c r="G1639">
        <v>12483379.5682</v>
      </c>
      <c r="H1639">
        <v>0</v>
      </c>
      <c r="I1639">
        <v>21590276.824000001</v>
      </c>
      <c r="J1639">
        <v>0</v>
      </c>
      <c r="K1639">
        <v>16240.208920000001</v>
      </c>
      <c r="L1639">
        <v>0</v>
      </c>
      <c r="M1639">
        <v>0</v>
      </c>
      <c r="T1639" s="9">
        <v>45108</v>
      </c>
      <c r="U1639" s="9">
        <v>45473</v>
      </c>
      <c r="V1639">
        <f>SUM(POTABLE_NONPOTABLE_API[[#This Row],[RESIDENTIAL_SINGLEFAMILY_GAL]:[OTHER_GAL]])</f>
        <v>34089896.601120003</v>
      </c>
      <c r="W1639">
        <f>SUM(POTABLE_NONPOTABLE_API[[#This Row],[NONPOTABLE_DEMAND_RESIDENTIAL_RECYCLED_WATER_GAL]:[NONPOTABLE_DEMAND_NONRESIDENTIAL_METERED_IRRIGATION_GAL]])</f>
        <v>0</v>
      </c>
      <c r="X1639" t="str">
        <f>IFERROR(INDEX(Crosswalk_API!$H$2:$H$527, MATCH(POTABLE_NONPOTABLE_API[[#This Row],[PWSID]], CW_PWSID_LIST, 0)), "")</f>
        <v>No</v>
      </c>
    </row>
    <row r="1640" spans="1:24" x14ac:dyDescent="0.25">
      <c r="A1640" t="s">
        <v>1169</v>
      </c>
      <c r="B1640" t="s">
        <v>1170</v>
      </c>
      <c r="C1640" t="s">
        <v>1171</v>
      </c>
      <c r="D1640" t="s">
        <v>1172</v>
      </c>
      <c r="E1640" s="9">
        <v>45292</v>
      </c>
      <c r="F1640" s="9">
        <v>45322</v>
      </c>
      <c r="G1640">
        <v>13393646.644400001</v>
      </c>
      <c r="H1640">
        <v>0</v>
      </c>
      <c r="I1640">
        <v>21176544.223839998</v>
      </c>
      <c r="J1640">
        <v>0</v>
      </c>
      <c r="K1640">
        <v>23264.417200000004</v>
      </c>
      <c r="L1640">
        <v>0</v>
      </c>
      <c r="M1640">
        <v>0</v>
      </c>
      <c r="T1640" s="9">
        <v>45108</v>
      </c>
      <c r="U1640" s="9">
        <v>45473</v>
      </c>
      <c r="V1640">
        <f>SUM(POTABLE_NONPOTABLE_API[[#This Row],[RESIDENTIAL_SINGLEFAMILY_GAL]:[OTHER_GAL]])</f>
        <v>34593455.285439998</v>
      </c>
      <c r="W1640">
        <f>SUM(POTABLE_NONPOTABLE_API[[#This Row],[NONPOTABLE_DEMAND_RESIDENTIAL_RECYCLED_WATER_GAL]:[NONPOTABLE_DEMAND_NONRESIDENTIAL_METERED_IRRIGATION_GAL]])</f>
        <v>0</v>
      </c>
      <c r="X1640" t="str">
        <f>IFERROR(INDEX(Crosswalk_API!$H$2:$H$527, MATCH(POTABLE_NONPOTABLE_API[[#This Row],[PWSID]], CW_PWSID_LIST, 0)), "")</f>
        <v>No</v>
      </c>
    </row>
    <row r="1641" spans="1:24" x14ac:dyDescent="0.25">
      <c r="A1641" t="s">
        <v>1169</v>
      </c>
      <c r="B1641" t="s">
        <v>1170</v>
      </c>
      <c r="C1641" t="s">
        <v>1171</v>
      </c>
      <c r="D1641" t="s">
        <v>1172</v>
      </c>
      <c r="E1641" s="9">
        <v>45323</v>
      </c>
      <c r="F1641" s="9">
        <v>45351</v>
      </c>
      <c r="G1641">
        <v>13451710.440640001</v>
      </c>
      <c r="H1641">
        <v>0</v>
      </c>
      <c r="I1641">
        <v>24317883.870560002</v>
      </c>
      <c r="J1641">
        <v>0</v>
      </c>
      <c r="K1641">
        <v>644962.95388000004</v>
      </c>
      <c r="L1641">
        <v>0</v>
      </c>
      <c r="M1641">
        <v>0</v>
      </c>
      <c r="T1641" s="9">
        <v>45108</v>
      </c>
      <c r="U1641" s="9">
        <v>45473</v>
      </c>
      <c r="V1641">
        <f>SUM(POTABLE_NONPOTABLE_API[[#This Row],[RESIDENTIAL_SINGLEFAMILY_GAL]:[OTHER_GAL]])</f>
        <v>38414557.265079997</v>
      </c>
      <c r="W1641">
        <f>SUM(POTABLE_NONPOTABLE_API[[#This Row],[NONPOTABLE_DEMAND_RESIDENTIAL_RECYCLED_WATER_GAL]:[NONPOTABLE_DEMAND_NONRESIDENTIAL_METERED_IRRIGATION_GAL]])</f>
        <v>0</v>
      </c>
      <c r="X1641" t="str">
        <f>IFERROR(INDEX(Crosswalk_API!$H$2:$H$527, MATCH(POTABLE_NONPOTABLE_API[[#This Row],[PWSID]], CW_PWSID_LIST, 0)), "")</f>
        <v>No</v>
      </c>
    </row>
    <row r="1642" spans="1:24" x14ac:dyDescent="0.25">
      <c r="A1642" t="s">
        <v>1169</v>
      </c>
      <c r="B1642" t="s">
        <v>1170</v>
      </c>
      <c r="C1642" t="s">
        <v>1171</v>
      </c>
      <c r="D1642" t="s">
        <v>1172</v>
      </c>
      <c r="E1642" s="9">
        <v>45352</v>
      </c>
      <c r="F1642" s="9">
        <v>45382</v>
      </c>
      <c r="G1642">
        <v>11629485.690720001</v>
      </c>
      <c r="H1642">
        <v>0</v>
      </c>
      <c r="I1642">
        <v>20377856.58396</v>
      </c>
      <c r="J1642">
        <v>0</v>
      </c>
      <c r="K1642">
        <v>25598.33944</v>
      </c>
      <c r="L1642">
        <v>0</v>
      </c>
      <c r="M1642">
        <v>0</v>
      </c>
      <c r="T1642" s="9">
        <v>45108</v>
      </c>
      <c r="U1642" s="9">
        <v>45473</v>
      </c>
      <c r="V1642">
        <f>SUM(POTABLE_NONPOTABLE_API[[#This Row],[RESIDENTIAL_SINGLEFAMILY_GAL]:[OTHER_GAL]])</f>
        <v>32032940.614120003</v>
      </c>
      <c r="W1642">
        <f>SUM(POTABLE_NONPOTABLE_API[[#This Row],[NONPOTABLE_DEMAND_RESIDENTIAL_RECYCLED_WATER_GAL]:[NONPOTABLE_DEMAND_NONRESIDENTIAL_METERED_IRRIGATION_GAL]])</f>
        <v>0</v>
      </c>
      <c r="X1642" t="str">
        <f>IFERROR(INDEX(Crosswalk_API!$H$2:$H$527, MATCH(POTABLE_NONPOTABLE_API[[#This Row],[PWSID]], CW_PWSID_LIST, 0)), "")</f>
        <v>No</v>
      </c>
    </row>
    <row r="1643" spans="1:24" x14ac:dyDescent="0.25">
      <c r="A1643" t="s">
        <v>1169</v>
      </c>
      <c r="B1643" t="s">
        <v>1170</v>
      </c>
      <c r="C1643" t="s">
        <v>1171</v>
      </c>
      <c r="D1643" t="s">
        <v>1172</v>
      </c>
      <c r="E1643" s="9">
        <v>45383</v>
      </c>
      <c r="F1643" s="9">
        <v>45412</v>
      </c>
      <c r="G1643">
        <v>13456714.90852</v>
      </c>
      <c r="H1643">
        <v>0</v>
      </c>
      <c r="I1643">
        <v>20559663.142039999</v>
      </c>
      <c r="J1643">
        <v>0</v>
      </c>
      <c r="K1643">
        <v>45287.068079999997</v>
      </c>
      <c r="L1643">
        <v>0</v>
      </c>
      <c r="M1643">
        <v>0</v>
      </c>
      <c r="T1643" s="9">
        <v>45108</v>
      </c>
      <c r="U1643" s="9">
        <v>45473</v>
      </c>
      <c r="V1643">
        <f>SUM(POTABLE_NONPOTABLE_API[[#This Row],[RESIDENTIAL_SINGLEFAMILY_GAL]:[OTHER_GAL]])</f>
        <v>34061665.118639998</v>
      </c>
      <c r="W1643">
        <f>SUM(POTABLE_NONPOTABLE_API[[#This Row],[NONPOTABLE_DEMAND_RESIDENTIAL_RECYCLED_WATER_GAL]:[NONPOTABLE_DEMAND_NONRESIDENTIAL_METERED_IRRIGATION_GAL]])</f>
        <v>0</v>
      </c>
      <c r="X1643" t="str">
        <f>IFERROR(INDEX(Crosswalk_API!$H$2:$H$527, MATCH(POTABLE_NONPOTABLE_API[[#This Row],[PWSID]], CW_PWSID_LIST, 0)), "")</f>
        <v>No</v>
      </c>
    </row>
    <row r="1644" spans="1:24" x14ac:dyDescent="0.25">
      <c r="A1644" t="s">
        <v>1169</v>
      </c>
      <c r="B1644" t="s">
        <v>1170</v>
      </c>
      <c r="C1644" t="s">
        <v>1171</v>
      </c>
      <c r="D1644" t="s">
        <v>1172</v>
      </c>
      <c r="E1644" s="9">
        <v>45413</v>
      </c>
      <c r="F1644" s="9">
        <v>45443</v>
      </c>
      <c r="G1644">
        <v>14380431.95968</v>
      </c>
      <c r="H1644">
        <v>0</v>
      </c>
      <c r="I1644">
        <v>21611297.085200001</v>
      </c>
      <c r="J1644">
        <v>0</v>
      </c>
      <c r="K1644">
        <v>22404.1574</v>
      </c>
      <c r="L1644">
        <v>0</v>
      </c>
      <c r="M1644">
        <v>0</v>
      </c>
      <c r="T1644" s="9">
        <v>45108</v>
      </c>
      <c r="U1644" s="9">
        <v>45473</v>
      </c>
      <c r="V1644">
        <f>SUM(POTABLE_NONPOTABLE_API[[#This Row],[RESIDENTIAL_SINGLEFAMILY_GAL]:[OTHER_GAL]])</f>
        <v>36014133.20228</v>
      </c>
      <c r="W1644">
        <f>SUM(POTABLE_NONPOTABLE_API[[#This Row],[NONPOTABLE_DEMAND_RESIDENTIAL_RECYCLED_WATER_GAL]:[NONPOTABLE_DEMAND_NONRESIDENTIAL_METERED_IRRIGATION_GAL]])</f>
        <v>0</v>
      </c>
      <c r="X1644" t="str">
        <f>IFERROR(INDEX(Crosswalk_API!$H$2:$H$527, MATCH(POTABLE_NONPOTABLE_API[[#This Row],[PWSID]], CW_PWSID_LIST, 0)), "")</f>
        <v>No</v>
      </c>
    </row>
    <row r="1645" spans="1:24" x14ac:dyDescent="0.25">
      <c r="A1645" t="s">
        <v>1169</v>
      </c>
      <c r="B1645" t="s">
        <v>1170</v>
      </c>
      <c r="C1645" t="s">
        <v>1171</v>
      </c>
      <c r="D1645" t="s">
        <v>1172</v>
      </c>
      <c r="E1645" s="9">
        <v>45444</v>
      </c>
      <c r="F1645" s="9">
        <v>45473</v>
      </c>
      <c r="G1645">
        <v>16831342.051959999</v>
      </c>
      <c r="H1645">
        <v>0</v>
      </c>
      <c r="I1645">
        <v>22694356.692880001</v>
      </c>
      <c r="J1645">
        <v>0</v>
      </c>
      <c r="K1645">
        <v>12679.481400000001</v>
      </c>
      <c r="L1645">
        <v>0</v>
      </c>
      <c r="M1645">
        <v>0</v>
      </c>
      <c r="T1645" s="9">
        <v>45108</v>
      </c>
      <c r="U1645" s="9">
        <v>45473</v>
      </c>
      <c r="V1645">
        <f>SUM(POTABLE_NONPOTABLE_API[[#This Row],[RESIDENTIAL_SINGLEFAMILY_GAL]:[OTHER_GAL]])</f>
        <v>39538378.226239994</v>
      </c>
      <c r="W1645">
        <f>SUM(POTABLE_NONPOTABLE_API[[#This Row],[NONPOTABLE_DEMAND_RESIDENTIAL_RECYCLED_WATER_GAL]:[NONPOTABLE_DEMAND_NONRESIDENTIAL_METERED_IRRIGATION_GAL]])</f>
        <v>0</v>
      </c>
      <c r="X1645" t="str">
        <f>IFERROR(INDEX(Crosswalk_API!$H$2:$H$527, MATCH(POTABLE_NONPOTABLE_API[[#This Row],[PWSID]], CW_PWSID_LIST, 0)), "")</f>
        <v>No</v>
      </c>
    </row>
    <row r="1646" spans="1:24" x14ac:dyDescent="0.25">
      <c r="A1646" t="s">
        <v>1174</v>
      </c>
      <c r="B1646" t="s">
        <v>1175</v>
      </c>
      <c r="C1646" t="s">
        <v>1176</v>
      </c>
      <c r="D1646" t="s">
        <v>1177</v>
      </c>
      <c r="E1646" s="9">
        <v>45108</v>
      </c>
      <c r="F1646" s="9">
        <v>45138</v>
      </c>
      <c r="G1646">
        <v>53196454.740000002</v>
      </c>
      <c r="H1646">
        <v>20653123.579999998</v>
      </c>
      <c r="I1646">
        <v>7544497.2000000002</v>
      </c>
      <c r="J1646">
        <v>5328144.91</v>
      </c>
      <c r="K1646">
        <v>0</v>
      </c>
      <c r="L1646">
        <v>0</v>
      </c>
      <c r="M1646">
        <v>0</v>
      </c>
      <c r="T1646" s="9">
        <v>45108</v>
      </c>
      <c r="U1646" s="9">
        <v>45473</v>
      </c>
      <c r="V1646">
        <f>SUM(POTABLE_NONPOTABLE_API[[#This Row],[RESIDENTIAL_SINGLEFAMILY_GAL]:[OTHER_GAL]])</f>
        <v>86722220.429999992</v>
      </c>
      <c r="W1646">
        <f>SUM(POTABLE_NONPOTABLE_API[[#This Row],[NONPOTABLE_DEMAND_RESIDENTIAL_RECYCLED_WATER_GAL]:[NONPOTABLE_DEMAND_NONRESIDENTIAL_METERED_IRRIGATION_GAL]])</f>
        <v>0</v>
      </c>
      <c r="X1646" t="str">
        <f>IFERROR(INDEX(Crosswalk_API!$H$2:$H$527, MATCH(POTABLE_NONPOTABLE_API[[#This Row],[PWSID]], CW_PWSID_LIST, 0)), "")</f>
        <v>No</v>
      </c>
    </row>
    <row r="1647" spans="1:24" x14ac:dyDescent="0.25">
      <c r="A1647" t="s">
        <v>1174</v>
      </c>
      <c r="B1647" t="s">
        <v>1175</v>
      </c>
      <c r="C1647" t="s">
        <v>1176</v>
      </c>
      <c r="D1647" t="s">
        <v>1177</v>
      </c>
      <c r="E1647" s="9">
        <v>45139</v>
      </c>
      <c r="F1647" s="9">
        <v>45169</v>
      </c>
      <c r="G1647">
        <v>65344145.159999996</v>
      </c>
      <c r="H1647">
        <v>20665622.75</v>
      </c>
      <c r="I1647">
        <v>8368442.29</v>
      </c>
      <c r="J1647">
        <v>5645623.75</v>
      </c>
      <c r="K1647">
        <v>0</v>
      </c>
      <c r="L1647">
        <v>0</v>
      </c>
      <c r="M1647">
        <v>0</v>
      </c>
      <c r="T1647" s="9">
        <v>45108</v>
      </c>
      <c r="U1647" s="9">
        <v>45473</v>
      </c>
      <c r="V1647">
        <f>SUM(POTABLE_NONPOTABLE_API[[#This Row],[RESIDENTIAL_SINGLEFAMILY_GAL]:[OTHER_GAL]])</f>
        <v>100023833.95</v>
      </c>
      <c r="W1647">
        <f>SUM(POTABLE_NONPOTABLE_API[[#This Row],[NONPOTABLE_DEMAND_RESIDENTIAL_RECYCLED_WATER_GAL]:[NONPOTABLE_DEMAND_NONRESIDENTIAL_METERED_IRRIGATION_GAL]])</f>
        <v>0</v>
      </c>
      <c r="X1647" t="str">
        <f>IFERROR(INDEX(Crosswalk_API!$H$2:$H$527, MATCH(POTABLE_NONPOTABLE_API[[#This Row],[PWSID]], CW_PWSID_LIST, 0)), "")</f>
        <v>No</v>
      </c>
    </row>
    <row r="1648" spans="1:24" x14ac:dyDescent="0.25">
      <c r="A1648" t="s">
        <v>1174</v>
      </c>
      <c r="B1648" t="s">
        <v>1175</v>
      </c>
      <c r="C1648" t="s">
        <v>1176</v>
      </c>
      <c r="D1648" t="s">
        <v>1177</v>
      </c>
      <c r="E1648" s="9">
        <v>45170</v>
      </c>
      <c r="F1648" s="9">
        <v>45199</v>
      </c>
      <c r="G1648">
        <v>68256451.069999993</v>
      </c>
      <c r="H1648">
        <v>21748550.579999998</v>
      </c>
      <c r="I1648">
        <v>9222385.3800000008</v>
      </c>
      <c r="J1648">
        <v>5870108.79</v>
      </c>
      <c r="K1648">
        <v>0</v>
      </c>
      <c r="L1648">
        <v>0</v>
      </c>
      <c r="M1648">
        <v>0</v>
      </c>
      <c r="T1648" s="9">
        <v>45108</v>
      </c>
      <c r="U1648" s="9">
        <v>45473</v>
      </c>
      <c r="V1648">
        <f>SUM(POTABLE_NONPOTABLE_API[[#This Row],[RESIDENTIAL_SINGLEFAMILY_GAL]:[OTHER_GAL]])</f>
        <v>105097495.81999999</v>
      </c>
      <c r="W1648">
        <f>SUM(POTABLE_NONPOTABLE_API[[#This Row],[NONPOTABLE_DEMAND_RESIDENTIAL_RECYCLED_WATER_GAL]:[NONPOTABLE_DEMAND_NONRESIDENTIAL_METERED_IRRIGATION_GAL]])</f>
        <v>0</v>
      </c>
      <c r="X1648" t="str">
        <f>IFERROR(INDEX(Crosswalk_API!$H$2:$H$527, MATCH(POTABLE_NONPOTABLE_API[[#This Row],[PWSID]], CW_PWSID_LIST, 0)), "")</f>
        <v>No</v>
      </c>
    </row>
    <row r="1649" spans="1:24" x14ac:dyDescent="0.25">
      <c r="A1649" t="s">
        <v>1174</v>
      </c>
      <c r="B1649" t="s">
        <v>1175</v>
      </c>
      <c r="C1649" t="s">
        <v>1176</v>
      </c>
      <c r="D1649" t="s">
        <v>1177</v>
      </c>
      <c r="E1649" s="9">
        <v>45200</v>
      </c>
      <c r="F1649" s="9">
        <v>45230</v>
      </c>
      <c r="G1649">
        <v>60309480.700000003</v>
      </c>
      <c r="H1649">
        <v>21579561.84</v>
      </c>
      <c r="I1649">
        <v>8194453.8799999999</v>
      </c>
      <c r="J1649">
        <v>5722618.6200000001</v>
      </c>
      <c r="K1649">
        <v>0</v>
      </c>
      <c r="L1649">
        <v>0</v>
      </c>
      <c r="M1649">
        <v>0</v>
      </c>
      <c r="T1649" s="9">
        <v>45108</v>
      </c>
      <c r="U1649" s="9">
        <v>45473</v>
      </c>
      <c r="V1649">
        <f>SUM(POTABLE_NONPOTABLE_API[[#This Row],[RESIDENTIAL_SINGLEFAMILY_GAL]:[OTHER_GAL]])</f>
        <v>95806115.040000007</v>
      </c>
      <c r="W1649">
        <f>SUM(POTABLE_NONPOTABLE_API[[#This Row],[NONPOTABLE_DEMAND_RESIDENTIAL_RECYCLED_WATER_GAL]:[NONPOTABLE_DEMAND_NONRESIDENTIAL_METERED_IRRIGATION_GAL]])</f>
        <v>0</v>
      </c>
      <c r="X1649" t="str">
        <f>IFERROR(INDEX(Crosswalk_API!$H$2:$H$527, MATCH(POTABLE_NONPOTABLE_API[[#This Row],[PWSID]], CW_PWSID_LIST, 0)), "")</f>
        <v>No</v>
      </c>
    </row>
    <row r="1650" spans="1:24" x14ac:dyDescent="0.25">
      <c r="A1650" t="s">
        <v>1174</v>
      </c>
      <c r="B1650" t="s">
        <v>1175</v>
      </c>
      <c r="C1650" t="s">
        <v>1176</v>
      </c>
      <c r="D1650" t="s">
        <v>1177</v>
      </c>
      <c r="E1650" s="9">
        <v>45231</v>
      </c>
      <c r="F1650" s="9">
        <v>45260</v>
      </c>
      <c r="G1650">
        <v>57720653.229999997</v>
      </c>
      <c r="H1650">
        <v>21577062</v>
      </c>
      <c r="I1650">
        <v>7882474.6799999997</v>
      </c>
      <c r="J1650">
        <v>6335577.7699999996</v>
      </c>
      <c r="K1650">
        <v>0</v>
      </c>
      <c r="L1650">
        <v>499.97</v>
      </c>
      <c r="M1650">
        <v>0</v>
      </c>
      <c r="T1650" s="9">
        <v>45108</v>
      </c>
      <c r="U1650" s="9">
        <v>45473</v>
      </c>
      <c r="V1650">
        <f>SUM(POTABLE_NONPOTABLE_API[[#This Row],[RESIDENTIAL_SINGLEFAMILY_GAL]:[OTHER_GAL]])</f>
        <v>93516267.649999991</v>
      </c>
      <c r="W1650">
        <f>SUM(POTABLE_NONPOTABLE_API[[#This Row],[NONPOTABLE_DEMAND_RESIDENTIAL_RECYCLED_WATER_GAL]:[NONPOTABLE_DEMAND_NONRESIDENTIAL_METERED_IRRIGATION_GAL]])</f>
        <v>0</v>
      </c>
      <c r="X1650" t="str">
        <f>IFERROR(INDEX(Crosswalk_API!$H$2:$H$527, MATCH(POTABLE_NONPOTABLE_API[[#This Row],[PWSID]], CW_PWSID_LIST, 0)), "")</f>
        <v>No</v>
      </c>
    </row>
    <row r="1651" spans="1:24" x14ac:dyDescent="0.25">
      <c r="A1651" t="s">
        <v>1174</v>
      </c>
      <c r="B1651" t="s">
        <v>1175</v>
      </c>
      <c r="C1651" t="s">
        <v>1176</v>
      </c>
      <c r="D1651" t="s">
        <v>1177</v>
      </c>
      <c r="E1651" s="9">
        <v>45261</v>
      </c>
      <c r="F1651" s="9">
        <v>45291</v>
      </c>
      <c r="G1651">
        <v>56405240.890000001</v>
      </c>
      <c r="H1651">
        <v>21630558.440000001</v>
      </c>
      <c r="I1651">
        <v>7659489.54</v>
      </c>
      <c r="J1651">
        <v>6883041.2800000003</v>
      </c>
      <c r="K1651">
        <v>0</v>
      </c>
      <c r="L1651">
        <v>499.97</v>
      </c>
      <c r="M1651">
        <v>0</v>
      </c>
      <c r="T1651" s="9">
        <v>45108</v>
      </c>
      <c r="U1651" s="9">
        <v>45473</v>
      </c>
      <c r="V1651">
        <f>SUM(POTABLE_NONPOTABLE_API[[#This Row],[RESIDENTIAL_SINGLEFAMILY_GAL]:[OTHER_GAL]])</f>
        <v>92578830.120000005</v>
      </c>
      <c r="W1651">
        <f>SUM(POTABLE_NONPOTABLE_API[[#This Row],[NONPOTABLE_DEMAND_RESIDENTIAL_RECYCLED_WATER_GAL]:[NONPOTABLE_DEMAND_NONRESIDENTIAL_METERED_IRRIGATION_GAL]])</f>
        <v>0</v>
      </c>
      <c r="X1651" t="str">
        <f>IFERROR(INDEX(Crosswalk_API!$H$2:$H$527, MATCH(POTABLE_NONPOTABLE_API[[#This Row],[PWSID]], CW_PWSID_LIST, 0)), "")</f>
        <v>No</v>
      </c>
    </row>
    <row r="1652" spans="1:24" x14ac:dyDescent="0.25">
      <c r="A1652" t="s">
        <v>1174</v>
      </c>
      <c r="B1652" t="s">
        <v>1175</v>
      </c>
      <c r="C1652" t="s">
        <v>1176</v>
      </c>
      <c r="D1652" t="s">
        <v>1177</v>
      </c>
      <c r="E1652" s="9">
        <v>45292</v>
      </c>
      <c r="F1652" s="9">
        <v>45322</v>
      </c>
      <c r="G1652">
        <v>48063620.450000003</v>
      </c>
      <c r="H1652">
        <v>28195779.219999999</v>
      </c>
      <c r="I1652">
        <v>8855244.7699999996</v>
      </c>
      <c r="J1652">
        <v>5929520.6399999997</v>
      </c>
      <c r="K1652">
        <v>0</v>
      </c>
      <c r="L1652">
        <v>249.98</v>
      </c>
      <c r="M1652">
        <v>0</v>
      </c>
      <c r="T1652" s="9">
        <v>45108</v>
      </c>
      <c r="U1652" s="9">
        <v>45473</v>
      </c>
      <c r="V1652">
        <f>SUM(POTABLE_NONPOTABLE_API[[#This Row],[RESIDENTIAL_SINGLEFAMILY_GAL]:[OTHER_GAL]])</f>
        <v>91044415.060000002</v>
      </c>
      <c r="W1652">
        <f>SUM(POTABLE_NONPOTABLE_API[[#This Row],[NONPOTABLE_DEMAND_RESIDENTIAL_RECYCLED_WATER_GAL]:[NONPOTABLE_DEMAND_NONRESIDENTIAL_METERED_IRRIGATION_GAL]])</f>
        <v>0</v>
      </c>
      <c r="X1652" t="str">
        <f>IFERROR(INDEX(Crosswalk_API!$H$2:$H$527, MATCH(POTABLE_NONPOTABLE_API[[#This Row],[PWSID]], CW_PWSID_LIST, 0)), "")</f>
        <v>No</v>
      </c>
    </row>
    <row r="1653" spans="1:24" x14ac:dyDescent="0.25">
      <c r="A1653" t="s">
        <v>1174</v>
      </c>
      <c r="B1653" t="s">
        <v>1175</v>
      </c>
      <c r="C1653" t="s">
        <v>1176</v>
      </c>
      <c r="D1653" t="s">
        <v>1177</v>
      </c>
      <c r="E1653" s="9">
        <v>45323</v>
      </c>
      <c r="F1653" s="9">
        <v>45351</v>
      </c>
      <c r="G1653">
        <v>42574000</v>
      </c>
      <c r="H1653">
        <v>19352500</v>
      </c>
      <c r="I1653">
        <v>5705500</v>
      </c>
      <c r="J1653">
        <v>2829000</v>
      </c>
      <c r="K1653">
        <v>0</v>
      </c>
      <c r="L1653">
        <v>0</v>
      </c>
      <c r="M1653">
        <v>0</v>
      </c>
      <c r="T1653" s="9">
        <v>45108</v>
      </c>
      <c r="U1653" s="9">
        <v>45473</v>
      </c>
      <c r="V1653">
        <f>SUM(POTABLE_NONPOTABLE_API[[#This Row],[RESIDENTIAL_SINGLEFAMILY_GAL]:[OTHER_GAL]])</f>
        <v>70461000</v>
      </c>
      <c r="W1653">
        <f>SUM(POTABLE_NONPOTABLE_API[[#This Row],[NONPOTABLE_DEMAND_RESIDENTIAL_RECYCLED_WATER_GAL]:[NONPOTABLE_DEMAND_NONRESIDENTIAL_METERED_IRRIGATION_GAL]])</f>
        <v>0</v>
      </c>
      <c r="X1653" t="str">
        <f>IFERROR(INDEX(Crosswalk_API!$H$2:$H$527, MATCH(POTABLE_NONPOTABLE_API[[#This Row],[PWSID]], CW_PWSID_LIST, 0)), "")</f>
        <v>No</v>
      </c>
    </row>
    <row r="1654" spans="1:24" x14ac:dyDescent="0.25">
      <c r="A1654" t="s">
        <v>1174</v>
      </c>
      <c r="B1654" t="s">
        <v>1175</v>
      </c>
      <c r="C1654" t="s">
        <v>1176</v>
      </c>
      <c r="D1654" t="s">
        <v>1177</v>
      </c>
      <c r="E1654" s="9">
        <v>45352</v>
      </c>
      <c r="F1654" s="9">
        <v>45382</v>
      </c>
      <c r="G1654">
        <v>39734500</v>
      </c>
      <c r="H1654">
        <v>17764000</v>
      </c>
      <c r="I1654">
        <v>5008000</v>
      </c>
      <c r="J1654">
        <v>1410500</v>
      </c>
      <c r="K1654">
        <v>0</v>
      </c>
      <c r="L1654">
        <v>0</v>
      </c>
      <c r="M1654">
        <v>0</v>
      </c>
      <c r="T1654" s="9">
        <v>45108</v>
      </c>
      <c r="U1654" s="9">
        <v>45473</v>
      </c>
      <c r="V1654">
        <f>SUM(POTABLE_NONPOTABLE_API[[#This Row],[RESIDENTIAL_SINGLEFAMILY_GAL]:[OTHER_GAL]])</f>
        <v>63917000</v>
      </c>
      <c r="W1654">
        <f>SUM(POTABLE_NONPOTABLE_API[[#This Row],[NONPOTABLE_DEMAND_RESIDENTIAL_RECYCLED_WATER_GAL]:[NONPOTABLE_DEMAND_NONRESIDENTIAL_METERED_IRRIGATION_GAL]])</f>
        <v>0</v>
      </c>
      <c r="X1654" t="str">
        <f>IFERROR(INDEX(Crosswalk_API!$H$2:$H$527, MATCH(POTABLE_NONPOTABLE_API[[#This Row],[PWSID]], CW_PWSID_LIST, 0)), "")</f>
        <v>No</v>
      </c>
    </row>
    <row r="1655" spans="1:24" x14ac:dyDescent="0.25">
      <c r="A1655" t="s">
        <v>1174</v>
      </c>
      <c r="B1655" t="s">
        <v>1175</v>
      </c>
      <c r="C1655" t="s">
        <v>1176</v>
      </c>
      <c r="D1655" t="s">
        <v>1177</v>
      </c>
      <c r="E1655" s="9">
        <v>45383</v>
      </c>
      <c r="F1655" s="9">
        <v>45412</v>
      </c>
      <c r="G1655">
        <v>39618500</v>
      </c>
      <c r="H1655">
        <v>17795500</v>
      </c>
      <c r="I1655">
        <v>4906000</v>
      </c>
      <c r="J1655">
        <v>1277500</v>
      </c>
      <c r="K1655">
        <v>0</v>
      </c>
      <c r="L1655">
        <v>0</v>
      </c>
      <c r="M1655">
        <v>0</v>
      </c>
      <c r="T1655" s="9">
        <v>45108</v>
      </c>
      <c r="U1655" s="9">
        <v>45473</v>
      </c>
      <c r="V1655">
        <f>SUM(POTABLE_NONPOTABLE_API[[#This Row],[RESIDENTIAL_SINGLEFAMILY_GAL]:[OTHER_GAL]])</f>
        <v>63597500</v>
      </c>
      <c r="W1655">
        <f>SUM(POTABLE_NONPOTABLE_API[[#This Row],[NONPOTABLE_DEMAND_RESIDENTIAL_RECYCLED_WATER_GAL]:[NONPOTABLE_DEMAND_NONRESIDENTIAL_METERED_IRRIGATION_GAL]])</f>
        <v>0</v>
      </c>
      <c r="X1655" t="str">
        <f>IFERROR(INDEX(Crosswalk_API!$H$2:$H$527, MATCH(POTABLE_NONPOTABLE_API[[#This Row],[PWSID]], CW_PWSID_LIST, 0)), "")</f>
        <v>No</v>
      </c>
    </row>
    <row r="1656" spans="1:24" x14ac:dyDescent="0.25">
      <c r="A1656" t="s">
        <v>1174</v>
      </c>
      <c r="B1656" t="s">
        <v>1175</v>
      </c>
      <c r="C1656" t="s">
        <v>1176</v>
      </c>
      <c r="D1656" t="s">
        <v>1177</v>
      </c>
      <c r="E1656" s="9">
        <v>45413</v>
      </c>
      <c r="F1656" s="9">
        <v>45443</v>
      </c>
      <c r="G1656">
        <v>41446000</v>
      </c>
      <c r="H1656">
        <v>17040000</v>
      </c>
      <c r="I1656">
        <v>10693000</v>
      </c>
      <c r="J1656">
        <v>939000</v>
      </c>
      <c r="K1656">
        <v>0</v>
      </c>
      <c r="L1656">
        <v>500</v>
      </c>
      <c r="M1656">
        <v>0</v>
      </c>
      <c r="T1656" s="9">
        <v>45108</v>
      </c>
      <c r="U1656" s="9">
        <v>45473</v>
      </c>
      <c r="V1656">
        <f>SUM(POTABLE_NONPOTABLE_API[[#This Row],[RESIDENTIAL_SINGLEFAMILY_GAL]:[OTHER_GAL]])</f>
        <v>70118500</v>
      </c>
      <c r="W1656">
        <f>SUM(POTABLE_NONPOTABLE_API[[#This Row],[NONPOTABLE_DEMAND_RESIDENTIAL_RECYCLED_WATER_GAL]:[NONPOTABLE_DEMAND_NONRESIDENTIAL_METERED_IRRIGATION_GAL]])</f>
        <v>0</v>
      </c>
      <c r="X1656" t="str">
        <f>IFERROR(INDEX(Crosswalk_API!$H$2:$H$527, MATCH(POTABLE_NONPOTABLE_API[[#This Row],[PWSID]], CW_PWSID_LIST, 0)), "")</f>
        <v>No</v>
      </c>
    </row>
    <row r="1657" spans="1:24" x14ac:dyDescent="0.25">
      <c r="A1657" t="s">
        <v>1174</v>
      </c>
      <c r="B1657" t="s">
        <v>1175</v>
      </c>
      <c r="C1657" t="s">
        <v>1176</v>
      </c>
      <c r="D1657" t="s">
        <v>1177</v>
      </c>
      <c r="E1657" s="9">
        <v>45444</v>
      </c>
      <c r="F1657" s="9">
        <v>45473</v>
      </c>
      <c r="G1657">
        <v>50797500</v>
      </c>
      <c r="H1657">
        <v>17346500</v>
      </c>
      <c r="I1657">
        <v>11468500</v>
      </c>
      <c r="J1657">
        <v>1423500</v>
      </c>
      <c r="K1657">
        <v>0</v>
      </c>
      <c r="L1657">
        <v>500</v>
      </c>
      <c r="M1657">
        <v>0</v>
      </c>
      <c r="T1657" s="9">
        <v>45108</v>
      </c>
      <c r="U1657" s="9">
        <v>45473</v>
      </c>
      <c r="V1657">
        <f>SUM(POTABLE_NONPOTABLE_API[[#This Row],[RESIDENTIAL_SINGLEFAMILY_GAL]:[OTHER_GAL]])</f>
        <v>81036500</v>
      </c>
      <c r="W1657">
        <f>SUM(POTABLE_NONPOTABLE_API[[#This Row],[NONPOTABLE_DEMAND_RESIDENTIAL_RECYCLED_WATER_GAL]:[NONPOTABLE_DEMAND_NONRESIDENTIAL_METERED_IRRIGATION_GAL]])</f>
        <v>0</v>
      </c>
      <c r="X1657" t="str">
        <f>IFERROR(INDEX(Crosswalk_API!$H$2:$H$527, MATCH(POTABLE_NONPOTABLE_API[[#This Row],[PWSID]], CW_PWSID_LIST, 0)), "")</f>
        <v>No</v>
      </c>
    </row>
    <row r="1658" spans="1:24" x14ac:dyDescent="0.25">
      <c r="A1658" t="s">
        <v>1178</v>
      </c>
      <c r="B1658" t="s">
        <v>1179</v>
      </c>
      <c r="C1658" t="s">
        <v>1180</v>
      </c>
      <c r="D1658" t="s">
        <v>1181</v>
      </c>
      <c r="E1658" s="9">
        <v>45108</v>
      </c>
      <c r="F1658" s="9">
        <v>45138</v>
      </c>
      <c r="G1658">
        <v>12884447.648</v>
      </c>
      <c r="H1658">
        <v>415168.86</v>
      </c>
      <c r="I1658">
        <v>3168748.2719999999</v>
      </c>
      <c r="J1658">
        <v>0</v>
      </c>
      <c r="K1658">
        <v>0</v>
      </c>
      <c r="L1658">
        <v>0</v>
      </c>
      <c r="M1658">
        <v>0</v>
      </c>
      <c r="T1658" s="9">
        <v>45108</v>
      </c>
      <c r="U1658" s="9">
        <v>45473</v>
      </c>
      <c r="V1658">
        <f>SUM(POTABLE_NONPOTABLE_API[[#This Row],[RESIDENTIAL_SINGLEFAMILY_GAL]:[OTHER_GAL]])</f>
        <v>16468364.779999999</v>
      </c>
      <c r="W1658">
        <f>SUM(POTABLE_NONPOTABLE_API[[#This Row],[NONPOTABLE_DEMAND_RESIDENTIAL_RECYCLED_WATER_GAL]:[NONPOTABLE_DEMAND_NONRESIDENTIAL_METERED_IRRIGATION_GAL]])</f>
        <v>0</v>
      </c>
      <c r="X1658" t="str">
        <f>IFERROR(INDEX(Crosswalk_API!$H$2:$H$527, MATCH(POTABLE_NONPOTABLE_API[[#This Row],[PWSID]], CW_PWSID_LIST, 0)), "")</f>
        <v>No</v>
      </c>
    </row>
    <row r="1659" spans="1:24" x14ac:dyDescent="0.25">
      <c r="A1659" t="s">
        <v>1178</v>
      </c>
      <c r="B1659" t="s">
        <v>1179</v>
      </c>
      <c r="C1659" t="s">
        <v>1180</v>
      </c>
      <c r="D1659" t="s">
        <v>1181</v>
      </c>
      <c r="E1659" s="9">
        <v>45139</v>
      </c>
      <c r="F1659" s="9">
        <v>45169</v>
      </c>
      <c r="G1659">
        <v>16106307.612</v>
      </c>
      <c r="H1659">
        <v>504187.04800000001</v>
      </c>
      <c r="I1659">
        <v>3481434.0079999999</v>
      </c>
      <c r="J1659">
        <v>0</v>
      </c>
      <c r="K1659">
        <v>0</v>
      </c>
      <c r="L1659">
        <v>0</v>
      </c>
      <c r="M1659">
        <v>0</v>
      </c>
      <c r="T1659" s="9">
        <v>45108</v>
      </c>
      <c r="U1659" s="9">
        <v>45473</v>
      </c>
      <c r="V1659">
        <f>SUM(POTABLE_NONPOTABLE_API[[#This Row],[RESIDENTIAL_SINGLEFAMILY_GAL]:[OTHER_GAL]])</f>
        <v>20091928.668000001</v>
      </c>
      <c r="W1659">
        <f>SUM(POTABLE_NONPOTABLE_API[[#This Row],[NONPOTABLE_DEMAND_RESIDENTIAL_RECYCLED_WATER_GAL]:[NONPOTABLE_DEMAND_NONRESIDENTIAL_METERED_IRRIGATION_GAL]])</f>
        <v>0</v>
      </c>
      <c r="X1659" t="str">
        <f>IFERROR(INDEX(Crosswalk_API!$H$2:$H$527, MATCH(POTABLE_NONPOTABLE_API[[#This Row],[PWSID]], CW_PWSID_LIST, 0)), "")</f>
        <v>No</v>
      </c>
    </row>
    <row r="1660" spans="1:24" x14ac:dyDescent="0.25">
      <c r="A1660" t="s">
        <v>1178</v>
      </c>
      <c r="B1660" t="s">
        <v>1179</v>
      </c>
      <c r="C1660" t="s">
        <v>1180</v>
      </c>
      <c r="D1660" t="s">
        <v>1181</v>
      </c>
      <c r="E1660" s="9">
        <v>45170</v>
      </c>
      <c r="F1660" s="9">
        <v>45199</v>
      </c>
      <c r="G1660">
        <v>14043928.248</v>
      </c>
      <c r="H1660">
        <v>511667.56800000003</v>
      </c>
      <c r="I1660">
        <v>3095439.176</v>
      </c>
      <c r="J1660">
        <v>0</v>
      </c>
      <c r="K1660">
        <v>0</v>
      </c>
      <c r="L1660">
        <v>0</v>
      </c>
      <c r="M1660">
        <v>0</v>
      </c>
      <c r="T1660" s="9">
        <v>45108</v>
      </c>
      <c r="U1660" s="9">
        <v>45473</v>
      </c>
      <c r="V1660">
        <f>SUM(POTABLE_NONPOTABLE_API[[#This Row],[RESIDENTIAL_SINGLEFAMILY_GAL]:[OTHER_GAL]])</f>
        <v>17651034.991999999</v>
      </c>
      <c r="W1660">
        <f>SUM(POTABLE_NONPOTABLE_API[[#This Row],[NONPOTABLE_DEMAND_RESIDENTIAL_RECYCLED_WATER_GAL]:[NONPOTABLE_DEMAND_NONRESIDENTIAL_METERED_IRRIGATION_GAL]])</f>
        <v>0</v>
      </c>
      <c r="X1660" t="str">
        <f>IFERROR(INDEX(Crosswalk_API!$H$2:$H$527, MATCH(POTABLE_NONPOTABLE_API[[#This Row],[PWSID]], CW_PWSID_LIST, 0)), "")</f>
        <v>No</v>
      </c>
    </row>
    <row r="1661" spans="1:24" x14ac:dyDescent="0.25">
      <c r="A1661" t="s">
        <v>1178</v>
      </c>
      <c r="B1661" t="s">
        <v>1179</v>
      </c>
      <c r="C1661" t="s">
        <v>1180</v>
      </c>
      <c r="D1661" t="s">
        <v>1181</v>
      </c>
      <c r="E1661" s="9">
        <v>45200</v>
      </c>
      <c r="F1661" s="9">
        <v>45230</v>
      </c>
      <c r="G1661">
        <v>12749798.288000001</v>
      </c>
      <c r="H1661">
        <v>483241.592</v>
      </c>
      <c r="I1661">
        <v>2628654.7280000001</v>
      </c>
      <c r="J1661">
        <v>0</v>
      </c>
      <c r="K1661">
        <v>0</v>
      </c>
      <c r="L1661">
        <v>0</v>
      </c>
      <c r="M1661">
        <v>0</v>
      </c>
      <c r="T1661" s="9">
        <v>45108</v>
      </c>
      <c r="U1661" s="9">
        <v>45473</v>
      </c>
      <c r="V1661">
        <f>SUM(POTABLE_NONPOTABLE_API[[#This Row],[RESIDENTIAL_SINGLEFAMILY_GAL]:[OTHER_GAL]])</f>
        <v>15861694.608000001</v>
      </c>
      <c r="W1661">
        <f>SUM(POTABLE_NONPOTABLE_API[[#This Row],[NONPOTABLE_DEMAND_RESIDENTIAL_RECYCLED_WATER_GAL]:[NONPOTABLE_DEMAND_NONRESIDENTIAL_METERED_IRRIGATION_GAL]])</f>
        <v>0</v>
      </c>
      <c r="X1661" t="str">
        <f>IFERROR(INDEX(Crosswalk_API!$H$2:$H$527, MATCH(POTABLE_NONPOTABLE_API[[#This Row],[PWSID]], CW_PWSID_LIST, 0)), "")</f>
        <v>No</v>
      </c>
    </row>
    <row r="1662" spans="1:24" x14ac:dyDescent="0.25">
      <c r="A1662" t="s">
        <v>1178</v>
      </c>
      <c r="B1662" t="s">
        <v>1179</v>
      </c>
      <c r="C1662" t="s">
        <v>1180</v>
      </c>
      <c r="D1662" t="s">
        <v>1181</v>
      </c>
      <c r="E1662" s="9">
        <v>45231</v>
      </c>
      <c r="F1662" s="9">
        <v>45260</v>
      </c>
      <c r="G1662">
        <v>12669008.672</v>
      </c>
      <c r="H1662">
        <v>455563.66800000001</v>
      </c>
      <c r="I1662">
        <v>2256872.8840000001</v>
      </c>
      <c r="J1662">
        <v>0</v>
      </c>
      <c r="K1662">
        <v>0</v>
      </c>
      <c r="L1662">
        <v>0</v>
      </c>
      <c r="M1662">
        <v>0</v>
      </c>
      <c r="T1662" s="9">
        <v>45108</v>
      </c>
      <c r="U1662" s="9">
        <v>45473</v>
      </c>
      <c r="V1662">
        <f>SUM(POTABLE_NONPOTABLE_API[[#This Row],[RESIDENTIAL_SINGLEFAMILY_GAL]:[OTHER_GAL]])</f>
        <v>15381445.223999999</v>
      </c>
      <c r="W1662">
        <f>SUM(POTABLE_NONPOTABLE_API[[#This Row],[NONPOTABLE_DEMAND_RESIDENTIAL_RECYCLED_WATER_GAL]:[NONPOTABLE_DEMAND_NONRESIDENTIAL_METERED_IRRIGATION_GAL]])</f>
        <v>0</v>
      </c>
      <c r="X1662" t="str">
        <f>IFERROR(INDEX(Crosswalk_API!$H$2:$H$527, MATCH(POTABLE_NONPOTABLE_API[[#This Row],[PWSID]], CW_PWSID_LIST, 0)), "")</f>
        <v>No</v>
      </c>
    </row>
    <row r="1663" spans="1:24" x14ac:dyDescent="0.25">
      <c r="A1663" t="s">
        <v>1178</v>
      </c>
      <c r="B1663" t="s">
        <v>1179</v>
      </c>
      <c r="C1663" t="s">
        <v>1180</v>
      </c>
      <c r="D1663" t="s">
        <v>1181</v>
      </c>
      <c r="E1663" s="9">
        <v>45261</v>
      </c>
      <c r="F1663" s="9">
        <v>45291</v>
      </c>
      <c r="G1663">
        <v>12030172.264</v>
      </c>
      <c r="H1663">
        <v>448831.2</v>
      </c>
      <c r="I1663">
        <v>1862275.4540000001</v>
      </c>
      <c r="J1663">
        <v>0</v>
      </c>
      <c r="K1663">
        <v>0</v>
      </c>
      <c r="L1663">
        <v>0</v>
      </c>
      <c r="M1663">
        <v>0</v>
      </c>
      <c r="T1663" s="9">
        <v>45108</v>
      </c>
      <c r="U1663" s="9">
        <v>45473</v>
      </c>
      <c r="V1663">
        <f>SUM(POTABLE_NONPOTABLE_API[[#This Row],[RESIDENTIAL_SINGLEFAMILY_GAL]:[OTHER_GAL]])</f>
        <v>14341278.918</v>
      </c>
      <c r="W1663">
        <f>SUM(POTABLE_NONPOTABLE_API[[#This Row],[NONPOTABLE_DEMAND_RESIDENTIAL_RECYCLED_WATER_GAL]:[NONPOTABLE_DEMAND_NONRESIDENTIAL_METERED_IRRIGATION_GAL]])</f>
        <v>0</v>
      </c>
      <c r="X1663" t="str">
        <f>IFERROR(INDEX(Crosswalk_API!$H$2:$H$527, MATCH(POTABLE_NONPOTABLE_API[[#This Row],[PWSID]], CW_PWSID_LIST, 0)), "")</f>
        <v>No</v>
      </c>
    </row>
    <row r="1664" spans="1:24" x14ac:dyDescent="0.25">
      <c r="A1664" t="s">
        <v>1178</v>
      </c>
      <c r="B1664" t="s">
        <v>1179</v>
      </c>
      <c r="C1664" t="s">
        <v>1180</v>
      </c>
      <c r="D1664" t="s">
        <v>1181</v>
      </c>
      <c r="E1664" s="9">
        <v>45292</v>
      </c>
      <c r="F1664" s="9">
        <v>45322</v>
      </c>
      <c r="G1664">
        <v>12048125.512</v>
      </c>
      <c r="H1664">
        <v>414420.80800000002</v>
      </c>
      <c r="I1664">
        <v>1301610.48</v>
      </c>
      <c r="J1664">
        <v>0</v>
      </c>
      <c r="K1664">
        <v>0</v>
      </c>
      <c r="L1664">
        <v>0</v>
      </c>
      <c r="M1664">
        <v>0</v>
      </c>
      <c r="T1664" s="9">
        <v>45108</v>
      </c>
      <c r="U1664" s="9">
        <v>45473</v>
      </c>
      <c r="V1664">
        <f>SUM(POTABLE_NONPOTABLE_API[[#This Row],[RESIDENTIAL_SINGLEFAMILY_GAL]:[OTHER_GAL]])</f>
        <v>13764156.800000001</v>
      </c>
      <c r="W1664">
        <f>SUM(POTABLE_NONPOTABLE_API[[#This Row],[NONPOTABLE_DEMAND_RESIDENTIAL_RECYCLED_WATER_GAL]:[NONPOTABLE_DEMAND_NONRESIDENTIAL_METERED_IRRIGATION_GAL]])</f>
        <v>0</v>
      </c>
      <c r="X1664" t="str">
        <f>IFERROR(INDEX(Crosswalk_API!$H$2:$H$527, MATCH(POTABLE_NONPOTABLE_API[[#This Row],[PWSID]], CW_PWSID_LIST, 0)), "")</f>
        <v>No</v>
      </c>
    </row>
    <row r="1665" spans="1:24" x14ac:dyDescent="0.25">
      <c r="A1665" t="s">
        <v>1178</v>
      </c>
      <c r="B1665" t="s">
        <v>1179</v>
      </c>
      <c r="C1665" t="s">
        <v>1180</v>
      </c>
      <c r="D1665" t="s">
        <v>1181</v>
      </c>
      <c r="E1665" s="9">
        <v>45323</v>
      </c>
      <c r="F1665" s="9">
        <v>45351</v>
      </c>
      <c r="G1665">
        <v>11897767.060000001</v>
      </c>
      <c r="H1665">
        <v>396467.56</v>
      </c>
      <c r="I1665">
        <v>1137787.0919999999</v>
      </c>
      <c r="J1665">
        <v>0</v>
      </c>
      <c r="K1665">
        <v>0</v>
      </c>
      <c r="L1665">
        <v>0</v>
      </c>
      <c r="M1665">
        <v>0</v>
      </c>
      <c r="T1665" s="9">
        <v>45108</v>
      </c>
      <c r="U1665" s="9">
        <v>45473</v>
      </c>
      <c r="V1665">
        <f>SUM(POTABLE_NONPOTABLE_API[[#This Row],[RESIDENTIAL_SINGLEFAMILY_GAL]:[OTHER_GAL]])</f>
        <v>13432021.712000001</v>
      </c>
      <c r="W1665">
        <f>SUM(POTABLE_NONPOTABLE_API[[#This Row],[NONPOTABLE_DEMAND_RESIDENTIAL_RECYCLED_WATER_GAL]:[NONPOTABLE_DEMAND_NONRESIDENTIAL_METERED_IRRIGATION_GAL]])</f>
        <v>0</v>
      </c>
      <c r="X1665" t="str">
        <f>IFERROR(INDEX(Crosswalk_API!$H$2:$H$527, MATCH(POTABLE_NONPOTABLE_API[[#This Row],[PWSID]], CW_PWSID_LIST, 0)), "")</f>
        <v>No</v>
      </c>
    </row>
    <row r="1666" spans="1:24" x14ac:dyDescent="0.25">
      <c r="A1666" t="s">
        <v>1178</v>
      </c>
      <c r="B1666" t="s">
        <v>1179</v>
      </c>
      <c r="C1666" t="s">
        <v>1180</v>
      </c>
      <c r="D1666" t="s">
        <v>1181</v>
      </c>
      <c r="E1666" s="9">
        <v>45352</v>
      </c>
      <c r="F1666" s="9">
        <v>45382</v>
      </c>
      <c r="G1666">
        <v>13509071.068</v>
      </c>
      <c r="H1666">
        <v>365797.42800000001</v>
      </c>
      <c r="I1666">
        <v>1218576.7080000001</v>
      </c>
      <c r="J1666">
        <v>0</v>
      </c>
      <c r="K1666">
        <v>0</v>
      </c>
      <c r="L1666">
        <v>0</v>
      </c>
      <c r="M1666">
        <v>0</v>
      </c>
      <c r="T1666" s="9">
        <v>45108</v>
      </c>
      <c r="U1666" s="9">
        <v>45473</v>
      </c>
      <c r="V1666">
        <f>SUM(POTABLE_NONPOTABLE_API[[#This Row],[RESIDENTIAL_SINGLEFAMILY_GAL]:[OTHER_GAL]])</f>
        <v>15093445.204</v>
      </c>
      <c r="W1666">
        <f>SUM(POTABLE_NONPOTABLE_API[[#This Row],[NONPOTABLE_DEMAND_RESIDENTIAL_RECYCLED_WATER_GAL]:[NONPOTABLE_DEMAND_NONRESIDENTIAL_METERED_IRRIGATION_GAL]])</f>
        <v>0</v>
      </c>
      <c r="X1666" t="str">
        <f>IFERROR(INDEX(Crosswalk_API!$H$2:$H$527, MATCH(POTABLE_NONPOTABLE_API[[#This Row],[PWSID]], CW_PWSID_LIST, 0)), "")</f>
        <v>No</v>
      </c>
    </row>
    <row r="1667" spans="1:24" x14ac:dyDescent="0.25">
      <c r="A1667" t="s">
        <v>1178</v>
      </c>
      <c r="B1667" t="s">
        <v>1179</v>
      </c>
      <c r="C1667" t="s">
        <v>1180</v>
      </c>
      <c r="D1667" t="s">
        <v>1181</v>
      </c>
      <c r="E1667" s="9">
        <v>45383</v>
      </c>
      <c r="F1667" s="9">
        <v>45412</v>
      </c>
      <c r="G1667">
        <v>11152707.268000001</v>
      </c>
      <c r="H1667">
        <v>398711.71600000001</v>
      </c>
      <c r="I1667">
        <v>1272436.452</v>
      </c>
      <c r="J1667">
        <v>0</v>
      </c>
      <c r="K1667">
        <v>0</v>
      </c>
      <c r="L1667">
        <v>0</v>
      </c>
      <c r="M1667">
        <v>0</v>
      </c>
      <c r="T1667" s="9">
        <v>45108</v>
      </c>
      <c r="U1667" s="9">
        <v>45473</v>
      </c>
      <c r="V1667">
        <f>SUM(POTABLE_NONPOTABLE_API[[#This Row],[RESIDENTIAL_SINGLEFAMILY_GAL]:[OTHER_GAL]])</f>
        <v>12823855.436000001</v>
      </c>
      <c r="W1667">
        <f>SUM(POTABLE_NONPOTABLE_API[[#This Row],[NONPOTABLE_DEMAND_RESIDENTIAL_RECYCLED_WATER_GAL]:[NONPOTABLE_DEMAND_NONRESIDENTIAL_METERED_IRRIGATION_GAL]])</f>
        <v>0</v>
      </c>
      <c r="X1667" t="str">
        <f>IFERROR(INDEX(Crosswalk_API!$H$2:$H$527, MATCH(POTABLE_NONPOTABLE_API[[#This Row],[PWSID]], CW_PWSID_LIST, 0)), "")</f>
        <v>No</v>
      </c>
    </row>
    <row r="1668" spans="1:24" x14ac:dyDescent="0.25">
      <c r="A1668" t="s">
        <v>1178</v>
      </c>
      <c r="B1668" t="s">
        <v>1179</v>
      </c>
      <c r="C1668" t="s">
        <v>1180</v>
      </c>
      <c r="D1668" t="s">
        <v>1181</v>
      </c>
      <c r="E1668" s="9">
        <v>45413</v>
      </c>
      <c r="F1668" s="9">
        <v>45443</v>
      </c>
      <c r="G1668">
        <v>11264167.016000001</v>
      </c>
      <c r="H1668">
        <v>381506.52</v>
      </c>
      <c r="I1668">
        <v>1742213.108</v>
      </c>
      <c r="J1668">
        <v>0</v>
      </c>
      <c r="K1668">
        <v>0</v>
      </c>
      <c r="L1668">
        <v>0</v>
      </c>
      <c r="M1668">
        <v>0</v>
      </c>
      <c r="T1668" s="9">
        <v>45108</v>
      </c>
      <c r="U1668" s="9">
        <v>45473</v>
      </c>
      <c r="V1668">
        <f>SUM(POTABLE_NONPOTABLE_API[[#This Row],[RESIDENTIAL_SINGLEFAMILY_GAL]:[OTHER_GAL]])</f>
        <v>13387886.644000001</v>
      </c>
      <c r="W1668">
        <f>SUM(POTABLE_NONPOTABLE_API[[#This Row],[NONPOTABLE_DEMAND_RESIDENTIAL_RECYCLED_WATER_GAL]:[NONPOTABLE_DEMAND_NONRESIDENTIAL_METERED_IRRIGATION_GAL]])</f>
        <v>0</v>
      </c>
      <c r="X1668" t="str">
        <f>IFERROR(INDEX(Crosswalk_API!$H$2:$H$527, MATCH(POTABLE_NONPOTABLE_API[[#This Row],[PWSID]], CW_PWSID_LIST, 0)), "")</f>
        <v>No</v>
      </c>
    </row>
    <row r="1669" spans="1:24" x14ac:dyDescent="0.25">
      <c r="A1669" t="s">
        <v>1178</v>
      </c>
      <c r="B1669" t="s">
        <v>1179</v>
      </c>
      <c r="C1669" t="s">
        <v>1180</v>
      </c>
      <c r="D1669" t="s">
        <v>1181</v>
      </c>
      <c r="E1669" s="9">
        <v>45444</v>
      </c>
      <c r="F1669" s="9">
        <v>45473</v>
      </c>
      <c r="G1669">
        <v>13687855.496000001</v>
      </c>
      <c r="H1669">
        <v>425641.58799999999</v>
      </c>
      <c r="I1669">
        <v>2209745.608</v>
      </c>
      <c r="J1669">
        <v>0</v>
      </c>
      <c r="K1669">
        <v>0</v>
      </c>
      <c r="L1669">
        <v>0</v>
      </c>
      <c r="M1669">
        <v>0</v>
      </c>
      <c r="T1669" s="9">
        <v>45108</v>
      </c>
      <c r="U1669" s="9">
        <v>45473</v>
      </c>
      <c r="V1669">
        <f>SUM(POTABLE_NONPOTABLE_API[[#This Row],[RESIDENTIAL_SINGLEFAMILY_GAL]:[OTHER_GAL]])</f>
        <v>16323242.692000002</v>
      </c>
      <c r="W1669">
        <f>SUM(POTABLE_NONPOTABLE_API[[#This Row],[NONPOTABLE_DEMAND_RESIDENTIAL_RECYCLED_WATER_GAL]:[NONPOTABLE_DEMAND_NONRESIDENTIAL_METERED_IRRIGATION_GAL]])</f>
        <v>0</v>
      </c>
      <c r="X1669" t="str">
        <f>IFERROR(INDEX(Crosswalk_API!$H$2:$H$527, MATCH(POTABLE_NONPOTABLE_API[[#This Row],[PWSID]], CW_PWSID_LIST, 0)), "")</f>
        <v>No</v>
      </c>
    </row>
    <row r="1670" spans="1:24" x14ac:dyDescent="0.25">
      <c r="A1670" t="s">
        <v>1182</v>
      </c>
      <c r="B1670" t="s">
        <v>1183</v>
      </c>
      <c r="C1670" t="s">
        <v>1184</v>
      </c>
      <c r="D1670" t="s">
        <v>1185</v>
      </c>
      <c r="E1670" s="9">
        <v>45108</v>
      </c>
      <c r="F1670" s="9">
        <v>45138</v>
      </c>
      <c r="G1670">
        <v>770347607.61000001</v>
      </c>
      <c r="H1670">
        <v>129545323.56</v>
      </c>
      <c r="I1670">
        <v>83851237.829999998</v>
      </c>
      <c r="J1670">
        <v>300636649.62</v>
      </c>
      <c r="K1670">
        <v>53762156.490000002</v>
      </c>
      <c r="L1670">
        <v>4278423.63</v>
      </c>
      <c r="M1670">
        <v>1208907.21</v>
      </c>
      <c r="N1670">
        <v>0</v>
      </c>
      <c r="O1670">
        <v>0</v>
      </c>
      <c r="P1670">
        <v>0</v>
      </c>
      <c r="Q1670">
        <v>46580400.449999996</v>
      </c>
      <c r="R1670">
        <v>0</v>
      </c>
      <c r="S1670">
        <v>0</v>
      </c>
      <c r="T1670" s="9">
        <v>45108</v>
      </c>
      <c r="U1670" s="9">
        <v>45473</v>
      </c>
      <c r="V1670">
        <f>SUM(POTABLE_NONPOTABLE_API[[#This Row],[RESIDENTIAL_SINGLEFAMILY_GAL]:[OTHER_GAL]])</f>
        <v>1342421398.7400002</v>
      </c>
      <c r="W1670">
        <f>SUM(POTABLE_NONPOTABLE_API[[#This Row],[NONPOTABLE_DEMAND_RESIDENTIAL_RECYCLED_WATER_GAL]:[NONPOTABLE_DEMAND_NONRESIDENTIAL_METERED_IRRIGATION_GAL]])</f>
        <v>46580400.449999996</v>
      </c>
      <c r="X1670" t="str">
        <f>IFERROR(INDEX(Crosswalk_API!$H$2:$H$527, MATCH(POTABLE_NONPOTABLE_API[[#This Row],[PWSID]], CW_PWSID_LIST, 0)), "")</f>
        <v>No</v>
      </c>
    </row>
    <row r="1671" spans="1:24" x14ac:dyDescent="0.25">
      <c r="A1671" t="s">
        <v>1182</v>
      </c>
      <c r="B1671" t="s">
        <v>1183</v>
      </c>
      <c r="C1671" t="s">
        <v>1184</v>
      </c>
      <c r="D1671" t="s">
        <v>1185</v>
      </c>
      <c r="E1671" s="9">
        <v>45139</v>
      </c>
      <c r="F1671" s="9">
        <v>45169</v>
      </c>
      <c r="G1671">
        <v>846391455.48000002</v>
      </c>
      <c r="H1671">
        <v>131321211.50999999</v>
      </c>
      <c r="I1671">
        <v>98762179.589999989</v>
      </c>
      <c r="J1671">
        <v>353978458.31999999</v>
      </c>
      <c r="K1671">
        <v>61308865.649999999</v>
      </c>
      <c r="L1671">
        <v>8488418.5500000007</v>
      </c>
      <c r="M1671">
        <v>977553</v>
      </c>
      <c r="N1671">
        <v>0</v>
      </c>
      <c r="O1671">
        <v>0</v>
      </c>
      <c r="P1671">
        <v>0</v>
      </c>
      <c r="Q1671">
        <v>40926885.600000001</v>
      </c>
      <c r="R1671">
        <v>0</v>
      </c>
      <c r="S1671">
        <v>0</v>
      </c>
      <c r="T1671" s="9">
        <v>45108</v>
      </c>
      <c r="U1671" s="9">
        <v>45473</v>
      </c>
      <c r="V1671">
        <f>SUM(POTABLE_NONPOTABLE_API[[#This Row],[RESIDENTIAL_SINGLEFAMILY_GAL]:[OTHER_GAL]])</f>
        <v>1500250589.0999999</v>
      </c>
      <c r="W1671">
        <f>SUM(POTABLE_NONPOTABLE_API[[#This Row],[NONPOTABLE_DEMAND_RESIDENTIAL_RECYCLED_WATER_GAL]:[NONPOTABLE_DEMAND_NONRESIDENTIAL_METERED_IRRIGATION_GAL]])</f>
        <v>40926885.600000001</v>
      </c>
      <c r="X1671" t="str">
        <f>IFERROR(INDEX(Crosswalk_API!$H$2:$H$527, MATCH(POTABLE_NONPOTABLE_API[[#This Row],[PWSID]], CW_PWSID_LIST, 0)), "")</f>
        <v>No</v>
      </c>
    </row>
    <row r="1672" spans="1:24" x14ac:dyDescent="0.25">
      <c r="A1672" t="s">
        <v>1182</v>
      </c>
      <c r="B1672" t="s">
        <v>1183</v>
      </c>
      <c r="C1672" t="s">
        <v>1184</v>
      </c>
      <c r="D1672" t="s">
        <v>1185</v>
      </c>
      <c r="E1672" s="9">
        <v>45170</v>
      </c>
      <c r="F1672" s="9">
        <v>45199</v>
      </c>
      <c r="G1672">
        <v>668848279.62</v>
      </c>
      <c r="H1672">
        <v>121790069.75999999</v>
      </c>
      <c r="I1672">
        <v>70840007.400000006</v>
      </c>
      <c r="J1672">
        <v>276331423.52999997</v>
      </c>
      <c r="K1672">
        <v>50917477.259999998</v>
      </c>
      <c r="L1672">
        <v>394279.70999999996</v>
      </c>
      <c r="M1672">
        <v>1339247.6100000001</v>
      </c>
      <c r="N1672">
        <v>0</v>
      </c>
      <c r="O1672">
        <v>0</v>
      </c>
      <c r="P1672">
        <v>0</v>
      </c>
      <c r="Q1672">
        <v>37013415.090000004</v>
      </c>
      <c r="R1672">
        <v>0</v>
      </c>
      <c r="S1672">
        <v>0</v>
      </c>
      <c r="T1672" s="9">
        <v>45108</v>
      </c>
      <c r="U1672" s="9">
        <v>45473</v>
      </c>
      <c r="V1672">
        <f>SUM(POTABLE_NONPOTABLE_API[[#This Row],[RESIDENTIAL_SINGLEFAMILY_GAL]:[OTHER_GAL]])</f>
        <v>1189121537.28</v>
      </c>
      <c r="W1672">
        <f>SUM(POTABLE_NONPOTABLE_API[[#This Row],[NONPOTABLE_DEMAND_RESIDENTIAL_RECYCLED_WATER_GAL]:[NONPOTABLE_DEMAND_NONRESIDENTIAL_METERED_IRRIGATION_GAL]])</f>
        <v>37013415.090000004</v>
      </c>
      <c r="X1672" t="str">
        <f>IFERROR(INDEX(Crosswalk_API!$H$2:$H$527, MATCH(POTABLE_NONPOTABLE_API[[#This Row],[PWSID]], CW_PWSID_LIST, 0)), "")</f>
        <v>No</v>
      </c>
    </row>
    <row r="1673" spans="1:24" x14ac:dyDescent="0.25">
      <c r="A1673" t="s">
        <v>1182</v>
      </c>
      <c r="B1673" t="s">
        <v>1183</v>
      </c>
      <c r="C1673" t="s">
        <v>1184</v>
      </c>
      <c r="D1673" t="s">
        <v>1185</v>
      </c>
      <c r="E1673" s="9">
        <v>45200</v>
      </c>
      <c r="F1673" s="9">
        <v>45230</v>
      </c>
      <c r="G1673">
        <v>681028590</v>
      </c>
      <c r="H1673">
        <v>124523959.64999999</v>
      </c>
      <c r="I1673">
        <v>82788963.569999993</v>
      </c>
      <c r="J1673">
        <v>242716634.37</v>
      </c>
      <c r="K1673">
        <v>53433046.979999997</v>
      </c>
      <c r="L1673">
        <v>3864592.86</v>
      </c>
      <c r="M1673">
        <v>573497.76</v>
      </c>
      <c r="N1673">
        <v>0</v>
      </c>
      <c r="O1673">
        <v>0</v>
      </c>
      <c r="P1673">
        <v>0</v>
      </c>
      <c r="Q1673">
        <v>32878365.900000002</v>
      </c>
      <c r="R1673">
        <v>0</v>
      </c>
      <c r="S1673">
        <v>0</v>
      </c>
      <c r="T1673" s="9">
        <v>45108</v>
      </c>
      <c r="U1673" s="9">
        <v>45473</v>
      </c>
      <c r="V1673">
        <f>SUM(POTABLE_NONPOTABLE_API[[#This Row],[RESIDENTIAL_SINGLEFAMILY_GAL]:[OTHER_GAL]])</f>
        <v>1188355787.4300001</v>
      </c>
      <c r="W1673">
        <f>SUM(POTABLE_NONPOTABLE_API[[#This Row],[NONPOTABLE_DEMAND_RESIDENTIAL_RECYCLED_WATER_GAL]:[NONPOTABLE_DEMAND_NONRESIDENTIAL_METERED_IRRIGATION_GAL]])</f>
        <v>32878365.900000002</v>
      </c>
      <c r="X1673" t="str">
        <f>IFERROR(INDEX(Crosswalk_API!$H$2:$H$527, MATCH(POTABLE_NONPOTABLE_API[[#This Row],[PWSID]], CW_PWSID_LIST, 0)), "")</f>
        <v>No</v>
      </c>
    </row>
    <row r="1674" spans="1:24" x14ac:dyDescent="0.25">
      <c r="A1674" t="s">
        <v>1182</v>
      </c>
      <c r="B1674" t="s">
        <v>1183</v>
      </c>
      <c r="C1674" t="s">
        <v>1184</v>
      </c>
      <c r="D1674" t="s">
        <v>1185</v>
      </c>
      <c r="E1674" s="9">
        <v>45231</v>
      </c>
      <c r="F1674" s="9">
        <v>45260</v>
      </c>
      <c r="G1674">
        <v>593547372.02999997</v>
      </c>
      <c r="H1674">
        <v>118590212.94</v>
      </c>
      <c r="I1674">
        <v>65838194.550000004</v>
      </c>
      <c r="J1674">
        <v>216166294.88999999</v>
      </c>
      <c r="K1674">
        <v>54019578.780000001</v>
      </c>
      <c r="L1674">
        <v>244388.25</v>
      </c>
      <c r="M1674">
        <v>827661.54</v>
      </c>
      <c r="N1674">
        <v>0</v>
      </c>
      <c r="O1674">
        <v>0</v>
      </c>
      <c r="P1674">
        <v>0</v>
      </c>
      <c r="Q1674">
        <v>30001101.569999997</v>
      </c>
      <c r="R1674">
        <v>0</v>
      </c>
      <c r="S1674">
        <v>0</v>
      </c>
      <c r="T1674" s="9">
        <v>45108</v>
      </c>
      <c r="U1674" s="9">
        <v>45473</v>
      </c>
      <c r="V1674">
        <f>SUM(POTABLE_NONPOTABLE_API[[#This Row],[RESIDENTIAL_SINGLEFAMILY_GAL]:[OTHER_GAL]])</f>
        <v>1048406041.4399999</v>
      </c>
      <c r="W1674">
        <f>SUM(POTABLE_NONPOTABLE_API[[#This Row],[NONPOTABLE_DEMAND_RESIDENTIAL_RECYCLED_WATER_GAL]:[NONPOTABLE_DEMAND_NONRESIDENTIAL_METERED_IRRIGATION_GAL]])</f>
        <v>30001101.569999997</v>
      </c>
      <c r="X1674" t="str">
        <f>IFERROR(INDEX(Crosswalk_API!$H$2:$H$527, MATCH(POTABLE_NONPOTABLE_API[[#This Row],[PWSID]], CW_PWSID_LIST, 0)), "")</f>
        <v>No</v>
      </c>
    </row>
    <row r="1675" spans="1:24" x14ac:dyDescent="0.25">
      <c r="A1675" t="s">
        <v>1182</v>
      </c>
      <c r="B1675" t="s">
        <v>1183</v>
      </c>
      <c r="C1675" t="s">
        <v>1184</v>
      </c>
      <c r="D1675" t="s">
        <v>1185</v>
      </c>
      <c r="E1675" s="9">
        <v>45261</v>
      </c>
      <c r="F1675" s="9">
        <v>45291</v>
      </c>
      <c r="G1675">
        <v>477723634.07999998</v>
      </c>
      <c r="H1675">
        <v>110349441.14999999</v>
      </c>
      <c r="I1675">
        <v>69986277.780000001</v>
      </c>
      <c r="J1675">
        <v>164355985.88999999</v>
      </c>
      <c r="K1675">
        <v>48196621.409999996</v>
      </c>
      <c r="L1675">
        <v>1521724.17</v>
      </c>
      <c r="M1675">
        <v>570239.25</v>
      </c>
      <c r="N1675">
        <v>0</v>
      </c>
      <c r="O1675">
        <v>0</v>
      </c>
      <c r="P1675">
        <v>0</v>
      </c>
      <c r="Q1675">
        <v>17608988.039999999</v>
      </c>
      <c r="R1675">
        <v>0</v>
      </c>
      <c r="S1675">
        <v>0</v>
      </c>
      <c r="T1675" s="9">
        <v>45108</v>
      </c>
      <c r="U1675" s="9">
        <v>45473</v>
      </c>
      <c r="V1675">
        <f>SUM(POTABLE_NONPOTABLE_API[[#This Row],[RESIDENTIAL_SINGLEFAMILY_GAL]:[OTHER_GAL]])</f>
        <v>872133684.4799999</v>
      </c>
      <c r="W1675">
        <f>SUM(POTABLE_NONPOTABLE_API[[#This Row],[NONPOTABLE_DEMAND_RESIDENTIAL_RECYCLED_WATER_GAL]:[NONPOTABLE_DEMAND_NONRESIDENTIAL_METERED_IRRIGATION_GAL]])</f>
        <v>17608988.039999999</v>
      </c>
      <c r="X1675" t="str">
        <f>IFERROR(INDEX(Crosswalk_API!$H$2:$H$527, MATCH(POTABLE_NONPOTABLE_API[[#This Row],[PWSID]], CW_PWSID_LIST, 0)), "")</f>
        <v>No</v>
      </c>
    </row>
    <row r="1676" spans="1:24" x14ac:dyDescent="0.25">
      <c r="A1676" t="s">
        <v>1182</v>
      </c>
      <c r="B1676" t="s">
        <v>1183</v>
      </c>
      <c r="C1676" t="s">
        <v>1184</v>
      </c>
      <c r="D1676" t="s">
        <v>1185</v>
      </c>
      <c r="E1676" s="9">
        <v>45292</v>
      </c>
      <c r="F1676" s="9">
        <v>45322</v>
      </c>
      <c r="G1676">
        <v>509849800</v>
      </c>
      <c r="H1676">
        <v>109387600</v>
      </c>
      <c r="I1676">
        <v>64414800</v>
      </c>
      <c r="J1676">
        <v>104425100</v>
      </c>
      <c r="K1676">
        <v>40148700</v>
      </c>
      <c r="L1676">
        <v>1719000</v>
      </c>
      <c r="M1676">
        <v>187800</v>
      </c>
      <c r="N1676">
        <v>0</v>
      </c>
      <c r="O1676">
        <v>0</v>
      </c>
      <c r="P1676">
        <v>0</v>
      </c>
      <c r="Q1676">
        <v>11244000</v>
      </c>
      <c r="R1676">
        <v>0</v>
      </c>
      <c r="S1676">
        <v>0</v>
      </c>
      <c r="T1676" s="9">
        <v>45108</v>
      </c>
      <c r="U1676" s="9">
        <v>45473</v>
      </c>
      <c r="V1676">
        <f>SUM(POTABLE_NONPOTABLE_API[[#This Row],[RESIDENTIAL_SINGLEFAMILY_GAL]:[OTHER_GAL]])</f>
        <v>829945000</v>
      </c>
      <c r="W1676">
        <f>SUM(POTABLE_NONPOTABLE_API[[#This Row],[NONPOTABLE_DEMAND_RESIDENTIAL_RECYCLED_WATER_GAL]:[NONPOTABLE_DEMAND_NONRESIDENTIAL_METERED_IRRIGATION_GAL]])</f>
        <v>11244000</v>
      </c>
      <c r="X1676" t="str">
        <f>IFERROR(INDEX(Crosswalk_API!$H$2:$H$527, MATCH(POTABLE_NONPOTABLE_API[[#This Row],[PWSID]], CW_PWSID_LIST, 0)), "")</f>
        <v>No</v>
      </c>
    </row>
    <row r="1677" spans="1:24" x14ac:dyDescent="0.25">
      <c r="A1677" t="s">
        <v>1182</v>
      </c>
      <c r="B1677" t="s">
        <v>1183</v>
      </c>
      <c r="C1677" t="s">
        <v>1184</v>
      </c>
      <c r="D1677" t="s">
        <v>1185</v>
      </c>
      <c r="E1677" s="9">
        <v>45323</v>
      </c>
      <c r="F1677" s="9">
        <v>45351</v>
      </c>
      <c r="G1677">
        <v>268204300</v>
      </c>
      <c r="H1677">
        <v>100388600</v>
      </c>
      <c r="I1677">
        <v>53779700</v>
      </c>
      <c r="J1677">
        <v>53001700</v>
      </c>
      <c r="K1677">
        <v>48915100</v>
      </c>
      <c r="L1677">
        <v>9700</v>
      </c>
      <c r="M1677">
        <v>304500</v>
      </c>
      <c r="N1677">
        <v>0</v>
      </c>
      <c r="O1677">
        <v>0</v>
      </c>
      <c r="P1677">
        <v>0</v>
      </c>
      <c r="Q1677">
        <v>4182400</v>
      </c>
      <c r="R1677">
        <v>0</v>
      </c>
      <c r="S1677">
        <v>0</v>
      </c>
      <c r="T1677" s="9">
        <v>45108</v>
      </c>
      <c r="U1677" s="9">
        <v>45473</v>
      </c>
      <c r="V1677">
        <f>SUM(POTABLE_NONPOTABLE_API[[#This Row],[RESIDENTIAL_SINGLEFAMILY_GAL]:[OTHER_GAL]])</f>
        <v>524299100</v>
      </c>
      <c r="W1677">
        <f>SUM(POTABLE_NONPOTABLE_API[[#This Row],[NONPOTABLE_DEMAND_RESIDENTIAL_RECYCLED_WATER_GAL]:[NONPOTABLE_DEMAND_NONRESIDENTIAL_METERED_IRRIGATION_GAL]])</f>
        <v>4182400</v>
      </c>
      <c r="X1677" t="str">
        <f>IFERROR(INDEX(Crosswalk_API!$H$2:$H$527, MATCH(POTABLE_NONPOTABLE_API[[#This Row],[PWSID]], CW_PWSID_LIST, 0)), "")</f>
        <v>No</v>
      </c>
    </row>
    <row r="1678" spans="1:24" x14ac:dyDescent="0.25">
      <c r="A1678" t="s">
        <v>1182</v>
      </c>
      <c r="B1678" t="s">
        <v>1183</v>
      </c>
      <c r="C1678" t="s">
        <v>1184</v>
      </c>
      <c r="D1678" t="s">
        <v>1185</v>
      </c>
      <c r="E1678" s="9">
        <v>45352</v>
      </c>
      <c r="F1678" s="9">
        <v>45382</v>
      </c>
      <c r="G1678">
        <v>316591300</v>
      </c>
      <c r="H1678">
        <v>98734600</v>
      </c>
      <c r="I1678">
        <v>61620000</v>
      </c>
      <c r="J1678">
        <v>49125300</v>
      </c>
      <c r="K1678">
        <v>42218600</v>
      </c>
      <c r="L1678">
        <v>3600400</v>
      </c>
      <c r="M1678">
        <v>208000</v>
      </c>
      <c r="N1678">
        <v>0</v>
      </c>
      <c r="O1678">
        <v>0</v>
      </c>
      <c r="P1678">
        <v>0</v>
      </c>
      <c r="Q1678">
        <v>11009800</v>
      </c>
      <c r="R1678">
        <v>0</v>
      </c>
      <c r="S1678">
        <v>0</v>
      </c>
      <c r="T1678" s="9">
        <v>45108</v>
      </c>
      <c r="U1678" s="9">
        <v>45473</v>
      </c>
      <c r="V1678">
        <f>SUM(POTABLE_NONPOTABLE_API[[#This Row],[RESIDENTIAL_SINGLEFAMILY_GAL]:[OTHER_GAL]])</f>
        <v>571890200</v>
      </c>
      <c r="W1678">
        <f>SUM(POTABLE_NONPOTABLE_API[[#This Row],[NONPOTABLE_DEMAND_RESIDENTIAL_RECYCLED_WATER_GAL]:[NONPOTABLE_DEMAND_NONRESIDENTIAL_METERED_IRRIGATION_GAL]])</f>
        <v>11009800</v>
      </c>
      <c r="X1678" t="str">
        <f>IFERROR(INDEX(Crosswalk_API!$H$2:$H$527, MATCH(POTABLE_NONPOTABLE_API[[#This Row],[PWSID]], CW_PWSID_LIST, 0)), "")</f>
        <v>No</v>
      </c>
    </row>
    <row r="1679" spans="1:24" x14ac:dyDescent="0.25">
      <c r="A1679" t="s">
        <v>1182</v>
      </c>
      <c r="B1679" t="s">
        <v>1183</v>
      </c>
      <c r="C1679" t="s">
        <v>1184</v>
      </c>
      <c r="D1679" t="s">
        <v>1185</v>
      </c>
      <c r="E1679" s="9">
        <v>45383</v>
      </c>
      <c r="F1679" s="9">
        <v>45412</v>
      </c>
      <c r="G1679">
        <v>395920000</v>
      </c>
      <c r="H1679">
        <v>102620800</v>
      </c>
      <c r="I1679">
        <v>63004700</v>
      </c>
      <c r="J1679">
        <v>97991100</v>
      </c>
      <c r="K1679">
        <v>46514600</v>
      </c>
      <c r="L1679">
        <v>2238200</v>
      </c>
      <c r="M1679">
        <v>1119800</v>
      </c>
      <c r="N1679">
        <v>0</v>
      </c>
      <c r="O1679">
        <v>0</v>
      </c>
      <c r="P1679">
        <v>0</v>
      </c>
      <c r="Q1679">
        <v>18324300</v>
      </c>
      <c r="R1679">
        <v>0</v>
      </c>
      <c r="S1679">
        <v>0</v>
      </c>
      <c r="T1679" s="9">
        <v>45108</v>
      </c>
      <c r="U1679" s="9">
        <v>45473</v>
      </c>
      <c r="V1679">
        <f>SUM(POTABLE_NONPOTABLE_API[[#This Row],[RESIDENTIAL_SINGLEFAMILY_GAL]:[OTHER_GAL]])</f>
        <v>708289400</v>
      </c>
      <c r="W1679">
        <f>SUM(POTABLE_NONPOTABLE_API[[#This Row],[NONPOTABLE_DEMAND_RESIDENTIAL_RECYCLED_WATER_GAL]:[NONPOTABLE_DEMAND_NONRESIDENTIAL_METERED_IRRIGATION_GAL]])</f>
        <v>18324300</v>
      </c>
      <c r="X1679" t="str">
        <f>IFERROR(INDEX(Crosswalk_API!$H$2:$H$527, MATCH(POTABLE_NONPOTABLE_API[[#This Row],[PWSID]], CW_PWSID_LIST, 0)), "")</f>
        <v>No</v>
      </c>
    </row>
    <row r="1680" spans="1:24" x14ac:dyDescent="0.25">
      <c r="A1680" t="s">
        <v>1182</v>
      </c>
      <c r="B1680" t="s">
        <v>1183</v>
      </c>
      <c r="C1680" t="s">
        <v>1184</v>
      </c>
      <c r="D1680" t="s">
        <v>1185</v>
      </c>
      <c r="E1680" s="9">
        <v>45413</v>
      </c>
      <c r="F1680" s="9">
        <v>45443</v>
      </c>
      <c r="G1680">
        <v>447601400</v>
      </c>
      <c r="H1680">
        <v>109066700</v>
      </c>
      <c r="I1680">
        <v>59555400</v>
      </c>
      <c r="J1680">
        <v>172137200</v>
      </c>
      <c r="K1680">
        <v>45452400</v>
      </c>
      <c r="L1680">
        <v>1454200</v>
      </c>
      <c r="M1680">
        <v>1089900</v>
      </c>
      <c r="N1680">
        <v>0</v>
      </c>
      <c r="O1680">
        <v>0</v>
      </c>
      <c r="P1680">
        <v>0</v>
      </c>
      <c r="Q1680">
        <v>39555100</v>
      </c>
      <c r="R1680">
        <v>0</v>
      </c>
      <c r="S1680">
        <v>0</v>
      </c>
      <c r="T1680" s="9">
        <v>45108</v>
      </c>
      <c r="U1680" s="9">
        <v>45473</v>
      </c>
      <c r="V1680">
        <f>SUM(POTABLE_NONPOTABLE_API[[#This Row],[RESIDENTIAL_SINGLEFAMILY_GAL]:[OTHER_GAL]])</f>
        <v>835267300</v>
      </c>
      <c r="W1680">
        <f>SUM(POTABLE_NONPOTABLE_API[[#This Row],[NONPOTABLE_DEMAND_RESIDENTIAL_RECYCLED_WATER_GAL]:[NONPOTABLE_DEMAND_NONRESIDENTIAL_METERED_IRRIGATION_GAL]])</f>
        <v>39555100</v>
      </c>
      <c r="X1680" t="str">
        <f>IFERROR(INDEX(Crosswalk_API!$H$2:$H$527, MATCH(POTABLE_NONPOTABLE_API[[#This Row],[PWSID]], CW_PWSID_LIST, 0)), "")</f>
        <v>No</v>
      </c>
    </row>
    <row r="1681" spans="1:24" x14ac:dyDescent="0.25">
      <c r="A1681" t="s">
        <v>1182</v>
      </c>
      <c r="B1681" t="s">
        <v>1183</v>
      </c>
      <c r="C1681" t="s">
        <v>1184</v>
      </c>
      <c r="D1681" t="s">
        <v>1185</v>
      </c>
      <c r="E1681" s="9">
        <v>45444</v>
      </c>
      <c r="F1681" s="9">
        <v>45473</v>
      </c>
      <c r="G1681">
        <v>650473800</v>
      </c>
      <c r="H1681">
        <v>120283800</v>
      </c>
      <c r="I1681">
        <v>88222300</v>
      </c>
      <c r="J1681">
        <v>266913200</v>
      </c>
      <c r="K1681">
        <v>48042900</v>
      </c>
      <c r="L1681">
        <v>7349600</v>
      </c>
      <c r="M1681">
        <v>1066700</v>
      </c>
      <c r="N1681">
        <v>0</v>
      </c>
      <c r="O1681">
        <v>0</v>
      </c>
      <c r="P1681">
        <v>0</v>
      </c>
      <c r="Q1681">
        <v>41038900</v>
      </c>
      <c r="R1681">
        <v>0</v>
      </c>
      <c r="S1681">
        <v>0</v>
      </c>
      <c r="T1681" s="9">
        <v>45108</v>
      </c>
      <c r="U1681" s="9">
        <v>45473</v>
      </c>
      <c r="V1681">
        <f>SUM(POTABLE_NONPOTABLE_API[[#This Row],[RESIDENTIAL_SINGLEFAMILY_GAL]:[OTHER_GAL]])</f>
        <v>1181285600</v>
      </c>
      <c r="W1681">
        <f>SUM(POTABLE_NONPOTABLE_API[[#This Row],[NONPOTABLE_DEMAND_RESIDENTIAL_RECYCLED_WATER_GAL]:[NONPOTABLE_DEMAND_NONRESIDENTIAL_METERED_IRRIGATION_GAL]])</f>
        <v>41038900</v>
      </c>
      <c r="X1681" t="str">
        <f>IFERROR(INDEX(Crosswalk_API!$H$2:$H$527, MATCH(POTABLE_NONPOTABLE_API[[#This Row],[PWSID]], CW_PWSID_LIST, 0)), "")</f>
        <v>No</v>
      </c>
    </row>
    <row r="1682" spans="1:24" x14ac:dyDescent="0.25">
      <c r="A1682" t="s">
        <v>1186</v>
      </c>
      <c r="B1682" t="s">
        <v>1187</v>
      </c>
      <c r="C1682" t="s">
        <v>1188</v>
      </c>
      <c r="D1682" t="s">
        <v>1189</v>
      </c>
      <c r="E1682" s="9">
        <v>45108</v>
      </c>
      <c r="F1682" s="9">
        <v>45138</v>
      </c>
      <c r="G1682">
        <v>96430635.268000007</v>
      </c>
      <c r="H1682">
        <v>58550778.092</v>
      </c>
      <c r="I1682">
        <v>29334111.128000002</v>
      </c>
      <c r="J1682">
        <v>0</v>
      </c>
      <c r="K1682">
        <v>0</v>
      </c>
      <c r="L1682">
        <v>0</v>
      </c>
      <c r="M1682">
        <v>0</v>
      </c>
      <c r="N1682">
        <v>0</v>
      </c>
      <c r="O1682">
        <v>0</v>
      </c>
      <c r="P1682">
        <v>0</v>
      </c>
      <c r="Q1682">
        <v>18900000</v>
      </c>
      <c r="R1682">
        <v>0</v>
      </c>
      <c r="T1682" s="9">
        <v>45108</v>
      </c>
      <c r="U1682" s="9">
        <v>45473</v>
      </c>
      <c r="V1682">
        <f>SUM(POTABLE_NONPOTABLE_API[[#This Row],[RESIDENTIAL_SINGLEFAMILY_GAL]:[OTHER_GAL]])</f>
        <v>184315524.48800001</v>
      </c>
      <c r="W1682">
        <f>SUM(POTABLE_NONPOTABLE_API[[#This Row],[NONPOTABLE_DEMAND_RESIDENTIAL_RECYCLED_WATER_GAL]:[NONPOTABLE_DEMAND_NONRESIDENTIAL_METERED_IRRIGATION_GAL]])</f>
        <v>18900000</v>
      </c>
      <c r="X1682" t="str">
        <f>IFERROR(INDEX(Crosswalk_API!$H$2:$H$527, MATCH(POTABLE_NONPOTABLE_API[[#This Row],[PWSID]], CW_PWSID_LIST, 0)), "")</f>
        <v>No</v>
      </c>
    </row>
    <row r="1683" spans="1:24" x14ac:dyDescent="0.25">
      <c r="A1683" t="s">
        <v>1186</v>
      </c>
      <c r="B1683" t="s">
        <v>1187</v>
      </c>
      <c r="C1683" t="s">
        <v>1188</v>
      </c>
      <c r="D1683" t="s">
        <v>1189</v>
      </c>
      <c r="E1683" s="9">
        <v>45139</v>
      </c>
      <c r="F1683" s="9">
        <v>45169</v>
      </c>
      <c r="G1683">
        <v>77112192.368000001</v>
      </c>
      <c r="H1683">
        <v>28933155.256000001</v>
      </c>
      <c r="I1683">
        <v>24079045.828000002</v>
      </c>
      <c r="J1683">
        <v>0</v>
      </c>
      <c r="K1683">
        <v>0</v>
      </c>
      <c r="L1683">
        <v>0</v>
      </c>
      <c r="M1683">
        <v>0</v>
      </c>
      <c r="N1683">
        <v>0</v>
      </c>
      <c r="O1683">
        <v>0</v>
      </c>
      <c r="P1683">
        <v>0</v>
      </c>
      <c r="Q1683">
        <v>0</v>
      </c>
      <c r="R1683">
        <v>0</v>
      </c>
      <c r="S1683">
        <v>0</v>
      </c>
      <c r="T1683" s="9">
        <v>45108</v>
      </c>
      <c r="U1683" s="9">
        <v>45473</v>
      </c>
      <c r="V1683">
        <f>SUM(POTABLE_NONPOTABLE_API[[#This Row],[RESIDENTIAL_SINGLEFAMILY_GAL]:[OTHER_GAL]])</f>
        <v>130124393.45199999</v>
      </c>
      <c r="W1683">
        <f>SUM(POTABLE_NONPOTABLE_API[[#This Row],[NONPOTABLE_DEMAND_RESIDENTIAL_RECYCLED_WATER_GAL]:[NONPOTABLE_DEMAND_NONRESIDENTIAL_METERED_IRRIGATION_GAL]])</f>
        <v>0</v>
      </c>
      <c r="X1683" t="str">
        <f>IFERROR(INDEX(Crosswalk_API!$H$2:$H$527, MATCH(POTABLE_NONPOTABLE_API[[#This Row],[PWSID]], CW_PWSID_LIST, 0)), "")</f>
        <v>No</v>
      </c>
    </row>
    <row r="1684" spans="1:24" x14ac:dyDescent="0.25">
      <c r="A1684" t="s">
        <v>1186</v>
      </c>
      <c r="B1684" t="s">
        <v>1187</v>
      </c>
      <c r="C1684" t="s">
        <v>1188</v>
      </c>
      <c r="D1684" t="s">
        <v>1189</v>
      </c>
      <c r="E1684" s="9">
        <v>45170</v>
      </c>
      <c r="F1684" s="9">
        <v>45199</v>
      </c>
      <c r="G1684">
        <v>97379165.203999996</v>
      </c>
      <c r="H1684">
        <v>59320523.600000001</v>
      </c>
      <c r="I1684">
        <v>31168334.631999999</v>
      </c>
      <c r="J1684">
        <v>0</v>
      </c>
      <c r="K1684">
        <v>0</v>
      </c>
      <c r="L1684">
        <v>0</v>
      </c>
      <c r="M1684">
        <v>0</v>
      </c>
      <c r="N1684">
        <v>0</v>
      </c>
      <c r="O1684">
        <v>0</v>
      </c>
      <c r="P1684">
        <v>0</v>
      </c>
      <c r="Q1684">
        <v>0</v>
      </c>
      <c r="R1684">
        <v>0</v>
      </c>
      <c r="S1684">
        <v>0</v>
      </c>
      <c r="T1684" s="9">
        <v>45108</v>
      </c>
      <c r="U1684" s="9">
        <v>45473</v>
      </c>
      <c r="V1684">
        <f>SUM(POTABLE_NONPOTABLE_API[[#This Row],[RESIDENTIAL_SINGLEFAMILY_GAL]:[OTHER_GAL]])</f>
        <v>187868023.43599999</v>
      </c>
      <c r="W1684">
        <f>SUM(POTABLE_NONPOTABLE_API[[#This Row],[NONPOTABLE_DEMAND_RESIDENTIAL_RECYCLED_WATER_GAL]:[NONPOTABLE_DEMAND_NONRESIDENTIAL_METERED_IRRIGATION_GAL]])</f>
        <v>0</v>
      </c>
      <c r="X1684" t="str">
        <f>IFERROR(INDEX(Crosswalk_API!$H$2:$H$527, MATCH(POTABLE_NONPOTABLE_API[[#This Row],[PWSID]], CW_PWSID_LIST, 0)), "")</f>
        <v>No</v>
      </c>
    </row>
    <row r="1685" spans="1:24" x14ac:dyDescent="0.25">
      <c r="A1685" t="s">
        <v>1186</v>
      </c>
      <c r="B1685" t="s">
        <v>1187</v>
      </c>
      <c r="C1685" t="s">
        <v>1188</v>
      </c>
      <c r="D1685" t="s">
        <v>1189</v>
      </c>
      <c r="E1685" s="9">
        <v>45200</v>
      </c>
      <c r="F1685" s="9">
        <v>45230</v>
      </c>
      <c r="G1685">
        <v>76589304.019999996</v>
      </c>
      <c r="H1685">
        <v>28671337.056000002</v>
      </c>
      <c r="I1685">
        <v>23136500.308000002</v>
      </c>
      <c r="J1685">
        <v>0</v>
      </c>
      <c r="K1685">
        <v>0</v>
      </c>
      <c r="L1685">
        <v>0</v>
      </c>
      <c r="M1685">
        <v>0</v>
      </c>
      <c r="N1685">
        <v>0</v>
      </c>
      <c r="O1685">
        <v>0</v>
      </c>
      <c r="P1685">
        <v>0</v>
      </c>
      <c r="Q1685">
        <v>0</v>
      </c>
      <c r="R1685">
        <v>0</v>
      </c>
      <c r="S1685">
        <v>0</v>
      </c>
      <c r="T1685" s="9">
        <v>45108</v>
      </c>
      <c r="U1685" s="9">
        <v>45473</v>
      </c>
      <c r="V1685">
        <f>SUM(POTABLE_NONPOTABLE_API[[#This Row],[RESIDENTIAL_SINGLEFAMILY_GAL]:[OTHER_GAL]])</f>
        <v>128397141.384</v>
      </c>
      <c r="W1685">
        <f>SUM(POTABLE_NONPOTABLE_API[[#This Row],[NONPOTABLE_DEMAND_RESIDENTIAL_RECYCLED_WATER_GAL]:[NONPOTABLE_DEMAND_NONRESIDENTIAL_METERED_IRRIGATION_GAL]])</f>
        <v>0</v>
      </c>
      <c r="X1685" t="str">
        <f>IFERROR(INDEX(Crosswalk_API!$H$2:$H$527, MATCH(POTABLE_NONPOTABLE_API[[#This Row],[PWSID]], CW_PWSID_LIST, 0)), "")</f>
        <v>No</v>
      </c>
    </row>
    <row r="1686" spans="1:24" x14ac:dyDescent="0.25">
      <c r="A1686" t="s">
        <v>1186</v>
      </c>
      <c r="B1686" t="s">
        <v>1187</v>
      </c>
      <c r="C1686" t="s">
        <v>1188</v>
      </c>
      <c r="D1686" t="s">
        <v>1189</v>
      </c>
      <c r="E1686" s="9">
        <v>45231</v>
      </c>
      <c r="F1686" s="9">
        <v>45260</v>
      </c>
      <c r="G1686">
        <v>93153419.456</v>
      </c>
      <c r="H1686">
        <v>57414487.104000002</v>
      </c>
      <c r="I1686">
        <v>28355659.112</v>
      </c>
      <c r="J1686">
        <v>0</v>
      </c>
      <c r="K1686">
        <v>0</v>
      </c>
      <c r="L1686">
        <v>0</v>
      </c>
      <c r="M1686">
        <v>0</v>
      </c>
      <c r="N1686">
        <v>0</v>
      </c>
      <c r="O1686">
        <v>0</v>
      </c>
      <c r="P1686">
        <v>0</v>
      </c>
      <c r="Q1686">
        <v>0</v>
      </c>
      <c r="R1686">
        <v>0</v>
      </c>
      <c r="S1686">
        <v>0</v>
      </c>
      <c r="T1686" s="9">
        <v>45108</v>
      </c>
      <c r="U1686" s="9">
        <v>45473</v>
      </c>
      <c r="V1686">
        <f>SUM(POTABLE_NONPOTABLE_API[[#This Row],[RESIDENTIAL_SINGLEFAMILY_GAL]:[OTHER_GAL]])</f>
        <v>178923565.67199999</v>
      </c>
      <c r="W1686">
        <f>SUM(POTABLE_NONPOTABLE_API[[#This Row],[NONPOTABLE_DEMAND_RESIDENTIAL_RECYCLED_WATER_GAL]:[NONPOTABLE_DEMAND_NONRESIDENTIAL_METERED_IRRIGATION_GAL]])</f>
        <v>0</v>
      </c>
      <c r="X1686" t="str">
        <f>IFERROR(INDEX(Crosswalk_API!$H$2:$H$527, MATCH(POTABLE_NONPOTABLE_API[[#This Row],[PWSID]], CW_PWSID_LIST, 0)), "")</f>
        <v>No</v>
      </c>
    </row>
    <row r="1687" spans="1:24" x14ac:dyDescent="0.25">
      <c r="A1687" t="s">
        <v>1186</v>
      </c>
      <c r="B1687" t="s">
        <v>1187</v>
      </c>
      <c r="C1687" t="s">
        <v>1188</v>
      </c>
      <c r="D1687" t="s">
        <v>1189</v>
      </c>
      <c r="E1687" s="9">
        <v>45261</v>
      </c>
      <c r="F1687" s="9">
        <v>45291</v>
      </c>
      <c r="G1687">
        <v>72896171.296000004</v>
      </c>
      <c r="H1687">
        <v>26045674.536000002</v>
      </c>
      <c r="I1687">
        <v>26045674.536000002</v>
      </c>
      <c r="J1687">
        <v>0</v>
      </c>
      <c r="K1687">
        <v>0</v>
      </c>
      <c r="L1687">
        <v>0</v>
      </c>
      <c r="M1687">
        <v>0</v>
      </c>
      <c r="N1687">
        <v>0</v>
      </c>
      <c r="O1687">
        <v>0</v>
      </c>
      <c r="P1687">
        <v>0</v>
      </c>
      <c r="Q1687">
        <v>0</v>
      </c>
      <c r="R1687">
        <v>0</v>
      </c>
      <c r="S1687">
        <v>0</v>
      </c>
      <c r="T1687" s="9">
        <v>45108</v>
      </c>
      <c r="U1687" s="9">
        <v>45473</v>
      </c>
      <c r="V1687">
        <f>SUM(POTABLE_NONPOTABLE_API[[#This Row],[RESIDENTIAL_SINGLEFAMILY_GAL]:[OTHER_GAL]])</f>
        <v>124987520.368</v>
      </c>
      <c r="W1687">
        <f>SUM(POTABLE_NONPOTABLE_API[[#This Row],[NONPOTABLE_DEMAND_RESIDENTIAL_RECYCLED_WATER_GAL]:[NONPOTABLE_DEMAND_NONRESIDENTIAL_METERED_IRRIGATION_GAL]])</f>
        <v>0</v>
      </c>
      <c r="X1687" t="str">
        <f>IFERROR(INDEX(Crosswalk_API!$H$2:$H$527, MATCH(POTABLE_NONPOTABLE_API[[#This Row],[PWSID]], CW_PWSID_LIST, 0)), "")</f>
        <v>No</v>
      </c>
    </row>
    <row r="1688" spans="1:24" x14ac:dyDescent="0.25">
      <c r="A1688" t="s">
        <v>1186</v>
      </c>
      <c r="B1688" t="s">
        <v>1187</v>
      </c>
      <c r="C1688" t="s">
        <v>1188</v>
      </c>
      <c r="D1688" t="s">
        <v>1189</v>
      </c>
      <c r="E1688" s="9">
        <v>45292</v>
      </c>
      <c r="F1688" s="9">
        <v>45322</v>
      </c>
      <c r="G1688">
        <v>94593419.556000009</v>
      </c>
      <c r="H1688">
        <v>56901323.432000004</v>
      </c>
      <c r="I1688">
        <v>26522931.712000001</v>
      </c>
      <c r="J1688">
        <v>0</v>
      </c>
      <c r="K1688">
        <v>0</v>
      </c>
      <c r="L1688">
        <v>0</v>
      </c>
      <c r="M1688">
        <v>0</v>
      </c>
      <c r="N1688">
        <v>0</v>
      </c>
      <c r="O1688">
        <v>0</v>
      </c>
      <c r="P1688">
        <v>0</v>
      </c>
      <c r="Q1688">
        <v>0</v>
      </c>
      <c r="R1688">
        <v>0</v>
      </c>
      <c r="S1688">
        <v>0</v>
      </c>
      <c r="T1688" s="9">
        <v>45108</v>
      </c>
      <c r="U1688" s="9">
        <v>45473</v>
      </c>
      <c r="V1688">
        <f>SUM(POTABLE_NONPOTABLE_API[[#This Row],[RESIDENTIAL_SINGLEFAMILY_GAL]:[OTHER_GAL]])</f>
        <v>178017674.70000002</v>
      </c>
      <c r="W1688">
        <f>SUM(POTABLE_NONPOTABLE_API[[#This Row],[NONPOTABLE_DEMAND_RESIDENTIAL_RECYCLED_WATER_GAL]:[NONPOTABLE_DEMAND_NONRESIDENTIAL_METERED_IRRIGATION_GAL]])</f>
        <v>0</v>
      </c>
      <c r="X1688" t="str">
        <f>IFERROR(INDEX(Crosswalk_API!$H$2:$H$527, MATCH(POTABLE_NONPOTABLE_API[[#This Row],[PWSID]], CW_PWSID_LIST, 0)), "")</f>
        <v>No</v>
      </c>
    </row>
    <row r="1689" spans="1:24" x14ac:dyDescent="0.25">
      <c r="A1689" t="s">
        <v>1186</v>
      </c>
      <c r="B1689" t="s">
        <v>1187</v>
      </c>
      <c r="C1689" t="s">
        <v>1188</v>
      </c>
      <c r="D1689" t="s">
        <v>1189</v>
      </c>
      <c r="E1689" s="9">
        <v>45323</v>
      </c>
      <c r="F1689" s="9">
        <v>45351</v>
      </c>
      <c r="G1689">
        <v>75016150.664000005</v>
      </c>
      <c r="H1689">
        <v>26308988.84</v>
      </c>
      <c r="I1689">
        <v>17130390.800000001</v>
      </c>
      <c r="J1689">
        <v>0</v>
      </c>
      <c r="K1689">
        <v>0</v>
      </c>
      <c r="L1689">
        <v>0</v>
      </c>
      <c r="M1689">
        <v>0</v>
      </c>
      <c r="N1689">
        <v>0</v>
      </c>
      <c r="O1689">
        <v>0</v>
      </c>
      <c r="P1689">
        <v>0</v>
      </c>
      <c r="Q1689">
        <v>0</v>
      </c>
      <c r="R1689">
        <v>0</v>
      </c>
      <c r="S1689">
        <v>0</v>
      </c>
      <c r="T1689" s="9">
        <v>45108</v>
      </c>
      <c r="U1689" s="9">
        <v>45473</v>
      </c>
      <c r="V1689">
        <f>SUM(POTABLE_NONPOTABLE_API[[#This Row],[RESIDENTIAL_SINGLEFAMILY_GAL]:[OTHER_GAL]])</f>
        <v>118455530.30400001</v>
      </c>
      <c r="W1689">
        <f>SUM(POTABLE_NONPOTABLE_API[[#This Row],[NONPOTABLE_DEMAND_RESIDENTIAL_RECYCLED_WATER_GAL]:[NONPOTABLE_DEMAND_NONRESIDENTIAL_METERED_IRRIGATION_GAL]])</f>
        <v>0</v>
      </c>
      <c r="X1689" t="str">
        <f>IFERROR(INDEX(Crosswalk_API!$H$2:$H$527, MATCH(POTABLE_NONPOTABLE_API[[#This Row],[PWSID]], CW_PWSID_LIST, 0)), "")</f>
        <v>No</v>
      </c>
    </row>
    <row r="1690" spans="1:24" x14ac:dyDescent="0.25">
      <c r="A1690" t="s">
        <v>1186</v>
      </c>
      <c r="B1690" t="s">
        <v>1187</v>
      </c>
      <c r="C1690" t="s">
        <v>1188</v>
      </c>
      <c r="D1690" t="s">
        <v>1189</v>
      </c>
      <c r="E1690" s="9">
        <v>45352</v>
      </c>
      <c r="F1690" s="9">
        <v>45382</v>
      </c>
      <c r="G1690">
        <v>92890105.15200001</v>
      </c>
      <c r="H1690">
        <v>56893842.912</v>
      </c>
      <c r="I1690">
        <v>24925092.640000001</v>
      </c>
      <c r="J1690">
        <v>0</v>
      </c>
      <c r="K1690">
        <v>0</v>
      </c>
      <c r="L1690">
        <v>0</v>
      </c>
      <c r="M1690">
        <v>0</v>
      </c>
      <c r="N1690">
        <v>0</v>
      </c>
      <c r="O1690">
        <v>0</v>
      </c>
      <c r="Q1690">
        <v>0</v>
      </c>
      <c r="R1690">
        <v>0</v>
      </c>
      <c r="S1690">
        <v>0</v>
      </c>
      <c r="T1690" s="9">
        <v>45108</v>
      </c>
      <c r="U1690" s="9">
        <v>45473</v>
      </c>
      <c r="V1690">
        <f>SUM(POTABLE_NONPOTABLE_API[[#This Row],[RESIDENTIAL_SINGLEFAMILY_GAL]:[OTHER_GAL]])</f>
        <v>174709040.704</v>
      </c>
      <c r="W1690">
        <f>SUM(POTABLE_NONPOTABLE_API[[#This Row],[NONPOTABLE_DEMAND_RESIDENTIAL_RECYCLED_WATER_GAL]:[NONPOTABLE_DEMAND_NONRESIDENTIAL_METERED_IRRIGATION_GAL]])</f>
        <v>0</v>
      </c>
      <c r="X1690" t="str">
        <f>IFERROR(INDEX(Crosswalk_API!$H$2:$H$527, MATCH(POTABLE_NONPOTABLE_API[[#This Row],[PWSID]], CW_PWSID_LIST, 0)), "")</f>
        <v>No</v>
      </c>
    </row>
    <row r="1691" spans="1:24" x14ac:dyDescent="0.25">
      <c r="A1691" t="s">
        <v>1186</v>
      </c>
      <c r="B1691" t="s">
        <v>1187</v>
      </c>
      <c r="C1691" t="s">
        <v>1188</v>
      </c>
      <c r="D1691" t="s">
        <v>1189</v>
      </c>
      <c r="E1691" s="9">
        <v>45383</v>
      </c>
      <c r="F1691" s="9">
        <v>45412</v>
      </c>
      <c r="G1691">
        <v>73166966.120000005</v>
      </c>
      <c r="H1691">
        <v>25548968.008000001</v>
      </c>
      <c r="I1691">
        <v>17939035.012000002</v>
      </c>
      <c r="J1691">
        <v>0</v>
      </c>
      <c r="K1691">
        <v>0</v>
      </c>
      <c r="L1691">
        <v>0</v>
      </c>
      <c r="M1691">
        <v>0</v>
      </c>
      <c r="N1691">
        <v>0</v>
      </c>
      <c r="O1691">
        <v>0</v>
      </c>
      <c r="P1691">
        <v>0</v>
      </c>
      <c r="Q1691">
        <v>12295000</v>
      </c>
      <c r="R1691">
        <v>0</v>
      </c>
      <c r="S1691">
        <v>0</v>
      </c>
      <c r="T1691" s="9">
        <v>45108</v>
      </c>
      <c r="U1691" s="9">
        <v>45473</v>
      </c>
      <c r="V1691">
        <f>SUM(POTABLE_NONPOTABLE_API[[#This Row],[RESIDENTIAL_SINGLEFAMILY_GAL]:[OTHER_GAL]])</f>
        <v>116654969.14000002</v>
      </c>
      <c r="W1691">
        <f>SUM(POTABLE_NONPOTABLE_API[[#This Row],[NONPOTABLE_DEMAND_RESIDENTIAL_RECYCLED_WATER_GAL]:[NONPOTABLE_DEMAND_NONRESIDENTIAL_METERED_IRRIGATION_GAL]])</f>
        <v>12295000</v>
      </c>
      <c r="X1691" t="str">
        <f>IFERROR(INDEX(Crosswalk_API!$H$2:$H$527, MATCH(POTABLE_NONPOTABLE_API[[#This Row],[PWSID]], CW_PWSID_LIST, 0)), "")</f>
        <v>No</v>
      </c>
    </row>
    <row r="1692" spans="1:24" x14ac:dyDescent="0.25">
      <c r="A1692" t="s">
        <v>1186</v>
      </c>
      <c r="B1692" t="s">
        <v>1187</v>
      </c>
      <c r="C1692" t="s">
        <v>1188</v>
      </c>
      <c r="D1692" t="s">
        <v>1189</v>
      </c>
      <c r="E1692" s="9">
        <v>45413</v>
      </c>
      <c r="F1692" s="9">
        <v>45443</v>
      </c>
      <c r="G1692">
        <v>92569190.843999997</v>
      </c>
      <c r="H1692">
        <v>57875287.136</v>
      </c>
      <c r="I1692">
        <v>27390672.032000002</v>
      </c>
      <c r="J1692">
        <v>0</v>
      </c>
      <c r="K1692">
        <v>0</v>
      </c>
      <c r="L1692">
        <v>0</v>
      </c>
      <c r="M1692">
        <v>0</v>
      </c>
      <c r="N1692">
        <v>0</v>
      </c>
      <c r="O1692">
        <v>0</v>
      </c>
      <c r="P1692">
        <v>0</v>
      </c>
      <c r="Q1692">
        <v>0</v>
      </c>
      <c r="R1692">
        <v>0</v>
      </c>
      <c r="S1692">
        <v>0</v>
      </c>
      <c r="T1692" s="9">
        <v>45108</v>
      </c>
      <c r="U1692" s="9">
        <v>45473</v>
      </c>
      <c r="V1692">
        <f>SUM(POTABLE_NONPOTABLE_API[[#This Row],[RESIDENTIAL_SINGLEFAMILY_GAL]:[OTHER_GAL]])</f>
        <v>177835150.01199999</v>
      </c>
      <c r="W1692">
        <f>SUM(POTABLE_NONPOTABLE_API[[#This Row],[NONPOTABLE_DEMAND_RESIDENTIAL_RECYCLED_WATER_GAL]:[NONPOTABLE_DEMAND_NONRESIDENTIAL_METERED_IRRIGATION_GAL]])</f>
        <v>0</v>
      </c>
      <c r="X1692" t="str">
        <f>IFERROR(INDEX(Crosswalk_API!$H$2:$H$527, MATCH(POTABLE_NONPOTABLE_API[[#This Row],[PWSID]], CW_PWSID_LIST, 0)), "")</f>
        <v>No</v>
      </c>
    </row>
    <row r="1693" spans="1:24" x14ac:dyDescent="0.25">
      <c r="A1693" t="s">
        <v>1186</v>
      </c>
      <c r="B1693" t="s">
        <v>1187</v>
      </c>
      <c r="C1693" t="s">
        <v>1188</v>
      </c>
      <c r="D1693" t="s">
        <v>1189</v>
      </c>
      <c r="E1693" s="9">
        <v>45444</v>
      </c>
      <c r="F1693" s="9">
        <v>45473</v>
      </c>
      <c r="G1693">
        <v>77460784.600000009</v>
      </c>
      <c r="H1693">
        <v>27382443.460000001</v>
      </c>
      <c r="I1693">
        <v>23675845.800000001</v>
      </c>
      <c r="J1693">
        <v>0</v>
      </c>
      <c r="K1693">
        <v>0</v>
      </c>
      <c r="L1693">
        <v>0</v>
      </c>
      <c r="M1693">
        <v>0</v>
      </c>
      <c r="N1693">
        <v>0</v>
      </c>
      <c r="O1693">
        <v>0</v>
      </c>
      <c r="P1693">
        <v>0</v>
      </c>
      <c r="Q1693">
        <v>0</v>
      </c>
      <c r="R1693">
        <v>0</v>
      </c>
      <c r="S1693">
        <v>0</v>
      </c>
      <c r="T1693" s="9">
        <v>45108</v>
      </c>
      <c r="U1693" s="9">
        <v>45473</v>
      </c>
      <c r="V1693">
        <f>SUM(POTABLE_NONPOTABLE_API[[#This Row],[RESIDENTIAL_SINGLEFAMILY_GAL]:[OTHER_GAL]])</f>
        <v>128519073.86</v>
      </c>
      <c r="W1693">
        <f>SUM(POTABLE_NONPOTABLE_API[[#This Row],[NONPOTABLE_DEMAND_RESIDENTIAL_RECYCLED_WATER_GAL]:[NONPOTABLE_DEMAND_NONRESIDENTIAL_METERED_IRRIGATION_GAL]])</f>
        <v>0</v>
      </c>
      <c r="X1693" t="str">
        <f>IFERROR(INDEX(Crosswalk_API!$H$2:$H$527, MATCH(POTABLE_NONPOTABLE_API[[#This Row],[PWSID]], CW_PWSID_LIST, 0)), "")</f>
        <v>No</v>
      </c>
    </row>
    <row r="1694" spans="1:24" x14ac:dyDescent="0.25">
      <c r="A1694" t="s">
        <v>1190</v>
      </c>
      <c r="B1694" t="s">
        <v>1191</v>
      </c>
      <c r="C1694" t="s">
        <v>1192</v>
      </c>
      <c r="D1694" t="s">
        <v>1193</v>
      </c>
      <c r="E1694" s="9">
        <v>45108</v>
      </c>
      <c r="F1694" s="9">
        <v>45138</v>
      </c>
      <c r="G1694">
        <v>181050000</v>
      </c>
      <c r="H1694">
        <v>70190000</v>
      </c>
      <c r="I1694">
        <v>26920000</v>
      </c>
      <c r="J1694">
        <v>64890000</v>
      </c>
      <c r="K1694">
        <v>0</v>
      </c>
      <c r="L1694">
        <v>414988</v>
      </c>
      <c r="M1694">
        <v>0</v>
      </c>
      <c r="T1694" s="9">
        <v>45108</v>
      </c>
      <c r="U1694" s="9">
        <v>45473</v>
      </c>
      <c r="V1694">
        <f>SUM(POTABLE_NONPOTABLE_API[[#This Row],[RESIDENTIAL_SINGLEFAMILY_GAL]:[OTHER_GAL]])</f>
        <v>343464988</v>
      </c>
      <c r="W1694">
        <f>SUM(POTABLE_NONPOTABLE_API[[#This Row],[NONPOTABLE_DEMAND_RESIDENTIAL_RECYCLED_WATER_GAL]:[NONPOTABLE_DEMAND_NONRESIDENTIAL_METERED_IRRIGATION_GAL]])</f>
        <v>0</v>
      </c>
      <c r="X1694" t="str">
        <f>IFERROR(INDEX(Crosswalk_API!$H$2:$H$527, MATCH(POTABLE_NONPOTABLE_API[[#This Row],[PWSID]], CW_PWSID_LIST, 0)), "")</f>
        <v>No</v>
      </c>
    </row>
    <row r="1695" spans="1:24" x14ac:dyDescent="0.25">
      <c r="A1695" t="s">
        <v>1190</v>
      </c>
      <c r="B1695" t="s">
        <v>1191</v>
      </c>
      <c r="C1695" t="s">
        <v>1192</v>
      </c>
      <c r="D1695" t="s">
        <v>1193</v>
      </c>
      <c r="E1695" s="9">
        <v>45139</v>
      </c>
      <c r="F1695" s="9">
        <v>45169</v>
      </c>
      <c r="G1695">
        <v>191350000</v>
      </c>
      <c r="H1695">
        <v>76320000</v>
      </c>
      <c r="I1695">
        <v>27420000</v>
      </c>
      <c r="J1695">
        <v>58180000</v>
      </c>
      <c r="K1695">
        <v>0</v>
      </c>
      <c r="L1695">
        <v>456876</v>
      </c>
      <c r="M1695">
        <v>0</v>
      </c>
      <c r="T1695" s="9">
        <v>45108</v>
      </c>
      <c r="U1695" s="9">
        <v>45473</v>
      </c>
      <c r="V1695">
        <f>SUM(POTABLE_NONPOTABLE_API[[#This Row],[RESIDENTIAL_SINGLEFAMILY_GAL]:[OTHER_GAL]])</f>
        <v>353726876</v>
      </c>
      <c r="W1695">
        <f>SUM(POTABLE_NONPOTABLE_API[[#This Row],[NONPOTABLE_DEMAND_RESIDENTIAL_RECYCLED_WATER_GAL]:[NONPOTABLE_DEMAND_NONRESIDENTIAL_METERED_IRRIGATION_GAL]])</f>
        <v>0</v>
      </c>
      <c r="X1695" t="str">
        <f>IFERROR(INDEX(Crosswalk_API!$H$2:$H$527, MATCH(POTABLE_NONPOTABLE_API[[#This Row],[PWSID]], CW_PWSID_LIST, 0)), "")</f>
        <v>No</v>
      </c>
    </row>
    <row r="1696" spans="1:24" x14ac:dyDescent="0.25">
      <c r="A1696" t="s">
        <v>1190</v>
      </c>
      <c r="B1696" t="s">
        <v>1191</v>
      </c>
      <c r="C1696" t="s">
        <v>1192</v>
      </c>
      <c r="D1696" t="s">
        <v>1193</v>
      </c>
      <c r="E1696" s="9">
        <v>45170</v>
      </c>
      <c r="F1696" s="9">
        <v>45199</v>
      </c>
      <c r="G1696">
        <v>157920000</v>
      </c>
      <c r="H1696">
        <v>67400000</v>
      </c>
      <c r="I1696">
        <v>24240000</v>
      </c>
      <c r="J1696">
        <v>46070000</v>
      </c>
      <c r="K1696">
        <v>0</v>
      </c>
      <c r="L1696">
        <v>400742</v>
      </c>
      <c r="M1696">
        <v>0</v>
      </c>
      <c r="T1696" s="9">
        <v>45108</v>
      </c>
      <c r="U1696" s="9">
        <v>45473</v>
      </c>
      <c r="V1696">
        <f>SUM(POTABLE_NONPOTABLE_API[[#This Row],[RESIDENTIAL_SINGLEFAMILY_GAL]:[OTHER_GAL]])</f>
        <v>296030742</v>
      </c>
      <c r="W1696">
        <f>SUM(POTABLE_NONPOTABLE_API[[#This Row],[NONPOTABLE_DEMAND_RESIDENTIAL_RECYCLED_WATER_GAL]:[NONPOTABLE_DEMAND_NONRESIDENTIAL_METERED_IRRIGATION_GAL]])</f>
        <v>0</v>
      </c>
      <c r="X1696" t="str">
        <f>IFERROR(INDEX(Crosswalk_API!$H$2:$H$527, MATCH(POTABLE_NONPOTABLE_API[[#This Row],[PWSID]], CW_PWSID_LIST, 0)), "")</f>
        <v>No</v>
      </c>
    </row>
    <row r="1697" spans="1:24" x14ac:dyDescent="0.25">
      <c r="A1697" t="s">
        <v>1190</v>
      </c>
      <c r="B1697" t="s">
        <v>1191</v>
      </c>
      <c r="C1697" t="s">
        <v>1192</v>
      </c>
      <c r="D1697" t="s">
        <v>1193</v>
      </c>
      <c r="E1697" s="9">
        <v>45200</v>
      </c>
      <c r="F1697" s="9">
        <v>45230</v>
      </c>
      <c r="G1697">
        <v>147790000</v>
      </c>
      <c r="H1697">
        <v>72830000</v>
      </c>
      <c r="I1697">
        <v>26790000</v>
      </c>
      <c r="J1697">
        <v>28450000</v>
      </c>
      <c r="K1697">
        <v>0</v>
      </c>
      <c r="L1697">
        <v>502047</v>
      </c>
      <c r="M1697">
        <v>0</v>
      </c>
      <c r="T1697" s="9">
        <v>45108</v>
      </c>
      <c r="U1697" s="9">
        <v>45473</v>
      </c>
      <c r="V1697">
        <f>SUM(POTABLE_NONPOTABLE_API[[#This Row],[RESIDENTIAL_SINGLEFAMILY_GAL]:[OTHER_GAL]])</f>
        <v>276362047</v>
      </c>
      <c r="W1697">
        <f>SUM(POTABLE_NONPOTABLE_API[[#This Row],[NONPOTABLE_DEMAND_RESIDENTIAL_RECYCLED_WATER_GAL]:[NONPOTABLE_DEMAND_NONRESIDENTIAL_METERED_IRRIGATION_GAL]])</f>
        <v>0</v>
      </c>
      <c r="X1697" t="str">
        <f>IFERROR(INDEX(Crosswalk_API!$H$2:$H$527, MATCH(POTABLE_NONPOTABLE_API[[#This Row],[PWSID]], CW_PWSID_LIST, 0)), "")</f>
        <v>No</v>
      </c>
    </row>
    <row r="1698" spans="1:24" x14ac:dyDescent="0.25">
      <c r="A1698" t="s">
        <v>1190</v>
      </c>
      <c r="B1698" t="s">
        <v>1191</v>
      </c>
      <c r="C1698" t="s">
        <v>1192</v>
      </c>
      <c r="D1698" t="s">
        <v>1193</v>
      </c>
      <c r="E1698" s="9">
        <v>45231</v>
      </c>
      <c r="F1698" s="9">
        <v>45260</v>
      </c>
      <c r="G1698">
        <v>91650000</v>
      </c>
      <c r="H1698">
        <v>52380000</v>
      </c>
      <c r="I1698">
        <v>18400000</v>
      </c>
      <c r="J1698">
        <v>8850000</v>
      </c>
      <c r="K1698">
        <v>0</v>
      </c>
      <c r="L1698">
        <v>470915</v>
      </c>
      <c r="M1698">
        <v>0</v>
      </c>
      <c r="T1698" s="9">
        <v>45108</v>
      </c>
      <c r="U1698" s="9">
        <v>45473</v>
      </c>
      <c r="V1698">
        <f>SUM(POTABLE_NONPOTABLE_API[[#This Row],[RESIDENTIAL_SINGLEFAMILY_GAL]:[OTHER_GAL]])</f>
        <v>171750915</v>
      </c>
      <c r="W1698">
        <f>SUM(POTABLE_NONPOTABLE_API[[#This Row],[NONPOTABLE_DEMAND_RESIDENTIAL_RECYCLED_WATER_GAL]:[NONPOTABLE_DEMAND_NONRESIDENTIAL_METERED_IRRIGATION_GAL]])</f>
        <v>0</v>
      </c>
      <c r="X1698" t="str">
        <f>IFERROR(INDEX(Crosswalk_API!$H$2:$H$527, MATCH(POTABLE_NONPOTABLE_API[[#This Row],[PWSID]], CW_PWSID_LIST, 0)), "")</f>
        <v>No</v>
      </c>
    </row>
    <row r="1699" spans="1:24" x14ac:dyDescent="0.25">
      <c r="A1699" t="s">
        <v>1190</v>
      </c>
      <c r="B1699" t="s">
        <v>1191</v>
      </c>
      <c r="C1699" t="s">
        <v>1192</v>
      </c>
      <c r="D1699" t="s">
        <v>1193</v>
      </c>
      <c r="E1699" s="9">
        <v>45261</v>
      </c>
      <c r="F1699" s="9">
        <v>45291</v>
      </c>
      <c r="G1699">
        <v>72560000</v>
      </c>
      <c r="H1699">
        <v>42270000</v>
      </c>
      <c r="I1699">
        <v>21400000</v>
      </c>
      <c r="J1699">
        <v>6450000</v>
      </c>
      <c r="K1699">
        <v>0</v>
      </c>
      <c r="L1699">
        <v>421500</v>
      </c>
      <c r="M1699">
        <v>0</v>
      </c>
      <c r="T1699" s="9">
        <v>45108</v>
      </c>
      <c r="U1699" s="9">
        <v>45473</v>
      </c>
      <c r="V1699">
        <f>SUM(POTABLE_NONPOTABLE_API[[#This Row],[RESIDENTIAL_SINGLEFAMILY_GAL]:[OTHER_GAL]])</f>
        <v>143101500</v>
      </c>
      <c r="W1699">
        <f>SUM(POTABLE_NONPOTABLE_API[[#This Row],[NONPOTABLE_DEMAND_RESIDENTIAL_RECYCLED_WATER_GAL]:[NONPOTABLE_DEMAND_NONRESIDENTIAL_METERED_IRRIGATION_GAL]])</f>
        <v>0</v>
      </c>
      <c r="X1699" t="str">
        <f>IFERROR(INDEX(Crosswalk_API!$H$2:$H$527, MATCH(POTABLE_NONPOTABLE_API[[#This Row],[PWSID]], CW_PWSID_LIST, 0)), "")</f>
        <v>No</v>
      </c>
    </row>
    <row r="1700" spans="1:24" x14ac:dyDescent="0.25">
      <c r="A1700" t="s">
        <v>1190</v>
      </c>
      <c r="B1700" t="s">
        <v>1191</v>
      </c>
      <c r="C1700" t="s">
        <v>1192</v>
      </c>
      <c r="D1700" t="s">
        <v>1193</v>
      </c>
      <c r="E1700" s="9">
        <v>45292</v>
      </c>
      <c r="F1700" s="9">
        <v>45322</v>
      </c>
      <c r="G1700">
        <v>70750000</v>
      </c>
      <c r="H1700">
        <v>50540000</v>
      </c>
      <c r="I1700">
        <v>17090000</v>
      </c>
      <c r="J1700">
        <v>5420000</v>
      </c>
      <c r="K1700">
        <v>0</v>
      </c>
      <c r="L1700">
        <v>101167</v>
      </c>
      <c r="M1700">
        <v>0</v>
      </c>
      <c r="T1700" s="9">
        <v>45108</v>
      </c>
      <c r="U1700" s="9">
        <v>45473</v>
      </c>
      <c r="V1700">
        <f>SUM(POTABLE_NONPOTABLE_API[[#This Row],[RESIDENTIAL_SINGLEFAMILY_GAL]:[OTHER_GAL]])</f>
        <v>143901167</v>
      </c>
      <c r="W1700">
        <f>SUM(POTABLE_NONPOTABLE_API[[#This Row],[NONPOTABLE_DEMAND_RESIDENTIAL_RECYCLED_WATER_GAL]:[NONPOTABLE_DEMAND_NONRESIDENTIAL_METERED_IRRIGATION_GAL]])</f>
        <v>0</v>
      </c>
      <c r="X1700" t="str">
        <f>IFERROR(INDEX(Crosswalk_API!$H$2:$H$527, MATCH(POTABLE_NONPOTABLE_API[[#This Row],[PWSID]], CW_PWSID_LIST, 0)), "")</f>
        <v>No</v>
      </c>
    </row>
    <row r="1701" spans="1:24" x14ac:dyDescent="0.25">
      <c r="A1701" t="s">
        <v>1190</v>
      </c>
      <c r="B1701" t="s">
        <v>1191</v>
      </c>
      <c r="C1701" t="s">
        <v>1192</v>
      </c>
      <c r="D1701" t="s">
        <v>1193</v>
      </c>
      <c r="E1701" s="9">
        <v>45323</v>
      </c>
      <c r="F1701" s="9">
        <v>45351</v>
      </c>
      <c r="G1701">
        <v>59760000</v>
      </c>
      <c r="H1701">
        <v>45050000</v>
      </c>
      <c r="I1701">
        <v>15940000</v>
      </c>
      <c r="J1701">
        <v>3030000</v>
      </c>
      <c r="K1701">
        <v>0</v>
      </c>
      <c r="L1701">
        <v>97617</v>
      </c>
      <c r="M1701">
        <v>0</v>
      </c>
      <c r="T1701" s="9">
        <v>45108</v>
      </c>
      <c r="U1701" s="9">
        <v>45473</v>
      </c>
      <c r="V1701">
        <f>SUM(POTABLE_NONPOTABLE_API[[#This Row],[RESIDENTIAL_SINGLEFAMILY_GAL]:[OTHER_GAL]])</f>
        <v>123877617</v>
      </c>
      <c r="W1701">
        <f>SUM(POTABLE_NONPOTABLE_API[[#This Row],[NONPOTABLE_DEMAND_RESIDENTIAL_RECYCLED_WATER_GAL]:[NONPOTABLE_DEMAND_NONRESIDENTIAL_METERED_IRRIGATION_GAL]])</f>
        <v>0</v>
      </c>
      <c r="X1701" t="str">
        <f>IFERROR(INDEX(Crosswalk_API!$H$2:$H$527, MATCH(POTABLE_NONPOTABLE_API[[#This Row],[PWSID]], CW_PWSID_LIST, 0)), "")</f>
        <v>No</v>
      </c>
    </row>
    <row r="1702" spans="1:24" x14ac:dyDescent="0.25">
      <c r="A1702" t="s">
        <v>1190</v>
      </c>
      <c r="B1702" t="s">
        <v>1191</v>
      </c>
      <c r="C1702" t="s">
        <v>1192</v>
      </c>
      <c r="D1702" t="s">
        <v>1193</v>
      </c>
      <c r="E1702" s="9">
        <v>45352</v>
      </c>
      <c r="F1702" s="9">
        <v>45382</v>
      </c>
      <c r="G1702">
        <v>73240000</v>
      </c>
      <c r="H1702">
        <v>49150000</v>
      </c>
      <c r="I1702">
        <v>18720000</v>
      </c>
      <c r="J1702">
        <v>6080000</v>
      </c>
      <c r="K1702">
        <v>0</v>
      </c>
      <c r="L1702">
        <v>100217</v>
      </c>
      <c r="M1702">
        <v>0</v>
      </c>
      <c r="T1702" s="9">
        <v>45108</v>
      </c>
      <c r="U1702" s="9">
        <v>45473</v>
      </c>
      <c r="V1702">
        <f>SUM(POTABLE_NONPOTABLE_API[[#This Row],[RESIDENTIAL_SINGLEFAMILY_GAL]:[OTHER_GAL]])</f>
        <v>147290217</v>
      </c>
      <c r="W1702">
        <f>SUM(POTABLE_NONPOTABLE_API[[#This Row],[NONPOTABLE_DEMAND_RESIDENTIAL_RECYCLED_WATER_GAL]:[NONPOTABLE_DEMAND_NONRESIDENTIAL_METERED_IRRIGATION_GAL]])</f>
        <v>0</v>
      </c>
      <c r="X1702" t="str">
        <f>IFERROR(INDEX(Crosswalk_API!$H$2:$H$527, MATCH(POTABLE_NONPOTABLE_API[[#This Row],[PWSID]], CW_PWSID_LIST, 0)), "")</f>
        <v>No</v>
      </c>
    </row>
    <row r="1703" spans="1:24" x14ac:dyDescent="0.25">
      <c r="A1703" t="s">
        <v>1190</v>
      </c>
      <c r="B1703" t="s">
        <v>1191</v>
      </c>
      <c r="C1703" t="s">
        <v>1192</v>
      </c>
      <c r="D1703" t="s">
        <v>1193</v>
      </c>
      <c r="E1703" s="9">
        <v>45383</v>
      </c>
      <c r="F1703" s="9">
        <v>45412</v>
      </c>
      <c r="G1703">
        <v>96820000</v>
      </c>
      <c r="H1703">
        <v>60250000</v>
      </c>
      <c r="I1703">
        <v>20140000</v>
      </c>
      <c r="J1703">
        <v>27920000</v>
      </c>
      <c r="K1703">
        <v>0</v>
      </c>
      <c r="L1703">
        <v>96067</v>
      </c>
      <c r="M1703">
        <v>0</v>
      </c>
      <c r="T1703" s="9">
        <v>45108</v>
      </c>
      <c r="U1703" s="9">
        <v>45473</v>
      </c>
      <c r="V1703">
        <f>SUM(POTABLE_NONPOTABLE_API[[#This Row],[RESIDENTIAL_SINGLEFAMILY_GAL]:[OTHER_GAL]])</f>
        <v>205226067</v>
      </c>
      <c r="W1703">
        <f>SUM(POTABLE_NONPOTABLE_API[[#This Row],[NONPOTABLE_DEMAND_RESIDENTIAL_RECYCLED_WATER_GAL]:[NONPOTABLE_DEMAND_NONRESIDENTIAL_METERED_IRRIGATION_GAL]])</f>
        <v>0</v>
      </c>
      <c r="X1703" t="str">
        <f>IFERROR(INDEX(Crosswalk_API!$H$2:$H$527, MATCH(POTABLE_NONPOTABLE_API[[#This Row],[PWSID]], CW_PWSID_LIST, 0)), "")</f>
        <v>No</v>
      </c>
    </row>
    <row r="1704" spans="1:24" x14ac:dyDescent="0.25">
      <c r="A1704" t="s">
        <v>1190</v>
      </c>
      <c r="B1704" t="s">
        <v>1191</v>
      </c>
      <c r="C1704" t="s">
        <v>1192</v>
      </c>
      <c r="D1704" t="s">
        <v>1193</v>
      </c>
      <c r="E1704" s="9">
        <v>45413</v>
      </c>
      <c r="F1704" s="9">
        <v>45443</v>
      </c>
      <c r="G1704">
        <v>157770000</v>
      </c>
      <c r="H1704">
        <v>72370000</v>
      </c>
      <c r="I1704">
        <v>26110000</v>
      </c>
      <c r="J1704">
        <v>45890000</v>
      </c>
      <c r="K1704">
        <v>0</v>
      </c>
      <c r="L1704">
        <v>95217</v>
      </c>
      <c r="M1704">
        <v>0</v>
      </c>
      <c r="T1704" s="9">
        <v>45108</v>
      </c>
      <c r="U1704" s="9">
        <v>45473</v>
      </c>
      <c r="V1704">
        <f>SUM(POTABLE_NONPOTABLE_API[[#This Row],[RESIDENTIAL_SINGLEFAMILY_GAL]:[OTHER_GAL]])</f>
        <v>302235217</v>
      </c>
      <c r="W1704">
        <f>SUM(POTABLE_NONPOTABLE_API[[#This Row],[NONPOTABLE_DEMAND_RESIDENTIAL_RECYCLED_WATER_GAL]:[NONPOTABLE_DEMAND_NONRESIDENTIAL_METERED_IRRIGATION_GAL]])</f>
        <v>0</v>
      </c>
      <c r="X1704" t="str">
        <f>IFERROR(INDEX(Crosswalk_API!$H$2:$H$527, MATCH(POTABLE_NONPOTABLE_API[[#This Row],[PWSID]], CW_PWSID_LIST, 0)), "")</f>
        <v>No</v>
      </c>
    </row>
    <row r="1705" spans="1:24" x14ac:dyDescent="0.25">
      <c r="A1705" t="s">
        <v>1190</v>
      </c>
      <c r="B1705" t="s">
        <v>1191</v>
      </c>
      <c r="C1705" t="s">
        <v>1192</v>
      </c>
      <c r="D1705" t="s">
        <v>1193</v>
      </c>
      <c r="E1705" s="9">
        <v>45444</v>
      </c>
      <c r="F1705" s="9">
        <v>45473</v>
      </c>
      <c r="G1705">
        <v>178380000</v>
      </c>
      <c r="H1705">
        <v>70940000</v>
      </c>
      <c r="I1705">
        <v>28870000</v>
      </c>
      <c r="J1705">
        <v>68480000</v>
      </c>
      <c r="K1705">
        <v>0</v>
      </c>
      <c r="L1705">
        <v>126067.00000000001</v>
      </c>
      <c r="M1705">
        <v>0</v>
      </c>
      <c r="T1705" s="9">
        <v>45108</v>
      </c>
      <c r="U1705" s="9">
        <v>45473</v>
      </c>
      <c r="V1705">
        <f>SUM(POTABLE_NONPOTABLE_API[[#This Row],[RESIDENTIAL_SINGLEFAMILY_GAL]:[OTHER_GAL]])</f>
        <v>346796067</v>
      </c>
      <c r="W1705">
        <f>SUM(POTABLE_NONPOTABLE_API[[#This Row],[NONPOTABLE_DEMAND_RESIDENTIAL_RECYCLED_WATER_GAL]:[NONPOTABLE_DEMAND_NONRESIDENTIAL_METERED_IRRIGATION_GAL]])</f>
        <v>0</v>
      </c>
      <c r="X1705" t="str">
        <f>IFERROR(INDEX(Crosswalk_API!$H$2:$H$527, MATCH(POTABLE_NONPOTABLE_API[[#This Row],[PWSID]], CW_PWSID_LIST, 0)), "")</f>
        <v>No</v>
      </c>
    </row>
    <row r="1706" spans="1:24" x14ac:dyDescent="0.25">
      <c r="A1706" t="s">
        <v>1194</v>
      </c>
      <c r="B1706" t="s">
        <v>1195</v>
      </c>
      <c r="C1706" t="s">
        <v>1196</v>
      </c>
      <c r="D1706" t="s">
        <v>1197</v>
      </c>
      <c r="E1706" s="9">
        <v>45108</v>
      </c>
      <c r="F1706" s="9">
        <v>45138</v>
      </c>
      <c r="G1706">
        <v>20495043</v>
      </c>
      <c r="H1706">
        <v>264874</v>
      </c>
      <c r="I1706">
        <v>1871758</v>
      </c>
      <c r="J1706">
        <v>98601</v>
      </c>
      <c r="K1706">
        <v>0</v>
      </c>
      <c r="L1706">
        <v>2303585</v>
      </c>
      <c r="M1706">
        <v>0</v>
      </c>
      <c r="T1706" s="9">
        <v>45108</v>
      </c>
      <c r="U1706" s="9">
        <v>45473</v>
      </c>
      <c r="V1706">
        <f>SUM(POTABLE_NONPOTABLE_API[[#This Row],[RESIDENTIAL_SINGLEFAMILY_GAL]:[OTHER_GAL]])</f>
        <v>25033861</v>
      </c>
      <c r="W1706">
        <f>SUM(POTABLE_NONPOTABLE_API[[#This Row],[NONPOTABLE_DEMAND_RESIDENTIAL_RECYCLED_WATER_GAL]:[NONPOTABLE_DEMAND_NONRESIDENTIAL_METERED_IRRIGATION_GAL]])</f>
        <v>0</v>
      </c>
      <c r="X1706" t="str">
        <f>IFERROR(INDEX(Crosswalk_API!$H$2:$H$527, MATCH(POTABLE_NONPOTABLE_API[[#This Row],[PWSID]], CW_PWSID_LIST, 0)), "")</f>
        <v>No</v>
      </c>
    </row>
    <row r="1707" spans="1:24" x14ac:dyDescent="0.25">
      <c r="A1707" t="s">
        <v>1194</v>
      </c>
      <c r="B1707" t="s">
        <v>1195</v>
      </c>
      <c r="C1707" t="s">
        <v>1196</v>
      </c>
      <c r="D1707" t="s">
        <v>1197</v>
      </c>
      <c r="E1707" s="9">
        <v>45139</v>
      </c>
      <c r="F1707" s="9">
        <v>45169</v>
      </c>
      <c r="G1707">
        <v>20102410</v>
      </c>
      <c r="H1707">
        <v>295617</v>
      </c>
      <c r="I1707">
        <v>2296547</v>
      </c>
      <c r="J1707">
        <v>116987</v>
      </c>
      <c r="K1707">
        <v>0</v>
      </c>
      <c r="L1707">
        <v>1593187</v>
      </c>
      <c r="M1707">
        <v>0</v>
      </c>
      <c r="T1707" s="9">
        <v>45108</v>
      </c>
      <c r="U1707" s="9">
        <v>45473</v>
      </c>
      <c r="V1707">
        <f>SUM(POTABLE_NONPOTABLE_API[[#This Row],[RESIDENTIAL_SINGLEFAMILY_GAL]:[OTHER_GAL]])</f>
        <v>24404748</v>
      </c>
      <c r="W1707">
        <f>SUM(POTABLE_NONPOTABLE_API[[#This Row],[NONPOTABLE_DEMAND_RESIDENTIAL_RECYCLED_WATER_GAL]:[NONPOTABLE_DEMAND_NONRESIDENTIAL_METERED_IRRIGATION_GAL]])</f>
        <v>0</v>
      </c>
      <c r="X1707" t="str">
        <f>IFERROR(INDEX(Crosswalk_API!$H$2:$H$527, MATCH(POTABLE_NONPOTABLE_API[[#This Row],[PWSID]], CW_PWSID_LIST, 0)), "")</f>
        <v>No</v>
      </c>
    </row>
    <row r="1708" spans="1:24" x14ac:dyDescent="0.25">
      <c r="A1708" t="s">
        <v>1194</v>
      </c>
      <c r="B1708" t="s">
        <v>1195</v>
      </c>
      <c r="C1708" t="s">
        <v>1196</v>
      </c>
      <c r="D1708" t="s">
        <v>1197</v>
      </c>
      <c r="E1708" s="9">
        <v>45170</v>
      </c>
      <c r="F1708" s="9">
        <v>45199</v>
      </c>
      <c r="G1708">
        <v>20893398</v>
      </c>
      <c r="H1708">
        <v>307989</v>
      </c>
      <c r="I1708">
        <v>2808306</v>
      </c>
      <c r="J1708">
        <v>151178</v>
      </c>
      <c r="K1708">
        <v>0</v>
      </c>
      <c r="L1708">
        <v>2425790</v>
      </c>
      <c r="M1708">
        <v>0</v>
      </c>
      <c r="T1708" s="9">
        <v>45108</v>
      </c>
      <c r="U1708" s="9">
        <v>45473</v>
      </c>
      <c r="V1708">
        <f>SUM(POTABLE_NONPOTABLE_API[[#This Row],[RESIDENTIAL_SINGLEFAMILY_GAL]:[OTHER_GAL]])</f>
        <v>26586661</v>
      </c>
      <c r="W1708">
        <f>SUM(POTABLE_NONPOTABLE_API[[#This Row],[NONPOTABLE_DEMAND_RESIDENTIAL_RECYCLED_WATER_GAL]:[NONPOTABLE_DEMAND_NONRESIDENTIAL_METERED_IRRIGATION_GAL]])</f>
        <v>0</v>
      </c>
      <c r="X1708" t="str">
        <f>IFERROR(INDEX(Crosswalk_API!$H$2:$H$527, MATCH(POTABLE_NONPOTABLE_API[[#This Row],[PWSID]], CW_PWSID_LIST, 0)), "")</f>
        <v>No</v>
      </c>
    </row>
    <row r="1709" spans="1:24" x14ac:dyDescent="0.25">
      <c r="A1709" t="s">
        <v>1194</v>
      </c>
      <c r="B1709" t="s">
        <v>1195</v>
      </c>
      <c r="C1709" t="s">
        <v>1196</v>
      </c>
      <c r="D1709" t="s">
        <v>1197</v>
      </c>
      <c r="E1709" s="9">
        <v>45200</v>
      </c>
      <c r="F1709" s="9">
        <v>45230</v>
      </c>
      <c r="G1709">
        <v>15248414</v>
      </c>
      <c r="H1709">
        <v>204421</v>
      </c>
      <c r="I1709">
        <v>1682461</v>
      </c>
      <c r="J1709">
        <v>81891</v>
      </c>
      <c r="K1709">
        <v>0</v>
      </c>
      <c r="L1709">
        <v>1023901</v>
      </c>
      <c r="M1709">
        <v>0</v>
      </c>
      <c r="T1709" s="9">
        <v>45108</v>
      </c>
      <c r="U1709" s="9">
        <v>45473</v>
      </c>
      <c r="V1709">
        <f>SUM(POTABLE_NONPOTABLE_API[[#This Row],[RESIDENTIAL_SINGLEFAMILY_GAL]:[OTHER_GAL]])</f>
        <v>18241088</v>
      </c>
      <c r="W1709">
        <f>SUM(POTABLE_NONPOTABLE_API[[#This Row],[NONPOTABLE_DEMAND_RESIDENTIAL_RECYCLED_WATER_GAL]:[NONPOTABLE_DEMAND_NONRESIDENTIAL_METERED_IRRIGATION_GAL]])</f>
        <v>0</v>
      </c>
      <c r="X1709" t="str">
        <f>IFERROR(INDEX(Crosswalk_API!$H$2:$H$527, MATCH(POTABLE_NONPOTABLE_API[[#This Row],[PWSID]], CW_PWSID_LIST, 0)), "")</f>
        <v>No</v>
      </c>
    </row>
    <row r="1710" spans="1:24" x14ac:dyDescent="0.25">
      <c r="A1710" t="s">
        <v>1194</v>
      </c>
      <c r="B1710" t="s">
        <v>1195</v>
      </c>
      <c r="C1710" t="s">
        <v>1196</v>
      </c>
      <c r="D1710" t="s">
        <v>1197</v>
      </c>
      <c r="E1710" s="9">
        <v>45231</v>
      </c>
      <c r="F1710" s="9">
        <v>45260</v>
      </c>
      <c r="G1710">
        <v>13733953</v>
      </c>
      <c r="H1710">
        <v>145179</v>
      </c>
      <c r="I1710">
        <v>1331911</v>
      </c>
      <c r="J1710">
        <v>88945</v>
      </c>
      <c r="K1710">
        <v>0</v>
      </c>
      <c r="L1710">
        <v>1511973</v>
      </c>
      <c r="M1710">
        <v>0</v>
      </c>
      <c r="T1710" s="9">
        <v>45108</v>
      </c>
      <c r="U1710" s="9">
        <v>45473</v>
      </c>
      <c r="V1710">
        <f>SUM(POTABLE_NONPOTABLE_API[[#This Row],[RESIDENTIAL_SINGLEFAMILY_GAL]:[OTHER_GAL]])</f>
        <v>16811961</v>
      </c>
      <c r="W1710">
        <f>SUM(POTABLE_NONPOTABLE_API[[#This Row],[NONPOTABLE_DEMAND_RESIDENTIAL_RECYCLED_WATER_GAL]:[NONPOTABLE_DEMAND_NONRESIDENTIAL_METERED_IRRIGATION_GAL]])</f>
        <v>0</v>
      </c>
      <c r="X1710" t="str">
        <f>IFERROR(INDEX(Crosswalk_API!$H$2:$H$527, MATCH(POTABLE_NONPOTABLE_API[[#This Row],[PWSID]], CW_PWSID_LIST, 0)), "")</f>
        <v>No</v>
      </c>
    </row>
    <row r="1711" spans="1:24" x14ac:dyDescent="0.25">
      <c r="A1711" t="s">
        <v>1194</v>
      </c>
      <c r="B1711" t="s">
        <v>1195</v>
      </c>
      <c r="C1711" t="s">
        <v>1196</v>
      </c>
      <c r="D1711" t="s">
        <v>1197</v>
      </c>
      <c r="E1711" s="9">
        <v>45261</v>
      </c>
      <c r="F1711" s="9">
        <v>45291</v>
      </c>
      <c r="G1711">
        <v>12225783</v>
      </c>
      <c r="H1711">
        <v>141088</v>
      </c>
      <c r="I1711">
        <v>913652</v>
      </c>
      <c r="J1711">
        <v>96492</v>
      </c>
      <c r="K1711">
        <v>0</v>
      </c>
      <c r="L1711">
        <v>94247</v>
      </c>
      <c r="M1711">
        <v>0</v>
      </c>
      <c r="T1711" s="9">
        <v>45108</v>
      </c>
      <c r="U1711" s="9">
        <v>45473</v>
      </c>
      <c r="V1711">
        <f>SUM(POTABLE_NONPOTABLE_API[[#This Row],[RESIDENTIAL_SINGLEFAMILY_GAL]:[OTHER_GAL]])</f>
        <v>13471262</v>
      </c>
      <c r="W1711">
        <f>SUM(POTABLE_NONPOTABLE_API[[#This Row],[NONPOTABLE_DEMAND_RESIDENTIAL_RECYCLED_WATER_GAL]:[NONPOTABLE_DEMAND_NONRESIDENTIAL_METERED_IRRIGATION_GAL]])</f>
        <v>0</v>
      </c>
      <c r="X1711" t="str">
        <f>IFERROR(INDEX(Crosswalk_API!$H$2:$H$527, MATCH(POTABLE_NONPOTABLE_API[[#This Row],[PWSID]], CW_PWSID_LIST, 0)), "")</f>
        <v>No</v>
      </c>
    </row>
    <row r="1712" spans="1:24" x14ac:dyDescent="0.25">
      <c r="A1712" t="s">
        <v>1194</v>
      </c>
      <c r="B1712" t="s">
        <v>1195</v>
      </c>
      <c r="C1712" t="s">
        <v>1196</v>
      </c>
      <c r="D1712" t="s">
        <v>1197</v>
      </c>
      <c r="E1712" s="9">
        <v>45292</v>
      </c>
      <c r="F1712" s="9">
        <v>45322</v>
      </c>
      <c r="G1712">
        <v>11522237</v>
      </c>
      <c r="H1712">
        <v>161942</v>
      </c>
      <c r="I1712">
        <v>652944</v>
      </c>
      <c r="J1712">
        <v>24908</v>
      </c>
      <c r="K1712">
        <v>0</v>
      </c>
      <c r="L1712">
        <v>1992144</v>
      </c>
      <c r="M1712">
        <v>0</v>
      </c>
      <c r="T1712" s="9">
        <v>45108</v>
      </c>
      <c r="U1712" s="9">
        <v>45473</v>
      </c>
      <c r="V1712">
        <f>SUM(POTABLE_NONPOTABLE_API[[#This Row],[RESIDENTIAL_SINGLEFAMILY_GAL]:[OTHER_GAL]])</f>
        <v>14354175</v>
      </c>
      <c r="W1712">
        <f>SUM(POTABLE_NONPOTABLE_API[[#This Row],[NONPOTABLE_DEMAND_RESIDENTIAL_RECYCLED_WATER_GAL]:[NONPOTABLE_DEMAND_NONRESIDENTIAL_METERED_IRRIGATION_GAL]])</f>
        <v>0</v>
      </c>
      <c r="X1712" t="str">
        <f>IFERROR(INDEX(Crosswalk_API!$H$2:$H$527, MATCH(POTABLE_NONPOTABLE_API[[#This Row],[PWSID]], CW_PWSID_LIST, 0)), "")</f>
        <v>No</v>
      </c>
    </row>
    <row r="1713" spans="1:24" x14ac:dyDescent="0.25">
      <c r="A1713" t="s">
        <v>1194</v>
      </c>
      <c r="B1713" t="s">
        <v>1195</v>
      </c>
      <c r="C1713" t="s">
        <v>1196</v>
      </c>
      <c r="D1713" t="s">
        <v>1197</v>
      </c>
      <c r="E1713" s="9">
        <v>45323</v>
      </c>
      <c r="F1713" s="9">
        <v>45351</v>
      </c>
      <c r="G1713">
        <v>11355942</v>
      </c>
      <c r="H1713">
        <v>114175</v>
      </c>
      <c r="I1713">
        <v>770096</v>
      </c>
      <c r="J1713">
        <v>30975</v>
      </c>
      <c r="K1713">
        <v>0</v>
      </c>
      <c r="L1713">
        <v>3200336</v>
      </c>
      <c r="M1713">
        <v>0</v>
      </c>
      <c r="T1713" s="9">
        <v>45108</v>
      </c>
      <c r="U1713" s="9">
        <v>45473</v>
      </c>
      <c r="V1713">
        <f>SUM(POTABLE_NONPOTABLE_API[[#This Row],[RESIDENTIAL_SINGLEFAMILY_GAL]:[OTHER_GAL]])</f>
        <v>15471524</v>
      </c>
      <c r="W1713">
        <f>SUM(POTABLE_NONPOTABLE_API[[#This Row],[NONPOTABLE_DEMAND_RESIDENTIAL_RECYCLED_WATER_GAL]:[NONPOTABLE_DEMAND_NONRESIDENTIAL_METERED_IRRIGATION_GAL]])</f>
        <v>0</v>
      </c>
      <c r="X1713" t="str">
        <f>IFERROR(INDEX(Crosswalk_API!$H$2:$H$527, MATCH(POTABLE_NONPOTABLE_API[[#This Row],[PWSID]], CW_PWSID_LIST, 0)), "")</f>
        <v>No</v>
      </c>
    </row>
    <row r="1714" spans="1:24" x14ac:dyDescent="0.25">
      <c r="A1714" t="s">
        <v>1194</v>
      </c>
      <c r="B1714" t="s">
        <v>1195</v>
      </c>
      <c r="C1714" t="s">
        <v>1196</v>
      </c>
      <c r="D1714" t="s">
        <v>1197</v>
      </c>
      <c r="E1714" s="9">
        <v>45352</v>
      </c>
      <c r="F1714" s="9">
        <v>45382</v>
      </c>
      <c r="G1714">
        <v>10506602</v>
      </c>
      <c r="H1714">
        <v>108108</v>
      </c>
      <c r="I1714">
        <v>766199</v>
      </c>
      <c r="J1714">
        <v>25058</v>
      </c>
      <c r="K1714">
        <v>0</v>
      </c>
      <c r="L1714">
        <v>1941322</v>
      </c>
      <c r="M1714">
        <v>0</v>
      </c>
      <c r="T1714" s="9">
        <v>45108</v>
      </c>
      <c r="U1714" s="9">
        <v>45473</v>
      </c>
      <c r="V1714">
        <f>SUM(POTABLE_NONPOTABLE_API[[#This Row],[RESIDENTIAL_SINGLEFAMILY_GAL]:[OTHER_GAL]])</f>
        <v>13347289</v>
      </c>
      <c r="W1714">
        <f>SUM(POTABLE_NONPOTABLE_API[[#This Row],[NONPOTABLE_DEMAND_RESIDENTIAL_RECYCLED_WATER_GAL]:[NONPOTABLE_DEMAND_NONRESIDENTIAL_METERED_IRRIGATION_GAL]])</f>
        <v>0</v>
      </c>
      <c r="X1714" t="str">
        <f>IFERROR(INDEX(Crosswalk_API!$H$2:$H$527, MATCH(POTABLE_NONPOTABLE_API[[#This Row],[PWSID]], CW_PWSID_LIST, 0)), "")</f>
        <v>No</v>
      </c>
    </row>
    <row r="1715" spans="1:24" x14ac:dyDescent="0.25">
      <c r="A1715" t="s">
        <v>1194</v>
      </c>
      <c r="B1715" t="s">
        <v>1195</v>
      </c>
      <c r="C1715" t="s">
        <v>1196</v>
      </c>
      <c r="D1715" t="s">
        <v>1197</v>
      </c>
      <c r="E1715" s="9">
        <v>45383</v>
      </c>
      <c r="F1715" s="9">
        <v>45412</v>
      </c>
      <c r="G1715">
        <v>10541295</v>
      </c>
      <c r="H1715">
        <v>100741</v>
      </c>
      <c r="I1715">
        <v>672699</v>
      </c>
      <c r="J1715">
        <v>36517</v>
      </c>
      <c r="K1715">
        <v>0</v>
      </c>
      <c r="L1715">
        <v>1408069</v>
      </c>
      <c r="M1715">
        <v>0</v>
      </c>
      <c r="T1715" s="9">
        <v>45108</v>
      </c>
      <c r="U1715" s="9">
        <v>45473</v>
      </c>
      <c r="V1715">
        <f>SUM(POTABLE_NONPOTABLE_API[[#This Row],[RESIDENTIAL_SINGLEFAMILY_GAL]:[OTHER_GAL]])</f>
        <v>12759321</v>
      </c>
      <c r="W1715">
        <f>SUM(POTABLE_NONPOTABLE_API[[#This Row],[NONPOTABLE_DEMAND_RESIDENTIAL_RECYCLED_WATER_GAL]:[NONPOTABLE_DEMAND_NONRESIDENTIAL_METERED_IRRIGATION_GAL]])</f>
        <v>0</v>
      </c>
      <c r="X1715" t="str">
        <f>IFERROR(INDEX(Crosswalk_API!$H$2:$H$527, MATCH(POTABLE_NONPOTABLE_API[[#This Row],[PWSID]], CW_PWSID_LIST, 0)), "")</f>
        <v>No</v>
      </c>
    </row>
    <row r="1716" spans="1:24" x14ac:dyDescent="0.25">
      <c r="A1716" t="s">
        <v>1194</v>
      </c>
      <c r="B1716" t="s">
        <v>1195</v>
      </c>
      <c r="C1716" t="s">
        <v>1196</v>
      </c>
      <c r="D1716" t="s">
        <v>1197</v>
      </c>
      <c r="E1716" s="9">
        <v>45413</v>
      </c>
      <c r="F1716" s="9">
        <v>45443</v>
      </c>
      <c r="G1716">
        <v>11747542</v>
      </c>
      <c r="H1716">
        <v>179520</v>
      </c>
      <c r="I1716">
        <v>573566</v>
      </c>
      <c r="J1716">
        <v>52981</v>
      </c>
      <c r="K1716">
        <v>0</v>
      </c>
      <c r="L1716">
        <v>1398771</v>
      </c>
      <c r="M1716">
        <v>0</v>
      </c>
      <c r="T1716" s="9">
        <v>45108</v>
      </c>
      <c r="U1716" s="9">
        <v>45473</v>
      </c>
      <c r="V1716">
        <f>SUM(POTABLE_NONPOTABLE_API[[#This Row],[RESIDENTIAL_SINGLEFAMILY_GAL]:[OTHER_GAL]])</f>
        <v>13952380</v>
      </c>
      <c r="W1716">
        <f>SUM(POTABLE_NONPOTABLE_API[[#This Row],[NONPOTABLE_DEMAND_RESIDENTIAL_RECYCLED_WATER_GAL]:[NONPOTABLE_DEMAND_NONRESIDENTIAL_METERED_IRRIGATION_GAL]])</f>
        <v>0</v>
      </c>
      <c r="X1716" t="str">
        <f>IFERROR(INDEX(Crosswalk_API!$H$2:$H$527, MATCH(POTABLE_NONPOTABLE_API[[#This Row],[PWSID]], CW_PWSID_LIST, 0)), "")</f>
        <v>No</v>
      </c>
    </row>
    <row r="1717" spans="1:24" x14ac:dyDescent="0.25">
      <c r="A1717" t="s">
        <v>1194</v>
      </c>
      <c r="B1717" t="s">
        <v>1195</v>
      </c>
      <c r="C1717" t="s">
        <v>1196</v>
      </c>
      <c r="D1717" t="s">
        <v>1197</v>
      </c>
      <c r="E1717" s="9">
        <v>45444</v>
      </c>
      <c r="F1717" s="9">
        <v>45473</v>
      </c>
      <c r="G1717">
        <v>18106492</v>
      </c>
      <c r="H1717">
        <v>222747</v>
      </c>
      <c r="I1717">
        <v>960911</v>
      </c>
      <c r="J1717">
        <v>101204</v>
      </c>
      <c r="K1717">
        <v>0</v>
      </c>
      <c r="L1717">
        <v>2337387</v>
      </c>
      <c r="M1717">
        <v>0</v>
      </c>
      <c r="T1717" s="9">
        <v>45108</v>
      </c>
      <c r="U1717" s="9">
        <v>45473</v>
      </c>
      <c r="V1717">
        <f>SUM(POTABLE_NONPOTABLE_API[[#This Row],[RESIDENTIAL_SINGLEFAMILY_GAL]:[OTHER_GAL]])</f>
        <v>21728741</v>
      </c>
      <c r="W1717">
        <f>SUM(POTABLE_NONPOTABLE_API[[#This Row],[NONPOTABLE_DEMAND_RESIDENTIAL_RECYCLED_WATER_GAL]:[NONPOTABLE_DEMAND_NONRESIDENTIAL_METERED_IRRIGATION_GAL]])</f>
        <v>0</v>
      </c>
      <c r="X1717" t="str">
        <f>IFERROR(INDEX(Crosswalk_API!$H$2:$H$527, MATCH(POTABLE_NONPOTABLE_API[[#This Row],[PWSID]], CW_PWSID_LIST, 0)), "")</f>
        <v>No</v>
      </c>
    </row>
    <row r="1718" spans="1:24" x14ac:dyDescent="0.25">
      <c r="A1718" t="s">
        <v>1198</v>
      </c>
      <c r="B1718" t="s">
        <v>1199</v>
      </c>
      <c r="C1718" t="s">
        <v>1200</v>
      </c>
      <c r="D1718" t="s">
        <v>1201</v>
      </c>
      <c r="E1718" s="9">
        <v>45108</v>
      </c>
      <c r="F1718" s="9">
        <v>45138</v>
      </c>
      <c r="G1718">
        <v>131960430</v>
      </c>
      <c r="H1718">
        <v>26080107</v>
      </c>
      <c r="I1718">
        <v>70310380</v>
      </c>
      <c r="J1718">
        <v>10981940</v>
      </c>
      <c r="K1718">
        <v>339720</v>
      </c>
      <c r="L1718">
        <v>7904694</v>
      </c>
      <c r="M1718">
        <v>0</v>
      </c>
      <c r="T1718" s="9">
        <v>45108</v>
      </c>
      <c r="U1718" s="9">
        <v>45473</v>
      </c>
      <c r="V1718">
        <f>SUM(POTABLE_NONPOTABLE_API[[#This Row],[RESIDENTIAL_SINGLEFAMILY_GAL]:[OTHER_GAL]])</f>
        <v>247577271</v>
      </c>
      <c r="W1718">
        <f>SUM(POTABLE_NONPOTABLE_API[[#This Row],[NONPOTABLE_DEMAND_RESIDENTIAL_RECYCLED_WATER_GAL]:[NONPOTABLE_DEMAND_NONRESIDENTIAL_METERED_IRRIGATION_GAL]])</f>
        <v>0</v>
      </c>
      <c r="X1718" t="str">
        <f>IFERROR(INDEX(Crosswalk_API!$H$2:$H$527, MATCH(POTABLE_NONPOTABLE_API[[#This Row],[PWSID]], CW_PWSID_LIST, 0)), "")</f>
        <v>No</v>
      </c>
    </row>
    <row r="1719" spans="1:24" x14ac:dyDescent="0.25">
      <c r="A1719" t="s">
        <v>1198</v>
      </c>
      <c r="B1719" t="s">
        <v>1199</v>
      </c>
      <c r="C1719" t="s">
        <v>1200</v>
      </c>
      <c r="D1719" t="s">
        <v>1201</v>
      </c>
      <c r="E1719" s="9">
        <v>45139</v>
      </c>
      <c r="F1719" s="9">
        <v>45169</v>
      </c>
      <c r="G1719">
        <v>127144263</v>
      </c>
      <c r="H1719">
        <v>26594655</v>
      </c>
      <c r="I1719">
        <v>71670433</v>
      </c>
      <c r="J1719">
        <v>11456086</v>
      </c>
      <c r="K1719">
        <v>553770</v>
      </c>
      <c r="L1719">
        <v>4733670</v>
      </c>
      <c r="M1719">
        <v>0</v>
      </c>
      <c r="T1719" s="9">
        <v>45108</v>
      </c>
      <c r="U1719" s="9">
        <v>45473</v>
      </c>
      <c r="V1719">
        <f>SUM(POTABLE_NONPOTABLE_API[[#This Row],[RESIDENTIAL_SINGLEFAMILY_GAL]:[OTHER_GAL]])</f>
        <v>242152877</v>
      </c>
      <c r="W1719">
        <f>SUM(POTABLE_NONPOTABLE_API[[#This Row],[NONPOTABLE_DEMAND_RESIDENTIAL_RECYCLED_WATER_GAL]:[NONPOTABLE_DEMAND_NONRESIDENTIAL_METERED_IRRIGATION_GAL]])</f>
        <v>0</v>
      </c>
      <c r="X1719" t="str">
        <f>IFERROR(INDEX(Crosswalk_API!$H$2:$H$527, MATCH(POTABLE_NONPOTABLE_API[[#This Row],[PWSID]], CW_PWSID_LIST, 0)), "")</f>
        <v>No</v>
      </c>
    </row>
    <row r="1720" spans="1:24" x14ac:dyDescent="0.25">
      <c r="A1720" t="s">
        <v>1198</v>
      </c>
      <c r="B1720" t="s">
        <v>1199</v>
      </c>
      <c r="C1720" t="s">
        <v>1200</v>
      </c>
      <c r="D1720" t="s">
        <v>1201</v>
      </c>
      <c r="E1720" s="9">
        <v>45170</v>
      </c>
      <c r="F1720" s="9">
        <v>45199</v>
      </c>
      <c r="G1720">
        <v>136940453</v>
      </c>
      <c r="H1720">
        <v>28608209</v>
      </c>
      <c r="I1720">
        <v>74674449</v>
      </c>
      <c r="J1720">
        <v>11823818</v>
      </c>
      <c r="K1720">
        <v>1370130</v>
      </c>
      <c r="L1720">
        <v>2138540</v>
      </c>
      <c r="M1720">
        <v>0</v>
      </c>
      <c r="T1720" s="9">
        <v>45108</v>
      </c>
      <c r="U1720" s="9">
        <v>45473</v>
      </c>
      <c r="V1720">
        <f>SUM(POTABLE_NONPOTABLE_API[[#This Row],[RESIDENTIAL_SINGLEFAMILY_GAL]:[OTHER_GAL]])</f>
        <v>255555599</v>
      </c>
      <c r="W1720">
        <f>SUM(POTABLE_NONPOTABLE_API[[#This Row],[NONPOTABLE_DEMAND_RESIDENTIAL_RECYCLED_WATER_GAL]:[NONPOTABLE_DEMAND_NONRESIDENTIAL_METERED_IRRIGATION_GAL]])</f>
        <v>0</v>
      </c>
      <c r="X1720" t="str">
        <f>IFERROR(INDEX(Crosswalk_API!$H$2:$H$527, MATCH(POTABLE_NONPOTABLE_API[[#This Row],[PWSID]], CW_PWSID_LIST, 0)), "")</f>
        <v>No</v>
      </c>
    </row>
    <row r="1721" spans="1:24" x14ac:dyDescent="0.25">
      <c r="A1721" t="s">
        <v>1198</v>
      </c>
      <c r="B1721" t="s">
        <v>1199</v>
      </c>
      <c r="C1721" t="s">
        <v>1200</v>
      </c>
      <c r="D1721" t="s">
        <v>1201</v>
      </c>
      <c r="E1721" s="9">
        <v>45200</v>
      </c>
      <c r="F1721" s="9">
        <v>45230</v>
      </c>
      <c r="G1721">
        <v>99008114</v>
      </c>
      <c r="H1721">
        <v>20667809</v>
      </c>
      <c r="I1721">
        <v>55334428</v>
      </c>
      <c r="J1721">
        <v>7073759</v>
      </c>
      <c r="K1721">
        <v>717240</v>
      </c>
      <c r="L1721">
        <v>6577551</v>
      </c>
      <c r="M1721">
        <v>0</v>
      </c>
      <c r="T1721" s="9">
        <v>45108</v>
      </c>
      <c r="U1721" s="9">
        <v>45473</v>
      </c>
      <c r="V1721">
        <f>SUM(POTABLE_NONPOTABLE_API[[#This Row],[RESIDENTIAL_SINGLEFAMILY_GAL]:[OTHER_GAL]])</f>
        <v>189378901</v>
      </c>
      <c r="W1721">
        <f>SUM(POTABLE_NONPOTABLE_API[[#This Row],[NONPOTABLE_DEMAND_RESIDENTIAL_RECYCLED_WATER_GAL]:[NONPOTABLE_DEMAND_NONRESIDENTIAL_METERED_IRRIGATION_GAL]])</f>
        <v>0</v>
      </c>
      <c r="X1721" t="str">
        <f>IFERROR(INDEX(Crosswalk_API!$H$2:$H$527, MATCH(POTABLE_NONPOTABLE_API[[#This Row],[PWSID]], CW_PWSID_LIST, 0)), "")</f>
        <v>No</v>
      </c>
    </row>
    <row r="1722" spans="1:24" x14ac:dyDescent="0.25">
      <c r="A1722" t="s">
        <v>1198</v>
      </c>
      <c r="B1722" t="s">
        <v>1199</v>
      </c>
      <c r="C1722" t="s">
        <v>1200</v>
      </c>
      <c r="D1722" t="s">
        <v>1201</v>
      </c>
      <c r="E1722" s="9">
        <v>45231</v>
      </c>
      <c r="F1722" s="9">
        <v>45260</v>
      </c>
      <c r="G1722">
        <v>81760543</v>
      </c>
      <c r="H1722">
        <v>19903156</v>
      </c>
      <c r="I1722">
        <v>46238841</v>
      </c>
      <c r="J1722">
        <v>5948858</v>
      </c>
      <c r="K1722">
        <v>555370</v>
      </c>
      <c r="L1722">
        <v>5532009</v>
      </c>
      <c r="M1722">
        <v>0</v>
      </c>
      <c r="T1722" s="9">
        <v>45108</v>
      </c>
      <c r="U1722" s="9">
        <v>45473</v>
      </c>
      <c r="V1722">
        <f>SUM(POTABLE_NONPOTABLE_API[[#This Row],[RESIDENTIAL_SINGLEFAMILY_GAL]:[OTHER_GAL]])</f>
        <v>159938777</v>
      </c>
      <c r="W1722">
        <f>SUM(POTABLE_NONPOTABLE_API[[#This Row],[NONPOTABLE_DEMAND_RESIDENTIAL_RECYCLED_WATER_GAL]:[NONPOTABLE_DEMAND_NONRESIDENTIAL_METERED_IRRIGATION_GAL]])</f>
        <v>0</v>
      </c>
      <c r="X1722" t="str">
        <f>IFERROR(INDEX(Crosswalk_API!$H$2:$H$527, MATCH(POTABLE_NONPOTABLE_API[[#This Row],[PWSID]], CW_PWSID_LIST, 0)), "")</f>
        <v>No</v>
      </c>
    </row>
    <row r="1723" spans="1:24" x14ac:dyDescent="0.25">
      <c r="A1723" t="s">
        <v>1198</v>
      </c>
      <c r="B1723" t="s">
        <v>1199</v>
      </c>
      <c r="C1723" t="s">
        <v>1200</v>
      </c>
      <c r="D1723" t="s">
        <v>1201</v>
      </c>
      <c r="E1723" s="9">
        <v>45261</v>
      </c>
      <c r="F1723" s="9">
        <v>45291</v>
      </c>
      <c r="G1723">
        <v>65255543</v>
      </c>
      <c r="H1723">
        <v>16632533</v>
      </c>
      <c r="I1723">
        <v>40804535</v>
      </c>
      <c r="J1723">
        <v>3908913</v>
      </c>
      <c r="K1723">
        <v>388880</v>
      </c>
      <c r="L1723">
        <v>5875400</v>
      </c>
      <c r="M1723">
        <v>0</v>
      </c>
      <c r="T1723" s="9">
        <v>45108</v>
      </c>
      <c r="U1723" s="9">
        <v>45473</v>
      </c>
      <c r="V1723">
        <f>SUM(POTABLE_NONPOTABLE_API[[#This Row],[RESIDENTIAL_SINGLEFAMILY_GAL]:[OTHER_GAL]])</f>
        <v>132865804</v>
      </c>
      <c r="W1723">
        <f>SUM(POTABLE_NONPOTABLE_API[[#This Row],[NONPOTABLE_DEMAND_RESIDENTIAL_RECYCLED_WATER_GAL]:[NONPOTABLE_DEMAND_NONRESIDENTIAL_METERED_IRRIGATION_GAL]])</f>
        <v>0</v>
      </c>
      <c r="X1723" t="str">
        <f>IFERROR(INDEX(Crosswalk_API!$H$2:$H$527, MATCH(POTABLE_NONPOTABLE_API[[#This Row],[PWSID]], CW_PWSID_LIST, 0)), "")</f>
        <v>No</v>
      </c>
    </row>
    <row r="1724" spans="1:24" x14ac:dyDescent="0.25">
      <c r="A1724" t="s">
        <v>1198</v>
      </c>
      <c r="B1724" t="s">
        <v>1199</v>
      </c>
      <c r="C1724" t="s">
        <v>1200</v>
      </c>
      <c r="D1724" t="s">
        <v>1201</v>
      </c>
      <c r="E1724" s="9">
        <v>45292</v>
      </c>
      <c r="F1724" s="9">
        <v>45322</v>
      </c>
      <c r="G1724">
        <v>80572094</v>
      </c>
      <c r="H1724">
        <v>18760164</v>
      </c>
      <c r="I1724">
        <v>42753813</v>
      </c>
      <c r="J1724">
        <v>2935571</v>
      </c>
      <c r="K1724">
        <v>679180</v>
      </c>
      <c r="L1724">
        <v>4869350</v>
      </c>
      <c r="M1724">
        <v>0</v>
      </c>
      <c r="T1724" s="9">
        <v>45108</v>
      </c>
      <c r="U1724" s="9">
        <v>45473</v>
      </c>
      <c r="V1724">
        <f>SUM(POTABLE_NONPOTABLE_API[[#This Row],[RESIDENTIAL_SINGLEFAMILY_GAL]:[OTHER_GAL]])</f>
        <v>150570172</v>
      </c>
      <c r="W1724">
        <f>SUM(POTABLE_NONPOTABLE_API[[#This Row],[NONPOTABLE_DEMAND_RESIDENTIAL_RECYCLED_WATER_GAL]:[NONPOTABLE_DEMAND_NONRESIDENTIAL_METERED_IRRIGATION_GAL]])</f>
        <v>0</v>
      </c>
      <c r="X1724" t="str">
        <f>IFERROR(INDEX(Crosswalk_API!$H$2:$H$527, MATCH(POTABLE_NONPOTABLE_API[[#This Row],[PWSID]], CW_PWSID_LIST, 0)), "")</f>
        <v>No</v>
      </c>
    </row>
    <row r="1725" spans="1:24" x14ac:dyDescent="0.25">
      <c r="A1725" t="s">
        <v>1198</v>
      </c>
      <c r="B1725" t="s">
        <v>1199</v>
      </c>
      <c r="C1725" t="s">
        <v>1200</v>
      </c>
      <c r="D1725" t="s">
        <v>1201</v>
      </c>
      <c r="E1725" s="9">
        <v>45323</v>
      </c>
      <c r="F1725" s="9">
        <v>45351</v>
      </c>
      <c r="G1725">
        <v>61390361</v>
      </c>
      <c r="H1725">
        <v>15709958</v>
      </c>
      <c r="I1725">
        <v>36162129</v>
      </c>
      <c r="J1725">
        <v>2377816</v>
      </c>
      <c r="K1725">
        <v>302850</v>
      </c>
      <c r="L1725">
        <v>2647950</v>
      </c>
      <c r="M1725">
        <v>0</v>
      </c>
      <c r="T1725" s="9">
        <v>45108</v>
      </c>
      <c r="U1725" s="9">
        <v>45473</v>
      </c>
      <c r="V1725">
        <f>SUM(POTABLE_NONPOTABLE_API[[#This Row],[RESIDENTIAL_SINGLEFAMILY_GAL]:[OTHER_GAL]])</f>
        <v>118591064</v>
      </c>
      <c r="W1725">
        <f>SUM(POTABLE_NONPOTABLE_API[[#This Row],[NONPOTABLE_DEMAND_RESIDENTIAL_RECYCLED_WATER_GAL]:[NONPOTABLE_DEMAND_NONRESIDENTIAL_METERED_IRRIGATION_GAL]])</f>
        <v>0</v>
      </c>
      <c r="X1725" t="str">
        <f>IFERROR(INDEX(Crosswalk_API!$H$2:$H$527, MATCH(POTABLE_NONPOTABLE_API[[#This Row],[PWSID]], CW_PWSID_LIST, 0)), "")</f>
        <v>No</v>
      </c>
    </row>
    <row r="1726" spans="1:24" x14ac:dyDescent="0.25">
      <c r="A1726" t="s">
        <v>1198</v>
      </c>
      <c r="B1726" t="s">
        <v>1199</v>
      </c>
      <c r="C1726" t="s">
        <v>1200</v>
      </c>
      <c r="D1726" t="s">
        <v>1201</v>
      </c>
      <c r="E1726" s="9">
        <v>45352</v>
      </c>
      <c r="F1726" s="9">
        <v>45382</v>
      </c>
      <c r="G1726">
        <v>74137855</v>
      </c>
      <c r="H1726">
        <v>19089150</v>
      </c>
      <c r="I1726">
        <v>40594511</v>
      </c>
      <c r="J1726">
        <v>1904067</v>
      </c>
      <c r="K1726">
        <v>98330</v>
      </c>
      <c r="L1726">
        <v>2755060</v>
      </c>
      <c r="M1726">
        <v>0</v>
      </c>
      <c r="T1726" s="9">
        <v>45108</v>
      </c>
      <c r="U1726" s="9">
        <v>45473</v>
      </c>
      <c r="V1726">
        <f>SUM(POTABLE_NONPOTABLE_API[[#This Row],[RESIDENTIAL_SINGLEFAMILY_GAL]:[OTHER_GAL]])</f>
        <v>138578973</v>
      </c>
      <c r="W1726">
        <f>SUM(POTABLE_NONPOTABLE_API[[#This Row],[NONPOTABLE_DEMAND_RESIDENTIAL_RECYCLED_WATER_GAL]:[NONPOTABLE_DEMAND_NONRESIDENTIAL_METERED_IRRIGATION_GAL]])</f>
        <v>0</v>
      </c>
      <c r="X1726" t="str">
        <f>IFERROR(INDEX(Crosswalk_API!$H$2:$H$527, MATCH(POTABLE_NONPOTABLE_API[[#This Row],[PWSID]], CW_PWSID_LIST, 0)), "")</f>
        <v>No</v>
      </c>
    </row>
    <row r="1727" spans="1:24" x14ac:dyDescent="0.25">
      <c r="A1727" t="s">
        <v>1198</v>
      </c>
      <c r="B1727" t="s">
        <v>1199</v>
      </c>
      <c r="C1727" t="s">
        <v>1200</v>
      </c>
      <c r="D1727" t="s">
        <v>1201</v>
      </c>
      <c r="E1727" s="9">
        <v>45383</v>
      </c>
      <c r="F1727" s="9">
        <v>45412</v>
      </c>
      <c r="G1727">
        <v>76760034</v>
      </c>
      <c r="H1727">
        <v>16821300</v>
      </c>
      <c r="I1727">
        <v>47712391</v>
      </c>
      <c r="J1727">
        <v>3102003</v>
      </c>
      <c r="K1727">
        <v>360420</v>
      </c>
      <c r="L1727">
        <v>3201520</v>
      </c>
      <c r="M1727">
        <v>0</v>
      </c>
      <c r="T1727" s="9">
        <v>45108</v>
      </c>
      <c r="U1727" s="9">
        <v>45473</v>
      </c>
      <c r="V1727">
        <f>SUM(POTABLE_NONPOTABLE_API[[#This Row],[RESIDENTIAL_SINGLEFAMILY_GAL]:[OTHER_GAL]])</f>
        <v>147957668</v>
      </c>
      <c r="W1727">
        <f>SUM(POTABLE_NONPOTABLE_API[[#This Row],[NONPOTABLE_DEMAND_RESIDENTIAL_RECYCLED_WATER_GAL]:[NONPOTABLE_DEMAND_NONRESIDENTIAL_METERED_IRRIGATION_GAL]])</f>
        <v>0</v>
      </c>
      <c r="X1727" t="str">
        <f>IFERROR(INDEX(Crosswalk_API!$H$2:$H$527, MATCH(POTABLE_NONPOTABLE_API[[#This Row],[PWSID]], CW_PWSID_LIST, 0)), "")</f>
        <v>No</v>
      </c>
    </row>
    <row r="1728" spans="1:24" x14ac:dyDescent="0.25">
      <c r="A1728" t="s">
        <v>1198</v>
      </c>
      <c r="B1728" t="s">
        <v>1199</v>
      </c>
      <c r="C1728" t="s">
        <v>1200</v>
      </c>
      <c r="D1728" t="s">
        <v>1201</v>
      </c>
      <c r="E1728" s="9">
        <v>45413</v>
      </c>
      <c r="F1728" s="9">
        <v>45443</v>
      </c>
      <c r="G1728">
        <v>95989667</v>
      </c>
      <c r="H1728">
        <v>17656651</v>
      </c>
      <c r="I1728">
        <v>67899228</v>
      </c>
      <c r="J1728">
        <v>5664983</v>
      </c>
      <c r="K1728">
        <v>276570</v>
      </c>
      <c r="L1728">
        <v>5276882</v>
      </c>
      <c r="M1728">
        <v>0</v>
      </c>
      <c r="T1728" s="9">
        <v>45108</v>
      </c>
      <c r="U1728" s="9">
        <v>45473</v>
      </c>
      <c r="V1728">
        <f>SUM(POTABLE_NONPOTABLE_API[[#This Row],[RESIDENTIAL_SINGLEFAMILY_GAL]:[OTHER_GAL]])</f>
        <v>192763981</v>
      </c>
      <c r="W1728">
        <f>SUM(POTABLE_NONPOTABLE_API[[#This Row],[NONPOTABLE_DEMAND_RESIDENTIAL_RECYCLED_WATER_GAL]:[NONPOTABLE_DEMAND_NONRESIDENTIAL_METERED_IRRIGATION_GAL]])</f>
        <v>0</v>
      </c>
      <c r="X1728" t="str">
        <f>IFERROR(INDEX(Crosswalk_API!$H$2:$H$527, MATCH(POTABLE_NONPOTABLE_API[[#This Row],[PWSID]], CW_PWSID_LIST, 0)), "")</f>
        <v>No</v>
      </c>
    </row>
    <row r="1729" spans="1:24" x14ac:dyDescent="0.25">
      <c r="A1729" t="s">
        <v>1198</v>
      </c>
      <c r="B1729" t="s">
        <v>1199</v>
      </c>
      <c r="C1729" t="s">
        <v>1200</v>
      </c>
      <c r="D1729" t="s">
        <v>1201</v>
      </c>
      <c r="E1729" s="9">
        <v>45444</v>
      </c>
      <c r="F1729" s="9">
        <v>45473</v>
      </c>
      <c r="G1729">
        <v>135155154</v>
      </c>
      <c r="H1729">
        <v>27027660</v>
      </c>
      <c r="I1729">
        <v>95867118</v>
      </c>
      <c r="J1729">
        <v>14327058</v>
      </c>
      <c r="K1729">
        <v>818080</v>
      </c>
      <c r="L1729">
        <v>6580700</v>
      </c>
      <c r="M1729">
        <v>0</v>
      </c>
      <c r="T1729" s="9">
        <v>45108</v>
      </c>
      <c r="U1729" s="9">
        <v>45473</v>
      </c>
      <c r="V1729">
        <f>SUM(POTABLE_NONPOTABLE_API[[#This Row],[RESIDENTIAL_SINGLEFAMILY_GAL]:[OTHER_GAL]])</f>
        <v>279775770</v>
      </c>
      <c r="W1729">
        <f>SUM(POTABLE_NONPOTABLE_API[[#This Row],[NONPOTABLE_DEMAND_RESIDENTIAL_RECYCLED_WATER_GAL]:[NONPOTABLE_DEMAND_NONRESIDENTIAL_METERED_IRRIGATION_GAL]])</f>
        <v>0</v>
      </c>
      <c r="X1729" t="str">
        <f>IFERROR(INDEX(Crosswalk_API!$H$2:$H$527, MATCH(POTABLE_NONPOTABLE_API[[#This Row],[PWSID]], CW_PWSID_LIST, 0)), "")</f>
        <v>No</v>
      </c>
    </row>
    <row r="1730" spans="1:24" x14ac:dyDescent="0.25">
      <c r="A1730" t="s">
        <v>1202</v>
      </c>
      <c r="B1730" t="s">
        <v>1203</v>
      </c>
      <c r="C1730" t="s">
        <v>1204</v>
      </c>
      <c r="D1730" t="s">
        <v>1205</v>
      </c>
      <c r="E1730" s="9">
        <v>45108</v>
      </c>
      <c r="F1730" s="9">
        <v>45138</v>
      </c>
      <c r="G1730">
        <v>731377172.86800003</v>
      </c>
      <c r="H1730">
        <v>0</v>
      </c>
      <c r="I1730">
        <v>203507546.59999999</v>
      </c>
      <c r="J1730">
        <v>24556303.004000001</v>
      </c>
      <c r="K1730">
        <v>0</v>
      </c>
      <c r="L1730">
        <v>2922639.1639999999</v>
      </c>
      <c r="M1730">
        <v>0</v>
      </c>
      <c r="N1730">
        <v>0</v>
      </c>
      <c r="O1730">
        <v>0</v>
      </c>
      <c r="P1730">
        <v>0</v>
      </c>
      <c r="Q1730">
        <v>0</v>
      </c>
      <c r="R1730">
        <v>17445302.738752</v>
      </c>
      <c r="S1730">
        <v>142013931.94</v>
      </c>
      <c r="T1730" s="9">
        <v>45108</v>
      </c>
      <c r="U1730" s="9">
        <v>45473</v>
      </c>
      <c r="V1730">
        <f>SUM(POTABLE_NONPOTABLE_API[[#This Row],[RESIDENTIAL_SINGLEFAMILY_GAL]:[OTHER_GAL]])</f>
        <v>962363661.63600004</v>
      </c>
      <c r="W1730">
        <f>SUM(POTABLE_NONPOTABLE_API[[#This Row],[NONPOTABLE_DEMAND_RESIDENTIAL_RECYCLED_WATER_GAL]:[NONPOTABLE_DEMAND_NONRESIDENTIAL_METERED_IRRIGATION_GAL]])</f>
        <v>159459234.67875201</v>
      </c>
      <c r="X1730" t="str">
        <f>IFERROR(INDEX(Crosswalk_API!$H$2:$H$527, MATCH(POTABLE_NONPOTABLE_API[[#This Row],[PWSID]], CW_PWSID_LIST, 0)), "")</f>
        <v>No</v>
      </c>
    </row>
    <row r="1731" spans="1:24" x14ac:dyDescent="0.25">
      <c r="A1731" t="s">
        <v>1202</v>
      </c>
      <c r="B1731" t="s">
        <v>1203</v>
      </c>
      <c r="C1731" t="s">
        <v>1204</v>
      </c>
      <c r="D1731" t="s">
        <v>1205</v>
      </c>
      <c r="E1731" s="9">
        <v>45139</v>
      </c>
      <c r="F1731" s="9">
        <v>45169</v>
      </c>
      <c r="G1731">
        <v>799728928.26400006</v>
      </c>
      <c r="H1731">
        <v>0</v>
      </c>
      <c r="I1731">
        <v>214079017.46400002</v>
      </c>
      <c r="J1731">
        <v>26583523.924000002</v>
      </c>
      <c r="K1731">
        <v>0</v>
      </c>
      <c r="L1731">
        <v>5409164.0120000001</v>
      </c>
      <c r="M1731">
        <v>0</v>
      </c>
      <c r="N1731">
        <v>0</v>
      </c>
      <c r="O1731">
        <v>0</v>
      </c>
      <c r="P1731">
        <v>0</v>
      </c>
      <c r="Q1731">
        <v>0</v>
      </c>
      <c r="R1731">
        <v>11364586.264532</v>
      </c>
      <c r="S1731">
        <v>90394603.680000007</v>
      </c>
      <c r="T1731" s="9">
        <v>45108</v>
      </c>
      <c r="U1731" s="9">
        <v>45473</v>
      </c>
      <c r="V1731">
        <f>SUM(POTABLE_NONPOTABLE_API[[#This Row],[RESIDENTIAL_SINGLEFAMILY_GAL]:[OTHER_GAL]])</f>
        <v>1045800633.664</v>
      </c>
      <c r="W1731">
        <f>SUM(POTABLE_NONPOTABLE_API[[#This Row],[NONPOTABLE_DEMAND_RESIDENTIAL_RECYCLED_WATER_GAL]:[NONPOTABLE_DEMAND_NONRESIDENTIAL_METERED_IRRIGATION_GAL]])</f>
        <v>101759189.94453201</v>
      </c>
      <c r="X1731" t="str">
        <f>IFERROR(INDEX(Crosswalk_API!$H$2:$H$527, MATCH(POTABLE_NONPOTABLE_API[[#This Row],[PWSID]], CW_PWSID_LIST, 0)), "")</f>
        <v>No</v>
      </c>
    </row>
    <row r="1732" spans="1:24" x14ac:dyDescent="0.25">
      <c r="A1732" t="s">
        <v>1202</v>
      </c>
      <c r="B1732" t="s">
        <v>1203</v>
      </c>
      <c r="C1732" t="s">
        <v>1204</v>
      </c>
      <c r="D1732" t="s">
        <v>1205</v>
      </c>
      <c r="E1732" s="9">
        <v>45170</v>
      </c>
      <c r="F1732" s="9">
        <v>45199</v>
      </c>
      <c r="G1732">
        <v>713731374.24000001</v>
      </c>
      <c r="H1732">
        <v>0</v>
      </c>
      <c r="I1732">
        <v>189378340.42399999</v>
      </c>
      <c r="J1732">
        <v>21513227.468000002</v>
      </c>
      <c r="K1732">
        <v>0</v>
      </c>
      <c r="L1732">
        <v>3898098.9720000001</v>
      </c>
      <c r="M1732">
        <v>0</v>
      </c>
      <c r="N1732">
        <v>0</v>
      </c>
      <c r="O1732">
        <v>0</v>
      </c>
      <c r="P1732">
        <v>0</v>
      </c>
      <c r="Q1732">
        <v>0</v>
      </c>
      <c r="R1732">
        <v>1272814.2182600002</v>
      </c>
      <c r="S1732">
        <v>66636472.160000004</v>
      </c>
      <c r="T1732" s="9">
        <v>45108</v>
      </c>
      <c r="U1732" s="9">
        <v>45473</v>
      </c>
      <c r="V1732">
        <f>SUM(POTABLE_NONPOTABLE_API[[#This Row],[RESIDENTIAL_SINGLEFAMILY_GAL]:[OTHER_GAL]])</f>
        <v>928521041.10400009</v>
      </c>
      <c r="W1732">
        <f>SUM(POTABLE_NONPOTABLE_API[[#This Row],[NONPOTABLE_DEMAND_RESIDENTIAL_RECYCLED_WATER_GAL]:[NONPOTABLE_DEMAND_NONRESIDENTIAL_METERED_IRRIGATION_GAL]])</f>
        <v>67909286.378260002</v>
      </c>
      <c r="X1732" t="str">
        <f>IFERROR(INDEX(Crosswalk_API!$H$2:$H$527, MATCH(POTABLE_NONPOTABLE_API[[#This Row],[PWSID]], CW_PWSID_LIST, 0)), "")</f>
        <v>No</v>
      </c>
    </row>
    <row r="1733" spans="1:24" x14ac:dyDescent="0.25">
      <c r="A1733" t="s">
        <v>1202</v>
      </c>
      <c r="B1733" t="s">
        <v>1203</v>
      </c>
      <c r="C1733" t="s">
        <v>1204</v>
      </c>
      <c r="D1733" t="s">
        <v>1205</v>
      </c>
      <c r="E1733" s="9">
        <v>45200</v>
      </c>
      <c r="F1733" s="9">
        <v>45230</v>
      </c>
      <c r="G1733">
        <v>616713518.15200007</v>
      </c>
      <c r="H1733">
        <v>0</v>
      </c>
      <c r="I1733">
        <v>169814536.46799999</v>
      </c>
      <c r="J1733">
        <v>13010868.436000001</v>
      </c>
      <c r="K1733">
        <v>0</v>
      </c>
      <c r="L1733">
        <v>5814608.1960000005</v>
      </c>
      <c r="M1733">
        <v>0</v>
      </c>
      <c r="N1733">
        <v>0</v>
      </c>
      <c r="O1733">
        <v>0</v>
      </c>
      <c r="P1733">
        <v>0</v>
      </c>
      <c r="Q1733">
        <v>0</v>
      </c>
      <c r="R1733">
        <v>15535974.813952001</v>
      </c>
      <c r="S1733">
        <v>101885430.45200001</v>
      </c>
      <c r="T1733" s="9">
        <v>45108</v>
      </c>
      <c r="U1733" s="9">
        <v>45473</v>
      </c>
      <c r="V1733">
        <f>SUM(POTABLE_NONPOTABLE_API[[#This Row],[RESIDENTIAL_SINGLEFAMILY_GAL]:[OTHER_GAL]])</f>
        <v>805353531.25200009</v>
      </c>
      <c r="W1733">
        <f>SUM(POTABLE_NONPOTABLE_API[[#This Row],[NONPOTABLE_DEMAND_RESIDENTIAL_RECYCLED_WATER_GAL]:[NONPOTABLE_DEMAND_NONRESIDENTIAL_METERED_IRRIGATION_GAL]])</f>
        <v>117421405.26595201</v>
      </c>
      <c r="X1733" t="str">
        <f>IFERROR(INDEX(Crosswalk_API!$H$2:$H$527, MATCH(POTABLE_NONPOTABLE_API[[#This Row],[PWSID]], CW_PWSID_LIST, 0)), "")</f>
        <v>No</v>
      </c>
    </row>
    <row r="1734" spans="1:24" x14ac:dyDescent="0.25">
      <c r="A1734" t="s">
        <v>1202</v>
      </c>
      <c r="B1734" t="s">
        <v>1203</v>
      </c>
      <c r="C1734" t="s">
        <v>1204</v>
      </c>
      <c r="D1734" t="s">
        <v>1205</v>
      </c>
      <c r="E1734" s="9">
        <v>45231</v>
      </c>
      <c r="F1734" s="9">
        <v>45260</v>
      </c>
      <c r="G1734">
        <v>638435452.12800002</v>
      </c>
      <c r="H1734">
        <v>0</v>
      </c>
      <c r="I1734">
        <v>177975783.78800002</v>
      </c>
      <c r="J1734">
        <v>25526526.447999999</v>
      </c>
      <c r="K1734">
        <v>0</v>
      </c>
      <c r="L1734">
        <v>8547242.1520000007</v>
      </c>
      <c r="M1734">
        <v>0</v>
      </c>
      <c r="N1734">
        <v>0</v>
      </c>
      <c r="O1734">
        <v>0</v>
      </c>
      <c r="P1734">
        <v>0</v>
      </c>
      <c r="Q1734">
        <v>0</v>
      </c>
      <c r="R1734">
        <v>16558502.801844001</v>
      </c>
      <c r="S1734">
        <v>71009584.151999995</v>
      </c>
      <c r="T1734" s="9">
        <v>45108</v>
      </c>
      <c r="U1734" s="9">
        <v>45473</v>
      </c>
      <c r="V1734">
        <f>SUM(POTABLE_NONPOTABLE_API[[#This Row],[RESIDENTIAL_SINGLEFAMILY_GAL]:[OTHER_GAL]])</f>
        <v>850485004.51599991</v>
      </c>
      <c r="W1734">
        <f>SUM(POTABLE_NONPOTABLE_API[[#This Row],[NONPOTABLE_DEMAND_RESIDENTIAL_RECYCLED_WATER_GAL]:[NONPOTABLE_DEMAND_NONRESIDENTIAL_METERED_IRRIGATION_GAL]])</f>
        <v>87568086.953843996</v>
      </c>
      <c r="X1734" t="str">
        <f>IFERROR(INDEX(Crosswalk_API!$H$2:$H$527, MATCH(POTABLE_NONPOTABLE_API[[#This Row],[PWSID]], CW_PWSID_LIST, 0)), "")</f>
        <v>No</v>
      </c>
    </row>
    <row r="1735" spans="1:24" x14ac:dyDescent="0.25">
      <c r="A1735" t="s">
        <v>1202</v>
      </c>
      <c r="B1735" t="s">
        <v>1203</v>
      </c>
      <c r="C1735" t="s">
        <v>1204</v>
      </c>
      <c r="D1735" t="s">
        <v>1205</v>
      </c>
      <c r="E1735" s="9">
        <v>45261</v>
      </c>
      <c r="F1735" s="9">
        <v>45291</v>
      </c>
      <c r="G1735">
        <v>475666817.44800001</v>
      </c>
      <c r="H1735">
        <v>0</v>
      </c>
      <c r="I1735">
        <v>148303553.15600002</v>
      </c>
      <c r="J1735">
        <v>13856167.196</v>
      </c>
      <c r="K1735">
        <v>0</v>
      </c>
      <c r="L1735">
        <v>2697475.5120000001</v>
      </c>
      <c r="M1735">
        <v>0</v>
      </c>
      <c r="N1735">
        <v>0</v>
      </c>
      <c r="O1735">
        <v>0</v>
      </c>
      <c r="P1735">
        <v>0</v>
      </c>
      <c r="Q1735">
        <v>0</v>
      </c>
      <c r="R1735">
        <v>17222162.567412</v>
      </c>
      <c r="S1735">
        <v>47081644.828000002</v>
      </c>
      <c r="T1735" s="9">
        <v>45108</v>
      </c>
      <c r="U1735" s="9">
        <v>45473</v>
      </c>
      <c r="V1735">
        <f>SUM(POTABLE_NONPOTABLE_API[[#This Row],[RESIDENTIAL_SINGLEFAMILY_GAL]:[OTHER_GAL]])</f>
        <v>640524013.31200004</v>
      </c>
      <c r="W1735">
        <f>SUM(POTABLE_NONPOTABLE_API[[#This Row],[NONPOTABLE_DEMAND_RESIDENTIAL_RECYCLED_WATER_GAL]:[NONPOTABLE_DEMAND_NONRESIDENTIAL_METERED_IRRIGATION_GAL]])</f>
        <v>64303807.395411998</v>
      </c>
      <c r="X1735" t="str">
        <f>IFERROR(INDEX(Crosswalk_API!$H$2:$H$527, MATCH(POTABLE_NONPOTABLE_API[[#This Row],[PWSID]], CW_PWSID_LIST, 0)), "")</f>
        <v>No</v>
      </c>
    </row>
    <row r="1736" spans="1:24" x14ac:dyDescent="0.25">
      <c r="A1736" t="s">
        <v>1202</v>
      </c>
      <c r="B1736" t="s">
        <v>1203</v>
      </c>
      <c r="C1736" t="s">
        <v>1204</v>
      </c>
      <c r="D1736" t="s">
        <v>1205</v>
      </c>
      <c r="E1736" s="9">
        <v>45292</v>
      </c>
      <c r="F1736" s="9">
        <v>45322</v>
      </c>
      <c r="G1736">
        <v>422011128</v>
      </c>
      <c r="H1736">
        <v>0</v>
      </c>
      <c r="I1736">
        <v>151598656</v>
      </c>
      <c r="J1736">
        <v>0</v>
      </c>
      <c r="K1736">
        <v>0</v>
      </c>
      <c r="L1736">
        <v>2688312</v>
      </c>
      <c r="M1736">
        <v>0</v>
      </c>
      <c r="N1736">
        <v>0</v>
      </c>
      <c r="O1736">
        <v>0</v>
      </c>
      <c r="P1736">
        <v>0</v>
      </c>
      <c r="Q1736">
        <v>0</v>
      </c>
      <c r="R1736">
        <v>17284371.319784001</v>
      </c>
      <c r="S1736">
        <v>11504291.708000001</v>
      </c>
      <c r="T1736" s="9">
        <v>45108</v>
      </c>
      <c r="U1736" s="9">
        <v>45473</v>
      </c>
      <c r="V1736">
        <f>SUM(POTABLE_NONPOTABLE_API[[#This Row],[RESIDENTIAL_SINGLEFAMILY_GAL]:[OTHER_GAL]])</f>
        <v>576298096</v>
      </c>
      <c r="W1736">
        <f>SUM(POTABLE_NONPOTABLE_API[[#This Row],[NONPOTABLE_DEMAND_RESIDENTIAL_RECYCLED_WATER_GAL]:[NONPOTABLE_DEMAND_NONRESIDENTIAL_METERED_IRRIGATION_GAL]])</f>
        <v>28788663.027784001</v>
      </c>
      <c r="X1736" t="str">
        <f>IFERROR(INDEX(Crosswalk_API!$H$2:$H$527, MATCH(POTABLE_NONPOTABLE_API[[#This Row],[PWSID]], CW_PWSID_LIST, 0)), "")</f>
        <v>No</v>
      </c>
    </row>
    <row r="1737" spans="1:24" x14ac:dyDescent="0.25">
      <c r="A1737" t="s">
        <v>1202</v>
      </c>
      <c r="B1737" t="s">
        <v>1203</v>
      </c>
      <c r="C1737" t="s">
        <v>1204</v>
      </c>
      <c r="D1737" t="s">
        <v>1205</v>
      </c>
      <c r="E1737" s="9">
        <v>45323</v>
      </c>
      <c r="F1737" s="9">
        <v>45351</v>
      </c>
      <c r="G1737">
        <v>330212828</v>
      </c>
      <c r="H1737">
        <v>0</v>
      </c>
      <c r="I1737">
        <v>125893636</v>
      </c>
      <c r="J1737">
        <v>0</v>
      </c>
      <c r="K1737">
        <v>0</v>
      </c>
      <c r="L1737">
        <v>1959760</v>
      </c>
      <c r="M1737">
        <v>0</v>
      </c>
      <c r="N1737">
        <v>0</v>
      </c>
      <c r="O1737">
        <v>0</v>
      </c>
      <c r="P1737">
        <v>0</v>
      </c>
      <c r="Q1737">
        <v>0</v>
      </c>
      <c r="R1737">
        <v>16042102.43</v>
      </c>
      <c r="S1737">
        <v>30991884</v>
      </c>
      <c r="T1737" s="9">
        <v>45108</v>
      </c>
      <c r="U1737" s="9">
        <v>45473</v>
      </c>
      <c r="V1737">
        <f>SUM(POTABLE_NONPOTABLE_API[[#This Row],[RESIDENTIAL_SINGLEFAMILY_GAL]:[OTHER_GAL]])</f>
        <v>458066224</v>
      </c>
      <c r="W1737">
        <f>SUM(POTABLE_NONPOTABLE_API[[#This Row],[NONPOTABLE_DEMAND_RESIDENTIAL_RECYCLED_WATER_GAL]:[NONPOTABLE_DEMAND_NONRESIDENTIAL_METERED_IRRIGATION_GAL]])</f>
        <v>47033986.43</v>
      </c>
      <c r="X1737" t="str">
        <f>IFERROR(INDEX(Crosswalk_API!$H$2:$H$527, MATCH(POTABLE_NONPOTABLE_API[[#This Row],[PWSID]], CW_PWSID_LIST, 0)), "")</f>
        <v>No</v>
      </c>
    </row>
    <row r="1738" spans="1:24" x14ac:dyDescent="0.25">
      <c r="A1738" t="s">
        <v>1202</v>
      </c>
      <c r="B1738" t="s">
        <v>1203</v>
      </c>
      <c r="C1738" t="s">
        <v>1204</v>
      </c>
      <c r="D1738" t="s">
        <v>1205</v>
      </c>
      <c r="E1738" s="9">
        <v>45352</v>
      </c>
      <c r="F1738" s="9">
        <v>45382</v>
      </c>
      <c r="G1738">
        <v>376263448</v>
      </c>
      <c r="H1738">
        <v>0</v>
      </c>
      <c r="I1738">
        <v>135686452</v>
      </c>
      <c r="J1738">
        <v>0</v>
      </c>
      <c r="K1738">
        <v>0</v>
      </c>
      <c r="L1738">
        <v>2371908</v>
      </c>
      <c r="M1738">
        <v>0</v>
      </c>
      <c r="N1738">
        <v>0</v>
      </c>
      <c r="O1738">
        <v>0</v>
      </c>
      <c r="P1738">
        <v>0</v>
      </c>
      <c r="Q1738">
        <v>0</v>
      </c>
      <c r="R1738">
        <v>16420861.949999999</v>
      </c>
      <c r="S1738">
        <v>60227464</v>
      </c>
      <c r="T1738" s="9">
        <v>45108</v>
      </c>
      <c r="U1738" s="9">
        <v>45473</v>
      </c>
      <c r="V1738">
        <f>SUM(POTABLE_NONPOTABLE_API[[#This Row],[RESIDENTIAL_SINGLEFAMILY_GAL]:[OTHER_GAL]])</f>
        <v>514321808</v>
      </c>
      <c r="W1738">
        <f>SUM(POTABLE_NONPOTABLE_API[[#This Row],[NONPOTABLE_DEMAND_RESIDENTIAL_RECYCLED_WATER_GAL]:[NONPOTABLE_DEMAND_NONRESIDENTIAL_METERED_IRRIGATION_GAL]])</f>
        <v>76648325.950000003</v>
      </c>
      <c r="X1738" t="str">
        <f>IFERROR(INDEX(Crosswalk_API!$H$2:$H$527, MATCH(POTABLE_NONPOTABLE_API[[#This Row],[PWSID]], CW_PWSID_LIST, 0)), "")</f>
        <v>No</v>
      </c>
    </row>
    <row r="1739" spans="1:24" x14ac:dyDescent="0.25">
      <c r="A1739" t="s">
        <v>1202</v>
      </c>
      <c r="B1739" t="s">
        <v>1203</v>
      </c>
      <c r="C1739" t="s">
        <v>1204</v>
      </c>
      <c r="D1739" t="s">
        <v>1205</v>
      </c>
      <c r="E1739" s="9">
        <v>45383</v>
      </c>
      <c r="F1739" s="9">
        <v>45412</v>
      </c>
      <c r="G1739">
        <v>459689174.78000003</v>
      </c>
      <c r="H1739">
        <v>0</v>
      </c>
      <c r="I1739">
        <v>157400613.528</v>
      </c>
      <c r="J1739">
        <v>0</v>
      </c>
      <c r="K1739">
        <v>0</v>
      </c>
      <c r="L1739">
        <v>2941340.4640000002</v>
      </c>
      <c r="M1739">
        <v>0</v>
      </c>
      <c r="N1739">
        <v>0</v>
      </c>
      <c r="O1739">
        <v>0</v>
      </c>
      <c r="P1739">
        <v>0</v>
      </c>
      <c r="Q1739">
        <v>0</v>
      </c>
      <c r="R1739">
        <v>14971134.213687999</v>
      </c>
      <c r="S1739">
        <v>80125345.824000001</v>
      </c>
      <c r="T1739" s="9">
        <v>45108</v>
      </c>
      <c r="U1739" s="9">
        <v>45473</v>
      </c>
      <c r="V1739">
        <f>SUM(POTABLE_NONPOTABLE_API[[#This Row],[RESIDENTIAL_SINGLEFAMILY_GAL]:[OTHER_GAL]])</f>
        <v>620031128.77200007</v>
      </c>
      <c r="W1739">
        <f>SUM(POTABLE_NONPOTABLE_API[[#This Row],[NONPOTABLE_DEMAND_RESIDENTIAL_RECYCLED_WATER_GAL]:[NONPOTABLE_DEMAND_NONRESIDENTIAL_METERED_IRRIGATION_GAL]])</f>
        <v>95096480.037688002</v>
      </c>
      <c r="X1739" t="str">
        <f>IFERROR(INDEX(Crosswalk_API!$H$2:$H$527, MATCH(POTABLE_NONPOTABLE_API[[#This Row],[PWSID]], CW_PWSID_LIST, 0)), "")</f>
        <v>No</v>
      </c>
    </row>
    <row r="1740" spans="1:24" x14ac:dyDescent="0.25">
      <c r="A1740" t="s">
        <v>1202</v>
      </c>
      <c r="B1740" t="s">
        <v>1203</v>
      </c>
      <c r="C1740" t="s">
        <v>1204</v>
      </c>
      <c r="D1740" t="s">
        <v>1205</v>
      </c>
      <c r="E1740" s="9">
        <v>45413</v>
      </c>
      <c r="F1740" s="9">
        <v>45443</v>
      </c>
      <c r="G1740">
        <v>595686256</v>
      </c>
      <c r="H1740">
        <v>0</v>
      </c>
      <c r="I1740">
        <v>188914132</v>
      </c>
      <c r="J1740">
        <v>0</v>
      </c>
      <c r="K1740">
        <v>0</v>
      </c>
      <c r="L1740">
        <v>5304816</v>
      </c>
      <c r="M1740">
        <v>0</v>
      </c>
      <c r="N1740">
        <v>0</v>
      </c>
      <c r="O1740">
        <v>0</v>
      </c>
      <c r="P1740">
        <v>0</v>
      </c>
      <c r="Q1740">
        <v>0</v>
      </c>
      <c r="R1740">
        <v>14316076</v>
      </c>
      <c r="S1740">
        <v>93803688</v>
      </c>
      <c r="T1740" s="9">
        <v>45108</v>
      </c>
      <c r="U1740" s="9">
        <v>45473</v>
      </c>
      <c r="V1740">
        <f>SUM(POTABLE_NONPOTABLE_API[[#This Row],[RESIDENTIAL_SINGLEFAMILY_GAL]:[OTHER_GAL]])</f>
        <v>789905204</v>
      </c>
      <c r="W1740">
        <f>SUM(POTABLE_NONPOTABLE_API[[#This Row],[NONPOTABLE_DEMAND_RESIDENTIAL_RECYCLED_WATER_GAL]:[NONPOTABLE_DEMAND_NONRESIDENTIAL_METERED_IRRIGATION_GAL]])</f>
        <v>108119764</v>
      </c>
      <c r="X1740" t="str">
        <f>IFERROR(INDEX(Crosswalk_API!$H$2:$H$527, MATCH(POTABLE_NONPOTABLE_API[[#This Row],[PWSID]], CW_PWSID_LIST, 0)), "")</f>
        <v>No</v>
      </c>
    </row>
    <row r="1741" spans="1:24" x14ac:dyDescent="0.25">
      <c r="A1741" t="s">
        <v>1202</v>
      </c>
      <c r="B1741" t="s">
        <v>1203</v>
      </c>
      <c r="C1741" t="s">
        <v>1204</v>
      </c>
      <c r="D1741" t="s">
        <v>1205</v>
      </c>
      <c r="E1741" s="9">
        <v>45444</v>
      </c>
      <c r="F1741" s="9">
        <v>45473</v>
      </c>
      <c r="G1741">
        <v>687083628</v>
      </c>
      <c r="H1741">
        <v>0</v>
      </c>
      <c r="I1741">
        <v>207682200</v>
      </c>
      <c r="J1741">
        <v>0</v>
      </c>
      <c r="K1741">
        <v>0</v>
      </c>
      <c r="L1741">
        <v>8010332</v>
      </c>
      <c r="M1741">
        <v>0</v>
      </c>
      <c r="N1741">
        <v>0</v>
      </c>
      <c r="O1741">
        <v>0</v>
      </c>
      <c r="P1741">
        <v>0</v>
      </c>
      <c r="Q1741">
        <v>0</v>
      </c>
      <c r="R1741">
        <v>13819647</v>
      </c>
      <c r="S1741">
        <v>112974928</v>
      </c>
      <c r="T1741" s="9">
        <v>45108</v>
      </c>
      <c r="U1741" s="9">
        <v>45473</v>
      </c>
      <c r="V1741">
        <f>SUM(POTABLE_NONPOTABLE_API[[#This Row],[RESIDENTIAL_SINGLEFAMILY_GAL]:[OTHER_GAL]])</f>
        <v>902776160</v>
      </c>
      <c r="W1741">
        <f>SUM(POTABLE_NONPOTABLE_API[[#This Row],[NONPOTABLE_DEMAND_RESIDENTIAL_RECYCLED_WATER_GAL]:[NONPOTABLE_DEMAND_NONRESIDENTIAL_METERED_IRRIGATION_GAL]])</f>
        <v>126794575</v>
      </c>
      <c r="X1741" t="str">
        <f>IFERROR(INDEX(Crosswalk_API!$H$2:$H$527, MATCH(POTABLE_NONPOTABLE_API[[#This Row],[PWSID]], CW_PWSID_LIST, 0)), "")</f>
        <v>No</v>
      </c>
    </row>
    <row r="1742" spans="1:24" x14ac:dyDescent="0.25">
      <c r="A1742" t="s">
        <v>1206</v>
      </c>
      <c r="B1742" t="s">
        <v>1207</v>
      </c>
      <c r="C1742" t="s">
        <v>1208</v>
      </c>
      <c r="D1742" t="s">
        <v>1209</v>
      </c>
      <c r="E1742" s="9">
        <v>45108</v>
      </c>
      <c r="F1742" s="9">
        <v>45138</v>
      </c>
      <c r="G1742">
        <v>154186234.08399999</v>
      </c>
      <c r="H1742">
        <v>6587345.9120000005</v>
      </c>
      <c r="I1742">
        <v>11319522.864</v>
      </c>
      <c r="J1742">
        <v>25377664.100000001</v>
      </c>
      <c r="K1742">
        <v>0</v>
      </c>
      <c r="L1742">
        <v>2695425.8495200002</v>
      </c>
      <c r="M1742">
        <v>0</v>
      </c>
      <c r="T1742" s="9">
        <v>45108</v>
      </c>
      <c r="U1742" s="9">
        <v>45473</v>
      </c>
      <c r="V1742">
        <f>SUM(POTABLE_NONPOTABLE_API[[#This Row],[RESIDENTIAL_SINGLEFAMILY_GAL]:[OTHER_GAL]])</f>
        <v>200166192.80951998</v>
      </c>
      <c r="W1742">
        <f>SUM(POTABLE_NONPOTABLE_API[[#This Row],[NONPOTABLE_DEMAND_RESIDENTIAL_RECYCLED_WATER_GAL]:[NONPOTABLE_DEMAND_NONRESIDENTIAL_METERED_IRRIGATION_GAL]])</f>
        <v>0</v>
      </c>
      <c r="X1742" t="str">
        <f>IFERROR(INDEX(Crosswalk_API!$H$2:$H$527, MATCH(POTABLE_NONPOTABLE_API[[#This Row],[PWSID]], CW_PWSID_LIST, 0)), "")</f>
        <v>No</v>
      </c>
    </row>
    <row r="1743" spans="1:24" x14ac:dyDescent="0.25">
      <c r="A1743" t="s">
        <v>1206</v>
      </c>
      <c r="B1743" t="s">
        <v>1207</v>
      </c>
      <c r="C1743" t="s">
        <v>1208</v>
      </c>
      <c r="D1743" t="s">
        <v>1209</v>
      </c>
      <c r="E1743" s="9">
        <v>45139</v>
      </c>
      <c r="F1743" s="9">
        <v>45169</v>
      </c>
      <c r="G1743">
        <v>160588063.09999999</v>
      </c>
      <c r="H1743">
        <v>6431003.0439999998</v>
      </c>
      <c r="I1743">
        <v>10731553.992000001</v>
      </c>
      <c r="J1743">
        <v>27486422.688000001</v>
      </c>
      <c r="K1743">
        <v>0</v>
      </c>
      <c r="L1743">
        <v>1280665.024</v>
      </c>
      <c r="M1743">
        <v>0</v>
      </c>
      <c r="T1743" s="9">
        <v>45108</v>
      </c>
      <c r="U1743" s="9">
        <v>45473</v>
      </c>
      <c r="V1743">
        <f>SUM(POTABLE_NONPOTABLE_API[[#This Row],[RESIDENTIAL_SINGLEFAMILY_GAL]:[OTHER_GAL]])</f>
        <v>206517707.84799999</v>
      </c>
      <c r="W1743">
        <f>SUM(POTABLE_NONPOTABLE_API[[#This Row],[NONPOTABLE_DEMAND_RESIDENTIAL_RECYCLED_WATER_GAL]:[NONPOTABLE_DEMAND_NONRESIDENTIAL_METERED_IRRIGATION_GAL]])</f>
        <v>0</v>
      </c>
      <c r="X1743" t="str">
        <f>IFERROR(INDEX(Crosswalk_API!$H$2:$H$527, MATCH(POTABLE_NONPOTABLE_API[[#This Row],[PWSID]], CW_PWSID_LIST, 0)), "")</f>
        <v>No</v>
      </c>
    </row>
    <row r="1744" spans="1:24" x14ac:dyDescent="0.25">
      <c r="A1744" t="s">
        <v>1206</v>
      </c>
      <c r="B1744" t="s">
        <v>1207</v>
      </c>
      <c r="C1744" t="s">
        <v>1208</v>
      </c>
      <c r="D1744" t="s">
        <v>1209</v>
      </c>
      <c r="E1744" s="9">
        <v>45170</v>
      </c>
      <c r="F1744" s="9">
        <v>45199</v>
      </c>
      <c r="G1744">
        <v>149053849.31200001</v>
      </c>
      <c r="H1744">
        <v>5758504.2960000001</v>
      </c>
      <c r="I1744">
        <v>9775543.5360000003</v>
      </c>
      <c r="J1744">
        <v>27684656.468000002</v>
      </c>
      <c r="K1744">
        <v>0</v>
      </c>
      <c r="L1744">
        <v>1305971.62316</v>
      </c>
      <c r="M1744">
        <v>0</v>
      </c>
      <c r="T1744" s="9">
        <v>45108</v>
      </c>
      <c r="U1744" s="9">
        <v>45473</v>
      </c>
      <c r="V1744">
        <f>SUM(POTABLE_NONPOTABLE_API[[#This Row],[RESIDENTIAL_SINGLEFAMILY_GAL]:[OTHER_GAL]])</f>
        <v>193578525.23516002</v>
      </c>
      <c r="W1744">
        <f>SUM(POTABLE_NONPOTABLE_API[[#This Row],[NONPOTABLE_DEMAND_RESIDENTIAL_RECYCLED_WATER_GAL]:[NONPOTABLE_DEMAND_NONRESIDENTIAL_METERED_IRRIGATION_GAL]])</f>
        <v>0</v>
      </c>
      <c r="X1744" t="str">
        <f>IFERROR(INDEX(Crosswalk_API!$H$2:$H$527, MATCH(POTABLE_NONPOTABLE_API[[#This Row],[PWSID]], CW_PWSID_LIST, 0)), "")</f>
        <v>No</v>
      </c>
    </row>
    <row r="1745" spans="1:24" x14ac:dyDescent="0.25">
      <c r="A1745" t="s">
        <v>1206</v>
      </c>
      <c r="B1745" t="s">
        <v>1207</v>
      </c>
      <c r="C1745" t="s">
        <v>1208</v>
      </c>
      <c r="D1745" t="s">
        <v>1209</v>
      </c>
      <c r="E1745" s="9">
        <v>45200</v>
      </c>
      <c r="F1745" s="9">
        <v>45230</v>
      </c>
      <c r="G1745">
        <v>129183344.036</v>
      </c>
      <c r="H1745">
        <v>5391958.8160000006</v>
      </c>
      <c r="I1745">
        <v>8997569.4560000002</v>
      </c>
      <c r="J1745">
        <v>22567980.787999999</v>
      </c>
      <c r="K1745">
        <v>0</v>
      </c>
      <c r="L1745">
        <v>1419054.6440000001</v>
      </c>
      <c r="M1745">
        <v>0</v>
      </c>
      <c r="T1745" s="9">
        <v>45108</v>
      </c>
      <c r="U1745" s="9">
        <v>45473</v>
      </c>
      <c r="V1745">
        <f>SUM(POTABLE_NONPOTABLE_API[[#This Row],[RESIDENTIAL_SINGLEFAMILY_GAL]:[OTHER_GAL]])</f>
        <v>167559907.73999998</v>
      </c>
      <c r="W1745">
        <f>SUM(POTABLE_NONPOTABLE_API[[#This Row],[NONPOTABLE_DEMAND_RESIDENTIAL_RECYCLED_WATER_GAL]:[NONPOTABLE_DEMAND_NONRESIDENTIAL_METERED_IRRIGATION_GAL]])</f>
        <v>0</v>
      </c>
      <c r="X1745" t="str">
        <f>IFERROR(INDEX(Crosswalk_API!$H$2:$H$527, MATCH(POTABLE_NONPOTABLE_API[[#This Row],[PWSID]], CW_PWSID_LIST, 0)), "")</f>
        <v>No</v>
      </c>
    </row>
    <row r="1746" spans="1:24" x14ac:dyDescent="0.25">
      <c r="A1746" t="s">
        <v>1206</v>
      </c>
      <c r="B1746" t="s">
        <v>1207</v>
      </c>
      <c r="C1746" t="s">
        <v>1208</v>
      </c>
      <c r="D1746" t="s">
        <v>1209</v>
      </c>
      <c r="E1746" s="9">
        <v>45231</v>
      </c>
      <c r="F1746" s="9">
        <v>45260</v>
      </c>
      <c r="G1746">
        <v>108510178.964</v>
      </c>
      <c r="H1746">
        <v>5371013.3600000003</v>
      </c>
      <c r="I1746">
        <v>8019865.4920000006</v>
      </c>
      <c r="J1746">
        <v>15926775.132000001</v>
      </c>
      <c r="K1746">
        <v>0</v>
      </c>
      <c r="L1746">
        <v>3044055.4841200002</v>
      </c>
      <c r="M1746">
        <v>0</v>
      </c>
      <c r="T1746" s="9">
        <v>45108</v>
      </c>
      <c r="U1746" s="9">
        <v>45473</v>
      </c>
      <c r="V1746">
        <f>SUM(POTABLE_NONPOTABLE_API[[#This Row],[RESIDENTIAL_SINGLEFAMILY_GAL]:[OTHER_GAL]])</f>
        <v>140871888.43212003</v>
      </c>
      <c r="W1746">
        <f>SUM(POTABLE_NONPOTABLE_API[[#This Row],[NONPOTABLE_DEMAND_RESIDENTIAL_RECYCLED_WATER_GAL]:[NONPOTABLE_DEMAND_NONRESIDENTIAL_METERED_IRRIGATION_GAL]])</f>
        <v>0</v>
      </c>
      <c r="X1746" t="str">
        <f>IFERROR(INDEX(Crosswalk_API!$H$2:$H$527, MATCH(POTABLE_NONPOTABLE_API[[#This Row],[PWSID]], CW_PWSID_LIST, 0)), "")</f>
        <v>No</v>
      </c>
    </row>
    <row r="1747" spans="1:24" x14ac:dyDescent="0.25">
      <c r="A1747" t="s">
        <v>1206</v>
      </c>
      <c r="B1747" t="s">
        <v>1207</v>
      </c>
      <c r="C1747" t="s">
        <v>1208</v>
      </c>
      <c r="D1747" t="s">
        <v>1209</v>
      </c>
      <c r="E1747" s="9">
        <v>45261</v>
      </c>
      <c r="F1747" s="9">
        <v>45291</v>
      </c>
      <c r="G1747">
        <v>85010873.436000004</v>
      </c>
      <c r="H1747">
        <v>5236364</v>
      </c>
      <c r="I1747">
        <v>5904374.4359999998</v>
      </c>
      <c r="J1747">
        <v>8522556.4360000007</v>
      </c>
      <c r="K1747">
        <v>0</v>
      </c>
      <c r="L1747">
        <v>3305641.7880000002</v>
      </c>
      <c r="M1747">
        <v>0</v>
      </c>
      <c r="T1747" s="9">
        <v>45108</v>
      </c>
      <c r="U1747" s="9">
        <v>45473</v>
      </c>
      <c r="V1747">
        <f>SUM(POTABLE_NONPOTABLE_API[[#This Row],[RESIDENTIAL_SINGLEFAMILY_GAL]:[OTHER_GAL]])</f>
        <v>107979810.09600002</v>
      </c>
      <c r="W1747">
        <f>SUM(POTABLE_NONPOTABLE_API[[#This Row],[NONPOTABLE_DEMAND_RESIDENTIAL_RECYCLED_WATER_GAL]:[NONPOTABLE_DEMAND_NONRESIDENTIAL_METERED_IRRIGATION_GAL]])</f>
        <v>0</v>
      </c>
      <c r="X1747" t="str">
        <f>IFERROR(INDEX(Crosswalk_API!$H$2:$H$527, MATCH(POTABLE_NONPOTABLE_API[[#This Row],[PWSID]], CW_PWSID_LIST, 0)), "")</f>
        <v>No</v>
      </c>
    </row>
    <row r="1748" spans="1:24" x14ac:dyDescent="0.25">
      <c r="A1748" t="s">
        <v>1206</v>
      </c>
      <c r="B1748" t="s">
        <v>1207</v>
      </c>
      <c r="C1748" t="s">
        <v>1208</v>
      </c>
      <c r="D1748" t="s">
        <v>1209</v>
      </c>
      <c r="E1748" s="9">
        <v>45292</v>
      </c>
      <c r="F1748" s="9">
        <v>45322</v>
      </c>
      <c r="G1748">
        <v>76127755.936000004</v>
      </c>
      <c r="H1748">
        <v>5374753.6200000001</v>
      </c>
      <c r="I1748">
        <v>5516135.4479999999</v>
      </c>
      <c r="J1748">
        <v>2756571.62</v>
      </c>
      <c r="K1748">
        <v>0</v>
      </c>
      <c r="L1748">
        <v>27677.923999999999</v>
      </c>
      <c r="M1748">
        <v>0</v>
      </c>
      <c r="T1748" s="9">
        <v>45108</v>
      </c>
      <c r="U1748" s="9">
        <v>45473</v>
      </c>
      <c r="V1748">
        <f>SUM(POTABLE_NONPOTABLE_API[[#This Row],[RESIDENTIAL_SINGLEFAMILY_GAL]:[OTHER_GAL]])</f>
        <v>89802894.548000008</v>
      </c>
      <c r="W1748">
        <f>SUM(POTABLE_NONPOTABLE_API[[#This Row],[NONPOTABLE_DEMAND_RESIDENTIAL_RECYCLED_WATER_GAL]:[NONPOTABLE_DEMAND_NONRESIDENTIAL_METERED_IRRIGATION_GAL]])</f>
        <v>0</v>
      </c>
      <c r="X1748" t="str">
        <f>IFERROR(INDEX(Crosswalk_API!$H$2:$H$527, MATCH(POTABLE_NONPOTABLE_API[[#This Row],[PWSID]], CW_PWSID_LIST, 0)), "")</f>
        <v>No</v>
      </c>
    </row>
    <row r="1749" spans="1:24" x14ac:dyDescent="0.25">
      <c r="A1749" t="s">
        <v>1206</v>
      </c>
      <c r="B1749" t="s">
        <v>1207</v>
      </c>
      <c r="C1749" t="s">
        <v>1208</v>
      </c>
      <c r="D1749" t="s">
        <v>1209</v>
      </c>
      <c r="E1749" s="9">
        <v>45323</v>
      </c>
      <c r="F1749" s="9">
        <v>45351</v>
      </c>
      <c r="G1749">
        <v>70637054.255999997</v>
      </c>
      <c r="H1749">
        <v>5115927.6280000005</v>
      </c>
      <c r="I1749">
        <v>5617870.5200000005</v>
      </c>
      <c r="J1749">
        <v>1222316.9680000001</v>
      </c>
      <c r="K1749">
        <v>0</v>
      </c>
      <c r="L1749">
        <v>1908063.71692</v>
      </c>
      <c r="M1749">
        <v>0</v>
      </c>
      <c r="T1749" s="9">
        <v>45108</v>
      </c>
      <c r="U1749" s="9">
        <v>45473</v>
      </c>
      <c r="V1749">
        <f>SUM(POTABLE_NONPOTABLE_API[[#This Row],[RESIDENTIAL_SINGLEFAMILY_GAL]:[OTHER_GAL]])</f>
        <v>84501233.088919997</v>
      </c>
      <c r="W1749">
        <f>SUM(POTABLE_NONPOTABLE_API[[#This Row],[NONPOTABLE_DEMAND_RESIDENTIAL_RECYCLED_WATER_GAL]:[NONPOTABLE_DEMAND_NONRESIDENTIAL_METERED_IRRIGATION_GAL]])</f>
        <v>0</v>
      </c>
      <c r="X1749" t="str">
        <f>IFERROR(INDEX(Crosswalk_API!$H$2:$H$527, MATCH(POTABLE_NONPOTABLE_API[[#This Row],[PWSID]], CW_PWSID_LIST, 0)), "")</f>
        <v>No</v>
      </c>
    </row>
    <row r="1750" spans="1:24" x14ac:dyDescent="0.25">
      <c r="A1750" t="s">
        <v>1206</v>
      </c>
      <c r="B1750" t="s">
        <v>1207</v>
      </c>
      <c r="C1750" t="s">
        <v>1208</v>
      </c>
      <c r="D1750" t="s">
        <v>1209</v>
      </c>
      <c r="E1750" s="9">
        <v>45352</v>
      </c>
      <c r="F1750" s="9">
        <v>45382</v>
      </c>
      <c r="G1750">
        <v>70877178.947999999</v>
      </c>
      <c r="H1750">
        <v>4900488.6519999998</v>
      </c>
      <c r="I1750">
        <v>5525112.0719999997</v>
      </c>
      <c r="J1750">
        <v>2507470.304</v>
      </c>
      <c r="K1750">
        <v>0</v>
      </c>
      <c r="L1750">
        <v>849039.02</v>
      </c>
      <c r="M1750">
        <v>0</v>
      </c>
      <c r="T1750" s="9">
        <v>45108</v>
      </c>
      <c r="U1750" s="9">
        <v>45473</v>
      </c>
      <c r="V1750">
        <f>SUM(POTABLE_NONPOTABLE_API[[#This Row],[RESIDENTIAL_SINGLEFAMILY_GAL]:[OTHER_GAL]])</f>
        <v>84659288.995999992</v>
      </c>
      <c r="W1750">
        <f>SUM(POTABLE_NONPOTABLE_API[[#This Row],[NONPOTABLE_DEMAND_RESIDENTIAL_RECYCLED_WATER_GAL]:[NONPOTABLE_DEMAND_NONRESIDENTIAL_METERED_IRRIGATION_GAL]])</f>
        <v>0</v>
      </c>
      <c r="X1750" t="str">
        <f>IFERROR(INDEX(Crosswalk_API!$H$2:$H$527, MATCH(POTABLE_NONPOTABLE_API[[#This Row],[PWSID]], CW_PWSID_LIST, 0)), "")</f>
        <v>No</v>
      </c>
    </row>
    <row r="1751" spans="1:24" x14ac:dyDescent="0.25">
      <c r="A1751" t="s">
        <v>1206</v>
      </c>
      <c r="B1751" t="s">
        <v>1207</v>
      </c>
      <c r="C1751" t="s">
        <v>1208</v>
      </c>
      <c r="D1751" t="s">
        <v>1209</v>
      </c>
      <c r="E1751" s="9">
        <v>45383</v>
      </c>
      <c r="F1751" s="9">
        <v>45412</v>
      </c>
      <c r="G1751">
        <v>90992297.228</v>
      </c>
      <c r="H1751">
        <v>5463771.8080000002</v>
      </c>
      <c r="I1751">
        <v>6401080.9640000006</v>
      </c>
      <c r="J1751">
        <v>8561455.1400000006</v>
      </c>
      <c r="K1751">
        <v>0</v>
      </c>
      <c r="L1751">
        <v>694192.25600000005</v>
      </c>
      <c r="M1751">
        <v>0</v>
      </c>
      <c r="T1751" s="9">
        <v>45108</v>
      </c>
      <c r="U1751" s="9">
        <v>45473</v>
      </c>
      <c r="V1751">
        <f>SUM(POTABLE_NONPOTABLE_API[[#This Row],[RESIDENTIAL_SINGLEFAMILY_GAL]:[OTHER_GAL]])</f>
        <v>112112797.396</v>
      </c>
      <c r="W1751">
        <f>SUM(POTABLE_NONPOTABLE_API[[#This Row],[NONPOTABLE_DEMAND_RESIDENTIAL_RECYCLED_WATER_GAL]:[NONPOTABLE_DEMAND_NONRESIDENTIAL_METERED_IRRIGATION_GAL]])</f>
        <v>0</v>
      </c>
      <c r="X1751" t="str">
        <f>IFERROR(INDEX(Crosswalk_API!$H$2:$H$527, MATCH(POTABLE_NONPOTABLE_API[[#This Row],[PWSID]], CW_PWSID_LIST, 0)), "")</f>
        <v>No</v>
      </c>
    </row>
    <row r="1752" spans="1:24" x14ac:dyDescent="0.25">
      <c r="A1752" t="s">
        <v>1206</v>
      </c>
      <c r="B1752" t="s">
        <v>1207</v>
      </c>
      <c r="C1752" t="s">
        <v>1208</v>
      </c>
      <c r="D1752" t="s">
        <v>1209</v>
      </c>
      <c r="E1752" s="9">
        <v>45413</v>
      </c>
      <c r="F1752" s="9">
        <v>45443</v>
      </c>
      <c r="G1752">
        <v>126174678.892</v>
      </c>
      <c r="H1752">
        <v>5978431.5839999998</v>
      </c>
      <c r="I1752">
        <v>8378182.4000000004</v>
      </c>
      <c r="J1752">
        <v>16572344.008000001</v>
      </c>
      <c r="K1752">
        <v>0</v>
      </c>
      <c r="L1752">
        <v>4958836.7080000006</v>
      </c>
      <c r="M1752">
        <v>0</v>
      </c>
      <c r="T1752" s="9">
        <v>45108</v>
      </c>
      <c r="U1752" s="9">
        <v>45473</v>
      </c>
      <c r="V1752">
        <f>SUM(POTABLE_NONPOTABLE_API[[#This Row],[RESIDENTIAL_SINGLEFAMILY_GAL]:[OTHER_GAL]])</f>
        <v>162062473.59200001</v>
      </c>
      <c r="W1752">
        <f>SUM(POTABLE_NONPOTABLE_API[[#This Row],[NONPOTABLE_DEMAND_RESIDENTIAL_RECYCLED_WATER_GAL]:[NONPOTABLE_DEMAND_NONRESIDENTIAL_METERED_IRRIGATION_GAL]])</f>
        <v>0</v>
      </c>
      <c r="X1752" t="str">
        <f>IFERROR(INDEX(Crosswalk_API!$H$2:$H$527, MATCH(POTABLE_NONPOTABLE_API[[#This Row],[PWSID]], CW_PWSID_LIST, 0)), "")</f>
        <v>No</v>
      </c>
    </row>
    <row r="1753" spans="1:24" x14ac:dyDescent="0.25">
      <c r="A1753" t="s">
        <v>1206</v>
      </c>
      <c r="B1753" t="s">
        <v>1207</v>
      </c>
      <c r="C1753" t="s">
        <v>1208</v>
      </c>
      <c r="D1753" t="s">
        <v>1209</v>
      </c>
      <c r="E1753" s="9">
        <v>45444</v>
      </c>
      <c r="F1753" s="9">
        <v>45473</v>
      </c>
      <c r="G1753">
        <v>159056800.65600002</v>
      </c>
      <c r="H1753">
        <v>7032436.852</v>
      </c>
      <c r="I1753">
        <v>10657496.844000001</v>
      </c>
      <c r="J1753">
        <v>27507368.144000001</v>
      </c>
      <c r="K1753">
        <v>0</v>
      </c>
      <c r="L1753">
        <v>792187.06799999997</v>
      </c>
      <c r="M1753">
        <v>0</v>
      </c>
      <c r="T1753" s="9">
        <v>45108</v>
      </c>
      <c r="U1753" s="9">
        <v>45473</v>
      </c>
      <c r="V1753">
        <f>SUM(POTABLE_NONPOTABLE_API[[#This Row],[RESIDENTIAL_SINGLEFAMILY_GAL]:[OTHER_GAL]])</f>
        <v>205046289.56400001</v>
      </c>
      <c r="W1753">
        <f>SUM(POTABLE_NONPOTABLE_API[[#This Row],[NONPOTABLE_DEMAND_RESIDENTIAL_RECYCLED_WATER_GAL]:[NONPOTABLE_DEMAND_NONRESIDENTIAL_METERED_IRRIGATION_GAL]])</f>
        <v>0</v>
      </c>
      <c r="X1753" t="str">
        <f>IFERROR(INDEX(Crosswalk_API!$H$2:$H$527, MATCH(POTABLE_NONPOTABLE_API[[#This Row],[PWSID]], CW_PWSID_LIST, 0)), "")</f>
        <v>No</v>
      </c>
    </row>
    <row r="1754" spans="1:24" x14ac:dyDescent="0.25">
      <c r="A1754" t="s">
        <v>1210</v>
      </c>
      <c r="B1754" t="s">
        <v>1211</v>
      </c>
      <c r="C1754" t="s">
        <v>1212</v>
      </c>
      <c r="D1754" t="s">
        <v>1213</v>
      </c>
      <c r="E1754" s="9">
        <v>45108</v>
      </c>
      <c r="F1754" s="9">
        <v>45138</v>
      </c>
      <c r="G1754">
        <v>110580000</v>
      </c>
      <c r="H1754">
        <v>0</v>
      </c>
      <c r="I1754">
        <v>22460000</v>
      </c>
      <c r="J1754">
        <v>8460000</v>
      </c>
      <c r="K1754">
        <v>7230000</v>
      </c>
      <c r="L1754">
        <v>40000</v>
      </c>
      <c r="M1754">
        <v>0</v>
      </c>
      <c r="T1754" s="9">
        <v>45108</v>
      </c>
      <c r="U1754" s="9">
        <v>45473</v>
      </c>
      <c r="V1754">
        <f>SUM(POTABLE_NONPOTABLE_API[[#This Row],[RESIDENTIAL_SINGLEFAMILY_GAL]:[OTHER_GAL]])</f>
        <v>148770000</v>
      </c>
      <c r="W1754">
        <f>SUM(POTABLE_NONPOTABLE_API[[#This Row],[NONPOTABLE_DEMAND_RESIDENTIAL_RECYCLED_WATER_GAL]:[NONPOTABLE_DEMAND_NONRESIDENTIAL_METERED_IRRIGATION_GAL]])</f>
        <v>0</v>
      </c>
      <c r="X1754" t="str">
        <f>IFERROR(INDEX(Crosswalk_API!$H$2:$H$527, MATCH(POTABLE_NONPOTABLE_API[[#This Row],[PWSID]], CW_PWSID_LIST, 0)), "")</f>
        <v>No</v>
      </c>
    </row>
    <row r="1755" spans="1:24" x14ac:dyDescent="0.25">
      <c r="A1755" t="s">
        <v>1210</v>
      </c>
      <c r="B1755" t="s">
        <v>1211</v>
      </c>
      <c r="C1755" t="s">
        <v>1212</v>
      </c>
      <c r="D1755" t="s">
        <v>1213</v>
      </c>
      <c r="E1755" s="9">
        <v>45139</v>
      </c>
      <c r="F1755" s="9">
        <v>45169</v>
      </c>
      <c r="G1755">
        <v>113220000</v>
      </c>
      <c r="H1755">
        <v>0</v>
      </c>
      <c r="I1755">
        <v>26050000</v>
      </c>
      <c r="J1755">
        <v>9730000</v>
      </c>
      <c r="K1755">
        <v>9390000</v>
      </c>
      <c r="L1755">
        <v>50000</v>
      </c>
      <c r="M1755">
        <v>0</v>
      </c>
      <c r="T1755" s="9">
        <v>45108</v>
      </c>
      <c r="U1755" s="9">
        <v>45473</v>
      </c>
      <c r="V1755">
        <f>SUM(POTABLE_NONPOTABLE_API[[#This Row],[RESIDENTIAL_SINGLEFAMILY_GAL]:[OTHER_GAL]])</f>
        <v>158440000</v>
      </c>
      <c r="W1755">
        <f>SUM(POTABLE_NONPOTABLE_API[[#This Row],[NONPOTABLE_DEMAND_RESIDENTIAL_RECYCLED_WATER_GAL]:[NONPOTABLE_DEMAND_NONRESIDENTIAL_METERED_IRRIGATION_GAL]])</f>
        <v>0</v>
      </c>
      <c r="X1755" t="str">
        <f>IFERROR(INDEX(Crosswalk_API!$H$2:$H$527, MATCH(POTABLE_NONPOTABLE_API[[#This Row],[PWSID]], CW_PWSID_LIST, 0)), "")</f>
        <v>No</v>
      </c>
    </row>
    <row r="1756" spans="1:24" x14ac:dyDescent="0.25">
      <c r="A1756" t="s">
        <v>1210</v>
      </c>
      <c r="B1756" t="s">
        <v>1211</v>
      </c>
      <c r="C1756" t="s">
        <v>1212</v>
      </c>
      <c r="D1756" t="s">
        <v>1213</v>
      </c>
      <c r="E1756" s="9">
        <v>45170</v>
      </c>
      <c r="F1756" s="9">
        <v>45199</v>
      </c>
      <c r="G1756">
        <v>118290000</v>
      </c>
      <c r="H1756">
        <v>0</v>
      </c>
      <c r="I1756">
        <v>26010000</v>
      </c>
      <c r="J1756">
        <v>12180000</v>
      </c>
      <c r="K1756">
        <v>10140000</v>
      </c>
      <c r="L1756">
        <v>10000</v>
      </c>
      <c r="M1756">
        <v>0</v>
      </c>
      <c r="T1756" s="9">
        <v>45108</v>
      </c>
      <c r="U1756" s="9">
        <v>45473</v>
      </c>
      <c r="V1756">
        <f>SUM(POTABLE_NONPOTABLE_API[[#This Row],[RESIDENTIAL_SINGLEFAMILY_GAL]:[OTHER_GAL]])</f>
        <v>166630000</v>
      </c>
      <c r="W1756">
        <f>SUM(POTABLE_NONPOTABLE_API[[#This Row],[NONPOTABLE_DEMAND_RESIDENTIAL_RECYCLED_WATER_GAL]:[NONPOTABLE_DEMAND_NONRESIDENTIAL_METERED_IRRIGATION_GAL]])</f>
        <v>0</v>
      </c>
      <c r="X1756" t="str">
        <f>IFERROR(INDEX(Crosswalk_API!$H$2:$H$527, MATCH(POTABLE_NONPOTABLE_API[[#This Row],[PWSID]], CW_PWSID_LIST, 0)), "")</f>
        <v>No</v>
      </c>
    </row>
    <row r="1757" spans="1:24" x14ac:dyDescent="0.25">
      <c r="A1757" t="s">
        <v>1210</v>
      </c>
      <c r="B1757" t="s">
        <v>1211</v>
      </c>
      <c r="C1757" t="s">
        <v>1212</v>
      </c>
      <c r="D1757" t="s">
        <v>1213</v>
      </c>
      <c r="E1757" s="9">
        <v>45200</v>
      </c>
      <c r="F1757" s="9">
        <v>45230</v>
      </c>
      <c r="G1757">
        <v>110610000</v>
      </c>
      <c r="H1757">
        <v>0</v>
      </c>
      <c r="I1757">
        <v>28150000</v>
      </c>
      <c r="J1757">
        <v>13960000</v>
      </c>
      <c r="K1757">
        <v>6400000</v>
      </c>
      <c r="L1757">
        <v>30000</v>
      </c>
      <c r="M1757">
        <v>0</v>
      </c>
      <c r="T1757" s="9">
        <v>45108</v>
      </c>
      <c r="U1757" s="9">
        <v>45473</v>
      </c>
      <c r="V1757">
        <f>SUM(POTABLE_NONPOTABLE_API[[#This Row],[RESIDENTIAL_SINGLEFAMILY_GAL]:[OTHER_GAL]])</f>
        <v>159150000</v>
      </c>
      <c r="W1757">
        <f>SUM(POTABLE_NONPOTABLE_API[[#This Row],[NONPOTABLE_DEMAND_RESIDENTIAL_RECYCLED_WATER_GAL]:[NONPOTABLE_DEMAND_NONRESIDENTIAL_METERED_IRRIGATION_GAL]])</f>
        <v>0</v>
      </c>
      <c r="X1757" t="str">
        <f>IFERROR(INDEX(Crosswalk_API!$H$2:$H$527, MATCH(POTABLE_NONPOTABLE_API[[#This Row],[PWSID]], CW_PWSID_LIST, 0)), "")</f>
        <v>No</v>
      </c>
    </row>
    <row r="1758" spans="1:24" x14ac:dyDescent="0.25">
      <c r="A1758" t="s">
        <v>1210</v>
      </c>
      <c r="B1758" t="s">
        <v>1211</v>
      </c>
      <c r="C1758" t="s">
        <v>1212</v>
      </c>
      <c r="D1758" t="s">
        <v>1213</v>
      </c>
      <c r="E1758" s="9">
        <v>45231</v>
      </c>
      <c r="F1758" s="9">
        <v>45260</v>
      </c>
      <c r="G1758">
        <v>82710000</v>
      </c>
      <c r="H1758">
        <v>0</v>
      </c>
      <c r="I1758">
        <v>24430000</v>
      </c>
      <c r="J1758">
        <v>8420000</v>
      </c>
      <c r="K1758">
        <v>8060000.0000000009</v>
      </c>
      <c r="L1758">
        <v>40000</v>
      </c>
      <c r="M1758">
        <v>0</v>
      </c>
      <c r="T1758" s="9">
        <v>45108</v>
      </c>
      <c r="U1758" s="9">
        <v>45473</v>
      </c>
      <c r="V1758">
        <f>SUM(POTABLE_NONPOTABLE_API[[#This Row],[RESIDENTIAL_SINGLEFAMILY_GAL]:[OTHER_GAL]])</f>
        <v>123660000</v>
      </c>
      <c r="W1758">
        <f>SUM(POTABLE_NONPOTABLE_API[[#This Row],[NONPOTABLE_DEMAND_RESIDENTIAL_RECYCLED_WATER_GAL]:[NONPOTABLE_DEMAND_NONRESIDENTIAL_METERED_IRRIGATION_GAL]])</f>
        <v>0</v>
      </c>
      <c r="X1758" t="str">
        <f>IFERROR(INDEX(Crosswalk_API!$H$2:$H$527, MATCH(POTABLE_NONPOTABLE_API[[#This Row],[PWSID]], CW_PWSID_LIST, 0)), "")</f>
        <v>No</v>
      </c>
    </row>
    <row r="1759" spans="1:24" x14ac:dyDescent="0.25">
      <c r="A1759" t="s">
        <v>1210</v>
      </c>
      <c r="B1759" t="s">
        <v>1211</v>
      </c>
      <c r="C1759" t="s">
        <v>1212</v>
      </c>
      <c r="D1759" t="s">
        <v>1213</v>
      </c>
      <c r="E1759" s="9">
        <v>45261</v>
      </c>
      <c r="F1759" s="9">
        <v>45291</v>
      </c>
      <c r="G1759">
        <v>82940000</v>
      </c>
      <c r="H1759">
        <v>0</v>
      </c>
      <c r="I1759">
        <v>13170000</v>
      </c>
      <c r="J1759">
        <v>9050000</v>
      </c>
      <c r="K1759">
        <v>9240000</v>
      </c>
      <c r="L1759">
        <v>20000</v>
      </c>
      <c r="M1759">
        <v>0</v>
      </c>
      <c r="T1759" s="9">
        <v>45108</v>
      </c>
      <c r="U1759" s="9">
        <v>45473</v>
      </c>
      <c r="V1759">
        <f>SUM(POTABLE_NONPOTABLE_API[[#This Row],[RESIDENTIAL_SINGLEFAMILY_GAL]:[OTHER_GAL]])</f>
        <v>114420000</v>
      </c>
      <c r="W1759">
        <f>SUM(POTABLE_NONPOTABLE_API[[#This Row],[NONPOTABLE_DEMAND_RESIDENTIAL_RECYCLED_WATER_GAL]:[NONPOTABLE_DEMAND_NONRESIDENTIAL_METERED_IRRIGATION_GAL]])</f>
        <v>0</v>
      </c>
      <c r="X1759" t="str">
        <f>IFERROR(INDEX(Crosswalk_API!$H$2:$H$527, MATCH(POTABLE_NONPOTABLE_API[[#This Row],[PWSID]], CW_PWSID_LIST, 0)), "")</f>
        <v>No</v>
      </c>
    </row>
    <row r="1760" spans="1:24" x14ac:dyDescent="0.25">
      <c r="A1760" t="s">
        <v>1210</v>
      </c>
      <c r="B1760" t="s">
        <v>1211</v>
      </c>
      <c r="C1760" t="s">
        <v>1212</v>
      </c>
      <c r="D1760" t="s">
        <v>1213</v>
      </c>
      <c r="E1760" s="9">
        <v>45292</v>
      </c>
      <c r="F1760" s="9">
        <v>45322</v>
      </c>
      <c r="G1760">
        <v>65940000</v>
      </c>
      <c r="H1760">
        <v>0</v>
      </c>
      <c r="I1760">
        <v>20120000</v>
      </c>
      <c r="J1760">
        <v>4740000</v>
      </c>
      <c r="K1760">
        <v>8310000.0000000009</v>
      </c>
      <c r="L1760">
        <v>30000</v>
      </c>
      <c r="M1760">
        <v>0</v>
      </c>
      <c r="T1760" s="9">
        <v>45108</v>
      </c>
      <c r="U1760" s="9">
        <v>45473</v>
      </c>
      <c r="V1760">
        <f>SUM(POTABLE_NONPOTABLE_API[[#This Row],[RESIDENTIAL_SINGLEFAMILY_GAL]:[OTHER_GAL]])</f>
        <v>99140000</v>
      </c>
      <c r="W1760">
        <f>SUM(POTABLE_NONPOTABLE_API[[#This Row],[NONPOTABLE_DEMAND_RESIDENTIAL_RECYCLED_WATER_GAL]:[NONPOTABLE_DEMAND_NONRESIDENTIAL_METERED_IRRIGATION_GAL]])</f>
        <v>0</v>
      </c>
      <c r="X1760" t="str">
        <f>IFERROR(INDEX(Crosswalk_API!$H$2:$H$527, MATCH(POTABLE_NONPOTABLE_API[[#This Row],[PWSID]], CW_PWSID_LIST, 0)), "")</f>
        <v>No</v>
      </c>
    </row>
    <row r="1761" spans="1:24" x14ac:dyDescent="0.25">
      <c r="A1761" t="s">
        <v>1210</v>
      </c>
      <c r="B1761" t="s">
        <v>1211</v>
      </c>
      <c r="C1761" t="s">
        <v>1212</v>
      </c>
      <c r="D1761" t="s">
        <v>1213</v>
      </c>
      <c r="E1761" s="9">
        <v>45323</v>
      </c>
      <c r="F1761" s="9">
        <v>45351</v>
      </c>
      <c r="G1761">
        <v>55890000</v>
      </c>
      <c r="H1761">
        <v>0</v>
      </c>
      <c r="I1761">
        <v>13660000</v>
      </c>
      <c r="J1761">
        <v>2580000</v>
      </c>
      <c r="K1761">
        <v>3390000</v>
      </c>
      <c r="L1761">
        <v>40000</v>
      </c>
      <c r="M1761">
        <v>0</v>
      </c>
      <c r="T1761" s="9">
        <v>45108</v>
      </c>
      <c r="U1761" s="9">
        <v>45473</v>
      </c>
      <c r="V1761">
        <f>SUM(POTABLE_NONPOTABLE_API[[#This Row],[RESIDENTIAL_SINGLEFAMILY_GAL]:[OTHER_GAL]])</f>
        <v>75560000</v>
      </c>
      <c r="W1761">
        <f>SUM(POTABLE_NONPOTABLE_API[[#This Row],[NONPOTABLE_DEMAND_RESIDENTIAL_RECYCLED_WATER_GAL]:[NONPOTABLE_DEMAND_NONRESIDENTIAL_METERED_IRRIGATION_GAL]])</f>
        <v>0</v>
      </c>
      <c r="X1761" t="str">
        <f>IFERROR(INDEX(Crosswalk_API!$H$2:$H$527, MATCH(POTABLE_NONPOTABLE_API[[#This Row],[PWSID]], CW_PWSID_LIST, 0)), "")</f>
        <v>No</v>
      </c>
    </row>
    <row r="1762" spans="1:24" x14ac:dyDescent="0.25">
      <c r="A1762" t="s">
        <v>1210</v>
      </c>
      <c r="B1762" t="s">
        <v>1211</v>
      </c>
      <c r="C1762" t="s">
        <v>1212</v>
      </c>
      <c r="D1762" t="s">
        <v>1213</v>
      </c>
      <c r="E1762" s="9">
        <v>45352</v>
      </c>
      <c r="F1762" s="9">
        <v>45382</v>
      </c>
      <c r="G1762">
        <v>50130000</v>
      </c>
      <c r="H1762">
        <v>0</v>
      </c>
      <c r="I1762">
        <v>11300000</v>
      </c>
      <c r="J1762">
        <v>3650000</v>
      </c>
      <c r="K1762">
        <v>7200000</v>
      </c>
      <c r="L1762">
        <v>30000</v>
      </c>
      <c r="M1762">
        <v>0</v>
      </c>
      <c r="T1762" s="9">
        <v>45108</v>
      </c>
      <c r="U1762" s="9">
        <v>45473</v>
      </c>
      <c r="V1762">
        <f>SUM(POTABLE_NONPOTABLE_API[[#This Row],[RESIDENTIAL_SINGLEFAMILY_GAL]:[OTHER_GAL]])</f>
        <v>72310000</v>
      </c>
      <c r="W1762">
        <f>SUM(POTABLE_NONPOTABLE_API[[#This Row],[NONPOTABLE_DEMAND_RESIDENTIAL_RECYCLED_WATER_GAL]:[NONPOTABLE_DEMAND_NONRESIDENTIAL_METERED_IRRIGATION_GAL]])</f>
        <v>0</v>
      </c>
      <c r="X1762" t="str">
        <f>IFERROR(INDEX(Crosswalk_API!$H$2:$H$527, MATCH(POTABLE_NONPOTABLE_API[[#This Row],[PWSID]], CW_PWSID_LIST, 0)), "")</f>
        <v>No</v>
      </c>
    </row>
    <row r="1763" spans="1:24" x14ac:dyDescent="0.25">
      <c r="A1763" t="s">
        <v>1210</v>
      </c>
      <c r="B1763" t="s">
        <v>1211</v>
      </c>
      <c r="C1763" t="s">
        <v>1212</v>
      </c>
      <c r="D1763" t="s">
        <v>1213</v>
      </c>
      <c r="E1763" s="9">
        <v>45383</v>
      </c>
      <c r="F1763" s="9">
        <v>45412</v>
      </c>
      <c r="G1763">
        <v>50470000</v>
      </c>
      <c r="H1763">
        <v>0</v>
      </c>
      <c r="I1763">
        <v>10330000</v>
      </c>
      <c r="J1763">
        <v>3180000</v>
      </c>
      <c r="K1763">
        <v>8970000</v>
      </c>
      <c r="L1763">
        <v>20000</v>
      </c>
      <c r="M1763">
        <v>0</v>
      </c>
      <c r="T1763" s="9">
        <v>45108</v>
      </c>
      <c r="U1763" s="9">
        <v>45473</v>
      </c>
      <c r="V1763">
        <f>SUM(POTABLE_NONPOTABLE_API[[#This Row],[RESIDENTIAL_SINGLEFAMILY_GAL]:[OTHER_GAL]])</f>
        <v>72970000</v>
      </c>
      <c r="W1763">
        <f>SUM(POTABLE_NONPOTABLE_API[[#This Row],[NONPOTABLE_DEMAND_RESIDENTIAL_RECYCLED_WATER_GAL]:[NONPOTABLE_DEMAND_NONRESIDENTIAL_METERED_IRRIGATION_GAL]])</f>
        <v>0</v>
      </c>
      <c r="X1763" t="str">
        <f>IFERROR(INDEX(Crosswalk_API!$H$2:$H$527, MATCH(POTABLE_NONPOTABLE_API[[#This Row],[PWSID]], CW_PWSID_LIST, 0)), "")</f>
        <v>No</v>
      </c>
    </row>
    <row r="1764" spans="1:24" x14ac:dyDescent="0.25">
      <c r="A1764" t="s">
        <v>1210</v>
      </c>
      <c r="B1764" t="s">
        <v>1211</v>
      </c>
      <c r="C1764" t="s">
        <v>1212</v>
      </c>
      <c r="D1764" t="s">
        <v>1213</v>
      </c>
      <c r="E1764" s="9">
        <v>45413</v>
      </c>
      <c r="F1764" s="9">
        <v>45443</v>
      </c>
      <c r="G1764">
        <v>54400000</v>
      </c>
      <c r="H1764">
        <v>0</v>
      </c>
      <c r="I1764">
        <v>12220000</v>
      </c>
      <c r="J1764">
        <v>4600000</v>
      </c>
      <c r="K1764">
        <v>2470000</v>
      </c>
      <c r="L1764">
        <v>20000</v>
      </c>
      <c r="M1764">
        <v>0</v>
      </c>
      <c r="T1764" s="9">
        <v>45108</v>
      </c>
      <c r="U1764" s="9">
        <v>45473</v>
      </c>
      <c r="V1764">
        <f>SUM(POTABLE_NONPOTABLE_API[[#This Row],[RESIDENTIAL_SINGLEFAMILY_GAL]:[OTHER_GAL]])</f>
        <v>73710000</v>
      </c>
      <c r="W1764">
        <f>SUM(POTABLE_NONPOTABLE_API[[#This Row],[NONPOTABLE_DEMAND_RESIDENTIAL_RECYCLED_WATER_GAL]:[NONPOTABLE_DEMAND_NONRESIDENTIAL_METERED_IRRIGATION_GAL]])</f>
        <v>0</v>
      </c>
      <c r="X1764" t="str">
        <f>IFERROR(INDEX(Crosswalk_API!$H$2:$H$527, MATCH(POTABLE_NONPOTABLE_API[[#This Row],[PWSID]], CW_PWSID_LIST, 0)), "")</f>
        <v>No</v>
      </c>
    </row>
    <row r="1765" spans="1:24" x14ac:dyDescent="0.25">
      <c r="A1765" t="s">
        <v>1210</v>
      </c>
      <c r="B1765" t="s">
        <v>1211</v>
      </c>
      <c r="C1765" t="s">
        <v>1212</v>
      </c>
      <c r="D1765" t="s">
        <v>1213</v>
      </c>
      <c r="E1765" s="9">
        <v>45444</v>
      </c>
      <c r="F1765" s="9">
        <v>45473</v>
      </c>
      <c r="G1765">
        <v>75400000</v>
      </c>
      <c r="H1765">
        <v>0</v>
      </c>
      <c r="I1765">
        <v>17460000</v>
      </c>
      <c r="J1765">
        <v>6040000</v>
      </c>
      <c r="K1765">
        <v>12130000</v>
      </c>
      <c r="L1765">
        <v>20000</v>
      </c>
      <c r="M1765">
        <v>0</v>
      </c>
      <c r="T1765" s="9">
        <v>45108</v>
      </c>
      <c r="U1765" s="9">
        <v>45473</v>
      </c>
      <c r="V1765">
        <f>SUM(POTABLE_NONPOTABLE_API[[#This Row],[RESIDENTIAL_SINGLEFAMILY_GAL]:[OTHER_GAL]])</f>
        <v>111050000</v>
      </c>
      <c r="W1765">
        <f>SUM(POTABLE_NONPOTABLE_API[[#This Row],[NONPOTABLE_DEMAND_RESIDENTIAL_RECYCLED_WATER_GAL]:[NONPOTABLE_DEMAND_NONRESIDENTIAL_METERED_IRRIGATION_GAL]])</f>
        <v>0</v>
      </c>
      <c r="X1765" t="str">
        <f>IFERROR(INDEX(Crosswalk_API!$H$2:$H$527, MATCH(POTABLE_NONPOTABLE_API[[#This Row],[PWSID]], CW_PWSID_LIST, 0)), "")</f>
        <v>No</v>
      </c>
    </row>
    <row r="1766" spans="1:24" x14ac:dyDescent="0.25">
      <c r="A1766" t="s">
        <v>1214</v>
      </c>
      <c r="B1766" t="s">
        <v>1215</v>
      </c>
      <c r="C1766" t="s">
        <v>1216</v>
      </c>
      <c r="D1766" t="s">
        <v>1217</v>
      </c>
      <c r="E1766" s="9">
        <v>45108</v>
      </c>
      <c r="F1766" s="9">
        <v>45138</v>
      </c>
      <c r="G1766">
        <v>82506395.340000004</v>
      </c>
      <c r="H1766">
        <v>0</v>
      </c>
      <c r="I1766">
        <v>2057891.0520000001</v>
      </c>
      <c r="J1766">
        <v>28425976</v>
      </c>
      <c r="K1766">
        <v>0</v>
      </c>
      <c r="L1766">
        <v>0</v>
      </c>
      <c r="M1766">
        <v>0</v>
      </c>
      <c r="T1766" s="9">
        <v>45108</v>
      </c>
      <c r="U1766" s="9">
        <v>45473</v>
      </c>
      <c r="V1766">
        <f>SUM(POTABLE_NONPOTABLE_API[[#This Row],[RESIDENTIAL_SINGLEFAMILY_GAL]:[OTHER_GAL]])</f>
        <v>112990262.392</v>
      </c>
      <c r="W1766">
        <f>SUM(POTABLE_NONPOTABLE_API[[#This Row],[NONPOTABLE_DEMAND_RESIDENTIAL_RECYCLED_WATER_GAL]:[NONPOTABLE_DEMAND_NONRESIDENTIAL_METERED_IRRIGATION_GAL]])</f>
        <v>0</v>
      </c>
      <c r="X1766" t="str">
        <f>IFERROR(INDEX(Crosswalk_API!$H$2:$H$527, MATCH(POTABLE_NONPOTABLE_API[[#This Row],[PWSID]], CW_PWSID_LIST, 0)), "")</f>
        <v>No</v>
      </c>
    </row>
    <row r="1767" spans="1:24" x14ac:dyDescent="0.25">
      <c r="A1767" t="s">
        <v>1214</v>
      </c>
      <c r="B1767" t="s">
        <v>1215</v>
      </c>
      <c r="C1767" t="s">
        <v>1216</v>
      </c>
      <c r="D1767" t="s">
        <v>1217</v>
      </c>
      <c r="E1767" s="9">
        <v>45139</v>
      </c>
      <c r="F1767" s="9">
        <v>45169</v>
      </c>
      <c r="G1767">
        <v>80126841.928000003</v>
      </c>
      <c r="H1767">
        <v>0</v>
      </c>
      <c r="I1767">
        <v>2302504.0559999999</v>
      </c>
      <c r="J1767">
        <v>24928832.900000002</v>
      </c>
      <c r="K1767">
        <v>0</v>
      </c>
      <c r="L1767">
        <v>0</v>
      </c>
      <c r="M1767">
        <v>0</v>
      </c>
      <c r="T1767" s="9">
        <v>45108</v>
      </c>
      <c r="U1767" s="9">
        <v>45473</v>
      </c>
      <c r="V1767">
        <f>SUM(POTABLE_NONPOTABLE_API[[#This Row],[RESIDENTIAL_SINGLEFAMILY_GAL]:[OTHER_GAL]])</f>
        <v>107358178.884</v>
      </c>
      <c r="W1767">
        <f>SUM(POTABLE_NONPOTABLE_API[[#This Row],[NONPOTABLE_DEMAND_RESIDENTIAL_RECYCLED_WATER_GAL]:[NONPOTABLE_DEMAND_NONRESIDENTIAL_METERED_IRRIGATION_GAL]])</f>
        <v>0</v>
      </c>
      <c r="X1767" t="str">
        <f>IFERROR(INDEX(Crosswalk_API!$H$2:$H$527, MATCH(POTABLE_NONPOTABLE_API[[#This Row],[PWSID]], CW_PWSID_LIST, 0)), "")</f>
        <v>No</v>
      </c>
    </row>
    <row r="1768" spans="1:24" x14ac:dyDescent="0.25">
      <c r="A1768" t="s">
        <v>1214</v>
      </c>
      <c r="B1768" t="s">
        <v>1215</v>
      </c>
      <c r="C1768" t="s">
        <v>1216</v>
      </c>
      <c r="D1768" t="s">
        <v>1217</v>
      </c>
      <c r="E1768" s="9">
        <v>45170</v>
      </c>
      <c r="F1768" s="9">
        <v>45199</v>
      </c>
      <c r="G1768">
        <v>67987454.071999997</v>
      </c>
      <c r="H1768">
        <v>0</v>
      </c>
      <c r="I1768">
        <v>1611304.0080000001</v>
      </c>
      <c r="J1768">
        <v>17043616.767999999</v>
      </c>
      <c r="K1768">
        <v>0</v>
      </c>
      <c r="L1768">
        <v>0</v>
      </c>
      <c r="M1768">
        <v>0</v>
      </c>
      <c r="T1768" s="9">
        <v>45108</v>
      </c>
      <c r="U1768" s="9">
        <v>45473</v>
      </c>
      <c r="V1768">
        <f>SUM(POTABLE_NONPOTABLE_API[[#This Row],[RESIDENTIAL_SINGLEFAMILY_GAL]:[OTHER_GAL]])</f>
        <v>86642374.84799999</v>
      </c>
      <c r="W1768">
        <f>SUM(POTABLE_NONPOTABLE_API[[#This Row],[NONPOTABLE_DEMAND_RESIDENTIAL_RECYCLED_WATER_GAL]:[NONPOTABLE_DEMAND_NONRESIDENTIAL_METERED_IRRIGATION_GAL]])</f>
        <v>0</v>
      </c>
      <c r="X1768" t="str">
        <f>IFERROR(INDEX(Crosswalk_API!$H$2:$H$527, MATCH(POTABLE_NONPOTABLE_API[[#This Row],[PWSID]], CW_PWSID_LIST, 0)), "")</f>
        <v>No</v>
      </c>
    </row>
    <row r="1769" spans="1:24" x14ac:dyDescent="0.25">
      <c r="A1769" t="s">
        <v>1214</v>
      </c>
      <c r="B1769" t="s">
        <v>1215</v>
      </c>
      <c r="C1769" t="s">
        <v>1216</v>
      </c>
      <c r="D1769" t="s">
        <v>1217</v>
      </c>
      <c r="E1769" s="9">
        <v>45200</v>
      </c>
      <c r="F1769" s="9">
        <v>45230</v>
      </c>
      <c r="G1769">
        <v>61611806.876000002</v>
      </c>
      <c r="H1769">
        <v>0</v>
      </c>
      <c r="I1769">
        <v>1454961.1400000001</v>
      </c>
      <c r="J1769">
        <v>13488873.664000001</v>
      </c>
      <c r="K1769">
        <v>0</v>
      </c>
      <c r="L1769">
        <v>0</v>
      </c>
      <c r="M1769">
        <v>0</v>
      </c>
      <c r="T1769" s="9">
        <v>45108</v>
      </c>
      <c r="U1769" s="9">
        <v>45473</v>
      </c>
      <c r="V1769">
        <f>SUM(POTABLE_NONPOTABLE_API[[#This Row],[RESIDENTIAL_SINGLEFAMILY_GAL]:[OTHER_GAL]])</f>
        <v>76555641.680000007</v>
      </c>
      <c r="W1769">
        <f>SUM(POTABLE_NONPOTABLE_API[[#This Row],[NONPOTABLE_DEMAND_RESIDENTIAL_RECYCLED_WATER_GAL]:[NONPOTABLE_DEMAND_NONRESIDENTIAL_METERED_IRRIGATION_GAL]])</f>
        <v>0</v>
      </c>
      <c r="X1769" t="str">
        <f>IFERROR(INDEX(Crosswalk_API!$H$2:$H$527, MATCH(POTABLE_NONPOTABLE_API[[#This Row],[PWSID]], CW_PWSID_LIST, 0)), "")</f>
        <v>No</v>
      </c>
    </row>
    <row r="1770" spans="1:24" x14ac:dyDescent="0.25">
      <c r="A1770" t="s">
        <v>1214</v>
      </c>
      <c r="B1770" t="s">
        <v>1215</v>
      </c>
      <c r="C1770" t="s">
        <v>1216</v>
      </c>
      <c r="D1770" t="s">
        <v>1217</v>
      </c>
      <c r="E1770" s="9">
        <v>45231</v>
      </c>
      <c r="F1770" s="9">
        <v>45260</v>
      </c>
      <c r="G1770">
        <v>46524346.088</v>
      </c>
      <c r="H1770">
        <v>0</v>
      </c>
      <c r="I1770">
        <v>1185662.42</v>
      </c>
      <c r="J1770">
        <v>5370265.3080000002</v>
      </c>
      <c r="K1770">
        <v>0</v>
      </c>
      <c r="L1770">
        <v>0</v>
      </c>
      <c r="M1770">
        <v>0</v>
      </c>
      <c r="T1770" s="9">
        <v>45108</v>
      </c>
      <c r="U1770" s="9">
        <v>45473</v>
      </c>
      <c r="V1770">
        <f>SUM(POTABLE_NONPOTABLE_API[[#This Row],[RESIDENTIAL_SINGLEFAMILY_GAL]:[OTHER_GAL]])</f>
        <v>53080273.816</v>
      </c>
      <c r="W1770">
        <f>SUM(POTABLE_NONPOTABLE_API[[#This Row],[NONPOTABLE_DEMAND_RESIDENTIAL_RECYCLED_WATER_GAL]:[NONPOTABLE_DEMAND_NONRESIDENTIAL_METERED_IRRIGATION_GAL]])</f>
        <v>0</v>
      </c>
      <c r="X1770" t="str">
        <f>IFERROR(INDEX(Crosswalk_API!$H$2:$H$527, MATCH(POTABLE_NONPOTABLE_API[[#This Row],[PWSID]], CW_PWSID_LIST, 0)), "")</f>
        <v>No</v>
      </c>
    </row>
    <row r="1771" spans="1:24" x14ac:dyDescent="0.25">
      <c r="A1771" t="s">
        <v>1214</v>
      </c>
      <c r="B1771" t="s">
        <v>1215</v>
      </c>
      <c r="C1771" t="s">
        <v>1216</v>
      </c>
      <c r="D1771" t="s">
        <v>1217</v>
      </c>
      <c r="E1771" s="9">
        <v>45261</v>
      </c>
      <c r="F1771" s="9">
        <v>45291</v>
      </c>
      <c r="G1771">
        <v>38986226.083999999</v>
      </c>
      <c r="H1771">
        <v>0</v>
      </c>
      <c r="I1771">
        <v>846794.86400000006</v>
      </c>
      <c r="J1771">
        <v>1148259.82</v>
      </c>
      <c r="K1771">
        <v>0</v>
      </c>
      <c r="L1771">
        <v>0</v>
      </c>
      <c r="M1771">
        <v>0</v>
      </c>
      <c r="T1771" s="9">
        <v>45108</v>
      </c>
      <c r="U1771" s="9">
        <v>45473</v>
      </c>
      <c r="V1771">
        <f>SUM(POTABLE_NONPOTABLE_API[[#This Row],[RESIDENTIAL_SINGLEFAMILY_GAL]:[OTHER_GAL]])</f>
        <v>40981280.767999999</v>
      </c>
      <c r="W1771">
        <f>SUM(POTABLE_NONPOTABLE_API[[#This Row],[NONPOTABLE_DEMAND_RESIDENTIAL_RECYCLED_WATER_GAL]:[NONPOTABLE_DEMAND_NONRESIDENTIAL_METERED_IRRIGATION_GAL]])</f>
        <v>0</v>
      </c>
      <c r="X1771" t="str">
        <f>IFERROR(INDEX(Crosswalk_API!$H$2:$H$527, MATCH(POTABLE_NONPOTABLE_API[[#This Row],[PWSID]], CW_PWSID_LIST, 0)), "")</f>
        <v>No</v>
      </c>
    </row>
    <row r="1772" spans="1:24" x14ac:dyDescent="0.25">
      <c r="A1772" t="s">
        <v>1214</v>
      </c>
      <c r="B1772" t="s">
        <v>1215</v>
      </c>
      <c r="C1772" t="s">
        <v>1216</v>
      </c>
      <c r="D1772" t="s">
        <v>1217</v>
      </c>
      <c r="E1772" s="9">
        <v>45292</v>
      </c>
      <c r="F1772" s="9">
        <v>45322</v>
      </c>
      <c r="G1772">
        <v>32668926.944000002</v>
      </c>
      <c r="H1772">
        <v>0</v>
      </c>
      <c r="I1772">
        <v>853527.33200000005</v>
      </c>
      <c r="J1772">
        <v>588716.924</v>
      </c>
      <c r="K1772">
        <v>0</v>
      </c>
      <c r="L1772">
        <v>0</v>
      </c>
      <c r="M1772">
        <v>0</v>
      </c>
      <c r="T1772" s="9">
        <v>45108</v>
      </c>
      <c r="U1772" s="9">
        <v>45473</v>
      </c>
      <c r="V1772">
        <f>SUM(POTABLE_NONPOTABLE_API[[#This Row],[RESIDENTIAL_SINGLEFAMILY_GAL]:[OTHER_GAL]])</f>
        <v>34111171.200000003</v>
      </c>
      <c r="W1772">
        <f>SUM(POTABLE_NONPOTABLE_API[[#This Row],[NONPOTABLE_DEMAND_RESIDENTIAL_RECYCLED_WATER_GAL]:[NONPOTABLE_DEMAND_NONRESIDENTIAL_METERED_IRRIGATION_GAL]])</f>
        <v>0</v>
      </c>
      <c r="X1772" t="str">
        <f>IFERROR(INDEX(Crosswalk_API!$H$2:$H$527, MATCH(POTABLE_NONPOTABLE_API[[#This Row],[PWSID]], CW_PWSID_LIST, 0)), "")</f>
        <v>No</v>
      </c>
    </row>
    <row r="1773" spans="1:24" x14ac:dyDescent="0.25">
      <c r="A1773" t="s">
        <v>1214</v>
      </c>
      <c r="B1773" t="s">
        <v>1215</v>
      </c>
      <c r="C1773" t="s">
        <v>1216</v>
      </c>
      <c r="D1773" t="s">
        <v>1217</v>
      </c>
      <c r="E1773" s="9">
        <v>45323</v>
      </c>
      <c r="F1773" s="9">
        <v>45351</v>
      </c>
      <c r="G1773">
        <v>30468906.012000002</v>
      </c>
      <c r="H1773">
        <v>0</v>
      </c>
      <c r="I1773">
        <v>778722.13199999998</v>
      </c>
      <c r="J1773">
        <v>552062.37600000005</v>
      </c>
      <c r="K1773">
        <v>0</v>
      </c>
      <c r="L1773">
        <v>0</v>
      </c>
      <c r="M1773">
        <v>0</v>
      </c>
      <c r="T1773" s="9">
        <v>45108</v>
      </c>
      <c r="U1773" s="9">
        <v>45473</v>
      </c>
      <c r="V1773">
        <f>SUM(POTABLE_NONPOTABLE_API[[#This Row],[RESIDENTIAL_SINGLEFAMILY_GAL]:[OTHER_GAL]])</f>
        <v>31799690.52</v>
      </c>
      <c r="W1773">
        <f>SUM(POTABLE_NONPOTABLE_API[[#This Row],[NONPOTABLE_DEMAND_RESIDENTIAL_RECYCLED_WATER_GAL]:[NONPOTABLE_DEMAND_NONRESIDENTIAL_METERED_IRRIGATION_GAL]])</f>
        <v>0</v>
      </c>
      <c r="X1773" t="str">
        <f>IFERROR(INDEX(Crosswalk_API!$H$2:$H$527, MATCH(POTABLE_NONPOTABLE_API[[#This Row],[PWSID]], CW_PWSID_LIST, 0)), "")</f>
        <v>No</v>
      </c>
    </row>
    <row r="1774" spans="1:24" x14ac:dyDescent="0.25">
      <c r="A1774" t="s">
        <v>1214</v>
      </c>
      <c r="B1774" t="s">
        <v>1215</v>
      </c>
      <c r="C1774" t="s">
        <v>1216</v>
      </c>
      <c r="D1774" t="s">
        <v>1217</v>
      </c>
      <c r="E1774" s="9">
        <v>45352</v>
      </c>
      <c r="F1774" s="9">
        <v>45382</v>
      </c>
      <c r="G1774">
        <v>34641540.068000004</v>
      </c>
      <c r="H1774">
        <v>0</v>
      </c>
      <c r="I1774">
        <v>922348.11600000004</v>
      </c>
      <c r="J1774">
        <v>2283802.7560000001</v>
      </c>
      <c r="K1774">
        <v>0</v>
      </c>
      <c r="L1774">
        <v>0</v>
      </c>
      <c r="M1774">
        <v>0</v>
      </c>
      <c r="T1774" s="9">
        <v>45108</v>
      </c>
      <c r="U1774" s="9">
        <v>45473</v>
      </c>
      <c r="V1774">
        <f>SUM(POTABLE_NONPOTABLE_API[[#This Row],[RESIDENTIAL_SINGLEFAMILY_GAL]:[OTHER_GAL]])</f>
        <v>37847690.939999998</v>
      </c>
      <c r="W1774">
        <f>SUM(POTABLE_NONPOTABLE_API[[#This Row],[NONPOTABLE_DEMAND_RESIDENTIAL_RECYCLED_WATER_GAL]:[NONPOTABLE_DEMAND_NONRESIDENTIAL_METERED_IRRIGATION_GAL]])</f>
        <v>0</v>
      </c>
      <c r="X1774" t="str">
        <f>IFERROR(INDEX(Crosswalk_API!$H$2:$H$527, MATCH(POTABLE_NONPOTABLE_API[[#This Row],[PWSID]], CW_PWSID_LIST, 0)), "")</f>
        <v>No</v>
      </c>
    </row>
    <row r="1775" spans="1:24" x14ac:dyDescent="0.25">
      <c r="A1775" t="s">
        <v>1214</v>
      </c>
      <c r="B1775" t="s">
        <v>1215</v>
      </c>
      <c r="C1775" t="s">
        <v>1216</v>
      </c>
      <c r="D1775" t="s">
        <v>1217</v>
      </c>
      <c r="E1775" s="9">
        <v>45383</v>
      </c>
      <c r="F1775" s="9">
        <v>45412</v>
      </c>
      <c r="G1775">
        <v>44209125.148000002</v>
      </c>
      <c r="H1775">
        <v>0</v>
      </c>
      <c r="I1775">
        <v>1210348.1359999999</v>
      </c>
      <c r="J1775">
        <v>8302629.148</v>
      </c>
      <c r="K1775">
        <v>0</v>
      </c>
      <c r="L1775">
        <v>0</v>
      </c>
      <c r="M1775">
        <v>0</v>
      </c>
      <c r="T1775" s="9">
        <v>45108</v>
      </c>
      <c r="U1775" s="9">
        <v>45473</v>
      </c>
      <c r="V1775">
        <f>SUM(POTABLE_NONPOTABLE_API[[#This Row],[RESIDENTIAL_SINGLEFAMILY_GAL]:[OTHER_GAL]])</f>
        <v>53722102.432000004</v>
      </c>
      <c r="W1775">
        <f>SUM(POTABLE_NONPOTABLE_API[[#This Row],[NONPOTABLE_DEMAND_RESIDENTIAL_RECYCLED_WATER_GAL]:[NONPOTABLE_DEMAND_NONRESIDENTIAL_METERED_IRRIGATION_GAL]])</f>
        <v>0</v>
      </c>
      <c r="X1775" t="str">
        <f>IFERROR(INDEX(Crosswalk_API!$H$2:$H$527, MATCH(POTABLE_NONPOTABLE_API[[#This Row],[PWSID]], CW_PWSID_LIST, 0)), "")</f>
        <v>No</v>
      </c>
    </row>
    <row r="1776" spans="1:24" x14ac:dyDescent="0.25">
      <c r="A1776" t="s">
        <v>1214</v>
      </c>
      <c r="B1776" t="s">
        <v>1215</v>
      </c>
      <c r="C1776" t="s">
        <v>1216</v>
      </c>
      <c r="D1776" t="s">
        <v>1217</v>
      </c>
      <c r="E1776" s="9">
        <v>45413</v>
      </c>
      <c r="F1776" s="9">
        <v>45443</v>
      </c>
      <c r="G1776">
        <v>68306124.224000007</v>
      </c>
      <c r="H1776">
        <v>0</v>
      </c>
      <c r="I1776">
        <v>1713039.08</v>
      </c>
      <c r="J1776">
        <v>15985871.24</v>
      </c>
      <c r="K1776">
        <v>0</v>
      </c>
      <c r="L1776">
        <v>0</v>
      </c>
      <c r="M1776">
        <v>0</v>
      </c>
      <c r="T1776" s="9">
        <v>45108</v>
      </c>
      <c r="U1776" s="9">
        <v>45473</v>
      </c>
      <c r="V1776">
        <f>SUM(POTABLE_NONPOTABLE_API[[#This Row],[RESIDENTIAL_SINGLEFAMILY_GAL]:[OTHER_GAL]])</f>
        <v>86005034.544</v>
      </c>
      <c r="W1776">
        <f>SUM(POTABLE_NONPOTABLE_API[[#This Row],[NONPOTABLE_DEMAND_RESIDENTIAL_RECYCLED_WATER_GAL]:[NONPOTABLE_DEMAND_NONRESIDENTIAL_METERED_IRRIGATION_GAL]])</f>
        <v>0</v>
      </c>
      <c r="X1776" t="str">
        <f>IFERROR(INDEX(Crosswalk_API!$H$2:$H$527, MATCH(POTABLE_NONPOTABLE_API[[#This Row],[PWSID]], CW_PWSID_LIST, 0)), "")</f>
        <v>No</v>
      </c>
    </row>
    <row r="1777" spans="1:24" x14ac:dyDescent="0.25">
      <c r="A1777" t="s">
        <v>1214</v>
      </c>
      <c r="B1777" t="s">
        <v>1215</v>
      </c>
      <c r="C1777" t="s">
        <v>1216</v>
      </c>
      <c r="D1777" t="s">
        <v>1217</v>
      </c>
      <c r="E1777" s="9">
        <v>45444</v>
      </c>
      <c r="F1777" s="9">
        <v>45473</v>
      </c>
      <c r="G1777">
        <v>79717657.483999997</v>
      </c>
      <c r="H1777">
        <v>0</v>
      </c>
      <c r="I1777">
        <v>1840207.9200000002</v>
      </c>
      <c r="J1777">
        <v>26925383.688000001</v>
      </c>
      <c r="K1777">
        <v>0</v>
      </c>
      <c r="L1777">
        <v>0</v>
      </c>
      <c r="M1777">
        <v>0</v>
      </c>
      <c r="T1777" s="9">
        <v>45108</v>
      </c>
      <c r="U1777" s="9">
        <v>45473</v>
      </c>
      <c r="V1777">
        <f>SUM(POTABLE_NONPOTABLE_API[[#This Row],[RESIDENTIAL_SINGLEFAMILY_GAL]:[OTHER_GAL]])</f>
        <v>108483249.09200001</v>
      </c>
      <c r="W1777">
        <f>SUM(POTABLE_NONPOTABLE_API[[#This Row],[NONPOTABLE_DEMAND_RESIDENTIAL_RECYCLED_WATER_GAL]:[NONPOTABLE_DEMAND_NONRESIDENTIAL_METERED_IRRIGATION_GAL]])</f>
        <v>0</v>
      </c>
      <c r="X1777" t="str">
        <f>IFERROR(INDEX(Crosswalk_API!$H$2:$H$527, MATCH(POTABLE_NONPOTABLE_API[[#This Row],[PWSID]], CW_PWSID_LIST, 0)), "")</f>
        <v>No</v>
      </c>
    </row>
    <row r="1778" spans="1:24" x14ac:dyDescent="0.25">
      <c r="A1778" t="s">
        <v>1218</v>
      </c>
      <c r="B1778" t="s">
        <v>1219</v>
      </c>
      <c r="C1778" t="s">
        <v>1220</v>
      </c>
      <c r="D1778" t="s">
        <v>1221</v>
      </c>
      <c r="E1778" s="9">
        <v>45108</v>
      </c>
      <c r="F1778" s="9">
        <v>45138</v>
      </c>
      <c r="G1778">
        <v>228454136.09999999</v>
      </c>
      <c r="H1778">
        <v>87507286.049999997</v>
      </c>
      <c r="I1778">
        <v>84994974.839999989</v>
      </c>
      <c r="J1778">
        <v>4776975.66</v>
      </c>
      <c r="K1778">
        <v>13118761.26</v>
      </c>
      <c r="L1778">
        <v>250905.27000000002</v>
      </c>
      <c r="M1778">
        <v>0</v>
      </c>
      <c r="N1778">
        <v>0</v>
      </c>
      <c r="O1778">
        <v>0</v>
      </c>
      <c r="P1778">
        <v>0</v>
      </c>
      <c r="Q1778">
        <v>211803.15</v>
      </c>
      <c r="R1778">
        <v>0</v>
      </c>
      <c r="S1778">
        <v>34641219.810000002</v>
      </c>
      <c r="T1778" s="9">
        <v>45108</v>
      </c>
      <c r="U1778" s="9">
        <v>45473</v>
      </c>
      <c r="V1778">
        <f>SUM(POTABLE_NONPOTABLE_API[[#This Row],[RESIDENTIAL_SINGLEFAMILY_GAL]:[OTHER_GAL]])</f>
        <v>419103039.17999995</v>
      </c>
      <c r="W1778">
        <f>SUM(POTABLE_NONPOTABLE_API[[#This Row],[NONPOTABLE_DEMAND_RESIDENTIAL_RECYCLED_WATER_GAL]:[NONPOTABLE_DEMAND_NONRESIDENTIAL_METERED_IRRIGATION_GAL]])</f>
        <v>34853022.960000001</v>
      </c>
      <c r="X1778" t="str">
        <f>IFERROR(INDEX(Crosswalk_API!$H$2:$H$527, MATCH(POTABLE_NONPOTABLE_API[[#This Row],[PWSID]], CW_PWSID_LIST, 0)), "")</f>
        <v>No</v>
      </c>
    </row>
    <row r="1779" spans="1:24" x14ac:dyDescent="0.25">
      <c r="A1779" t="s">
        <v>1218</v>
      </c>
      <c r="B1779" t="s">
        <v>1219</v>
      </c>
      <c r="C1779" t="s">
        <v>1220</v>
      </c>
      <c r="D1779" t="s">
        <v>1221</v>
      </c>
      <c r="E1779" s="9">
        <v>45139</v>
      </c>
      <c r="F1779" s="9">
        <v>45169</v>
      </c>
      <c r="G1779">
        <v>218590626.33000001</v>
      </c>
      <c r="H1779">
        <v>83730672.959999993</v>
      </c>
      <c r="I1779">
        <v>81325892.579999998</v>
      </c>
      <c r="J1779">
        <v>4571689.5299999993</v>
      </c>
      <c r="K1779">
        <v>12551780.520000001</v>
      </c>
      <c r="L1779">
        <v>241129.74</v>
      </c>
      <c r="M1779">
        <v>0</v>
      </c>
      <c r="N1779">
        <v>0</v>
      </c>
      <c r="O1779">
        <v>0</v>
      </c>
      <c r="P1779">
        <v>0</v>
      </c>
      <c r="Q1779">
        <v>469225.44</v>
      </c>
      <c r="R1779">
        <v>0</v>
      </c>
      <c r="S1779">
        <v>26915292.599999998</v>
      </c>
      <c r="T1779" s="9">
        <v>45108</v>
      </c>
      <c r="U1779" s="9">
        <v>45473</v>
      </c>
      <c r="V1779">
        <f>SUM(POTABLE_NONPOTABLE_API[[#This Row],[RESIDENTIAL_SINGLEFAMILY_GAL]:[OTHER_GAL]])</f>
        <v>401011791.65999997</v>
      </c>
      <c r="W1779">
        <f>SUM(POTABLE_NONPOTABLE_API[[#This Row],[NONPOTABLE_DEMAND_RESIDENTIAL_RECYCLED_WATER_GAL]:[NONPOTABLE_DEMAND_NONRESIDENTIAL_METERED_IRRIGATION_GAL]])</f>
        <v>27384518.039999999</v>
      </c>
      <c r="X1779" t="str">
        <f>IFERROR(INDEX(Crosswalk_API!$H$2:$H$527, MATCH(POTABLE_NONPOTABLE_API[[#This Row],[PWSID]], CW_PWSID_LIST, 0)), "")</f>
        <v>No</v>
      </c>
    </row>
    <row r="1780" spans="1:24" x14ac:dyDescent="0.25">
      <c r="A1780" t="s">
        <v>1218</v>
      </c>
      <c r="B1780" t="s">
        <v>1219</v>
      </c>
      <c r="C1780" t="s">
        <v>1220</v>
      </c>
      <c r="D1780" t="s">
        <v>1221</v>
      </c>
      <c r="E1780" s="9">
        <v>45170</v>
      </c>
      <c r="F1780" s="9">
        <v>45199</v>
      </c>
      <c r="G1780">
        <v>218483095.5</v>
      </c>
      <c r="H1780">
        <v>83688312.329999998</v>
      </c>
      <c r="I1780">
        <v>81283531.950000003</v>
      </c>
      <c r="J1780">
        <v>4568431.0199999996</v>
      </c>
      <c r="K1780">
        <v>12545263.5</v>
      </c>
      <c r="L1780">
        <v>241129.74</v>
      </c>
      <c r="M1780">
        <v>0</v>
      </c>
      <c r="N1780">
        <v>0</v>
      </c>
      <c r="O1780">
        <v>0</v>
      </c>
      <c r="P1780">
        <v>0</v>
      </c>
      <c r="Q1780">
        <v>286748.88</v>
      </c>
      <c r="R1780">
        <v>0</v>
      </c>
      <c r="S1780">
        <v>23650265.579999998</v>
      </c>
      <c r="T1780" s="9">
        <v>45108</v>
      </c>
      <c r="U1780" s="9">
        <v>45473</v>
      </c>
      <c r="V1780">
        <f>SUM(POTABLE_NONPOTABLE_API[[#This Row],[RESIDENTIAL_SINGLEFAMILY_GAL]:[OTHER_GAL]])</f>
        <v>400809764.03999996</v>
      </c>
      <c r="W1780">
        <f>SUM(POTABLE_NONPOTABLE_API[[#This Row],[NONPOTABLE_DEMAND_RESIDENTIAL_RECYCLED_WATER_GAL]:[NONPOTABLE_DEMAND_NONRESIDENTIAL_METERED_IRRIGATION_GAL]])</f>
        <v>23937014.459999997</v>
      </c>
      <c r="X1780" t="str">
        <f>IFERROR(INDEX(Crosswalk_API!$H$2:$H$527, MATCH(POTABLE_NONPOTABLE_API[[#This Row],[PWSID]], CW_PWSID_LIST, 0)), "")</f>
        <v>No</v>
      </c>
    </row>
    <row r="1781" spans="1:24" x14ac:dyDescent="0.25">
      <c r="A1781" t="s">
        <v>1218</v>
      </c>
      <c r="B1781" t="s">
        <v>1219</v>
      </c>
      <c r="C1781" t="s">
        <v>1220</v>
      </c>
      <c r="D1781" t="s">
        <v>1221</v>
      </c>
      <c r="E1781" s="9">
        <v>45200</v>
      </c>
      <c r="F1781" s="9">
        <v>45230</v>
      </c>
      <c r="G1781">
        <v>197908863.36000001</v>
      </c>
      <c r="H1781">
        <v>75809235.150000006</v>
      </c>
      <c r="I1781">
        <v>73629291.960000008</v>
      </c>
      <c r="J1781">
        <v>4138307.6999999997</v>
      </c>
      <c r="K1781">
        <v>11362424.369999999</v>
      </c>
      <c r="L1781">
        <v>218320.17</v>
      </c>
      <c r="M1781">
        <v>0</v>
      </c>
      <c r="N1781">
        <v>0</v>
      </c>
      <c r="O1781">
        <v>0</v>
      </c>
      <c r="P1781">
        <v>0</v>
      </c>
      <c r="Q1781">
        <v>260680.80000000002</v>
      </c>
      <c r="R1781">
        <v>0</v>
      </c>
      <c r="S1781">
        <v>21476839.41</v>
      </c>
      <c r="T1781" s="9">
        <v>45108</v>
      </c>
      <c r="U1781" s="9">
        <v>45473</v>
      </c>
      <c r="V1781">
        <f>SUM(POTABLE_NONPOTABLE_API[[#This Row],[RESIDENTIAL_SINGLEFAMILY_GAL]:[OTHER_GAL]])</f>
        <v>363066442.71000004</v>
      </c>
      <c r="W1781">
        <f>SUM(POTABLE_NONPOTABLE_API[[#This Row],[NONPOTABLE_DEMAND_RESIDENTIAL_RECYCLED_WATER_GAL]:[NONPOTABLE_DEMAND_NONRESIDENTIAL_METERED_IRRIGATION_GAL]])</f>
        <v>21737520.210000001</v>
      </c>
      <c r="X1781" t="str">
        <f>IFERROR(INDEX(Crosswalk_API!$H$2:$H$527, MATCH(POTABLE_NONPOTABLE_API[[#This Row],[PWSID]], CW_PWSID_LIST, 0)), "")</f>
        <v>No</v>
      </c>
    </row>
    <row r="1782" spans="1:24" x14ac:dyDescent="0.25">
      <c r="A1782" t="s">
        <v>1218</v>
      </c>
      <c r="B1782" t="s">
        <v>1219</v>
      </c>
      <c r="C1782" t="s">
        <v>1220</v>
      </c>
      <c r="D1782" t="s">
        <v>1221</v>
      </c>
      <c r="E1782" s="9">
        <v>45231</v>
      </c>
      <c r="F1782" s="9">
        <v>45260</v>
      </c>
      <c r="G1782">
        <v>191756796.48000002</v>
      </c>
      <c r="H1782">
        <v>73453332.420000002</v>
      </c>
      <c r="I1782">
        <v>71341817.939999998</v>
      </c>
      <c r="J1782">
        <v>4011225.81</v>
      </c>
      <c r="K1782">
        <v>11010505.289999999</v>
      </c>
      <c r="L1782">
        <v>211803.15</v>
      </c>
      <c r="M1782">
        <v>0</v>
      </c>
      <c r="N1782">
        <v>0</v>
      </c>
      <c r="O1782">
        <v>0</v>
      </c>
      <c r="P1782">
        <v>0</v>
      </c>
      <c r="Q1782">
        <v>263939.31</v>
      </c>
      <c r="R1782">
        <v>0</v>
      </c>
      <c r="S1782">
        <v>13835633.460000001</v>
      </c>
      <c r="T1782" s="9">
        <v>45108</v>
      </c>
      <c r="U1782" s="9">
        <v>45473</v>
      </c>
      <c r="V1782">
        <f>SUM(POTABLE_NONPOTABLE_API[[#This Row],[RESIDENTIAL_SINGLEFAMILY_GAL]:[OTHER_GAL]])</f>
        <v>351785481.09000003</v>
      </c>
      <c r="W1782">
        <f>SUM(POTABLE_NONPOTABLE_API[[#This Row],[NONPOTABLE_DEMAND_RESIDENTIAL_RECYCLED_WATER_GAL]:[NONPOTABLE_DEMAND_NONRESIDENTIAL_METERED_IRRIGATION_GAL]])</f>
        <v>14099572.770000001</v>
      </c>
      <c r="X1782" t="str">
        <f>IFERROR(INDEX(Crosswalk_API!$H$2:$H$527, MATCH(POTABLE_NONPOTABLE_API[[#This Row],[PWSID]], CW_PWSID_LIST, 0)), "")</f>
        <v>No</v>
      </c>
    </row>
    <row r="1783" spans="1:24" x14ac:dyDescent="0.25">
      <c r="A1783" t="s">
        <v>1218</v>
      </c>
      <c r="B1783" t="s">
        <v>1219</v>
      </c>
      <c r="C1783" t="s">
        <v>1220</v>
      </c>
      <c r="D1783" t="s">
        <v>1221</v>
      </c>
      <c r="E1783" s="9">
        <v>45261</v>
      </c>
      <c r="F1783" s="9">
        <v>45291</v>
      </c>
      <c r="G1783">
        <v>188944702.34999999</v>
      </c>
      <c r="H1783">
        <v>72374765.609999999</v>
      </c>
      <c r="I1783">
        <v>70295836.229999989</v>
      </c>
      <c r="J1783">
        <v>3952572.6300000004</v>
      </c>
      <c r="K1783">
        <v>10850838.299999999</v>
      </c>
      <c r="L1783">
        <v>208544.64000000001</v>
      </c>
      <c r="M1783">
        <v>0</v>
      </c>
      <c r="N1783">
        <v>0</v>
      </c>
      <c r="O1783">
        <v>0</v>
      </c>
      <c r="P1783">
        <v>0</v>
      </c>
      <c r="Q1783">
        <v>234612.72</v>
      </c>
      <c r="R1783">
        <v>0</v>
      </c>
      <c r="S1783">
        <v>8521003.6500000004</v>
      </c>
      <c r="T1783" s="9">
        <v>45108</v>
      </c>
      <c r="U1783" s="9">
        <v>45473</v>
      </c>
      <c r="V1783">
        <f>SUM(POTABLE_NONPOTABLE_API[[#This Row],[RESIDENTIAL_SINGLEFAMILY_GAL]:[OTHER_GAL]])</f>
        <v>346627259.75999993</v>
      </c>
      <c r="W1783">
        <f>SUM(POTABLE_NONPOTABLE_API[[#This Row],[NONPOTABLE_DEMAND_RESIDENTIAL_RECYCLED_WATER_GAL]:[NONPOTABLE_DEMAND_NONRESIDENTIAL_METERED_IRRIGATION_GAL]])</f>
        <v>8755616.370000001</v>
      </c>
      <c r="X1783" t="str">
        <f>IFERROR(INDEX(Crosswalk_API!$H$2:$H$527, MATCH(POTABLE_NONPOTABLE_API[[#This Row],[PWSID]], CW_PWSID_LIST, 0)), "")</f>
        <v>No</v>
      </c>
    </row>
    <row r="1784" spans="1:24" x14ac:dyDescent="0.25">
      <c r="A1784" t="s">
        <v>1218</v>
      </c>
      <c r="B1784" t="s">
        <v>1219</v>
      </c>
      <c r="C1784" t="s">
        <v>1220</v>
      </c>
      <c r="D1784" t="s">
        <v>1221</v>
      </c>
      <c r="E1784" s="9">
        <v>45292</v>
      </c>
      <c r="F1784" s="9">
        <v>45322</v>
      </c>
      <c r="G1784">
        <v>156222744.93000001</v>
      </c>
      <c r="H1784">
        <v>59839277.639999993</v>
      </c>
      <c r="I1784">
        <v>58122042.870000005</v>
      </c>
      <c r="J1784">
        <v>3268285.53</v>
      </c>
      <c r="K1784">
        <v>8970678.0300000012</v>
      </c>
      <c r="L1784">
        <v>172701.03</v>
      </c>
      <c r="M1784">
        <v>0</v>
      </c>
      <c r="N1784">
        <v>0</v>
      </c>
      <c r="O1784">
        <v>0</v>
      </c>
      <c r="P1784">
        <v>0</v>
      </c>
      <c r="Q1784">
        <v>101013.81</v>
      </c>
      <c r="R1784">
        <v>0</v>
      </c>
      <c r="S1784">
        <v>3708184.3800000004</v>
      </c>
      <c r="T1784" s="9">
        <v>45108</v>
      </c>
      <c r="U1784" s="9">
        <v>45473</v>
      </c>
      <c r="V1784">
        <f>SUM(POTABLE_NONPOTABLE_API[[#This Row],[RESIDENTIAL_SINGLEFAMILY_GAL]:[OTHER_GAL]])</f>
        <v>286595730.02999997</v>
      </c>
      <c r="W1784">
        <f>SUM(POTABLE_NONPOTABLE_API[[#This Row],[NONPOTABLE_DEMAND_RESIDENTIAL_RECYCLED_WATER_GAL]:[NONPOTABLE_DEMAND_NONRESIDENTIAL_METERED_IRRIGATION_GAL]])</f>
        <v>3809198.1900000004</v>
      </c>
      <c r="X1784" t="str">
        <f>IFERROR(INDEX(Crosswalk_API!$H$2:$H$527, MATCH(POTABLE_NONPOTABLE_API[[#This Row],[PWSID]], CW_PWSID_LIST, 0)), "")</f>
        <v>No</v>
      </c>
    </row>
    <row r="1785" spans="1:24" x14ac:dyDescent="0.25">
      <c r="A1785" t="s">
        <v>1218</v>
      </c>
      <c r="B1785" t="s">
        <v>1219</v>
      </c>
      <c r="C1785" t="s">
        <v>1220</v>
      </c>
      <c r="D1785" t="s">
        <v>1221</v>
      </c>
      <c r="E1785" s="9">
        <v>45323</v>
      </c>
      <c r="F1785" s="9">
        <v>45351</v>
      </c>
      <c r="G1785">
        <v>137349455.00999999</v>
      </c>
      <c r="H1785">
        <v>52611902.460000001</v>
      </c>
      <c r="I1785">
        <v>51099953.82</v>
      </c>
      <c r="J1785">
        <v>2874005.8200000003</v>
      </c>
      <c r="K1785">
        <v>7885594.2000000002</v>
      </c>
      <c r="L1785">
        <v>149891.46000000002</v>
      </c>
      <c r="M1785">
        <v>0</v>
      </c>
      <c r="N1785">
        <v>0</v>
      </c>
      <c r="O1785">
        <v>0</v>
      </c>
      <c r="P1785">
        <v>0</v>
      </c>
      <c r="Q1785">
        <v>146632.95000000001</v>
      </c>
      <c r="R1785">
        <v>0</v>
      </c>
      <c r="S1785">
        <v>1052498.73</v>
      </c>
      <c r="T1785" s="9">
        <v>45108</v>
      </c>
      <c r="U1785" s="9">
        <v>45473</v>
      </c>
      <c r="V1785">
        <f>SUM(POTABLE_NONPOTABLE_API[[#This Row],[RESIDENTIAL_SINGLEFAMILY_GAL]:[OTHER_GAL]])</f>
        <v>251970802.76999998</v>
      </c>
      <c r="W1785">
        <f>SUM(POTABLE_NONPOTABLE_API[[#This Row],[NONPOTABLE_DEMAND_RESIDENTIAL_RECYCLED_WATER_GAL]:[NONPOTABLE_DEMAND_NONRESIDENTIAL_METERED_IRRIGATION_GAL]])</f>
        <v>1199131.68</v>
      </c>
      <c r="X1785" t="str">
        <f>IFERROR(INDEX(Crosswalk_API!$H$2:$H$527, MATCH(POTABLE_NONPOTABLE_API[[#This Row],[PWSID]], CW_PWSID_LIST, 0)), "")</f>
        <v>No</v>
      </c>
    </row>
    <row r="1786" spans="1:24" x14ac:dyDescent="0.25">
      <c r="A1786" t="s">
        <v>1218</v>
      </c>
      <c r="B1786" t="s">
        <v>1219</v>
      </c>
      <c r="C1786" t="s">
        <v>1220</v>
      </c>
      <c r="D1786" t="s">
        <v>1221</v>
      </c>
      <c r="E1786" s="9">
        <v>45352</v>
      </c>
      <c r="F1786" s="9">
        <v>45382</v>
      </c>
      <c r="G1786">
        <v>166842229.01999998</v>
      </c>
      <c r="H1786">
        <v>63909156.629999995</v>
      </c>
      <c r="I1786">
        <v>62071356.990000002</v>
      </c>
      <c r="J1786">
        <v>3489864.2100000004</v>
      </c>
      <c r="K1786">
        <v>9580019.4000000004</v>
      </c>
      <c r="L1786">
        <v>182476.56000000003</v>
      </c>
      <c r="M1786">
        <v>0</v>
      </c>
      <c r="N1786">
        <v>0</v>
      </c>
      <c r="O1786">
        <v>0</v>
      </c>
      <c r="P1786">
        <v>0</v>
      </c>
      <c r="Q1786">
        <v>104272.32000000001</v>
      </c>
      <c r="R1786">
        <v>0</v>
      </c>
      <c r="S1786">
        <v>4933384.1400000006</v>
      </c>
      <c r="T1786" s="9">
        <v>45108</v>
      </c>
      <c r="U1786" s="9">
        <v>45473</v>
      </c>
      <c r="V1786">
        <f>SUM(POTABLE_NONPOTABLE_API[[#This Row],[RESIDENTIAL_SINGLEFAMILY_GAL]:[OTHER_GAL]])</f>
        <v>306075102.80999994</v>
      </c>
      <c r="W1786">
        <f>SUM(POTABLE_NONPOTABLE_API[[#This Row],[NONPOTABLE_DEMAND_RESIDENTIAL_RECYCLED_WATER_GAL]:[NONPOTABLE_DEMAND_NONRESIDENTIAL_METERED_IRRIGATION_GAL]])</f>
        <v>5037656.4600000009</v>
      </c>
      <c r="X1786" t="str">
        <f>IFERROR(INDEX(Crosswalk_API!$H$2:$H$527, MATCH(POTABLE_NONPOTABLE_API[[#This Row],[PWSID]], CW_PWSID_LIST, 0)), "")</f>
        <v>No</v>
      </c>
    </row>
    <row r="1787" spans="1:24" x14ac:dyDescent="0.25">
      <c r="A1787" t="s">
        <v>1218</v>
      </c>
      <c r="B1787" t="s">
        <v>1219</v>
      </c>
      <c r="C1787" t="s">
        <v>1220</v>
      </c>
      <c r="D1787" t="s">
        <v>1221</v>
      </c>
      <c r="E1787" s="9">
        <v>45383</v>
      </c>
      <c r="F1787" s="9">
        <v>45412</v>
      </c>
      <c r="G1787">
        <v>157868292.48000002</v>
      </c>
      <c r="H1787">
        <v>60471428.580000006</v>
      </c>
      <c r="I1787">
        <v>58734642.75</v>
      </c>
      <c r="J1787">
        <v>3300870.6300000004</v>
      </c>
      <c r="K1787">
        <v>9065174.8200000003</v>
      </c>
      <c r="L1787">
        <v>172701.03</v>
      </c>
      <c r="M1787">
        <v>0</v>
      </c>
      <c r="N1787">
        <v>0</v>
      </c>
      <c r="O1787">
        <v>0</v>
      </c>
      <c r="P1787">
        <v>0</v>
      </c>
      <c r="Q1787">
        <v>104272.32000000001</v>
      </c>
      <c r="R1787">
        <v>0</v>
      </c>
      <c r="S1787">
        <v>10759600.020000001</v>
      </c>
      <c r="T1787" s="9">
        <v>45108</v>
      </c>
      <c r="U1787" s="9">
        <v>45473</v>
      </c>
      <c r="V1787">
        <f>SUM(POTABLE_NONPOTABLE_API[[#This Row],[RESIDENTIAL_SINGLEFAMILY_GAL]:[OTHER_GAL]])</f>
        <v>289613110.29000002</v>
      </c>
      <c r="W1787">
        <f>SUM(POTABLE_NONPOTABLE_API[[#This Row],[NONPOTABLE_DEMAND_RESIDENTIAL_RECYCLED_WATER_GAL]:[NONPOTABLE_DEMAND_NONRESIDENTIAL_METERED_IRRIGATION_GAL]])</f>
        <v>10863872.340000002</v>
      </c>
      <c r="X1787" t="str">
        <f>IFERROR(INDEX(Crosswalk_API!$H$2:$H$527, MATCH(POTABLE_NONPOTABLE_API[[#This Row],[PWSID]], CW_PWSID_LIST, 0)), "")</f>
        <v>No</v>
      </c>
    </row>
    <row r="1788" spans="1:24" x14ac:dyDescent="0.25">
      <c r="A1788" t="s">
        <v>1218</v>
      </c>
      <c r="B1788" t="s">
        <v>1219</v>
      </c>
      <c r="C1788" t="s">
        <v>1220</v>
      </c>
      <c r="D1788" t="s">
        <v>1221</v>
      </c>
      <c r="E1788" s="9">
        <v>45413</v>
      </c>
      <c r="F1788" s="9">
        <v>45443</v>
      </c>
      <c r="G1788">
        <v>195018564.99000001</v>
      </c>
      <c r="H1788">
        <v>74701341.75</v>
      </c>
      <c r="I1788">
        <v>72553983.659999996</v>
      </c>
      <c r="J1788">
        <v>4079654.52</v>
      </c>
      <c r="K1788">
        <v>11199498.869999999</v>
      </c>
      <c r="L1788">
        <v>215061.66</v>
      </c>
      <c r="M1788">
        <v>0</v>
      </c>
      <c r="N1788">
        <v>0</v>
      </c>
      <c r="O1788">
        <v>0</v>
      </c>
      <c r="P1788">
        <v>0</v>
      </c>
      <c r="Q1788">
        <v>221578.68000000002</v>
      </c>
      <c r="R1788">
        <v>0</v>
      </c>
      <c r="S1788">
        <v>19837808.880000003</v>
      </c>
      <c r="T1788" s="9">
        <v>45108</v>
      </c>
      <c r="U1788" s="9">
        <v>45473</v>
      </c>
      <c r="V1788">
        <f>SUM(POTABLE_NONPOTABLE_API[[#This Row],[RESIDENTIAL_SINGLEFAMILY_GAL]:[OTHER_GAL]])</f>
        <v>357768105.44999999</v>
      </c>
      <c r="W1788">
        <f>SUM(POTABLE_NONPOTABLE_API[[#This Row],[NONPOTABLE_DEMAND_RESIDENTIAL_RECYCLED_WATER_GAL]:[NONPOTABLE_DEMAND_NONRESIDENTIAL_METERED_IRRIGATION_GAL]])</f>
        <v>20059387.560000002</v>
      </c>
      <c r="X1788" t="str">
        <f>IFERROR(INDEX(Crosswalk_API!$H$2:$H$527, MATCH(POTABLE_NONPOTABLE_API[[#This Row],[PWSID]], CW_PWSID_LIST, 0)), "")</f>
        <v>No</v>
      </c>
    </row>
    <row r="1789" spans="1:24" x14ac:dyDescent="0.25">
      <c r="A1789" t="s">
        <v>1218</v>
      </c>
      <c r="B1789" t="s">
        <v>1219</v>
      </c>
      <c r="C1789" t="s">
        <v>1220</v>
      </c>
      <c r="D1789" t="s">
        <v>1221</v>
      </c>
      <c r="E1789" s="9">
        <v>45444</v>
      </c>
      <c r="F1789" s="9">
        <v>45473</v>
      </c>
      <c r="G1789">
        <v>212783961.50999999</v>
      </c>
      <c r="H1789">
        <v>81508369.140000001</v>
      </c>
      <c r="I1789">
        <v>79165500.450000003</v>
      </c>
      <c r="J1789">
        <v>4451124.66</v>
      </c>
      <c r="K1789">
        <v>12219412.5</v>
      </c>
      <c r="L1789">
        <v>234612.72</v>
      </c>
      <c r="M1789">
        <v>0</v>
      </c>
      <c r="N1789">
        <v>0</v>
      </c>
      <c r="O1789">
        <v>0</v>
      </c>
      <c r="P1789">
        <v>0</v>
      </c>
      <c r="Q1789">
        <v>244388.25</v>
      </c>
      <c r="R1789">
        <v>0</v>
      </c>
      <c r="S1789">
        <v>25624922.640000001</v>
      </c>
      <c r="T1789" s="9">
        <v>45108</v>
      </c>
      <c r="U1789" s="9">
        <v>45473</v>
      </c>
      <c r="V1789">
        <f>SUM(POTABLE_NONPOTABLE_API[[#This Row],[RESIDENTIAL_SINGLEFAMILY_GAL]:[OTHER_GAL]])</f>
        <v>390362980.98000002</v>
      </c>
      <c r="W1789">
        <f>SUM(POTABLE_NONPOTABLE_API[[#This Row],[NONPOTABLE_DEMAND_RESIDENTIAL_RECYCLED_WATER_GAL]:[NONPOTABLE_DEMAND_NONRESIDENTIAL_METERED_IRRIGATION_GAL]])</f>
        <v>25869310.890000001</v>
      </c>
      <c r="X1789" t="str">
        <f>IFERROR(INDEX(Crosswalk_API!$H$2:$H$527, MATCH(POTABLE_NONPOTABLE_API[[#This Row],[PWSID]], CW_PWSID_LIST, 0)), "")</f>
        <v>No</v>
      </c>
    </row>
    <row r="1790" spans="1:24" x14ac:dyDescent="0.25">
      <c r="A1790" t="s">
        <v>1222</v>
      </c>
      <c r="B1790" t="s">
        <v>1223</v>
      </c>
      <c r="C1790" t="s">
        <v>1224</v>
      </c>
      <c r="D1790" t="s">
        <v>1225</v>
      </c>
      <c r="E1790" s="9">
        <v>45108</v>
      </c>
      <c r="F1790" s="9">
        <v>45138</v>
      </c>
      <c r="G1790">
        <v>173975248</v>
      </c>
      <c r="H1790">
        <v>50640721</v>
      </c>
      <c r="I1790">
        <v>37126017</v>
      </c>
      <c r="J1790">
        <v>49908842</v>
      </c>
      <c r="K1790">
        <v>0</v>
      </c>
      <c r="L1790">
        <v>0</v>
      </c>
      <c r="M1790">
        <v>0</v>
      </c>
      <c r="N1790">
        <v>0</v>
      </c>
      <c r="O1790">
        <v>0</v>
      </c>
      <c r="P1790">
        <v>0</v>
      </c>
      <c r="Q1790">
        <v>81244</v>
      </c>
      <c r="R1790">
        <v>0</v>
      </c>
      <c r="S1790">
        <v>136242588</v>
      </c>
      <c r="T1790" s="9">
        <v>45108</v>
      </c>
      <c r="U1790" s="9">
        <v>45473</v>
      </c>
      <c r="V1790">
        <f>SUM(POTABLE_NONPOTABLE_API[[#This Row],[RESIDENTIAL_SINGLEFAMILY_GAL]:[OTHER_GAL]])</f>
        <v>311650828</v>
      </c>
      <c r="W1790">
        <f>SUM(POTABLE_NONPOTABLE_API[[#This Row],[NONPOTABLE_DEMAND_RESIDENTIAL_RECYCLED_WATER_GAL]:[NONPOTABLE_DEMAND_NONRESIDENTIAL_METERED_IRRIGATION_GAL]])</f>
        <v>136323832</v>
      </c>
      <c r="X1790" t="str">
        <f>IFERROR(INDEX(Crosswalk_API!$H$2:$H$527, MATCH(POTABLE_NONPOTABLE_API[[#This Row],[PWSID]], CW_PWSID_LIST, 0)), "")</f>
        <v>No</v>
      </c>
    </row>
    <row r="1791" spans="1:24" x14ac:dyDescent="0.25">
      <c r="A1791" t="s">
        <v>1222</v>
      </c>
      <c r="B1791" t="s">
        <v>1223</v>
      </c>
      <c r="C1791" t="s">
        <v>1224</v>
      </c>
      <c r="D1791" t="s">
        <v>1225</v>
      </c>
      <c r="E1791" s="9">
        <v>45139</v>
      </c>
      <c r="F1791" s="9">
        <v>45169</v>
      </c>
      <c r="G1791">
        <v>180879230</v>
      </c>
      <c r="H1791">
        <v>53016566</v>
      </c>
      <c r="I1791">
        <v>39065516</v>
      </c>
      <c r="J1791">
        <v>53792563</v>
      </c>
      <c r="K1791">
        <v>0</v>
      </c>
      <c r="L1791">
        <v>2561152</v>
      </c>
      <c r="M1791">
        <v>0</v>
      </c>
      <c r="N1791">
        <v>0</v>
      </c>
      <c r="O1791">
        <v>0</v>
      </c>
      <c r="P1791">
        <v>0</v>
      </c>
      <c r="Q1791">
        <v>1013584</v>
      </c>
      <c r="R1791">
        <v>0</v>
      </c>
      <c r="S1791">
        <v>132760452</v>
      </c>
      <c r="T1791" s="9">
        <v>45108</v>
      </c>
      <c r="U1791" s="9">
        <v>45473</v>
      </c>
      <c r="V1791">
        <f>SUM(POTABLE_NONPOTABLE_API[[#This Row],[RESIDENTIAL_SINGLEFAMILY_GAL]:[OTHER_GAL]])</f>
        <v>329315027</v>
      </c>
      <c r="W1791">
        <f>SUM(POTABLE_NONPOTABLE_API[[#This Row],[NONPOTABLE_DEMAND_RESIDENTIAL_RECYCLED_WATER_GAL]:[NONPOTABLE_DEMAND_NONRESIDENTIAL_METERED_IRRIGATION_GAL]])</f>
        <v>133774036</v>
      </c>
      <c r="X1791" t="str">
        <f>IFERROR(INDEX(Crosswalk_API!$H$2:$H$527, MATCH(POTABLE_NONPOTABLE_API[[#This Row],[PWSID]], CW_PWSID_LIST, 0)), "")</f>
        <v>No</v>
      </c>
    </row>
    <row r="1792" spans="1:24" x14ac:dyDescent="0.25">
      <c r="A1792" t="s">
        <v>1222</v>
      </c>
      <c r="B1792" t="s">
        <v>1223</v>
      </c>
      <c r="C1792" t="s">
        <v>1224</v>
      </c>
      <c r="D1792" t="s">
        <v>1225</v>
      </c>
      <c r="E1792" s="9">
        <v>45170</v>
      </c>
      <c r="F1792" s="9">
        <v>45199</v>
      </c>
      <c r="G1792">
        <v>163226745</v>
      </c>
      <c r="H1792">
        <v>50535752</v>
      </c>
      <c r="I1792">
        <v>35918058</v>
      </c>
      <c r="J1792">
        <v>46999401</v>
      </c>
      <c r="K1792">
        <v>0</v>
      </c>
      <c r="L1792">
        <v>0</v>
      </c>
      <c r="M1792">
        <v>0</v>
      </c>
      <c r="N1792">
        <v>0</v>
      </c>
      <c r="O1792">
        <v>0</v>
      </c>
      <c r="P1792">
        <v>0</v>
      </c>
      <c r="Q1792">
        <v>33748</v>
      </c>
      <c r="R1792">
        <v>0</v>
      </c>
      <c r="S1792">
        <v>97857982</v>
      </c>
      <c r="T1792" s="9">
        <v>45108</v>
      </c>
      <c r="U1792" s="9">
        <v>45473</v>
      </c>
      <c r="V1792">
        <f>SUM(POTABLE_NONPOTABLE_API[[#This Row],[RESIDENTIAL_SINGLEFAMILY_GAL]:[OTHER_GAL]])</f>
        <v>296679956</v>
      </c>
      <c r="W1792">
        <f>SUM(POTABLE_NONPOTABLE_API[[#This Row],[NONPOTABLE_DEMAND_RESIDENTIAL_RECYCLED_WATER_GAL]:[NONPOTABLE_DEMAND_NONRESIDENTIAL_METERED_IRRIGATION_GAL]])</f>
        <v>97891730</v>
      </c>
      <c r="X1792" t="str">
        <f>IFERROR(INDEX(Crosswalk_API!$H$2:$H$527, MATCH(POTABLE_NONPOTABLE_API[[#This Row],[PWSID]], CW_PWSID_LIST, 0)), "")</f>
        <v>No</v>
      </c>
    </row>
    <row r="1793" spans="1:24" x14ac:dyDescent="0.25">
      <c r="A1793" t="s">
        <v>1222</v>
      </c>
      <c r="B1793" t="s">
        <v>1223</v>
      </c>
      <c r="C1793" t="s">
        <v>1224</v>
      </c>
      <c r="D1793" t="s">
        <v>1225</v>
      </c>
      <c r="E1793" s="9">
        <v>45200</v>
      </c>
      <c r="F1793" s="9">
        <v>45230</v>
      </c>
      <c r="G1793">
        <v>151285023</v>
      </c>
      <c r="H1793">
        <v>51670893</v>
      </c>
      <c r="I1793">
        <v>33421617</v>
      </c>
      <c r="J1793">
        <v>38842277</v>
      </c>
      <c r="K1793">
        <v>0</v>
      </c>
      <c r="L1793">
        <v>10834032</v>
      </c>
      <c r="M1793">
        <v>0</v>
      </c>
      <c r="N1793">
        <v>0</v>
      </c>
      <c r="O1793">
        <v>0</v>
      </c>
      <c r="P1793">
        <v>0</v>
      </c>
      <c r="Q1793">
        <v>591176</v>
      </c>
      <c r="R1793">
        <v>0</v>
      </c>
      <c r="S1793">
        <v>76334867</v>
      </c>
      <c r="T1793" s="9">
        <v>45108</v>
      </c>
      <c r="U1793" s="9">
        <v>45473</v>
      </c>
      <c r="V1793">
        <f>SUM(POTABLE_NONPOTABLE_API[[#This Row],[RESIDENTIAL_SINGLEFAMILY_GAL]:[OTHER_GAL]])</f>
        <v>286053842</v>
      </c>
      <c r="W1793">
        <f>SUM(POTABLE_NONPOTABLE_API[[#This Row],[NONPOTABLE_DEMAND_RESIDENTIAL_RECYCLED_WATER_GAL]:[NONPOTABLE_DEMAND_NONRESIDENTIAL_METERED_IRRIGATION_GAL]])</f>
        <v>76926043</v>
      </c>
      <c r="X1793" t="str">
        <f>IFERROR(INDEX(Crosswalk_API!$H$2:$H$527, MATCH(POTABLE_NONPOTABLE_API[[#This Row],[PWSID]], CW_PWSID_LIST, 0)), "")</f>
        <v>No</v>
      </c>
    </row>
    <row r="1794" spans="1:24" x14ac:dyDescent="0.25">
      <c r="A1794" t="s">
        <v>1222</v>
      </c>
      <c r="B1794" t="s">
        <v>1223</v>
      </c>
      <c r="C1794" t="s">
        <v>1224</v>
      </c>
      <c r="D1794" t="s">
        <v>1225</v>
      </c>
      <c r="E1794" s="9">
        <v>45231</v>
      </c>
      <c r="F1794" s="9">
        <v>45260</v>
      </c>
      <c r="G1794">
        <v>122344539</v>
      </c>
      <c r="H1794">
        <v>49806083</v>
      </c>
      <c r="I1794">
        <v>28345268</v>
      </c>
      <c r="J1794">
        <v>16677810</v>
      </c>
      <c r="K1794">
        <v>0</v>
      </c>
      <c r="L1794">
        <v>38896</v>
      </c>
      <c r="M1794">
        <v>0</v>
      </c>
      <c r="N1794">
        <v>0</v>
      </c>
      <c r="O1794">
        <v>0</v>
      </c>
      <c r="P1794">
        <v>0</v>
      </c>
      <c r="Q1794">
        <v>0</v>
      </c>
      <c r="R1794">
        <v>0</v>
      </c>
      <c r="S1794">
        <v>29139095</v>
      </c>
      <c r="T1794" s="9">
        <v>45108</v>
      </c>
      <c r="U1794" s="9">
        <v>45473</v>
      </c>
      <c r="V1794">
        <f>SUM(POTABLE_NONPOTABLE_API[[#This Row],[RESIDENTIAL_SINGLEFAMILY_GAL]:[OTHER_GAL]])</f>
        <v>217212596</v>
      </c>
      <c r="W1794">
        <f>SUM(POTABLE_NONPOTABLE_API[[#This Row],[NONPOTABLE_DEMAND_RESIDENTIAL_RECYCLED_WATER_GAL]:[NONPOTABLE_DEMAND_NONRESIDENTIAL_METERED_IRRIGATION_GAL]])</f>
        <v>29139095</v>
      </c>
      <c r="X1794" t="str">
        <f>IFERROR(INDEX(Crosswalk_API!$H$2:$H$527, MATCH(POTABLE_NONPOTABLE_API[[#This Row],[PWSID]], CW_PWSID_LIST, 0)), "")</f>
        <v>No</v>
      </c>
    </row>
    <row r="1795" spans="1:24" x14ac:dyDescent="0.25">
      <c r="A1795" t="s">
        <v>1222</v>
      </c>
      <c r="B1795" t="s">
        <v>1223</v>
      </c>
      <c r="C1795" t="s">
        <v>1224</v>
      </c>
      <c r="D1795" t="s">
        <v>1225</v>
      </c>
      <c r="E1795" s="9">
        <v>45261</v>
      </c>
      <c r="F1795" s="9">
        <v>45291</v>
      </c>
      <c r="G1795">
        <v>111295827</v>
      </c>
      <c r="H1795">
        <v>51274153</v>
      </c>
      <c r="I1795">
        <v>26866090</v>
      </c>
      <c r="J1795">
        <v>5327194</v>
      </c>
      <c r="K1795">
        <v>0</v>
      </c>
      <c r="L1795">
        <v>14175348</v>
      </c>
      <c r="M1795">
        <v>0</v>
      </c>
      <c r="N1795">
        <v>0</v>
      </c>
      <c r="O1795">
        <v>0</v>
      </c>
      <c r="P1795">
        <v>0</v>
      </c>
      <c r="Q1795">
        <v>525844</v>
      </c>
      <c r="R1795">
        <v>0</v>
      </c>
      <c r="S1795">
        <v>7188249</v>
      </c>
      <c r="T1795" s="9">
        <v>45108</v>
      </c>
      <c r="U1795" s="9">
        <v>45473</v>
      </c>
      <c r="V1795">
        <f>SUM(POTABLE_NONPOTABLE_API[[#This Row],[RESIDENTIAL_SINGLEFAMILY_GAL]:[OTHER_GAL]])</f>
        <v>208938612</v>
      </c>
      <c r="W1795">
        <f>SUM(POTABLE_NONPOTABLE_API[[#This Row],[NONPOTABLE_DEMAND_RESIDENTIAL_RECYCLED_WATER_GAL]:[NONPOTABLE_DEMAND_NONRESIDENTIAL_METERED_IRRIGATION_GAL]])</f>
        <v>7714093</v>
      </c>
      <c r="X1795" t="str">
        <f>IFERROR(INDEX(Crosswalk_API!$H$2:$H$527, MATCH(POTABLE_NONPOTABLE_API[[#This Row],[PWSID]], CW_PWSID_LIST, 0)), "")</f>
        <v>No</v>
      </c>
    </row>
    <row r="1796" spans="1:24" x14ac:dyDescent="0.25">
      <c r="A1796" t="s">
        <v>1222</v>
      </c>
      <c r="B1796" t="s">
        <v>1223</v>
      </c>
      <c r="C1796" t="s">
        <v>1224</v>
      </c>
      <c r="D1796" t="s">
        <v>1225</v>
      </c>
      <c r="E1796" s="9">
        <v>45292</v>
      </c>
      <c r="F1796" s="9">
        <v>45322</v>
      </c>
      <c r="G1796">
        <v>103837070</v>
      </c>
      <c r="H1796">
        <v>51762859</v>
      </c>
      <c r="I1796">
        <v>26329554</v>
      </c>
      <c r="J1796">
        <v>3022016</v>
      </c>
      <c r="K1796">
        <v>0</v>
      </c>
      <c r="L1796">
        <v>172040</v>
      </c>
      <c r="M1796">
        <v>0</v>
      </c>
      <c r="N1796">
        <v>0</v>
      </c>
      <c r="O1796">
        <v>0</v>
      </c>
      <c r="P1796">
        <v>0</v>
      </c>
      <c r="Q1796">
        <v>523.63599999999997</v>
      </c>
      <c r="R1796">
        <v>0</v>
      </c>
      <c r="S1796">
        <v>3918465</v>
      </c>
      <c r="T1796" s="9">
        <v>45108</v>
      </c>
      <c r="U1796" s="9">
        <v>45473</v>
      </c>
      <c r="V1796">
        <f>SUM(POTABLE_NONPOTABLE_API[[#This Row],[RESIDENTIAL_SINGLEFAMILY_GAL]:[OTHER_GAL]])</f>
        <v>185123539</v>
      </c>
      <c r="W1796">
        <f>SUM(POTABLE_NONPOTABLE_API[[#This Row],[NONPOTABLE_DEMAND_RESIDENTIAL_RECYCLED_WATER_GAL]:[NONPOTABLE_DEMAND_NONRESIDENTIAL_METERED_IRRIGATION_GAL]])</f>
        <v>3918988.6359999999</v>
      </c>
      <c r="X1796" t="str">
        <f>IFERROR(INDEX(Crosswalk_API!$H$2:$H$527, MATCH(POTABLE_NONPOTABLE_API[[#This Row],[PWSID]], CW_PWSID_LIST, 0)), "")</f>
        <v>No</v>
      </c>
    </row>
    <row r="1797" spans="1:24" x14ac:dyDescent="0.25">
      <c r="A1797" t="s">
        <v>1222</v>
      </c>
      <c r="B1797" t="s">
        <v>1223</v>
      </c>
      <c r="C1797" t="s">
        <v>1224</v>
      </c>
      <c r="D1797" t="s">
        <v>1225</v>
      </c>
      <c r="E1797" s="9">
        <v>45323</v>
      </c>
      <c r="F1797" s="9">
        <v>45351</v>
      </c>
      <c r="G1797">
        <v>96068837</v>
      </c>
      <c r="H1797">
        <v>48618231</v>
      </c>
      <c r="I1797">
        <v>25648096</v>
      </c>
      <c r="J1797">
        <v>2542163</v>
      </c>
      <c r="K1797">
        <v>0</v>
      </c>
      <c r="L1797">
        <v>843744</v>
      </c>
      <c r="M1797">
        <v>0</v>
      </c>
      <c r="N1797">
        <v>0</v>
      </c>
      <c r="O1797">
        <v>0</v>
      </c>
      <c r="P1797">
        <v>0</v>
      </c>
      <c r="Q1797">
        <v>110704</v>
      </c>
      <c r="R1797">
        <v>0</v>
      </c>
      <c r="S1797">
        <v>3816887</v>
      </c>
      <c r="T1797" s="9">
        <v>45108</v>
      </c>
      <c r="U1797" s="9">
        <v>45473</v>
      </c>
      <c r="V1797">
        <f>SUM(POTABLE_NONPOTABLE_API[[#This Row],[RESIDENTIAL_SINGLEFAMILY_GAL]:[OTHER_GAL]])</f>
        <v>173721071</v>
      </c>
      <c r="W1797">
        <f>SUM(POTABLE_NONPOTABLE_API[[#This Row],[NONPOTABLE_DEMAND_RESIDENTIAL_RECYCLED_WATER_GAL]:[NONPOTABLE_DEMAND_NONRESIDENTIAL_METERED_IRRIGATION_GAL]])</f>
        <v>3927591</v>
      </c>
      <c r="X1797" t="str">
        <f>IFERROR(INDEX(Crosswalk_API!$H$2:$H$527, MATCH(POTABLE_NONPOTABLE_API[[#This Row],[PWSID]], CW_PWSID_LIST, 0)), "")</f>
        <v>No</v>
      </c>
    </row>
    <row r="1798" spans="1:24" x14ac:dyDescent="0.25">
      <c r="A1798" t="s">
        <v>1222</v>
      </c>
      <c r="B1798" t="s">
        <v>1223</v>
      </c>
      <c r="C1798" t="s">
        <v>1224</v>
      </c>
      <c r="D1798" t="s">
        <v>1225</v>
      </c>
      <c r="E1798" s="9">
        <v>45352</v>
      </c>
      <c r="F1798" s="9">
        <v>45382</v>
      </c>
      <c r="G1798">
        <v>106458100</v>
      </c>
      <c r="H1798">
        <v>52713407</v>
      </c>
      <c r="I1798">
        <v>27644488</v>
      </c>
      <c r="J1798">
        <v>5082922</v>
      </c>
      <c r="K1798">
        <v>0</v>
      </c>
      <c r="L1798">
        <v>43384</v>
      </c>
      <c r="M1798">
        <v>0</v>
      </c>
      <c r="N1798">
        <v>0</v>
      </c>
      <c r="O1798">
        <v>0</v>
      </c>
      <c r="P1798">
        <v>0</v>
      </c>
      <c r="Q1798">
        <v>0</v>
      </c>
      <c r="R1798">
        <v>0</v>
      </c>
      <c r="S1798">
        <v>9716543</v>
      </c>
      <c r="T1798" s="9">
        <v>45108</v>
      </c>
      <c r="U1798" s="9">
        <v>45473</v>
      </c>
      <c r="V1798">
        <f>SUM(POTABLE_NONPOTABLE_API[[#This Row],[RESIDENTIAL_SINGLEFAMILY_GAL]:[OTHER_GAL]])</f>
        <v>191942301</v>
      </c>
      <c r="W1798">
        <f>SUM(POTABLE_NONPOTABLE_API[[#This Row],[NONPOTABLE_DEMAND_RESIDENTIAL_RECYCLED_WATER_GAL]:[NONPOTABLE_DEMAND_NONRESIDENTIAL_METERED_IRRIGATION_GAL]])</f>
        <v>9716543</v>
      </c>
      <c r="X1798" t="str">
        <f>IFERROR(INDEX(Crosswalk_API!$H$2:$H$527, MATCH(POTABLE_NONPOTABLE_API[[#This Row],[PWSID]], CW_PWSID_LIST, 0)), "")</f>
        <v>No</v>
      </c>
    </row>
    <row r="1799" spans="1:24" x14ac:dyDescent="0.25">
      <c r="A1799" t="s">
        <v>1222</v>
      </c>
      <c r="B1799" t="s">
        <v>1223</v>
      </c>
      <c r="C1799" t="s">
        <v>1224</v>
      </c>
      <c r="D1799" t="s">
        <v>1225</v>
      </c>
      <c r="E1799" s="9">
        <v>45383</v>
      </c>
      <c r="F1799" s="9">
        <v>45412</v>
      </c>
      <c r="G1799">
        <v>113173051</v>
      </c>
      <c r="H1799">
        <v>50875962</v>
      </c>
      <c r="I1799">
        <v>27200565</v>
      </c>
      <c r="J1799">
        <v>17404547</v>
      </c>
      <c r="K1799">
        <v>0</v>
      </c>
      <c r="L1799">
        <v>2209592</v>
      </c>
      <c r="M1799">
        <v>0</v>
      </c>
      <c r="N1799">
        <v>0</v>
      </c>
      <c r="O1799">
        <v>0</v>
      </c>
      <c r="P1799">
        <v>0</v>
      </c>
      <c r="Q1799">
        <v>1368092</v>
      </c>
      <c r="R1799">
        <v>0</v>
      </c>
      <c r="S1799">
        <v>33447868</v>
      </c>
      <c r="T1799" s="9">
        <v>45108</v>
      </c>
      <c r="U1799" s="9">
        <v>45473</v>
      </c>
      <c r="V1799">
        <f>SUM(POTABLE_NONPOTABLE_API[[#This Row],[RESIDENTIAL_SINGLEFAMILY_GAL]:[OTHER_GAL]])</f>
        <v>210863717</v>
      </c>
      <c r="W1799">
        <f>SUM(POTABLE_NONPOTABLE_API[[#This Row],[NONPOTABLE_DEMAND_RESIDENTIAL_RECYCLED_WATER_GAL]:[NONPOTABLE_DEMAND_NONRESIDENTIAL_METERED_IRRIGATION_GAL]])</f>
        <v>34815960</v>
      </c>
      <c r="X1799" t="str">
        <f>IFERROR(INDEX(Crosswalk_API!$H$2:$H$527, MATCH(POTABLE_NONPOTABLE_API[[#This Row],[PWSID]], CW_PWSID_LIST, 0)), "")</f>
        <v>No</v>
      </c>
    </row>
    <row r="1800" spans="1:24" x14ac:dyDescent="0.25">
      <c r="A1800" t="s">
        <v>1222</v>
      </c>
      <c r="B1800" t="s">
        <v>1223</v>
      </c>
      <c r="C1800" t="s">
        <v>1224</v>
      </c>
      <c r="D1800" t="s">
        <v>1225</v>
      </c>
      <c r="E1800" s="9">
        <v>45413</v>
      </c>
      <c r="F1800" s="9">
        <v>45443</v>
      </c>
      <c r="G1800">
        <v>149232243</v>
      </c>
      <c r="H1800">
        <v>53205551</v>
      </c>
      <c r="I1800">
        <v>30338869</v>
      </c>
      <c r="J1800">
        <v>35894132</v>
      </c>
      <c r="K1800">
        <v>0</v>
      </c>
      <c r="L1800">
        <v>11220</v>
      </c>
      <c r="M1800">
        <v>0</v>
      </c>
      <c r="N1800">
        <v>0</v>
      </c>
      <c r="O1800">
        <v>0</v>
      </c>
      <c r="P1800">
        <v>0</v>
      </c>
      <c r="Q1800">
        <v>35243.72</v>
      </c>
      <c r="R1800">
        <v>0</v>
      </c>
      <c r="S1800">
        <v>90827922</v>
      </c>
      <c r="T1800" s="9">
        <v>45108</v>
      </c>
      <c r="U1800" s="9">
        <v>45473</v>
      </c>
      <c r="V1800">
        <f>SUM(POTABLE_NONPOTABLE_API[[#This Row],[RESIDENTIAL_SINGLEFAMILY_GAL]:[OTHER_GAL]])</f>
        <v>268682015</v>
      </c>
      <c r="W1800">
        <f>SUM(POTABLE_NONPOTABLE_API[[#This Row],[NONPOTABLE_DEMAND_RESIDENTIAL_RECYCLED_WATER_GAL]:[NONPOTABLE_DEMAND_NONRESIDENTIAL_METERED_IRRIGATION_GAL]])</f>
        <v>90863165.719999999</v>
      </c>
      <c r="X1800" t="str">
        <f>IFERROR(INDEX(Crosswalk_API!$H$2:$H$527, MATCH(POTABLE_NONPOTABLE_API[[#This Row],[PWSID]], CW_PWSID_LIST, 0)), "")</f>
        <v>No</v>
      </c>
    </row>
    <row r="1801" spans="1:24" x14ac:dyDescent="0.25">
      <c r="A1801" t="s">
        <v>1222</v>
      </c>
      <c r="B1801" t="s">
        <v>1223</v>
      </c>
      <c r="C1801" t="s">
        <v>1224</v>
      </c>
      <c r="D1801" t="s">
        <v>1225</v>
      </c>
      <c r="E1801" s="9">
        <v>45444</v>
      </c>
      <c r="F1801" s="9">
        <v>45473</v>
      </c>
      <c r="G1801">
        <v>167256716</v>
      </c>
      <c r="H1801">
        <v>50163492</v>
      </c>
      <c r="I1801">
        <v>32467846</v>
      </c>
      <c r="J1801">
        <v>46011234</v>
      </c>
      <c r="K1801">
        <v>0</v>
      </c>
      <c r="L1801">
        <v>1672528</v>
      </c>
      <c r="M1801">
        <v>0</v>
      </c>
      <c r="N1801">
        <v>0</v>
      </c>
      <c r="O1801">
        <v>0</v>
      </c>
      <c r="P1801">
        <v>0</v>
      </c>
      <c r="Q1801">
        <v>1862450</v>
      </c>
      <c r="R1801">
        <v>0</v>
      </c>
      <c r="S1801">
        <v>124077299</v>
      </c>
      <c r="T1801" s="9">
        <v>45108</v>
      </c>
      <c r="U1801" s="9">
        <v>45473</v>
      </c>
      <c r="V1801">
        <f>SUM(POTABLE_NONPOTABLE_API[[#This Row],[RESIDENTIAL_SINGLEFAMILY_GAL]:[OTHER_GAL]])</f>
        <v>297571816</v>
      </c>
      <c r="W1801">
        <f>SUM(POTABLE_NONPOTABLE_API[[#This Row],[NONPOTABLE_DEMAND_RESIDENTIAL_RECYCLED_WATER_GAL]:[NONPOTABLE_DEMAND_NONRESIDENTIAL_METERED_IRRIGATION_GAL]])</f>
        <v>125939749</v>
      </c>
      <c r="X1801" t="str">
        <f>IFERROR(INDEX(Crosswalk_API!$H$2:$H$527, MATCH(POTABLE_NONPOTABLE_API[[#This Row],[PWSID]], CW_PWSID_LIST, 0)), "")</f>
        <v>No</v>
      </c>
    </row>
    <row r="1802" spans="1:24" x14ac:dyDescent="0.25">
      <c r="A1802" t="s">
        <v>1226</v>
      </c>
      <c r="B1802" t="s">
        <v>1227</v>
      </c>
      <c r="C1802" t="s">
        <v>1228</v>
      </c>
      <c r="D1802" t="s">
        <v>1229</v>
      </c>
      <c r="E1802" s="9">
        <v>45108</v>
      </c>
      <c r="F1802" s="9">
        <v>45138</v>
      </c>
      <c r="G1802">
        <v>2448520000</v>
      </c>
      <c r="H1802">
        <v>879990000</v>
      </c>
      <c r="I1802">
        <v>606030000</v>
      </c>
      <c r="J1802">
        <v>551530000</v>
      </c>
      <c r="K1802">
        <v>624000000</v>
      </c>
      <c r="L1802">
        <v>12760000</v>
      </c>
      <c r="M1802">
        <v>0</v>
      </c>
      <c r="N1802">
        <v>821374</v>
      </c>
      <c r="O1802">
        <v>0</v>
      </c>
      <c r="P1802">
        <v>0</v>
      </c>
      <c r="Q1802">
        <v>210572716</v>
      </c>
      <c r="R1802">
        <v>0</v>
      </c>
      <c r="S1802">
        <v>8425961</v>
      </c>
      <c r="T1802" s="9">
        <v>45108</v>
      </c>
      <c r="U1802" s="9">
        <v>45473</v>
      </c>
      <c r="V1802">
        <f>SUM(POTABLE_NONPOTABLE_API[[#This Row],[RESIDENTIAL_SINGLEFAMILY_GAL]:[OTHER_GAL]])</f>
        <v>5122830000</v>
      </c>
      <c r="W1802">
        <f>SUM(POTABLE_NONPOTABLE_API[[#This Row],[NONPOTABLE_DEMAND_RESIDENTIAL_RECYCLED_WATER_GAL]:[NONPOTABLE_DEMAND_NONRESIDENTIAL_METERED_IRRIGATION_GAL]])</f>
        <v>219820051</v>
      </c>
      <c r="X1802" t="str">
        <f>IFERROR(INDEX(Crosswalk_API!$H$2:$H$527, MATCH(POTABLE_NONPOTABLE_API[[#This Row],[PWSID]], CW_PWSID_LIST, 0)), "")</f>
        <v>No</v>
      </c>
    </row>
    <row r="1803" spans="1:24" x14ac:dyDescent="0.25">
      <c r="A1803" t="s">
        <v>1226</v>
      </c>
      <c r="B1803" t="s">
        <v>1227</v>
      </c>
      <c r="C1803" t="s">
        <v>1228</v>
      </c>
      <c r="D1803" t="s">
        <v>1229</v>
      </c>
      <c r="E1803" s="9">
        <v>45139</v>
      </c>
      <c r="F1803" s="9">
        <v>45169</v>
      </c>
      <c r="G1803">
        <v>2481430000</v>
      </c>
      <c r="H1803">
        <v>895250000</v>
      </c>
      <c r="I1803">
        <v>631390000</v>
      </c>
      <c r="J1803">
        <v>570570000</v>
      </c>
      <c r="K1803">
        <v>662400000</v>
      </c>
      <c r="L1803">
        <v>11660000</v>
      </c>
      <c r="M1803">
        <v>0</v>
      </c>
      <c r="N1803">
        <v>879737</v>
      </c>
      <c r="O1803">
        <v>0</v>
      </c>
      <c r="P1803">
        <v>0</v>
      </c>
      <c r="Q1803">
        <v>197998768</v>
      </c>
      <c r="R1803">
        <v>0</v>
      </c>
      <c r="S1803">
        <v>9219213</v>
      </c>
      <c r="T1803" s="9">
        <v>45108</v>
      </c>
      <c r="U1803" s="9">
        <v>45473</v>
      </c>
      <c r="V1803">
        <f>SUM(POTABLE_NONPOTABLE_API[[#This Row],[RESIDENTIAL_SINGLEFAMILY_GAL]:[OTHER_GAL]])</f>
        <v>5252700000</v>
      </c>
      <c r="W1803">
        <f>SUM(POTABLE_NONPOTABLE_API[[#This Row],[NONPOTABLE_DEMAND_RESIDENTIAL_RECYCLED_WATER_GAL]:[NONPOTABLE_DEMAND_NONRESIDENTIAL_METERED_IRRIGATION_GAL]])</f>
        <v>208097718</v>
      </c>
      <c r="X1803" t="str">
        <f>IFERROR(INDEX(Crosswalk_API!$H$2:$H$527, MATCH(POTABLE_NONPOTABLE_API[[#This Row],[PWSID]], CW_PWSID_LIST, 0)), "")</f>
        <v>No</v>
      </c>
    </row>
    <row r="1804" spans="1:24" x14ac:dyDescent="0.25">
      <c r="A1804" t="s">
        <v>1226</v>
      </c>
      <c r="B1804" t="s">
        <v>1227</v>
      </c>
      <c r="C1804" t="s">
        <v>1228</v>
      </c>
      <c r="D1804" t="s">
        <v>1229</v>
      </c>
      <c r="E1804" s="9">
        <v>45170</v>
      </c>
      <c r="F1804" s="9">
        <v>45199</v>
      </c>
      <c r="G1804">
        <v>2276200000</v>
      </c>
      <c r="H1804">
        <v>848410000</v>
      </c>
      <c r="I1804">
        <v>602280000</v>
      </c>
      <c r="J1804">
        <v>484020000</v>
      </c>
      <c r="K1804">
        <v>618000000</v>
      </c>
      <c r="L1804">
        <v>13060000</v>
      </c>
      <c r="M1804">
        <v>0</v>
      </c>
      <c r="N1804">
        <v>726272</v>
      </c>
      <c r="O1804">
        <v>0</v>
      </c>
      <c r="P1804">
        <v>0</v>
      </c>
      <c r="Q1804">
        <v>189978940</v>
      </c>
      <c r="R1804">
        <v>0</v>
      </c>
      <c r="S1804">
        <v>6387019</v>
      </c>
      <c r="T1804" s="9">
        <v>45108</v>
      </c>
      <c r="U1804" s="9">
        <v>45473</v>
      </c>
      <c r="V1804">
        <f>SUM(POTABLE_NONPOTABLE_API[[#This Row],[RESIDENTIAL_SINGLEFAMILY_GAL]:[OTHER_GAL]])</f>
        <v>4841970000</v>
      </c>
      <c r="W1804">
        <f>SUM(POTABLE_NONPOTABLE_API[[#This Row],[NONPOTABLE_DEMAND_RESIDENTIAL_RECYCLED_WATER_GAL]:[NONPOTABLE_DEMAND_NONRESIDENTIAL_METERED_IRRIGATION_GAL]])</f>
        <v>197092231</v>
      </c>
      <c r="X1804" t="str">
        <f>IFERROR(INDEX(Crosswalk_API!$H$2:$H$527, MATCH(POTABLE_NONPOTABLE_API[[#This Row],[PWSID]], CW_PWSID_LIST, 0)), "")</f>
        <v>No</v>
      </c>
    </row>
    <row r="1805" spans="1:24" x14ac:dyDescent="0.25">
      <c r="A1805" t="s">
        <v>1226</v>
      </c>
      <c r="B1805" t="s">
        <v>1227</v>
      </c>
      <c r="C1805" t="s">
        <v>1228</v>
      </c>
      <c r="D1805" t="s">
        <v>1229</v>
      </c>
      <c r="E1805" s="9">
        <v>45200</v>
      </c>
      <c r="F1805" s="9">
        <v>45230</v>
      </c>
      <c r="G1805">
        <v>2078820000.0000002</v>
      </c>
      <c r="H1805">
        <v>841890000</v>
      </c>
      <c r="I1805">
        <v>574660000</v>
      </c>
      <c r="J1805">
        <v>360550000</v>
      </c>
      <c r="K1805">
        <v>616000000</v>
      </c>
      <c r="L1805">
        <v>12120000</v>
      </c>
      <c r="M1805">
        <v>0</v>
      </c>
      <c r="N1805">
        <v>415940</v>
      </c>
      <c r="O1805">
        <v>0</v>
      </c>
      <c r="P1805">
        <v>0</v>
      </c>
      <c r="Q1805">
        <v>178554953</v>
      </c>
      <c r="R1805">
        <v>0</v>
      </c>
      <c r="S1805">
        <v>3808630</v>
      </c>
      <c r="T1805" s="9">
        <v>45108</v>
      </c>
      <c r="U1805" s="9">
        <v>45473</v>
      </c>
      <c r="V1805">
        <f>SUM(POTABLE_NONPOTABLE_API[[#This Row],[RESIDENTIAL_SINGLEFAMILY_GAL]:[OTHER_GAL]])</f>
        <v>4484040000</v>
      </c>
      <c r="W1805">
        <f>SUM(POTABLE_NONPOTABLE_API[[#This Row],[NONPOTABLE_DEMAND_RESIDENTIAL_RECYCLED_WATER_GAL]:[NONPOTABLE_DEMAND_NONRESIDENTIAL_METERED_IRRIGATION_GAL]])</f>
        <v>182779523</v>
      </c>
      <c r="X1805" t="str">
        <f>IFERROR(INDEX(Crosswalk_API!$H$2:$H$527, MATCH(POTABLE_NONPOTABLE_API[[#This Row],[PWSID]], CW_PWSID_LIST, 0)), "")</f>
        <v>No</v>
      </c>
    </row>
    <row r="1806" spans="1:24" x14ac:dyDescent="0.25">
      <c r="A1806" t="s">
        <v>1226</v>
      </c>
      <c r="B1806" t="s">
        <v>1227</v>
      </c>
      <c r="C1806" t="s">
        <v>1228</v>
      </c>
      <c r="D1806" t="s">
        <v>1229</v>
      </c>
      <c r="E1806" s="9">
        <v>45231</v>
      </c>
      <c r="F1806" s="9">
        <v>45260</v>
      </c>
      <c r="G1806">
        <v>1709200000</v>
      </c>
      <c r="H1806">
        <v>771400000</v>
      </c>
      <c r="I1806">
        <v>494840000</v>
      </c>
      <c r="J1806">
        <v>210300000</v>
      </c>
      <c r="K1806">
        <v>564000000</v>
      </c>
      <c r="L1806">
        <v>8600000</v>
      </c>
      <c r="M1806">
        <v>0</v>
      </c>
      <c r="N1806">
        <v>225744</v>
      </c>
      <c r="O1806">
        <v>0</v>
      </c>
      <c r="P1806">
        <v>0</v>
      </c>
      <c r="Q1806">
        <v>153965454</v>
      </c>
      <c r="R1806">
        <v>0</v>
      </c>
      <c r="S1806">
        <v>1564657</v>
      </c>
      <c r="T1806" s="9">
        <v>45108</v>
      </c>
      <c r="U1806" s="9">
        <v>45473</v>
      </c>
      <c r="V1806">
        <f>SUM(POTABLE_NONPOTABLE_API[[#This Row],[RESIDENTIAL_SINGLEFAMILY_GAL]:[OTHER_GAL]])</f>
        <v>3758340000</v>
      </c>
      <c r="W1806">
        <f>SUM(POTABLE_NONPOTABLE_API[[#This Row],[NONPOTABLE_DEMAND_RESIDENTIAL_RECYCLED_WATER_GAL]:[NONPOTABLE_DEMAND_NONRESIDENTIAL_METERED_IRRIGATION_GAL]])</f>
        <v>155755855</v>
      </c>
      <c r="X1806" t="str">
        <f>IFERROR(INDEX(Crosswalk_API!$H$2:$H$527, MATCH(POTABLE_NONPOTABLE_API[[#This Row],[PWSID]], CW_PWSID_LIST, 0)), "")</f>
        <v>No</v>
      </c>
    </row>
    <row r="1807" spans="1:24" x14ac:dyDescent="0.25">
      <c r="A1807" t="s">
        <v>1226</v>
      </c>
      <c r="B1807" t="s">
        <v>1227</v>
      </c>
      <c r="C1807" t="s">
        <v>1228</v>
      </c>
      <c r="D1807" t="s">
        <v>1229</v>
      </c>
      <c r="E1807" s="9">
        <v>45261</v>
      </c>
      <c r="F1807" s="9">
        <v>45291</v>
      </c>
      <c r="G1807">
        <v>1518400000</v>
      </c>
      <c r="H1807">
        <v>763900000</v>
      </c>
      <c r="I1807">
        <v>575700000</v>
      </c>
      <c r="J1807">
        <v>99500000</v>
      </c>
      <c r="K1807">
        <v>208300000</v>
      </c>
      <c r="L1807">
        <v>8700000</v>
      </c>
      <c r="M1807">
        <v>0</v>
      </c>
      <c r="N1807">
        <v>179404</v>
      </c>
      <c r="O1807">
        <v>0</v>
      </c>
      <c r="P1807">
        <v>0</v>
      </c>
      <c r="Q1807">
        <v>150187876</v>
      </c>
      <c r="R1807">
        <v>0</v>
      </c>
      <c r="S1807">
        <v>162479</v>
      </c>
      <c r="T1807" s="9">
        <v>45108</v>
      </c>
      <c r="U1807" s="9">
        <v>45473</v>
      </c>
      <c r="V1807">
        <f>SUM(POTABLE_NONPOTABLE_API[[#This Row],[RESIDENTIAL_SINGLEFAMILY_GAL]:[OTHER_GAL]])</f>
        <v>3174500000</v>
      </c>
      <c r="W1807">
        <f>SUM(POTABLE_NONPOTABLE_API[[#This Row],[NONPOTABLE_DEMAND_RESIDENTIAL_RECYCLED_WATER_GAL]:[NONPOTABLE_DEMAND_NONRESIDENTIAL_METERED_IRRIGATION_GAL]])</f>
        <v>150529759</v>
      </c>
      <c r="X1807" t="str">
        <f>IFERROR(INDEX(Crosswalk_API!$H$2:$H$527, MATCH(POTABLE_NONPOTABLE_API[[#This Row],[PWSID]], CW_PWSID_LIST, 0)), "")</f>
        <v>No</v>
      </c>
    </row>
    <row r="1808" spans="1:24" x14ac:dyDescent="0.25">
      <c r="A1808" t="s">
        <v>1226</v>
      </c>
      <c r="B1808" t="s">
        <v>1227</v>
      </c>
      <c r="C1808" t="s">
        <v>1228</v>
      </c>
      <c r="D1808" t="s">
        <v>1229</v>
      </c>
      <c r="E1808" s="9">
        <v>45292</v>
      </c>
      <c r="F1808" s="9">
        <v>45322</v>
      </c>
      <c r="G1808">
        <v>1389051418.97</v>
      </c>
      <c r="H1808">
        <v>754419640.49000001</v>
      </c>
      <c r="I1808">
        <v>551056585.5</v>
      </c>
      <c r="J1808">
        <v>64578890.969999999</v>
      </c>
      <c r="K1808">
        <v>546657082.51999998</v>
      </c>
      <c r="L1808">
        <v>8323295.7699999996</v>
      </c>
      <c r="M1808">
        <v>0</v>
      </c>
      <c r="N1808">
        <v>0</v>
      </c>
      <c r="O1808">
        <v>0</v>
      </c>
      <c r="P1808">
        <v>139128</v>
      </c>
      <c r="Q1808">
        <v>154126961</v>
      </c>
      <c r="R1808">
        <v>0</v>
      </c>
      <c r="S1808">
        <v>3095676</v>
      </c>
      <c r="T1808" s="9">
        <v>45108</v>
      </c>
      <c r="U1808" s="9">
        <v>45473</v>
      </c>
      <c r="V1808">
        <f>SUM(POTABLE_NONPOTABLE_API[[#This Row],[RESIDENTIAL_SINGLEFAMILY_GAL]:[OTHER_GAL]])</f>
        <v>3314086914.2199998</v>
      </c>
      <c r="W1808">
        <f>SUM(POTABLE_NONPOTABLE_API[[#This Row],[NONPOTABLE_DEMAND_RESIDENTIAL_RECYCLED_WATER_GAL]:[NONPOTABLE_DEMAND_NONRESIDENTIAL_METERED_IRRIGATION_GAL]])</f>
        <v>157361765</v>
      </c>
      <c r="X1808" t="str">
        <f>IFERROR(INDEX(Crosswalk_API!$H$2:$H$527, MATCH(POTABLE_NONPOTABLE_API[[#This Row],[PWSID]], CW_PWSID_LIST, 0)), "")</f>
        <v>No</v>
      </c>
    </row>
    <row r="1809" spans="1:24" x14ac:dyDescent="0.25">
      <c r="A1809" t="s">
        <v>1226</v>
      </c>
      <c r="B1809" t="s">
        <v>1227</v>
      </c>
      <c r="C1809" t="s">
        <v>1228</v>
      </c>
      <c r="D1809" t="s">
        <v>1229</v>
      </c>
      <c r="E1809" s="9">
        <v>45323</v>
      </c>
      <c r="F1809" s="9">
        <v>45351</v>
      </c>
      <c r="G1809">
        <v>1268426890.04</v>
      </c>
      <c r="H1809">
        <v>709128215</v>
      </c>
      <c r="I1809">
        <v>522146254.5</v>
      </c>
      <c r="J1809">
        <v>50097600.130000003</v>
      </c>
      <c r="K1809">
        <v>491237950.79000002</v>
      </c>
      <c r="L1809">
        <v>6121475.1699999999</v>
      </c>
      <c r="M1809">
        <v>0</v>
      </c>
      <c r="N1809">
        <v>0</v>
      </c>
      <c r="O1809">
        <v>0</v>
      </c>
      <c r="P1809">
        <v>129404</v>
      </c>
      <c r="Q1809">
        <v>144337398</v>
      </c>
      <c r="R1809">
        <v>0</v>
      </c>
      <c r="S1809">
        <v>2588121</v>
      </c>
      <c r="T1809" s="9">
        <v>45108</v>
      </c>
      <c r="U1809" s="9">
        <v>45473</v>
      </c>
      <c r="V1809">
        <f>SUM(POTABLE_NONPOTABLE_API[[#This Row],[RESIDENTIAL_SINGLEFAMILY_GAL]:[OTHER_GAL]])</f>
        <v>3047158385.6300001</v>
      </c>
      <c r="W1809">
        <f>SUM(POTABLE_NONPOTABLE_API[[#This Row],[NONPOTABLE_DEMAND_RESIDENTIAL_RECYCLED_WATER_GAL]:[NONPOTABLE_DEMAND_NONRESIDENTIAL_METERED_IRRIGATION_GAL]])</f>
        <v>147054923</v>
      </c>
      <c r="X1809" t="str">
        <f>IFERROR(INDEX(Crosswalk_API!$H$2:$H$527, MATCH(POTABLE_NONPOTABLE_API[[#This Row],[PWSID]], CW_PWSID_LIST, 0)), "")</f>
        <v>No</v>
      </c>
    </row>
    <row r="1810" spans="1:24" x14ac:dyDescent="0.25">
      <c r="A1810" t="s">
        <v>1226</v>
      </c>
      <c r="B1810" t="s">
        <v>1227</v>
      </c>
      <c r="C1810" t="s">
        <v>1228</v>
      </c>
      <c r="D1810" t="s">
        <v>1229</v>
      </c>
      <c r="E1810" s="9">
        <v>45352</v>
      </c>
      <c r="F1810" s="9">
        <v>45382</v>
      </c>
      <c r="G1810">
        <v>1425962966.75</v>
      </c>
      <c r="H1810">
        <v>764612214.10000002</v>
      </c>
      <c r="I1810">
        <v>472203897.57999998</v>
      </c>
      <c r="J1810">
        <v>75533387.670000002</v>
      </c>
      <c r="K1810">
        <v>525331263.70999998</v>
      </c>
      <c r="L1810">
        <v>6550774.7000000002</v>
      </c>
      <c r="M1810">
        <v>0</v>
      </c>
      <c r="N1810">
        <v>0</v>
      </c>
      <c r="O1810">
        <v>0</v>
      </c>
      <c r="P1810">
        <v>203456</v>
      </c>
      <c r="Q1810">
        <v>160974264</v>
      </c>
      <c r="R1810">
        <v>0</v>
      </c>
      <c r="S1810">
        <v>6008757</v>
      </c>
      <c r="T1810" s="9">
        <v>45108</v>
      </c>
      <c r="U1810" s="9">
        <v>45473</v>
      </c>
      <c r="V1810">
        <f>SUM(POTABLE_NONPOTABLE_API[[#This Row],[RESIDENTIAL_SINGLEFAMILY_GAL]:[OTHER_GAL]])</f>
        <v>3270194504.5099998</v>
      </c>
      <c r="W1810">
        <f>SUM(POTABLE_NONPOTABLE_API[[#This Row],[NONPOTABLE_DEMAND_RESIDENTIAL_RECYCLED_WATER_GAL]:[NONPOTABLE_DEMAND_NONRESIDENTIAL_METERED_IRRIGATION_GAL]])</f>
        <v>167186477</v>
      </c>
      <c r="X1810" t="str">
        <f>IFERROR(INDEX(Crosswalk_API!$H$2:$H$527, MATCH(POTABLE_NONPOTABLE_API[[#This Row],[PWSID]], CW_PWSID_LIST, 0)), "")</f>
        <v>No</v>
      </c>
    </row>
    <row r="1811" spans="1:24" x14ac:dyDescent="0.25">
      <c r="A1811" t="s">
        <v>1226</v>
      </c>
      <c r="B1811" t="s">
        <v>1227</v>
      </c>
      <c r="C1811" t="s">
        <v>1228</v>
      </c>
      <c r="D1811" t="s">
        <v>1229</v>
      </c>
      <c r="E1811" s="9">
        <v>45383</v>
      </c>
      <c r="F1811" s="9">
        <v>45412</v>
      </c>
      <c r="G1811">
        <v>1622907430.8</v>
      </c>
      <c r="H1811">
        <v>763282949.73000002</v>
      </c>
      <c r="I1811">
        <v>496400256.54000002</v>
      </c>
      <c r="J1811">
        <v>189876744.31</v>
      </c>
      <c r="K1811">
        <v>538032630.75999999</v>
      </c>
      <c r="L1811">
        <v>5442496.7999999998</v>
      </c>
      <c r="M1811">
        <v>0</v>
      </c>
      <c r="N1811">
        <v>0</v>
      </c>
      <c r="O1811">
        <v>0</v>
      </c>
      <c r="P1811">
        <v>281996</v>
      </c>
      <c r="Q1811">
        <v>140736802</v>
      </c>
      <c r="R1811">
        <v>0</v>
      </c>
      <c r="S1811">
        <v>23259907</v>
      </c>
      <c r="T1811" s="9">
        <v>45108</v>
      </c>
      <c r="U1811" s="9">
        <v>45473</v>
      </c>
      <c r="V1811">
        <f>SUM(POTABLE_NONPOTABLE_API[[#This Row],[RESIDENTIAL_SINGLEFAMILY_GAL]:[OTHER_GAL]])</f>
        <v>3615942508.9399996</v>
      </c>
      <c r="W1811">
        <f>SUM(POTABLE_NONPOTABLE_API[[#This Row],[NONPOTABLE_DEMAND_RESIDENTIAL_RECYCLED_WATER_GAL]:[NONPOTABLE_DEMAND_NONRESIDENTIAL_METERED_IRRIGATION_GAL]])</f>
        <v>164278705</v>
      </c>
      <c r="X1811" t="str">
        <f>IFERROR(INDEX(Crosswalk_API!$H$2:$H$527, MATCH(POTABLE_NONPOTABLE_API[[#This Row],[PWSID]], CW_PWSID_LIST, 0)), "")</f>
        <v>No</v>
      </c>
    </row>
    <row r="1812" spans="1:24" x14ac:dyDescent="0.25">
      <c r="A1812" t="s">
        <v>1226</v>
      </c>
      <c r="B1812" t="s">
        <v>1227</v>
      </c>
      <c r="C1812" t="s">
        <v>1228</v>
      </c>
      <c r="D1812" t="s">
        <v>1229</v>
      </c>
      <c r="E1812" s="9">
        <v>45413</v>
      </c>
      <c r="F1812" s="9">
        <v>45443</v>
      </c>
      <c r="G1812">
        <v>2075527396.4100001</v>
      </c>
      <c r="H1812">
        <v>838765708.49000001</v>
      </c>
      <c r="I1812">
        <v>563925334.39999998</v>
      </c>
      <c r="J1812">
        <v>383986668.19999999</v>
      </c>
      <c r="K1812">
        <v>553857453.58000004</v>
      </c>
      <c r="L1812">
        <v>8190337.7999999998</v>
      </c>
      <c r="M1812">
        <v>0</v>
      </c>
      <c r="N1812">
        <v>0</v>
      </c>
      <c r="O1812">
        <v>0</v>
      </c>
      <c r="P1812">
        <v>576708</v>
      </c>
      <c r="Q1812">
        <v>163671148</v>
      </c>
      <c r="R1812">
        <v>0</v>
      </c>
      <c r="S1812">
        <v>43872549</v>
      </c>
      <c r="T1812" s="9">
        <v>45108</v>
      </c>
      <c r="U1812" s="9">
        <v>45473</v>
      </c>
      <c r="V1812">
        <f>SUM(POTABLE_NONPOTABLE_API[[#This Row],[RESIDENTIAL_SINGLEFAMILY_GAL]:[OTHER_GAL]])</f>
        <v>4424252898.8800001</v>
      </c>
      <c r="W1812">
        <f>SUM(POTABLE_NONPOTABLE_API[[#This Row],[NONPOTABLE_DEMAND_RESIDENTIAL_RECYCLED_WATER_GAL]:[NONPOTABLE_DEMAND_NONRESIDENTIAL_METERED_IRRIGATION_GAL]])</f>
        <v>208120405</v>
      </c>
      <c r="X1812" t="str">
        <f>IFERROR(INDEX(Crosswalk_API!$H$2:$H$527, MATCH(POTABLE_NONPOTABLE_API[[#This Row],[PWSID]], CW_PWSID_LIST, 0)), "")</f>
        <v>No</v>
      </c>
    </row>
    <row r="1813" spans="1:24" x14ac:dyDescent="0.25">
      <c r="A1813" t="s">
        <v>1226</v>
      </c>
      <c r="B1813" t="s">
        <v>1227</v>
      </c>
      <c r="C1813" t="s">
        <v>1228</v>
      </c>
      <c r="D1813" t="s">
        <v>1229</v>
      </c>
      <c r="E1813" s="9">
        <v>45444</v>
      </c>
      <c r="F1813" s="9">
        <v>45473</v>
      </c>
      <c r="G1813">
        <v>2356176295.1300001</v>
      </c>
      <c r="H1813">
        <v>848537131.89999998</v>
      </c>
      <c r="I1813">
        <v>594682866.00999999</v>
      </c>
      <c r="J1813">
        <v>556904575.12</v>
      </c>
      <c r="K1813">
        <v>534902553.19999999</v>
      </c>
      <c r="L1813">
        <v>7154793</v>
      </c>
      <c r="M1813">
        <v>0</v>
      </c>
      <c r="N1813">
        <v>0</v>
      </c>
      <c r="O1813">
        <v>0</v>
      </c>
      <c r="P1813">
        <v>755480</v>
      </c>
      <c r="Q1813">
        <v>157240327</v>
      </c>
      <c r="R1813">
        <v>0</v>
      </c>
      <c r="S1813">
        <v>68770902</v>
      </c>
      <c r="T1813" s="9">
        <v>45108</v>
      </c>
      <c r="U1813" s="9">
        <v>45473</v>
      </c>
      <c r="V1813">
        <f>SUM(POTABLE_NONPOTABLE_API[[#This Row],[RESIDENTIAL_SINGLEFAMILY_GAL]:[OTHER_GAL]])</f>
        <v>4898358214.3599997</v>
      </c>
      <c r="W1813">
        <f>SUM(POTABLE_NONPOTABLE_API[[#This Row],[NONPOTABLE_DEMAND_RESIDENTIAL_RECYCLED_WATER_GAL]:[NONPOTABLE_DEMAND_NONRESIDENTIAL_METERED_IRRIGATION_GAL]])</f>
        <v>226766709</v>
      </c>
      <c r="X1813" t="str">
        <f>IFERROR(INDEX(Crosswalk_API!$H$2:$H$527, MATCH(POTABLE_NONPOTABLE_API[[#This Row],[PWSID]], CW_PWSID_LIST, 0)), "")</f>
        <v>No</v>
      </c>
    </row>
    <row r="1814" spans="1:24" x14ac:dyDescent="0.25">
      <c r="A1814" t="s">
        <v>1230</v>
      </c>
      <c r="B1814" t="s">
        <v>1231</v>
      </c>
      <c r="C1814" t="s">
        <v>1232</v>
      </c>
      <c r="D1814" t="s">
        <v>1233</v>
      </c>
      <c r="E1814" s="9">
        <v>45108</v>
      </c>
      <c r="F1814" s="9">
        <v>45138</v>
      </c>
      <c r="G1814">
        <v>178432843.56</v>
      </c>
      <c r="H1814">
        <v>26380053.780000001</v>
      </c>
      <c r="I1814">
        <v>44545000.495999999</v>
      </c>
      <c r="J1814">
        <v>29094734.488000002</v>
      </c>
      <c r="K1814">
        <v>26086069.344000001</v>
      </c>
      <c r="L1814">
        <v>0</v>
      </c>
      <c r="M1814">
        <v>1353974.12</v>
      </c>
      <c r="T1814" s="9">
        <v>45108</v>
      </c>
      <c r="U1814" s="9">
        <v>45473</v>
      </c>
      <c r="V1814">
        <f>SUM(POTABLE_NONPOTABLE_API[[#This Row],[RESIDENTIAL_SINGLEFAMILY_GAL]:[OTHER_GAL]])</f>
        <v>304538701.66799998</v>
      </c>
      <c r="W1814">
        <f>SUM(POTABLE_NONPOTABLE_API[[#This Row],[NONPOTABLE_DEMAND_RESIDENTIAL_RECYCLED_WATER_GAL]:[NONPOTABLE_DEMAND_NONRESIDENTIAL_METERED_IRRIGATION_GAL]])</f>
        <v>0</v>
      </c>
      <c r="X1814" t="str">
        <f>IFERROR(INDEX(Crosswalk_API!$H$2:$H$527, MATCH(POTABLE_NONPOTABLE_API[[#This Row],[PWSID]], CW_PWSID_LIST, 0)), "")</f>
        <v>No</v>
      </c>
    </row>
    <row r="1815" spans="1:24" x14ac:dyDescent="0.25">
      <c r="A1815" t="s">
        <v>1230</v>
      </c>
      <c r="B1815" t="s">
        <v>1231</v>
      </c>
      <c r="C1815" t="s">
        <v>1232</v>
      </c>
      <c r="D1815" t="s">
        <v>1233</v>
      </c>
      <c r="E1815" s="9">
        <v>45139</v>
      </c>
      <c r="F1815" s="9">
        <v>45169</v>
      </c>
      <c r="G1815">
        <v>177468604.53200001</v>
      </c>
      <c r="H1815">
        <v>25338017.344000001</v>
      </c>
      <c r="I1815">
        <v>43980221.236000001</v>
      </c>
      <c r="J1815">
        <v>33640646.491999999</v>
      </c>
      <c r="K1815">
        <v>13221819.1</v>
      </c>
      <c r="L1815">
        <v>0</v>
      </c>
      <c r="M1815">
        <v>1081683.192</v>
      </c>
      <c r="T1815" s="9">
        <v>45108</v>
      </c>
      <c r="U1815" s="9">
        <v>45473</v>
      </c>
      <c r="V1815">
        <f>SUM(POTABLE_NONPOTABLE_API[[#This Row],[RESIDENTIAL_SINGLEFAMILY_GAL]:[OTHER_GAL]])</f>
        <v>293649308.70400006</v>
      </c>
      <c r="W1815">
        <f>SUM(POTABLE_NONPOTABLE_API[[#This Row],[NONPOTABLE_DEMAND_RESIDENTIAL_RECYCLED_WATER_GAL]:[NONPOTABLE_DEMAND_NONRESIDENTIAL_METERED_IRRIGATION_GAL]])</f>
        <v>0</v>
      </c>
      <c r="X1815" t="str">
        <f>IFERROR(INDEX(Crosswalk_API!$H$2:$H$527, MATCH(POTABLE_NONPOTABLE_API[[#This Row],[PWSID]], CW_PWSID_LIST, 0)), "")</f>
        <v>No</v>
      </c>
    </row>
    <row r="1816" spans="1:24" x14ac:dyDescent="0.25">
      <c r="A1816" t="s">
        <v>1230</v>
      </c>
      <c r="B1816" t="s">
        <v>1231</v>
      </c>
      <c r="C1816" t="s">
        <v>1232</v>
      </c>
      <c r="D1816" t="s">
        <v>1233</v>
      </c>
      <c r="E1816" s="9">
        <v>45170</v>
      </c>
      <c r="F1816" s="9">
        <v>45199</v>
      </c>
      <c r="G1816">
        <v>168608676.64399999</v>
      </c>
      <c r="H1816">
        <v>28350422.748</v>
      </c>
      <c r="I1816">
        <v>47157198.079999998</v>
      </c>
      <c r="J1816">
        <v>29334111.128000002</v>
      </c>
      <c r="K1816">
        <v>20744230.012000002</v>
      </c>
      <c r="L1816">
        <v>0</v>
      </c>
      <c r="M1816">
        <v>1056997.476</v>
      </c>
      <c r="T1816" s="9">
        <v>45108</v>
      </c>
      <c r="U1816" s="9">
        <v>45473</v>
      </c>
      <c r="V1816">
        <f>SUM(POTABLE_NONPOTABLE_API[[#This Row],[RESIDENTIAL_SINGLEFAMILY_GAL]:[OTHER_GAL]])</f>
        <v>294194638.61200005</v>
      </c>
      <c r="W1816">
        <f>SUM(POTABLE_NONPOTABLE_API[[#This Row],[NONPOTABLE_DEMAND_RESIDENTIAL_RECYCLED_WATER_GAL]:[NONPOTABLE_DEMAND_NONRESIDENTIAL_METERED_IRRIGATION_GAL]])</f>
        <v>0</v>
      </c>
      <c r="X1816" t="str">
        <f>IFERROR(INDEX(Crosswalk_API!$H$2:$H$527, MATCH(POTABLE_NONPOTABLE_API[[#This Row],[PWSID]], CW_PWSID_LIST, 0)), "")</f>
        <v>No</v>
      </c>
    </row>
    <row r="1817" spans="1:24" x14ac:dyDescent="0.25">
      <c r="A1817" t="s">
        <v>1230</v>
      </c>
      <c r="B1817" t="s">
        <v>1231</v>
      </c>
      <c r="C1817" t="s">
        <v>1232</v>
      </c>
      <c r="D1817" t="s">
        <v>1233</v>
      </c>
      <c r="E1817" s="9">
        <v>45200</v>
      </c>
      <c r="F1817" s="9">
        <v>45230</v>
      </c>
      <c r="G1817">
        <v>132664778.044</v>
      </c>
      <c r="H1817">
        <v>24334131.560000002</v>
      </c>
      <c r="I1817">
        <v>36547576.564000003</v>
      </c>
      <c r="J1817">
        <v>21838630.088</v>
      </c>
      <c r="K1817">
        <v>9471086.3719999995</v>
      </c>
      <c r="L1817">
        <v>0</v>
      </c>
      <c r="M1817">
        <v>904394.86800000002</v>
      </c>
      <c r="T1817" s="9">
        <v>45108</v>
      </c>
      <c r="U1817" s="9">
        <v>45473</v>
      </c>
      <c r="V1817">
        <f>SUM(POTABLE_NONPOTABLE_API[[#This Row],[RESIDENTIAL_SINGLEFAMILY_GAL]:[OTHER_GAL]])</f>
        <v>224856202.62800002</v>
      </c>
      <c r="W1817">
        <f>SUM(POTABLE_NONPOTABLE_API[[#This Row],[NONPOTABLE_DEMAND_RESIDENTIAL_RECYCLED_WATER_GAL]:[NONPOTABLE_DEMAND_NONRESIDENTIAL_METERED_IRRIGATION_GAL]])</f>
        <v>0</v>
      </c>
      <c r="X1817" t="str">
        <f>IFERROR(INDEX(Crosswalk_API!$H$2:$H$527, MATCH(POTABLE_NONPOTABLE_API[[#This Row],[PWSID]], CW_PWSID_LIST, 0)), "")</f>
        <v>No</v>
      </c>
    </row>
    <row r="1818" spans="1:24" x14ac:dyDescent="0.25">
      <c r="A1818" t="s">
        <v>1230</v>
      </c>
      <c r="B1818" t="s">
        <v>1231</v>
      </c>
      <c r="C1818" t="s">
        <v>1232</v>
      </c>
      <c r="D1818" t="s">
        <v>1233</v>
      </c>
      <c r="E1818" s="9">
        <v>45231</v>
      </c>
      <c r="F1818" s="9">
        <v>45260</v>
      </c>
      <c r="G1818">
        <v>124084621.604</v>
      </c>
      <c r="H1818">
        <v>22271004.144000001</v>
      </c>
      <c r="I1818">
        <v>32203638.600000001</v>
      </c>
      <c r="J1818">
        <v>17470754.460000001</v>
      </c>
      <c r="K1818">
        <v>31523659.332000002</v>
      </c>
      <c r="L1818">
        <v>0</v>
      </c>
      <c r="M1818">
        <v>985184.48400000005</v>
      </c>
      <c r="T1818" s="9">
        <v>45108</v>
      </c>
      <c r="U1818" s="9">
        <v>45473</v>
      </c>
      <c r="V1818">
        <f>SUM(POTABLE_NONPOTABLE_API[[#This Row],[RESIDENTIAL_SINGLEFAMILY_GAL]:[OTHER_GAL]])</f>
        <v>227553678.13999999</v>
      </c>
      <c r="W1818">
        <f>SUM(POTABLE_NONPOTABLE_API[[#This Row],[NONPOTABLE_DEMAND_RESIDENTIAL_RECYCLED_WATER_GAL]:[NONPOTABLE_DEMAND_NONRESIDENTIAL_METERED_IRRIGATION_GAL]])</f>
        <v>0</v>
      </c>
      <c r="X1818" t="str">
        <f>IFERROR(INDEX(Crosswalk_API!$H$2:$H$527, MATCH(POTABLE_NONPOTABLE_API[[#This Row],[PWSID]], CW_PWSID_LIST, 0)), "")</f>
        <v>No</v>
      </c>
    </row>
    <row r="1819" spans="1:24" x14ac:dyDescent="0.25">
      <c r="A1819" t="s">
        <v>1230</v>
      </c>
      <c r="B1819" t="s">
        <v>1231</v>
      </c>
      <c r="C1819" t="s">
        <v>1232</v>
      </c>
      <c r="D1819" t="s">
        <v>1233</v>
      </c>
      <c r="E1819" s="9">
        <v>45261</v>
      </c>
      <c r="F1819" s="9">
        <v>45291</v>
      </c>
      <c r="G1819">
        <v>99904588.755999997</v>
      </c>
      <c r="H1819">
        <v>21270110.568</v>
      </c>
      <c r="I1819">
        <v>28280853.912</v>
      </c>
      <c r="J1819">
        <v>8680395.4079999998</v>
      </c>
      <c r="K1819">
        <v>16628447.908</v>
      </c>
      <c r="L1819">
        <v>0</v>
      </c>
      <c r="M1819">
        <v>317174.04800000001</v>
      </c>
      <c r="T1819" s="9">
        <v>45108</v>
      </c>
      <c r="U1819" s="9">
        <v>45473</v>
      </c>
      <c r="V1819">
        <f>SUM(POTABLE_NONPOTABLE_API[[#This Row],[RESIDENTIAL_SINGLEFAMILY_GAL]:[OTHER_GAL]])</f>
        <v>174764396.55199999</v>
      </c>
      <c r="W1819">
        <f>SUM(POTABLE_NONPOTABLE_API[[#This Row],[NONPOTABLE_DEMAND_RESIDENTIAL_RECYCLED_WATER_GAL]:[NONPOTABLE_DEMAND_NONRESIDENTIAL_METERED_IRRIGATION_GAL]])</f>
        <v>0</v>
      </c>
      <c r="X1819" t="str">
        <f>IFERROR(INDEX(Crosswalk_API!$H$2:$H$527, MATCH(POTABLE_NONPOTABLE_API[[#This Row],[PWSID]], CW_PWSID_LIST, 0)), "")</f>
        <v>No</v>
      </c>
    </row>
    <row r="1820" spans="1:24" x14ac:dyDescent="0.25">
      <c r="A1820" t="s">
        <v>1230</v>
      </c>
      <c r="B1820" t="s">
        <v>1231</v>
      </c>
      <c r="C1820" t="s">
        <v>1232</v>
      </c>
      <c r="D1820" t="s">
        <v>1233</v>
      </c>
      <c r="E1820" s="9">
        <v>45292</v>
      </c>
      <c r="F1820" s="9">
        <v>45322</v>
      </c>
      <c r="G1820">
        <v>77247589.780000001</v>
      </c>
      <c r="H1820">
        <v>18592832.460000001</v>
      </c>
      <c r="I1820">
        <v>22260531.416000001</v>
      </c>
      <c r="J1820">
        <v>3809828.8360000001</v>
      </c>
      <c r="K1820">
        <v>19056624.699999999</v>
      </c>
      <c r="L1820">
        <v>0</v>
      </c>
      <c r="M1820">
        <v>25433.768</v>
      </c>
      <c r="T1820" s="9">
        <v>45108</v>
      </c>
      <c r="U1820" s="9">
        <v>45473</v>
      </c>
      <c r="V1820">
        <f>SUM(POTABLE_NONPOTABLE_API[[#This Row],[RESIDENTIAL_SINGLEFAMILY_GAL]:[OTHER_GAL]])</f>
        <v>140967407.192</v>
      </c>
      <c r="W1820">
        <f>SUM(POTABLE_NONPOTABLE_API[[#This Row],[NONPOTABLE_DEMAND_RESIDENTIAL_RECYCLED_WATER_GAL]:[NONPOTABLE_DEMAND_NONRESIDENTIAL_METERED_IRRIGATION_GAL]])</f>
        <v>0</v>
      </c>
      <c r="X1820" t="str">
        <f>IFERROR(INDEX(Crosswalk_API!$H$2:$H$527, MATCH(POTABLE_NONPOTABLE_API[[#This Row],[PWSID]], CW_PWSID_LIST, 0)), "")</f>
        <v>No</v>
      </c>
    </row>
    <row r="1821" spans="1:24" x14ac:dyDescent="0.25">
      <c r="A1821" t="s">
        <v>1230</v>
      </c>
      <c r="B1821" t="s">
        <v>1231</v>
      </c>
      <c r="C1821" t="s">
        <v>1232</v>
      </c>
      <c r="D1821" t="s">
        <v>1233</v>
      </c>
      <c r="E1821" s="9">
        <v>45323</v>
      </c>
      <c r="F1821" s="9">
        <v>45351</v>
      </c>
      <c r="G1821">
        <v>64579329.160000004</v>
      </c>
      <c r="H1821">
        <v>16934401.175999999</v>
      </c>
      <c r="I1821">
        <v>18466411.672000002</v>
      </c>
      <c r="J1821">
        <v>2482784.588</v>
      </c>
      <c r="K1821">
        <v>9559356.5079999994</v>
      </c>
      <c r="L1821">
        <v>0</v>
      </c>
      <c r="M1821">
        <v>21693.508000000002</v>
      </c>
      <c r="T1821" s="9">
        <v>45108</v>
      </c>
      <c r="U1821" s="9">
        <v>45473</v>
      </c>
      <c r="V1821">
        <f>SUM(POTABLE_NONPOTABLE_API[[#This Row],[RESIDENTIAL_SINGLEFAMILY_GAL]:[OTHER_GAL]])</f>
        <v>112022283.104</v>
      </c>
      <c r="W1821">
        <f>SUM(POTABLE_NONPOTABLE_API[[#This Row],[NONPOTABLE_DEMAND_RESIDENTIAL_RECYCLED_WATER_GAL]:[NONPOTABLE_DEMAND_NONRESIDENTIAL_METERED_IRRIGATION_GAL]])</f>
        <v>0</v>
      </c>
      <c r="X1821" t="str">
        <f>IFERROR(INDEX(Crosswalk_API!$H$2:$H$527, MATCH(POTABLE_NONPOTABLE_API[[#This Row],[PWSID]], CW_PWSID_LIST, 0)), "")</f>
        <v>No</v>
      </c>
    </row>
    <row r="1822" spans="1:24" x14ac:dyDescent="0.25">
      <c r="A1822" t="s">
        <v>1230</v>
      </c>
      <c r="B1822" t="s">
        <v>1231</v>
      </c>
      <c r="C1822" t="s">
        <v>1232</v>
      </c>
      <c r="D1822" t="s">
        <v>1233</v>
      </c>
      <c r="E1822" s="9">
        <v>45352</v>
      </c>
      <c r="F1822" s="9">
        <v>45382</v>
      </c>
      <c r="G1822">
        <v>75114145.475999996</v>
      </c>
      <c r="H1822">
        <v>16137725.796</v>
      </c>
      <c r="I1822">
        <v>16881289.484000001</v>
      </c>
      <c r="J1822">
        <v>2915906.696</v>
      </c>
      <c r="K1822">
        <v>13524032.108000001</v>
      </c>
      <c r="L1822">
        <v>0</v>
      </c>
      <c r="M1822">
        <v>231896.12</v>
      </c>
      <c r="T1822" s="9">
        <v>45108</v>
      </c>
      <c r="U1822" s="9">
        <v>45473</v>
      </c>
      <c r="V1822">
        <f>SUM(POTABLE_NONPOTABLE_API[[#This Row],[RESIDENTIAL_SINGLEFAMILY_GAL]:[OTHER_GAL]])</f>
        <v>124573099.55999999</v>
      </c>
      <c r="W1822">
        <f>SUM(POTABLE_NONPOTABLE_API[[#This Row],[NONPOTABLE_DEMAND_RESIDENTIAL_RECYCLED_WATER_GAL]:[NONPOTABLE_DEMAND_NONRESIDENTIAL_METERED_IRRIGATION_GAL]])</f>
        <v>0</v>
      </c>
      <c r="X1822" t="str">
        <f>IFERROR(INDEX(Crosswalk_API!$H$2:$H$527, MATCH(POTABLE_NONPOTABLE_API[[#This Row],[PWSID]], CW_PWSID_LIST, 0)), "")</f>
        <v>No</v>
      </c>
    </row>
    <row r="1823" spans="1:24" x14ac:dyDescent="0.25">
      <c r="A1823" t="s">
        <v>1230</v>
      </c>
      <c r="B1823" t="s">
        <v>1231</v>
      </c>
      <c r="C1823" t="s">
        <v>1232</v>
      </c>
      <c r="D1823" t="s">
        <v>1233</v>
      </c>
      <c r="E1823" s="9">
        <v>45383</v>
      </c>
      <c r="F1823" s="9">
        <v>45412</v>
      </c>
      <c r="G1823">
        <v>83379372.024000004</v>
      </c>
      <c r="H1823">
        <v>17376499.908</v>
      </c>
      <c r="I1823">
        <v>20153268.932</v>
      </c>
      <c r="J1823">
        <v>7485008.3119999999</v>
      </c>
      <c r="K1823">
        <v>9804717.5640000012</v>
      </c>
      <c r="L1823">
        <v>0</v>
      </c>
      <c r="M1823">
        <v>696436.41200000001</v>
      </c>
      <c r="T1823" s="9">
        <v>45108</v>
      </c>
      <c r="U1823" s="9">
        <v>45473</v>
      </c>
      <c r="V1823">
        <f>SUM(POTABLE_NONPOTABLE_API[[#This Row],[RESIDENTIAL_SINGLEFAMILY_GAL]:[OTHER_GAL]])</f>
        <v>138198866.74000001</v>
      </c>
      <c r="W1823">
        <f>SUM(POTABLE_NONPOTABLE_API[[#This Row],[NONPOTABLE_DEMAND_RESIDENTIAL_RECYCLED_WATER_GAL]:[NONPOTABLE_DEMAND_NONRESIDENTIAL_METERED_IRRIGATION_GAL]])</f>
        <v>0</v>
      </c>
      <c r="X1823" t="str">
        <f>IFERROR(INDEX(Crosswalk_API!$H$2:$H$527, MATCH(POTABLE_NONPOTABLE_API[[#This Row],[PWSID]], CW_PWSID_LIST, 0)), "")</f>
        <v>No</v>
      </c>
    </row>
    <row r="1824" spans="1:24" x14ac:dyDescent="0.25">
      <c r="A1824" t="s">
        <v>1230</v>
      </c>
      <c r="B1824" t="s">
        <v>1231</v>
      </c>
      <c r="C1824" t="s">
        <v>1232</v>
      </c>
      <c r="D1824" t="s">
        <v>1233</v>
      </c>
      <c r="E1824" s="9">
        <v>45413</v>
      </c>
      <c r="F1824" s="9">
        <v>45443</v>
      </c>
      <c r="G1824">
        <v>127762793.288</v>
      </c>
      <c r="H1824">
        <v>20035076.716000002</v>
      </c>
      <c r="I1824">
        <v>26555846</v>
      </c>
      <c r="J1824">
        <v>15795117.98</v>
      </c>
      <c r="K1824">
        <v>3865184.6839999999</v>
      </c>
      <c r="L1824">
        <v>0</v>
      </c>
      <c r="M1824">
        <v>956010.45600000001</v>
      </c>
      <c r="T1824" s="9">
        <v>45108</v>
      </c>
      <c r="U1824" s="9">
        <v>45473</v>
      </c>
      <c r="V1824">
        <f>SUM(POTABLE_NONPOTABLE_API[[#This Row],[RESIDENTIAL_SINGLEFAMILY_GAL]:[OTHER_GAL]])</f>
        <v>194014018.66799998</v>
      </c>
      <c r="W1824">
        <f>SUM(POTABLE_NONPOTABLE_API[[#This Row],[NONPOTABLE_DEMAND_RESIDENTIAL_RECYCLED_WATER_GAL]:[NONPOTABLE_DEMAND_NONRESIDENTIAL_METERED_IRRIGATION_GAL]])</f>
        <v>0</v>
      </c>
      <c r="X1824" t="str">
        <f>IFERROR(INDEX(Crosswalk_API!$H$2:$H$527, MATCH(POTABLE_NONPOTABLE_API[[#This Row],[PWSID]], CW_PWSID_LIST, 0)), "")</f>
        <v>No</v>
      </c>
    </row>
    <row r="1825" spans="1:24" x14ac:dyDescent="0.25">
      <c r="A1825" t="s">
        <v>1230</v>
      </c>
      <c r="B1825" t="s">
        <v>1231</v>
      </c>
      <c r="C1825" t="s">
        <v>1232</v>
      </c>
      <c r="D1825" t="s">
        <v>1233</v>
      </c>
      <c r="E1825" s="9">
        <v>45444</v>
      </c>
      <c r="F1825" s="9">
        <v>45473</v>
      </c>
      <c r="G1825">
        <v>180257342.38800001</v>
      </c>
      <c r="H1825">
        <v>25933466.736000001</v>
      </c>
      <c r="I1825">
        <v>40600522.300000004</v>
      </c>
      <c r="J1825">
        <v>31001519.036000002</v>
      </c>
      <c r="K1825">
        <v>19687980.588</v>
      </c>
      <c r="L1825">
        <v>0</v>
      </c>
      <c r="M1825">
        <v>1419054.6440000001</v>
      </c>
      <c r="T1825" s="9">
        <v>45108</v>
      </c>
      <c r="U1825" s="9">
        <v>45473</v>
      </c>
      <c r="V1825">
        <f>SUM(POTABLE_NONPOTABLE_API[[#This Row],[RESIDENTIAL_SINGLEFAMILY_GAL]:[OTHER_GAL]])</f>
        <v>297480831.04800004</v>
      </c>
      <c r="W1825">
        <f>SUM(POTABLE_NONPOTABLE_API[[#This Row],[NONPOTABLE_DEMAND_RESIDENTIAL_RECYCLED_WATER_GAL]:[NONPOTABLE_DEMAND_NONRESIDENTIAL_METERED_IRRIGATION_GAL]])</f>
        <v>0</v>
      </c>
      <c r="X1825" t="str">
        <f>IFERROR(INDEX(Crosswalk_API!$H$2:$H$527, MATCH(POTABLE_NONPOTABLE_API[[#This Row],[PWSID]], CW_PWSID_LIST, 0)), "")</f>
        <v>No</v>
      </c>
    </row>
    <row r="1826" spans="1:24" x14ac:dyDescent="0.25">
      <c r="A1826" t="s">
        <v>1234</v>
      </c>
      <c r="B1826" t="s">
        <v>1235</v>
      </c>
      <c r="C1826" t="s">
        <v>1236</v>
      </c>
      <c r="D1826" t="s">
        <v>1237</v>
      </c>
      <c r="E1826" s="9">
        <v>45108</v>
      </c>
      <c r="F1826" s="9">
        <v>45138</v>
      </c>
      <c r="G1826">
        <v>41011202.847999997</v>
      </c>
      <c r="H1826">
        <v>0</v>
      </c>
      <c r="I1826">
        <v>8583148.648</v>
      </c>
      <c r="J1826">
        <v>3692384.6720000003</v>
      </c>
      <c r="K1826">
        <v>198981.83199999999</v>
      </c>
      <c r="L1826">
        <v>1767646.8760000002</v>
      </c>
      <c r="M1826">
        <v>0</v>
      </c>
      <c r="T1826" s="9">
        <v>45108</v>
      </c>
      <c r="U1826" s="9">
        <v>45473</v>
      </c>
      <c r="V1826">
        <f>SUM(POTABLE_NONPOTABLE_API[[#This Row],[RESIDENTIAL_SINGLEFAMILY_GAL]:[OTHER_GAL]])</f>
        <v>55253364.876000002</v>
      </c>
      <c r="W1826">
        <f>SUM(POTABLE_NONPOTABLE_API[[#This Row],[NONPOTABLE_DEMAND_RESIDENTIAL_RECYCLED_WATER_GAL]:[NONPOTABLE_DEMAND_NONRESIDENTIAL_METERED_IRRIGATION_GAL]])</f>
        <v>0</v>
      </c>
      <c r="X1826" t="str">
        <f>IFERROR(INDEX(Crosswalk_API!$H$2:$H$527, MATCH(POTABLE_NONPOTABLE_API[[#This Row],[PWSID]], CW_PWSID_LIST, 0)), "")</f>
        <v>No</v>
      </c>
    </row>
    <row r="1827" spans="1:24" x14ac:dyDescent="0.25">
      <c r="A1827" t="s">
        <v>1234</v>
      </c>
      <c r="B1827" t="s">
        <v>1235</v>
      </c>
      <c r="C1827" t="s">
        <v>1236</v>
      </c>
      <c r="D1827" t="s">
        <v>1237</v>
      </c>
      <c r="E1827" s="9">
        <v>45139</v>
      </c>
      <c r="F1827" s="9">
        <v>45169</v>
      </c>
      <c r="G1827">
        <v>25234038.116</v>
      </c>
      <c r="H1827">
        <v>0</v>
      </c>
      <c r="I1827">
        <v>4777060.0719999997</v>
      </c>
      <c r="J1827">
        <v>3016893.716</v>
      </c>
      <c r="K1827">
        <v>91262.343999999997</v>
      </c>
      <c r="L1827">
        <v>621631.21200000006</v>
      </c>
      <c r="M1827">
        <v>0</v>
      </c>
      <c r="T1827" s="9">
        <v>45108</v>
      </c>
      <c r="U1827" s="9">
        <v>45473</v>
      </c>
      <c r="V1827">
        <f>SUM(POTABLE_NONPOTABLE_API[[#This Row],[RESIDENTIAL_SINGLEFAMILY_GAL]:[OTHER_GAL]])</f>
        <v>33740885.460000001</v>
      </c>
      <c r="W1827">
        <f>SUM(POTABLE_NONPOTABLE_API[[#This Row],[NONPOTABLE_DEMAND_RESIDENTIAL_RECYCLED_WATER_GAL]:[NONPOTABLE_DEMAND_NONRESIDENTIAL_METERED_IRRIGATION_GAL]])</f>
        <v>0</v>
      </c>
      <c r="X1827" t="str">
        <f>IFERROR(INDEX(Crosswalk_API!$H$2:$H$527, MATCH(POTABLE_NONPOTABLE_API[[#This Row],[PWSID]], CW_PWSID_LIST, 0)), "")</f>
        <v>No</v>
      </c>
    </row>
    <row r="1828" spans="1:24" x14ac:dyDescent="0.25">
      <c r="A1828" t="s">
        <v>1234</v>
      </c>
      <c r="B1828" t="s">
        <v>1235</v>
      </c>
      <c r="C1828" t="s">
        <v>1236</v>
      </c>
      <c r="D1828" t="s">
        <v>1237</v>
      </c>
      <c r="E1828" s="9">
        <v>45170</v>
      </c>
      <c r="F1828" s="9">
        <v>45199</v>
      </c>
      <c r="G1828">
        <v>40289332.667999998</v>
      </c>
      <c r="H1828">
        <v>0</v>
      </c>
      <c r="I1828">
        <v>10094961.74</v>
      </c>
      <c r="J1828">
        <v>4352914.5880000005</v>
      </c>
      <c r="K1828">
        <v>181776.636</v>
      </c>
      <c r="L1828">
        <v>2535896.2800000003</v>
      </c>
      <c r="M1828">
        <v>0</v>
      </c>
      <c r="T1828" s="9">
        <v>45108</v>
      </c>
      <c r="U1828" s="9">
        <v>45473</v>
      </c>
      <c r="V1828">
        <f>SUM(POTABLE_NONPOTABLE_API[[#This Row],[RESIDENTIAL_SINGLEFAMILY_GAL]:[OTHER_GAL]])</f>
        <v>57454881.912</v>
      </c>
      <c r="W1828">
        <f>SUM(POTABLE_NONPOTABLE_API[[#This Row],[NONPOTABLE_DEMAND_RESIDENTIAL_RECYCLED_WATER_GAL]:[NONPOTABLE_DEMAND_NONRESIDENTIAL_METERED_IRRIGATION_GAL]])</f>
        <v>0</v>
      </c>
      <c r="X1828" t="str">
        <f>IFERROR(INDEX(Crosswalk_API!$H$2:$H$527, MATCH(POTABLE_NONPOTABLE_API[[#This Row],[PWSID]], CW_PWSID_LIST, 0)), "")</f>
        <v>No</v>
      </c>
    </row>
    <row r="1829" spans="1:24" x14ac:dyDescent="0.25">
      <c r="A1829" t="s">
        <v>1234</v>
      </c>
      <c r="B1829" t="s">
        <v>1235</v>
      </c>
      <c r="C1829" t="s">
        <v>1236</v>
      </c>
      <c r="D1829" t="s">
        <v>1237</v>
      </c>
      <c r="E1829" s="9">
        <v>45200</v>
      </c>
      <c r="F1829" s="9">
        <v>45230</v>
      </c>
      <c r="G1829">
        <v>34582443.960000001</v>
      </c>
      <c r="H1829">
        <v>0</v>
      </c>
      <c r="I1829">
        <v>5019428.92</v>
      </c>
      <c r="J1829">
        <v>2417704.0640000002</v>
      </c>
      <c r="K1829">
        <v>149610.4</v>
      </c>
      <c r="L1829">
        <v>1459449.452</v>
      </c>
      <c r="M1829">
        <v>0</v>
      </c>
      <c r="T1829" s="9">
        <v>45108</v>
      </c>
      <c r="U1829" s="9">
        <v>45473</v>
      </c>
      <c r="V1829">
        <f>SUM(POTABLE_NONPOTABLE_API[[#This Row],[RESIDENTIAL_SINGLEFAMILY_GAL]:[OTHER_GAL]])</f>
        <v>43628636.796000004</v>
      </c>
      <c r="W1829">
        <f>SUM(POTABLE_NONPOTABLE_API[[#This Row],[NONPOTABLE_DEMAND_RESIDENTIAL_RECYCLED_WATER_GAL]:[NONPOTABLE_DEMAND_NONRESIDENTIAL_METERED_IRRIGATION_GAL]])</f>
        <v>0</v>
      </c>
      <c r="X1829" t="str">
        <f>IFERROR(INDEX(Crosswalk_API!$H$2:$H$527, MATCH(POTABLE_NONPOTABLE_API[[#This Row],[PWSID]], CW_PWSID_LIST, 0)), "")</f>
        <v>No</v>
      </c>
    </row>
    <row r="1830" spans="1:24" x14ac:dyDescent="0.25">
      <c r="A1830" t="s">
        <v>1234</v>
      </c>
      <c r="B1830" t="s">
        <v>1235</v>
      </c>
      <c r="C1830" t="s">
        <v>1236</v>
      </c>
      <c r="D1830" t="s">
        <v>1237</v>
      </c>
      <c r="E1830" s="9">
        <v>45231</v>
      </c>
      <c r="F1830" s="9">
        <v>45260</v>
      </c>
      <c r="G1830">
        <v>32091430.800000001</v>
      </c>
      <c r="H1830">
        <v>0</v>
      </c>
      <c r="I1830">
        <v>10791398.152000001</v>
      </c>
      <c r="J1830">
        <v>2123719.628</v>
      </c>
      <c r="K1830">
        <v>122680.52800000001</v>
      </c>
      <c r="L1830">
        <v>1462441.6600000001</v>
      </c>
      <c r="M1830">
        <v>0</v>
      </c>
      <c r="T1830" s="9">
        <v>45108</v>
      </c>
      <c r="U1830" s="9">
        <v>45473</v>
      </c>
      <c r="V1830">
        <f>SUM(POTABLE_NONPOTABLE_API[[#This Row],[RESIDENTIAL_SINGLEFAMILY_GAL]:[OTHER_GAL]])</f>
        <v>46591670.767999992</v>
      </c>
      <c r="W1830">
        <f>SUM(POTABLE_NONPOTABLE_API[[#This Row],[NONPOTABLE_DEMAND_RESIDENTIAL_RECYCLED_WATER_GAL]:[NONPOTABLE_DEMAND_NONRESIDENTIAL_METERED_IRRIGATION_GAL]])</f>
        <v>0</v>
      </c>
      <c r="X1830" t="str">
        <f>IFERROR(INDEX(Crosswalk_API!$H$2:$H$527, MATCH(POTABLE_NONPOTABLE_API[[#This Row],[PWSID]], CW_PWSID_LIST, 0)), "")</f>
        <v>No</v>
      </c>
    </row>
    <row r="1831" spans="1:24" x14ac:dyDescent="0.25">
      <c r="A1831" t="s">
        <v>1234</v>
      </c>
      <c r="B1831" t="s">
        <v>1235</v>
      </c>
      <c r="C1831" t="s">
        <v>1236</v>
      </c>
      <c r="D1831" t="s">
        <v>1237</v>
      </c>
      <c r="E1831" s="9">
        <v>45261</v>
      </c>
      <c r="F1831" s="9">
        <v>45291</v>
      </c>
      <c r="G1831">
        <v>33269612.699999999</v>
      </c>
      <c r="H1831">
        <v>0</v>
      </c>
      <c r="I1831">
        <v>5199709.4520000005</v>
      </c>
      <c r="J1831">
        <v>1356218.2760000001</v>
      </c>
      <c r="K1831">
        <v>133901.30799999999</v>
      </c>
      <c r="L1831">
        <v>202722.092</v>
      </c>
      <c r="M1831">
        <v>0</v>
      </c>
      <c r="T1831" s="9">
        <v>45108</v>
      </c>
      <c r="U1831" s="9">
        <v>45473</v>
      </c>
      <c r="V1831">
        <f>SUM(POTABLE_NONPOTABLE_API[[#This Row],[RESIDENTIAL_SINGLEFAMILY_GAL]:[OTHER_GAL]])</f>
        <v>40162163.828000002</v>
      </c>
      <c r="W1831">
        <f>SUM(POTABLE_NONPOTABLE_API[[#This Row],[NONPOTABLE_DEMAND_RESIDENTIAL_RECYCLED_WATER_GAL]:[NONPOTABLE_DEMAND_NONRESIDENTIAL_METERED_IRRIGATION_GAL]])</f>
        <v>0</v>
      </c>
      <c r="X1831" t="str">
        <f>IFERROR(INDEX(Crosswalk_API!$H$2:$H$527, MATCH(POTABLE_NONPOTABLE_API[[#This Row],[PWSID]], CW_PWSID_LIST, 0)), "")</f>
        <v>No</v>
      </c>
    </row>
    <row r="1832" spans="1:24" x14ac:dyDescent="0.25">
      <c r="A1832" t="s">
        <v>1234</v>
      </c>
      <c r="B1832" t="s">
        <v>1235</v>
      </c>
      <c r="C1832" t="s">
        <v>1236</v>
      </c>
      <c r="D1832" t="s">
        <v>1237</v>
      </c>
      <c r="E1832" s="9">
        <v>45292</v>
      </c>
      <c r="F1832" s="9">
        <v>45322</v>
      </c>
      <c r="G1832">
        <v>30321539.767999999</v>
      </c>
      <c r="H1832">
        <v>0</v>
      </c>
      <c r="I1832">
        <v>4616228.892</v>
      </c>
      <c r="J1832">
        <v>430129.9</v>
      </c>
      <c r="K1832">
        <v>96498.707999999999</v>
      </c>
      <c r="L1832">
        <v>178036.37600000002</v>
      </c>
      <c r="M1832">
        <v>0</v>
      </c>
      <c r="T1832" s="9">
        <v>45108</v>
      </c>
      <c r="U1832" s="9">
        <v>45473</v>
      </c>
      <c r="V1832">
        <f>SUM(POTABLE_NONPOTABLE_API[[#This Row],[RESIDENTIAL_SINGLEFAMILY_GAL]:[OTHER_GAL]])</f>
        <v>35642433.643999994</v>
      </c>
      <c r="W1832">
        <f>SUM(POTABLE_NONPOTABLE_API[[#This Row],[NONPOTABLE_DEMAND_RESIDENTIAL_RECYCLED_WATER_GAL]:[NONPOTABLE_DEMAND_NONRESIDENTIAL_METERED_IRRIGATION_GAL]])</f>
        <v>0</v>
      </c>
      <c r="X1832" t="str">
        <f>IFERROR(INDEX(Crosswalk_API!$H$2:$H$527, MATCH(POTABLE_NONPOTABLE_API[[#This Row],[PWSID]], CW_PWSID_LIST, 0)), "")</f>
        <v>No</v>
      </c>
    </row>
    <row r="1833" spans="1:24" x14ac:dyDescent="0.25">
      <c r="A1833" t="s">
        <v>1234</v>
      </c>
      <c r="B1833" t="s">
        <v>1235</v>
      </c>
      <c r="C1833" t="s">
        <v>1236</v>
      </c>
      <c r="D1833" t="s">
        <v>1237</v>
      </c>
      <c r="E1833" s="9">
        <v>45323</v>
      </c>
      <c r="F1833" s="9">
        <v>45351</v>
      </c>
      <c r="G1833">
        <v>27980137.008000001</v>
      </c>
      <c r="H1833">
        <v>0</v>
      </c>
      <c r="I1833">
        <v>4439688.62</v>
      </c>
      <c r="J1833">
        <v>399459.76800000004</v>
      </c>
      <c r="K1833">
        <v>95750.656000000003</v>
      </c>
      <c r="L1833">
        <v>787698.75600000005</v>
      </c>
      <c r="M1833">
        <v>0</v>
      </c>
      <c r="T1833" s="9">
        <v>45108</v>
      </c>
      <c r="U1833" s="9">
        <v>45473</v>
      </c>
      <c r="V1833">
        <f>SUM(POTABLE_NONPOTABLE_API[[#This Row],[RESIDENTIAL_SINGLEFAMILY_GAL]:[OTHER_GAL]])</f>
        <v>33702734.807999998</v>
      </c>
      <c r="W1833">
        <f>SUM(POTABLE_NONPOTABLE_API[[#This Row],[NONPOTABLE_DEMAND_RESIDENTIAL_RECYCLED_WATER_GAL]:[NONPOTABLE_DEMAND_NONRESIDENTIAL_METERED_IRRIGATION_GAL]])</f>
        <v>0</v>
      </c>
      <c r="X1833" t="str">
        <f>IFERROR(INDEX(Crosswalk_API!$H$2:$H$527, MATCH(POTABLE_NONPOTABLE_API[[#This Row],[PWSID]], CW_PWSID_LIST, 0)), "")</f>
        <v>No</v>
      </c>
    </row>
    <row r="1834" spans="1:24" x14ac:dyDescent="0.25">
      <c r="A1834" t="s">
        <v>1234</v>
      </c>
      <c r="B1834" t="s">
        <v>1235</v>
      </c>
      <c r="C1834" t="s">
        <v>1236</v>
      </c>
      <c r="D1834" t="s">
        <v>1237</v>
      </c>
      <c r="E1834" s="9">
        <v>45352</v>
      </c>
      <c r="F1834" s="9">
        <v>45382</v>
      </c>
      <c r="G1834">
        <v>26242412.212000001</v>
      </c>
      <c r="H1834">
        <v>0</v>
      </c>
      <c r="I1834">
        <v>4683553.5719999997</v>
      </c>
      <c r="J1834">
        <v>427137.69200000004</v>
      </c>
      <c r="K1834">
        <v>78545.460000000006</v>
      </c>
      <c r="L1834">
        <v>1579137.7720000001</v>
      </c>
      <c r="M1834">
        <v>0</v>
      </c>
      <c r="T1834" s="9">
        <v>45108</v>
      </c>
      <c r="U1834" s="9">
        <v>45473</v>
      </c>
      <c r="V1834">
        <f>SUM(POTABLE_NONPOTABLE_API[[#This Row],[RESIDENTIAL_SINGLEFAMILY_GAL]:[OTHER_GAL]])</f>
        <v>33010786.708000004</v>
      </c>
      <c r="W1834">
        <f>SUM(POTABLE_NONPOTABLE_API[[#This Row],[NONPOTABLE_DEMAND_RESIDENTIAL_RECYCLED_WATER_GAL]:[NONPOTABLE_DEMAND_NONRESIDENTIAL_METERED_IRRIGATION_GAL]])</f>
        <v>0</v>
      </c>
      <c r="X1834" t="str">
        <f>IFERROR(INDEX(Crosswalk_API!$H$2:$H$527, MATCH(POTABLE_NONPOTABLE_API[[#This Row],[PWSID]], CW_PWSID_LIST, 0)), "")</f>
        <v>No</v>
      </c>
    </row>
    <row r="1835" spans="1:24" x14ac:dyDescent="0.25">
      <c r="A1835" t="s">
        <v>1234</v>
      </c>
      <c r="B1835" t="s">
        <v>1235</v>
      </c>
      <c r="C1835" t="s">
        <v>1236</v>
      </c>
      <c r="D1835" t="s">
        <v>1237</v>
      </c>
      <c r="E1835" s="9">
        <v>45383</v>
      </c>
      <c r="F1835" s="9">
        <v>45412</v>
      </c>
      <c r="G1835">
        <v>33121498.403999999</v>
      </c>
      <c r="H1835">
        <v>0</v>
      </c>
      <c r="I1835">
        <v>5002223.7240000004</v>
      </c>
      <c r="J1835">
        <v>560290.94799999997</v>
      </c>
      <c r="K1835">
        <v>107719.488</v>
      </c>
      <c r="L1835">
        <v>1121329.9480000001</v>
      </c>
      <c r="M1835">
        <v>0</v>
      </c>
      <c r="T1835" s="9">
        <v>45108</v>
      </c>
      <c r="U1835" s="9">
        <v>45473</v>
      </c>
      <c r="V1835">
        <f>SUM(POTABLE_NONPOTABLE_API[[#This Row],[RESIDENTIAL_SINGLEFAMILY_GAL]:[OTHER_GAL]])</f>
        <v>39913062.511999995</v>
      </c>
      <c r="W1835">
        <f>SUM(POTABLE_NONPOTABLE_API[[#This Row],[NONPOTABLE_DEMAND_RESIDENTIAL_RECYCLED_WATER_GAL]:[NONPOTABLE_DEMAND_NONRESIDENTIAL_METERED_IRRIGATION_GAL]])</f>
        <v>0</v>
      </c>
      <c r="X1835" t="str">
        <f>IFERROR(INDEX(Crosswalk_API!$H$2:$H$527, MATCH(POTABLE_NONPOTABLE_API[[#This Row],[PWSID]], CW_PWSID_LIST, 0)), "")</f>
        <v>No</v>
      </c>
    </row>
    <row r="1836" spans="1:24" x14ac:dyDescent="0.25">
      <c r="A1836" t="s">
        <v>1234</v>
      </c>
      <c r="B1836" t="s">
        <v>1235</v>
      </c>
      <c r="C1836" t="s">
        <v>1236</v>
      </c>
      <c r="D1836" t="s">
        <v>1237</v>
      </c>
      <c r="E1836" s="9">
        <v>45413</v>
      </c>
      <c r="F1836" s="9">
        <v>45443</v>
      </c>
      <c r="G1836">
        <v>40290828.772</v>
      </c>
      <c r="H1836">
        <v>0</v>
      </c>
      <c r="I1836">
        <v>10163782.524</v>
      </c>
      <c r="J1836">
        <v>4352914.5880000005</v>
      </c>
      <c r="K1836">
        <v>181776.636</v>
      </c>
      <c r="L1836">
        <v>2469319.6520000002</v>
      </c>
      <c r="M1836">
        <v>0</v>
      </c>
      <c r="T1836" s="9">
        <v>45108</v>
      </c>
      <c r="U1836" s="9">
        <v>45473</v>
      </c>
      <c r="V1836">
        <f>SUM(POTABLE_NONPOTABLE_API[[#This Row],[RESIDENTIAL_SINGLEFAMILY_GAL]:[OTHER_GAL]])</f>
        <v>57458622.172000006</v>
      </c>
      <c r="W1836">
        <f>SUM(POTABLE_NONPOTABLE_API[[#This Row],[NONPOTABLE_DEMAND_RESIDENTIAL_RECYCLED_WATER_GAL]:[NONPOTABLE_DEMAND_NONRESIDENTIAL_METERED_IRRIGATION_GAL]])</f>
        <v>0</v>
      </c>
      <c r="X1836" t="str">
        <f>IFERROR(INDEX(Crosswalk_API!$H$2:$H$527, MATCH(POTABLE_NONPOTABLE_API[[#This Row],[PWSID]], CW_PWSID_LIST, 0)), "")</f>
        <v>No</v>
      </c>
    </row>
    <row r="1837" spans="1:24" x14ac:dyDescent="0.25">
      <c r="A1837" t="s">
        <v>1234</v>
      </c>
      <c r="B1837" t="s">
        <v>1235</v>
      </c>
      <c r="C1837" t="s">
        <v>1236</v>
      </c>
      <c r="D1837" t="s">
        <v>1237</v>
      </c>
      <c r="E1837" s="9">
        <v>45444</v>
      </c>
      <c r="F1837" s="9">
        <v>45473</v>
      </c>
      <c r="G1837">
        <v>42073436.688000001</v>
      </c>
      <c r="H1837">
        <v>0</v>
      </c>
      <c r="I1837">
        <v>7075823.8679999998</v>
      </c>
      <c r="J1837">
        <v>2462587.1839999999</v>
      </c>
      <c r="K1837">
        <v>136145.46400000001</v>
      </c>
      <c r="L1837">
        <v>1465433.868</v>
      </c>
      <c r="M1837">
        <v>0</v>
      </c>
      <c r="T1837" s="9">
        <v>45108</v>
      </c>
      <c r="U1837" s="9">
        <v>45473</v>
      </c>
      <c r="V1837">
        <f>SUM(POTABLE_NONPOTABLE_API[[#This Row],[RESIDENTIAL_SINGLEFAMILY_GAL]:[OTHER_GAL]])</f>
        <v>53213427.072000004</v>
      </c>
      <c r="W1837">
        <f>SUM(POTABLE_NONPOTABLE_API[[#This Row],[NONPOTABLE_DEMAND_RESIDENTIAL_RECYCLED_WATER_GAL]:[NONPOTABLE_DEMAND_NONRESIDENTIAL_METERED_IRRIGATION_GAL]])</f>
        <v>0</v>
      </c>
      <c r="X1837" t="str">
        <f>IFERROR(INDEX(Crosswalk_API!$H$2:$H$527, MATCH(POTABLE_NONPOTABLE_API[[#This Row],[PWSID]], CW_PWSID_LIST, 0)), "")</f>
        <v>No</v>
      </c>
    </row>
    <row r="1838" spans="1:24" x14ac:dyDescent="0.25">
      <c r="A1838" t="s">
        <v>1238</v>
      </c>
      <c r="B1838" t="s">
        <v>1239</v>
      </c>
      <c r="C1838" t="s">
        <v>1240</v>
      </c>
      <c r="D1838" t="s">
        <v>1241</v>
      </c>
      <c r="E1838" s="9">
        <v>45108</v>
      </c>
      <c r="F1838" s="9">
        <v>45138</v>
      </c>
      <c r="G1838">
        <v>291074513.72000003</v>
      </c>
      <c r="H1838">
        <v>79342135.379999995</v>
      </c>
      <c r="I1838">
        <v>51632045.144000001</v>
      </c>
      <c r="J1838">
        <v>51043328.219999999</v>
      </c>
      <c r="K1838">
        <v>0</v>
      </c>
      <c r="L1838">
        <v>10896125.432</v>
      </c>
      <c r="M1838">
        <v>3984124.952</v>
      </c>
      <c r="T1838" s="9">
        <v>45108</v>
      </c>
      <c r="U1838" s="9">
        <v>45473</v>
      </c>
      <c r="V1838">
        <f>SUM(POTABLE_NONPOTABLE_API[[#This Row],[RESIDENTIAL_SINGLEFAMILY_GAL]:[OTHER_GAL]])</f>
        <v>483988147.89599997</v>
      </c>
      <c r="W1838">
        <f>SUM(POTABLE_NONPOTABLE_API[[#This Row],[NONPOTABLE_DEMAND_RESIDENTIAL_RECYCLED_WATER_GAL]:[NONPOTABLE_DEMAND_NONRESIDENTIAL_METERED_IRRIGATION_GAL]])</f>
        <v>0</v>
      </c>
      <c r="X1838" t="str">
        <f>IFERROR(INDEX(Crosswalk_API!$H$2:$H$527, MATCH(POTABLE_NONPOTABLE_API[[#This Row],[PWSID]], CW_PWSID_LIST, 0)), "")</f>
        <v>No</v>
      </c>
    </row>
    <row r="1839" spans="1:24" x14ac:dyDescent="0.25">
      <c r="A1839" t="s">
        <v>1238</v>
      </c>
      <c r="B1839" t="s">
        <v>1239</v>
      </c>
      <c r="C1839" t="s">
        <v>1240</v>
      </c>
      <c r="D1839" t="s">
        <v>1241</v>
      </c>
      <c r="E1839" s="9">
        <v>45139</v>
      </c>
      <c r="F1839" s="9">
        <v>45169</v>
      </c>
      <c r="G1839">
        <v>336393748.03600001</v>
      </c>
      <c r="H1839">
        <v>87137585.272</v>
      </c>
      <c r="I1839">
        <v>62915661.512000002</v>
      </c>
      <c r="J1839">
        <v>65045365.556000002</v>
      </c>
      <c r="K1839">
        <v>0</v>
      </c>
      <c r="L1839">
        <v>21073372.892000001</v>
      </c>
      <c r="M1839">
        <v>6140010.8160000006</v>
      </c>
      <c r="T1839" s="9">
        <v>45108</v>
      </c>
      <c r="U1839" s="9">
        <v>45473</v>
      </c>
      <c r="V1839">
        <f>SUM(POTABLE_NONPOTABLE_API[[#This Row],[RESIDENTIAL_SINGLEFAMILY_GAL]:[OTHER_GAL]])</f>
        <v>572565733.26800001</v>
      </c>
      <c r="W1839">
        <f>SUM(POTABLE_NONPOTABLE_API[[#This Row],[NONPOTABLE_DEMAND_RESIDENTIAL_RECYCLED_WATER_GAL]:[NONPOTABLE_DEMAND_NONRESIDENTIAL_METERED_IRRIGATION_GAL]])</f>
        <v>0</v>
      </c>
      <c r="X1839" t="str">
        <f>IFERROR(INDEX(Crosswalk_API!$H$2:$H$527, MATCH(POTABLE_NONPOTABLE_API[[#This Row],[PWSID]], CW_PWSID_LIST, 0)), "")</f>
        <v>No</v>
      </c>
    </row>
    <row r="1840" spans="1:24" x14ac:dyDescent="0.25">
      <c r="A1840" t="s">
        <v>1238</v>
      </c>
      <c r="B1840" t="s">
        <v>1239</v>
      </c>
      <c r="C1840" t="s">
        <v>1240</v>
      </c>
      <c r="D1840" t="s">
        <v>1241</v>
      </c>
      <c r="E1840" s="9">
        <v>45170</v>
      </c>
      <c r="F1840" s="9">
        <v>45199</v>
      </c>
      <c r="G1840">
        <v>351901614.04800004</v>
      </c>
      <c r="H1840">
        <v>100042230.324</v>
      </c>
      <c r="I1840">
        <v>74078093.456</v>
      </c>
      <c r="J1840">
        <v>68260493.052000001</v>
      </c>
      <c r="K1840">
        <v>0</v>
      </c>
      <c r="L1840">
        <v>15572198.484000001</v>
      </c>
      <c r="M1840">
        <v>5412156.2199999997</v>
      </c>
      <c r="T1840" s="9">
        <v>45108</v>
      </c>
      <c r="U1840" s="9">
        <v>45473</v>
      </c>
      <c r="V1840">
        <f>SUM(POTABLE_NONPOTABLE_API[[#This Row],[RESIDENTIAL_SINGLEFAMILY_GAL]:[OTHER_GAL]])</f>
        <v>609854629.36400008</v>
      </c>
      <c r="W1840">
        <f>SUM(POTABLE_NONPOTABLE_API[[#This Row],[NONPOTABLE_DEMAND_RESIDENTIAL_RECYCLED_WATER_GAL]:[NONPOTABLE_DEMAND_NONRESIDENTIAL_METERED_IRRIGATION_GAL]])</f>
        <v>0</v>
      </c>
      <c r="X1840" t="str">
        <f>IFERROR(INDEX(Crosswalk_API!$H$2:$H$527, MATCH(POTABLE_NONPOTABLE_API[[#This Row],[PWSID]], CW_PWSID_LIST, 0)), "")</f>
        <v>No</v>
      </c>
    </row>
    <row r="1841" spans="1:24" x14ac:dyDescent="0.25">
      <c r="A1841" t="s">
        <v>1238</v>
      </c>
      <c r="B1841" t="s">
        <v>1239</v>
      </c>
      <c r="C1841" t="s">
        <v>1240</v>
      </c>
      <c r="D1841" t="s">
        <v>1241</v>
      </c>
      <c r="E1841" s="9">
        <v>45200</v>
      </c>
      <c r="F1841" s="9">
        <v>45230</v>
      </c>
      <c r="G1841">
        <v>263956880.66800001</v>
      </c>
      <c r="H1841">
        <v>77603662.532000005</v>
      </c>
      <c r="I1841">
        <v>52540180.272</v>
      </c>
      <c r="J1841">
        <v>43870257.592</v>
      </c>
      <c r="K1841">
        <v>0</v>
      </c>
      <c r="L1841">
        <v>11063689.08</v>
      </c>
      <c r="M1841">
        <v>4018535.344</v>
      </c>
      <c r="T1841" s="9">
        <v>45108</v>
      </c>
      <c r="U1841" s="9">
        <v>45473</v>
      </c>
      <c r="V1841">
        <f>SUM(POTABLE_NONPOTABLE_API[[#This Row],[RESIDENTIAL_SINGLEFAMILY_GAL]:[OTHER_GAL]])</f>
        <v>449034670.14400005</v>
      </c>
      <c r="W1841">
        <f>SUM(POTABLE_NONPOTABLE_API[[#This Row],[NONPOTABLE_DEMAND_RESIDENTIAL_RECYCLED_WATER_GAL]:[NONPOTABLE_DEMAND_NONRESIDENTIAL_METERED_IRRIGATION_GAL]])</f>
        <v>0</v>
      </c>
      <c r="X1841" t="str">
        <f>IFERROR(INDEX(Crosswalk_API!$H$2:$H$527, MATCH(POTABLE_NONPOTABLE_API[[#This Row],[PWSID]], CW_PWSID_LIST, 0)), "")</f>
        <v>No</v>
      </c>
    </row>
    <row r="1842" spans="1:24" x14ac:dyDescent="0.25">
      <c r="A1842" t="s">
        <v>1238</v>
      </c>
      <c r="B1842" t="s">
        <v>1239</v>
      </c>
      <c r="C1842" t="s">
        <v>1240</v>
      </c>
      <c r="D1842" t="s">
        <v>1241</v>
      </c>
      <c r="E1842" s="9">
        <v>45231</v>
      </c>
      <c r="F1842" s="9">
        <v>45260</v>
      </c>
      <c r="G1842">
        <v>251736703.19600001</v>
      </c>
      <c r="H1842">
        <v>78505065.192000002</v>
      </c>
      <c r="I1842">
        <v>49281665.759999998</v>
      </c>
      <c r="J1842">
        <v>42187140.592</v>
      </c>
      <c r="K1842">
        <v>0</v>
      </c>
      <c r="L1842">
        <v>10322369.548</v>
      </c>
      <c r="M1842">
        <v>4459137.9720000001</v>
      </c>
      <c r="T1842" s="9">
        <v>45108</v>
      </c>
      <c r="U1842" s="9">
        <v>45473</v>
      </c>
      <c r="V1842">
        <f>SUM(POTABLE_NONPOTABLE_API[[#This Row],[RESIDENTIAL_SINGLEFAMILY_GAL]:[OTHER_GAL]])</f>
        <v>432032944.28799999</v>
      </c>
      <c r="W1842">
        <f>SUM(POTABLE_NONPOTABLE_API[[#This Row],[NONPOTABLE_DEMAND_RESIDENTIAL_RECYCLED_WATER_GAL]:[NONPOTABLE_DEMAND_NONRESIDENTIAL_METERED_IRRIGATION_GAL]])</f>
        <v>0</v>
      </c>
      <c r="X1842" t="str">
        <f>IFERROR(INDEX(Crosswalk_API!$H$2:$H$527, MATCH(POTABLE_NONPOTABLE_API[[#This Row],[PWSID]], CW_PWSID_LIST, 0)), "")</f>
        <v>No</v>
      </c>
    </row>
    <row r="1843" spans="1:24" x14ac:dyDescent="0.25">
      <c r="A1843" t="s">
        <v>1238</v>
      </c>
      <c r="B1843" t="s">
        <v>1239</v>
      </c>
      <c r="C1843" t="s">
        <v>1240</v>
      </c>
      <c r="D1843" t="s">
        <v>1241</v>
      </c>
      <c r="E1843" s="9">
        <v>45261</v>
      </c>
      <c r="F1843" s="9">
        <v>45291</v>
      </c>
      <c r="G1843">
        <v>211688991.324</v>
      </c>
      <c r="H1843">
        <v>72860264.799999997</v>
      </c>
      <c r="I1843">
        <v>43127441.956</v>
      </c>
      <c r="J1843">
        <v>32242537.304000001</v>
      </c>
      <c r="K1843">
        <v>0</v>
      </c>
      <c r="L1843">
        <v>9492031.8279999997</v>
      </c>
      <c r="M1843">
        <v>2969018.3880000003</v>
      </c>
      <c r="T1843" s="9">
        <v>45108</v>
      </c>
      <c r="U1843" s="9">
        <v>45473</v>
      </c>
      <c r="V1843">
        <f>SUM(POTABLE_NONPOTABLE_API[[#This Row],[RESIDENTIAL_SINGLEFAMILY_GAL]:[OTHER_GAL]])</f>
        <v>369411267.21200007</v>
      </c>
      <c r="W1843">
        <f>SUM(POTABLE_NONPOTABLE_API[[#This Row],[NONPOTABLE_DEMAND_RESIDENTIAL_RECYCLED_WATER_GAL]:[NONPOTABLE_DEMAND_NONRESIDENTIAL_METERED_IRRIGATION_GAL]])</f>
        <v>0</v>
      </c>
      <c r="X1843" t="str">
        <f>IFERROR(INDEX(Crosswalk_API!$H$2:$H$527, MATCH(POTABLE_NONPOTABLE_API[[#This Row],[PWSID]], CW_PWSID_LIST, 0)), "")</f>
        <v>No</v>
      </c>
    </row>
    <row r="1844" spans="1:24" x14ac:dyDescent="0.25">
      <c r="A1844" t="s">
        <v>1238</v>
      </c>
      <c r="B1844" t="s">
        <v>1239</v>
      </c>
      <c r="C1844" t="s">
        <v>1240</v>
      </c>
      <c r="D1844" t="s">
        <v>1241</v>
      </c>
      <c r="E1844" s="9">
        <v>45292</v>
      </c>
      <c r="F1844" s="9">
        <v>45322</v>
      </c>
      <c r="G1844">
        <v>225827174.12400001</v>
      </c>
      <c r="H1844">
        <v>84672005.879999995</v>
      </c>
      <c r="I1844">
        <v>49149260.556000002</v>
      </c>
      <c r="J1844">
        <v>28191087.672000002</v>
      </c>
      <c r="K1844">
        <v>0</v>
      </c>
      <c r="L1844">
        <v>6577621.2360000005</v>
      </c>
      <c r="M1844">
        <v>2978743.0640000002</v>
      </c>
      <c r="T1844" s="9">
        <v>45108</v>
      </c>
      <c r="U1844" s="9">
        <v>45473</v>
      </c>
      <c r="V1844">
        <f>SUM(POTABLE_NONPOTABLE_API[[#This Row],[RESIDENTIAL_SINGLEFAMILY_GAL]:[OTHER_GAL]])</f>
        <v>394417149.46799999</v>
      </c>
      <c r="W1844">
        <f>SUM(POTABLE_NONPOTABLE_API[[#This Row],[NONPOTABLE_DEMAND_RESIDENTIAL_RECYCLED_WATER_GAL]:[NONPOTABLE_DEMAND_NONRESIDENTIAL_METERED_IRRIGATION_GAL]])</f>
        <v>0</v>
      </c>
      <c r="X1844" t="str">
        <f>IFERROR(INDEX(Crosswalk_API!$H$2:$H$527, MATCH(POTABLE_NONPOTABLE_API[[#This Row],[PWSID]], CW_PWSID_LIST, 0)), "")</f>
        <v>No</v>
      </c>
    </row>
    <row r="1845" spans="1:24" x14ac:dyDescent="0.25">
      <c r="A1845" t="s">
        <v>1238</v>
      </c>
      <c r="B1845" t="s">
        <v>1239</v>
      </c>
      <c r="C1845" t="s">
        <v>1240</v>
      </c>
      <c r="D1845" t="s">
        <v>1241</v>
      </c>
      <c r="E1845" s="9">
        <v>45323</v>
      </c>
      <c r="F1845" s="9">
        <v>45351</v>
      </c>
      <c r="G1845">
        <v>154278992.53200001</v>
      </c>
      <c r="H1845">
        <v>63789386.248000003</v>
      </c>
      <c r="I1845">
        <v>37577644.167999998</v>
      </c>
      <c r="J1845">
        <v>13343003.524</v>
      </c>
      <c r="K1845">
        <v>0</v>
      </c>
      <c r="L1845">
        <v>4762847.0839999998</v>
      </c>
      <c r="M1845">
        <v>771989.66399999999</v>
      </c>
      <c r="T1845" s="9">
        <v>45108</v>
      </c>
      <c r="U1845" s="9">
        <v>45473</v>
      </c>
      <c r="V1845">
        <f>SUM(POTABLE_NONPOTABLE_API[[#This Row],[RESIDENTIAL_SINGLEFAMILY_GAL]:[OTHER_GAL]])</f>
        <v>273751873.55599999</v>
      </c>
      <c r="W1845">
        <f>SUM(POTABLE_NONPOTABLE_API[[#This Row],[NONPOTABLE_DEMAND_RESIDENTIAL_RECYCLED_WATER_GAL]:[NONPOTABLE_DEMAND_NONRESIDENTIAL_METERED_IRRIGATION_GAL]])</f>
        <v>0</v>
      </c>
      <c r="X1845" t="str">
        <f>IFERROR(INDEX(Crosswalk_API!$H$2:$H$527, MATCH(POTABLE_NONPOTABLE_API[[#This Row],[PWSID]], CW_PWSID_LIST, 0)), "")</f>
        <v>No</v>
      </c>
    </row>
    <row r="1846" spans="1:24" x14ac:dyDescent="0.25">
      <c r="A1846" t="s">
        <v>1238</v>
      </c>
      <c r="B1846" t="s">
        <v>1239</v>
      </c>
      <c r="C1846" t="s">
        <v>1240</v>
      </c>
      <c r="D1846" t="s">
        <v>1241</v>
      </c>
      <c r="E1846" s="9">
        <v>45352</v>
      </c>
      <c r="F1846" s="9">
        <v>45382</v>
      </c>
      <c r="G1846">
        <v>179148729.324</v>
      </c>
      <c r="H1846">
        <v>74598737.648000002</v>
      </c>
      <c r="I1846">
        <v>44134319.947999999</v>
      </c>
      <c r="J1846">
        <v>9596011.0559999999</v>
      </c>
      <c r="K1846">
        <v>0</v>
      </c>
      <c r="L1846">
        <v>4152436.6520000002</v>
      </c>
      <c r="M1846">
        <v>828093.56400000001</v>
      </c>
      <c r="T1846" s="9">
        <v>45108</v>
      </c>
      <c r="U1846" s="9">
        <v>45473</v>
      </c>
      <c r="V1846">
        <f>SUM(POTABLE_NONPOTABLE_API[[#This Row],[RESIDENTIAL_SINGLEFAMILY_GAL]:[OTHER_GAL]])</f>
        <v>311630234.62800002</v>
      </c>
      <c r="W1846">
        <f>SUM(POTABLE_NONPOTABLE_API[[#This Row],[NONPOTABLE_DEMAND_RESIDENTIAL_RECYCLED_WATER_GAL]:[NONPOTABLE_DEMAND_NONRESIDENTIAL_METERED_IRRIGATION_GAL]])</f>
        <v>0</v>
      </c>
      <c r="X1846" t="str">
        <f>IFERROR(INDEX(Crosswalk_API!$H$2:$H$527, MATCH(POTABLE_NONPOTABLE_API[[#This Row],[PWSID]], CW_PWSID_LIST, 0)), "")</f>
        <v>No</v>
      </c>
    </row>
    <row r="1847" spans="1:24" x14ac:dyDescent="0.25">
      <c r="A1847" t="s">
        <v>1238</v>
      </c>
      <c r="B1847" t="s">
        <v>1239</v>
      </c>
      <c r="C1847" t="s">
        <v>1240</v>
      </c>
      <c r="D1847" t="s">
        <v>1241</v>
      </c>
      <c r="E1847" s="9">
        <v>45383</v>
      </c>
      <c r="F1847" s="9">
        <v>45412</v>
      </c>
      <c r="G1847">
        <v>161731834.60800001</v>
      </c>
      <c r="H1847">
        <v>58777437.848000005</v>
      </c>
      <c r="I1847">
        <v>37734735.088</v>
      </c>
      <c r="J1847">
        <v>14475554.252</v>
      </c>
      <c r="K1847">
        <v>0</v>
      </c>
      <c r="L1847">
        <v>5424125.0520000001</v>
      </c>
      <c r="M1847">
        <v>905890.97200000007</v>
      </c>
      <c r="T1847" s="9">
        <v>45108</v>
      </c>
      <c r="U1847" s="9">
        <v>45473</v>
      </c>
      <c r="V1847">
        <f>SUM(POTABLE_NONPOTABLE_API[[#This Row],[RESIDENTIAL_SINGLEFAMILY_GAL]:[OTHER_GAL]])</f>
        <v>278143686.84799999</v>
      </c>
      <c r="W1847">
        <f>SUM(POTABLE_NONPOTABLE_API[[#This Row],[NONPOTABLE_DEMAND_RESIDENTIAL_RECYCLED_WATER_GAL]:[NONPOTABLE_DEMAND_NONRESIDENTIAL_METERED_IRRIGATION_GAL]])</f>
        <v>0</v>
      </c>
      <c r="X1847" t="str">
        <f>IFERROR(INDEX(Crosswalk_API!$H$2:$H$527, MATCH(POTABLE_NONPOTABLE_API[[#This Row],[PWSID]], CW_PWSID_LIST, 0)), "")</f>
        <v>No</v>
      </c>
    </row>
    <row r="1848" spans="1:24" x14ac:dyDescent="0.25">
      <c r="A1848" t="s">
        <v>1238</v>
      </c>
      <c r="B1848" t="s">
        <v>1239</v>
      </c>
      <c r="C1848" t="s">
        <v>1240</v>
      </c>
      <c r="D1848" t="s">
        <v>1241</v>
      </c>
      <c r="E1848" s="9">
        <v>45413</v>
      </c>
      <c r="F1848" s="9">
        <v>45443</v>
      </c>
      <c r="G1848">
        <v>247884983.44800001</v>
      </c>
      <c r="H1848">
        <v>75584670.184</v>
      </c>
      <c r="I1848">
        <v>50376065.836000003</v>
      </c>
      <c r="J1848">
        <v>33647378.960000001</v>
      </c>
      <c r="K1848">
        <v>0</v>
      </c>
      <c r="L1848">
        <v>9806961.7200000007</v>
      </c>
      <c r="M1848">
        <v>2615189.7919999999</v>
      </c>
      <c r="T1848" s="9">
        <v>45108</v>
      </c>
      <c r="U1848" s="9">
        <v>45473</v>
      </c>
      <c r="V1848">
        <f>SUM(POTABLE_NONPOTABLE_API[[#This Row],[RESIDENTIAL_SINGLEFAMILY_GAL]:[OTHER_GAL]])</f>
        <v>417300060.14800006</v>
      </c>
      <c r="W1848">
        <f>SUM(POTABLE_NONPOTABLE_API[[#This Row],[NONPOTABLE_DEMAND_RESIDENTIAL_RECYCLED_WATER_GAL]:[NONPOTABLE_DEMAND_NONRESIDENTIAL_METERED_IRRIGATION_GAL]])</f>
        <v>0</v>
      </c>
      <c r="X1848" t="str">
        <f>IFERROR(INDEX(Crosswalk_API!$H$2:$H$527, MATCH(POTABLE_NONPOTABLE_API[[#This Row],[PWSID]], CW_PWSID_LIST, 0)), "")</f>
        <v>No</v>
      </c>
    </row>
    <row r="1849" spans="1:24" x14ac:dyDescent="0.25">
      <c r="A1849" t="s">
        <v>1238</v>
      </c>
      <c r="B1849" t="s">
        <v>1239</v>
      </c>
      <c r="C1849" t="s">
        <v>1240</v>
      </c>
      <c r="D1849" t="s">
        <v>1241</v>
      </c>
      <c r="E1849" s="9">
        <v>45444</v>
      </c>
      <c r="F1849" s="9">
        <v>45473</v>
      </c>
      <c r="G1849">
        <v>267453275.71600002</v>
      </c>
      <c r="H1849">
        <v>67822134.579999998</v>
      </c>
      <c r="I1849">
        <v>50815172.359999999</v>
      </c>
      <c r="J1849">
        <v>47141488.987999998</v>
      </c>
      <c r="K1849">
        <v>0</v>
      </c>
      <c r="L1849">
        <v>10480956.572000001</v>
      </c>
      <c r="M1849">
        <v>4314015.8840000005</v>
      </c>
      <c r="T1849" s="9">
        <v>45108</v>
      </c>
      <c r="U1849" s="9">
        <v>45473</v>
      </c>
      <c r="V1849">
        <f>SUM(POTABLE_NONPOTABLE_API[[#This Row],[RESIDENTIAL_SINGLEFAMILY_GAL]:[OTHER_GAL]])</f>
        <v>443713028.21600002</v>
      </c>
      <c r="W1849">
        <f>SUM(POTABLE_NONPOTABLE_API[[#This Row],[NONPOTABLE_DEMAND_RESIDENTIAL_RECYCLED_WATER_GAL]:[NONPOTABLE_DEMAND_NONRESIDENTIAL_METERED_IRRIGATION_GAL]])</f>
        <v>0</v>
      </c>
      <c r="X1849" t="str">
        <f>IFERROR(INDEX(Crosswalk_API!$H$2:$H$527, MATCH(POTABLE_NONPOTABLE_API[[#This Row],[PWSID]], CW_PWSID_LIST, 0)), "")</f>
        <v>No</v>
      </c>
    </row>
    <row r="1850" spans="1:24" x14ac:dyDescent="0.25">
      <c r="A1850" t="s">
        <v>1242</v>
      </c>
      <c r="B1850" t="s">
        <v>1243</v>
      </c>
      <c r="C1850" t="s">
        <v>1244</v>
      </c>
      <c r="D1850" t="s">
        <v>1245</v>
      </c>
      <c r="E1850" s="9">
        <v>45108</v>
      </c>
      <c r="F1850" s="9">
        <v>45138</v>
      </c>
      <c r="G1850">
        <v>1657439040.3877857</v>
      </c>
      <c r="H1850">
        <v>182338889.58175498</v>
      </c>
      <c r="I1850">
        <v>208809556.86300001</v>
      </c>
      <c r="J1850">
        <v>308415038.84100002</v>
      </c>
      <c r="K1850">
        <v>17366880.746999998</v>
      </c>
      <c r="L1850">
        <v>0</v>
      </c>
      <c r="M1850">
        <v>28013410.469999999</v>
      </c>
      <c r="N1850">
        <v>0</v>
      </c>
      <c r="O1850">
        <v>0</v>
      </c>
      <c r="Q1850">
        <v>1577741541.2609999</v>
      </c>
      <c r="R1850">
        <v>19750480.811999999</v>
      </c>
      <c r="T1850" s="9">
        <v>45108</v>
      </c>
      <c r="U1850" s="9">
        <v>45473</v>
      </c>
      <c r="V1850">
        <f>SUM(POTABLE_NONPOTABLE_API[[#This Row],[RESIDENTIAL_SINGLEFAMILY_GAL]:[OTHER_GAL]])</f>
        <v>2374369406.4205408</v>
      </c>
      <c r="W1850">
        <f>SUM(POTABLE_NONPOTABLE_API[[#This Row],[NONPOTABLE_DEMAND_RESIDENTIAL_RECYCLED_WATER_GAL]:[NONPOTABLE_DEMAND_NONRESIDENTIAL_METERED_IRRIGATION_GAL]])</f>
        <v>1597492022.073</v>
      </c>
      <c r="X1850" t="str">
        <f>IFERROR(INDEX(Crosswalk_API!$H$2:$H$527, MATCH(POTABLE_NONPOTABLE_API[[#This Row],[PWSID]], CW_PWSID_LIST, 0)), "")</f>
        <v>No</v>
      </c>
    </row>
    <row r="1851" spans="1:24" x14ac:dyDescent="0.25">
      <c r="A1851" t="s">
        <v>1242</v>
      </c>
      <c r="B1851" t="s">
        <v>1243</v>
      </c>
      <c r="C1851" t="s">
        <v>1244</v>
      </c>
      <c r="D1851" t="s">
        <v>1245</v>
      </c>
      <c r="E1851" s="9">
        <v>45139</v>
      </c>
      <c r="F1851" s="9">
        <v>45169</v>
      </c>
      <c r="G1851">
        <v>1617914081.796</v>
      </c>
      <c r="H1851">
        <v>178460120.574</v>
      </c>
      <c r="I1851">
        <v>211457096.23800001</v>
      </c>
      <c r="J1851">
        <v>352011621.68400002</v>
      </c>
      <c r="K1851">
        <v>16648705.143000001</v>
      </c>
      <c r="L1851">
        <v>348660.57</v>
      </c>
      <c r="M1851">
        <v>26897370.795000002</v>
      </c>
      <c r="N1851">
        <v>0</v>
      </c>
      <c r="O1851">
        <v>0</v>
      </c>
      <c r="Q1851">
        <v>1233369170.421</v>
      </c>
      <c r="R1851">
        <v>14188530.093</v>
      </c>
      <c r="T1851" s="9">
        <v>45108</v>
      </c>
      <c r="U1851" s="9">
        <v>45473</v>
      </c>
      <c r="V1851">
        <f>SUM(POTABLE_NONPOTABLE_API[[#This Row],[RESIDENTIAL_SINGLEFAMILY_GAL]:[OTHER_GAL]])</f>
        <v>2376840286.0050001</v>
      </c>
      <c r="W1851">
        <f>SUM(POTABLE_NONPOTABLE_API[[#This Row],[NONPOTABLE_DEMAND_RESIDENTIAL_RECYCLED_WATER_GAL]:[NONPOTABLE_DEMAND_NONRESIDENTIAL_METERED_IRRIGATION_GAL]])</f>
        <v>1247557700.5139999</v>
      </c>
      <c r="X1851" t="str">
        <f>IFERROR(INDEX(Crosswalk_API!$H$2:$H$527, MATCH(POTABLE_NONPOTABLE_API[[#This Row],[PWSID]], CW_PWSID_LIST, 0)), "")</f>
        <v>No</v>
      </c>
    </row>
    <row r="1852" spans="1:24" x14ac:dyDescent="0.25">
      <c r="A1852" t="s">
        <v>1242</v>
      </c>
      <c r="B1852" t="s">
        <v>1243</v>
      </c>
      <c r="C1852" t="s">
        <v>1244</v>
      </c>
      <c r="D1852" t="s">
        <v>1245</v>
      </c>
      <c r="E1852" s="9">
        <v>45170</v>
      </c>
      <c r="F1852" s="9">
        <v>45199</v>
      </c>
      <c r="G1852">
        <v>1678293946.2449999</v>
      </c>
      <c r="H1852">
        <v>200838915.55199999</v>
      </c>
      <c r="I1852">
        <v>225658660.37099999</v>
      </c>
      <c r="J1852">
        <v>339098798.25599998</v>
      </c>
      <c r="K1852">
        <v>17215685.883000001</v>
      </c>
      <c r="L1852">
        <v>239500.48499999999</v>
      </c>
      <c r="M1852">
        <v>14720318.924999999</v>
      </c>
      <c r="N1852">
        <v>0</v>
      </c>
      <c r="O1852">
        <v>0</v>
      </c>
      <c r="Q1852">
        <v>1190248655.8889999</v>
      </c>
      <c r="R1852">
        <v>19944036.306000002</v>
      </c>
      <c r="T1852" s="9">
        <v>45108</v>
      </c>
      <c r="U1852" s="9">
        <v>45473</v>
      </c>
      <c r="V1852">
        <f>SUM(POTABLE_NONPOTABLE_API[[#This Row],[RESIDENTIAL_SINGLEFAMILY_GAL]:[OTHER_GAL]])</f>
        <v>2461345506.7919998</v>
      </c>
      <c r="W1852">
        <f>SUM(POTABLE_NONPOTABLE_API[[#This Row],[NONPOTABLE_DEMAND_RESIDENTIAL_RECYCLED_WATER_GAL]:[NONPOTABLE_DEMAND_NONRESIDENTIAL_METERED_IRRIGATION_GAL]])</f>
        <v>1210192692.1949999</v>
      </c>
      <c r="X1852" t="str">
        <f>IFERROR(INDEX(Crosswalk_API!$H$2:$H$527, MATCH(POTABLE_NONPOTABLE_API[[#This Row],[PWSID]], CW_PWSID_LIST, 0)), "")</f>
        <v>No</v>
      </c>
    </row>
    <row r="1853" spans="1:24" x14ac:dyDescent="0.25">
      <c r="A1853" t="s">
        <v>1242</v>
      </c>
      <c r="B1853" t="s">
        <v>1243</v>
      </c>
      <c r="C1853" t="s">
        <v>1244</v>
      </c>
      <c r="D1853" t="s">
        <v>1245</v>
      </c>
      <c r="E1853" s="9">
        <v>45200</v>
      </c>
      <c r="F1853" s="9">
        <v>45230</v>
      </c>
      <c r="G1853">
        <v>1344425708.2409999</v>
      </c>
      <c r="H1853">
        <v>158826294.42000002</v>
      </c>
      <c r="I1853">
        <v>176964790.33500001</v>
      </c>
      <c r="J1853">
        <v>246893718.33899999</v>
      </c>
      <c r="K1853">
        <v>15395482.197000001</v>
      </c>
      <c r="L1853">
        <v>174981.98700000002</v>
      </c>
      <c r="M1853">
        <v>11685668.562000001</v>
      </c>
      <c r="N1853">
        <v>0</v>
      </c>
      <c r="O1853">
        <v>0</v>
      </c>
      <c r="Q1853">
        <v>1086926517.405</v>
      </c>
      <c r="R1853">
        <v>26459101.199999999</v>
      </c>
      <c r="T1853" s="9">
        <v>45108</v>
      </c>
      <c r="U1853" s="9">
        <v>45473</v>
      </c>
      <c r="V1853">
        <f>SUM(POTABLE_NONPOTABLE_API[[#This Row],[RESIDENTIAL_SINGLEFAMILY_GAL]:[OTHER_GAL]])</f>
        <v>1942680975.5190001</v>
      </c>
      <c r="W1853">
        <f>SUM(POTABLE_NONPOTABLE_API[[#This Row],[NONPOTABLE_DEMAND_RESIDENTIAL_RECYCLED_WATER_GAL]:[NONPOTABLE_DEMAND_NONRESIDENTIAL_METERED_IRRIGATION_GAL]])</f>
        <v>1113385618.605</v>
      </c>
      <c r="X1853" t="str">
        <f>IFERROR(INDEX(Crosswalk_API!$H$2:$H$527, MATCH(POTABLE_NONPOTABLE_API[[#This Row],[PWSID]], CW_PWSID_LIST, 0)), "")</f>
        <v>No</v>
      </c>
    </row>
    <row r="1854" spans="1:24" x14ac:dyDescent="0.25">
      <c r="A1854" t="s">
        <v>1242</v>
      </c>
      <c r="B1854" t="s">
        <v>1243</v>
      </c>
      <c r="C1854" t="s">
        <v>1244</v>
      </c>
      <c r="D1854" t="s">
        <v>1245</v>
      </c>
      <c r="E1854" s="9">
        <v>45231</v>
      </c>
      <c r="F1854" s="9">
        <v>45260</v>
      </c>
      <c r="G1854">
        <v>1407336131.556</v>
      </c>
      <c r="H1854">
        <v>180568376.544</v>
      </c>
      <c r="I1854">
        <v>193278194.79899999</v>
      </c>
      <c r="J1854">
        <v>236617029.50099999</v>
      </c>
      <c r="K1854">
        <v>16258009.794</v>
      </c>
      <c r="L1854">
        <v>199746.663</v>
      </c>
      <c r="M1854">
        <v>11774951.736000001</v>
      </c>
      <c r="N1854">
        <v>0</v>
      </c>
      <c r="O1854">
        <v>0</v>
      </c>
      <c r="Q1854">
        <v>637847793.03299999</v>
      </c>
      <c r="R1854">
        <v>15932158.794</v>
      </c>
      <c r="T1854" s="9">
        <v>45108</v>
      </c>
      <c r="U1854" s="9">
        <v>45473</v>
      </c>
      <c r="V1854">
        <f>SUM(POTABLE_NONPOTABLE_API[[#This Row],[RESIDENTIAL_SINGLEFAMILY_GAL]:[OTHER_GAL]])</f>
        <v>2034257488.8569999</v>
      </c>
      <c r="W1854">
        <f>SUM(POTABLE_NONPOTABLE_API[[#This Row],[NONPOTABLE_DEMAND_RESIDENTIAL_RECYCLED_WATER_GAL]:[NONPOTABLE_DEMAND_NONRESIDENTIAL_METERED_IRRIGATION_GAL]])</f>
        <v>653779951.82700002</v>
      </c>
      <c r="X1854" t="str">
        <f>IFERROR(INDEX(Crosswalk_API!$H$2:$H$527, MATCH(POTABLE_NONPOTABLE_API[[#This Row],[PWSID]], CW_PWSID_LIST, 0)), "")</f>
        <v>No</v>
      </c>
    </row>
    <row r="1855" spans="1:24" x14ac:dyDescent="0.25">
      <c r="A1855" t="s">
        <v>1242</v>
      </c>
      <c r="B1855" t="s">
        <v>1243</v>
      </c>
      <c r="C1855" t="s">
        <v>1244</v>
      </c>
      <c r="D1855" t="s">
        <v>1245</v>
      </c>
      <c r="E1855" s="9">
        <v>45261</v>
      </c>
      <c r="F1855" s="9">
        <v>45291</v>
      </c>
      <c r="G1855">
        <v>1165556644.6619999</v>
      </c>
      <c r="H1855">
        <v>149907752.55000001</v>
      </c>
      <c r="I1855">
        <v>150688165.69499999</v>
      </c>
      <c r="J1855">
        <v>163861018.22099999</v>
      </c>
      <c r="K1855">
        <v>13571042.448000001</v>
      </c>
      <c r="L1855">
        <v>111441.042</v>
      </c>
      <c r="M1855">
        <v>7644138.6090000002</v>
      </c>
      <c r="N1855">
        <v>0</v>
      </c>
      <c r="O1855">
        <v>0</v>
      </c>
      <c r="Q1855">
        <v>397899262.90799999</v>
      </c>
      <c r="R1855">
        <v>9779440.2119999994</v>
      </c>
      <c r="T1855" s="9">
        <v>45108</v>
      </c>
      <c r="U1855" s="9">
        <v>45473</v>
      </c>
      <c r="V1855">
        <f>SUM(POTABLE_NONPOTABLE_API[[#This Row],[RESIDENTIAL_SINGLEFAMILY_GAL]:[OTHER_GAL]])</f>
        <v>1643696064.6179998</v>
      </c>
      <c r="W1855">
        <f>SUM(POTABLE_NONPOTABLE_API[[#This Row],[NONPOTABLE_DEMAND_RESIDENTIAL_RECYCLED_WATER_GAL]:[NONPOTABLE_DEMAND_NONRESIDENTIAL_METERED_IRRIGATION_GAL]])</f>
        <v>407678703.12</v>
      </c>
      <c r="X1855" t="str">
        <f>IFERROR(INDEX(Crosswalk_API!$H$2:$H$527, MATCH(POTABLE_NONPOTABLE_API[[#This Row],[PWSID]], CW_PWSID_LIST, 0)), "")</f>
        <v>No</v>
      </c>
    </row>
    <row r="1856" spans="1:24" x14ac:dyDescent="0.25">
      <c r="A1856" t="s">
        <v>1242</v>
      </c>
      <c r="B1856" t="s">
        <v>1243</v>
      </c>
      <c r="C1856" t="s">
        <v>1244</v>
      </c>
      <c r="D1856" t="s">
        <v>1245</v>
      </c>
      <c r="E1856" s="9">
        <v>45292</v>
      </c>
      <c r="F1856" s="9">
        <v>45322</v>
      </c>
      <c r="G1856">
        <v>1047030624.369</v>
      </c>
      <c r="H1856">
        <v>151318035.678</v>
      </c>
      <c r="I1856">
        <v>135030373.44299999</v>
      </c>
      <c r="J1856">
        <v>91886397.638999999</v>
      </c>
      <c r="K1856">
        <v>14248812.528000001</v>
      </c>
      <c r="L1856">
        <v>59956.584000000003</v>
      </c>
      <c r="M1856">
        <v>5458981.8030000003</v>
      </c>
      <c r="N1856">
        <v>0</v>
      </c>
      <c r="O1856">
        <v>0</v>
      </c>
      <c r="Q1856">
        <v>131940980.11199999</v>
      </c>
      <c r="R1856">
        <v>7070966.7000000002</v>
      </c>
      <c r="T1856" s="9">
        <v>45108</v>
      </c>
      <c r="U1856" s="9">
        <v>45473</v>
      </c>
      <c r="V1856">
        <f>SUM(POTABLE_NONPOTABLE_API[[#This Row],[RESIDENTIAL_SINGLEFAMILY_GAL]:[OTHER_GAL]])</f>
        <v>1439574200.2410002</v>
      </c>
      <c r="W1856">
        <f>SUM(POTABLE_NONPOTABLE_API[[#This Row],[NONPOTABLE_DEMAND_RESIDENTIAL_RECYCLED_WATER_GAL]:[NONPOTABLE_DEMAND_NONRESIDENTIAL_METERED_IRRIGATION_GAL]])</f>
        <v>139011946.81199998</v>
      </c>
      <c r="X1856" t="str">
        <f>IFERROR(INDEX(Crosswalk_API!$H$2:$H$527, MATCH(POTABLE_NONPOTABLE_API[[#This Row],[PWSID]], CW_PWSID_LIST, 0)), "")</f>
        <v>No</v>
      </c>
    </row>
    <row r="1857" spans="1:24" x14ac:dyDescent="0.25">
      <c r="A1857" t="s">
        <v>1242</v>
      </c>
      <c r="B1857" t="s">
        <v>1243</v>
      </c>
      <c r="C1857" t="s">
        <v>1244</v>
      </c>
      <c r="D1857" t="s">
        <v>1245</v>
      </c>
      <c r="E1857" s="9">
        <v>45323</v>
      </c>
      <c r="F1857" s="9">
        <v>45351</v>
      </c>
      <c r="G1857">
        <v>915207276.46800005</v>
      </c>
      <c r="H1857">
        <v>140665640.63699999</v>
      </c>
      <c r="I1857">
        <v>124730223.333</v>
      </c>
      <c r="J1857">
        <v>44647778.169</v>
      </c>
      <c r="K1857">
        <v>13369992.380999999</v>
      </c>
      <c r="L1857">
        <v>5213.616</v>
      </c>
      <c r="M1857">
        <v>3718285.7609999999</v>
      </c>
      <c r="N1857">
        <v>0</v>
      </c>
      <c r="O1857">
        <v>0</v>
      </c>
      <c r="Q1857">
        <v>19707794.331</v>
      </c>
      <c r="R1857">
        <v>4987475.4059999995</v>
      </c>
      <c r="T1857" s="9">
        <v>45108</v>
      </c>
      <c r="U1857" s="9">
        <v>45473</v>
      </c>
      <c r="V1857">
        <f>SUM(POTABLE_NONPOTABLE_API[[#This Row],[RESIDENTIAL_SINGLEFAMILY_GAL]:[OTHER_GAL]])</f>
        <v>1238626124.6039999</v>
      </c>
      <c r="W1857">
        <f>SUM(POTABLE_NONPOTABLE_API[[#This Row],[NONPOTABLE_DEMAND_RESIDENTIAL_RECYCLED_WATER_GAL]:[NONPOTABLE_DEMAND_NONRESIDENTIAL_METERED_IRRIGATION_GAL]])</f>
        <v>24695269.737</v>
      </c>
      <c r="X1857" t="str">
        <f>IFERROR(INDEX(Crosswalk_API!$H$2:$H$527, MATCH(POTABLE_NONPOTABLE_API[[#This Row],[PWSID]], CW_PWSID_LIST, 0)), "")</f>
        <v>No</v>
      </c>
    </row>
    <row r="1858" spans="1:24" x14ac:dyDescent="0.25">
      <c r="A1858" t="s">
        <v>1242</v>
      </c>
      <c r="B1858" t="s">
        <v>1243</v>
      </c>
      <c r="C1858" t="s">
        <v>1244</v>
      </c>
      <c r="D1858" t="s">
        <v>1245</v>
      </c>
      <c r="E1858" s="9">
        <v>45352</v>
      </c>
      <c r="F1858" s="9">
        <v>45382</v>
      </c>
      <c r="G1858">
        <v>867834080.53499997</v>
      </c>
      <c r="H1858">
        <v>136761619.80599999</v>
      </c>
      <c r="I1858">
        <v>122068346.514</v>
      </c>
      <c r="J1858">
        <v>23386977.972000003</v>
      </c>
      <c r="K1858">
        <v>12295009.932</v>
      </c>
      <c r="L1858">
        <v>3584.3609999999999</v>
      </c>
      <c r="M1858">
        <v>2659921.713</v>
      </c>
      <c r="N1858">
        <v>0</v>
      </c>
      <c r="O1858">
        <v>0</v>
      </c>
      <c r="Q1858">
        <v>115626598.09500001</v>
      </c>
      <c r="R1858">
        <v>1182513.2790000001</v>
      </c>
      <c r="T1858" s="9">
        <v>45108</v>
      </c>
      <c r="U1858" s="9">
        <v>45473</v>
      </c>
      <c r="V1858">
        <f>SUM(POTABLE_NONPOTABLE_API[[#This Row],[RESIDENTIAL_SINGLEFAMILY_GAL]:[OTHER_GAL]])</f>
        <v>1162349619.1200001</v>
      </c>
      <c r="W1858">
        <f>SUM(POTABLE_NONPOTABLE_API[[#This Row],[NONPOTABLE_DEMAND_RESIDENTIAL_RECYCLED_WATER_GAL]:[NONPOTABLE_DEMAND_NONRESIDENTIAL_METERED_IRRIGATION_GAL]])</f>
        <v>116809111.37400001</v>
      </c>
      <c r="X1858" t="str">
        <f>IFERROR(INDEX(Crosswalk_API!$H$2:$H$527, MATCH(POTABLE_NONPOTABLE_API[[#This Row],[PWSID]], CW_PWSID_LIST, 0)), "")</f>
        <v>No</v>
      </c>
    </row>
    <row r="1859" spans="1:24" x14ac:dyDescent="0.25">
      <c r="A1859" t="s">
        <v>1242</v>
      </c>
      <c r="B1859" t="s">
        <v>1243</v>
      </c>
      <c r="C1859" t="s">
        <v>1244</v>
      </c>
      <c r="D1859" t="s">
        <v>1245</v>
      </c>
      <c r="E1859" s="9">
        <v>45383</v>
      </c>
      <c r="F1859" s="9">
        <v>45412</v>
      </c>
      <c r="G1859">
        <v>959937494.94000006</v>
      </c>
      <c r="H1859">
        <v>141250543.18200001</v>
      </c>
      <c r="I1859">
        <v>128399631.44399999</v>
      </c>
      <c r="J1859">
        <v>51025333.941</v>
      </c>
      <c r="K1859">
        <v>12107971.458000001</v>
      </c>
      <c r="L1859">
        <v>4561.9139999999998</v>
      </c>
      <c r="M1859">
        <v>4044136.7609999999</v>
      </c>
      <c r="N1859">
        <v>0</v>
      </c>
      <c r="O1859">
        <v>0</v>
      </c>
      <c r="Q1859">
        <v>372709677.20400006</v>
      </c>
      <c r="R1859">
        <v>2810139.0240000002</v>
      </c>
      <c r="T1859" s="9">
        <v>45108</v>
      </c>
      <c r="U1859" s="9">
        <v>45473</v>
      </c>
      <c r="V1859">
        <f>SUM(POTABLE_NONPOTABLE_API[[#This Row],[RESIDENTIAL_SINGLEFAMILY_GAL]:[OTHER_GAL]])</f>
        <v>1292725536.8789999</v>
      </c>
      <c r="W1859">
        <f>SUM(POTABLE_NONPOTABLE_API[[#This Row],[NONPOTABLE_DEMAND_RESIDENTIAL_RECYCLED_WATER_GAL]:[NONPOTABLE_DEMAND_NONRESIDENTIAL_METERED_IRRIGATION_GAL]])</f>
        <v>375519816.22800004</v>
      </c>
      <c r="X1859" t="str">
        <f>IFERROR(INDEX(Crosswalk_API!$H$2:$H$527, MATCH(POTABLE_NONPOTABLE_API[[#This Row],[PWSID]], CW_PWSID_LIST, 0)), "")</f>
        <v>No</v>
      </c>
    </row>
    <row r="1860" spans="1:24" x14ac:dyDescent="0.25">
      <c r="A1860" t="s">
        <v>1242</v>
      </c>
      <c r="B1860" t="s">
        <v>1243</v>
      </c>
      <c r="C1860" t="s">
        <v>1244</v>
      </c>
      <c r="D1860" t="s">
        <v>1245</v>
      </c>
      <c r="E1860" s="9">
        <v>45413</v>
      </c>
      <c r="F1860" s="9">
        <v>45443</v>
      </c>
      <c r="G1860">
        <v>1232891147.0039999</v>
      </c>
      <c r="H1860">
        <v>162913443.51300001</v>
      </c>
      <c r="I1860">
        <v>168463989.447</v>
      </c>
      <c r="J1860">
        <v>148672125.558</v>
      </c>
      <c r="K1860">
        <v>14516662.049999999</v>
      </c>
      <c r="L1860">
        <v>27697.335000000003</v>
      </c>
      <c r="M1860">
        <v>8333313.4740000004</v>
      </c>
      <c r="N1860">
        <v>0</v>
      </c>
      <c r="O1860">
        <v>0</v>
      </c>
      <c r="Q1860">
        <v>939613516.36800003</v>
      </c>
      <c r="R1860">
        <v>3812456.6999999997</v>
      </c>
      <c r="T1860" s="9">
        <v>45108</v>
      </c>
      <c r="U1860" s="9">
        <v>45473</v>
      </c>
      <c r="V1860">
        <f>SUM(POTABLE_NONPOTABLE_API[[#This Row],[RESIDENTIAL_SINGLEFAMILY_GAL]:[OTHER_GAL]])</f>
        <v>1727485064.9070001</v>
      </c>
      <c r="W1860">
        <f>SUM(POTABLE_NONPOTABLE_API[[#This Row],[NONPOTABLE_DEMAND_RESIDENTIAL_RECYCLED_WATER_GAL]:[NONPOTABLE_DEMAND_NONRESIDENTIAL_METERED_IRRIGATION_GAL]])</f>
        <v>943425973.06800008</v>
      </c>
      <c r="X1860" t="str">
        <f>IFERROR(INDEX(Crosswalk_API!$H$2:$H$527, MATCH(POTABLE_NONPOTABLE_API[[#This Row],[PWSID]], CW_PWSID_LIST, 0)), "")</f>
        <v>No</v>
      </c>
    </row>
    <row r="1861" spans="1:24" x14ac:dyDescent="0.25">
      <c r="A1861" t="s">
        <v>1242</v>
      </c>
      <c r="B1861" t="s">
        <v>1243</v>
      </c>
      <c r="C1861" t="s">
        <v>1244</v>
      </c>
      <c r="D1861" t="s">
        <v>1245</v>
      </c>
      <c r="E1861" s="9">
        <v>45444</v>
      </c>
      <c r="F1861" s="9">
        <v>45473</v>
      </c>
      <c r="G1861">
        <v>1617390439.2390001</v>
      </c>
      <c r="H1861">
        <v>190164362.64299998</v>
      </c>
      <c r="I1861">
        <v>207042792.741</v>
      </c>
      <c r="J1861">
        <v>264643148.16</v>
      </c>
      <c r="K1861">
        <v>16560399.522000002</v>
      </c>
      <c r="L1861">
        <v>115351.254</v>
      </c>
      <c r="M1861">
        <v>10079874.834000001</v>
      </c>
      <c r="N1861">
        <v>0</v>
      </c>
      <c r="O1861">
        <v>0</v>
      </c>
      <c r="Q1861">
        <v>1141441715.556</v>
      </c>
      <c r="R1861">
        <v>2867488.8000000003</v>
      </c>
      <c r="T1861" s="9">
        <v>45108</v>
      </c>
      <c r="U1861" s="9">
        <v>45473</v>
      </c>
      <c r="V1861">
        <f>SUM(POTABLE_NONPOTABLE_API[[#This Row],[RESIDENTIAL_SINGLEFAMILY_GAL]:[OTHER_GAL]])</f>
        <v>2295916493.559</v>
      </c>
      <c r="W1861">
        <f>SUM(POTABLE_NONPOTABLE_API[[#This Row],[NONPOTABLE_DEMAND_RESIDENTIAL_RECYCLED_WATER_GAL]:[NONPOTABLE_DEMAND_NONRESIDENTIAL_METERED_IRRIGATION_GAL]])</f>
        <v>1144309204.3559999</v>
      </c>
      <c r="X1861" t="str">
        <f>IFERROR(INDEX(Crosswalk_API!$H$2:$H$527, MATCH(POTABLE_NONPOTABLE_API[[#This Row],[PWSID]], CW_PWSID_LIST, 0)), "")</f>
        <v>No</v>
      </c>
    </row>
    <row r="1862" spans="1:24" x14ac:dyDescent="0.25">
      <c r="A1862" t="s">
        <v>1246</v>
      </c>
      <c r="B1862" t="s">
        <v>1247</v>
      </c>
      <c r="C1862" t="s">
        <v>1248</v>
      </c>
      <c r="D1862" t="s">
        <v>1249</v>
      </c>
      <c r="E1862" s="9">
        <v>45108</v>
      </c>
      <c r="F1862" s="9">
        <v>45138</v>
      </c>
      <c r="G1862">
        <v>126141</v>
      </c>
      <c r="H1862">
        <v>29182</v>
      </c>
      <c r="I1862">
        <v>74412</v>
      </c>
      <c r="J1862">
        <v>14538</v>
      </c>
      <c r="K1862">
        <v>12</v>
      </c>
      <c r="L1862">
        <v>0</v>
      </c>
      <c r="M1862">
        <v>0</v>
      </c>
      <c r="T1862" s="9">
        <v>45108</v>
      </c>
      <c r="U1862" s="9">
        <v>45473</v>
      </c>
      <c r="V1862">
        <f>SUM(POTABLE_NONPOTABLE_API[[#This Row],[RESIDENTIAL_SINGLEFAMILY_GAL]:[OTHER_GAL]])</f>
        <v>244285</v>
      </c>
      <c r="W1862">
        <f>SUM(POTABLE_NONPOTABLE_API[[#This Row],[NONPOTABLE_DEMAND_RESIDENTIAL_RECYCLED_WATER_GAL]:[NONPOTABLE_DEMAND_NONRESIDENTIAL_METERED_IRRIGATION_GAL]])</f>
        <v>0</v>
      </c>
      <c r="X1862" t="str">
        <f>IFERROR(INDEX(Crosswalk_API!$H$2:$H$527, MATCH(POTABLE_NONPOTABLE_API[[#This Row],[PWSID]], CW_PWSID_LIST, 0)), "")</f>
        <v>No</v>
      </c>
    </row>
    <row r="1863" spans="1:24" x14ac:dyDescent="0.25">
      <c r="A1863" t="s">
        <v>1246</v>
      </c>
      <c r="B1863" t="s">
        <v>1247</v>
      </c>
      <c r="C1863" t="s">
        <v>1248</v>
      </c>
      <c r="D1863" t="s">
        <v>1249</v>
      </c>
      <c r="E1863" s="9">
        <v>45139</v>
      </c>
      <c r="F1863" s="9">
        <v>45169</v>
      </c>
      <c r="G1863">
        <v>113474</v>
      </c>
      <c r="H1863">
        <v>26304</v>
      </c>
      <c r="I1863">
        <v>56410</v>
      </c>
      <c r="J1863">
        <v>14452</v>
      </c>
      <c r="K1863">
        <v>18</v>
      </c>
      <c r="L1863">
        <v>0</v>
      </c>
      <c r="M1863">
        <v>0</v>
      </c>
      <c r="T1863" s="9">
        <v>45108</v>
      </c>
      <c r="U1863" s="9">
        <v>45473</v>
      </c>
      <c r="V1863">
        <f>SUM(POTABLE_NONPOTABLE_API[[#This Row],[RESIDENTIAL_SINGLEFAMILY_GAL]:[OTHER_GAL]])</f>
        <v>210658</v>
      </c>
      <c r="W1863">
        <f>SUM(POTABLE_NONPOTABLE_API[[#This Row],[NONPOTABLE_DEMAND_RESIDENTIAL_RECYCLED_WATER_GAL]:[NONPOTABLE_DEMAND_NONRESIDENTIAL_METERED_IRRIGATION_GAL]])</f>
        <v>0</v>
      </c>
      <c r="X1863" t="str">
        <f>IFERROR(INDEX(Crosswalk_API!$H$2:$H$527, MATCH(POTABLE_NONPOTABLE_API[[#This Row],[PWSID]], CW_PWSID_LIST, 0)), "")</f>
        <v>No</v>
      </c>
    </row>
    <row r="1864" spans="1:24" x14ac:dyDescent="0.25">
      <c r="A1864" t="s">
        <v>1246</v>
      </c>
      <c r="B1864" t="s">
        <v>1247</v>
      </c>
      <c r="C1864" t="s">
        <v>1248</v>
      </c>
      <c r="D1864" t="s">
        <v>1249</v>
      </c>
      <c r="E1864" s="9">
        <v>45170</v>
      </c>
      <c r="F1864" s="9">
        <v>45199</v>
      </c>
      <c r="G1864">
        <v>110017</v>
      </c>
      <c r="H1864">
        <v>30716</v>
      </c>
      <c r="I1864">
        <v>55119</v>
      </c>
      <c r="J1864">
        <v>13583</v>
      </c>
      <c r="K1864">
        <v>19</v>
      </c>
      <c r="L1864">
        <v>0</v>
      </c>
      <c r="M1864">
        <v>0</v>
      </c>
      <c r="T1864" s="9">
        <v>45108</v>
      </c>
      <c r="U1864" s="9">
        <v>45473</v>
      </c>
      <c r="V1864">
        <f>SUM(POTABLE_NONPOTABLE_API[[#This Row],[RESIDENTIAL_SINGLEFAMILY_GAL]:[OTHER_GAL]])</f>
        <v>209454</v>
      </c>
      <c r="W1864">
        <f>SUM(POTABLE_NONPOTABLE_API[[#This Row],[NONPOTABLE_DEMAND_RESIDENTIAL_RECYCLED_WATER_GAL]:[NONPOTABLE_DEMAND_NONRESIDENTIAL_METERED_IRRIGATION_GAL]])</f>
        <v>0</v>
      </c>
      <c r="X1864" t="str">
        <f>IFERROR(INDEX(Crosswalk_API!$H$2:$H$527, MATCH(POTABLE_NONPOTABLE_API[[#This Row],[PWSID]], CW_PWSID_LIST, 0)), "")</f>
        <v>No</v>
      </c>
    </row>
    <row r="1865" spans="1:24" x14ac:dyDescent="0.25">
      <c r="A1865" t="s">
        <v>1246</v>
      </c>
      <c r="B1865" t="s">
        <v>1247</v>
      </c>
      <c r="C1865" t="s">
        <v>1248</v>
      </c>
      <c r="D1865" t="s">
        <v>1249</v>
      </c>
      <c r="E1865" s="9">
        <v>45200</v>
      </c>
      <c r="F1865" s="9">
        <v>45230</v>
      </c>
      <c r="G1865">
        <v>90948</v>
      </c>
      <c r="H1865">
        <v>26024</v>
      </c>
      <c r="I1865">
        <v>44753</v>
      </c>
      <c r="J1865">
        <v>9507</v>
      </c>
      <c r="K1865">
        <v>17</v>
      </c>
      <c r="L1865">
        <v>0</v>
      </c>
      <c r="M1865">
        <v>0</v>
      </c>
      <c r="T1865" s="9">
        <v>45108</v>
      </c>
      <c r="U1865" s="9">
        <v>45473</v>
      </c>
      <c r="V1865">
        <f>SUM(POTABLE_NONPOTABLE_API[[#This Row],[RESIDENTIAL_SINGLEFAMILY_GAL]:[OTHER_GAL]])</f>
        <v>171249</v>
      </c>
      <c r="W1865">
        <f>SUM(POTABLE_NONPOTABLE_API[[#This Row],[NONPOTABLE_DEMAND_RESIDENTIAL_RECYCLED_WATER_GAL]:[NONPOTABLE_DEMAND_NONRESIDENTIAL_METERED_IRRIGATION_GAL]])</f>
        <v>0</v>
      </c>
      <c r="X1865" t="str">
        <f>IFERROR(INDEX(Crosswalk_API!$H$2:$H$527, MATCH(POTABLE_NONPOTABLE_API[[#This Row],[PWSID]], CW_PWSID_LIST, 0)), "")</f>
        <v>No</v>
      </c>
    </row>
    <row r="1866" spans="1:24" x14ac:dyDescent="0.25">
      <c r="A1866" t="s">
        <v>1246</v>
      </c>
      <c r="B1866" t="s">
        <v>1247</v>
      </c>
      <c r="C1866" t="s">
        <v>1248</v>
      </c>
      <c r="D1866" t="s">
        <v>1249</v>
      </c>
      <c r="E1866" s="9">
        <v>45231</v>
      </c>
      <c r="F1866" s="9">
        <v>45260</v>
      </c>
      <c r="G1866">
        <v>90497</v>
      </c>
      <c r="H1866">
        <v>28243</v>
      </c>
      <c r="I1866">
        <v>58006</v>
      </c>
      <c r="J1866">
        <v>9771</v>
      </c>
      <c r="K1866">
        <v>6</v>
      </c>
      <c r="L1866">
        <v>48235</v>
      </c>
      <c r="M1866">
        <v>0</v>
      </c>
      <c r="T1866" s="9">
        <v>45108</v>
      </c>
      <c r="U1866" s="9">
        <v>45473</v>
      </c>
      <c r="V1866">
        <f>SUM(POTABLE_NONPOTABLE_API[[#This Row],[RESIDENTIAL_SINGLEFAMILY_GAL]:[OTHER_GAL]])</f>
        <v>234758</v>
      </c>
      <c r="W1866">
        <f>SUM(POTABLE_NONPOTABLE_API[[#This Row],[NONPOTABLE_DEMAND_RESIDENTIAL_RECYCLED_WATER_GAL]:[NONPOTABLE_DEMAND_NONRESIDENTIAL_METERED_IRRIGATION_GAL]])</f>
        <v>0</v>
      </c>
      <c r="X1866" t="str">
        <f>IFERROR(INDEX(Crosswalk_API!$H$2:$H$527, MATCH(POTABLE_NONPOTABLE_API[[#This Row],[PWSID]], CW_PWSID_LIST, 0)), "")</f>
        <v>No</v>
      </c>
    </row>
    <row r="1867" spans="1:24" x14ac:dyDescent="0.25">
      <c r="A1867" t="s">
        <v>1246</v>
      </c>
      <c r="B1867" t="s">
        <v>1247</v>
      </c>
      <c r="C1867" t="s">
        <v>1248</v>
      </c>
      <c r="D1867" t="s">
        <v>1249</v>
      </c>
      <c r="E1867" s="9">
        <v>45261</v>
      </c>
      <c r="F1867" s="9">
        <v>45291</v>
      </c>
      <c r="G1867">
        <v>70163</v>
      </c>
      <c r="H1867">
        <v>24582</v>
      </c>
      <c r="I1867">
        <v>46184</v>
      </c>
      <c r="J1867">
        <v>8433</v>
      </c>
      <c r="K1867">
        <v>5</v>
      </c>
      <c r="L1867">
        <v>37751</v>
      </c>
      <c r="M1867">
        <v>0</v>
      </c>
      <c r="T1867" s="9">
        <v>45108</v>
      </c>
      <c r="U1867" s="9">
        <v>45473</v>
      </c>
      <c r="V1867">
        <f>SUM(POTABLE_NONPOTABLE_API[[#This Row],[RESIDENTIAL_SINGLEFAMILY_GAL]:[OTHER_GAL]])</f>
        <v>187118</v>
      </c>
      <c r="W1867">
        <f>SUM(POTABLE_NONPOTABLE_API[[#This Row],[NONPOTABLE_DEMAND_RESIDENTIAL_RECYCLED_WATER_GAL]:[NONPOTABLE_DEMAND_NONRESIDENTIAL_METERED_IRRIGATION_GAL]])</f>
        <v>0</v>
      </c>
      <c r="X1867" t="str">
        <f>IFERROR(INDEX(Crosswalk_API!$H$2:$H$527, MATCH(POTABLE_NONPOTABLE_API[[#This Row],[PWSID]], CW_PWSID_LIST, 0)), "")</f>
        <v>No</v>
      </c>
    </row>
    <row r="1868" spans="1:24" x14ac:dyDescent="0.25">
      <c r="A1868" t="s">
        <v>1246</v>
      </c>
      <c r="B1868" t="s">
        <v>1247</v>
      </c>
      <c r="C1868" t="s">
        <v>1248</v>
      </c>
      <c r="D1868" t="s">
        <v>1249</v>
      </c>
      <c r="E1868" s="9">
        <v>45292</v>
      </c>
      <c r="F1868" s="9">
        <v>45322</v>
      </c>
      <c r="G1868">
        <v>70016</v>
      </c>
      <c r="H1868">
        <v>25612</v>
      </c>
      <c r="I1868">
        <v>38787</v>
      </c>
      <c r="J1868">
        <v>7886</v>
      </c>
      <c r="K1868">
        <v>7</v>
      </c>
      <c r="L1868">
        <v>0</v>
      </c>
      <c r="M1868">
        <v>0</v>
      </c>
      <c r="T1868" s="9">
        <v>45108</v>
      </c>
      <c r="U1868" s="9">
        <v>45473</v>
      </c>
      <c r="V1868">
        <f>SUM(POTABLE_NONPOTABLE_API[[#This Row],[RESIDENTIAL_SINGLEFAMILY_GAL]:[OTHER_GAL]])</f>
        <v>142308</v>
      </c>
      <c r="W1868">
        <f>SUM(POTABLE_NONPOTABLE_API[[#This Row],[NONPOTABLE_DEMAND_RESIDENTIAL_RECYCLED_WATER_GAL]:[NONPOTABLE_DEMAND_NONRESIDENTIAL_METERED_IRRIGATION_GAL]])</f>
        <v>0</v>
      </c>
      <c r="X1868" t="str">
        <f>IFERROR(INDEX(Crosswalk_API!$H$2:$H$527, MATCH(POTABLE_NONPOTABLE_API[[#This Row],[PWSID]], CW_PWSID_LIST, 0)), "")</f>
        <v>No</v>
      </c>
    </row>
    <row r="1869" spans="1:24" x14ac:dyDescent="0.25">
      <c r="A1869" t="s">
        <v>1246</v>
      </c>
      <c r="B1869" t="s">
        <v>1247</v>
      </c>
      <c r="C1869" t="s">
        <v>1248</v>
      </c>
      <c r="D1869" t="s">
        <v>1249</v>
      </c>
      <c r="E1869" s="9">
        <v>45323</v>
      </c>
      <c r="F1869" s="9">
        <v>45351</v>
      </c>
      <c r="G1869">
        <v>61150</v>
      </c>
      <c r="H1869">
        <v>24824</v>
      </c>
      <c r="I1869">
        <v>39264</v>
      </c>
      <c r="J1869">
        <v>5725</v>
      </c>
      <c r="K1869">
        <v>7</v>
      </c>
      <c r="L1869">
        <v>0</v>
      </c>
      <c r="M1869">
        <v>0</v>
      </c>
      <c r="T1869" s="9">
        <v>45108</v>
      </c>
      <c r="U1869" s="9">
        <v>45473</v>
      </c>
      <c r="V1869">
        <f>SUM(POTABLE_NONPOTABLE_API[[#This Row],[RESIDENTIAL_SINGLEFAMILY_GAL]:[OTHER_GAL]])</f>
        <v>130970</v>
      </c>
      <c r="W1869">
        <f>SUM(POTABLE_NONPOTABLE_API[[#This Row],[NONPOTABLE_DEMAND_RESIDENTIAL_RECYCLED_WATER_GAL]:[NONPOTABLE_DEMAND_NONRESIDENTIAL_METERED_IRRIGATION_GAL]])</f>
        <v>0</v>
      </c>
      <c r="X1869" t="str">
        <f>IFERROR(INDEX(Crosswalk_API!$H$2:$H$527, MATCH(POTABLE_NONPOTABLE_API[[#This Row],[PWSID]], CW_PWSID_LIST, 0)), "")</f>
        <v>No</v>
      </c>
    </row>
    <row r="1870" spans="1:24" x14ac:dyDescent="0.25">
      <c r="A1870" t="s">
        <v>1246</v>
      </c>
      <c r="B1870" t="s">
        <v>1247</v>
      </c>
      <c r="C1870" t="s">
        <v>1248</v>
      </c>
      <c r="D1870" t="s">
        <v>1249</v>
      </c>
      <c r="E1870" s="9">
        <v>45352</v>
      </c>
      <c r="F1870" s="9">
        <v>45382</v>
      </c>
      <c r="G1870">
        <v>64505</v>
      </c>
      <c r="H1870">
        <v>23682</v>
      </c>
      <c r="I1870">
        <v>39355</v>
      </c>
      <c r="J1870">
        <v>5599</v>
      </c>
      <c r="K1870">
        <v>5</v>
      </c>
      <c r="L1870">
        <v>0</v>
      </c>
      <c r="M1870">
        <v>0</v>
      </c>
      <c r="T1870" s="9">
        <v>45108</v>
      </c>
      <c r="U1870" s="9">
        <v>45473</v>
      </c>
      <c r="V1870">
        <f>SUM(POTABLE_NONPOTABLE_API[[#This Row],[RESIDENTIAL_SINGLEFAMILY_GAL]:[OTHER_GAL]])</f>
        <v>133146</v>
      </c>
      <c r="W1870">
        <f>SUM(POTABLE_NONPOTABLE_API[[#This Row],[NONPOTABLE_DEMAND_RESIDENTIAL_RECYCLED_WATER_GAL]:[NONPOTABLE_DEMAND_NONRESIDENTIAL_METERED_IRRIGATION_GAL]])</f>
        <v>0</v>
      </c>
      <c r="X1870" t="str">
        <f>IFERROR(INDEX(Crosswalk_API!$H$2:$H$527, MATCH(POTABLE_NONPOTABLE_API[[#This Row],[PWSID]], CW_PWSID_LIST, 0)), "")</f>
        <v>No</v>
      </c>
    </row>
    <row r="1871" spans="1:24" x14ac:dyDescent="0.25">
      <c r="A1871" t="s">
        <v>1246</v>
      </c>
      <c r="B1871" t="s">
        <v>1247</v>
      </c>
      <c r="C1871" t="s">
        <v>1248</v>
      </c>
      <c r="D1871" t="s">
        <v>1249</v>
      </c>
      <c r="E1871" s="9">
        <v>45383</v>
      </c>
      <c r="F1871" s="9">
        <v>45412</v>
      </c>
      <c r="G1871">
        <v>74776</v>
      </c>
      <c r="H1871">
        <v>25258</v>
      </c>
      <c r="I1871">
        <v>43262</v>
      </c>
      <c r="J1871">
        <v>6991</v>
      </c>
      <c r="K1871">
        <v>14</v>
      </c>
      <c r="L1871">
        <v>0</v>
      </c>
      <c r="M1871">
        <v>0</v>
      </c>
      <c r="T1871" s="9">
        <v>45108</v>
      </c>
      <c r="U1871" s="9">
        <v>45473</v>
      </c>
      <c r="V1871">
        <f>SUM(POTABLE_NONPOTABLE_API[[#This Row],[RESIDENTIAL_SINGLEFAMILY_GAL]:[OTHER_GAL]])</f>
        <v>150301</v>
      </c>
      <c r="W1871">
        <f>SUM(POTABLE_NONPOTABLE_API[[#This Row],[NONPOTABLE_DEMAND_RESIDENTIAL_RECYCLED_WATER_GAL]:[NONPOTABLE_DEMAND_NONRESIDENTIAL_METERED_IRRIGATION_GAL]])</f>
        <v>0</v>
      </c>
      <c r="X1871" t="str">
        <f>IFERROR(INDEX(Crosswalk_API!$H$2:$H$527, MATCH(POTABLE_NONPOTABLE_API[[#This Row],[PWSID]], CW_PWSID_LIST, 0)), "")</f>
        <v>No</v>
      </c>
    </row>
    <row r="1872" spans="1:24" x14ac:dyDescent="0.25">
      <c r="A1872" t="s">
        <v>1246</v>
      </c>
      <c r="B1872" t="s">
        <v>1247</v>
      </c>
      <c r="C1872" t="s">
        <v>1248</v>
      </c>
      <c r="D1872" t="s">
        <v>1249</v>
      </c>
      <c r="E1872" s="9">
        <v>45413</v>
      </c>
      <c r="F1872" s="9">
        <v>45443</v>
      </c>
      <c r="G1872">
        <v>92741</v>
      </c>
      <c r="H1872">
        <v>26295</v>
      </c>
      <c r="I1872">
        <v>51452</v>
      </c>
      <c r="J1872">
        <v>9242</v>
      </c>
      <c r="K1872">
        <v>11</v>
      </c>
      <c r="L1872">
        <v>0</v>
      </c>
      <c r="M1872">
        <v>0</v>
      </c>
      <c r="T1872" s="9">
        <v>45108</v>
      </c>
      <c r="U1872" s="9">
        <v>45473</v>
      </c>
      <c r="V1872">
        <f>SUM(POTABLE_NONPOTABLE_API[[#This Row],[RESIDENTIAL_SINGLEFAMILY_GAL]:[OTHER_GAL]])</f>
        <v>179741</v>
      </c>
      <c r="W1872">
        <f>SUM(POTABLE_NONPOTABLE_API[[#This Row],[NONPOTABLE_DEMAND_RESIDENTIAL_RECYCLED_WATER_GAL]:[NONPOTABLE_DEMAND_NONRESIDENTIAL_METERED_IRRIGATION_GAL]])</f>
        <v>0</v>
      </c>
      <c r="X1872" t="str">
        <f>IFERROR(INDEX(Crosswalk_API!$H$2:$H$527, MATCH(POTABLE_NONPOTABLE_API[[#This Row],[PWSID]], CW_PWSID_LIST, 0)), "")</f>
        <v>No</v>
      </c>
    </row>
    <row r="1873" spans="1:24" x14ac:dyDescent="0.25">
      <c r="A1873" t="s">
        <v>1246</v>
      </c>
      <c r="B1873" t="s">
        <v>1247</v>
      </c>
      <c r="C1873" t="s">
        <v>1248</v>
      </c>
      <c r="D1873" t="s">
        <v>1249</v>
      </c>
      <c r="E1873" s="9">
        <v>45444</v>
      </c>
      <c r="F1873" s="9">
        <v>45473</v>
      </c>
      <c r="G1873">
        <v>133583</v>
      </c>
      <c r="H1873">
        <v>33962</v>
      </c>
      <c r="I1873">
        <v>71219</v>
      </c>
      <c r="J1873">
        <v>14378</v>
      </c>
      <c r="K1873">
        <v>23</v>
      </c>
      <c r="L1873">
        <v>0</v>
      </c>
      <c r="M1873">
        <v>0</v>
      </c>
      <c r="T1873" s="9">
        <v>45108</v>
      </c>
      <c r="U1873" s="9">
        <v>45473</v>
      </c>
      <c r="V1873">
        <f>SUM(POTABLE_NONPOTABLE_API[[#This Row],[RESIDENTIAL_SINGLEFAMILY_GAL]:[OTHER_GAL]])</f>
        <v>253165</v>
      </c>
      <c r="W1873">
        <f>SUM(POTABLE_NONPOTABLE_API[[#This Row],[NONPOTABLE_DEMAND_RESIDENTIAL_RECYCLED_WATER_GAL]:[NONPOTABLE_DEMAND_NONRESIDENTIAL_METERED_IRRIGATION_GAL]])</f>
        <v>0</v>
      </c>
      <c r="X1873" t="str">
        <f>IFERROR(INDEX(Crosswalk_API!$H$2:$H$527, MATCH(POTABLE_NONPOTABLE_API[[#This Row],[PWSID]], CW_PWSID_LIST, 0)), "")</f>
        <v>No</v>
      </c>
    </row>
    <row r="1874" spans="1:24" x14ac:dyDescent="0.25">
      <c r="A1874" t="s">
        <v>1250</v>
      </c>
      <c r="B1874" t="s">
        <v>1251</v>
      </c>
      <c r="C1874" t="s">
        <v>1252</v>
      </c>
      <c r="D1874" t="s">
        <v>1253</v>
      </c>
      <c r="E1874" s="9">
        <v>45108</v>
      </c>
      <c r="F1874" s="9">
        <v>45138</v>
      </c>
      <c r="G1874">
        <v>813255952.58000004</v>
      </c>
      <c r="H1874">
        <v>63259017.380000003</v>
      </c>
      <c r="I1874">
        <v>73261968.724000007</v>
      </c>
      <c r="J1874">
        <v>120058605.74000001</v>
      </c>
      <c r="K1874">
        <v>0</v>
      </c>
      <c r="L1874">
        <v>73372665.458959997</v>
      </c>
      <c r="M1874">
        <v>489502039.18800002</v>
      </c>
      <c r="N1874">
        <v>142622098.21599999</v>
      </c>
      <c r="O1874">
        <v>0</v>
      </c>
      <c r="P1874">
        <v>0</v>
      </c>
      <c r="Q1874">
        <v>93810957.164000005</v>
      </c>
      <c r="R1874">
        <v>12021195.640000001</v>
      </c>
      <c r="S1874">
        <v>0</v>
      </c>
      <c r="T1874" s="9">
        <v>45108</v>
      </c>
      <c r="U1874" s="9">
        <v>45473</v>
      </c>
      <c r="V1874">
        <f>SUM(POTABLE_NONPOTABLE_API[[#This Row],[RESIDENTIAL_SINGLEFAMILY_GAL]:[OTHER_GAL]])</f>
        <v>1143208209.8829601</v>
      </c>
      <c r="W1874">
        <f>SUM(POTABLE_NONPOTABLE_API[[#This Row],[NONPOTABLE_DEMAND_RESIDENTIAL_RECYCLED_WATER_GAL]:[NONPOTABLE_DEMAND_NONRESIDENTIAL_METERED_IRRIGATION_GAL]])</f>
        <v>248454251.01999998</v>
      </c>
      <c r="X1874" t="str">
        <f>IFERROR(INDEX(Crosswalk_API!$H$2:$H$527, MATCH(POTABLE_NONPOTABLE_API[[#This Row],[PWSID]], CW_PWSID_LIST, 0)), "")</f>
        <v>No</v>
      </c>
    </row>
    <row r="1875" spans="1:24" x14ac:dyDescent="0.25">
      <c r="A1875" t="s">
        <v>1250</v>
      </c>
      <c r="B1875" t="s">
        <v>1251</v>
      </c>
      <c r="C1875" t="s">
        <v>1252</v>
      </c>
      <c r="D1875" t="s">
        <v>1253</v>
      </c>
      <c r="E1875" s="9">
        <v>45139</v>
      </c>
      <c r="F1875" s="9">
        <v>45169</v>
      </c>
      <c r="G1875">
        <v>749706691.02400005</v>
      </c>
      <c r="H1875">
        <v>60139640.539999999</v>
      </c>
      <c r="I1875">
        <v>76554145.576000005</v>
      </c>
      <c r="J1875">
        <v>110883747.96000001</v>
      </c>
      <c r="K1875">
        <v>0</v>
      </c>
      <c r="L1875">
        <v>79118886.741119996</v>
      </c>
      <c r="M1875">
        <v>514931318.87599999</v>
      </c>
      <c r="N1875">
        <v>79819392.556000009</v>
      </c>
      <c r="O1875">
        <v>0</v>
      </c>
      <c r="Q1875">
        <v>29684947.516000003</v>
      </c>
      <c r="R1875">
        <v>12021195.640000001</v>
      </c>
      <c r="T1875" s="9">
        <v>45108</v>
      </c>
      <c r="U1875" s="9">
        <v>45473</v>
      </c>
      <c r="V1875">
        <f>SUM(POTABLE_NONPOTABLE_API[[#This Row],[RESIDENTIAL_SINGLEFAMILY_GAL]:[OTHER_GAL]])</f>
        <v>1076403111.84112</v>
      </c>
      <c r="W1875">
        <f>SUM(POTABLE_NONPOTABLE_API[[#This Row],[NONPOTABLE_DEMAND_RESIDENTIAL_RECYCLED_WATER_GAL]:[NONPOTABLE_DEMAND_NONRESIDENTIAL_METERED_IRRIGATION_GAL]])</f>
        <v>121525535.71200001</v>
      </c>
      <c r="X1875" t="str">
        <f>IFERROR(INDEX(Crosswalk_API!$H$2:$H$527, MATCH(POTABLE_NONPOTABLE_API[[#This Row],[PWSID]], CW_PWSID_LIST, 0)), "")</f>
        <v>No</v>
      </c>
    </row>
    <row r="1876" spans="1:24" x14ac:dyDescent="0.25">
      <c r="A1876" t="s">
        <v>1250</v>
      </c>
      <c r="B1876" t="s">
        <v>1251</v>
      </c>
      <c r="C1876" t="s">
        <v>1252</v>
      </c>
      <c r="D1876" t="s">
        <v>1253</v>
      </c>
      <c r="E1876" s="9">
        <v>45170</v>
      </c>
      <c r="F1876" s="9">
        <v>45199</v>
      </c>
      <c r="G1876">
        <v>515037542.25999999</v>
      </c>
      <c r="H1876">
        <v>42418288.660000004</v>
      </c>
      <c r="I1876">
        <v>79235163.944000006</v>
      </c>
      <c r="J1876">
        <v>55718653.219999999</v>
      </c>
      <c r="K1876">
        <v>0</v>
      </c>
      <c r="L1876">
        <v>18207757.731959999</v>
      </c>
      <c r="M1876">
        <v>170473570.28</v>
      </c>
      <c r="N1876">
        <v>34159046.528000005</v>
      </c>
      <c r="O1876">
        <v>0</v>
      </c>
      <c r="Q1876">
        <v>41567005.484000005</v>
      </c>
      <c r="R1876">
        <v>11633704.704</v>
      </c>
      <c r="T1876" s="9">
        <v>45108</v>
      </c>
      <c r="U1876" s="9">
        <v>45473</v>
      </c>
      <c r="V1876">
        <f>SUM(POTABLE_NONPOTABLE_API[[#This Row],[RESIDENTIAL_SINGLEFAMILY_GAL]:[OTHER_GAL]])</f>
        <v>710617405.81595993</v>
      </c>
      <c r="W1876">
        <f>SUM(POTABLE_NONPOTABLE_API[[#This Row],[NONPOTABLE_DEMAND_RESIDENTIAL_RECYCLED_WATER_GAL]:[NONPOTABLE_DEMAND_NONRESIDENTIAL_METERED_IRRIGATION_GAL]])</f>
        <v>87359756.716000006</v>
      </c>
      <c r="X1876" t="str">
        <f>IFERROR(INDEX(Crosswalk_API!$H$2:$H$527, MATCH(POTABLE_NONPOTABLE_API[[#This Row],[PWSID]], CW_PWSID_LIST, 0)), "")</f>
        <v>No</v>
      </c>
    </row>
    <row r="1877" spans="1:24" x14ac:dyDescent="0.25">
      <c r="A1877" t="s">
        <v>1250</v>
      </c>
      <c r="B1877" t="s">
        <v>1251</v>
      </c>
      <c r="C1877" t="s">
        <v>1252</v>
      </c>
      <c r="D1877" t="s">
        <v>1253</v>
      </c>
      <c r="E1877" s="9">
        <v>45200</v>
      </c>
      <c r="F1877" s="9">
        <v>45230</v>
      </c>
      <c r="G1877">
        <v>425827104.89600003</v>
      </c>
      <c r="H1877">
        <v>38058641.604000002</v>
      </c>
      <c r="I1877">
        <v>74953314.296000004</v>
      </c>
      <c r="J1877">
        <v>33855337.416000001</v>
      </c>
      <c r="K1877">
        <v>0</v>
      </c>
      <c r="L1877">
        <v>3680101.6581600001</v>
      </c>
      <c r="M1877">
        <v>152737257.36000001</v>
      </c>
      <c r="N1877">
        <v>34099202.368000001</v>
      </c>
      <c r="O1877">
        <v>0</v>
      </c>
      <c r="P1877">
        <v>0</v>
      </c>
      <c r="Q1877">
        <v>41373260.016000003</v>
      </c>
      <c r="R1877">
        <v>12021195.640000001</v>
      </c>
      <c r="S1877">
        <v>0</v>
      </c>
      <c r="T1877" s="9">
        <v>45108</v>
      </c>
      <c r="U1877" s="9">
        <v>45473</v>
      </c>
      <c r="V1877">
        <f>SUM(POTABLE_NONPOTABLE_API[[#This Row],[RESIDENTIAL_SINGLEFAMILY_GAL]:[OTHER_GAL]])</f>
        <v>576374499.87015998</v>
      </c>
      <c r="W1877">
        <f>SUM(POTABLE_NONPOTABLE_API[[#This Row],[NONPOTABLE_DEMAND_RESIDENTIAL_RECYCLED_WATER_GAL]:[NONPOTABLE_DEMAND_NONRESIDENTIAL_METERED_IRRIGATION_GAL]])</f>
        <v>87493658.024000004</v>
      </c>
      <c r="X1877" t="str">
        <f>IFERROR(INDEX(Crosswalk_API!$H$2:$H$527, MATCH(POTABLE_NONPOTABLE_API[[#This Row],[PWSID]], CW_PWSID_LIST, 0)), "")</f>
        <v>No</v>
      </c>
    </row>
    <row r="1878" spans="1:24" x14ac:dyDescent="0.25">
      <c r="A1878" t="s">
        <v>1250</v>
      </c>
      <c r="B1878" t="s">
        <v>1251</v>
      </c>
      <c r="C1878" t="s">
        <v>1252</v>
      </c>
      <c r="D1878" t="s">
        <v>1253</v>
      </c>
      <c r="E1878" s="9">
        <v>45231</v>
      </c>
      <c r="F1878" s="9">
        <v>45260</v>
      </c>
      <c r="G1878">
        <v>352955619.31599998</v>
      </c>
      <c r="H1878">
        <v>34228615.364</v>
      </c>
      <c r="I1878">
        <v>42840938.039999999</v>
      </c>
      <c r="J1878">
        <v>24856271.856000002</v>
      </c>
      <c r="K1878">
        <v>0</v>
      </c>
      <c r="L1878">
        <v>91636.37</v>
      </c>
      <c r="M1878">
        <v>71881064.732000008</v>
      </c>
      <c r="N1878">
        <v>51935006.204000004</v>
      </c>
      <c r="O1878">
        <v>0</v>
      </c>
      <c r="P1878">
        <v>0</v>
      </c>
      <c r="Q1878">
        <v>20967897.560000002</v>
      </c>
      <c r="R1878">
        <v>7028696.5920000002</v>
      </c>
      <c r="S1878">
        <v>0</v>
      </c>
      <c r="T1878" s="9">
        <v>45108</v>
      </c>
      <c r="U1878" s="9">
        <v>45473</v>
      </c>
      <c r="V1878">
        <f>SUM(POTABLE_NONPOTABLE_API[[#This Row],[RESIDENTIAL_SINGLEFAMILY_GAL]:[OTHER_GAL]])</f>
        <v>454973080.94600004</v>
      </c>
      <c r="W1878">
        <f>SUM(POTABLE_NONPOTABLE_API[[#This Row],[NONPOTABLE_DEMAND_RESIDENTIAL_RECYCLED_WATER_GAL]:[NONPOTABLE_DEMAND_NONRESIDENTIAL_METERED_IRRIGATION_GAL]])</f>
        <v>79931600.356000006</v>
      </c>
      <c r="X1878" t="str">
        <f>IFERROR(INDEX(Crosswalk_API!$H$2:$H$527, MATCH(POTABLE_NONPOTABLE_API[[#This Row],[PWSID]], CW_PWSID_LIST, 0)), "")</f>
        <v>No</v>
      </c>
    </row>
    <row r="1879" spans="1:24" x14ac:dyDescent="0.25">
      <c r="A1879" t="s">
        <v>1250</v>
      </c>
      <c r="B1879" t="s">
        <v>1251</v>
      </c>
      <c r="C1879" t="s">
        <v>1252</v>
      </c>
      <c r="D1879" t="s">
        <v>1253</v>
      </c>
      <c r="E1879" s="9">
        <v>45261</v>
      </c>
      <c r="F1879" s="9">
        <v>45291</v>
      </c>
      <c r="G1879">
        <v>279304663.55199999</v>
      </c>
      <c r="H1879">
        <v>29531596.856000002</v>
      </c>
      <c r="I1879">
        <v>37336771.424000002</v>
      </c>
      <c r="J1879">
        <v>12183522.924000001</v>
      </c>
      <c r="K1879">
        <v>0</v>
      </c>
      <c r="L1879">
        <v>26555.846000000001</v>
      </c>
      <c r="M1879">
        <v>29351316.324000001</v>
      </c>
      <c r="N1879">
        <v>51881146.460000001</v>
      </c>
      <c r="O1879">
        <v>0</v>
      </c>
      <c r="P1879">
        <v>0</v>
      </c>
      <c r="Q1879">
        <v>20951440.416000001</v>
      </c>
      <c r="R1879">
        <v>7262836.8679999998</v>
      </c>
      <c r="S1879">
        <v>0</v>
      </c>
      <c r="T1879" s="9">
        <v>45108</v>
      </c>
      <c r="U1879" s="9">
        <v>45473</v>
      </c>
      <c r="V1879">
        <f>SUM(POTABLE_NONPOTABLE_API[[#This Row],[RESIDENTIAL_SINGLEFAMILY_GAL]:[OTHER_GAL]])</f>
        <v>358383110.60200006</v>
      </c>
      <c r="W1879">
        <f>SUM(POTABLE_NONPOTABLE_API[[#This Row],[NONPOTABLE_DEMAND_RESIDENTIAL_RECYCLED_WATER_GAL]:[NONPOTABLE_DEMAND_NONRESIDENTIAL_METERED_IRRIGATION_GAL]])</f>
        <v>80095423.744000003</v>
      </c>
      <c r="X1879" t="str">
        <f>IFERROR(INDEX(Crosswalk_API!$H$2:$H$527, MATCH(POTABLE_NONPOTABLE_API[[#This Row],[PWSID]], CW_PWSID_LIST, 0)), "")</f>
        <v>No</v>
      </c>
    </row>
    <row r="1880" spans="1:24" x14ac:dyDescent="0.25">
      <c r="A1880" t="s">
        <v>1250</v>
      </c>
      <c r="B1880" t="s">
        <v>1251</v>
      </c>
      <c r="C1880" t="s">
        <v>1252</v>
      </c>
      <c r="D1880" t="s">
        <v>1253</v>
      </c>
      <c r="E1880" s="9">
        <v>45292</v>
      </c>
      <c r="F1880" s="9">
        <v>45322</v>
      </c>
      <c r="G1880">
        <v>211464575.72400001</v>
      </c>
      <c r="H1880">
        <v>28015295.452</v>
      </c>
      <c r="I1880">
        <v>39026620.892000005</v>
      </c>
      <c r="J1880">
        <v>6420530.3160000006</v>
      </c>
      <c r="K1880">
        <v>0</v>
      </c>
      <c r="L1880">
        <v>225163.652</v>
      </c>
      <c r="M1880">
        <v>18401331.148000002</v>
      </c>
      <c r="N1880">
        <v>10682930.612</v>
      </c>
      <c r="O1880">
        <v>0</v>
      </c>
      <c r="P1880">
        <v>0</v>
      </c>
      <c r="Q1880">
        <v>3250285.94</v>
      </c>
      <c r="R1880">
        <v>12021195.640000001</v>
      </c>
      <c r="S1880">
        <v>0</v>
      </c>
      <c r="T1880" s="9">
        <v>45108</v>
      </c>
      <c r="U1880" s="9">
        <v>45473</v>
      </c>
      <c r="V1880">
        <f>SUM(POTABLE_NONPOTABLE_API[[#This Row],[RESIDENTIAL_SINGLEFAMILY_GAL]:[OTHER_GAL]])</f>
        <v>285152186.03600001</v>
      </c>
      <c r="W1880">
        <f>SUM(POTABLE_NONPOTABLE_API[[#This Row],[NONPOTABLE_DEMAND_RESIDENTIAL_RECYCLED_WATER_GAL]:[NONPOTABLE_DEMAND_NONRESIDENTIAL_METERED_IRRIGATION_GAL]])</f>
        <v>25954412.192000002</v>
      </c>
      <c r="X1880" t="str">
        <f>IFERROR(INDEX(Crosswalk_API!$H$2:$H$527, MATCH(POTABLE_NONPOTABLE_API[[#This Row],[PWSID]], CW_PWSID_LIST, 0)), "")</f>
        <v>No</v>
      </c>
    </row>
    <row r="1881" spans="1:24" x14ac:dyDescent="0.25">
      <c r="A1881" t="s">
        <v>1250</v>
      </c>
      <c r="B1881" t="s">
        <v>1251</v>
      </c>
      <c r="C1881" t="s">
        <v>1252</v>
      </c>
      <c r="D1881" t="s">
        <v>1253</v>
      </c>
      <c r="E1881" s="9">
        <v>45323</v>
      </c>
      <c r="F1881" s="9">
        <v>45351</v>
      </c>
      <c r="G1881">
        <v>191733956.17199999</v>
      </c>
      <c r="H1881">
        <v>25416562.804000001</v>
      </c>
      <c r="I1881">
        <v>29523368.284000002</v>
      </c>
      <c r="J1881">
        <v>37456459.744000003</v>
      </c>
      <c r="K1881">
        <v>0</v>
      </c>
      <c r="L1881">
        <v>198607.80600000001</v>
      </c>
      <c r="M1881">
        <v>15009663.380000001</v>
      </c>
      <c r="N1881">
        <v>10691907.236</v>
      </c>
      <c r="O1881">
        <v>0</v>
      </c>
      <c r="P1881">
        <v>0</v>
      </c>
      <c r="Q1881">
        <v>3330327.5040000002</v>
      </c>
      <c r="R1881">
        <v>11246213.768000001</v>
      </c>
      <c r="S1881">
        <v>0</v>
      </c>
      <c r="T1881" s="9">
        <v>45108</v>
      </c>
      <c r="U1881" s="9">
        <v>45473</v>
      </c>
      <c r="V1881">
        <f>SUM(POTABLE_NONPOTABLE_API[[#This Row],[RESIDENTIAL_SINGLEFAMILY_GAL]:[OTHER_GAL]])</f>
        <v>284328954.81</v>
      </c>
      <c r="W1881">
        <f>SUM(POTABLE_NONPOTABLE_API[[#This Row],[NONPOTABLE_DEMAND_RESIDENTIAL_RECYCLED_WATER_GAL]:[NONPOTABLE_DEMAND_NONRESIDENTIAL_METERED_IRRIGATION_GAL]])</f>
        <v>25268448.508000001</v>
      </c>
      <c r="X1881" t="str">
        <f>IFERROR(INDEX(Crosswalk_API!$H$2:$H$527, MATCH(POTABLE_NONPOTABLE_API[[#This Row],[PWSID]], CW_PWSID_LIST, 0)), "")</f>
        <v>No</v>
      </c>
    </row>
    <row r="1882" spans="1:24" x14ac:dyDescent="0.25">
      <c r="A1882" t="s">
        <v>1250</v>
      </c>
      <c r="B1882" t="s">
        <v>1251</v>
      </c>
      <c r="C1882" t="s">
        <v>1252</v>
      </c>
      <c r="D1882" t="s">
        <v>1253</v>
      </c>
      <c r="E1882" s="9">
        <v>45352</v>
      </c>
      <c r="F1882" s="9">
        <v>45382</v>
      </c>
      <c r="G1882">
        <v>165847616.71200001</v>
      </c>
      <c r="H1882">
        <v>23063191.212000001</v>
      </c>
      <c r="I1882">
        <v>31646339.859999999</v>
      </c>
      <c r="J1882">
        <v>5034389.96</v>
      </c>
      <c r="K1882">
        <v>0</v>
      </c>
      <c r="L1882">
        <v>325402.62</v>
      </c>
      <c r="M1882">
        <v>13764904.852</v>
      </c>
      <c r="N1882">
        <v>10815335.816</v>
      </c>
      <c r="O1882">
        <v>0</v>
      </c>
      <c r="P1882">
        <v>0</v>
      </c>
      <c r="Q1882">
        <v>3553995.0520000001</v>
      </c>
      <c r="R1882">
        <v>12021195.640000001</v>
      </c>
      <c r="S1882">
        <v>0</v>
      </c>
      <c r="T1882" s="9">
        <v>45108</v>
      </c>
      <c r="U1882" s="9">
        <v>45473</v>
      </c>
      <c r="V1882">
        <f>SUM(POTABLE_NONPOTABLE_API[[#This Row],[RESIDENTIAL_SINGLEFAMILY_GAL]:[OTHER_GAL]])</f>
        <v>225916940.36400005</v>
      </c>
      <c r="W1882">
        <f>SUM(POTABLE_NONPOTABLE_API[[#This Row],[NONPOTABLE_DEMAND_RESIDENTIAL_RECYCLED_WATER_GAL]:[NONPOTABLE_DEMAND_NONRESIDENTIAL_METERED_IRRIGATION_GAL]])</f>
        <v>26390526.508000001</v>
      </c>
      <c r="X1882" t="str">
        <f>IFERROR(INDEX(Crosswalk_API!$H$2:$H$527, MATCH(POTABLE_NONPOTABLE_API[[#This Row],[PWSID]], CW_PWSID_LIST, 0)), "")</f>
        <v>No</v>
      </c>
    </row>
    <row r="1883" spans="1:24" x14ac:dyDescent="0.25">
      <c r="A1883" t="s">
        <v>1250</v>
      </c>
      <c r="B1883" t="s">
        <v>1251</v>
      </c>
      <c r="C1883" t="s">
        <v>1252</v>
      </c>
      <c r="D1883" t="s">
        <v>1253</v>
      </c>
      <c r="E1883" s="9">
        <v>45383</v>
      </c>
      <c r="F1883" s="9">
        <v>45412</v>
      </c>
      <c r="G1883">
        <v>232815475.90799999</v>
      </c>
      <c r="H1883">
        <v>28547908.476</v>
      </c>
      <c r="I1883">
        <v>27379451.252</v>
      </c>
      <c r="J1883">
        <v>13517299.640000001</v>
      </c>
      <c r="K1883">
        <v>0</v>
      </c>
      <c r="L1883">
        <v>2221714.44</v>
      </c>
      <c r="M1883">
        <v>20442017.004000001</v>
      </c>
      <c r="N1883">
        <v>30019326.760000002</v>
      </c>
      <c r="O1883">
        <v>0</v>
      </c>
      <c r="P1883">
        <v>0</v>
      </c>
      <c r="Q1883">
        <v>14446380.224000001</v>
      </c>
      <c r="R1883">
        <v>11633704.704</v>
      </c>
      <c r="S1883">
        <v>0</v>
      </c>
      <c r="T1883" s="9">
        <v>45108</v>
      </c>
      <c r="U1883" s="9">
        <v>45473</v>
      </c>
      <c r="V1883">
        <f>SUM(POTABLE_NONPOTABLE_API[[#This Row],[RESIDENTIAL_SINGLEFAMILY_GAL]:[OTHER_GAL]])</f>
        <v>304481849.71599996</v>
      </c>
      <c r="W1883">
        <f>SUM(POTABLE_NONPOTABLE_API[[#This Row],[NONPOTABLE_DEMAND_RESIDENTIAL_RECYCLED_WATER_GAL]:[NONPOTABLE_DEMAND_NONRESIDENTIAL_METERED_IRRIGATION_GAL]])</f>
        <v>56099411.688000008</v>
      </c>
      <c r="X1883" t="str">
        <f>IFERROR(INDEX(Crosswalk_API!$H$2:$H$527, MATCH(POTABLE_NONPOTABLE_API[[#This Row],[PWSID]], CW_PWSID_LIST, 0)), "")</f>
        <v>No</v>
      </c>
    </row>
    <row r="1884" spans="1:24" x14ac:dyDescent="0.25">
      <c r="A1884" t="s">
        <v>1250</v>
      </c>
      <c r="B1884" t="s">
        <v>1251</v>
      </c>
      <c r="C1884" t="s">
        <v>1252</v>
      </c>
      <c r="D1884" t="s">
        <v>1253</v>
      </c>
      <c r="E1884" s="9">
        <v>45413</v>
      </c>
      <c r="F1884" s="9">
        <v>45443</v>
      </c>
      <c r="G1884">
        <v>131696798.756</v>
      </c>
      <c r="H1884">
        <v>20106141.655999999</v>
      </c>
      <c r="I1884">
        <v>27379451.252</v>
      </c>
      <c r="J1884">
        <v>12339865.791999999</v>
      </c>
      <c r="K1884">
        <v>0</v>
      </c>
      <c r="L1884">
        <v>607418.22400000005</v>
      </c>
      <c r="M1884">
        <v>12185019.028000001</v>
      </c>
      <c r="N1884">
        <v>19212967.568</v>
      </c>
      <c r="O1884">
        <v>0</v>
      </c>
      <c r="P1884">
        <v>0</v>
      </c>
      <c r="Q1884">
        <v>10972426.736</v>
      </c>
      <c r="R1884">
        <v>12021195.640000001</v>
      </c>
      <c r="S1884">
        <v>0</v>
      </c>
      <c r="T1884" s="9">
        <v>45108</v>
      </c>
      <c r="U1884" s="9">
        <v>45473</v>
      </c>
      <c r="V1884">
        <f>SUM(POTABLE_NONPOTABLE_API[[#This Row],[RESIDENTIAL_SINGLEFAMILY_GAL]:[OTHER_GAL]])</f>
        <v>192129675.68000001</v>
      </c>
      <c r="W1884">
        <f>SUM(POTABLE_NONPOTABLE_API[[#This Row],[NONPOTABLE_DEMAND_RESIDENTIAL_RECYCLED_WATER_GAL]:[NONPOTABLE_DEMAND_NONRESIDENTIAL_METERED_IRRIGATION_GAL]])</f>
        <v>42206589.943999998</v>
      </c>
      <c r="X1884" t="str">
        <f>IFERROR(INDEX(Crosswalk_API!$H$2:$H$527, MATCH(POTABLE_NONPOTABLE_API[[#This Row],[PWSID]], CW_PWSID_LIST, 0)), "")</f>
        <v>No</v>
      </c>
    </row>
    <row r="1885" spans="1:24" x14ac:dyDescent="0.25">
      <c r="A1885" t="s">
        <v>1250</v>
      </c>
      <c r="B1885" t="s">
        <v>1251</v>
      </c>
      <c r="C1885" t="s">
        <v>1252</v>
      </c>
      <c r="D1885" t="s">
        <v>1253</v>
      </c>
      <c r="E1885" s="9">
        <v>45444</v>
      </c>
      <c r="F1885" s="9">
        <v>45473</v>
      </c>
      <c r="G1885">
        <v>451234691.07600003</v>
      </c>
      <c r="H1885">
        <v>42416044.504000001</v>
      </c>
      <c r="I1885">
        <v>50462091.816</v>
      </c>
      <c r="J1885">
        <v>40286340.460000001</v>
      </c>
      <c r="K1885">
        <v>0</v>
      </c>
      <c r="L1885">
        <v>77024700.206080005</v>
      </c>
      <c r="M1885">
        <v>150464675.384</v>
      </c>
      <c r="N1885">
        <v>38773779.316</v>
      </c>
      <c r="O1885">
        <v>0</v>
      </c>
      <c r="P1885">
        <v>0</v>
      </c>
      <c r="Q1885">
        <v>62267848.480000004</v>
      </c>
      <c r="R1885">
        <v>12021195.640000001</v>
      </c>
      <c r="S1885">
        <v>0</v>
      </c>
      <c r="T1885" s="9">
        <v>45108</v>
      </c>
      <c r="U1885" s="9">
        <v>45473</v>
      </c>
      <c r="V1885">
        <f>SUM(POTABLE_NONPOTABLE_API[[#This Row],[RESIDENTIAL_SINGLEFAMILY_GAL]:[OTHER_GAL]])</f>
        <v>661423868.06208003</v>
      </c>
      <c r="W1885">
        <f>SUM(POTABLE_NONPOTABLE_API[[#This Row],[NONPOTABLE_DEMAND_RESIDENTIAL_RECYCLED_WATER_GAL]:[NONPOTABLE_DEMAND_NONRESIDENTIAL_METERED_IRRIGATION_GAL]])</f>
        <v>113062823.436</v>
      </c>
      <c r="X1885" t="str">
        <f>IFERROR(INDEX(Crosswalk_API!$H$2:$H$527, MATCH(POTABLE_NONPOTABLE_API[[#This Row],[PWSID]], CW_PWSID_LIST, 0)), "")</f>
        <v>No</v>
      </c>
    </row>
    <row r="1886" spans="1:24" x14ac:dyDescent="0.25">
      <c r="A1886" t="s">
        <v>1250</v>
      </c>
      <c r="B1886" t="s">
        <v>1251</v>
      </c>
      <c r="C1886" t="s">
        <v>1255</v>
      </c>
      <c r="D1886" t="s">
        <v>1256</v>
      </c>
      <c r="E1886" s="9">
        <v>45108</v>
      </c>
      <c r="F1886" s="9">
        <v>45138</v>
      </c>
      <c r="G1886">
        <v>623875.36800000002</v>
      </c>
      <c r="H1886">
        <v>0</v>
      </c>
      <c r="I1886">
        <v>22142.339200000002</v>
      </c>
      <c r="J1886">
        <v>0</v>
      </c>
      <c r="K1886">
        <v>0</v>
      </c>
      <c r="L1886">
        <v>445951.1998</v>
      </c>
      <c r="M1886">
        <v>0</v>
      </c>
      <c r="T1886" s="9">
        <v>45108</v>
      </c>
      <c r="U1886" s="9">
        <v>45473</v>
      </c>
      <c r="V1886">
        <f>SUM(POTABLE_NONPOTABLE_API[[#This Row],[RESIDENTIAL_SINGLEFAMILY_GAL]:[OTHER_GAL]])</f>
        <v>1091968.9070000001</v>
      </c>
      <c r="W1886">
        <f>SUM(POTABLE_NONPOTABLE_API[[#This Row],[NONPOTABLE_DEMAND_RESIDENTIAL_RECYCLED_WATER_GAL]:[NONPOTABLE_DEMAND_NONRESIDENTIAL_METERED_IRRIGATION_GAL]])</f>
        <v>0</v>
      </c>
      <c r="X1886" t="str">
        <f>IFERROR(INDEX(Crosswalk_API!$H$2:$H$527, MATCH(POTABLE_NONPOTABLE_API[[#This Row],[PWSID]], CW_PWSID_LIST, 0)), "")</f>
        <v>No</v>
      </c>
    </row>
    <row r="1887" spans="1:24" x14ac:dyDescent="0.25">
      <c r="A1887" t="s">
        <v>1250</v>
      </c>
      <c r="B1887" t="s">
        <v>1251</v>
      </c>
      <c r="C1887" t="s">
        <v>1255</v>
      </c>
      <c r="D1887" t="s">
        <v>1256</v>
      </c>
      <c r="E1887" s="9">
        <v>45139</v>
      </c>
      <c r="F1887" s="9">
        <v>45169</v>
      </c>
      <c r="G1887">
        <v>442996.39440000005</v>
      </c>
      <c r="H1887">
        <v>0</v>
      </c>
      <c r="I1887">
        <v>16083.118</v>
      </c>
      <c r="J1887">
        <v>0</v>
      </c>
      <c r="K1887">
        <v>0</v>
      </c>
      <c r="L1887">
        <v>299549.94287999999</v>
      </c>
      <c r="M1887">
        <v>0</v>
      </c>
      <c r="T1887" s="9">
        <v>45108</v>
      </c>
      <c r="U1887" s="9">
        <v>45473</v>
      </c>
      <c r="V1887">
        <f>SUM(POTABLE_NONPOTABLE_API[[#This Row],[RESIDENTIAL_SINGLEFAMILY_GAL]:[OTHER_GAL]])</f>
        <v>758629.45528000011</v>
      </c>
      <c r="W1887">
        <f>SUM(POTABLE_NONPOTABLE_API[[#This Row],[NONPOTABLE_DEMAND_RESIDENTIAL_RECYCLED_WATER_GAL]:[NONPOTABLE_DEMAND_NONRESIDENTIAL_METERED_IRRIGATION_GAL]])</f>
        <v>0</v>
      </c>
      <c r="X1887" t="str">
        <f>IFERROR(INDEX(Crosswalk_API!$H$2:$H$527, MATCH(POTABLE_NONPOTABLE_API[[#This Row],[PWSID]], CW_PWSID_LIST, 0)), "")</f>
        <v>No</v>
      </c>
    </row>
    <row r="1888" spans="1:24" x14ac:dyDescent="0.25">
      <c r="A1888" t="s">
        <v>1250</v>
      </c>
      <c r="B1888" t="s">
        <v>1251</v>
      </c>
      <c r="C1888" t="s">
        <v>1255</v>
      </c>
      <c r="D1888" t="s">
        <v>1256</v>
      </c>
      <c r="E1888" s="9">
        <v>45170</v>
      </c>
      <c r="F1888" s="9">
        <v>45199</v>
      </c>
      <c r="G1888">
        <v>353005.73879999999</v>
      </c>
      <c r="H1888">
        <v>0</v>
      </c>
      <c r="I1888">
        <v>21992.728800000001</v>
      </c>
      <c r="J1888">
        <v>0</v>
      </c>
      <c r="K1888">
        <v>0</v>
      </c>
      <c r="L1888">
        <v>73204.368719999999</v>
      </c>
      <c r="M1888">
        <v>0</v>
      </c>
      <c r="T1888" s="9">
        <v>45108</v>
      </c>
      <c r="U1888" s="9">
        <v>45473</v>
      </c>
      <c r="V1888">
        <f>SUM(POTABLE_NONPOTABLE_API[[#This Row],[RESIDENTIAL_SINGLEFAMILY_GAL]:[OTHER_GAL]])</f>
        <v>448202.83632</v>
      </c>
      <c r="W1888">
        <f>SUM(POTABLE_NONPOTABLE_API[[#This Row],[NONPOTABLE_DEMAND_RESIDENTIAL_RECYCLED_WATER_GAL]:[NONPOTABLE_DEMAND_NONRESIDENTIAL_METERED_IRRIGATION_GAL]])</f>
        <v>0</v>
      </c>
      <c r="X1888" t="str">
        <f>IFERROR(INDEX(Crosswalk_API!$H$2:$H$527, MATCH(POTABLE_NONPOTABLE_API[[#This Row],[PWSID]], CW_PWSID_LIST, 0)), "")</f>
        <v>No</v>
      </c>
    </row>
    <row r="1889" spans="1:24" x14ac:dyDescent="0.25">
      <c r="A1889" t="s">
        <v>1250</v>
      </c>
      <c r="B1889" t="s">
        <v>1251</v>
      </c>
      <c r="C1889" t="s">
        <v>1255</v>
      </c>
      <c r="D1889" t="s">
        <v>1256</v>
      </c>
      <c r="E1889" s="9">
        <v>45200</v>
      </c>
      <c r="F1889" s="9">
        <v>45230</v>
      </c>
      <c r="G1889">
        <v>212820.79399999999</v>
      </c>
      <c r="H1889">
        <v>0</v>
      </c>
      <c r="I1889">
        <v>39422.340400000001</v>
      </c>
      <c r="J1889">
        <v>0</v>
      </c>
      <c r="K1889">
        <v>0</v>
      </c>
      <c r="L1889">
        <v>183601.88287999999</v>
      </c>
      <c r="M1889">
        <v>0</v>
      </c>
      <c r="T1889" s="9">
        <v>45108</v>
      </c>
      <c r="U1889" s="9">
        <v>45473</v>
      </c>
      <c r="V1889">
        <f>SUM(POTABLE_NONPOTABLE_API[[#This Row],[RESIDENTIAL_SINGLEFAMILY_GAL]:[OTHER_GAL]])</f>
        <v>435845.01727999997</v>
      </c>
      <c r="W1889">
        <f>SUM(POTABLE_NONPOTABLE_API[[#This Row],[NONPOTABLE_DEMAND_RESIDENTIAL_RECYCLED_WATER_GAL]:[NONPOTABLE_DEMAND_NONRESIDENTIAL_METERED_IRRIGATION_GAL]])</f>
        <v>0</v>
      </c>
      <c r="X1889" t="str">
        <f>IFERROR(INDEX(Crosswalk_API!$H$2:$H$527, MATCH(POTABLE_NONPOTABLE_API[[#This Row],[PWSID]], CW_PWSID_LIST, 0)), "")</f>
        <v>No</v>
      </c>
    </row>
    <row r="1890" spans="1:24" x14ac:dyDescent="0.25">
      <c r="A1890" t="s">
        <v>1250</v>
      </c>
      <c r="B1890" t="s">
        <v>1251</v>
      </c>
      <c r="C1890" t="s">
        <v>1255</v>
      </c>
      <c r="D1890" t="s">
        <v>1256</v>
      </c>
      <c r="E1890" s="9">
        <v>45231</v>
      </c>
      <c r="F1890" s="9">
        <v>45260</v>
      </c>
      <c r="G1890">
        <v>134088.321</v>
      </c>
      <c r="H1890">
        <v>0</v>
      </c>
      <c r="I1890">
        <v>22097.45608</v>
      </c>
      <c r="J1890">
        <v>0</v>
      </c>
      <c r="K1890">
        <v>0</v>
      </c>
      <c r="L1890">
        <v>125149.09960000002</v>
      </c>
      <c r="M1890">
        <v>0</v>
      </c>
      <c r="T1890" s="9">
        <v>45108</v>
      </c>
      <c r="U1890" s="9">
        <v>45473</v>
      </c>
      <c r="V1890">
        <f>SUM(POTABLE_NONPOTABLE_API[[#This Row],[RESIDENTIAL_SINGLEFAMILY_GAL]:[OTHER_GAL]])</f>
        <v>281334.87667999999</v>
      </c>
      <c r="W1890">
        <f>SUM(POTABLE_NONPOTABLE_API[[#This Row],[NONPOTABLE_DEMAND_RESIDENTIAL_RECYCLED_WATER_GAL]:[NONPOTABLE_DEMAND_NONRESIDENTIAL_METERED_IRRIGATION_GAL]])</f>
        <v>0</v>
      </c>
      <c r="X1890" t="str">
        <f>IFERROR(INDEX(Crosswalk_API!$H$2:$H$527, MATCH(POTABLE_NONPOTABLE_API[[#This Row],[PWSID]], CW_PWSID_LIST, 0)), "")</f>
        <v>No</v>
      </c>
    </row>
    <row r="1891" spans="1:24" x14ac:dyDescent="0.25">
      <c r="A1891" t="s">
        <v>1250</v>
      </c>
      <c r="B1891" t="s">
        <v>1251</v>
      </c>
      <c r="C1891" t="s">
        <v>1255</v>
      </c>
      <c r="D1891" t="s">
        <v>1256</v>
      </c>
      <c r="E1891" s="9">
        <v>45261</v>
      </c>
      <c r="F1891" s="9">
        <v>45291</v>
      </c>
      <c r="G1891">
        <v>173188.99904000002</v>
      </c>
      <c r="H1891">
        <v>0</v>
      </c>
      <c r="I1891">
        <v>23840.417240000002</v>
      </c>
      <c r="J1891">
        <v>0</v>
      </c>
      <c r="K1891">
        <v>0</v>
      </c>
      <c r="L1891">
        <v>165312.01148000002</v>
      </c>
      <c r="M1891">
        <v>0</v>
      </c>
      <c r="T1891" s="9">
        <v>45108</v>
      </c>
      <c r="U1891" s="9">
        <v>45473</v>
      </c>
      <c r="V1891">
        <f>SUM(POTABLE_NONPOTABLE_API[[#This Row],[RESIDENTIAL_SINGLEFAMILY_GAL]:[OTHER_GAL]])</f>
        <v>362341.42776000005</v>
      </c>
      <c r="W1891">
        <f>SUM(POTABLE_NONPOTABLE_API[[#This Row],[NONPOTABLE_DEMAND_RESIDENTIAL_RECYCLED_WATER_GAL]:[NONPOTABLE_DEMAND_NONRESIDENTIAL_METERED_IRRIGATION_GAL]])</f>
        <v>0</v>
      </c>
      <c r="X1891" t="str">
        <f>IFERROR(INDEX(Crosswalk_API!$H$2:$H$527, MATCH(POTABLE_NONPOTABLE_API[[#This Row],[PWSID]], CW_PWSID_LIST, 0)), "")</f>
        <v>No</v>
      </c>
    </row>
    <row r="1892" spans="1:24" x14ac:dyDescent="0.25">
      <c r="A1892" t="s">
        <v>1250</v>
      </c>
      <c r="B1892" t="s">
        <v>1251</v>
      </c>
      <c r="C1892" t="s">
        <v>1255</v>
      </c>
      <c r="D1892" t="s">
        <v>1256</v>
      </c>
      <c r="E1892" s="9">
        <v>45292</v>
      </c>
      <c r="F1892" s="9">
        <v>45322</v>
      </c>
      <c r="G1892">
        <v>162596.58272000001</v>
      </c>
      <c r="H1892">
        <v>0</v>
      </c>
      <c r="I1892">
        <v>15776.41668</v>
      </c>
      <c r="J1892">
        <v>0</v>
      </c>
      <c r="K1892">
        <v>0</v>
      </c>
      <c r="L1892">
        <v>173084.27176</v>
      </c>
      <c r="M1892">
        <v>0</v>
      </c>
      <c r="T1892" s="9">
        <v>45108</v>
      </c>
      <c r="U1892" s="9">
        <v>45473</v>
      </c>
      <c r="V1892">
        <f>SUM(POTABLE_NONPOTABLE_API[[#This Row],[RESIDENTIAL_SINGLEFAMILY_GAL]:[OTHER_GAL]])</f>
        <v>351457.27116</v>
      </c>
      <c r="W1892">
        <f>SUM(POTABLE_NONPOTABLE_API[[#This Row],[NONPOTABLE_DEMAND_RESIDENTIAL_RECYCLED_WATER_GAL]:[NONPOTABLE_DEMAND_NONRESIDENTIAL_METERED_IRRIGATION_GAL]])</f>
        <v>0</v>
      </c>
      <c r="X1892" t="str">
        <f>IFERROR(INDEX(Crosswalk_API!$H$2:$H$527, MATCH(POTABLE_NONPOTABLE_API[[#This Row],[PWSID]], CW_PWSID_LIST, 0)), "")</f>
        <v>No</v>
      </c>
    </row>
    <row r="1893" spans="1:24" x14ac:dyDescent="0.25">
      <c r="A1893" t="s">
        <v>1250</v>
      </c>
      <c r="B1893" t="s">
        <v>1251</v>
      </c>
      <c r="C1893" t="s">
        <v>1255</v>
      </c>
      <c r="D1893" t="s">
        <v>1256</v>
      </c>
      <c r="E1893" s="9">
        <v>45323</v>
      </c>
      <c r="F1893" s="9">
        <v>45351</v>
      </c>
      <c r="G1893">
        <v>166845.51808000001</v>
      </c>
      <c r="H1893">
        <v>0</v>
      </c>
      <c r="I1893">
        <v>20017.871520000001</v>
      </c>
      <c r="J1893">
        <v>0</v>
      </c>
      <c r="K1893">
        <v>0</v>
      </c>
      <c r="L1893">
        <v>156163.33551999999</v>
      </c>
      <c r="M1893">
        <v>0</v>
      </c>
      <c r="T1893" s="9">
        <v>45108</v>
      </c>
      <c r="U1893" s="9">
        <v>45473</v>
      </c>
      <c r="V1893">
        <f>SUM(POTABLE_NONPOTABLE_API[[#This Row],[RESIDENTIAL_SINGLEFAMILY_GAL]:[OTHER_GAL]])</f>
        <v>343026.72511999996</v>
      </c>
      <c r="W1893">
        <f>SUM(POTABLE_NONPOTABLE_API[[#This Row],[NONPOTABLE_DEMAND_RESIDENTIAL_RECYCLED_WATER_GAL]:[NONPOTABLE_DEMAND_NONRESIDENTIAL_METERED_IRRIGATION_GAL]])</f>
        <v>0</v>
      </c>
      <c r="X1893" t="str">
        <f>IFERROR(INDEX(Crosswalk_API!$H$2:$H$527, MATCH(POTABLE_NONPOTABLE_API[[#This Row],[PWSID]], CW_PWSID_LIST, 0)), "")</f>
        <v>No</v>
      </c>
    </row>
    <row r="1894" spans="1:24" x14ac:dyDescent="0.25">
      <c r="A1894" t="s">
        <v>1250</v>
      </c>
      <c r="B1894" t="s">
        <v>1251</v>
      </c>
      <c r="C1894" t="s">
        <v>1255</v>
      </c>
      <c r="D1894" t="s">
        <v>1256</v>
      </c>
      <c r="E1894" s="9">
        <v>45352</v>
      </c>
      <c r="F1894" s="9">
        <v>45382</v>
      </c>
      <c r="G1894">
        <v>175867.0252</v>
      </c>
      <c r="H1894">
        <v>0</v>
      </c>
      <c r="I1894">
        <v>20047.793600000001</v>
      </c>
      <c r="J1894">
        <v>0</v>
      </c>
      <c r="K1894">
        <v>0</v>
      </c>
      <c r="L1894">
        <v>137970.71088</v>
      </c>
      <c r="M1894">
        <v>0</v>
      </c>
      <c r="T1894" s="9">
        <v>45108</v>
      </c>
      <c r="U1894" s="9">
        <v>45473</v>
      </c>
      <c r="V1894">
        <f>SUM(POTABLE_NONPOTABLE_API[[#This Row],[RESIDENTIAL_SINGLEFAMILY_GAL]:[OTHER_GAL]])</f>
        <v>333885.52968000004</v>
      </c>
      <c r="W1894">
        <f>SUM(POTABLE_NONPOTABLE_API[[#This Row],[NONPOTABLE_DEMAND_RESIDENTIAL_RECYCLED_WATER_GAL]:[NONPOTABLE_DEMAND_NONRESIDENTIAL_METERED_IRRIGATION_GAL]])</f>
        <v>0</v>
      </c>
      <c r="X1894" t="str">
        <f>IFERROR(INDEX(Crosswalk_API!$H$2:$H$527, MATCH(POTABLE_NONPOTABLE_API[[#This Row],[PWSID]], CW_PWSID_LIST, 0)), "")</f>
        <v>No</v>
      </c>
    </row>
    <row r="1895" spans="1:24" x14ac:dyDescent="0.25">
      <c r="A1895" t="s">
        <v>1250</v>
      </c>
      <c r="B1895" t="s">
        <v>1251</v>
      </c>
      <c r="C1895" t="s">
        <v>1255</v>
      </c>
      <c r="D1895" t="s">
        <v>1256</v>
      </c>
      <c r="E1895" s="9">
        <v>45383</v>
      </c>
      <c r="F1895" s="9">
        <v>45412</v>
      </c>
      <c r="G1895">
        <v>103455.59160000001</v>
      </c>
      <c r="H1895">
        <v>0</v>
      </c>
      <c r="I1895">
        <v>48024.938400000006</v>
      </c>
      <c r="J1895">
        <v>0</v>
      </c>
      <c r="K1895">
        <v>0</v>
      </c>
      <c r="L1895">
        <v>206424.94939999998</v>
      </c>
      <c r="M1895">
        <v>0</v>
      </c>
      <c r="T1895" s="9">
        <v>45108</v>
      </c>
      <c r="U1895" s="9">
        <v>45473</v>
      </c>
      <c r="V1895">
        <f>SUM(POTABLE_NONPOTABLE_API[[#This Row],[RESIDENTIAL_SINGLEFAMILY_GAL]:[OTHER_GAL]])</f>
        <v>357905.47940000001</v>
      </c>
      <c r="W1895">
        <f>SUM(POTABLE_NONPOTABLE_API[[#This Row],[NONPOTABLE_DEMAND_RESIDENTIAL_RECYCLED_WATER_GAL]:[NONPOTABLE_DEMAND_NONRESIDENTIAL_METERED_IRRIGATION_GAL]])</f>
        <v>0</v>
      </c>
      <c r="X1895" t="str">
        <f>IFERROR(INDEX(Crosswalk_API!$H$2:$H$527, MATCH(POTABLE_NONPOTABLE_API[[#This Row],[PWSID]], CW_PWSID_LIST, 0)), "")</f>
        <v>No</v>
      </c>
    </row>
    <row r="1896" spans="1:24" x14ac:dyDescent="0.25">
      <c r="A1896" t="s">
        <v>1250</v>
      </c>
      <c r="B1896" t="s">
        <v>1251</v>
      </c>
      <c r="C1896" t="s">
        <v>1255</v>
      </c>
      <c r="D1896" t="s">
        <v>1256</v>
      </c>
      <c r="E1896" s="9">
        <v>45413</v>
      </c>
      <c r="F1896" s="9">
        <v>45443</v>
      </c>
      <c r="G1896">
        <v>225462.87279999998</v>
      </c>
      <c r="H1896">
        <v>0</v>
      </c>
      <c r="I1896">
        <v>52588.0556</v>
      </c>
      <c r="J1896">
        <v>0</v>
      </c>
      <c r="K1896">
        <v>0</v>
      </c>
      <c r="L1896">
        <v>392256.02724000002</v>
      </c>
      <c r="M1896">
        <v>0</v>
      </c>
      <c r="T1896" s="9">
        <v>45108</v>
      </c>
      <c r="U1896" s="9">
        <v>45473</v>
      </c>
      <c r="V1896">
        <f>SUM(POTABLE_NONPOTABLE_API[[#This Row],[RESIDENTIAL_SINGLEFAMILY_GAL]:[OTHER_GAL]])</f>
        <v>670306.95564000006</v>
      </c>
      <c r="W1896">
        <f>SUM(POTABLE_NONPOTABLE_API[[#This Row],[NONPOTABLE_DEMAND_RESIDENTIAL_RECYCLED_WATER_GAL]:[NONPOTABLE_DEMAND_NONRESIDENTIAL_METERED_IRRIGATION_GAL]])</f>
        <v>0</v>
      </c>
      <c r="X1896" t="str">
        <f>IFERROR(INDEX(Crosswalk_API!$H$2:$H$527, MATCH(POTABLE_NONPOTABLE_API[[#This Row],[PWSID]], CW_PWSID_LIST, 0)), "")</f>
        <v>No</v>
      </c>
    </row>
    <row r="1897" spans="1:24" x14ac:dyDescent="0.25">
      <c r="A1897" t="s">
        <v>1250</v>
      </c>
      <c r="B1897" t="s">
        <v>1251</v>
      </c>
      <c r="C1897" t="s">
        <v>1255</v>
      </c>
      <c r="D1897" t="s">
        <v>1256</v>
      </c>
      <c r="E1897" s="9">
        <v>45444</v>
      </c>
      <c r="F1897" s="9">
        <v>45473</v>
      </c>
      <c r="G1897">
        <v>423173.01640000002</v>
      </c>
      <c r="H1897">
        <v>0</v>
      </c>
      <c r="I1897">
        <v>48024.938400000006</v>
      </c>
      <c r="J1897">
        <v>0</v>
      </c>
      <c r="K1897">
        <v>0</v>
      </c>
      <c r="L1897">
        <v>351808.85560000001</v>
      </c>
      <c r="M1897">
        <v>0</v>
      </c>
      <c r="T1897" s="9">
        <v>45108</v>
      </c>
      <c r="U1897" s="9">
        <v>45473</v>
      </c>
      <c r="V1897">
        <f>SUM(POTABLE_NONPOTABLE_API[[#This Row],[RESIDENTIAL_SINGLEFAMILY_GAL]:[OTHER_GAL]])</f>
        <v>823006.81040000007</v>
      </c>
      <c r="W1897">
        <f>SUM(POTABLE_NONPOTABLE_API[[#This Row],[NONPOTABLE_DEMAND_RESIDENTIAL_RECYCLED_WATER_GAL]:[NONPOTABLE_DEMAND_NONRESIDENTIAL_METERED_IRRIGATION_GAL]])</f>
        <v>0</v>
      </c>
      <c r="X1897" t="str">
        <f>IFERROR(INDEX(Crosswalk_API!$H$2:$H$527, MATCH(POTABLE_NONPOTABLE_API[[#This Row],[PWSID]], CW_PWSID_LIST, 0)), "")</f>
        <v>No</v>
      </c>
    </row>
    <row r="1898" spans="1:24" x14ac:dyDescent="0.25">
      <c r="A1898" t="s">
        <v>1250</v>
      </c>
      <c r="B1898" t="s">
        <v>1251</v>
      </c>
      <c r="C1898" t="s">
        <v>1257</v>
      </c>
      <c r="D1898" t="s">
        <v>1258</v>
      </c>
      <c r="E1898" s="9">
        <v>45108</v>
      </c>
      <c r="F1898" s="9">
        <v>45138</v>
      </c>
      <c r="G1898">
        <v>1028010.461</v>
      </c>
      <c r="H1898">
        <v>0</v>
      </c>
      <c r="I1898">
        <v>0</v>
      </c>
      <c r="J1898">
        <v>0</v>
      </c>
      <c r="K1898">
        <v>0</v>
      </c>
      <c r="L1898">
        <v>0</v>
      </c>
      <c r="M1898">
        <v>0</v>
      </c>
      <c r="T1898" s="9">
        <v>45108</v>
      </c>
      <c r="U1898" s="9">
        <v>45473</v>
      </c>
      <c r="V1898">
        <f>SUM(POTABLE_NONPOTABLE_API[[#This Row],[RESIDENTIAL_SINGLEFAMILY_GAL]:[OTHER_GAL]])</f>
        <v>1028010.461</v>
      </c>
      <c r="W1898">
        <f>SUM(POTABLE_NONPOTABLE_API[[#This Row],[NONPOTABLE_DEMAND_RESIDENTIAL_RECYCLED_WATER_GAL]:[NONPOTABLE_DEMAND_NONRESIDENTIAL_METERED_IRRIGATION_GAL]])</f>
        <v>0</v>
      </c>
      <c r="X1898" t="str">
        <f>IFERROR(INDEX(Crosswalk_API!$H$2:$H$527, MATCH(POTABLE_NONPOTABLE_API[[#This Row],[PWSID]], CW_PWSID_LIST, 0)), "")</f>
        <v>No</v>
      </c>
    </row>
    <row r="1899" spans="1:24" x14ac:dyDescent="0.25">
      <c r="A1899" t="s">
        <v>1250</v>
      </c>
      <c r="B1899" t="s">
        <v>1251</v>
      </c>
      <c r="C1899" t="s">
        <v>1257</v>
      </c>
      <c r="D1899" t="s">
        <v>1258</v>
      </c>
      <c r="E1899" s="9">
        <v>45139</v>
      </c>
      <c r="F1899" s="9">
        <v>45169</v>
      </c>
      <c r="G1899">
        <v>927539.59688000008</v>
      </c>
      <c r="H1899">
        <v>0</v>
      </c>
      <c r="I1899">
        <v>0</v>
      </c>
      <c r="J1899">
        <v>0</v>
      </c>
      <c r="K1899">
        <v>0</v>
      </c>
      <c r="L1899">
        <v>0</v>
      </c>
      <c r="M1899">
        <v>0</v>
      </c>
      <c r="T1899" s="9">
        <v>45108</v>
      </c>
      <c r="U1899" s="9">
        <v>45473</v>
      </c>
      <c r="V1899">
        <f>SUM(POTABLE_NONPOTABLE_API[[#This Row],[RESIDENTIAL_SINGLEFAMILY_GAL]:[OTHER_GAL]])</f>
        <v>927539.59688000008</v>
      </c>
      <c r="W1899">
        <f>SUM(POTABLE_NONPOTABLE_API[[#This Row],[NONPOTABLE_DEMAND_RESIDENTIAL_RECYCLED_WATER_GAL]:[NONPOTABLE_DEMAND_NONRESIDENTIAL_METERED_IRRIGATION_GAL]])</f>
        <v>0</v>
      </c>
      <c r="X1899" t="str">
        <f>IFERROR(INDEX(Crosswalk_API!$H$2:$H$527, MATCH(POTABLE_NONPOTABLE_API[[#This Row],[PWSID]], CW_PWSID_LIST, 0)), "")</f>
        <v>No</v>
      </c>
    </row>
    <row r="1900" spans="1:24" x14ac:dyDescent="0.25">
      <c r="A1900" t="s">
        <v>1250</v>
      </c>
      <c r="B1900" t="s">
        <v>1251</v>
      </c>
      <c r="C1900" t="s">
        <v>1257</v>
      </c>
      <c r="D1900" t="s">
        <v>1258</v>
      </c>
      <c r="E1900" s="9">
        <v>45170</v>
      </c>
      <c r="F1900" s="9">
        <v>45199</v>
      </c>
      <c r="G1900">
        <v>748253.97404</v>
      </c>
      <c r="H1900">
        <v>0</v>
      </c>
      <c r="I1900">
        <v>0</v>
      </c>
      <c r="J1900">
        <v>0</v>
      </c>
      <c r="K1900">
        <v>0</v>
      </c>
      <c r="L1900">
        <v>0</v>
      </c>
      <c r="M1900">
        <v>0</v>
      </c>
      <c r="T1900" s="9">
        <v>45108</v>
      </c>
      <c r="U1900" s="9">
        <v>45473</v>
      </c>
      <c r="V1900">
        <f>SUM(POTABLE_NONPOTABLE_API[[#This Row],[RESIDENTIAL_SINGLEFAMILY_GAL]:[OTHER_GAL]])</f>
        <v>748253.97404</v>
      </c>
      <c r="W1900">
        <f>SUM(POTABLE_NONPOTABLE_API[[#This Row],[NONPOTABLE_DEMAND_RESIDENTIAL_RECYCLED_WATER_GAL]:[NONPOTABLE_DEMAND_NONRESIDENTIAL_METERED_IRRIGATION_GAL]])</f>
        <v>0</v>
      </c>
      <c r="X1900" t="str">
        <f>IFERROR(INDEX(Crosswalk_API!$H$2:$H$527, MATCH(POTABLE_NONPOTABLE_API[[#This Row],[PWSID]], CW_PWSID_LIST, 0)), "")</f>
        <v>No</v>
      </c>
    </row>
    <row r="1901" spans="1:24" x14ac:dyDescent="0.25">
      <c r="A1901" t="s">
        <v>1250</v>
      </c>
      <c r="B1901" t="s">
        <v>1251</v>
      </c>
      <c r="C1901" t="s">
        <v>1257</v>
      </c>
      <c r="D1901" t="s">
        <v>1258</v>
      </c>
      <c r="E1901" s="9">
        <v>45200</v>
      </c>
      <c r="F1901" s="9">
        <v>45230</v>
      </c>
      <c r="G1901">
        <v>572514.11768000002</v>
      </c>
      <c r="H1901">
        <v>0</v>
      </c>
      <c r="I1901">
        <v>0</v>
      </c>
      <c r="J1901">
        <v>0</v>
      </c>
      <c r="K1901">
        <v>0</v>
      </c>
      <c r="L1901">
        <v>0</v>
      </c>
      <c r="M1901">
        <v>0</v>
      </c>
      <c r="T1901" s="9">
        <v>45108</v>
      </c>
      <c r="U1901" s="9">
        <v>45473</v>
      </c>
      <c r="V1901">
        <f>SUM(POTABLE_NONPOTABLE_API[[#This Row],[RESIDENTIAL_SINGLEFAMILY_GAL]:[OTHER_GAL]])</f>
        <v>572514.11768000002</v>
      </c>
      <c r="W1901">
        <f>SUM(POTABLE_NONPOTABLE_API[[#This Row],[NONPOTABLE_DEMAND_RESIDENTIAL_RECYCLED_WATER_GAL]:[NONPOTABLE_DEMAND_NONRESIDENTIAL_METERED_IRRIGATION_GAL]])</f>
        <v>0</v>
      </c>
      <c r="X1901" t="str">
        <f>IFERROR(INDEX(Crosswalk_API!$H$2:$H$527, MATCH(POTABLE_NONPOTABLE_API[[#This Row],[PWSID]], CW_PWSID_LIST, 0)), "")</f>
        <v>No</v>
      </c>
    </row>
    <row r="1902" spans="1:24" x14ac:dyDescent="0.25">
      <c r="A1902" t="s">
        <v>1250</v>
      </c>
      <c r="B1902" t="s">
        <v>1251</v>
      </c>
      <c r="C1902" t="s">
        <v>1257</v>
      </c>
      <c r="D1902" t="s">
        <v>1258</v>
      </c>
      <c r="E1902" s="9">
        <v>45231</v>
      </c>
      <c r="F1902" s="9">
        <v>45260</v>
      </c>
      <c r="G1902">
        <v>442637.32944000006</v>
      </c>
      <c r="H1902">
        <v>0</v>
      </c>
      <c r="I1902">
        <v>0</v>
      </c>
      <c r="J1902">
        <v>0</v>
      </c>
      <c r="K1902">
        <v>0</v>
      </c>
      <c r="L1902">
        <v>0</v>
      </c>
      <c r="M1902">
        <v>0</v>
      </c>
      <c r="T1902" s="9">
        <v>45108</v>
      </c>
      <c r="U1902" s="9">
        <v>45473</v>
      </c>
      <c r="V1902">
        <f>SUM(POTABLE_NONPOTABLE_API[[#This Row],[RESIDENTIAL_SINGLEFAMILY_GAL]:[OTHER_GAL]])</f>
        <v>442637.32944000006</v>
      </c>
      <c r="W1902">
        <f>SUM(POTABLE_NONPOTABLE_API[[#This Row],[NONPOTABLE_DEMAND_RESIDENTIAL_RECYCLED_WATER_GAL]:[NONPOTABLE_DEMAND_NONRESIDENTIAL_METERED_IRRIGATION_GAL]])</f>
        <v>0</v>
      </c>
      <c r="X1902" t="str">
        <f>IFERROR(INDEX(Crosswalk_API!$H$2:$H$527, MATCH(POTABLE_NONPOTABLE_API[[#This Row],[PWSID]], CW_PWSID_LIST, 0)), "")</f>
        <v>No</v>
      </c>
    </row>
    <row r="1903" spans="1:24" x14ac:dyDescent="0.25">
      <c r="A1903" t="s">
        <v>1250</v>
      </c>
      <c r="B1903" t="s">
        <v>1251</v>
      </c>
      <c r="C1903" t="s">
        <v>1257</v>
      </c>
      <c r="D1903" t="s">
        <v>1258</v>
      </c>
      <c r="E1903" s="9">
        <v>45261</v>
      </c>
      <c r="F1903" s="9">
        <v>45291</v>
      </c>
      <c r="G1903">
        <v>458338.94092000002</v>
      </c>
      <c r="H1903">
        <v>0</v>
      </c>
      <c r="I1903">
        <v>0</v>
      </c>
      <c r="J1903">
        <v>0</v>
      </c>
      <c r="K1903">
        <v>0</v>
      </c>
      <c r="L1903">
        <v>0</v>
      </c>
      <c r="M1903">
        <v>0</v>
      </c>
      <c r="T1903" s="9">
        <v>45108</v>
      </c>
      <c r="U1903" s="9">
        <v>45473</v>
      </c>
      <c r="V1903">
        <f>SUM(POTABLE_NONPOTABLE_API[[#This Row],[RESIDENTIAL_SINGLEFAMILY_GAL]:[OTHER_GAL]])</f>
        <v>458338.94092000002</v>
      </c>
      <c r="W1903">
        <f>SUM(POTABLE_NONPOTABLE_API[[#This Row],[NONPOTABLE_DEMAND_RESIDENTIAL_RECYCLED_WATER_GAL]:[NONPOTABLE_DEMAND_NONRESIDENTIAL_METERED_IRRIGATION_GAL]])</f>
        <v>0</v>
      </c>
      <c r="X1903" t="str">
        <f>IFERROR(INDEX(Crosswalk_API!$H$2:$H$527, MATCH(POTABLE_NONPOTABLE_API[[#This Row],[PWSID]], CW_PWSID_LIST, 0)), "")</f>
        <v>No</v>
      </c>
    </row>
    <row r="1904" spans="1:24" x14ac:dyDescent="0.25">
      <c r="A1904" t="s">
        <v>1250</v>
      </c>
      <c r="B1904" t="s">
        <v>1251</v>
      </c>
      <c r="C1904" t="s">
        <v>1257</v>
      </c>
      <c r="D1904" t="s">
        <v>1258</v>
      </c>
      <c r="E1904" s="9">
        <v>45292</v>
      </c>
      <c r="F1904" s="9">
        <v>45322</v>
      </c>
      <c r="G1904">
        <v>451352.13524000003</v>
      </c>
      <c r="H1904">
        <v>0</v>
      </c>
      <c r="I1904">
        <v>0</v>
      </c>
      <c r="J1904">
        <v>0</v>
      </c>
      <c r="K1904">
        <v>0</v>
      </c>
      <c r="L1904">
        <v>0</v>
      </c>
      <c r="M1904">
        <v>0</v>
      </c>
      <c r="T1904" s="9">
        <v>45108</v>
      </c>
      <c r="U1904" s="9">
        <v>45473</v>
      </c>
      <c r="V1904">
        <f>SUM(POTABLE_NONPOTABLE_API[[#This Row],[RESIDENTIAL_SINGLEFAMILY_GAL]:[OTHER_GAL]])</f>
        <v>451352.13524000003</v>
      </c>
      <c r="W1904">
        <f>SUM(POTABLE_NONPOTABLE_API[[#This Row],[NONPOTABLE_DEMAND_RESIDENTIAL_RECYCLED_WATER_GAL]:[NONPOTABLE_DEMAND_NONRESIDENTIAL_METERED_IRRIGATION_GAL]])</f>
        <v>0</v>
      </c>
      <c r="X1904" t="str">
        <f>IFERROR(INDEX(Crosswalk_API!$H$2:$H$527, MATCH(POTABLE_NONPOTABLE_API[[#This Row],[PWSID]], CW_PWSID_LIST, 0)), "")</f>
        <v>No</v>
      </c>
    </row>
    <row r="1905" spans="1:24" x14ac:dyDescent="0.25">
      <c r="A1905" t="s">
        <v>1250</v>
      </c>
      <c r="B1905" t="s">
        <v>1251</v>
      </c>
      <c r="C1905" t="s">
        <v>1257</v>
      </c>
      <c r="D1905" t="s">
        <v>1258</v>
      </c>
      <c r="E1905" s="9">
        <v>45323</v>
      </c>
      <c r="F1905" s="9">
        <v>45351</v>
      </c>
      <c r="G1905">
        <v>400118.05375999998</v>
      </c>
      <c r="H1905">
        <v>0</v>
      </c>
      <c r="I1905">
        <v>0</v>
      </c>
      <c r="J1905">
        <v>0</v>
      </c>
      <c r="K1905">
        <v>0</v>
      </c>
      <c r="L1905">
        <v>0</v>
      </c>
      <c r="M1905">
        <v>0</v>
      </c>
      <c r="T1905" s="9">
        <v>45108</v>
      </c>
      <c r="U1905" s="9">
        <v>45473</v>
      </c>
      <c r="V1905">
        <f>SUM(POTABLE_NONPOTABLE_API[[#This Row],[RESIDENTIAL_SINGLEFAMILY_GAL]:[OTHER_GAL]])</f>
        <v>400118.05375999998</v>
      </c>
      <c r="W1905">
        <f>SUM(POTABLE_NONPOTABLE_API[[#This Row],[NONPOTABLE_DEMAND_RESIDENTIAL_RECYCLED_WATER_GAL]:[NONPOTABLE_DEMAND_NONRESIDENTIAL_METERED_IRRIGATION_GAL]])</f>
        <v>0</v>
      </c>
      <c r="X1905" t="str">
        <f>IFERROR(INDEX(Crosswalk_API!$H$2:$H$527, MATCH(POTABLE_NONPOTABLE_API[[#This Row],[PWSID]], CW_PWSID_LIST, 0)), "")</f>
        <v>No</v>
      </c>
    </row>
    <row r="1906" spans="1:24" x14ac:dyDescent="0.25">
      <c r="A1906" t="s">
        <v>1250</v>
      </c>
      <c r="B1906" t="s">
        <v>1251</v>
      </c>
      <c r="C1906" t="s">
        <v>1257</v>
      </c>
      <c r="D1906" t="s">
        <v>1258</v>
      </c>
      <c r="E1906" s="9">
        <v>45352</v>
      </c>
      <c r="F1906" s="9">
        <v>45382</v>
      </c>
      <c r="G1906">
        <v>405646.15804000001</v>
      </c>
      <c r="H1906">
        <v>0</v>
      </c>
      <c r="I1906">
        <v>0</v>
      </c>
      <c r="J1906">
        <v>0</v>
      </c>
      <c r="K1906">
        <v>0</v>
      </c>
      <c r="L1906">
        <v>0</v>
      </c>
      <c r="M1906">
        <v>0</v>
      </c>
      <c r="T1906" s="9">
        <v>45108</v>
      </c>
      <c r="U1906" s="9">
        <v>45473</v>
      </c>
      <c r="V1906">
        <f>SUM(POTABLE_NONPOTABLE_API[[#This Row],[RESIDENTIAL_SINGLEFAMILY_GAL]:[OTHER_GAL]])</f>
        <v>405646.15804000001</v>
      </c>
      <c r="W1906">
        <f>SUM(POTABLE_NONPOTABLE_API[[#This Row],[NONPOTABLE_DEMAND_RESIDENTIAL_RECYCLED_WATER_GAL]:[NONPOTABLE_DEMAND_NONRESIDENTIAL_METERED_IRRIGATION_GAL]])</f>
        <v>0</v>
      </c>
      <c r="X1906" t="str">
        <f>IFERROR(INDEX(Crosswalk_API!$H$2:$H$527, MATCH(POTABLE_NONPOTABLE_API[[#This Row],[PWSID]], CW_PWSID_LIST, 0)), "")</f>
        <v>No</v>
      </c>
    </row>
    <row r="1907" spans="1:24" x14ac:dyDescent="0.25">
      <c r="A1907" t="s">
        <v>1250</v>
      </c>
      <c r="B1907" t="s">
        <v>1251</v>
      </c>
      <c r="C1907" t="s">
        <v>1257</v>
      </c>
      <c r="D1907" t="s">
        <v>1258</v>
      </c>
      <c r="E1907" s="9">
        <v>45383</v>
      </c>
      <c r="F1907" s="9">
        <v>45412</v>
      </c>
      <c r="G1907">
        <v>509737.59383999999</v>
      </c>
      <c r="H1907">
        <v>0</v>
      </c>
      <c r="I1907">
        <v>0</v>
      </c>
      <c r="J1907">
        <v>0</v>
      </c>
      <c r="K1907">
        <v>0</v>
      </c>
      <c r="L1907">
        <v>0</v>
      </c>
      <c r="M1907">
        <v>0</v>
      </c>
      <c r="T1907" s="9">
        <v>45108</v>
      </c>
      <c r="U1907" s="9">
        <v>45473</v>
      </c>
      <c r="V1907">
        <f>SUM(POTABLE_NONPOTABLE_API[[#This Row],[RESIDENTIAL_SINGLEFAMILY_GAL]:[OTHER_GAL]])</f>
        <v>509737.59383999999</v>
      </c>
      <c r="W1907">
        <f>SUM(POTABLE_NONPOTABLE_API[[#This Row],[NONPOTABLE_DEMAND_RESIDENTIAL_RECYCLED_WATER_GAL]:[NONPOTABLE_DEMAND_NONRESIDENTIAL_METERED_IRRIGATION_GAL]])</f>
        <v>0</v>
      </c>
      <c r="X1907" t="str">
        <f>IFERROR(INDEX(Crosswalk_API!$H$2:$H$527, MATCH(POTABLE_NONPOTABLE_API[[#This Row],[PWSID]], CW_PWSID_LIST, 0)), "")</f>
        <v>No</v>
      </c>
    </row>
    <row r="1908" spans="1:24" x14ac:dyDescent="0.25">
      <c r="A1908" t="s">
        <v>1250</v>
      </c>
      <c r="B1908" t="s">
        <v>1251</v>
      </c>
      <c r="C1908" t="s">
        <v>1257</v>
      </c>
      <c r="D1908" t="s">
        <v>1258</v>
      </c>
      <c r="E1908" s="9">
        <v>45413</v>
      </c>
      <c r="F1908" s="9">
        <v>45443</v>
      </c>
      <c r="G1908">
        <v>778901.66448000004</v>
      </c>
      <c r="H1908">
        <v>0</v>
      </c>
      <c r="I1908">
        <v>0</v>
      </c>
      <c r="J1908">
        <v>0</v>
      </c>
      <c r="K1908">
        <v>0</v>
      </c>
      <c r="L1908">
        <v>0</v>
      </c>
      <c r="M1908">
        <v>0</v>
      </c>
      <c r="T1908" s="9">
        <v>45108</v>
      </c>
      <c r="U1908" s="9">
        <v>45473</v>
      </c>
      <c r="V1908">
        <f>SUM(POTABLE_NONPOTABLE_API[[#This Row],[RESIDENTIAL_SINGLEFAMILY_GAL]:[OTHER_GAL]])</f>
        <v>778901.66448000004</v>
      </c>
      <c r="W1908">
        <f>SUM(POTABLE_NONPOTABLE_API[[#This Row],[NONPOTABLE_DEMAND_RESIDENTIAL_RECYCLED_WATER_GAL]:[NONPOTABLE_DEMAND_NONRESIDENTIAL_METERED_IRRIGATION_GAL]])</f>
        <v>0</v>
      </c>
      <c r="X1908" t="str">
        <f>IFERROR(INDEX(Crosswalk_API!$H$2:$H$527, MATCH(POTABLE_NONPOTABLE_API[[#This Row],[PWSID]], CW_PWSID_LIST, 0)), "")</f>
        <v>No</v>
      </c>
    </row>
    <row r="1909" spans="1:24" x14ac:dyDescent="0.25">
      <c r="A1909" t="s">
        <v>1250</v>
      </c>
      <c r="B1909" t="s">
        <v>1251</v>
      </c>
      <c r="C1909" t="s">
        <v>1257</v>
      </c>
      <c r="D1909" t="s">
        <v>1258</v>
      </c>
      <c r="E1909" s="9">
        <v>45444</v>
      </c>
      <c r="F1909" s="9">
        <v>45473</v>
      </c>
      <c r="G1909">
        <v>1014762.46008</v>
      </c>
      <c r="H1909">
        <v>0</v>
      </c>
      <c r="I1909">
        <v>0</v>
      </c>
      <c r="J1909">
        <v>0</v>
      </c>
      <c r="K1909">
        <v>0</v>
      </c>
      <c r="L1909">
        <v>0</v>
      </c>
      <c r="M1909">
        <v>0</v>
      </c>
      <c r="T1909" s="9">
        <v>45108</v>
      </c>
      <c r="U1909" s="9">
        <v>45473</v>
      </c>
      <c r="V1909">
        <f>SUM(POTABLE_NONPOTABLE_API[[#This Row],[RESIDENTIAL_SINGLEFAMILY_GAL]:[OTHER_GAL]])</f>
        <v>1014762.46008</v>
      </c>
      <c r="W1909">
        <f>SUM(POTABLE_NONPOTABLE_API[[#This Row],[NONPOTABLE_DEMAND_RESIDENTIAL_RECYCLED_WATER_GAL]:[NONPOTABLE_DEMAND_NONRESIDENTIAL_METERED_IRRIGATION_GAL]])</f>
        <v>0</v>
      </c>
      <c r="X1909" t="str">
        <f>IFERROR(INDEX(Crosswalk_API!$H$2:$H$527, MATCH(POTABLE_NONPOTABLE_API[[#This Row],[PWSID]], CW_PWSID_LIST, 0)), "")</f>
        <v>No</v>
      </c>
    </row>
    <row r="1910" spans="1:24" x14ac:dyDescent="0.25">
      <c r="A1910" t="s">
        <v>1259</v>
      </c>
      <c r="B1910" t="s">
        <v>1260</v>
      </c>
      <c r="C1910" t="s">
        <v>1261</v>
      </c>
      <c r="D1910" t="s">
        <v>1262</v>
      </c>
      <c r="E1910" s="9">
        <v>45108</v>
      </c>
      <c r="F1910" s="9">
        <v>45138</v>
      </c>
      <c r="G1910">
        <v>37742000</v>
      </c>
      <c r="H1910">
        <v>16698000</v>
      </c>
      <c r="I1910">
        <v>33005000.000000004</v>
      </c>
      <c r="J1910">
        <v>3413000</v>
      </c>
      <c r="K1910">
        <v>318000</v>
      </c>
      <c r="L1910">
        <v>0</v>
      </c>
      <c r="M1910">
        <v>0</v>
      </c>
      <c r="T1910" s="9">
        <v>45108</v>
      </c>
      <c r="U1910" s="9">
        <v>45473</v>
      </c>
      <c r="V1910">
        <f>SUM(POTABLE_NONPOTABLE_API[[#This Row],[RESIDENTIAL_SINGLEFAMILY_GAL]:[OTHER_GAL]])</f>
        <v>91176000</v>
      </c>
      <c r="W1910">
        <f>SUM(POTABLE_NONPOTABLE_API[[#This Row],[NONPOTABLE_DEMAND_RESIDENTIAL_RECYCLED_WATER_GAL]:[NONPOTABLE_DEMAND_NONRESIDENTIAL_METERED_IRRIGATION_GAL]])</f>
        <v>0</v>
      </c>
      <c r="X1910" t="str">
        <f>IFERROR(INDEX(Crosswalk_API!$H$2:$H$527, MATCH(POTABLE_NONPOTABLE_API[[#This Row],[PWSID]], CW_PWSID_LIST, 0)), "")</f>
        <v>No</v>
      </c>
    </row>
    <row r="1911" spans="1:24" x14ac:dyDescent="0.25">
      <c r="A1911" t="s">
        <v>1259</v>
      </c>
      <c r="B1911" t="s">
        <v>1260</v>
      </c>
      <c r="C1911" t="s">
        <v>1261</v>
      </c>
      <c r="D1911" t="s">
        <v>1262</v>
      </c>
      <c r="E1911" s="9">
        <v>45139</v>
      </c>
      <c r="F1911" s="9">
        <v>45169</v>
      </c>
      <c r="G1911">
        <v>0</v>
      </c>
      <c r="H1911">
        <v>0</v>
      </c>
      <c r="I1911">
        <v>0</v>
      </c>
      <c r="J1911">
        <v>0</v>
      </c>
      <c r="K1911">
        <v>0</v>
      </c>
      <c r="L1911">
        <v>0</v>
      </c>
      <c r="M1911">
        <v>0</v>
      </c>
      <c r="T1911" s="9">
        <v>45108</v>
      </c>
      <c r="U1911" s="9">
        <v>45473</v>
      </c>
      <c r="V1911">
        <f>SUM(POTABLE_NONPOTABLE_API[[#This Row],[RESIDENTIAL_SINGLEFAMILY_GAL]:[OTHER_GAL]])</f>
        <v>0</v>
      </c>
      <c r="W1911">
        <f>SUM(POTABLE_NONPOTABLE_API[[#This Row],[NONPOTABLE_DEMAND_RESIDENTIAL_RECYCLED_WATER_GAL]:[NONPOTABLE_DEMAND_NONRESIDENTIAL_METERED_IRRIGATION_GAL]])</f>
        <v>0</v>
      </c>
      <c r="X1911" t="str">
        <f>IFERROR(INDEX(Crosswalk_API!$H$2:$H$527, MATCH(POTABLE_NONPOTABLE_API[[#This Row],[PWSID]], CW_PWSID_LIST, 0)), "")</f>
        <v>No</v>
      </c>
    </row>
    <row r="1912" spans="1:24" x14ac:dyDescent="0.25">
      <c r="A1912" t="s">
        <v>1259</v>
      </c>
      <c r="B1912" t="s">
        <v>1260</v>
      </c>
      <c r="C1912" t="s">
        <v>1261</v>
      </c>
      <c r="D1912" t="s">
        <v>1262</v>
      </c>
      <c r="E1912" s="9">
        <v>45170</v>
      </c>
      <c r="F1912" s="9">
        <v>45199</v>
      </c>
      <c r="G1912">
        <v>38229000</v>
      </c>
      <c r="H1912">
        <v>16838000</v>
      </c>
      <c r="I1912">
        <v>36932000</v>
      </c>
      <c r="J1912">
        <v>4248000</v>
      </c>
      <c r="K1912">
        <v>337000</v>
      </c>
      <c r="L1912">
        <v>0</v>
      </c>
      <c r="M1912">
        <v>0</v>
      </c>
      <c r="T1912" s="9">
        <v>45108</v>
      </c>
      <c r="U1912" s="9">
        <v>45473</v>
      </c>
      <c r="V1912">
        <f>SUM(POTABLE_NONPOTABLE_API[[#This Row],[RESIDENTIAL_SINGLEFAMILY_GAL]:[OTHER_GAL]])</f>
        <v>96584000</v>
      </c>
      <c r="W1912">
        <f>SUM(POTABLE_NONPOTABLE_API[[#This Row],[NONPOTABLE_DEMAND_RESIDENTIAL_RECYCLED_WATER_GAL]:[NONPOTABLE_DEMAND_NONRESIDENTIAL_METERED_IRRIGATION_GAL]])</f>
        <v>0</v>
      </c>
      <c r="X1912" t="str">
        <f>IFERROR(INDEX(Crosswalk_API!$H$2:$H$527, MATCH(POTABLE_NONPOTABLE_API[[#This Row],[PWSID]], CW_PWSID_LIST, 0)), "")</f>
        <v>No</v>
      </c>
    </row>
    <row r="1913" spans="1:24" x14ac:dyDescent="0.25">
      <c r="A1913" t="s">
        <v>1259</v>
      </c>
      <c r="B1913" t="s">
        <v>1260</v>
      </c>
      <c r="C1913" t="s">
        <v>1261</v>
      </c>
      <c r="D1913" t="s">
        <v>1262</v>
      </c>
      <c r="E1913" s="9">
        <v>45200</v>
      </c>
      <c r="F1913" s="9">
        <v>45230</v>
      </c>
      <c r="G1913">
        <v>0</v>
      </c>
      <c r="H1913">
        <v>0</v>
      </c>
      <c r="I1913">
        <v>0</v>
      </c>
      <c r="J1913">
        <v>0</v>
      </c>
      <c r="K1913">
        <v>0</v>
      </c>
      <c r="L1913">
        <v>0</v>
      </c>
      <c r="M1913">
        <v>0</v>
      </c>
      <c r="T1913" s="9">
        <v>45108</v>
      </c>
      <c r="U1913" s="9">
        <v>45473</v>
      </c>
      <c r="V1913">
        <f>SUM(POTABLE_NONPOTABLE_API[[#This Row],[RESIDENTIAL_SINGLEFAMILY_GAL]:[OTHER_GAL]])</f>
        <v>0</v>
      </c>
      <c r="W1913">
        <f>SUM(POTABLE_NONPOTABLE_API[[#This Row],[NONPOTABLE_DEMAND_RESIDENTIAL_RECYCLED_WATER_GAL]:[NONPOTABLE_DEMAND_NONRESIDENTIAL_METERED_IRRIGATION_GAL]])</f>
        <v>0</v>
      </c>
      <c r="X1913" t="str">
        <f>IFERROR(INDEX(Crosswalk_API!$H$2:$H$527, MATCH(POTABLE_NONPOTABLE_API[[#This Row],[PWSID]], CW_PWSID_LIST, 0)), "")</f>
        <v>No</v>
      </c>
    </row>
    <row r="1914" spans="1:24" x14ac:dyDescent="0.25">
      <c r="A1914" t="s">
        <v>1259</v>
      </c>
      <c r="B1914" t="s">
        <v>1260</v>
      </c>
      <c r="C1914" t="s">
        <v>1261</v>
      </c>
      <c r="D1914" t="s">
        <v>1262</v>
      </c>
      <c r="E1914" s="9">
        <v>45231</v>
      </c>
      <c r="F1914" s="9">
        <v>45260</v>
      </c>
      <c r="G1914">
        <v>34292000</v>
      </c>
      <c r="H1914">
        <v>16035000</v>
      </c>
      <c r="I1914">
        <v>31646000</v>
      </c>
      <c r="J1914">
        <v>3130000</v>
      </c>
      <c r="K1914">
        <v>311000</v>
      </c>
      <c r="L1914">
        <v>0</v>
      </c>
      <c r="M1914">
        <v>0</v>
      </c>
      <c r="T1914" s="9">
        <v>45108</v>
      </c>
      <c r="U1914" s="9">
        <v>45473</v>
      </c>
      <c r="V1914">
        <f>SUM(POTABLE_NONPOTABLE_API[[#This Row],[RESIDENTIAL_SINGLEFAMILY_GAL]:[OTHER_GAL]])</f>
        <v>85414000</v>
      </c>
      <c r="W1914">
        <f>SUM(POTABLE_NONPOTABLE_API[[#This Row],[NONPOTABLE_DEMAND_RESIDENTIAL_RECYCLED_WATER_GAL]:[NONPOTABLE_DEMAND_NONRESIDENTIAL_METERED_IRRIGATION_GAL]])</f>
        <v>0</v>
      </c>
      <c r="X1914" t="str">
        <f>IFERROR(INDEX(Crosswalk_API!$H$2:$H$527, MATCH(POTABLE_NONPOTABLE_API[[#This Row],[PWSID]], CW_PWSID_LIST, 0)), "")</f>
        <v>No</v>
      </c>
    </row>
    <row r="1915" spans="1:24" x14ac:dyDescent="0.25">
      <c r="A1915" t="s">
        <v>1259</v>
      </c>
      <c r="B1915" t="s">
        <v>1260</v>
      </c>
      <c r="C1915" t="s">
        <v>1261</v>
      </c>
      <c r="D1915" t="s">
        <v>1262</v>
      </c>
      <c r="E1915" s="9">
        <v>45261</v>
      </c>
      <c r="F1915" s="9">
        <v>45291</v>
      </c>
      <c r="G1915">
        <v>0</v>
      </c>
      <c r="H1915">
        <v>0</v>
      </c>
      <c r="I1915">
        <v>0</v>
      </c>
      <c r="J1915">
        <v>0</v>
      </c>
      <c r="K1915">
        <v>0</v>
      </c>
      <c r="L1915">
        <v>0</v>
      </c>
      <c r="M1915">
        <v>0</v>
      </c>
      <c r="T1915" s="9">
        <v>45108</v>
      </c>
      <c r="U1915" s="9">
        <v>45473</v>
      </c>
      <c r="V1915">
        <f>SUM(POTABLE_NONPOTABLE_API[[#This Row],[RESIDENTIAL_SINGLEFAMILY_GAL]:[OTHER_GAL]])</f>
        <v>0</v>
      </c>
      <c r="W1915">
        <f>SUM(POTABLE_NONPOTABLE_API[[#This Row],[NONPOTABLE_DEMAND_RESIDENTIAL_RECYCLED_WATER_GAL]:[NONPOTABLE_DEMAND_NONRESIDENTIAL_METERED_IRRIGATION_GAL]])</f>
        <v>0</v>
      </c>
      <c r="X1915" t="str">
        <f>IFERROR(INDEX(Crosswalk_API!$H$2:$H$527, MATCH(POTABLE_NONPOTABLE_API[[#This Row],[PWSID]], CW_PWSID_LIST, 0)), "")</f>
        <v>No</v>
      </c>
    </row>
    <row r="1916" spans="1:24" x14ac:dyDescent="0.25">
      <c r="A1916" t="s">
        <v>1259</v>
      </c>
      <c r="B1916" t="s">
        <v>1260</v>
      </c>
      <c r="C1916" t="s">
        <v>1261</v>
      </c>
      <c r="D1916" t="s">
        <v>1262</v>
      </c>
      <c r="E1916" s="9">
        <v>45292</v>
      </c>
      <c r="F1916" s="9">
        <v>45322</v>
      </c>
      <c r="G1916">
        <v>17279000</v>
      </c>
      <c r="H1916">
        <v>7614000</v>
      </c>
      <c r="I1916">
        <v>14439000</v>
      </c>
      <c r="J1916">
        <v>1278000</v>
      </c>
      <c r="K1916">
        <v>129000</v>
      </c>
      <c r="L1916">
        <v>0</v>
      </c>
      <c r="M1916">
        <v>0</v>
      </c>
      <c r="T1916" s="9">
        <v>45108</v>
      </c>
      <c r="U1916" s="9">
        <v>45473</v>
      </c>
      <c r="V1916">
        <f>SUM(POTABLE_NONPOTABLE_API[[#This Row],[RESIDENTIAL_SINGLEFAMILY_GAL]:[OTHER_GAL]])</f>
        <v>40739000</v>
      </c>
      <c r="W1916">
        <f>SUM(POTABLE_NONPOTABLE_API[[#This Row],[NONPOTABLE_DEMAND_RESIDENTIAL_RECYCLED_WATER_GAL]:[NONPOTABLE_DEMAND_NONRESIDENTIAL_METERED_IRRIGATION_GAL]])</f>
        <v>0</v>
      </c>
      <c r="X1916" t="str">
        <f>IFERROR(INDEX(Crosswalk_API!$H$2:$H$527, MATCH(POTABLE_NONPOTABLE_API[[#This Row],[PWSID]], CW_PWSID_LIST, 0)), "")</f>
        <v>No</v>
      </c>
    </row>
    <row r="1917" spans="1:24" x14ac:dyDescent="0.25">
      <c r="A1917" t="s">
        <v>1259</v>
      </c>
      <c r="B1917" t="s">
        <v>1260</v>
      </c>
      <c r="C1917" t="s">
        <v>1261</v>
      </c>
      <c r="D1917" t="s">
        <v>1262</v>
      </c>
      <c r="E1917" s="9">
        <v>45323</v>
      </c>
      <c r="F1917" s="9">
        <v>45351</v>
      </c>
      <c r="G1917">
        <v>18344000</v>
      </c>
      <c r="H1917">
        <v>7287000</v>
      </c>
      <c r="I1917">
        <v>16279000</v>
      </c>
      <c r="J1917">
        <v>842000</v>
      </c>
      <c r="K1917">
        <v>163000</v>
      </c>
      <c r="L1917">
        <v>0</v>
      </c>
      <c r="M1917">
        <v>0</v>
      </c>
      <c r="T1917" s="9">
        <v>45108</v>
      </c>
      <c r="U1917" s="9">
        <v>45473</v>
      </c>
      <c r="V1917">
        <f>SUM(POTABLE_NONPOTABLE_API[[#This Row],[RESIDENTIAL_SINGLEFAMILY_GAL]:[OTHER_GAL]])</f>
        <v>42915000</v>
      </c>
      <c r="W1917">
        <f>SUM(POTABLE_NONPOTABLE_API[[#This Row],[NONPOTABLE_DEMAND_RESIDENTIAL_RECYCLED_WATER_GAL]:[NONPOTABLE_DEMAND_NONRESIDENTIAL_METERED_IRRIGATION_GAL]])</f>
        <v>0</v>
      </c>
      <c r="X1917" t="str">
        <f>IFERROR(INDEX(Crosswalk_API!$H$2:$H$527, MATCH(POTABLE_NONPOTABLE_API[[#This Row],[PWSID]], CW_PWSID_LIST, 0)), "")</f>
        <v>No</v>
      </c>
    </row>
    <row r="1918" spans="1:24" x14ac:dyDescent="0.25">
      <c r="A1918" t="s">
        <v>1259</v>
      </c>
      <c r="B1918" t="s">
        <v>1260</v>
      </c>
      <c r="C1918" t="s">
        <v>1261</v>
      </c>
      <c r="D1918" t="s">
        <v>1262</v>
      </c>
      <c r="E1918" s="9">
        <v>45352</v>
      </c>
      <c r="F1918" s="9">
        <v>45382</v>
      </c>
      <c r="G1918">
        <v>19527000</v>
      </c>
      <c r="H1918">
        <v>7757000</v>
      </c>
      <c r="I1918">
        <v>17329000</v>
      </c>
      <c r="J1918">
        <v>897000</v>
      </c>
      <c r="K1918">
        <v>174000</v>
      </c>
      <c r="L1918">
        <v>0</v>
      </c>
      <c r="M1918">
        <v>0</v>
      </c>
      <c r="T1918" s="9">
        <v>45108</v>
      </c>
      <c r="U1918" s="9">
        <v>45473</v>
      </c>
      <c r="V1918">
        <f>SUM(POTABLE_NONPOTABLE_API[[#This Row],[RESIDENTIAL_SINGLEFAMILY_GAL]:[OTHER_GAL]])</f>
        <v>45684000</v>
      </c>
      <c r="W1918">
        <f>SUM(POTABLE_NONPOTABLE_API[[#This Row],[NONPOTABLE_DEMAND_RESIDENTIAL_RECYCLED_WATER_GAL]:[NONPOTABLE_DEMAND_NONRESIDENTIAL_METERED_IRRIGATION_GAL]])</f>
        <v>0</v>
      </c>
      <c r="X1918" t="str">
        <f>IFERROR(INDEX(Crosswalk_API!$H$2:$H$527, MATCH(POTABLE_NONPOTABLE_API[[#This Row],[PWSID]], CW_PWSID_LIST, 0)), "")</f>
        <v>No</v>
      </c>
    </row>
    <row r="1919" spans="1:24" x14ac:dyDescent="0.25">
      <c r="A1919" t="s">
        <v>1259</v>
      </c>
      <c r="B1919" t="s">
        <v>1260</v>
      </c>
      <c r="C1919" t="s">
        <v>1261</v>
      </c>
      <c r="D1919" t="s">
        <v>1262</v>
      </c>
      <c r="E1919" s="9">
        <v>45383</v>
      </c>
      <c r="F1919" s="9">
        <v>45412</v>
      </c>
      <c r="G1919">
        <v>13849000</v>
      </c>
      <c r="H1919">
        <v>6546000</v>
      </c>
      <c r="I1919">
        <v>13011000</v>
      </c>
      <c r="J1919">
        <v>683000</v>
      </c>
      <c r="K1919">
        <v>173000</v>
      </c>
      <c r="L1919">
        <v>0</v>
      </c>
      <c r="M1919">
        <v>0</v>
      </c>
      <c r="T1919" s="9">
        <v>45108</v>
      </c>
      <c r="U1919" s="9">
        <v>45473</v>
      </c>
      <c r="V1919">
        <f>SUM(POTABLE_NONPOTABLE_API[[#This Row],[RESIDENTIAL_SINGLEFAMILY_GAL]:[OTHER_GAL]])</f>
        <v>34262000</v>
      </c>
      <c r="W1919">
        <f>SUM(POTABLE_NONPOTABLE_API[[#This Row],[NONPOTABLE_DEMAND_RESIDENTIAL_RECYCLED_WATER_GAL]:[NONPOTABLE_DEMAND_NONRESIDENTIAL_METERED_IRRIGATION_GAL]])</f>
        <v>0</v>
      </c>
      <c r="X1919" t="str">
        <f>IFERROR(INDEX(Crosswalk_API!$H$2:$H$527, MATCH(POTABLE_NONPOTABLE_API[[#This Row],[PWSID]], CW_PWSID_LIST, 0)), "")</f>
        <v>No</v>
      </c>
    </row>
    <row r="1920" spans="1:24" x14ac:dyDescent="0.25">
      <c r="A1920" t="s">
        <v>1259</v>
      </c>
      <c r="B1920" t="s">
        <v>1260</v>
      </c>
      <c r="C1920" t="s">
        <v>1261</v>
      </c>
      <c r="D1920" t="s">
        <v>1262</v>
      </c>
      <c r="E1920" s="9">
        <v>45413</v>
      </c>
      <c r="F1920" s="9">
        <v>45443</v>
      </c>
      <c r="G1920">
        <v>16196000.000000002</v>
      </c>
      <c r="H1920">
        <v>7656000</v>
      </c>
      <c r="I1920">
        <v>15216000</v>
      </c>
      <c r="J1920">
        <v>799000</v>
      </c>
      <c r="K1920">
        <v>202000</v>
      </c>
      <c r="L1920">
        <v>0</v>
      </c>
      <c r="M1920">
        <v>0</v>
      </c>
      <c r="T1920" s="9">
        <v>45108</v>
      </c>
      <c r="U1920" s="9">
        <v>45473</v>
      </c>
      <c r="V1920">
        <f>SUM(POTABLE_NONPOTABLE_API[[#This Row],[RESIDENTIAL_SINGLEFAMILY_GAL]:[OTHER_GAL]])</f>
        <v>40069000</v>
      </c>
      <c r="W1920">
        <f>SUM(POTABLE_NONPOTABLE_API[[#This Row],[NONPOTABLE_DEMAND_RESIDENTIAL_RECYCLED_WATER_GAL]:[NONPOTABLE_DEMAND_NONRESIDENTIAL_METERED_IRRIGATION_GAL]])</f>
        <v>0</v>
      </c>
      <c r="X1920" t="str">
        <f>IFERROR(INDEX(Crosswalk_API!$H$2:$H$527, MATCH(POTABLE_NONPOTABLE_API[[#This Row],[PWSID]], CW_PWSID_LIST, 0)), "")</f>
        <v>No</v>
      </c>
    </row>
    <row r="1921" spans="1:24" x14ac:dyDescent="0.25">
      <c r="A1921" t="s">
        <v>1259</v>
      </c>
      <c r="B1921" t="s">
        <v>1260</v>
      </c>
      <c r="C1921" t="s">
        <v>1261</v>
      </c>
      <c r="D1921" t="s">
        <v>1262</v>
      </c>
      <c r="E1921" s="9">
        <v>45444</v>
      </c>
      <c r="F1921" s="9">
        <v>45473</v>
      </c>
      <c r="G1921">
        <v>16732000</v>
      </c>
      <c r="H1921">
        <v>7267000</v>
      </c>
      <c r="I1921">
        <v>15175000</v>
      </c>
      <c r="J1921">
        <v>1296000</v>
      </c>
      <c r="K1921">
        <v>162000</v>
      </c>
      <c r="L1921">
        <v>0</v>
      </c>
      <c r="M1921">
        <v>0</v>
      </c>
      <c r="T1921" s="9">
        <v>45108</v>
      </c>
      <c r="U1921" s="9">
        <v>45473</v>
      </c>
      <c r="V1921">
        <f>SUM(POTABLE_NONPOTABLE_API[[#This Row],[RESIDENTIAL_SINGLEFAMILY_GAL]:[OTHER_GAL]])</f>
        <v>40632000</v>
      </c>
      <c r="W1921">
        <f>SUM(POTABLE_NONPOTABLE_API[[#This Row],[NONPOTABLE_DEMAND_RESIDENTIAL_RECYCLED_WATER_GAL]:[NONPOTABLE_DEMAND_NONRESIDENTIAL_METERED_IRRIGATION_GAL]])</f>
        <v>0</v>
      </c>
      <c r="X1921" t="str">
        <f>IFERROR(INDEX(Crosswalk_API!$H$2:$H$527, MATCH(POTABLE_NONPOTABLE_API[[#This Row],[PWSID]], CW_PWSID_LIST, 0)), "")</f>
        <v>No</v>
      </c>
    </row>
    <row r="1922" spans="1:24" x14ac:dyDescent="0.25">
      <c r="A1922" t="s">
        <v>1263</v>
      </c>
      <c r="B1922" t="s">
        <v>1264</v>
      </c>
      <c r="C1922" t="s">
        <v>1265</v>
      </c>
      <c r="D1922" t="s">
        <v>1266</v>
      </c>
      <c r="E1922" s="9">
        <v>45108</v>
      </c>
      <c r="F1922" s="9">
        <v>45138</v>
      </c>
      <c r="G1922">
        <v>20305123.488000002</v>
      </c>
      <c r="H1922">
        <v>15263253.008000001</v>
      </c>
      <c r="I1922">
        <v>111997597.388</v>
      </c>
      <c r="J1922">
        <v>2983231.3760000002</v>
      </c>
      <c r="K1922">
        <v>17110941.447999999</v>
      </c>
      <c r="L1922">
        <v>262566.25199999998</v>
      </c>
      <c r="M1922">
        <v>0</v>
      </c>
      <c r="N1922">
        <v>0</v>
      </c>
      <c r="O1922">
        <v>0</v>
      </c>
      <c r="Q1922">
        <v>262567822.90919998</v>
      </c>
      <c r="R1922">
        <v>0</v>
      </c>
      <c r="T1922" s="9">
        <v>45108</v>
      </c>
      <c r="U1922" s="9">
        <v>45473</v>
      </c>
      <c r="V1922">
        <f>SUM(POTABLE_NONPOTABLE_API[[#This Row],[RESIDENTIAL_SINGLEFAMILY_GAL]:[OTHER_GAL]])</f>
        <v>167922712.96000001</v>
      </c>
      <c r="W1922">
        <f>SUM(POTABLE_NONPOTABLE_API[[#This Row],[NONPOTABLE_DEMAND_RESIDENTIAL_RECYCLED_WATER_GAL]:[NONPOTABLE_DEMAND_NONRESIDENTIAL_METERED_IRRIGATION_GAL]])</f>
        <v>262567822.90919998</v>
      </c>
      <c r="X1922" t="str">
        <f>IFERROR(INDEX(Crosswalk_API!$H$2:$H$527, MATCH(POTABLE_NONPOTABLE_API[[#This Row],[PWSID]], CW_PWSID_LIST, 0)), "")</f>
        <v>No</v>
      </c>
    </row>
    <row r="1923" spans="1:24" x14ac:dyDescent="0.25">
      <c r="A1923" t="s">
        <v>1263</v>
      </c>
      <c r="B1923" t="s">
        <v>1264</v>
      </c>
      <c r="C1923" t="s">
        <v>1265</v>
      </c>
      <c r="D1923" t="s">
        <v>1266</v>
      </c>
      <c r="E1923" s="9">
        <v>45139</v>
      </c>
      <c r="F1923" s="9">
        <v>45169</v>
      </c>
      <c r="G1923">
        <v>23916718.544</v>
      </c>
      <c r="H1923">
        <v>15397902.368000001</v>
      </c>
      <c r="I1923">
        <v>129606741.46800001</v>
      </c>
      <c r="J1923">
        <v>5119667.8880000003</v>
      </c>
      <c r="K1923">
        <v>21908198.924000002</v>
      </c>
      <c r="L1923">
        <v>1003137.7320000001</v>
      </c>
      <c r="M1923">
        <v>0</v>
      </c>
      <c r="N1923">
        <v>0</v>
      </c>
      <c r="O1923">
        <v>0</v>
      </c>
      <c r="Q1923">
        <v>279883588.47531998</v>
      </c>
      <c r="R1923">
        <v>0</v>
      </c>
      <c r="T1923" s="9">
        <v>45108</v>
      </c>
      <c r="U1923" s="9">
        <v>45473</v>
      </c>
      <c r="V1923">
        <f>SUM(POTABLE_NONPOTABLE_API[[#This Row],[RESIDENTIAL_SINGLEFAMILY_GAL]:[OTHER_GAL]])</f>
        <v>196952366.92399999</v>
      </c>
      <c r="W1923">
        <f>SUM(POTABLE_NONPOTABLE_API[[#This Row],[NONPOTABLE_DEMAND_RESIDENTIAL_RECYCLED_WATER_GAL]:[NONPOTABLE_DEMAND_NONRESIDENTIAL_METERED_IRRIGATION_GAL]])</f>
        <v>279883588.47531998</v>
      </c>
      <c r="X1923" t="str">
        <f>IFERROR(INDEX(Crosswalk_API!$H$2:$H$527, MATCH(POTABLE_NONPOTABLE_API[[#This Row],[PWSID]], CW_PWSID_LIST, 0)), "")</f>
        <v>No</v>
      </c>
    </row>
    <row r="1924" spans="1:24" x14ac:dyDescent="0.25">
      <c r="A1924" t="s">
        <v>1263</v>
      </c>
      <c r="B1924" t="s">
        <v>1264</v>
      </c>
      <c r="C1924" t="s">
        <v>1265</v>
      </c>
      <c r="D1924" t="s">
        <v>1266</v>
      </c>
      <c r="E1924" s="9">
        <v>45170</v>
      </c>
      <c r="F1924" s="9">
        <v>45199</v>
      </c>
      <c r="G1924">
        <v>21305269.012000002</v>
      </c>
      <c r="H1924">
        <v>16190089.436000001</v>
      </c>
      <c r="I1924">
        <v>110820163.54000001</v>
      </c>
      <c r="J1924">
        <v>3133589.8280000002</v>
      </c>
      <c r="K1924">
        <v>18131284.376000002</v>
      </c>
      <c r="L1924">
        <v>1701818.3</v>
      </c>
      <c r="M1924">
        <v>0</v>
      </c>
      <c r="N1924">
        <v>0</v>
      </c>
      <c r="O1924">
        <v>0</v>
      </c>
      <c r="Q1924">
        <v>259713406.08759999</v>
      </c>
      <c r="R1924">
        <v>0</v>
      </c>
      <c r="T1924" s="9">
        <v>45108</v>
      </c>
      <c r="U1924" s="9">
        <v>45473</v>
      </c>
      <c r="V1924">
        <f>SUM(POTABLE_NONPOTABLE_API[[#This Row],[RESIDENTIAL_SINGLEFAMILY_GAL]:[OTHER_GAL]])</f>
        <v>171282214.49200004</v>
      </c>
      <c r="W1924">
        <f>SUM(POTABLE_NONPOTABLE_API[[#This Row],[NONPOTABLE_DEMAND_RESIDENTIAL_RECYCLED_WATER_GAL]:[NONPOTABLE_DEMAND_NONRESIDENTIAL_METERED_IRRIGATION_GAL]])</f>
        <v>259713406.08759999</v>
      </c>
      <c r="X1924" t="str">
        <f>IFERROR(INDEX(Crosswalk_API!$H$2:$H$527, MATCH(POTABLE_NONPOTABLE_API[[#This Row],[PWSID]], CW_PWSID_LIST, 0)), "")</f>
        <v>No</v>
      </c>
    </row>
    <row r="1925" spans="1:24" x14ac:dyDescent="0.25">
      <c r="A1925" t="s">
        <v>1263</v>
      </c>
      <c r="B1925" t="s">
        <v>1264</v>
      </c>
      <c r="C1925" t="s">
        <v>1265</v>
      </c>
      <c r="D1925" t="s">
        <v>1266</v>
      </c>
      <c r="E1925" s="9">
        <v>45200</v>
      </c>
      <c r="F1925" s="9">
        <v>45230</v>
      </c>
      <c r="G1925">
        <v>21792998.916000001</v>
      </c>
      <c r="H1925">
        <v>15139076.376</v>
      </c>
      <c r="I1925">
        <v>125396704.81200001</v>
      </c>
      <c r="J1925">
        <v>4714223.7039999999</v>
      </c>
      <c r="K1925">
        <v>26439149.888</v>
      </c>
      <c r="L1925">
        <v>215438.976</v>
      </c>
      <c r="M1925">
        <v>0</v>
      </c>
      <c r="N1925">
        <v>0</v>
      </c>
      <c r="O1925">
        <v>0</v>
      </c>
      <c r="Q1925">
        <v>273232949.8836</v>
      </c>
      <c r="R1925">
        <v>0</v>
      </c>
      <c r="T1925" s="9">
        <v>45108</v>
      </c>
      <c r="U1925" s="9">
        <v>45473</v>
      </c>
      <c r="V1925">
        <f>SUM(POTABLE_NONPOTABLE_API[[#This Row],[RESIDENTIAL_SINGLEFAMILY_GAL]:[OTHER_GAL]])</f>
        <v>193697592.67200002</v>
      </c>
      <c r="W1925">
        <f>SUM(POTABLE_NONPOTABLE_API[[#This Row],[NONPOTABLE_DEMAND_RESIDENTIAL_RECYCLED_WATER_GAL]:[NONPOTABLE_DEMAND_NONRESIDENTIAL_METERED_IRRIGATION_GAL]])</f>
        <v>273232949.8836</v>
      </c>
      <c r="X1925" t="str">
        <f>IFERROR(INDEX(Crosswalk_API!$H$2:$H$527, MATCH(POTABLE_NONPOTABLE_API[[#This Row],[PWSID]], CW_PWSID_LIST, 0)), "")</f>
        <v>No</v>
      </c>
    </row>
    <row r="1926" spans="1:24" x14ac:dyDescent="0.25">
      <c r="A1926" t="s">
        <v>1263</v>
      </c>
      <c r="B1926" t="s">
        <v>1264</v>
      </c>
      <c r="C1926" t="s">
        <v>1265</v>
      </c>
      <c r="D1926" t="s">
        <v>1266</v>
      </c>
      <c r="E1926" s="9">
        <v>45231</v>
      </c>
      <c r="F1926" s="9">
        <v>45260</v>
      </c>
      <c r="G1926">
        <v>19996926.063999999</v>
      </c>
      <c r="H1926">
        <v>15775668.628</v>
      </c>
      <c r="I1926">
        <v>117517473.096</v>
      </c>
      <c r="J1926">
        <v>3108156.06</v>
      </c>
      <c r="K1926">
        <v>26042682.328000002</v>
      </c>
      <c r="L1926">
        <v>239376.64000000001</v>
      </c>
      <c r="M1926">
        <v>0</v>
      </c>
      <c r="N1926">
        <v>0</v>
      </c>
      <c r="O1926">
        <v>0</v>
      </c>
      <c r="Q1926">
        <v>265399498.95000002</v>
      </c>
      <c r="R1926">
        <v>0</v>
      </c>
      <c r="T1926" s="9">
        <v>45108</v>
      </c>
      <c r="U1926" s="9">
        <v>45473</v>
      </c>
      <c r="V1926">
        <f>SUM(POTABLE_NONPOTABLE_API[[#This Row],[RESIDENTIAL_SINGLEFAMILY_GAL]:[OTHER_GAL]])</f>
        <v>182680282.81599998</v>
      </c>
      <c r="W1926">
        <f>SUM(POTABLE_NONPOTABLE_API[[#This Row],[NONPOTABLE_DEMAND_RESIDENTIAL_RECYCLED_WATER_GAL]:[NONPOTABLE_DEMAND_NONRESIDENTIAL_METERED_IRRIGATION_GAL]])</f>
        <v>265399498.95000002</v>
      </c>
      <c r="X1926" t="str">
        <f>IFERROR(INDEX(Crosswalk_API!$H$2:$H$527, MATCH(POTABLE_NONPOTABLE_API[[#This Row],[PWSID]], CW_PWSID_LIST, 0)), "")</f>
        <v>No</v>
      </c>
    </row>
    <row r="1927" spans="1:24" x14ac:dyDescent="0.25">
      <c r="A1927" t="s">
        <v>1263</v>
      </c>
      <c r="B1927" t="s">
        <v>1264</v>
      </c>
      <c r="C1927" t="s">
        <v>1265</v>
      </c>
      <c r="D1927" t="s">
        <v>1266</v>
      </c>
      <c r="E1927" s="9">
        <v>45261</v>
      </c>
      <c r="F1927" s="9">
        <v>45291</v>
      </c>
      <c r="G1927">
        <v>19996926.063999999</v>
      </c>
      <c r="H1927">
        <v>15775668.628</v>
      </c>
      <c r="I1927">
        <v>117517473.096</v>
      </c>
      <c r="J1927">
        <v>3108156.06</v>
      </c>
      <c r="K1927">
        <v>26042682.328000002</v>
      </c>
      <c r="L1927">
        <v>239376.64000000001</v>
      </c>
      <c r="M1927">
        <v>0</v>
      </c>
      <c r="N1927">
        <v>0</v>
      </c>
      <c r="O1927">
        <v>0</v>
      </c>
      <c r="Q1927">
        <v>115608024588</v>
      </c>
      <c r="R1927">
        <v>0</v>
      </c>
      <c r="T1927" s="9">
        <v>45108</v>
      </c>
      <c r="U1927" s="9">
        <v>45473</v>
      </c>
      <c r="V1927">
        <f>SUM(POTABLE_NONPOTABLE_API[[#This Row],[RESIDENTIAL_SINGLEFAMILY_GAL]:[OTHER_GAL]])</f>
        <v>182680282.81599998</v>
      </c>
      <c r="W1927">
        <f>SUM(POTABLE_NONPOTABLE_API[[#This Row],[NONPOTABLE_DEMAND_RESIDENTIAL_RECYCLED_WATER_GAL]:[NONPOTABLE_DEMAND_NONRESIDENTIAL_METERED_IRRIGATION_GAL]])</f>
        <v>115608024588</v>
      </c>
      <c r="X1927" t="str">
        <f>IFERROR(INDEX(Crosswalk_API!$H$2:$H$527, MATCH(POTABLE_NONPOTABLE_API[[#This Row],[PWSID]], CW_PWSID_LIST, 0)), "")</f>
        <v>No</v>
      </c>
    </row>
    <row r="1928" spans="1:24" x14ac:dyDescent="0.25">
      <c r="A1928" t="s">
        <v>1263</v>
      </c>
      <c r="B1928" t="s">
        <v>1264</v>
      </c>
      <c r="C1928" t="s">
        <v>1265</v>
      </c>
      <c r="D1928" t="s">
        <v>1266</v>
      </c>
      <c r="E1928" s="9">
        <v>45292</v>
      </c>
      <c r="F1928" s="9">
        <v>45322</v>
      </c>
      <c r="G1928">
        <v>17725092.140000001</v>
      </c>
      <c r="H1928">
        <v>15465975.1</v>
      </c>
      <c r="I1928">
        <v>22114661.276000001</v>
      </c>
      <c r="J1928">
        <v>1689101.416</v>
      </c>
      <c r="K1928">
        <v>103189285.088</v>
      </c>
      <c r="L1928">
        <v>296976.64400000003</v>
      </c>
      <c r="M1928">
        <v>0</v>
      </c>
      <c r="N1928">
        <v>0</v>
      </c>
      <c r="O1928">
        <v>0</v>
      </c>
      <c r="P1928">
        <v>0</v>
      </c>
      <c r="Q1928">
        <v>249201069.26999998</v>
      </c>
      <c r="R1928">
        <v>0</v>
      </c>
      <c r="S1928">
        <v>128786090.73</v>
      </c>
      <c r="T1928" s="9">
        <v>45108</v>
      </c>
      <c r="U1928" s="9">
        <v>45473</v>
      </c>
      <c r="V1928">
        <f>SUM(POTABLE_NONPOTABLE_API[[#This Row],[RESIDENTIAL_SINGLEFAMILY_GAL]:[OTHER_GAL]])</f>
        <v>160481091.664</v>
      </c>
      <c r="W1928">
        <f>SUM(POTABLE_NONPOTABLE_API[[#This Row],[NONPOTABLE_DEMAND_RESIDENTIAL_RECYCLED_WATER_GAL]:[NONPOTABLE_DEMAND_NONRESIDENTIAL_METERED_IRRIGATION_GAL]])</f>
        <v>377987160</v>
      </c>
      <c r="X1928" t="str">
        <f>IFERROR(INDEX(Crosswalk_API!$H$2:$H$527, MATCH(POTABLE_NONPOTABLE_API[[#This Row],[PWSID]], CW_PWSID_LIST, 0)), "")</f>
        <v>No</v>
      </c>
    </row>
    <row r="1929" spans="1:24" x14ac:dyDescent="0.25">
      <c r="A1929" t="s">
        <v>1263</v>
      </c>
      <c r="B1929" t="s">
        <v>1264</v>
      </c>
      <c r="C1929" t="s">
        <v>1265</v>
      </c>
      <c r="D1929" t="s">
        <v>1266</v>
      </c>
      <c r="E1929" s="9">
        <v>45323</v>
      </c>
      <c r="F1929" s="9">
        <v>45351</v>
      </c>
      <c r="G1929">
        <v>17090744.044</v>
      </c>
      <c r="H1929">
        <v>14932614.024</v>
      </c>
      <c r="I1929">
        <v>29370017.624000002</v>
      </c>
      <c r="J1929">
        <v>1597839.0720000002</v>
      </c>
      <c r="K1929">
        <v>94690666.316</v>
      </c>
      <c r="L1929">
        <v>35158.444000000003</v>
      </c>
      <c r="M1929">
        <v>0</v>
      </c>
      <c r="N1929">
        <v>0</v>
      </c>
      <c r="O1929">
        <v>0</v>
      </c>
      <c r="P1929">
        <v>0</v>
      </c>
      <c r="Q1929">
        <v>206299526.61000001</v>
      </c>
      <c r="R1929">
        <v>0</v>
      </c>
      <c r="S1929">
        <v>96781005.50999999</v>
      </c>
      <c r="T1929" s="9">
        <v>45108</v>
      </c>
      <c r="U1929" s="9">
        <v>45473</v>
      </c>
      <c r="V1929">
        <f>SUM(POTABLE_NONPOTABLE_API[[#This Row],[RESIDENTIAL_SINGLEFAMILY_GAL]:[OTHER_GAL]])</f>
        <v>157717039.52399999</v>
      </c>
      <c r="W1929">
        <f>SUM(POTABLE_NONPOTABLE_API[[#This Row],[NONPOTABLE_DEMAND_RESIDENTIAL_RECYCLED_WATER_GAL]:[NONPOTABLE_DEMAND_NONRESIDENTIAL_METERED_IRRIGATION_GAL]])</f>
        <v>303080532.12</v>
      </c>
      <c r="X1929" t="str">
        <f>IFERROR(INDEX(Crosswalk_API!$H$2:$H$527, MATCH(POTABLE_NONPOTABLE_API[[#This Row],[PWSID]], CW_PWSID_LIST, 0)), "")</f>
        <v>No</v>
      </c>
    </row>
    <row r="1930" spans="1:24" x14ac:dyDescent="0.25">
      <c r="A1930" t="s">
        <v>1263</v>
      </c>
      <c r="B1930" t="s">
        <v>1264</v>
      </c>
      <c r="C1930" t="s">
        <v>1265</v>
      </c>
      <c r="D1930" t="s">
        <v>1266</v>
      </c>
      <c r="E1930" s="9">
        <v>45352</v>
      </c>
      <c r="F1930" s="9">
        <v>45382</v>
      </c>
      <c r="G1930">
        <v>14483782.824000001</v>
      </c>
      <c r="H1930">
        <v>14166608.776000001</v>
      </c>
      <c r="I1930">
        <v>20504105.32</v>
      </c>
      <c r="J1930">
        <v>1625516.996</v>
      </c>
      <c r="K1930">
        <v>89526115.307999998</v>
      </c>
      <c r="L1930">
        <v>160831.18</v>
      </c>
      <c r="M1930">
        <v>0</v>
      </c>
      <c r="N1930">
        <v>0</v>
      </c>
      <c r="O1930">
        <v>0</v>
      </c>
      <c r="P1930">
        <v>0</v>
      </c>
      <c r="Q1930">
        <v>242504831.22</v>
      </c>
      <c r="R1930">
        <v>0</v>
      </c>
      <c r="T1930" s="9">
        <v>45108</v>
      </c>
      <c r="U1930" s="9">
        <v>45473</v>
      </c>
      <c r="V1930">
        <f>SUM(POTABLE_NONPOTABLE_API[[#This Row],[RESIDENTIAL_SINGLEFAMILY_GAL]:[OTHER_GAL]])</f>
        <v>140466960.40400001</v>
      </c>
      <c r="W1930">
        <f>SUM(POTABLE_NONPOTABLE_API[[#This Row],[NONPOTABLE_DEMAND_RESIDENTIAL_RECYCLED_WATER_GAL]:[NONPOTABLE_DEMAND_NONRESIDENTIAL_METERED_IRRIGATION_GAL]])</f>
        <v>242504831.22</v>
      </c>
      <c r="X1930" t="str">
        <f>IFERROR(INDEX(Crosswalk_API!$H$2:$H$527, MATCH(POTABLE_NONPOTABLE_API[[#This Row],[PWSID]], CW_PWSID_LIST, 0)), "")</f>
        <v>No</v>
      </c>
    </row>
    <row r="1931" spans="1:24" x14ac:dyDescent="0.25">
      <c r="A1931" t="s">
        <v>1263</v>
      </c>
      <c r="B1931" t="s">
        <v>1264</v>
      </c>
      <c r="C1931" t="s">
        <v>1265</v>
      </c>
      <c r="D1931" t="s">
        <v>1266</v>
      </c>
      <c r="E1931" s="9">
        <v>45383</v>
      </c>
      <c r="F1931" s="9">
        <v>45412</v>
      </c>
      <c r="G1931">
        <v>14886234.800000001</v>
      </c>
      <c r="H1931">
        <v>14809933.496000001</v>
      </c>
      <c r="I1931">
        <v>32215607.432</v>
      </c>
      <c r="J1931">
        <v>5206441.92</v>
      </c>
      <c r="K1931">
        <v>96082791.088</v>
      </c>
      <c r="L1931">
        <v>285755.864</v>
      </c>
      <c r="M1931">
        <v>0</v>
      </c>
      <c r="N1931">
        <v>0</v>
      </c>
      <c r="O1931">
        <v>0</v>
      </c>
      <c r="P1931">
        <v>0</v>
      </c>
      <c r="Q1931">
        <v>213940732.55999997</v>
      </c>
      <c r="R1931">
        <v>0</v>
      </c>
      <c r="S1931">
        <v>75988453.200000003</v>
      </c>
      <c r="T1931" s="9">
        <v>45108</v>
      </c>
      <c r="U1931" s="9">
        <v>45473</v>
      </c>
      <c r="V1931">
        <f>SUM(POTABLE_NONPOTABLE_API[[#This Row],[RESIDENTIAL_SINGLEFAMILY_GAL]:[OTHER_GAL]])</f>
        <v>163486764.59999999</v>
      </c>
      <c r="W1931">
        <f>SUM(POTABLE_NONPOTABLE_API[[#This Row],[NONPOTABLE_DEMAND_RESIDENTIAL_RECYCLED_WATER_GAL]:[NONPOTABLE_DEMAND_NONRESIDENTIAL_METERED_IRRIGATION_GAL]])</f>
        <v>289929185.75999999</v>
      </c>
      <c r="X1931" t="str">
        <f>IFERROR(INDEX(Crosswalk_API!$H$2:$H$527, MATCH(POTABLE_NONPOTABLE_API[[#This Row],[PWSID]], CW_PWSID_LIST, 0)), "")</f>
        <v>No</v>
      </c>
    </row>
    <row r="1932" spans="1:24" x14ac:dyDescent="0.25">
      <c r="A1932" t="s">
        <v>1263</v>
      </c>
      <c r="B1932" t="s">
        <v>1264</v>
      </c>
      <c r="C1932" t="s">
        <v>1265</v>
      </c>
      <c r="D1932" t="s">
        <v>1266</v>
      </c>
      <c r="E1932" s="9">
        <v>45413</v>
      </c>
      <c r="F1932" s="9">
        <v>45443</v>
      </c>
      <c r="G1932">
        <v>16228240.088</v>
      </c>
      <c r="H1932">
        <v>15344790.676000001</v>
      </c>
      <c r="I1932">
        <v>119679343.376</v>
      </c>
      <c r="J1932">
        <v>5104706.8480000002</v>
      </c>
      <c r="K1932">
        <v>96331892.403999999</v>
      </c>
      <c r="L1932">
        <v>372529.89600000001</v>
      </c>
      <c r="M1932">
        <v>0</v>
      </c>
      <c r="N1932">
        <v>0</v>
      </c>
      <c r="O1932">
        <v>0</v>
      </c>
      <c r="P1932">
        <v>0</v>
      </c>
      <c r="Q1932">
        <v>216769119.24000001</v>
      </c>
      <c r="R1932">
        <v>0</v>
      </c>
      <c r="S1932">
        <v>78386716.560000002</v>
      </c>
      <c r="T1932" s="9">
        <v>45108</v>
      </c>
      <c r="U1932" s="9">
        <v>45473</v>
      </c>
      <c r="V1932">
        <f>SUM(POTABLE_NONPOTABLE_API[[#This Row],[RESIDENTIAL_SINGLEFAMILY_GAL]:[OTHER_GAL]])</f>
        <v>253061503.28799996</v>
      </c>
      <c r="W1932">
        <f>SUM(POTABLE_NONPOTABLE_API[[#This Row],[NONPOTABLE_DEMAND_RESIDENTIAL_RECYCLED_WATER_GAL]:[NONPOTABLE_DEMAND_NONRESIDENTIAL_METERED_IRRIGATION_GAL]])</f>
        <v>295155835.80000001</v>
      </c>
      <c r="X1932" t="str">
        <f>IFERROR(INDEX(Crosswalk_API!$H$2:$H$527, MATCH(POTABLE_NONPOTABLE_API[[#This Row],[PWSID]], CW_PWSID_LIST, 0)), "")</f>
        <v>No</v>
      </c>
    </row>
    <row r="1933" spans="1:24" x14ac:dyDescent="0.25">
      <c r="A1933" t="s">
        <v>1263</v>
      </c>
      <c r="B1933" t="s">
        <v>1264</v>
      </c>
      <c r="C1933" t="s">
        <v>1265</v>
      </c>
      <c r="D1933" t="s">
        <v>1266</v>
      </c>
      <c r="E1933" s="9">
        <v>45444</v>
      </c>
      <c r="F1933" s="9">
        <v>45473</v>
      </c>
      <c r="G1933">
        <v>19788967.607999999</v>
      </c>
      <c r="H1933">
        <v>15682910.18</v>
      </c>
      <c r="I1933">
        <v>39999836.544</v>
      </c>
      <c r="J1933">
        <v>7257600.5040000007</v>
      </c>
      <c r="K1933">
        <v>87985128.188000008</v>
      </c>
      <c r="L1933">
        <v>342607.81599999999</v>
      </c>
      <c r="M1933">
        <v>0</v>
      </c>
      <c r="N1933">
        <v>0</v>
      </c>
      <c r="O1933">
        <v>0</v>
      </c>
      <c r="P1933">
        <v>0</v>
      </c>
      <c r="Q1933">
        <v>583293.54700000002</v>
      </c>
      <c r="R1933">
        <v>0</v>
      </c>
      <c r="S1933">
        <v>183138.09064000001</v>
      </c>
      <c r="T1933" s="9">
        <v>45108</v>
      </c>
      <c r="U1933" s="9">
        <v>45473</v>
      </c>
      <c r="V1933">
        <f>SUM(POTABLE_NONPOTABLE_API[[#This Row],[RESIDENTIAL_SINGLEFAMILY_GAL]:[OTHER_GAL]])</f>
        <v>171057050.84</v>
      </c>
      <c r="W1933">
        <f>SUM(POTABLE_NONPOTABLE_API[[#This Row],[NONPOTABLE_DEMAND_RESIDENTIAL_RECYCLED_WATER_GAL]:[NONPOTABLE_DEMAND_NONRESIDENTIAL_METERED_IRRIGATION_GAL]])</f>
        <v>766431.63764000009</v>
      </c>
      <c r="X1933" t="str">
        <f>IFERROR(INDEX(Crosswalk_API!$H$2:$H$527, MATCH(POTABLE_NONPOTABLE_API[[#This Row],[PWSID]], CW_PWSID_LIST, 0)), "")</f>
        <v>No</v>
      </c>
    </row>
    <row r="1934" spans="1:24" x14ac:dyDescent="0.25">
      <c r="A1934" t="s">
        <v>1267</v>
      </c>
      <c r="B1934" t="s">
        <v>1268</v>
      </c>
      <c r="C1934" t="s">
        <v>1269</v>
      </c>
      <c r="D1934" t="s">
        <v>1270</v>
      </c>
      <c r="E1934" s="9">
        <v>45108</v>
      </c>
      <c r="F1934" s="9">
        <v>45138</v>
      </c>
      <c r="G1934">
        <v>57703235.175999999</v>
      </c>
      <c r="H1934">
        <v>73372680.420000002</v>
      </c>
      <c r="I1934">
        <v>24102235.440000001</v>
      </c>
      <c r="J1934">
        <v>37170703.880000003</v>
      </c>
      <c r="K1934">
        <v>0</v>
      </c>
      <c r="L1934">
        <v>4767335.3959999997</v>
      </c>
      <c r="M1934">
        <v>0</v>
      </c>
      <c r="N1934">
        <v>0</v>
      </c>
      <c r="O1934">
        <v>0</v>
      </c>
      <c r="Q1934">
        <v>75747975.162</v>
      </c>
      <c r="R1934">
        <v>0</v>
      </c>
      <c r="T1934" s="9">
        <v>45108</v>
      </c>
      <c r="U1934" s="9">
        <v>45473</v>
      </c>
      <c r="V1934">
        <f>SUM(POTABLE_NONPOTABLE_API[[#This Row],[RESIDENTIAL_SINGLEFAMILY_GAL]:[OTHER_GAL]])</f>
        <v>197116190.31200001</v>
      </c>
      <c r="W1934">
        <f>SUM(POTABLE_NONPOTABLE_API[[#This Row],[NONPOTABLE_DEMAND_RESIDENTIAL_RECYCLED_WATER_GAL]:[NONPOTABLE_DEMAND_NONRESIDENTIAL_METERED_IRRIGATION_GAL]])</f>
        <v>75747975.162</v>
      </c>
      <c r="X1934" t="str">
        <f>IFERROR(INDEX(Crosswalk_API!$H$2:$H$527, MATCH(POTABLE_NONPOTABLE_API[[#This Row],[PWSID]], CW_PWSID_LIST, 0)), "")</f>
        <v>No</v>
      </c>
    </row>
    <row r="1935" spans="1:24" x14ac:dyDescent="0.25">
      <c r="A1935" t="s">
        <v>1267</v>
      </c>
      <c r="B1935" t="s">
        <v>1268</v>
      </c>
      <c r="C1935" t="s">
        <v>1269</v>
      </c>
      <c r="D1935" t="s">
        <v>1270</v>
      </c>
      <c r="E1935" s="9">
        <v>45139</v>
      </c>
      <c r="F1935" s="9">
        <v>45169</v>
      </c>
      <c r="G1935">
        <v>56768170.175999999</v>
      </c>
      <c r="H1935">
        <v>86456109.900000006</v>
      </c>
      <c r="I1935">
        <v>26907430.440000001</v>
      </c>
      <c r="J1935">
        <v>47974070.864</v>
      </c>
      <c r="K1935">
        <v>0</v>
      </c>
      <c r="L1935">
        <v>1793828.696</v>
      </c>
      <c r="M1935">
        <v>0</v>
      </c>
      <c r="N1935">
        <v>0</v>
      </c>
      <c r="O1935">
        <v>0</v>
      </c>
      <c r="Q1935">
        <v>55183192.700999998</v>
      </c>
      <c r="R1935">
        <v>0</v>
      </c>
      <c r="T1935" s="9">
        <v>45108</v>
      </c>
      <c r="U1935" s="9">
        <v>45473</v>
      </c>
      <c r="V1935">
        <f>SUM(POTABLE_NONPOTABLE_API[[#This Row],[RESIDENTIAL_SINGLEFAMILY_GAL]:[OTHER_GAL]])</f>
        <v>219899610.07600001</v>
      </c>
      <c r="W1935">
        <f>SUM(POTABLE_NONPOTABLE_API[[#This Row],[NONPOTABLE_DEMAND_RESIDENTIAL_RECYCLED_WATER_GAL]:[NONPOTABLE_DEMAND_NONRESIDENTIAL_METERED_IRRIGATION_GAL]])</f>
        <v>55183192.700999998</v>
      </c>
      <c r="X1935" t="str">
        <f>IFERROR(INDEX(Crosswalk_API!$H$2:$H$527, MATCH(POTABLE_NONPOTABLE_API[[#This Row],[PWSID]], CW_PWSID_LIST, 0)), "")</f>
        <v>No</v>
      </c>
    </row>
    <row r="1936" spans="1:24" x14ac:dyDescent="0.25">
      <c r="A1936" t="s">
        <v>1267</v>
      </c>
      <c r="B1936" t="s">
        <v>1268</v>
      </c>
      <c r="C1936" t="s">
        <v>1269</v>
      </c>
      <c r="D1936" t="s">
        <v>1270</v>
      </c>
      <c r="E1936" s="9">
        <v>45170</v>
      </c>
      <c r="F1936" s="9">
        <v>45199</v>
      </c>
      <c r="G1936">
        <v>57020263.700000003</v>
      </c>
      <c r="H1936">
        <v>76554893.628000006</v>
      </c>
      <c r="I1936">
        <v>25197383.568</v>
      </c>
      <c r="J1936">
        <v>39896605.368000001</v>
      </c>
      <c r="K1936">
        <v>0</v>
      </c>
      <c r="L1936">
        <v>658285.76</v>
      </c>
      <c r="M1936">
        <v>0</v>
      </c>
      <c r="N1936">
        <v>0</v>
      </c>
      <c r="O1936">
        <v>0</v>
      </c>
      <c r="Q1936">
        <v>47660922.365999997</v>
      </c>
      <c r="R1936">
        <v>0</v>
      </c>
      <c r="T1936" s="9">
        <v>45108</v>
      </c>
      <c r="U1936" s="9">
        <v>45473</v>
      </c>
      <c r="V1936">
        <f>SUM(POTABLE_NONPOTABLE_API[[#This Row],[RESIDENTIAL_SINGLEFAMILY_GAL]:[OTHER_GAL]])</f>
        <v>199327432.02399999</v>
      </c>
      <c r="W1936">
        <f>SUM(POTABLE_NONPOTABLE_API[[#This Row],[NONPOTABLE_DEMAND_RESIDENTIAL_RECYCLED_WATER_GAL]:[NONPOTABLE_DEMAND_NONRESIDENTIAL_METERED_IRRIGATION_GAL]])</f>
        <v>47660922.365999997</v>
      </c>
      <c r="X1936" t="str">
        <f>IFERROR(INDEX(Crosswalk_API!$H$2:$H$527, MATCH(POTABLE_NONPOTABLE_API[[#This Row],[PWSID]], CW_PWSID_LIST, 0)), "")</f>
        <v>No</v>
      </c>
    </row>
    <row r="1937" spans="1:24" x14ac:dyDescent="0.25">
      <c r="A1937" t="s">
        <v>1267</v>
      </c>
      <c r="B1937" t="s">
        <v>1268</v>
      </c>
      <c r="C1937" t="s">
        <v>1269</v>
      </c>
      <c r="D1937" t="s">
        <v>1270</v>
      </c>
      <c r="E1937" s="9">
        <v>45200</v>
      </c>
      <c r="F1937" s="9">
        <v>45230</v>
      </c>
      <c r="G1937">
        <v>49486632.008000001</v>
      </c>
      <c r="H1937">
        <v>69937625.636000007</v>
      </c>
      <c r="I1937">
        <v>23658640.604000002</v>
      </c>
      <c r="J1937">
        <v>31356095.684</v>
      </c>
      <c r="K1937">
        <v>0</v>
      </c>
      <c r="L1937">
        <v>1312831.26</v>
      </c>
      <c r="M1937">
        <v>0</v>
      </c>
      <c r="N1937">
        <v>0</v>
      </c>
      <c r="O1937">
        <v>0</v>
      </c>
      <c r="Q1937">
        <v>38729020.605000004</v>
      </c>
      <c r="R1937">
        <v>0</v>
      </c>
      <c r="T1937" s="9">
        <v>45108</v>
      </c>
      <c r="U1937" s="9">
        <v>45473</v>
      </c>
      <c r="V1937">
        <f>SUM(POTABLE_NONPOTABLE_API[[#This Row],[RESIDENTIAL_SINGLEFAMILY_GAL]:[OTHER_GAL]])</f>
        <v>175751825.19200003</v>
      </c>
      <c r="W1937">
        <f>SUM(POTABLE_NONPOTABLE_API[[#This Row],[NONPOTABLE_DEMAND_RESIDENTIAL_RECYCLED_WATER_GAL]:[NONPOTABLE_DEMAND_NONRESIDENTIAL_METERED_IRRIGATION_GAL]])</f>
        <v>38729020.605000004</v>
      </c>
      <c r="X1937" t="str">
        <f>IFERROR(INDEX(Crosswalk_API!$H$2:$H$527, MATCH(POTABLE_NONPOTABLE_API[[#This Row],[PWSID]], CW_PWSID_LIST, 0)), "")</f>
        <v>No</v>
      </c>
    </row>
    <row r="1938" spans="1:24" x14ac:dyDescent="0.25">
      <c r="A1938" t="s">
        <v>1267</v>
      </c>
      <c r="B1938" t="s">
        <v>1268</v>
      </c>
      <c r="C1938" t="s">
        <v>1269</v>
      </c>
      <c r="D1938" t="s">
        <v>1270</v>
      </c>
      <c r="E1938" s="9">
        <v>45231</v>
      </c>
      <c r="F1938" s="9">
        <v>45260</v>
      </c>
      <c r="G1938">
        <v>50799463.267999999</v>
      </c>
      <c r="H1938">
        <v>66495090.332000002</v>
      </c>
      <c r="I1938">
        <v>24784458.864</v>
      </c>
      <c r="J1938">
        <v>27434807.100000001</v>
      </c>
      <c r="K1938">
        <v>0</v>
      </c>
      <c r="L1938">
        <v>528872.76399999997</v>
      </c>
      <c r="M1938">
        <v>0</v>
      </c>
      <c r="N1938">
        <v>0</v>
      </c>
      <c r="O1938">
        <v>0</v>
      </c>
      <c r="Q1938">
        <v>32185932.525000002</v>
      </c>
      <c r="R1938">
        <v>0</v>
      </c>
      <c r="T1938" s="9">
        <v>45108</v>
      </c>
      <c r="U1938" s="9">
        <v>45473</v>
      </c>
      <c r="V1938">
        <f>SUM(POTABLE_NONPOTABLE_API[[#This Row],[RESIDENTIAL_SINGLEFAMILY_GAL]:[OTHER_GAL]])</f>
        <v>170042692.32799998</v>
      </c>
      <c r="W1938">
        <f>SUM(POTABLE_NONPOTABLE_API[[#This Row],[NONPOTABLE_DEMAND_RESIDENTIAL_RECYCLED_WATER_GAL]:[NONPOTABLE_DEMAND_NONRESIDENTIAL_METERED_IRRIGATION_GAL]])</f>
        <v>32185932.525000002</v>
      </c>
      <c r="X1938" t="str">
        <f>IFERROR(INDEX(Crosswalk_API!$H$2:$H$527, MATCH(POTABLE_NONPOTABLE_API[[#This Row],[PWSID]], CW_PWSID_LIST, 0)), "")</f>
        <v>No</v>
      </c>
    </row>
    <row r="1939" spans="1:24" x14ac:dyDescent="0.25">
      <c r="A1939" t="s">
        <v>1267</v>
      </c>
      <c r="B1939" t="s">
        <v>1268</v>
      </c>
      <c r="C1939" t="s">
        <v>1269</v>
      </c>
      <c r="D1939" t="s">
        <v>1270</v>
      </c>
      <c r="E1939" s="9">
        <v>45261</v>
      </c>
      <c r="F1939" s="9">
        <v>45291</v>
      </c>
      <c r="G1939">
        <v>41240854.811999999</v>
      </c>
      <c r="H1939">
        <v>63986123.924000002</v>
      </c>
      <c r="I1939">
        <v>19783731.243999999</v>
      </c>
      <c r="J1939">
        <v>24514412.092</v>
      </c>
      <c r="K1939">
        <v>0</v>
      </c>
      <c r="L1939">
        <v>288748.07199999999</v>
      </c>
      <c r="M1939">
        <v>0</v>
      </c>
      <c r="N1939">
        <v>0</v>
      </c>
      <c r="O1939">
        <v>0</v>
      </c>
      <c r="Q1939">
        <v>8569555.4489999991</v>
      </c>
      <c r="R1939">
        <v>0</v>
      </c>
      <c r="T1939" s="9">
        <v>45108</v>
      </c>
      <c r="U1939" s="9">
        <v>45473</v>
      </c>
      <c r="V1939">
        <f>SUM(POTABLE_NONPOTABLE_API[[#This Row],[RESIDENTIAL_SINGLEFAMILY_GAL]:[OTHER_GAL]])</f>
        <v>149813870.14399999</v>
      </c>
      <c r="W1939">
        <f>SUM(POTABLE_NONPOTABLE_API[[#This Row],[NONPOTABLE_DEMAND_RESIDENTIAL_RECYCLED_WATER_GAL]:[NONPOTABLE_DEMAND_NONRESIDENTIAL_METERED_IRRIGATION_GAL]])</f>
        <v>8569555.4489999991</v>
      </c>
      <c r="X1939" t="str">
        <f>IFERROR(INDEX(Crosswalk_API!$H$2:$H$527, MATCH(POTABLE_NONPOTABLE_API[[#This Row],[PWSID]], CW_PWSID_LIST, 0)), "")</f>
        <v>No</v>
      </c>
    </row>
    <row r="1940" spans="1:24" x14ac:dyDescent="0.25">
      <c r="A1940" t="s">
        <v>1267</v>
      </c>
      <c r="B1940" t="s">
        <v>1268</v>
      </c>
      <c r="C1940" t="s">
        <v>1269</v>
      </c>
      <c r="D1940" t="s">
        <v>1270</v>
      </c>
      <c r="E1940" s="9">
        <v>45292</v>
      </c>
      <c r="F1940" s="9">
        <v>45322</v>
      </c>
      <c r="G1940">
        <v>36659036.311999999</v>
      </c>
      <c r="H1940">
        <v>53882933.612000003</v>
      </c>
      <c r="I1940">
        <v>17576229.791999999</v>
      </c>
      <c r="J1940">
        <v>9233953.8880000003</v>
      </c>
      <c r="K1940">
        <v>0</v>
      </c>
      <c r="L1940">
        <v>383002.62400000001</v>
      </c>
      <c r="M1940">
        <v>0</v>
      </c>
      <c r="N1940">
        <v>0</v>
      </c>
      <c r="O1940">
        <v>0</v>
      </c>
      <c r="Q1940">
        <v>3858727.5420000004</v>
      </c>
      <c r="R1940">
        <v>0</v>
      </c>
      <c r="T1940" s="9">
        <v>45108</v>
      </c>
      <c r="U1940" s="9">
        <v>45473</v>
      </c>
      <c r="V1940">
        <f>SUM(POTABLE_NONPOTABLE_API[[#This Row],[RESIDENTIAL_SINGLEFAMILY_GAL]:[OTHER_GAL]])</f>
        <v>117735156.22799999</v>
      </c>
      <c r="W1940">
        <f>SUM(POTABLE_NONPOTABLE_API[[#This Row],[NONPOTABLE_DEMAND_RESIDENTIAL_RECYCLED_WATER_GAL]:[NONPOTABLE_DEMAND_NONRESIDENTIAL_METERED_IRRIGATION_GAL]])</f>
        <v>3858727.5420000004</v>
      </c>
      <c r="X1940" t="str">
        <f>IFERROR(INDEX(Crosswalk_API!$H$2:$H$527, MATCH(POTABLE_NONPOTABLE_API[[#This Row],[PWSID]], CW_PWSID_LIST, 0)), "")</f>
        <v>No</v>
      </c>
    </row>
    <row r="1941" spans="1:24" x14ac:dyDescent="0.25">
      <c r="A1941" t="s">
        <v>1267</v>
      </c>
      <c r="B1941" t="s">
        <v>1268</v>
      </c>
      <c r="C1941" t="s">
        <v>1269</v>
      </c>
      <c r="D1941" t="s">
        <v>1270</v>
      </c>
      <c r="E1941" s="9">
        <v>45323</v>
      </c>
      <c r="F1941" s="9">
        <v>45351</v>
      </c>
      <c r="G1941">
        <v>34571223.18</v>
      </c>
      <c r="H1941">
        <v>54207588.18</v>
      </c>
      <c r="I1941">
        <v>19552583.175999999</v>
      </c>
      <c r="J1941">
        <v>4204800.2920000004</v>
      </c>
      <c r="K1941">
        <v>0</v>
      </c>
      <c r="L1941">
        <v>192997.416</v>
      </c>
      <c r="M1941">
        <v>0</v>
      </c>
      <c r="N1941">
        <v>0</v>
      </c>
      <c r="O1941">
        <v>0</v>
      </c>
      <c r="Q1941">
        <v>1272448.155</v>
      </c>
      <c r="R1941">
        <v>0</v>
      </c>
      <c r="T1941" s="9">
        <v>45108</v>
      </c>
      <c r="U1941" s="9">
        <v>45473</v>
      </c>
      <c r="V1941">
        <f>SUM(POTABLE_NONPOTABLE_API[[#This Row],[RESIDENTIAL_SINGLEFAMILY_GAL]:[OTHER_GAL]])</f>
        <v>112729192.24399999</v>
      </c>
      <c r="W1941">
        <f>SUM(POTABLE_NONPOTABLE_API[[#This Row],[NONPOTABLE_DEMAND_RESIDENTIAL_RECYCLED_WATER_GAL]:[NONPOTABLE_DEMAND_NONRESIDENTIAL_METERED_IRRIGATION_GAL]])</f>
        <v>1272448.155</v>
      </c>
      <c r="X1941" t="str">
        <f>IFERROR(INDEX(Crosswalk_API!$H$2:$H$527, MATCH(POTABLE_NONPOTABLE_API[[#This Row],[PWSID]], CW_PWSID_LIST, 0)), "")</f>
        <v>No</v>
      </c>
    </row>
    <row r="1942" spans="1:24" x14ac:dyDescent="0.25">
      <c r="A1942" t="s">
        <v>1267</v>
      </c>
      <c r="B1942" t="s">
        <v>1268</v>
      </c>
      <c r="C1942" t="s">
        <v>1269</v>
      </c>
      <c r="D1942" t="s">
        <v>1270</v>
      </c>
      <c r="E1942" s="9">
        <v>45352</v>
      </c>
      <c r="F1942" s="9">
        <v>45382</v>
      </c>
      <c r="G1942">
        <v>31588739.856000002</v>
      </c>
      <c r="H1942">
        <v>49746206.052000001</v>
      </c>
      <c r="I1942">
        <v>16683803.756000001</v>
      </c>
      <c r="J1942">
        <v>2945080.7239999999</v>
      </c>
      <c r="K1942">
        <v>0</v>
      </c>
      <c r="L1942">
        <v>460800.03200000001</v>
      </c>
      <c r="M1942">
        <v>0</v>
      </c>
      <c r="N1942">
        <v>0</v>
      </c>
      <c r="O1942">
        <v>0</v>
      </c>
      <c r="Q1942">
        <v>4487945.8229999999</v>
      </c>
      <c r="R1942">
        <v>0</v>
      </c>
      <c r="T1942" s="9">
        <v>45108</v>
      </c>
      <c r="U1942" s="9">
        <v>45473</v>
      </c>
      <c r="V1942">
        <f>SUM(POTABLE_NONPOTABLE_API[[#This Row],[RESIDENTIAL_SINGLEFAMILY_GAL]:[OTHER_GAL]])</f>
        <v>101424630.42000002</v>
      </c>
      <c r="W1942">
        <f>SUM(POTABLE_NONPOTABLE_API[[#This Row],[NONPOTABLE_DEMAND_RESIDENTIAL_RECYCLED_WATER_GAL]:[NONPOTABLE_DEMAND_NONRESIDENTIAL_METERED_IRRIGATION_GAL]])</f>
        <v>4487945.8229999999</v>
      </c>
      <c r="X1942" t="str">
        <f>IFERROR(INDEX(Crosswalk_API!$H$2:$H$527, MATCH(POTABLE_NONPOTABLE_API[[#This Row],[PWSID]], CW_PWSID_LIST, 0)), "")</f>
        <v>No</v>
      </c>
    </row>
    <row r="1943" spans="1:24" x14ac:dyDescent="0.25">
      <c r="A1943" t="s">
        <v>1267</v>
      </c>
      <c r="B1943" t="s">
        <v>1268</v>
      </c>
      <c r="C1943" t="s">
        <v>1269</v>
      </c>
      <c r="D1943" t="s">
        <v>1270</v>
      </c>
      <c r="E1943" s="9">
        <v>45383</v>
      </c>
      <c r="F1943" s="9">
        <v>45412</v>
      </c>
      <c r="G1943">
        <v>35091119.32</v>
      </c>
      <c r="H1943">
        <v>50698476.248000003</v>
      </c>
      <c r="I1943">
        <v>18366920.756000001</v>
      </c>
      <c r="J1943">
        <v>6814753.7199999997</v>
      </c>
      <c r="K1943">
        <v>0</v>
      </c>
      <c r="L1943">
        <v>233392.22400000002</v>
      </c>
      <c r="M1943">
        <v>0</v>
      </c>
      <c r="N1943">
        <v>0</v>
      </c>
      <c r="O1943">
        <v>0</v>
      </c>
      <c r="Q1943">
        <v>12774010.901999999</v>
      </c>
      <c r="R1943">
        <v>0</v>
      </c>
      <c r="T1943" s="9">
        <v>45108</v>
      </c>
      <c r="U1943" s="9">
        <v>45473</v>
      </c>
      <c r="V1943">
        <f>SUM(POTABLE_NONPOTABLE_API[[#This Row],[RESIDENTIAL_SINGLEFAMILY_GAL]:[OTHER_GAL]])</f>
        <v>111204662.26800001</v>
      </c>
      <c r="W1943">
        <f>SUM(POTABLE_NONPOTABLE_API[[#This Row],[NONPOTABLE_DEMAND_RESIDENTIAL_RECYCLED_WATER_GAL]:[NONPOTABLE_DEMAND_NONRESIDENTIAL_METERED_IRRIGATION_GAL]])</f>
        <v>12774010.901999999</v>
      </c>
      <c r="X1943" t="str">
        <f>IFERROR(INDEX(Crosswalk_API!$H$2:$H$527, MATCH(POTABLE_NONPOTABLE_API[[#This Row],[PWSID]], CW_PWSID_LIST, 0)), "")</f>
        <v>No</v>
      </c>
    </row>
    <row r="1944" spans="1:24" x14ac:dyDescent="0.25">
      <c r="A1944" t="s">
        <v>1267</v>
      </c>
      <c r="B1944" t="s">
        <v>1268</v>
      </c>
      <c r="C1944" t="s">
        <v>1269</v>
      </c>
      <c r="D1944" t="s">
        <v>1270</v>
      </c>
      <c r="E1944" s="9">
        <v>45413</v>
      </c>
      <c r="F1944" s="9">
        <v>45443</v>
      </c>
      <c r="G1944">
        <v>44654216.088</v>
      </c>
      <c r="H1944">
        <v>60564534.076000005</v>
      </c>
      <c r="I1944">
        <v>22432583.376000002</v>
      </c>
      <c r="J1944">
        <v>18304832.440000001</v>
      </c>
      <c r="K1944">
        <v>0</v>
      </c>
      <c r="L1944">
        <v>410680.54800000001</v>
      </c>
      <c r="M1944">
        <v>0</v>
      </c>
      <c r="N1944">
        <v>0</v>
      </c>
      <c r="O1944">
        <v>0</v>
      </c>
      <c r="P1944">
        <v>0</v>
      </c>
      <c r="Q1944">
        <v>44609001.899999999</v>
      </c>
      <c r="R1944">
        <v>0</v>
      </c>
      <c r="T1944" s="9">
        <v>45108</v>
      </c>
      <c r="U1944" s="9">
        <v>45473</v>
      </c>
      <c r="V1944">
        <f>SUM(POTABLE_NONPOTABLE_API[[#This Row],[RESIDENTIAL_SINGLEFAMILY_GAL]:[OTHER_GAL]])</f>
        <v>146366846.52800003</v>
      </c>
      <c r="W1944">
        <f>SUM(POTABLE_NONPOTABLE_API[[#This Row],[NONPOTABLE_DEMAND_RESIDENTIAL_RECYCLED_WATER_GAL]:[NONPOTABLE_DEMAND_NONRESIDENTIAL_METERED_IRRIGATION_GAL]])</f>
        <v>44609001.899999999</v>
      </c>
      <c r="X1944" t="str">
        <f>IFERROR(INDEX(Crosswalk_API!$H$2:$H$527, MATCH(POTABLE_NONPOTABLE_API[[#This Row],[PWSID]], CW_PWSID_LIST, 0)), "")</f>
        <v>No</v>
      </c>
    </row>
    <row r="1945" spans="1:24" x14ac:dyDescent="0.25">
      <c r="A1945" t="s">
        <v>1267</v>
      </c>
      <c r="B1945" t="s">
        <v>1268</v>
      </c>
      <c r="C1945" t="s">
        <v>1269</v>
      </c>
      <c r="D1945" t="s">
        <v>1270</v>
      </c>
      <c r="E1945" s="9">
        <v>45444</v>
      </c>
      <c r="F1945" s="9">
        <v>45473</v>
      </c>
      <c r="G1945">
        <v>51574445.140000001</v>
      </c>
      <c r="H1945">
        <v>72764514.144000009</v>
      </c>
      <c r="I1945">
        <v>23377373.052000001</v>
      </c>
      <c r="J1945">
        <v>30919981.368000001</v>
      </c>
      <c r="K1945">
        <v>0</v>
      </c>
      <c r="L1945">
        <v>510919.516</v>
      </c>
      <c r="M1945">
        <v>0</v>
      </c>
      <c r="N1945">
        <v>0</v>
      </c>
      <c r="O1945">
        <v>0</v>
      </c>
      <c r="P1945">
        <v>0</v>
      </c>
      <c r="Q1945">
        <v>57702672.633000001</v>
      </c>
      <c r="R1945">
        <v>0</v>
      </c>
      <c r="T1945" s="9">
        <v>45108</v>
      </c>
      <c r="U1945" s="9">
        <v>45473</v>
      </c>
      <c r="V1945">
        <f>SUM(POTABLE_NONPOTABLE_API[[#This Row],[RESIDENTIAL_SINGLEFAMILY_GAL]:[OTHER_GAL]])</f>
        <v>179147233.22000003</v>
      </c>
      <c r="W1945">
        <f>SUM(POTABLE_NONPOTABLE_API[[#This Row],[NONPOTABLE_DEMAND_RESIDENTIAL_RECYCLED_WATER_GAL]:[NONPOTABLE_DEMAND_NONRESIDENTIAL_METERED_IRRIGATION_GAL]])</f>
        <v>57702672.633000001</v>
      </c>
      <c r="X1945" t="str">
        <f>IFERROR(INDEX(Crosswalk_API!$H$2:$H$527, MATCH(POTABLE_NONPOTABLE_API[[#This Row],[PWSID]], CW_PWSID_LIST, 0)), "")</f>
        <v>No</v>
      </c>
    </row>
    <row r="1946" spans="1:24" x14ac:dyDescent="0.25">
      <c r="A1946" t="s">
        <v>1271</v>
      </c>
      <c r="B1946" t="s">
        <v>1272</v>
      </c>
      <c r="C1946" t="s">
        <v>1273</v>
      </c>
      <c r="D1946" t="s">
        <v>1274</v>
      </c>
      <c r="E1946" s="9">
        <v>45108</v>
      </c>
      <c r="F1946" s="9">
        <v>45138</v>
      </c>
      <c r="G1946">
        <v>187529584</v>
      </c>
      <c r="H1946">
        <v>0</v>
      </c>
      <c r="I1946">
        <v>63418432</v>
      </c>
      <c r="J1946">
        <v>0</v>
      </c>
      <c r="K1946">
        <v>0</v>
      </c>
      <c r="L1946">
        <v>0</v>
      </c>
      <c r="M1946">
        <v>0</v>
      </c>
      <c r="T1946" s="9">
        <v>45108</v>
      </c>
      <c r="U1946" s="9">
        <v>45473</v>
      </c>
      <c r="V1946">
        <f>SUM(POTABLE_NONPOTABLE_API[[#This Row],[RESIDENTIAL_SINGLEFAMILY_GAL]:[OTHER_GAL]])</f>
        <v>250948016</v>
      </c>
      <c r="W1946">
        <f>SUM(POTABLE_NONPOTABLE_API[[#This Row],[NONPOTABLE_DEMAND_RESIDENTIAL_RECYCLED_WATER_GAL]:[NONPOTABLE_DEMAND_NONRESIDENTIAL_METERED_IRRIGATION_GAL]])</f>
        <v>0</v>
      </c>
      <c r="X1946" t="str">
        <f>IFERROR(INDEX(Crosswalk_API!$H$2:$H$527, MATCH(POTABLE_NONPOTABLE_API[[#This Row],[PWSID]], CW_PWSID_LIST, 0)), "")</f>
        <v>No</v>
      </c>
    </row>
    <row r="1947" spans="1:24" x14ac:dyDescent="0.25">
      <c r="A1947" t="s">
        <v>1271</v>
      </c>
      <c r="B1947" t="s">
        <v>1272</v>
      </c>
      <c r="C1947" t="s">
        <v>1273</v>
      </c>
      <c r="D1947" t="s">
        <v>1274</v>
      </c>
      <c r="E1947" s="9">
        <v>45139</v>
      </c>
      <c r="F1947" s="9">
        <v>45169</v>
      </c>
      <c r="G1947">
        <v>192571852</v>
      </c>
      <c r="H1947">
        <v>0</v>
      </c>
      <c r="I1947">
        <v>66866712</v>
      </c>
      <c r="J1947">
        <v>0</v>
      </c>
      <c r="K1947">
        <v>0</v>
      </c>
      <c r="L1947">
        <v>0</v>
      </c>
      <c r="M1947">
        <v>0</v>
      </c>
      <c r="T1947" s="9">
        <v>45108</v>
      </c>
      <c r="U1947" s="9">
        <v>45473</v>
      </c>
      <c r="V1947">
        <f>SUM(POTABLE_NONPOTABLE_API[[#This Row],[RESIDENTIAL_SINGLEFAMILY_GAL]:[OTHER_GAL]])</f>
        <v>259438564</v>
      </c>
      <c r="W1947">
        <f>SUM(POTABLE_NONPOTABLE_API[[#This Row],[NONPOTABLE_DEMAND_RESIDENTIAL_RECYCLED_WATER_GAL]:[NONPOTABLE_DEMAND_NONRESIDENTIAL_METERED_IRRIGATION_GAL]])</f>
        <v>0</v>
      </c>
      <c r="X1947" t="str">
        <f>IFERROR(INDEX(Crosswalk_API!$H$2:$H$527, MATCH(POTABLE_NONPOTABLE_API[[#This Row],[PWSID]], CW_PWSID_LIST, 0)), "")</f>
        <v>No</v>
      </c>
    </row>
    <row r="1948" spans="1:24" x14ac:dyDescent="0.25">
      <c r="A1948" t="s">
        <v>1271</v>
      </c>
      <c r="B1948" t="s">
        <v>1272</v>
      </c>
      <c r="C1948" t="s">
        <v>1273</v>
      </c>
      <c r="D1948" t="s">
        <v>1274</v>
      </c>
      <c r="E1948" s="9">
        <v>45170</v>
      </c>
      <c r="F1948" s="9">
        <v>45199</v>
      </c>
      <c r="G1948">
        <v>179312056</v>
      </c>
      <c r="H1948">
        <v>0</v>
      </c>
      <c r="I1948">
        <v>61128804</v>
      </c>
      <c r="J1948">
        <v>0</v>
      </c>
      <c r="K1948">
        <v>0</v>
      </c>
      <c r="L1948">
        <v>0</v>
      </c>
      <c r="M1948">
        <v>0</v>
      </c>
      <c r="T1948" s="9">
        <v>45108</v>
      </c>
      <c r="U1948" s="9">
        <v>45473</v>
      </c>
      <c r="V1948">
        <f>SUM(POTABLE_NONPOTABLE_API[[#This Row],[RESIDENTIAL_SINGLEFAMILY_GAL]:[OTHER_GAL]])</f>
        <v>240440860</v>
      </c>
      <c r="W1948">
        <f>SUM(POTABLE_NONPOTABLE_API[[#This Row],[NONPOTABLE_DEMAND_RESIDENTIAL_RECYCLED_WATER_GAL]:[NONPOTABLE_DEMAND_NONRESIDENTIAL_METERED_IRRIGATION_GAL]])</f>
        <v>0</v>
      </c>
      <c r="X1948" t="str">
        <f>IFERROR(INDEX(Crosswalk_API!$H$2:$H$527, MATCH(POTABLE_NONPOTABLE_API[[#This Row],[PWSID]], CW_PWSID_LIST, 0)), "")</f>
        <v>No</v>
      </c>
    </row>
    <row r="1949" spans="1:24" x14ac:dyDescent="0.25">
      <c r="A1949" t="s">
        <v>1271</v>
      </c>
      <c r="B1949" t="s">
        <v>1272</v>
      </c>
      <c r="C1949" t="s">
        <v>1273</v>
      </c>
      <c r="D1949" t="s">
        <v>1274</v>
      </c>
      <c r="E1949" s="9">
        <v>45200</v>
      </c>
      <c r="F1949" s="9">
        <v>45230</v>
      </c>
      <c r="G1949">
        <v>158536356</v>
      </c>
      <c r="H1949">
        <v>0</v>
      </c>
      <c r="I1949">
        <v>47078372</v>
      </c>
      <c r="J1949">
        <v>0</v>
      </c>
      <c r="K1949">
        <v>0</v>
      </c>
      <c r="L1949">
        <v>0</v>
      </c>
      <c r="M1949">
        <v>0</v>
      </c>
      <c r="T1949" s="9">
        <v>45108</v>
      </c>
      <c r="U1949" s="9">
        <v>45473</v>
      </c>
      <c r="V1949">
        <f>SUM(POTABLE_NONPOTABLE_API[[#This Row],[RESIDENTIAL_SINGLEFAMILY_GAL]:[OTHER_GAL]])</f>
        <v>205614728</v>
      </c>
      <c r="W1949">
        <f>SUM(POTABLE_NONPOTABLE_API[[#This Row],[NONPOTABLE_DEMAND_RESIDENTIAL_RECYCLED_WATER_GAL]:[NONPOTABLE_DEMAND_NONRESIDENTIAL_METERED_IRRIGATION_GAL]])</f>
        <v>0</v>
      </c>
      <c r="X1949" t="str">
        <f>IFERROR(INDEX(Crosswalk_API!$H$2:$H$527, MATCH(POTABLE_NONPOTABLE_API[[#This Row],[PWSID]], CW_PWSID_LIST, 0)), "")</f>
        <v>No</v>
      </c>
    </row>
    <row r="1950" spans="1:24" x14ac:dyDescent="0.25">
      <c r="A1950" t="s">
        <v>1271</v>
      </c>
      <c r="B1950" t="s">
        <v>1272</v>
      </c>
      <c r="C1950" t="s">
        <v>1273</v>
      </c>
      <c r="D1950" t="s">
        <v>1274</v>
      </c>
      <c r="E1950" s="9">
        <v>45231</v>
      </c>
      <c r="F1950" s="9">
        <v>45260</v>
      </c>
      <c r="G1950">
        <v>132330924</v>
      </c>
      <c r="H1950">
        <v>0</v>
      </c>
      <c r="I1950">
        <v>34840344</v>
      </c>
      <c r="J1950">
        <v>0</v>
      </c>
      <c r="K1950">
        <v>0</v>
      </c>
      <c r="L1950">
        <v>0</v>
      </c>
      <c r="M1950">
        <v>0</v>
      </c>
      <c r="T1950" s="9">
        <v>45108</v>
      </c>
      <c r="U1950" s="9">
        <v>45473</v>
      </c>
      <c r="V1950">
        <f>SUM(POTABLE_NONPOTABLE_API[[#This Row],[RESIDENTIAL_SINGLEFAMILY_GAL]:[OTHER_GAL]])</f>
        <v>167171268</v>
      </c>
      <c r="W1950">
        <f>SUM(POTABLE_NONPOTABLE_API[[#This Row],[NONPOTABLE_DEMAND_RESIDENTIAL_RECYCLED_WATER_GAL]:[NONPOTABLE_DEMAND_NONRESIDENTIAL_METERED_IRRIGATION_GAL]])</f>
        <v>0</v>
      </c>
      <c r="X1950" t="str">
        <f>IFERROR(INDEX(Crosswalk_API!$H$2:$H$527, MATCH(POTABLE_NONPOTABLE_API[[#This Row],[PWSID]], CW_PWSID_LIST, 0)), "")</f>
        <v>No</v>
      </c>
    </row>
    <row r="1951" spans="1:24" x14ac:dyDescent="0.25">
      <c r="A1951" t="s">
        <v>1271</v>
      </c>
      <c r="B1951" t="s">
        <v>1272</v>
      </c>
      <c r="C1951" t="s">
        <v>1273</v>
      </c>
      <c r="D1951" t="s">
        <v>1274</v>
      </c>
      <c r="E1951" s="9">
        <v>45261</v>
      </c>
      <c r="F1951" s="9">
        <v>45291</v>
      </c>
      <c r="G1951">
        <v>96797932</v>
      </c>
      <c r="H1951">
        <v>0</v>
      </c>
      <c r="I1951">
        <v>21454136</v>
      </c>
      <c r="J1951">
        <v>0</v>
      </c>
      <c r="K1951">
        <v>0</v>
      </c>
      <c r="L1951">
        <v>0</v>
      </c>
      <c r="M1951">
        <v>0</v>
      </c>
      <c r="T1951" s="9">
        <v>45108</v>
      </c>
      <c r="U1951" s="9">
        <v>45473</v>
      </c>
      <c r="V1951">
        <f>SUM(POTABLE_NONPOTABLE_API[[#This Row],[RESIDENTIAL_SINGLEFAMILY_GAL]:[OTHER_GAL]])</f>
        <v>118252068</v>
      </c>
      <c r="W1951">
        <f>SUM(POTABLE_NONPOTABLE_API[[#This Row],[NONPOTABLE_DEMAND_RESIDENTIAL_RECYCLED_WATER_GAL]:[NONPOTABLE_DEMAND_NONRESIDENTIAL_METERED_IRRIGATION_GAL]])</f>
        <v>0</v>
      </c>
      <c r="X1951" t="str">
        <f>IFERROR(INDEX(Crosswalk_API!$H$2:$H$527, MATCH(POTABLE_NONPOTABLE_API[[#This Row],[PWSID]], CW_PWSID_LIST, 0)), "")</f>
        <v>No</v>
      </c>
    </row>
    <row r="1952" spans="1:24" x14ac:dyDescent="0.25">
      <c r="A1952" t="s">
        <v>1271</v>
      </c>
      <c r="B1952" t="s">
        <v>1272</v>
      </c>
      <c r="C1952" t="s">
        <v>1273</v>
      </c>
      <c r="D1952" t="s">
        <v>1274</v>
      </c>
      <c r="E1952" s="9">
        <v>45292</v>
      </c>
      <c r="F1952" s="9">
        <v>45322</v>
      </c>
      <c r="G1952">
        <v>78891560</v>
      </c>
      <c r="H1952">
        <v>0</v>
      </c>
      <c r="I1952">
        <v>17982668</v>
      </c>
      <c r="J1952">
        <v>0</v>
      </c>
      <c r="K1952">
        <v>0</v>
      </c>
      <c r="L1952">
        <v>0</v>
      </c>
      <c r="M1952">
        <v>0</v>
      </c>
      <c r="T1952" s="9">
        <v>45108</v>
      </c>
      <c r="U1952" s="9">
        <v>45473</v>
      </c>
      <c r="V1952">
        <f>SUM(POTABLE_NONPOTABLE_API[[#This Row],[RESIDENTIAL_SINGLEFAMILY_GAL]:[OTHER_GAL]])</f>
        <v>96874228</v>
      </c>
      <c r="W1952">
        <f>SUM(POTABLE_NONPOTABLE_API[[#This Row],[NONPOTABLE_DEMAND_RESIDENTIAL_RECYCLED_WATER_GAL]:[NONPOTABLE_DEMAND_NONRESIDENTIAL_METERED_IRRIGATION_GAL]])</f>
        <v>0</v>
      </c>
      <c r="X1952" t="str">
        <f>IFERROR(INDEX(Crosswalk_API!$H$2:$H$527, MATCH(POTABLE_NONPOTABLE_API[[#This Row],[PWSID]], CW_PWSID_LIST, 0)), "")</f>
        <v>No</v>
      </c>
    </row>
    <row r="1953" spans="1:24" x14ac:dyDescent="0.25">
      <c r="A1953" t="s">
        <v>1271</v>
      </c>
      <c r="B1953" t="s">
        <v>1272</v>
      </c>
      <c r="C1953" t="s">
        <v>1273</v>
      </c>
      <c r="D1953" t="s">
        <v>1274</v>
      </c>
      <c r="E1953" s="9">
        <v>45323</v>
      </c>
      <c r="F1953" s="9">
        <v>45351</v>
      </c>
      <c r="G1953">
        <v>71393608</v>
      </c>
      <c r="H1953">
        <v>0</v>
      </c>
      <c r="I1953">
        <v>15378132</v>
      </c>
      <c r="J1953">
        <v>0</v>
      </c>
      <c r="K1953">
        <v>0</v>
      </c>
      <c r="L1953">
        <v>0</v>
      </c>
      <c r="M1953">
        <v>0</v>
      </c>
      <c r="T1953" s="9">
        <v>45108</v>
      </c>
      <c r="U1953" s="9">
        <v>45473</v>
      </c>
      <c r="V1953">
        <f>SUM(POTABLE_NONPOTABLE_API[[#This Row],[RESIDENTIAL_SINGLEFAMILY_GAL]:[OTHER_GAL]])</f>
        <v>86771740</v>
      </c>
      <c r="W1953">
        <f>SUM(POTABLE_NONPOTABLE_API[[#This Row],[NONPOTABLE_DEMAND_RESIDENTIAL_RECYCLED_WATER_GAL]:[NONPOTABLE_DEMAND_NONRESIDENTIAL_METERED_IRRIGATION_GAL]])</f>
        <v>0</v>
      </c>
      <c r="X1953" t="str">
        <f>IFERROR(INDEX(Crosswalk_API!$H$2:$H$527, MATCH(POTABLE_NONPOTABLE_API[[#This Row],[PWSID]], CW_PWSID_LIST, 0)), "")</f>
        <v>No</v>
      </c>
    </row>
    <row r="1954" spans="1:24" x14ac:dyDescent="0.25">
      <c r="A1954" t="s">
        <v>1271</v>
      </c>
      <c r="B1954" t="s">
        <v>1272</v>
      </c>
      <c r="C1954" t="s">
        <v>1273</v>
      </c>
      <c r="D1954" t="s">
        <v>1274</v>
      </c>
      <c r="E1954" s="9">
        <v>45352</v>
      </c>
      <c r="F1954" s="9">
        <v>45382</v>
      </c>
      <c r="G1954">
        <v>69626084</v>
      </c>
      <c r="H1954">
        <v>0</v>
      </c>
      <c r="I1954">
        <v>17569024</v>
      </c>
      <c r="J1954">
        <v>0</v>
      </c>
      <c r="K1954">
        <v>0</v>
      </c>
      <c r="L1954">
        <v>0</v>
      </c>
      <c r="M1954">
        <v>0</v>
      </c>
      <c r="T1954" s="9">
        <v>45108</v>
      </c>
      <c r="U1954" s="9">
        <v>45473</v>
      </c>
      <c r="V1954">
        <f>SUM(POTABLE_NONPOTABLE_API[[#This Row],[RESIDENTIAL_SINGLEFAMILY_GAL]:[OTHER_GAL]])</f>
        <v>87195108</v>
      </c>
      <c r="W1954">
        <f>SUM(POTABLE_NONPOTABLE_API[[#This Row],[NONPOTABLE_DEMAND_RESIDENTIAL_RECYCLED_WATER_GAL]:[NONPOTABLE_DEMAND_NONRESIDENTIAL_METERED_IRRIGATION_GAL]])</f>
        <v>0</v>
      </c>
      <c r="X1954" t="str">
        <f>IFERROR(INDEX(Crosswalk_API!$H$2:$H$527, MATCH(POTABLE_NONPOTABLE_API[[#This Row],[PWSID]], CW_PWSID_LIST, 0)), "")</f>
        <v>No</v>
      </c>
    </row>
    <row r="1955" spans="1:24" x14ac:dyDescent="0.25">
      <c r="A1955" t="s">
        <v>1271</v>
      </c>
      <c r="B1955" t="s">
        <v>1272</v>
      </c>
      <c r="C1955" t="s">
        <v>1273</v>
      </c>
      <c r="D1955" t="s">
        <v>1274</v>
      </c>
      <c r="E1955" s="9">
        <v>45383</v>
      </c>
      <c r="F1955" s="9">
        <v>45412</v>
      </c>
      <c r="G1955">
        <v>83761040</v>
      </c>
      <c r="H1955">
        <v>0</v>
      </c>
      <c r="I1955">
        <v>17684964</v>
      </c>
      <c r="J1955">
        <v>0</v>
      </c>
      <c r="K1955">
        <v>0</v>
      </c>
      <c r="L1955">
        <v>0</v>
      </c>
      <c r="M1955">
        <v>0</v>
      </c>
      <c r="T1955" s="9">
        <v>45108</v>
      </c>
      <c r="U1955" s="9">
        <v>45473</v>
      </c>
      <c r="V1955">
        <f>SUM(POTABLE_NONPOTABLE_API[[#This Row],[RESIDENTIAL_SINGLEFAMILY_GAL]:[OTHER_GAL]])</f>
        <v>101446004</v>
      </c>
      <c r="W1955">
        <f>SUM(POTABLE_NONPOTABLE_API[[#This Row],[NONPOTABLE_DEMAND_RESIDENTIAL_RECYCLED_WATER_GAL]:[NONPOTABLE_DEMAND_NONRESIDENTIAL_METERED_IRRIGATION_GAL]])</f>
        <v>0</v>
      </c>
      <c r="X1955" t="str">
        <f>IFERROR(INDEX(Crosswalk_API!$H$2:$H$527, MATCH(POTABLE_NONPOTABLE_API[[#This Row],[PWSID]], CW_PWSID_LIST, 0)), "")</f>
        <v>No</v>
      </c>
    </row>
    <row r="1956" spans="1:24" x14ac:dyDescent="0.25">
      <c r="A1956" t="s">
        <v>1271</v>
      </c>
      <c r="B1956" t="s">
        <v>1272</v>
      </c>
      <c r="C1956" t="s">
        <v>1273</v>
      </c>
      <c r="D1956" t="s">
        <v>1274</v>
      </c>
      <c r="E1956" s="9">
        <v>45413</v>
      </c>
      <c r="F1956" s="9">
        <v>45443</v>
      </c>
      <c r="G1956">
        <v>111788600</v>
      </c>
      <c r="H1956">
        <v>0</v>
      </c>
      <c r="I1956">
        <v>30469032</v>
      </c>
      <c r="J1956">
        <v>0</v>
      </c>
      <c r="K1956">
        <v>0</v>
      </c>
      <c r="L1956">
        <v>0</v>
      </c>
      <c r="M1956">
        <v>0</v>
      </c>
      <c r="T1956" s="9">
        <v>45108</v>
      </c>
      <c r="U1956" s="9">
        <v>45473</v>
      </c>
      <c r="V1956">
        <f>SUM(POTABLE_NONPOTABLE_API[[#This Row],[RESIDENTIAL_SINGLEFAMILY_GAL]:[OTHER_GAL]])</f>
        <v>142257632</v>
      </c>
      <c r="W1956">
        <f>SUM(POTABLE_NONPOTABLE_API[[#This Row],[NONPOTABLE_DEMAND_RESIDENTIAL_RECYCLED_WATER_GAL]:[NONPOTABLE_DEMAND_NONRESIDENTIAL_METERED_IRRIGATION_GAL]])</f>
        <v>0</v>
      </c>
      <c r="X1956" t="str">
        <f>IFERROR(INDEX(Crosswalk_API!$H$2:$H$527, MATCH(POTABLE_NONPOTABLE_API[[#This Row],[PWSID]], CW_PWSID_LIST, 0)), "")</f>
        <v>No</v>
      </c>
    </row>
    <row r="1957" spans="1:24" x14ac:dyDescent="0.25">
      <c r="A1957" t="s">
        <v>1271</v>
      </c>
      <c r="B1957" t="s">
        <v>1272</v>
      </c>
      <c r="C1957" t="s">
        <v>1273</v>
      </c>
      <c r="D1957" t="s">
        <v>1274</v>
      </c>
      <c r="E1957" s="9">
        <v>45444</v>
      </c>
      <c r="F1957" s="9">
        <v>45473</v>
      </c>
      <c r="G1957">
        <v>175524184</v>
      </c>
      <c r="H1957">
        <v>0</v>
      </c>
      <c r="I1957">
        <v>52226108</v>
      </c>
      <c r="J1957">
        <v>0</v>
      </c>
      <c r="K1957">
        <v>0</v>
      </c>
      <c r="L1957">
        <v>0</v>
      </c>
      <c r="M1957">
        <v>0</v>
      </c>
      <c r="T1957" s="9">
        <v>45108</v>
      </c>
      <c r="U1957" s="9">
        <v>45473</v>
      </c>
      <c r="V1957">
        <f>SUM(POTABLE_NONPOTABLE_API[[#This Row],[RESIDENTIAL_SINGLEFAMILY_GAL]:[OTHER_GAL]])</f>
        <v>227750292</v>
      </c>
      <c r="W1957">
        <f>SUM(POTABLE_NONPOTABLE_API[[#This Row],[NONPOTABLE_DEMAND_RESIDENTIAL_RECYCLED_WATER_GAL]:[NONPOTABLE_DEMAND_NONRESIDENTIAL_METERED_IRRIGATION_GAL]])</f>
        <v>0</v>
      </c>
      <c r="X1957" t="str">
        <f>IFERROR(INDEX(Crosswalk_API!$H$2:$H$527, MATCH(POTABLE_NONPOTABLE_API[[#This Row],[PWSID]], CW_PWSID_LIST, 0)), "")</f>
        <v>No</v>
      </c>
    </row>
    <row r="1958" spans="1:24" x14ac:dyDescent="0.25">
      <c r="A1958" t="s">
        <v>1275</v>
      </c>
      <c r="B1958" t="s">
        <v>1276</v>
      </c>
      <c r="C1958" t="s">
        <v>1277</v>
      </c>
      <c r="D1958" t="s">
        <v>1278</v>
      </c>
      <c r="E1958" s="9">
        <v>45108</v>
      </c>
      <c r="F1958" s="9">
        <v>45138</v>
      </c>
      <c r="G1958">
        <v>448709535.18900001</v>
      </c>
      <c r="H1958">
        <v>26912685.791999999</v>
      </c>
      <c r="I1958">
        <v>40271273.387999997</v>
      </c>
      <c r="J1958">
        <v>102970871.10599999</v>
      </c>
      <c r="K1958">
        <v>0</v>
      </c>
      <c r="L1958">
        <v>10620135.791999999</v>
      </c>
      <c r="M1958">
        <v>0</v>
      </c>
      <c r="N1958">
        <v>319333.98</v>
      </c>
      <c r="O1958">
        <v>0</v>
      </c>
      <c r="P1958">
        <v>0</v>
      </c>
      <c r="Q1958">
        <v>214419733.53</v>
      </c>
      <c r="R1958">
        <v>1912745.37</v>
      </c>
      <c r="S1958">
        <v>0</v>
      </c>
      <c r="T1958" s="9">
        <v>45108</v>
      </c>
      <c r="U1958" s="9">
        <v>45473</v>
      </c>
      <c r="V1958">
        <f>SUM(POTABLE_NONPOTABLE_API[[#This Row],[RESIDENTIAL_SINGLEFAMILY_GAL]:[OTHER_GAL]])</f>
        <v>629484501.26700008</v>
      </c>
      <c r="W1958">
        <f>SUM(POTABLE_NONPOTABLE_API[[#This Row],[NONPOTABLE_DEMAND_RESIDENTIAL_RECYCLED_WATER_GAL]:[NONPOTABLE_DEMAND_NONRESIDENTIAL_METERED_IRRIGATION_GAL]])</f>
        <v>216651812.88</v>
      </c>
      <c r="X1958" t="str">
        <f>IFERROR(INDEX(Crosswalk_API!$H$2:$H$527, MATCH(POTABLE_NONPOTABLE_API[[#This Row],[PWSID]], CW_PWSID_LIST, 0)), "")</f>
        <v>No</v>
      </c>
    </row>
    <row r="1959" spans="1:24" x14ac:dyDescent="0.25">
      <c r="A1959" t="s">
        <v>1275</v>
      </c>
      <c r="B1959" t="s">
        <v>1276</v>
      </c>
      <c r="C1959" t="s">
        <v>1277</v>
      </c>
      <c r="D1959" t="s">
        <v>1278</v>
      </c>
      <c r="E1959" s="9">
        <v>45139</v>
      </c>
      <c r="F1959" s="9">
        <v>45169</v>
      </c>
      <c r="G1959">
        <v>547384060.86000001</v>
      </c>
      <c r="H1959">
        <v>30200196.530999999</v>
      </c>
      <c r="I1959">
        <v>47818308.398999996</v>
      </c>
      <c r="J1959">
        <v>139544387.34599999</v>
      </c>
      <c r="K1959">
        <v>0</v>
      </c>
      <c r="L1959">
        <v>15763042.125</v>
      </c>
      <c r="M1959">
        <v>0</v>
      </c>
      <c r="N1959">
        <v>501810.54000000004</v>
      </c>
      <c r="O1959">
        <v>0</v>
      </c>
      <c r="P1959">
        <v>0</v>
      </c>
      <c r="Q1959">
        <v>232031980.08000001</v>
      </c>
      <c r="R1959">
        <v>2225562.33</v>
      </c>
      <c r="S1959">
        <v>0</v>
      </c>
      <c r="T1959" s="9">
        <v>45108</v>
      </c>
      <c r="U1959" s="9">
        <v>45473</v>
      </c>
      <c r="V1959">
        <f>SUM(POTABLE_NONPOTABLE_API[[#This Row],[RESIDENTIAL_SINGLEFAMILY_GAL]:[OTHER_GAL]])</f>
        <v>780709995.26100004</v>
      </c>
      <c r="W1959">
        <f>SUM(POTABLE_NONPOTABLE_API[[#This Row],[NONPOTABLE_DEMAND_RESIDENTIAL_RECYCLED_WATER_GAL]:[NONPOTABLE_DEMAND_NONRESIDENTIAL_METERED_IRRIGATION_GAL]])</f>
        <v>234759352.95000002</v>
      </c>
      <c r="X1959" t="str">
        <f>IFERROR(INDEX(Crosswalk_API!$H$2:$H$527, MATCH(POTABLE_NONPOTABLE_API[[#This Row],[PWSID]], CW_PWSID_LIST, 0)), "")</f>
        <v>No</v>
      </c>
    </row>
    <row r="1960" spans="1:24" x14ac:dyDescent="0.25">
      <c r="A1960" t="s">
        <v>1275</v>
      </c>
      <c r="B1960" t="s">
        <v>1276</v>
      </c>
      <c r="C1960" t="s">
        <v>1277</v>
      </c>
      <c r="D1960" t="s">
        <v>1278</v>
      </c>
      <c r="E1960" s="9">
        <v>45170</v>
      </c>
      <c r="F1960" s="9">
        <v>45199</v>
      </c>
      <c r="G1960">
        <v>481766467.43700004</v>
      </c>
      <c r="H1960">
        <v>28298855.946000002</v>
      </c>
      <c r="I1960">
        <v>41211027.671999998</v>
      </c>
      <c r="J1960">
        <v>124968746.265</v>
      </c>
      <c r="K1960">
        <v>0</v>
      </c>
      <c r="L1960">
        <v>14158225.950000001</v>
      </c>
      <c r="M1960">
        <v>0</v>
      </c>
      <c r="N1960">
        <v>400796.73</v>
      </c>
      <c r="O1960">
        <v>0</v>
      </c>
      <c r="P1960">
        <v>0</v>
      </c>
      <c r="Q1960">
        <v>226681506.66</v>
      </c>
      <c r="R1960">
        <v>589790.31000000006</v>
      </c>
      <c r="S1960">
        <v>0</v>
      </c>
      <c r="T1960" s="9">
        <v>45108</v>
      </c>
      <c r="U1960" s="9">
        <v>45473</v>
      </c>
      <c r="V1960">
        <f>SUM(POTABLE_NONPOTABLE_API[[#This Row],[RESIDENTIAL_SINGLEFAMILY_GAL]:[OTHER_GAL]])</f>
        <v>690403323.2700001</v>
      </c>
      <c r="W1960">
        <f>SUM(POTABLE_NONPOTABLE_API[[#This Row],[NONPOTABLE_DEMAND_RESIDENTIAL_RECYCLED_WATER_GAL]:[NONPOTABLE_DEMAND_NONRESIDENTIAL_METERED_IRRIGATION_GAL]])</f>
        <v>227672093.69999999</v>
      </c>
      <c r="X1960" t="str">
        <f>IFERROR(INDEX(Crosswalk_API!$H$2:$H$527, MATCH(POTABLE_NONPOTABLE_API[[#This Row],[PWSID]], CW_PWSID_LIST, 0)), "")</f>
        <v>No</v>
      </c>
    </row>
    <row r="1961" spans="1:24" x14ac:dyDescent="0.25">
      <c r="A1961" t="s">
        <v>1275</v>
      </c>
      <c r="B1961" t="s">
        <v>1276</v>
      </c>
      <c r="C1961" t="s">
        <v>1277</v>
      </c>
      <c r="D1961" t="s">
        <v>1278</v>
      </c>
      <c r="E1961" s="9">
        <v>45200</v>
      </c>
      <c r="F1961" s="9">
        <v>45230</v>
      </c>
      <c r="G1961">
        <v>428719228.04100001</v>
      </c>
      <c r="H1961">
        <v>26569890.540000003</v>
      </c>
      <c r="I1961">
        <v>40836950.723999999</v>
      </c>
      <c r="J1961">
        <v>107287093.45200001</v>
      </c>
      <c r="K1961">
        <v>0</v>
      </c>
      <c r="L1961">
        <v>12437080.968</v>
      </c>
      <c r="M1961">
        <v>0</v>
      </c>
      <c r="N1961">
        <v>400796.73</v>
      </c>
      <c r="O1961">
        <v>0</v>
      </c>
      <c r="P1961">
        <v>0</v>
      </c>
      <c r="Q1961">
        <v>225736538.75999999</v>
      </c>
      <c r="R1961">
        <v>355177.59</v>
      </c>
      <c r="S1961">
        <v>0</v>
      </c>
      <c r="T1961" s="9">
        <v>45108</v>
      </c>
      <c r="U1961" s="9">
        <v>45473</v>
      </c>
      <c r="V1961">
        <f>SUM(POTABLE_NONPOTABLE_API[[#This Row],[RESIDENTIAL_SINGLEFAMILY_GAL]:[OTHER_GAL]])</f>
        <v>615850243.72500002</v>
      </c>
      <c r="W1961">
        <f>SUM(POTABLE_NONPOTABLE_API[[#This Row],[NONPOTABLE_DEMAND_RESIDENTIAL_RECYCLED_WATER_GAL]:[NONPOTABLE_DEMAND_NONRESIDENTIAL_METERED_IRRIGATION_GAL]])</f>
        <v>226492513.07999998</v>
      </c>
      <c r="X1961" t="str">
        <f>IFERROR(INDEX(Crosswalk_API!$H$2:$H$527, MATCH(POTABLE_NONPOTABLE_API[[#This Row],[PWSID]], CW_PWSID_LIST, 0)), "")</f>
        <v>No</v>
      </c>
    </row>
    <row r="1962" spans="1:24" x14ac:dyDescent="0.25">
      <c r="A1962" t="s">
        <v>1275</v>
      </c>
      <c r="B1962" t="s">
        <v>1276</v>
      </c>
      <c r="C1962" t="s">
        <v>1277</v>
      </c>
      <c r="D1962" t="s">
        <v>1278</v>
      </c>
      <c r="E1962" s="9">
        <v>45231</v>
      </c>
      <c r="F1962" s="9">
        <v>45260</v>
      </c>
      <c r="G1962">
        <v>434578680.72299999</v>
      </c>
      <c r="H1962">
        <v>29099146.002</v>
      </c>
      <c r="I1962">
        <v>43945895.115000002</v>
      </c>
      <c r="J1962">
        <v>99923186.703000009</v>
      </c>
      <c r="K1962">
        <v>0</v>
      </c>
      <c r="L1962">
        <v>9716550.9690000005</v>
      </c>
      <c r="M1962">
        <v>0</v>
      </c>
      <c r="N1962">
        <v>231354.21</v>
      </c>
      <c r="O1962">
        <v>0</v>
      </c>
      <c r="P1962">
        <v>0</v>
      </c>
      <c r="Q1962">
        <v>216176070.41999999</v>
      </c>
      <c r="R1962">
        <v>1296886.98</v>
      </c>
      <c r="S1962">
        <v>0</v>
      </c>
      <c r="T1962" s="9">
        <v>45108</v>
      </c>
      <c r="U1962" s="9">
        <v>45473</v>
      </c>
      <c r="V1962">
        <f>SUM(POTABLE_NONPOTABLE_API[[#This Row],[RESIDENTIAL_SINGLEFAMILY_GAL]:[OTHER_GAL]])</f>
        <v>617263459.51199996</v>
      </c>
      <c r="W1962">
        <f>SUM(POTABLE_NONPOTABLE_API[[#This Row],[NONPOTABLE_DEMAND_RESIDENTIAL_RECYCLED_WATER_GAL]:[NONPOTABLE_DEMAND_NONRESIDENTIAL_METERED_IRRIGATION_GAL]])</f>
        <v>217704311.60999998</v>
      </c>
      <c r="X1962" t="str">
        <f>IFERROR(INDEX(Crosswalk_API!$H$2:$H$527, MATCH(POTABLE_NONPOTABLE_API[[#This Row],[PWSID]], CW_PWSID_LIST, 0)), "")</f>
        <v>No</v>
      </c>
    </row>
    <row r="1963" spans="1:24" x14ac:dyDescent="0.25">
      <c r="A1963" t="s">
        <v>1275</v>
      </c>
      <c r="B1963" t="s">
        <v>1276</v>
      </c>
      <c r="C1963" t="s">
        <v>1277</v>
      </c>
      <c r="D1963" t="s">
        <v>1278</v>
      </c>
      <c r="E1963" s="9">
        <v>45261</v>
      </c>
      <c r="F1963" s="9">
        <v>45291</v>
      </c>
      <c r="G1963">
        <v>369153339.39000005</v>
      </c>
      <c r="H1963">
        <v>27163265.211000003</v>
      </c>
      <c r="I1963">
        <v>36328476.288000003</v>
      </c>
      <c r="J1963">
        <v>66121033.218000002</v>
      </c>
      <c r="K1963">
        <v>0</v>
      </c>
      <c r="L1963">
        <v>6535593.5069999993</v>
      </c>
      <c r="M1963">
        <v>0</v>
      </c>
      <c r="N1963">
        <v>74945.73000000001</v>
      </c>
      <c r="O1963">
        <v>0</v>
      </c>
      <c r="P1963">
        <v>0</v>
      </c>
      <c r="Q1963">
        <v>104783906.06999999</v>
      </c>
      <c r="R1963">
        <v>967777.47000000009</v>
      </c>
      <c r="S1963">
        <v>0</v>
      </c>
      <c r="T1963" s="9">
        <v>45108</v>
      </c>
      <c r="U1963" s="9">
        <v>45473</v>
      </c>
      <c r="V1963">
        <f>SUM(POTABLE_NONPOTABLE_API[[#This Row],[RESIDENTIAL_SINGLEFAMILY_GAL]:[OTHER_GAL]])</f>
        <v>505301707.61400008</v>
      </c>
      <c r="W1963">
        <f>SUM(POTABLE_NONPOTABLE_API[[#This Row],[NONPOTABLE_DEMAND_RESIDENTIAL_RECYCLED_WATER_GAL]:[NONPOTABLE_DEMAND_NONRESIDENTIAL_METERED_IRRIGATION_GAL]])</f>
        <v>105826629.27</v>
      </c>
      <c r="X1963" t="str">
        <f>IFERROR(INDEX(Crosswalk_API!$H$2:$H$527, MATCH(POTABLE_NONPOTABLE_API[[#This Row],[PWSID]], CW_PWSID_LIST, 0)), "")</f>
        <v>No</v>
      </c>
    </row>
    <row r="1964" spans="1:24" x14ac:dyDescent="0.25">
      <c r="A1964" t="s">
        <v>1275</v>
      </c>
      <c r="B1964" t="s">
        <v>1276</v>
      </c>
      <c r="C1964" t="s">
        <v>1277</v>
      </c>
      <c r="D1964" t="s">
        <v>1278</v>
      </c>
      <c r="E1964" s="9">
        <v>45292</v>
      </c>
      <c r="F1964" s="9">
        <v>45322</v>
      </c>
      <c r="G1964">
        <v>327075548.05800003</v>
      </c>
      <c r="H1964">
        <v>26105552.864999998</v>
      </c>
      <c r="I1964">
        <v>32518626.396000002</v>
      </c>
      <c r="J1964">
        <v>38558274.681000002</v>
      </c>
      <c r="K1964">
        <v>0</v>
      </c>
      <c r="L1964">
        <v>3963977.4149999996</v>
      </c>
      <c r="M1964">
        <v>0</v>
      </c>
      <c r="N1964">
        <v>71687.22</v>
      </c>
      <c r="O1964">
        <v>0</v>
      </c>
      <c r="P1964">
        <v>0</v>
      </c>
      <c r="Q1964">
        <v>201239060.58000001</v>
      </c>
      <c r="R1964">
        <v>593048.82000000007</v>
      </c>
      <c r="S1964">
        <v>0</v>
      </c>
      <c r="T1964" s="9">
        <v>45108</v>
      </c>
      <c r="U1964" s="9">
        <v>45473</v>
      </c>
      <c r="V1964">
        <f>SUM(POTABLE_NONPOTABLE_API[[#This Row],[RESIDENTIAL_SINGLEFAMILY_GAL]:[OTHER_GAL]])</f>
        <v>428221979.41500008</v>
      </c>
      <c r="W1964">
        <f>SUM(POTABLE_NONPOTABLE_API[[#This Row],[NONPOTABLE_DEMAND_RESIDENTIAL_RECYCLED_WATER_GAL]:[NONPOTABLE_DEMAND_NONRESIDENTIAL_METERED_IRRIGATION_GAL]])</f>
        <v>201903796.62</v>
      </c>
      <c r="X1964" t="str">
        <f>IFERROR(INDEX(Crosswalk_API!$H$2:$H$527, MATCH(POTABLE_NONPOTABLE_API[[#This Row],[PWSID]], CW_PWSID_LIST, 0)), "")</f>
        <v>No</v>
      </c>
    </row>
    <row r="1965" spans="1:24" x14ac:dyDescent="0.25">
      <c r="A1965" t="s">
        <v>1275</v>
      </c>
      <c r="B1965" t="s">
        <v>1276</v>
      </c>
      <c r="C1965" t="s">
        <v>1277</v>
      </c>
      <c r="D1965" t="s">
        <v>1278</v>
      </c>
      <c r="E1965" s="9">
        <v>45323</v>
      </c>
      <c r="F1965" s="9">
        <v>45351</v>
      </c>
      <c r="G1965">
        <v>283616474.33699995</v>
      </c>
      <c r="H1965">
        <v>24833756.412</v>
      </c>
      <c r="I1965">
        <v>32676338.280000001</v>
      </c>
      <c r="J1965">
        <v>14263801.674000001</v>
      </c>
      <c r="K1965">
        <v>0</v>
      </c>
      <c r="L1965">
        <v>1740696.0419999999</v>
      </c>
      <c r="M1965">
        <v>0</v>
      </c>
      <c r="N1965">
        <v>13034.04</v>
      </c>
      <c r="O1965">
        <v>0</v>
      </c>
      <c r="P1965">
        <v>0</v>
      </c>
      <c r="Q1965">
        <v>226968255.53999999</v>
      </c>
      <c r="R1965">
        <v>286748.88</v>
      </c>
      <c r="S1965">
        <v>0</v>
      </c>
      <c r="T1965" s="9">
        <v>45108</v>
      </c>
      <c r="U1965" s="9">
        <v>45473</v>
      </c>
      <c r="V1965">
        <f>SUM(POTABLE_NONPOTABLE_API[[#This Row],[RESIDENTIAL_SINGLEFAMILY_GAL]:[OTHER_GAL]])</f>
        <v>357131066.74499995</v>
      </c>
      <c r="W1965">
        <f>SUM(POTABLE_NONPOTABLE_API[[#This Row],[NONPOTABLE_DEMAND_RESIDENTIAL_RECYCLED_WATER_GAL]:[NONPOTABLE_DEMAND_NONRESIDENTIAL_METERED_IRRIGATION_GAL]])</f>
        <v>227268038.45999998</v>
      </c>
      <c r="X1965" t="str">
        <f>IFERROR(INDEX(Crosswalk_API!$H$2:$H$527, MATCH(POTABLE_NONPOTABLE_API[[#This Row],[PWSID]], CW_PWSID_LIST, 0)), "")</f>
        <v>No</v>
      </c>
    </row>
    <row r="1966" spans="1:24" x14ac:dyDescent="0.25">
      <c r="A1966" t="s">
        <v>1275</v>
      </c>
      <c r="B1966" t="s">
        <v>1276</v>
      </c>
      <c r="C1966" t="s">
        <v>1277</v>
      </c>
      <c r="D1966" t="s">
        <v>1278</v>
      </c>
      <c r="E1966" s="9">
        <v>45352</v>
      </c>
      <c r="F1966" s="9">
        <v>45382</v>
      </c>
      <c r="G1966">
        <v>246129597.74400002</v>
      </c>
      <c r="H1966">
        <v>22931438.274</v>
      </c>
      <c r="I1966">
        <v>30708198.239999998</v>
      </c>
      <c r="J1966">
        <v>7851705.6960000005</v>
      </c>
      <c r="K1966">
        <v>0</v>
      </c>
      <c r="L1966">
        <v>1613614.152</v>
      </c>
      <c r="M1966">
        <v>0</v>
      </c>
      <c r="N1966">
        <v>0</v>
      </c>
      <c r="O1966">
        <v>0</v>
      </c>
      <c r="P1966">
        <v>0</v>
      </c>
      <c r="Q1966">
        <v>229307865.72</v>
      </c>
      <c r="R1966">
        <v>58653.18</v>
      </c>
      <c r="S1966">
        <v>0</v>
      </c>
      <c r="T1966" s="9">
        <v>45108</v>
      </c>
      <c r="U1966" s="9">
        <v>45473</v>
      </c>
      <c r="V1966">
        <f>SUM(POTABLE_NONPOTABLE_API[[#This Row],[RESIDENTIAL_SINGLEFAMILY_GAL]:[OTHER_GAL]])</f>
        <v>309234554.10600001</v>
      </c>
      <c r="W1966">
        <f>SUM(POTABLE_NONPOTABLE_API[[#This Row],[NONPOTABLE_DEMAND_RESIDENTIAL_RECYCLED_WATER_GAL]:[NONPOTABLE_DEMAND_NONRESIDENTIAL_METERED_IRRIGATION_GAL]])</f>
        <v>229366518.90000001</v>
      </c>
      <c r="X1966" t="str">
        <f>IFERROR(INDEX(Crosswalk_API!$H$2:$H$527, MATCH(POTABLE_NONPOTABLE_API[[#This Row],[PWSID]], CW_PWSID_LIST, 0)), "")</f>
        <v>No</v>
      </c>
    </row>
    <row r="1967" spans="1:24" x14ac:dyDescent="0.25">
      <c r="A1967" t="s">
        <v>1275</v>
      </c>
      <c r="B1967" t="s">
        <v>1276</v>
      </c>
      <c r="C1967" t="s">
        <v>1277</v>
      </c>
      <c r="D1967" t="s">
        <v>1278</v>
      </c>
      <c r="E1967" s="9">
        <v>45383</v>
      </c>
      <c r="F1967" s="9">
        <v>45412</v>
      </c>
      <c r="G1967">
        <v>262460272.31099999</v>
      </c>
      <c r="H1967">
        <v>23330931.599999998</v>
      </c>
      <c r="I1967">
        <v>32873152.284000002</v>
      </c>
      <c r="J1967">
        <v>13384003.973999999</v>
      </c>
      <c r="K1967">
        <v>0</v>
      </c>
      <c r="L1967">
        <v>3061044.2940000002</v>
      </c>
      <c r="M1967">
        <v>0</v>
      </c>
      <c r="N1967">
        <v>22809.570000000003</v>
      </c>
      <c r="O1967">
        <v>0</v>
      </c>
      <c r="P1967">
        <v>0</v>
      </c>
      <c r="Q1967">
        <v>224338637.97</v>
      </c>
      <c r="R1967">
        <v>198769.11</v>
      </c>
      <c r="S1967">
        <v>0</v>
      </c>
      <c r="T1967" s="9">
        <v>45108</v>
      </c>
      <c r="U1967" s="9">
        <v>45473</v>
      </c>
      <c r="V1967">
        <f>SUM(POTABLE_NONPOTABLE_API[[#This Row],[RESIDENTIAL_SINGLEFAMILY_GAL]:[OTHER_GAL]])</f>
        <v>335109404.463</v>
      </c>
      <c r="W1967">
        <f>SUM(POTABLE_NONPOTABLE_API[[#This Row],[NONPOTABLE_DEMAND_RESIDENTIAL_RECYCLED_WATER_GAL]:[NONPOTABLE_DEMAND_NONRESIDENTIAL_METERED_IRRIGATION_GAL]])</f>
        <v>224560216.65000001</v>
      </c>
      <c r="X1967" t="str">
        <f>IFERROR(INDEX(Crosswalk_API!$H$2:$H$527, MATCH(POTABLE_NONPOTABLE_API[[#This Row],[PWSID]], CW_PWSID_LIST, 0)), "")</f>
        <v>No</v>
      </c>
    </row>
    <row r="1968" spans="1:24" x14ac:dyDescent="0.25">
      <c r="A1968" t="s">
        <v>1275</v>
      </c>
      <c r="B1968" t="s">
        <v>1276</v>
      </c>
      <c r="C1968" t="s">
        <v>1277</v>
      </c>
      <c r="D1968" t="s">
        <v>1278</v>
      </c>
      <c r="E1968" s="9">
        <v>45413</v>
      </c>
      <c r="F1968" s="9">
        <v>45443</v>
      </c>
      <c r="G1968">
        <v>345007780.28999996</v>
      </c>
      <c r="H1968">
        <v>25536942.870000001</v>
      </c>
      <c r="I1968">
        <v>37493719.463999994</v>
      </c>
      <c r="J1968">
        <v>46842058.802999996</v>
      </c>
      <c r="K1968">
        <v>0</v>
      </c>
      <c r="L1968">
        <v>5485375.7340000002</v>
      </c>
      <c r="M1968">
        <v>0</v>
      </c>
      <c r="N1968">
        <v>172701.03</v>
      </c>
      <c r="O1968">
        <v>0</v>
      </c>
      <c r="P1968">
        <v>0</v>
      </c>
      <c r="Q1968">
        <v>198945069.53999999</v>
      </c>
      <c r="R1968">
        <v>990587.04</v>
      </c>
      <c r="S1968">
        <v>0</v>
      </c>
      <c r="T1968" s="9">
        <v>45108</v>
      </c>
      <c r="U1968" s="9">
        <v>45473</v>
      </c>
      <c r="V1968">
        <f>SUM(POTABLE_NONPOTABLE_API[[#This Row],[RESIDENTIAL_SINGLEFAMILY_GAL]:[OTHER_GAL]])</f>
        <v>460365877.16099995</v>
      </c>
      <c r="W1968">
        <f>SUM(POTABLE_NONPOTABLE_API[[#This Row],[NONPOTABLE_DEMAND_RESIDENTIAL_RECYCLED_WATER_GAL]:[NONPOTABLE_DEMAND_NONRESIDENTIAL_METERED_IRRIGATION_GAL]])</f>
        <v>200108357.60999998</v>
      </c>
      <c r="X1968" t="str">
        <f>IFERROR(INDEX(Crosswalk_API!$H$2:$H$527, MATCH(POTABLE_NONPOTABLE_API[[#This Row],[PWSID]], CW_PWSID_LIST, 0)), "")</f>
        <v>No</v>
      </c>
    </row>
    <row r="1969" spans="1:24" x14ac:dyDescent="0.25">
      <c r="A1969" t="s">
        <v>1275</v>
      </c>
      <c r="B1969" t="s">
        <v>1276</v>
      </c>
      <c r="C1969" t="s">
        <v>1277</v>
      </c>
      <c r="D1969" t="s">
        <v>1278</v>
      </c>
      <c r="E1969" s="9">
        <v>45444</v>
      </c>
      <c r="F1969" s="9">
        <v>45473</v>
      </c>
      <c r="G1969">
        <v>426271761.18000001</v>
      </c>
      <c r="H1969">
        <v>25803163.136999998</v>
      </c>
      <c r="I1969">
        <v>41804728.194000006</v>
      </c>
      <c r="J1969">
        <v>81750802.283999994</v>
      </c>
      <c r="K1969">
        <v>0</v>
      </c>
      <c r="L1969">
        <v>10681395.780000001</v>
      </c>
      <c r="M1969">
        <v>0</v>
      </c>
      <c r="N1969">
        <v>345402.06</v>
      </c>
      <c r="O1969">
        <v>0</v>
      </c>
      <c r="P1969">
        <v>0</v>
      </c>
      <c r="Q1969">
        <v>223501200.90000001</v>
      </c>
      <c r="R1969">
        <v>1694425.2</v>
      </c>
      <c r="S1969">
        <v>0</v>
      </c>
      <c r="T1969" s="9">
        <v>45108</v>
      </c>
      <c r="U1969" s="9">
        <v>45473</v>
      </c>
      <c r="V1969">
        <f>SUM(POTABLE_NONPOTABLE_API[[#This Row],[RESIDENTIAL_SINGLEFAMILY_GAL]:[OTHER_GAL]])</f>
        <v>586311850.57500005</v>
      </c>
      <c r="W1969">
        <f>SUM(POTABLE_NONPOTABLE_API[[#This Row],[NONPOTABLE_DEMAND_RESIDENTIAL_RECYCLED_WATER_GAL]:[NONPOTABLE_DEMAND_NONRESIDENTIAL_METERED_IRRIGATION_GAL]])</f>
        <v>225541028.16</v>
      </c>
      <c r="X1969" t="str">
        <f>IFERROR(INDEX(Crosswalk_API!$H$2:$H$527, MATCH(POTABLE_NONPOTABLE_API[[#This Row],[PWSID]], CW_PWSID_LIST, 0)), "")</f>
        <v>No</v>
      </c>
    </row>
    <row r="1970" spans="1:24" x14ac:dyDescent="0.25">
      <c r="A1970" t="s">
        <v>1279</v>
      </c>
      <c r="B1970" t="s">
        <v>1280</v>
      </c>
      <c r="C1970" t="s">
        <v>1281</v>
      </c>
      <c r="D1970" t="s">
        <v>1282</v>
      </c>
      <c r="E1970" s="9">
        <v>45108</v>
      </c>
      <c r="F1970" s="9">
        <v>45138</v>
      </c>
      <c r="G1970">
        <v>238848783</v>
      </c>
      <c r="H1970">
        <v>101339661</v>
      </c>
      <c r="I1970">
        <v>66147753</v>
      </c>
      <c r="J1970">
        <v>53765415</v>
      </c>
      <c r="K1970">
        <v>0</v>
      </c>
      <c r="L1970">
        <v>0</v>
      </c>
      <c r="M1970">
        <v>111766893</v>
      </c>
      <c r="N1970">
        <v>29326590</v>
      </c>
      <c r="O1970">
        <v>0</v>
      </c>
      <c r="P1970">
        <v>0</v>
      </c>
      <c r="Q1970">
        <v>29326590</v>
      </c>
      <c r="R1970">
        <v>30304143</v>
      </c>
      <c r="T1970" s="9">
        <v>45108</v>
      </c>
      <c r="U1970" s="9">
        <v>45473</v>
      </c>
      <c r="V1970">
        <f>SUM(POTABLE_NONPOTABLE_API[[#This Row],[RESIDENTIAL_SINGLEFAMILY_GAL]:[OTHER_GAL]])</f>
        <v>460101612</v>
      </c>
      <c r="W1970">
        <f>SUM(POTABLE_NONPOTABLE_API[[#This Row],[NONPOTABLE_DEMAND_RESIDENTIAL_RECYCLED_WATER_GAL]:[NONPOTABLE_DEMAND_NONRESIDENTIAL_METERED_IRRIGATION_GAL]])</f>
        <v>88957323</v>
      </c>
      <c r="X1970" t="str">
        <f>IFERROR(INDEX(Crosswalk_API!$H$2:$H$527, MATCH(POTABLE_NONPOTABLE_API[[#This Row],[PWSID]], CW_PWSID_LIST, 0)), "")</f>
        <v>No</v>
      </c>
    </row>
    <row r="1971" spans="1:24" x14ac:dyDescent="0.25">
      <c r="A1971" t="s">
        <v>1279</v>
      </c>
      <c r="B1971" t="s">
        <v>1280</v>
      </c>
      <c r="C1971" t="s">
        <v>1281</v>
      </c>
      <c r="D1971" t="s">
        <v>1282</v>
      </c>
      <c r="E1971" s="9">
        <v>45139</v>
      </c>
      <c r="F1971" s="9">
        <v>45169</v>
      </c>
      <c r="G1971">
        <v>260680800</v>
      </c>
      <c r="H1971">
        <v>113396148</v>
      </c>
      <c r="I1971">
        <v>77552538</v>
      </c>
      <c r="J1971">
        <v>63215094</v>
      </c>
      <c r="K1971">
        <v>0</v>
      </c>
      <c r="L1971">
        <v>0</v>
      </c>
      <c r="M1971">
        <v>118935615</v>
      </c>
      <c r="N1971">
        <v>0</v>
      </c>
      <c r="O1971">
        <v>0</v>
      </c>
      <c r="P1971">
        <v>0</v>
      </c>
      <c r="Q1971">
        <v>30629994</v>
      </c>
      <c r="R1971">
        <v>34866057</v>
      </c>
      <c r="S1971">
        <v>63215094</v>
      </c>
      <c r="T1971" s="9">
        <v>45108</v>
      </c>
      <c r="U1971" s="9">
        <v>45473</v>
      </c>
      <c r="V1971">
        <f>SUM(POTABLE_NONPOTABLE_API[[#This Row],[RESIDENTIAL_SINGLEFAMILY_GAL]:[OTHER_GAL]])</f>
        <v>514844580</v>
      </c>
      <c r="W1971">
        <f>SUM(POTABLE_NONPOTABLE_API[[#This Row],[NONPOTABLE_DEMAND_RESIDENTIAL_RECYCLED_WATER_GAL]:[NONPOTABLE_DEMAND_NONRESIDENTIAL_METERED_IRRIGATION_GAL]])</f>
        <v>128711145</v>
      </c>
      <c r="X1971" t="str">
        <f>IFERROR(INDEX(Crosswalk_API!$H$2:$H$527, MATCH(POTABLE_NONPOTABLE_API[[#This Row],[PWSID]], CW_PWSID_LIST, 0)), "")</f>
        <v>No</v>
      </c>
    </row>
    <row r="1972" spans="1:24" x14ac:dyDescent="0.25">
      <c r="A1972" t="s">
        <v>1279</v>
      </c>
      <c r="B1972" t="s">
        <v>1280</v>
      </c>
      <c r="C1972" t="s">
        <v>1281</v>
      </c>
      <c r="D1972" t="s">
        <v>1282</v>
      </c>
      <c r="E1972" s="9">
        <v>45170</v>
      </c>
      <c r="F1972" s="9">
        <v>45199</v>
      </c>
      <c r="G1972">
        <v>236241975</v>
      </c>
      <c r="H1972">
        <v>109485936</v>
      </c>
      <c r="I1972">
        <v>71687220</v>
      </c>
      <c r="J1972">
        <v>55068819</v>
      </c>
      <c r="K1972">
        <v>0</v>
      </c>
      <c r="L1972">
        <v>0</v>
      </c>
      <c r="M1972">
        <v>93845088</v>
      </c>
      <c r="N1972">
        <v>0</v>
      </c>
      <c r="O1972">
        <v>0</v>
      </c>
      <c r="P1972">
        <v>0</v>
      </c>
      <c r="Q1972">
        <v>22483719</v>
      </c>
      <c r="R1972">
        <v>30629994</v>
      </c>
      <c r="S1972">
        <v>0</v>
      </c>
      <c r="T1972" s="9">
        <v>45108</v>
      </c>
      <c r="U1972" s="9">
        <v>45473</v>
      </c>
      <c r="V1972">
        <f>SUM(POTABLE_NONPOTABLE_API[[#This Row],[RESIDENTIAL_SINGLEFAMILY_GAL]:[OTHER_GAL]])</f>
        <v>472483950</v>
      </c>
      <c r="W1972">
        <f>SUM(POTABLE_NONPOTABLE_API[[#This Row],[NONPOTABLE_DEMAND_RESIDENTIAL_RECYCLED_WATER_GAL]:[NONPOTABLE_DEMAND_NONRESIDENTIAL_METERED_IRRIGATION_GAL]])</f>
        <v>53113713</v>
      </c>
      <c r="X1972" t="str">
        <f>IFERROR(INDEX(Crosswalk_API!$H$2:$H$527, MATCH(POTABLE_NONPOTABLE_API[[#This Row],[PWSID]], CW_PWSID_LIST, 0)), "")</f>
        <v>No</v>
      </c>
    </row>
    <row r="1973" spans="1:24" x14ac:dyDescent="0.25">
      <c r="A1973" t="s">
        <v>1279</v>
      </c>
      <c r="B1973" t="s">
        <v>1280</v>
      </c>
      <c r="C1973" t="s">
        <v>1281</v>
      </c>
      <c r="D1973" t="s">
        <v>1282</v>
      </c>
      <c r="E1973" s="9">
        <v>45200</v>
      </c>
      <c r="F1973" s="9">
        <v>45230</v>
      </c>
      <c r="G1973">
        <v>202679322</v>
      </c>
      <c r="H1973">
        <v>200724216</v>
      </c>
      <c r="I1973">
        <v>80485197</v>
      </c>
      <c r="J1973">
        <v>52787862</v>
      </c>
      <c r="K1973">
        <v>0</v>
      </c>
      <c r="L1973">
        <v>0</v>
      </c>
      <c r="M1973">
        <v>102968916</v>
      </c>
      <c r="N1973">
        <v>0</v>
      </c>
      <c r="O1973">
        <v>0</v>
      </c>
      <c r="P1973">
        <v>0</v>
      </c>
      <c r="Q1973">
        <v>135036000</v>
      </c>
      <c r="R1973">
        <v>303831000</v>
      </c>
      <c r="S1973">
        <v>0</v>
      </c>
      <c r="T1973" s="9">
        <v>45108</v>
      </c>
      <c r="U1973" s="9">
        <v>45473</v>
      </c>
      <c r="V1973">
        <f>SUM(POTABLE_NONPOTABLE_API[[#This Row],[RESIDENTIAL_SINGLEFAMILY_GAL]:[OTHER_GAL]])</f>
        <v>536676597</v>
      </c>
      <c r="W1973">
        <f>SUM(POTABLE_NONPOTABLE_API[[#This Row],[NONPOTABLE_DEMAND_RESIDENTIAL_RECYCLED_WATER_GAL]:[NONPOTABLE_DEMAND_NONRESIDENTIAL_METERED_IRRIGATION_GAL]])</f>
        <v>438867000</v>
      </c>
      <c r="X1973" t="str">
        <f>IFERROR(INDEX(Crosswalk_API!$H$2:$H$527, MATCH(POTABLE_NONPOTABLE_API[[#This Row],[PWSID]], CW_PWSID_LIST, 0)), "")</f>
        <v>No</v>
      </c>
    </row>
    <row r="1974" spans="1:24" x14ac:dyDescent="0.25">
      <c r="A1974" t="s">
        <v>1279</v>
      </c>
      <c r="B1974" t="s">
        <v>1280</v>
      </c>
      <c r="C1974" t="s">
        <v>1281</v>
      </c>
      <c r="D1974" t="s">
        <v>1282</v>
      </c>
      <c r="E1974" s="9">
        <v>45231</v>
      </c>
      <c r="F1974" s="9">
        <v>45260</v>
      </c>
      <c r="G1974">
        <v>186386772</v>
      </c>
      <c r="H1974">
        <v>97429449</v>
      </c>
      <c r="I1974">
        <v>61585839</v>
      </c>
      <c r="J1974">
        <v>42360630</v>
      </c>
      <c r="K1974">
        <v>0</v>
      </c>
      <c r="L1974">
        <v>0</v>
      </c>
      <c r="M1974">
        <v>92541684</v>
      </c>
      <c r="N1974">
        <v>0</v>
      </c>
      <c r="O1974">
        <v>0</v>
      </c>
      <c r="P1974">
        <v>0</v>
      </c>
      <c r="Q1974">
        <v>13034040</v>
      </c>
      <c r="R1974">
        <v>0</v>
      </c>
      <c r="S1974">
        <v>0</v>
      </c>
      <c r="T1974" s="9">
        <v>45108</v>
      </c>
      <c r="U1974" s="9">
        <v>45473</v>
      </c>
      <c r="V1974">
        <f>SUM(POTABLE_NONPOTABLE_API[[#This Row],[RESIDENTIAL_SINGLEFAMILY_GAL]:[OTHER_GAL]])</f>
        <v>387762690</v>
      </c>
      <c r="W1974">
        <f>SUM(POTABLE_NONPOTABLE_API[[#This Row],[NONPOTABLE_DEMAND_RESIDENTIAL_RECYCLED_WATER_GAL]:[NONPOTABLE_DEMAND_NONRESIDENTIAL_METERED_IRRIGATION_GAL]])</f>
        <v>13034040</v>
      </c>
      <c r="X1974" t="str">
        <f>IFERROR(INDEX(Crosswalk_API!$H$2:$H$527, MATCH(POTABLE_NONPOTABLE_API[[#This Row],[PWSID]], CW_PWSID_LIST, 0)), "")</f>
        <v>No</v>
      </c>
    </row>
    <row r="1975" spans="1:24" x14ac:dyDescent="0.25">
      <c r="A1975" t="s">
        <v>1279</v>
      </c>
      <c r="B1975" t="s">
        <v>1280</v>
      </c>
      <c r="C1975" t="s">
        <v>1281</v>
      </c>
      <c r="D1975" t="s">
        <v>1282</v>
      </c>
      <c r="E1975" s="9">
        <v>45261</v>
      </c>
      <c r="F1975" s="9">
        <v>45291</v>
      </c>
      <c r="G1975">
        <v>168790818</v>
      </c>
      <c r="H1975">
        <v>94496790</v>
      </c>
      <c r="I1975">
        <v>57675627</v>
      </c>
      <c r="J1975">
        <v>32259249</v>
      </c>
      <c r="K1975">
        <v>0</v>
      </c>
      <c r="L1975">
        <v>0</v>
      </c>
      <c r="M1975">
        <v>68428710</v>
      </c>
      <c r="N1975">
        <v>0</v>
      </c>
      <c r="O1975">
        <v>0</v>
      </c>
      <c r="P1975">
        <v>0</v>
      </c>
      <c r="Q1975">
        <v>7168722</v>
      </c>
      <c r="R1975">
        <v>17921805</v>
      </c>
      <c r="S1975">
        <v>0</v>
      </c>
      <c r="T1975" s="9">
        <v>45108</v>
      </c>
      <c r="U1975" s="9">
        <v>45473</v>
      </c>
      <c r="V1975">
        <f>SUM(POTABLE_NONPOTABLE_API[[#This Row],[RESIDENTIAL_SINGLEFAMILY_GAL]:[OTHER_GAL]])</f>
        <v>353222484</v>
      </c>
      <c r="W1975">
        <f>SUM(POTABLE_NONPOTABLE_API[[#This Row],[NONPOTABLE_DEMAND_RESIDENTIAL_RECYCLED_WATER_GAL]:[NONPOTABLE_DEMAND_NONRESIDENTIAL_METERED_IRRIGATION_GAL]])</f>
        <v>25090527</v>
      </c>
      <c r="X1975" t="str">
        <f>IFERROR(INDEX(Crosswalk_API!$H$2:$H$527, MATCH(POTABLE_NONPOTABLE_API[[#This Row],[PWSID]], CW_PWSID_LIST, 0)), "")</f>
        <v>No</v>
      </c>
    </row>
    <row r="1976" spans="1:24" x14ac:dyDescent="0.25">
      <c r="A1976" t="s">
        <v>1279</v>
      </c>
      <c r="B1976" t="s">
        <v>1280</v>
      </c>
      <c r="C1976" t="s">
        <v>1281</v>
      </c>
      <c r="D1976" t="s">
        <v>1282</v>
      </c>
      <c r="E1976" s="9">
        <v>45292</v>
      </c>
      <c r="F1976" s="9">
        <v>45322</v>
      </c>
      <c r="G1976">
        <v>147284652</v>
      </c>
      <c r="H1976">
        <v>88957323</v>
      </c>
      <c r="I1976">
        <v>50506905</v>
      </c>
      <c r="J1976">
        <v>22483719</v>
      </c>
      <c r="K1976">
        <v>0</v>
      </c>
      <c r="L1976">
        <v>0</v>
      </c>
      <c r="M1976">
        <v>37147014</v>
      </c>
      <c r="N1976">
        <v>0</v>
      </c>
      <c r="O1976">
        <v>0</v>
      </c>
      <c r="P1976">
        <v>0</v>
      </c>
      <c r="Q1976">
        <v>5213616</v>
      </c>
      <c r="R1976">
        <v>9123828</v>
      </c>
      <c r="S1976">
        <v>0</v>
      </c>
      <c r="T1976" s="9">
        <v>45108</v>
      </c>
      <c r="U1976" s="9">
        <v>45473</v>
      </c>
      <c r="V1976">
        <f>SUM(POTABLE_NONPOTABLE_API[[#This Row],[RESIDENTIAL_SINGLEFAMILY_GAL]:[OTHER_GAL]])</f>
        <v>309232599</v>
      </c>
      <c r="W1976">
        <f>SUM(POTABLE_NONPOTABLE_API[[#This Row],[NONPOTABLE_DEMAND_RESIDENTIAL_RECYCLED_WATER_GAL]:[NONPOTABLE_DEMAND_NONRESIDENTIAL_METERED_IRRIGATION_GAL]])</f>
        <v>14337444</v>
      </c>
      <c r="X1976" t="str">
        <f>IFERROR(INDEX(Crosswalk_API!$H$2:$H$527, MATCH(POTABLE_NONPOTABLE_API[[#This Row],[PWSID]], CW_PWSID_LIST, 0)), "")</f>
        <v>No</v>
      </c>
    </row>
    <row r="1977" spans="1:24" x14ac:dyDescent="0.25">
      <c r="A1977" t="s">
        <v>1279</v>
      </c>
      <c r="B1977" t="s">
        <v>1280</v>
      </c>
      <c r="C1977" t="s">
        <v>1281</v>
      </c>
      <c r="D1977" t="s">
        <v>1282</v>
      </c>
      <c r="E1977" s="9">
        <v>45323</v>
      </c>
      <c r="F1977" s="9">
        <v>45351</v>
      </c>
      <c r="G1977">
        <v>125778486</v>
      </c>
      <c r="H1977">
        <v>76249134</v>
      </c>
      <c r="I1977">
        <v>40405524</v>
      </c>
      <c r="J1977">
        <v>14337444</v>
      </c>
      <c r="K1977">
        <v>0</v>
      </c>
      <c r="L1977">
        <v>0</v>
      </c>
      <c r="M1977">
        <v>3910212</v>
      </c>
      <c r="N1977">
        <v>0</v>
      </c>
      <c r="O1977">
        <v>0</v>
      </c>
      <c r="P1977">
        <v>0</v>
      </c>
      <c r="Q1977">
        <v>1629255</v>
      </c>
      <c r="R1977">
        <v>5213616</v>
      </c>
      <c r="S1977">
        <v>0</v>
      </c>
      <c r="T1977" s="9">
        <v>45108</v>
      </c>
      <c r="U1977" s="9">
        <v>45473</v>
      </c>
      <c r="V1977">
        <f>SUM(POTABLE_NONPOTABLE_API[[#This Row],[RESIDENTIAL_SINGLEFAMILY_GAL]:[OTHER_GAL]])</f>
        <v>256770588</v>
      </c>
      <c r="W1977">
        <f>SUM(POTABLE_NONPOTABLE_API[[#This Row],[NONPOTABLE_DEMAND_RESIDENTIAL_RECYCLED_WATER_GAL]:[NONPOTABLE_DEMAND_NONRESIDENTIAL_METERED_IRRIGATION_GAL]])</f>
        <v>6842871</v>
      </c>
      <c r="X1977" t="str">
        <f>IFERROR(INDEX(Crosswalk_API!$H$2:$H$527, MATCH(POTABLE_NONPOTABLE_API[[#This Row],[PWSID]], CW_PWSID_LIST, 0)), "")</f>
        <v>No</v>
      </c>
    </row>
    <row r="1978" spans="1:24" x14ac:dyDescent="0.25">
      <c r="A1978" t="s">
        <v>1279</v>
      </c>
      <c r="B1978" t="s">
        <v>1280</v>
      </c>
      <c r="C1978" t="s">
        <v>1281</v>
      </c>
      <c r="D1978" t="s">
        <v>1282</v>
      </c>
      <c r="E1978" s="9">
        <v>45352</v>
      </c>
      <c r="F1978" s="9">
        <v>45382</v>
      </c>
      <c r="G1978">
        <v>104924022</v>
      </c>
      <c r="H1978">
        <v>73968177</v>
      </c>
      <c r="I1978">
        <v>38124567</v>
      </c>
      <c r="J1978">
        <v>11730636</v>
      </c>
      <c r="K1978">
        <v>0</v>
      </c>
      <c r="L1978">
        <v>0</v>
      </c>
      <c r="M1978">
        <v>7820424</v>
      </c>
      <c r="N1978">
        <v>0</v>
      </c>
      <c r="O1978">
        <v>0</v>
      </c>
      <c r="P1978">
        <v>0</v>
      </c>
      <c r="Q1978">
        <v>1303404</v>
      </c>
      <c r="R1978">
        <v>5213616</v>
      </c>
      <c r="S1978">
        <v>0</v>
      </c>
      <c r="T1978" s="9">
        <v>45108</v>
      </c>
      <c r="U1978" s="9">
        <v>45473</v>
      </c>
      <c r="V1978">
        <f>SUM(POTABLE_NONPOTABLE_API[[#This Row],[RESIDENTIAL_SINGLEFAMILY_GAL]:[OTHER_GAL]])</f>
        <v>228747402</v>
      </c>
      <c r="W1978">
        <f>SUM(POTABLE_NONPOTABLE_API[[#This Row],[NONPOTABLE_DEMAND_RESIDENTIAL_RECYCLED_WATER_GAL]:[NONPOTABLE_DEMAND_NONRESIDENTIAL_METERED_IRRIGATION_GAL]])</f>
        <v>6517020</v>
      </c>
      <c r="X1978" t="str">
        <f>IFERROR(INDEX(Crosswalk_API!$H$2:$H$527, MATCH(POTABLE_NONPOTABLE_API[[#This Row],[PWSID]], CW_PWSID_LIST, 0)), "")</f>
        <v>No</v>
      </c>
    </row>
    <row r="1979" spans="1:24" x14ac:dyDescent="0.25">
      <c r="A1979" t="s">
        <v>1279</v>
      </c>
      <c r="B1979" t="s">
        <v>1280</v>
      </c>
      <c r="C1979" t="s">
        <v>1281</v>
      </c>
      <c r="D1979" t="s">
        <v>1282</v>
      </c>
      <c r="E1979" s="9">
        <v>45383</v>
      </c>
      <c r="F1979" s="9">
        <v>45412</v>
      </c>
      <c r="G1979">
        <v>136531569</v>
      </c>
      <c r="H1979">
        <v>85698813</v>
      </c>
      <c r="I1979">
        <v>42360630</v>
      </c>
      <c r="J1979">
        <v>18573507</v>
      </c>
      <c r="K1979">
        <v>0</v>
      </c>
      <c r="L1979">
        <v>0</v>
      </c>
      <c r="M1979">
        <v>19225209</v>
      </c>
      <c r="N1979">
        <v>0</v>
      </c>
      <c r="O1979">
        <v>0</v>
      </c>
      <c r="P1979">
        <v>0</v>
      </c>
      <c r="Q1979">
        <v>5539467</v>
      </c>
      <c r="R1979">
        <v>5865318</v>
      </c>
      <c r="S1979">
        <v>0</v>
      </c>
      <c r="T1979" s="9">
        <v>45108</v>
      </c>
      <c r="U1979" s="9">
        <v>45473</v>
      </c>
      <c r="V1979">
        <f>SUM(POTABLE_NONPOTABLE_API[[#This Row],[RESIDENTIAL_SINGLEFAMILY_GAL]:[OTHER_GAL]])</f>
        <v>283164519</v>
      </c>
      <c r="W1979">
        <f>SUM(POTABLE_NONPOTABLE_API[[#This Row],[NONPOTABLE_DEMAND_RESIDENTIAL_RECYCLED_WATER_GAL]:[NONPOTABLE_DEMAND_NONRESIDENTIAL_METERED_IRRIGATION_GAL]])</f>
        <v>11404785</v>
      </c>
      <c r="X1979" t="str">
        <f>IFERROR(INDEX(Crosswalk_API!$H$2:$H$527, MATCH(POTABLE_NONPOTABLE_API[[#This Row],[PWSID]], CW_PWSID_LIST, 0)), "")</f>
        <v>No</v>
      </c>
    </row>
    <row r="1980" spans="1:24" x14ac:dyDescent="0.25">
      <c r="A1980" t="s">
        <v>1279</v>
      </c>
      <c r="B1980" t="s">
        <v>1280</v>
      </c>
      <c r="C1980" t="s">
        <v>1281</v>
      </c>
      <c r="D1980" t="s">
        <v>1282</v>
      </c>
      <c r="E1980" s="9">
        <v>45413</v>
      </c>
      <c r="F1980" s="9">
        <v>45443</v>
      </c>
      <c r="G1980">
        <v>179218050</v>
      </c>
      <c r="H1980">
        <v>91889982</v>
      </c>
      <c r="I1980">
        <v>54742968</v>
      </c>
      <c r="J1980">
        <v>38124567</v>
      </c>
      <c r="K1980">
        <v>0</v>
      </c>
      <c r="L1980">
        <v>0</v>
      </c>
      <c r="M1980">
        <v>74945730</v>
      </c>
      <c r="N1980">
        <v>0</v>
      </c>
      <c r="O1980">
        <v>0</v>
      </c>
      <c r="P1980">
        <v>0</v>
      </c>
      <c r="Q1980">
        <v>19876911</v>
      </c>
      <c r="R1980">
        <v>13685742</v>
      </c>
      <c r="S1980">
        <v>0</v>
      </c>
      <c r="T1980" s="9">
        <v>45108</v>
      </c>
      <c r="U1980" s="9">
        <v>45473</v>
      </c>
      <c r="V1980">
        <f>SUM(POTABLE_NONPOTABLE_API[[#This Row],[RESIDENTIAL_SINGLEFAMILY_GAL]:[OTHER_GAL]])</f>
        <v>363975567</v>
      </c>
      <c r="W1980">
        <f>SUM(POTABLE_NONPOTABLE_API[[#This Row],[NONPOTABLE_DEMAND_RESIDENTIAL_RECYCLED_WATER_GAL]:[NONPOTABLE_DEMAND_NONRESIDENTIAL_METERED_IRRIGATION_GAL]])</f>
        <v>33562653</v>
      </c>
      <c r="X1980" t="str">
        <f>IFERROR(INDEX(Crosswalk_API!$H$2:$H$527, MATCH(POTABLE_NONPOTABLE_API[[#This Row],[PWSID]], CW_PWSID_LIST, 0)), "")</f>
        <v>No</v>
      </c>
    </row>
    <row r="1981" spans="1:24" x14ac:dyDescent="0.25">
      <c r="A1981" t="s">
        <v>1279</v>
      </c>
      <c r="B1981" t="s">
        <v>1280</v>
      </c>
      <c r="C1981" t="s">
        <v>1281</v>
      </c>
      <c r="D1981" t="s">
        <v>1282</v>
      </c>
      <c r="E1981" s="9">
        <v>45444</v>
      </c>
      <c r="F1981" s="9">
        <v>45473</v>
      </c>
      <c r="G1981">
        <v>235264422</v>
      </c>
      <c r="H1981">
        <v>108182532</v>
      </c>
      <c r="I1981">
        <v>66799455</v>
      </c>
      <c r="J1981">
        <v>55068819</v>
      </c>
      <c r="K1981">
        <v>0</v>
      </c>
      <c r="L1981">
        <v>0</v>
      </c>
      <c r="M1981">
        <v>101665512</v>
      </c>
      <c r="N1981">
        <v>0</v>
      </c>
      <c r="O1981">
        <v>0</v>
      </c>
      <c r="P1981">
        <v>0</v>
      </c>
      <c r="Q1981">
        <v>33236802</v>
      </c>
      <c r="R1981">
        <v>19551060</v>
      </c>
      <c r="S1981">
        <v>0</v>
      </c>
      <c r="T1981" s="9">
        <v>45108</v>
      </c>
      <c r="U1981" s="9">
        <v>45473</v>
      </c>
      <c r="V1981">
        <f>SUM(POTABLE_NONPOTABLE_API[[#This Row],[RESIDENTIAL_SINGLEFAMILY_GAL]:[OTHER_GAL]])</f>
        <v>465315228</v>
      </c>
      <c r="W1981">
        <f>SUM(POTABLE_NONPOTABLE_API[[#This Row],[NONPOTABLE_DEMAND_RESIDENTIAL_RECYCLED_WATER_GAL]:[NONPOTABLE_DEMAND_NONRESIDENTIAL_METERED_IRRIGATION_GAL]])</f>
        <v>52787862</v>
      </c>
      <c r="X1981" t="str">
        <f>IFERROR(INDEX(Crosswalk_API!$H$2:$H$527, MATCH(POTABLE_NONPOTABLE_API[[#This Row],[PWSID]], CW_PWSID_LIST, 0)), "")</f>
        <v>No</v>
      </c>
    </row>
    <row r="1982" spans="1:24" x14ac:dyDescent="0.25">
      <c r="A1982" t="s">
        <v>1283</v>
      </c>
      <c r="B1982" t="s">
        <v>1284</v>
      </c>
      <c r="C1982" t="s">
        <v>1285</v>
      </c>
      <c r="D1982" t="s">
        <v>1286</v>
      </c>
      <c r="E1982" s="9">
        <v>45108</v>
      </c>
      <c r="F1982" s="9">
        <v>45138</v>
      </c>
      <c r="G1982">
        <v>26197529.092</v>
      </c>
      <c r="H1982">
        <v>36492968.767999999</v>
      </c>
      <c r="I1982">
        <v>9489787.6720000003</v>
      </c>
      <c r="J1982">
        <v>41114434.024000004</v>
      </c>
      <c r="K1982">
        <v>943293.57200000004</v>
      </c>
      <c r="L1982">
        <v>17953.248</v>
      </c>
      <c r="M1982">
        <v>0</v>
      </c>
      <c r="T1982" s="9">
        <v>45108</v>
      </c>
      <c r="U1982" s="9">
        <v>45473</v>
      </c>
      <c r="V1982">
        <f>SUM(POTABLE_NONPOTABLE_API[[#This Row],[RESIDENTIAL_SINGLEFAMILY_GAL]:[OTHER_GAL]])</f>
        <v>114255966.376</v>
      </c>
      <c r="W1982">
        <f>SUM(POTABLE_NONPOTABLE_API[[#This Row],[NONPOTABLE_DEMAND_RESIDENTIAL_RECYCLED_WATER_GAL]:[NONPOTABLE_DEMAND_NONRESIDENTIAL_METERED_IRRIGATION_GAL]])</f>
        <v>0</v>
      </c>
      <c r="X1982" t="str">
        <f>IFERROR(INDEX(Crosswalk_API!$H$2:$H$527, MATCH(POTABLE_NONPOTABLE_API[[#This Row],[PWSID]], CW_PWSID_LIST, 0)), "")</f>
        <v>No</v>
      </c>
    </row>
    <row r="1983" spans="1:24" x14ac:dyDescent="0.25">
      <c r="A1983" t="s">
        <v>1283</v>
      </c>
      <c r="B1983" t="s">
        <v>1284</v>
      </c>
      <c r="C1983" t="s">
        <v>1285</v>
      </c>
      <c r="D1983" t="s">
        <v>1286</v>
      </c>
      <c r="E1983" s="9">
        <v>45139</v>
      </c>
      <c r="F1983" s="9">
        <v>45169</v>
      </c>
      <c r="G1983">
        <v>31117467.096000001</v>
      </c>
      <c r="H1983">
        <v>47853634.491999999</v>
      </c>
      <c r="I1983">
        <v>16410016.724000001</v>
      </c>
      <c r="J1983">
        <v>51791380.219999999</v>
      </c>
      <c r="K1983">
        <v>1926233.9000000001</v>
      </c>
      <c r="L1983">
        <v>262566.25199999998</v>
      </c>
      <c r="M1983">
        <v>0</v>
      </c>
      <c r="T1983" s="9">
        <v>45108</v>
      </c>
      <c r="U1983" s="9">
        <v>45473</v>
      </c>
      <c r="V1983">
        <f>SUM(POTABLE_NONPOTABLE_API[[#This Row],[RESIDENTIAL_SINGLEFAMILY_GAL]:[OTHER_GAL]])</f>
        <v>149361298.68400002</v>
      </c>
      <c r="W1983">
        <f>SUM(POTABLE_NONPOTABLE_API[[#This Row],[NONPOTABLE_DEMAND_RESIDENTIAL_RECYCLED_WATER_GAL]:[NONPOTABLE_DEMAND_NONRESIDENTIAL_METERED_IRRIGATION_GAL]])</f>
        <v>0</v>
      </c>
      <c r="X1983" t="str">
        <f>IFERROR(INDEX(Crosswalk_API!$H$2:$H$527, MATCH(POTABLE_NONPOTABLE_API[[#This Row],[PWSID]], CW_PWSID_LIST, 0)), "")</f>
        <v>No</v>
      </c>
    </row>
    <row r="1984" spans="1:24" x14ac:dyDescent="0.25">
      <c r="A1984" t="s">
        <v>1283</v>
      </c>
      <c r="B1984" t="s">
        <v>1284</v>
      </c>
      <c r="C1984" t="s">
        <v>1285</v>
      </c>
      <c r="D1984" t="s">
        <v>1286</v>
      </c>
      <c r="E1984" s="9">
        <v>45170</v>
      </c>
      <c r="F1984" s="9">
        <v>45199</v>
      </c>
      <c r="G1984">
        <v>31014235.920000002</v>
      </c>
      <c r="H1984">
        <v>37522288.32</v>
      </c>
      <c r="I1984">
        <v>11333735.852</v>
      </c>
      <c r="J1984">
        <v>48972720.284000002</v>
      </c>
      <c r="K1984">
        <v>1568665.044</v>
      </c>
      <c r="L1984">
        <v>11220.78</v>
      </c>
      <c r="M1984">
        <v>0</v>
      </c>
      <c r="T1984" s="9">
        <v>45108</v>
      </c>
      <c r="U1984" s="9">
        <v>45473</v>
      </c>
      <c r="V1984">
        <f>SUM(POTABLE_NONPOTABLE_API[[#This Row],[RESIDENTIAL_SINGLEFAMILY_GAL]:[OTHER_GAL]])</f>
        <v>130422866.20000002</v>
      </c>
      <c r="W1984">
        <f>SUM(POTABLE_NONPOTABLE_API[[#This Row],[NONPOTABLE_DEMAND_RESIDENTIAL_RECYCLED_WATER_GAL]:[NONPOTABLE_DEMAND_NONRESIDENTIAL_METERED_IRRIGATION_GAL]])</f>
        <v>0</v>
      </c>
      <c r="X1984" t="str">
        <f>IFERROR(INDEX(Crosswalk_API!$H$2:$H$527, MATCH(POTABLE_NONPOTABLE_API[[#This Row],[PWSID]], CW_PWSID_LIST, 0)), "")</f>
        <v>No</v>
      </c>
    </row>
    <row r="1985" spans="1:24" x14ac:dyDescent="0.25">
      <c r="A1985" t="s">
        <v>1283</v>
      </c>
      <c r="B1985" t="s">
        <v>1284</v>
      </c>
      <c r="C1985" t="s">
        <v>1285</v>
      </c>
      <c r="D1985" t="s">
        <v>1286</v>
      </c>
      <c r="E1985" s="9">
        <v>45200</v>
      </c>
      <c r="F1985" s="9">
        <v>45230</v>
      </c>
      <c r="G1985">
        <v>30664147.584000003</v>
      </c>
      <c r="H1985">
        <v>47009083.784000002</v>
      </c>
      <c r="I1985">
        <v>17089995.991999999</v>
      </c>
      <c r="J1985">
        <v>42305332.807999998</v>
      </c>
      <c r="K1985">
        <v>1974109.2280000001</v>
      </c>
      <c r="L1985">
        <v>285755.864</v>
      </c>
      <c r="M1985">
        <v>0</v>
      </c>
      <c r="T1985" s="9">
        <v>45108</v>
      </c>
      <c r="U1985" s="9">
        <v>45473</v>
      </c>
      <c r="V1985">
        <f>SUM(POTABLE_NONPOTABLE_API[[#This Row],[RESIDENTIAL_SINGLEFAMILY_GAL]:[OTHER_GAL]])</f>
        <v>139328425.25999996</v>
      </c>
      <c r="W1985">
        <f>SUM(POTABLE_NONPOTABLE_API[[#This Row],[NONPOTABLE_DEMAND_RESIDENTIAL_RECYCLED_WATER_GAL]:[NONPOTABLE_DEMAND_NONRESIDENTIAL_METERED_IRRIGATION_GAL]])</f>
        <v>0</v>
      </c>
      <c r="X1985" t="str">
        <f>IFERROR(INDEX(Crosswalk_API!$H$2:$H$527, MATCH(POTABLE_NONPOTABLE_API[[#This Row],[PWSID]], CW_PWSID_LIST, 0)), "")</f>
        <v>No</v>
      </c>
    </row>
    <row r="1986" spans="1:24" x14ac:dyDescent="0.25">
      <c r="A1986" t="s">
        <v>1283</v>
      </c>
      <c r="B1986" t="s">
        <v>1284</v>
      </c>
      <c r="C1986" t="s">
        <v>1285</v>
      </c>
      <c r="D1986" t="s">
        <v>1286</v>
      </c>
      <c r="E1986" s="9">
        <v>45231</v>
      </c>
      <c r="F1986" s="9">
        <v>45260</v>
      </c>
      <c r="G1986">
        <v>28200812.348000001</v>
      </c>
      <c r="H1986">
        <v>35016314.119999997</v>
      </c>
      <c r="I1986">
        <v>9995470.824000001</v>
      </c>
      <c r="J1986">
        <v>34518111.487999998</v>
      </c>
      <c r="K1986">
        <v>1425787.112</v>
      </c>
      <c r="L1986">
        <v>29922.080000000002</v>
      </c>
      <c r="M1986">
        <v>0</v>
      </c>
      <c r="T1986" s="9">
        <v>45108</v>
      </c>
      <c r="U1986" s="9">
        <v>45473</v>
      </c>
      <c r="V1986">
        <f>SUM(POTABLE_NONPOTABLE_API[[#This Row],[RESIDENTIAL_SINGLEFAMILY_GAL]:[OTHER_GAL]])</f>
        <v>109186417.972</v>
      </c>
      <c r="W1986">
        <f>SUM(POTABLE_NONPOTABLE_API[[#This Row],[NONPOTABLE_DEMAND_RESIDENTIAL_RECYCLED_WATER_GAL]:[NONPOTABLE_DEMAND_NONRESIDENTIAL_METERED_IRRIGATION_GAL]])</f>
        <v>0</v>
      </c>
      <c r="X1986" t="str">
        <f>IFERROR(INDEX(Crosswalk_API!$H$2:$H$527, MATCH(POTABLE_NONPOTABLE_API[[#This Row],[PWSID]], CW_PWSID_LIST, 0)), "")</f>
        <v>No</v>
      </c>
    </row>
    <row r="1987" spans="1:24" x14ac:dyDescent="0.25">
      <c r="A1987" t="s">
        <v>1283</v>
      </c>
      <c r="B1987" t="s">
        <v>1284</v>
      </c>
      <c r="C1987" t="s">
        <v>1285</v>
      </c>
      <c r="D1987" t="s">
        <v>1286</v>
      </c>
      <c r="E1987" s="9">
        <v>45261</v>
      </c>
      <c r="F1987" s="9">
        <v>45291</v>
      </c>
      <c r="G1987">
        <v>26106266.748</v>
      </c>
      <c r="H1987">
        <v>43433395.223999999</v>
      </c>
      <c r="I1987">
        <v>15601372.512</v>
      </c>
      <c r="J1987">
        <v>18319045.427999999</v>
      </c>
      <c r="K1987">
        <v>1706306.612</v>
      </c>
      <c r="L1987">
        <v>296228.592</v>
      </c>
      <c r="M1987">
        <v>0</v>
      </c>
      <c r="T1987" s="9">
        <v>45108</v>
      </c>
      <c r="U1987" s="9">
        <v>45473</v>
      </c>
      <c r="V1987">
        <f>SUM(POTABLE_NONPOTABLE_API[[#This Row],[RESIDENTIAL_SINGLEFAMILY_GAL]:[OTHER_GAL]])</f>
        <v>105462615.116</v>
      </c>
      <c r="W1987">
        <f>SUM(POTABLE_NONPOTABLE_API[[#This Row],[NONPOTABLE_DEMAND_RESIDENTIAL_RECYCLED_WATER_GAL]:[NONPOTABLE_DEMAND_NONRESIDENTIAL_METERED_IRRIGATION_GAL]])</f>
        <v>0</v>
      </c>
      <c r="X1987" t="str">
        <f>IFERROR(INDEX(Crosswalk_API!$H$2:$H$527, MATCH(POTABLE_NONPOTABLE_API[[#This Row],[PWSID]], CW_PWSID_LIST, 0)), "")</f>
        <v>No</v>
      </c>
    </row>
    <row r="1988" spans="1:24" x14ac:dyDescent="0.25">
      <c r="A1988" t="s">
        <v>1283</v>
      </c>
      <c r="B1988" t="s">
        <v>1284</v>
      </c>
      <c r="C1988" t="s">
        <v>1285</v>
      </c>
      <c r="D1988" t="s">
        <v>1286</v>
      </c>
      <c r="E1988" s="9">
        <v>45292</v>
      </c>
      <c r="F1988" s="9">
        <v>45322</v>
      </c>
      <c r="G1988">
        <v>20747970.272</v>
      </c>
      <c r="H1988">
        <v>31045654.104000002</v>
      </c>
      <c r="I1988">
        <v>8049787.5720000006</v>
      </c>
      <c r="J1988">
        <v>4924426.3160000006</v>
      </c>
      <c r="K1988">
        <v>745807.84400000004</v>
      </c>
      <c r="L1988">
        <v>29174.028000000002</v>
      </c>
      <c r="M1988">
        <v>0</v>
      </c>
      <c r="T1988" s="9">
        <v>45108</v>
      </c>
      <c r="U1988" s="9">
        <v>45473</v>
      </c>
      <c r="V1988">
        <f>SUM(POTABLE_NONPOTABLE_API[[#This Row],[RESIDENTIAL_SINGLEFAMILY_GAL]:[OTHER_GAL]])</f>
        <v>65542820.135999992</v>
      </c>
      <c r="W1988">
        <f>SUM(POTABLE_NONPOTABLE_API[[#This Row],[NONPOTABLE_DEMAND_RESIDENTIAL_RECYCLED_WATER_GAL]:[NONPOTABLE_DEMAND_NONRESIDENTIAL_METERED_IRRIGATION_GAL]])</f>
        <v>0</v>
      </c>
      <c r="X1988" t="str">
        <f>IFERROR(INDEX(Crosswalk_API!$H$2:$H$527, MATCH(POTABLE_NONPOTABLE_API[[#This Row],[PWSID]], CW_PWSID_LIST, 0)), "")</f>
        <v>No</v>
      </c>
    </row>
    <row r="1989" spans="1:24" x14ac:dyDescent="0.25">
      <c r="A1989" t="s">
        <v>1283</v>
      </c>
      <c r="B1989" t="s">
        <v>1284</v>
      </c>
      <c r="C1989" t="s">
        <v>1285</v>
      </c>
      <c r="D1989" t="s">
        <v>1286</v>
      </c>
      <c r="E1989" s="9">
        <v>45323</v>
      </c>
      <c r="F1989" s="9">
        <v>45351</v>
      </c>
      <c r="G1989">
        <v>20233310.495999999</v>
      </c>
      <c r="H1989">
        <v>40468865.148000002</v>
      </c>
      <c r="I1989">
        <v>14967024.416000001</v>
      </c>
      <c r="J1989">
        <v>2502233.94</v>
      </c>
      <c r="K1989">
        <v>1064477.996</v>
      </c>
      <c r="L1989">
        <v>274535.08400000003</v>
      </c>
      <c r="M1989">
        <v>0</v>
      </c>
      <c r="T1989" s="9">
        <v>45108</v>
      </c>
      <c r="U1989" s="9">
        <v>45473</v>
      </c>
      <c r="V1989">
        <f>SUM(POTABLE_NONPOTABLE_API[[#This Row],[RESIDENTIAL_SINGLEFAMILY_GAL]:[OTHER_GAL]])</f>
        <v>79510447.080000013</v>
      </c>
      <c r="W1989">
        <f>SUM(POTABLE_NONPOTABLE_API[[#This Row],[NONPOTABLE_DEMAND_RESIDENTIAL_RECYCLED_WATER_GAL]:[NONPOTABLE_DEMAND_NONRESIDENTIAL_METERED_IRRIGATION_GAL]])</f>
        <v>0</v>
      </c>
      <c r="X1989" t="str">
        <f>IFERROR(INDEX(Crosswalk_API!$H$2:$H$527, MATCH(POTABLE_NONPOTABLE_API[[#This Row],[PWSID]], CW_PWSID_LIST, 0)), "")</f>
        <v>No</v>
      </c>
    </row>
    <row r="1990" spans="1:24" x14ac:dyDescent="0.25">
      <c r="A1990" t="s">
        <v>1283</v>
      </c>
      <c r="B1990" t="s">
        <v>1284</v>
      </c>
      <c r="C1990" t="s">
        <v>1285</v>
      </c>
      <c r="D1990" t="s">
        <v>1286</v>
      </c>
      <c r="E1990" s="9">
        <v>45352</v>
      </c>
      <c r="F1990" s="9">
        <v>45382</v>
      </c>
      <c r="G1990">
        <v>16740655.708000001</v>
      </c>
      <c r="H1990">
        <v>30225789.112</v>
      </c>
      <c r="I1990">
        <v>7069091.4000000004</v>
      </c>
      <c r="J1990">
        <v>1807293.632</v>
      </c>
      <c r="K1990">
        <v>621631.21200000006</v>
      </c>
      <c r="L1990">
        <v>17953.248</v>
      </c>
      <c r="M1990">
        <v>0</v>
      </c>
      <c r="T1990" s="9">
        <v>45108</v>
      </c>
      <c r="U1990" s="9">
        <v>45473</v>
      </c>
      <c r="V1990">
        <f>SUM(POTABLE_NONPOTABLE_API[[#This Row],[RESIDENTIAL_SINGLEFAMILY_GAL]:[OTHER_GAL]])</f>
        <v>56482414.311999999</v>
      </c>
      <c r="W1990">
        <f>SUM(POTABLE_NONPOTABLE_API[[#This Row],[NONPOTABLE_DEMAND_RESIDENTIAL_RECYCLED_WATER_GAL]:[NONPOTABLE_DEMAND_NONRESIDENTIAL_METERED_IRRIGATION_GAL]])</f>
        <v>0</v>
      </c>
      <c r="X1990" t="str">
        <f>IFERROR(INDEX(Crosswalk_API!$H$2:$H$527, MATCH(POTABLE_NONPOTABLE_API[[#This Row],[PWSID]], CW_PWSID_LIST, 0)), "")</f>
        <v>No</v>
      </c>
    </row>
    <row r="1991" spans="1:24" x14ac:dyDescent="0.25">
      <c r="A1991" t="s">
        <v>1283</v>
      </c>
      <c r="B1991" t="s">
        <v>1284</v>
      </c>
      <c r="C1991" t="s">
        <v>1285</v>
      </c>
      <c r="D1991" t="s">
        <v>1286</v>
      </c>
      <c r="E1991" s="9">
        <v>45383</v>
      </c>
      <c r="F1991" s="9">
        <v>45412</v>
      </c>
      <c r="G1991">
        <v>18928707.808000002</v>
      </c>
      <c r="H1991">
        <v>40919940.504000001</v>
      </c>
      <c r="I1991">
        <v>16027762.152000001</v>
      </c>
      <c r="J1991">
        <v>4694026.3</v>
      </c>
      <c r="K1991">
        <v>1260467.6200000001</v>
      </c>
      <c r="L1991">
        <v>750296.15600000008</v>
      </c>
      <c r="M1991">
        <v>0</v>
      </c>
      <c r="T1991" s="9">
        <v>45108</v>
      </c>
      <c r="U1991" s="9">
        <v>45473</v>
      </c>
      <c r="V1991">
        <f>SUM(POTABLE_NONPOTABLE_API[[#This Row],[RESIDENTIAL_SINGLEFAMILY_GAL]:[OTHER_GAL]])</f>
        <v>82581200.540000007</v>
      </c>
      <c r="W1991">
        <f>SUM(POTABLE_NONPOTABLE_API[[#This Row],[NONPOTABLE_DEMAND_RESIDENTIAL_RECYCLED_WATER_GAL]:[NONPOTABLE_DEMAND_NONRESIDENTIAL_METERED_IRRIGATION_GAL]])</f>
        <v>0</v>
      </c>
      <c r="X1991" t="str">
        <f>IFERROR(INDEX(Crosswalk_API!$H$2:$H$527, MATCH(POTABLE_NONPOTABLE_API[[#This Row],[PWSID]], CW_PWSID_LIST, 0)), "")</f>
        <v>No</v>
      </c>
    </row>
    <row r="1992" spans="1:24" x14ac:dyDescent="0.25">
      <c r="A1992" t="s">
        <v>1283</v>
      </c>
      <c r="B1992" t="s">
        <v>1284</v>
      </c>
      <c r="C1992" t="s">
        <v>1285</v>
      </c>
      <c r="D1992" t="s">
        <v>1286</v>
      </c>
      <c r="E1992" s="9">
        <v>45413</v>
      </c>
      <c r="F1992" s="9">
        <v>45443</v>
      </c>
      <c r="G1992">
        <v>18503066.219999999</v>
      </c>
      <c r="H1992">
        <v>31897685.332000002</v>
      </c>
      <c r="I1992">
        <v>8472436.9519999996</v>
      </c>
      <c r="J1992">
        <v>17805133.704</v>
      </c>
      <c r="K1992">
        <v>697932.51600000006</v>
      </c>
      <c r="L1992">
        <v>12716.884</v>
      </c>
      <c r="M1992">
        <v>0</v>
      </c>
      <c r="T1992" s="9">
        <v>45108</v>
      </c>
      <c r="U1992" s="9">
        <v>45473</v>
      </c>
      <c r="V1992">
        <f>SUM(POTABLE_NONPOTABLE_API[[#This Row],[RESIDENTIAL_SINGLEFAMILY_GAL]:[OTHER_GAL]])</f>
        <v>77388971.60800001</v>
      </c>
      <c r="W1992">
        <f>SUM(POTABLE_NONPOTABLE_API[[#This Row],[NONPOTABLE_DEMAND_RESIDENTIAL_RECYCLED_WATER_GAL]:[NONPOTABLE_DEMAND_NONRESIDENTIAL_METERED_IRRIGATION_GAL]])</f>
        <v>0</v>
      </c>
      <c r="X1992" t="str">
        <f>IFERROR(INDEX(Crosswalk_API!$H$2:$H$527, MATCH(POTABLE_NONPOTABLE_API[[#This Row],[PWSID]], CW_PWSID_LIST, 0)), "")</f>
        <v>No</v>
      </c>
    </row>
    <row r="1993" spans="1:24" x14ac:dyDescent="0.25">
      <c r="A1993" t="s">
        <v>1283</v>
      </c>
      <c r="B1993" t="s">
        <v>1284</v>
      </c>
      <c r="C1993" t="s">
        <v>1285</v>
      </c>
      <c r="D1993" t="s">
        <v>1286</v>
      </c>
      <c r="E1993" s="9">
        <v>45444</v>
      </c>
      <c r="F1993" s="9">
        <v>45473</v>
      </c>
      <c r="G1993">
        <v>25187658.892000001</v>
      </c>
      <c r="H1993">
        <v>45622943.428000003</v>
      </c>
      <c r="I1993">
        <v>16715221.940000001</v>
      </c>
      <c r="J1993">
        <v>40809976.859999999</v>
      </c>
      <c r="K1993">
        <v>1638233.8800000001</v>
      </c>
      <c r="L1993">
        <v>288748.07199999999</v>
      </c>
      <c r="M1993">
        <v>0</v>
      </c>
      <c r="T1993" s="9">
        <v>45108</v>
      </c>
      <c r="U1993" s="9">
        <v>45473</v>
      </c>
      <c r="V1993">
        <f>SUM(POTABLE_NONPOTABLE_API[[#This Row],[RESIDENTIAL_SINGLEFAMILY_GAL]:[OTHER_GAL]])</f>
        <v>130262783.072</v>
      </c>
      <c r="W1993">
        <f>SUM(POTABLE_NONPOTABLE_API[[#This Row],[NONPOTABLE_DEMAND_RESIDENTIAL_RECYCLED_WATER_GAL]:[NONPOTABLE_DEMAND_NONRESIDENTIAL_METERED_IRRIGATION_GAL]])</f>
        <v>0</v>
      </c>
      <c r="X1993" t="str">
        <f>IFERROR(INDEX(Crosswalk_API!$H$2:$H$527, MATCH(POTABLE_NONPOTABLE_API[[#This Row],[PWSID]], CW_PWSID_LIST, 0)), "")</f>
        <v>No</v>
      </c>
    </row>
    <row r="1994" spans="1:24" x14ac:dyDescent="0.25">
      <c r="A1994" t="s">
        <v>1287</v>
      </c>
      <c r="B1994" t="s">
        <v>1288</v>
      </c>
      <c r="C1994" t="s">
        <v>1289</v>
      </c>
      <c r="D1994" t="s">
        <v>1290</v>
      </c>
      <c r="E1994" s="9">
        <v>45108</v>
      </c>
      <c r="F1994" s="9">
        <v>45138</v>
      </c>
      <c r="G1994">
        <v>45152000</v>
      </c>
      <c r="H1994">
        <v>11205000</v>
      </c>
      <c r="I1994">
        <v>28731000</v>
      </c>
      <c r="J1994">
        <v>0</v>
      </c>
      <c r="K1994">
        <v>0</v>
      </c>
      <c r="L1994">
        <v>0</v>
      </c>
      <c r="M1994">
        <v>0</v>
      </c>
      <c r="T1994" s="9">
        <v>45108</v>
      </c>
      <c r="U1994" s="9">
        <v>45473</v>
      </c>
      <c r="V1994">
        <f>SUM(POTABLE_NONPOTABLE_API[[#This Row],[RESIDENTIAL_SINGLEFAMILY_GAL]:[OTHER_GAL]])</f>
        <v>85088000</v>
      </c>
      <c r="W1994">
        <f>SUM(POTABLE_NONPOTABLE_API[[#This Row],[NONPOTABLE_DEMAND_RESIDENTIAL_RECYCLED_WATER_GAL]:[NONPOTABLE_DEMAND_NONRESIDENTIAL_METERED_IRRIGATION_GAL]])</f>
        <v>0</v>
      </c>
      <c r="X1994" t="str">
        <f>IFERROR(INDEX(Crosswalk_API!$H$2:$H$527, MATCH(POTABLE_NONPOTABLE_API[[#This Row],[PWSID]], CW_PWSID_LIST, 0)), "")</f>
        <v>No</v>
      </c>
    </row>
    <row r="1995" spans="1:24" x14ac:dyDescent="0.25">
      <c r="A1995" t="s">
        <v>1287</v>
      </c>
      <c r="B1995" t="s">
        <v>1288</v>
      </c>
      <c r="C1995" t="s">
        <v>1289</v>
      </c>
      <c r="D1995" t="s">
        <v>1290</v>
      </c>
      <c r="E1995" s="9">
        <v>45139</v>
      </c>
      <c r="F1995" s="9">
        <v>45169</v>
      </c>
      <c r="G1995">
        <v>44024000</v>
      </c>
      <c r="H1995">
        <v>11702000</v>
      </c>
      <c r="I1995">
        <v>30007000</v>
      </c>
      <c r="J1995">
        <v>0</v>
      </c>
      <c r="K1995">
        <v>0</v>
      </c>
      <c r="L1995">
        <v>0</v>
      </c>
      <c r="M1995">
        <v>0</v>
      </c>
      <c r="T1995" s="9">
        <v>45108</v>
      </c>
      <c r="U1995" s="9">
        <v>45473</v>
      </c>
      <c r="V1995">
        <f>SUM(POTABLE_NONPOTABLE_API[[#This Row],[RESIDENTIAL_SINGLEFAMILY_GAL]:[OTHER_GAL]])</f>
        <v>85733000</v>
      </c>
      <c r="W1995">
        <f>SUM(POTABLE_NONPOTABLE_API[[#This Row],[NONPOTABLE_DEMAND_RESIDENTIAL_RECYCLED_WATER_GAL]:[NONPOTABLE_DEMAND_NONRESIDENTIAL_METERED_IRRIGATION_GAL]])</f>
        <v>0</v>
      </c>
      <c r="X1995" t="str">
        <f>IFERROR(INDEX(Crosswalk_API!$H$2:$H$527, MATCH(POTABLE_NONPOTABLE_API[[#This Row],[PWSID]], CW_PWSID_LIST, 0)), "")</f>
        <v>No</v>
      </c>
    </row>
    <row r="1996" spans="1:24" x14ac:dyDescent="0.25">
      <c r="A1996" t="s">
        <v>1287</v>
      </c>
      <c r="B1996" t="s">
        <v>1288</v>
      </c>
      <c r="C1996" t="s">
        <v>1289</v>
      </c>
      <c r="D1996" t="s">
        <v>1290</v>
      </c>
      <c r="E1996" s="9">
        <v>45170</v>
      </c>
      <c r="F1996" s="9">
        <v>45199</v>
      </c>
      <c r="G1996">
        <v>39261000</v>
      </c>
      <c r="H1996">
        <v>10437000</v>
      </c>
      <c r="I1996">
        <v>26760000</v>
      </c>
      <c r="J1996">
        <v>0</v>
      </c>
      <c r="K1996">
        <v>0</v>
      </c>
      <c r="L1996">
        <v>0</v>
      </c>
      <c r="M1996">
        <v>0</v>
      </c>
      <c r="T1996" s="9">
        <v>45108</v>
      </c>
      <c r="U1996" s="9">
        <v>45473</v>
      </c>
      <c r="V1996">
        <f>SUM(POTABLE_NONPOTABLE_API[[#This Row],[RESIDENTIAL_SINGLEFAMILY_GAL]:[OTHER_GAL]])</f>
        <v>76458000</v>
      </c>
      <c r="W1996">
        <f>SUM(POTABLE_NONPOTABLE_API[[#This Row],[NONPOTABLE_DEMAND_RESIDENTIAL_RECYCLED_WATER_GAL]:[NONPOTABLE_DEMAND_NONRESIDENTIAL_METERED_IRRIGATION_GAL]])</f>
        <v>0</v>
      </c>
      <c r="X1996" t="str">
        <f>IFERROR(INDEX(Crosswalk_API!$H$2:$H$527, MATCH(POTABLE_NONPOTABLE_API[[#This Row],[PWSID]], CW_PWSID_LIST, 0)), "")</f>
        <v>No</v>
      </c>
    </row>
    <row r="1997" spans="1:24" x14ac:dyDescent="0.25">
      <c r="A1997" t="s">
        <v>1287</v>
      </c>
      <c r="B1997" t="s">
        <v>1288</v>
      </c>
      <c r="C1997" t="s">
        <v>1289</v>
      </c>
      <c r="D1997" t="s">
        <v>1290</v>
      </c>
      <c r="E1997" s="9">
        <v>45200</v>
      </c>
      <c r="F1997" s="9">
        <v>45230</v>
      </c>
      <c r="G1997">
        <v>36485000</v>
      </c>
      <c r="H1997">
        <v>9699000</v>
      </c>
      <c r="I1997">
        <v>24868000</v>
      </c>
      <c r="J1997">
        <v>0</v>
      </c>
      <c r="K1997">
        <v>0</v>
      </c>
      <c r="L1997">
        <v>0</v>
      </c>
      <c r="M1997">
        <v>0</v>
      </c>
      <c r="T1997" s="9">
        <v>45108</v>
      </c>
      <c r="U1997" s="9">
        <v>45473</v>
      </c>
      <c r="V1997">
        <f>SUM(POTABLE_NONPOTABLE_API[[#This Row],[RESIDENTIAL_SINGLEFAMILY_GAL]:[OTHER_GAL]])</f>
        <v>71052000</v>
      </c>
      <c r="W1997">
        <f>SUM(POTABLE_NONPOTABLE_API[[#This Row],[NONPOTABLE_DEMAND_RESIDENTIAL_RECYCLED_WATER_GAL]:[NONPOTABLE_DEMAND_NONRESIDENTIAL_METERED_IRRIGATION_GAL]])</f>
        <v>0</v>
      </c>
      <c r="X1997" t="str">
        <f>IFERROR(INDEX(Crosswalk_API!$H$2:$H$527, MATCH(POTABLE_NONPOTABLE_API[[#This Row],[PWSID]], CW_PWSID_LIST, 0)), "")</f>
        <v>No</v>
      </c>
    </row>
    <row r="1998" spans="1:24" x14ac:dyDescent="0.25">
      <c r="A1998" t="s">
        <v>1287</v>
      </c>
      <c r="B1998" t="s">
        <v>1288</v>
      </c>
      <c r="C1998" t="s">
        <v>1289</v>
      </c>
      <c r="D1998" t="s">
        <v>1290</v>
      </c>
      <c r="E1998" s="9">
        <v>45231</v>
      </c>
      <c r="F1998" s="9">
        <v>45260</v>
      </c>
      <c r="G1998">
        <v>34478000</v>
      </c>
      <c r="H1998">
        <v>9165000</v>
      </c>
      <c r="I1998">
        <v>23500000</v>
      </c>
      <c r="J1998">
        <v>0</v>
      </c>
      <c r="K1998">
        <v>0</v>
      </c>
      <c r="L1998">
        <v>0</v>
      </c>
      <c r="M1998">
        <v>0</v>
      </c>
      <c r="T1998" s="9">
        <v>45108</v>
      </c>
      <c r="U1998" s="9">
        <v>45473</v>
      </c>
      <c r="V1998">
        <f>SUM(POTABLE_NONPOTABLE_API[[#This Row],[RESIDENTIAL_SINGLEFAMILY_GAL]:[OTHER_GAL]])</f>
        <v>67143000</v>
      </c>
      <c r="W1998">
        <f>SUM(POTABLE_NONPOTABLE_API[[#This Row],[NONPOTABLE_DEMAND_RESIDENTIAL_RECYCLED_WATER_GAL]:[NONPOTABLE_DEMAND_NONRESIDENTIAL_METERED_IRRIGATION_GAL]])</f>
        <v>0</v>
      </c>
      <c r="X1998" t="str">
        <f>IFERROR(INDEX(Crosswalk_API!$H$2:$H$527, MATCH(POTABLE_NONPOTABLE_API[[#This Row],[PWSID]], CW_PWSID_LIST, 0)), "")</f>
        <v>No</v>
      </c>
    </row>
    <row r="1999" spans="1:24" x14ac:dyDescent="0.25">
      <c r="A1999" t="s">
        <v>1287</v>
      </c>
      <c r="B1999" t="s">
        <v>1288</v>
      </c>
      <c r="C1999" t="s">
        <v>1289</v>
      </c>
      <c r="D1999" t="s">
        <v>1290</v>
      </c>
      <c r="E1999" s="9">
        <v>45261</v>
      </c>
      <c r="F1999" s="9">
        <v>45291</v>
      </c>
      <c r="G1999">
        <v>35484000</v>
      </c>
      <c r="H1999">
        <v>9433000</v>
      </c>
      <c r="I1999">
        <v>24186000</v>
      </c>
      <c r="J1999">
        <v>0</v>
      </c>
      <c r="K1999">
        <v>0</v>
      </c>
      <c r="L1999">
        <v>0</v>
      </c>
      <c r="M1999">
        <v>0</v>
      </c>
      <c r="T1999" s="9">
        <v>45108</v>
      </c>
      <c r="U1999" s="9">
        <v>45473</v>
      </c>
      <c r="V1999">
        <f>SUM(POTABLE_NONPOTABLE_API[[#This Row],[RESIDENTIAL_SINGLEFAMILY_GAL]:[OTHER_GAL]])</f>
        <v>69103000</v>
      </c>
      <c r="W1999">
        <f>SUM(POTABLE_NONPOTABLE_API[[#This Row],[NONPOTABLE_DEMAND_RESIDENTIAL_RECYCLED_WATER_GAL]:[NONPOTABLE_DEMAND_NONRESIDENTIAL_METERED_IRRIGATION_GAL]])</f>
        <v>0</v>
      </c>
      <c r="X1999" t="str">
        <f>IFERROR(INDEX(Crosswalk_API!$H$2:$H$527, MATCH(POTABLE_NONPOTABLE_API[[#This Row],[PWSID]], CW_PWSID_LIST, 0)), "")</f>
        <v>No</v>
      </c>
    </row>
    <row r="2000" spans="1:24" x14ac:dyDescent="0.25">
      <c r="A2000" t="s">
        <v>1287</v>
      </c>
      <c r="B2000" t="s">
        <v>1288</v>
      </c>
      <c r="C2000" t="s">
        <v>1289</v>
      </c>
      <c r="D2000" t="s">
        <v>1290</v>
      </c>
      <c r="E2000" s="9">
        <v>45292</v>
      </c>
      <c r="F2000" s="9">
        <v>45322</v>
      </c>
      <c r="G2000">
        <v>36587000</v>
      </c>
      <c r="H2000">
        <v>9726000</v>
      </c>
      <c r="I2000">
        <v>24938000</v>
      </c>
      <c r="J2000">
        <v>0</v>
      </c>
      <c r="K2000">
        <v>0</v>
      </c>
      <c r="L2000">
        <v>0</v>
      </c>
      <c r="M2000">
        <v>0</v>
      </c>
      <c r="T2000" s="9">
        <v>45108</v>
      </c>
      <c r="U2000" s="9">
        <v>45473</v>
      </c>
      <c r="V2000">
        <f>SUM(POTABLE_NONPOTABLE_API[[#This Row],[RESIDENTIAL_SINGLEFAMILY_GAL]:[OTHER_GAL]])</f>
        <v>71251000</v>
      </c>
      <c r="W2000">
        <f>SUM(POTABLE_NONPOTABLE_API[[#This Row],[NONPOTABLE_DEMAND_RESIDENTIAL_RECYCLED_WATER_GAL]:[NONPOTABLE_DEMAND_NONRESIDENTIAL_METERED_IRRIGATION_GAL]])</f>
        <v>0</v>
      </c>
      <c r="X2000" t="str">
        <f>IFERROR(INDEX(Crosswalk_API!$H$2:$H$527, MATCH(POTABLE_NONPOTABLE_API[[#This Row],[PWSID]], CW_PWSID_LIST, 0)), "")</f>
        <v>No</v>
      </c>
    </row>
    <row r="2001" spans="1:24" x14ac:dyDescent="0.25">
      <c r="A2001" t="s">
        <v>1287</v>
      </c>
      <c r="B2001" t="s">
        <v>1288</v>
      </c>
      <c r="C2001" t="s">
        <v>1289</v>
      </c>
      <c r="D2001" t="s">
        <v>1290</v>
      </c>
      <c r="E2001" s="9">
        <v>45323</v>
      </c>
      <c r="F2001" s="9">
        <v>45351</v>
      </c>
      <c r="G2001">
        <v>33192999.999999996</v>
      </c>
      <c r="H2001">
        <v>8824000</v>
      </c>
      <c r="I2001">
        <v>22625000</v>
      </c>
      <c r="J2001">
        <v>0</v>
      </c>
      <c r="K2001">
        <v>0</v>
      </c>
      <c r="L2001">
        <v>0</v>
      </c>
      <c r="M2001">
        <v>0</v>
      </c>
      <c r="T2001" s="9">
        <v>45108</v>
      </c>
      <c r="U2001" s="9">
        <v>45473</v>
      </c>
      <c r="V2001">
        <f>SUM(POTABLE_NONPOTABLE_API[[#This Row],[RESIDENTIAL_SINGLEFAMILY_GAL]:[OTHER_GAL]])</f>
        <v>64642000</v>
      </c>
      <c r="W2001">
        <f>SUM(POTABLE_NONPOTABLE_API[[#This Row],[NONPOTABLE_DEMAND_RESIDENTIAL_RECYCLED_WATER_GAL]:[NONPOTABLE_DEMAND_NONRESIDENTIAL_METERED_IRRIGATION_GAL]])</f>
        <v>0</v>
      </c>
      <c r="X2001" t="str">
        <f>IFERROR(INDEX(Crosswalk_API!$H$2:$H$527, MATCH(POTABLE_NONPOTABLE_API[[#This Row],[PWSID]], CW_PWSID_LIST, 0)), "")</f>
        <v>No</v>
      </c>
    </row>
    <row r="2002" spans="1:24" x14ac:dyDescent="0.25">
      <c r="A2002" t="s">
        <v>1287</v>
      </c>
      <c r="B2002" t="s">
        <v>1288</v>
      </c>
      <c r="C2002" t="s">
        <v>1289</v>
      </c>
      <c r="D2002" t="s">
        <v>1290</v>
      </c>
      <c r="E2002" s="9">
        <v>45352</v>
      </c>
      <c r="F2002" s="9">
        <v>45382</v>
      </c>
      <c r="G2002">
        <v>34607000</v>
      </c>
      <c r="H2002">
        <v>9199000</v>
      </c>
      <c r="I2002">
        <v>25588000</v>
      </c>
      <c r="J2002">
        <v>0</v>
      </c>
      <c r="K2002">
        <v>0</v>
      </c>
      <c r="L2002">
        <v>0</v>
      </c>
      <c r="M2002">
        <v>0</v>
      </c>
      <c r="T2002" s="9">
        <v>45108</v>
      </c>
      <c r="U2002" s="9">
        <v>45473</v>
      </c>
      <c r="V2002">
        <f>SUM(POTABLE_NONPOTABLE_API[[#This Row],[RESIDENTIAL_SINGLEFAMILY_GAL]:[OTHER_GAL]])</f>
        <v>69394000</v>
      </c>
      <c r="W2002">
        <f>SUM(POTABLE_NONPOTABLE_API[[#This Row],[NONPOTABLE_DEMAND_RESIDENTIAL_RECYCLED_WATER_GAL]:[NONPOTABLE_DEMAND_NONRESIDENTIAL_METERED_IRRIGATION_GAL]])</f>
        <v>0</v>
      </c>
      <c r="X2002" t="str">
        <f>IFERROR(INDEX(Crosswalk_API!$H$2:$H$527, MATCH(POTABLE_NONPOTABLE_API[[#This Row],[PWSID]], CW_PWSID_LIST, 0)), "")</f>
        <v>No</v>
      </c>
    </row>
    <row r="2003" spans="1:24" x14ac:dyDescent="0.25">
      <c r="A2003" t="s">
        <v>1287</v>
      </c>
      <c r="B2003" t="s">
        <v>1288</v>
      </c>
      <c r="C2003" t="s">
        <v>1289</v>
      </c>
      <c r="D2003" t="s">
        <v>1290</v>
      </c>
      <c r="E2003" s="9">
        <v>45383</v>
      </c>
      <c r="F2003" s="9">
        <v>45412</v>
      </c>
      <c r="G2003">
        <v>33646000</v>
      </c>
      <c r="H2003">
        <v>8944000</v>
      </c>
      <c r="I2003">
        <v>22933000</v>
      </c>
      <c r="J2003">
        <v>0</v>
      </c>
      <c r="K2003">
        <v>0</v>
      </c>
      <c r="L2003">
        <v>0</v>
      </c>
      <c r="M2003">
        <v>0</v>
      </c>
      <c r="T2003" s="9">
        <v>45108</v>
      </c>
      <c r="U2003" s="9">
        <v>45473</v>
      </c>
      <c r="V2003">
        <f>SUM(POTABLE_NONPOTABLE_API[[#This Row],[RESIDENTIAL_SINGLEFAMILY_GAL]:[OTHER_GAL]])</f>
        <v>65523000</v>
      </c>
      <c r="W2003">
        <f>SUM(POTABLE_NONPOTABLE_API[[#This Row],[NONPOTABLE_DEMAND_RESIDENTIAL_RECYCLED_WATER_GAL]:[NONPOTABLE_DEMAND_NONRESIDENTIAL_METERED_IRRIGATION_GAL]])</f>
        <v>0</v>
      </c>
      <c r="X2003" t="str">
        <f>IFERROR(INDEX(Crosswalk_API!$H$2:$H$527, MATCH(POTABLE_NONPOTABLE_API[[#This Row],[PWSID]], CW_PWSID_LIST, 0)), "")</f>
        <v>No</v>
      </c>
    </row>
    <row r="2004" spans="1:24" x14ac:dyDescent="0.25">
      <c r="A2004" t="s">
        <v>1287</v>
      </c>
      <c r="B2004" t="s">
        <v>1288</v>
      </c>
      <c r="C2004" t="s">
        <v>1289</v>
      </c>
      <c r="D2004" t="s">
        <v>1290</v>
      </c>
      <c r="E2004" s="9">
        <v>45413</v>
      </c>
      <c r="F2004" s="9">
        <v>45443</v>
      </c>
      <c r="G2004">
        <v>35696000</v>
      </c>
      <c r="H2004">
        <v>9489000</v>
      </c>
      <c r="I2004">
        <v>24331000</v>
      </c>
      <c r="J2004">
        <v>0</v>
      </c>
      <c r="K2004">
        <v>0</v>
      </c>
      <c r="L2004">
        <v>0</v>
      </c>
      <c r="M2004">
        <v>0</v>
      </c>
      <c r="T2004" s="9">
        <v>45108</v>
      </c>
      <c r="U2004" s="9">
        <v>45473</v>
      </c>
      <c r="V2004">
        <f>SUM(POTABLE_NONPOTABLE_API[[#This Row],[RESIDENTIAL_SINGLEFAMILY_GAL]:[OTHER_GAL]])</f>
        <v>69516000</v>
      </c>
      <c r="W2004">
        <f>SUM(POTABLE_NONPOTABLE_API[[#This Row],[NONPOTABLE_DEMAND_RESIDENTIAL_RECYCLED_WATER_GAL]:[NONPOTABLE_DEMAND_NONRESIDENTIAL_METERED_IRRIGATION_GAL]])</f>
        <v>0</v>
      </c>
      <c r="X2004" t="str">
        <f>IFERROR(INDEX(Crosswalk_API!$H$2:$H$527, MATCH(POTABLE_NONPOTABLE_API[[#This Row],[PWSID]], CW_PWSID_LIST, 0)), "")</f>
        <v>No</v>
      </c>
    </row>
    <row r="2005" spans="1:24" x14ac:dyDescent="0.25">
      <c r="A2005" t="s">
        <v>1287</v>
      </c>
      <c r="B2005" t="s">
        <v>1288</v>
      </c>
      <c r="C2005" t="s">
        <v>1289</v>
      </c>
      <c r="D2005" t="s">
        <v>1290</v>
      </c>
      <c r="E2005" s="9">
        <v>45444</v>
      </c>
      <c r="F2005" s="9">
        <v>45473</v>
      </c>
      <c r="G2005">
        <v>38076000</v>
      </c>
      <c r="H2005">
        <v>10121000</v>
      </c>
      <c r="I2005">
        <v>25952000</v>
      </c>
      <c r="J2005">
        <v>0</v>
      </c>
      <c r="K2005">
        <v>0</v>
      </c>
      <c r="L2005">
        <v>0</v>
      </c>
      <c r="M2005">
        <v>0</v>
      </c>
      <c r="T2005" s="9">
        <v>45108</v>
      </c>
      <c r="U2005" s="9">
        <v>45473</v>
      </c>
      <c r="V2005">
        <f>SUM(POTABLE_NONPOTABLE_API[[#This Row],[RESIDENTIAL_SINGLEFAMILY_GAL]:[OTHER_GAL]])</f>
        <v>74149000</v>
      </c>
      <c r="W2005">
        <f>SUM(POTABLE_NONPOTABLE_API[[#This Row],[NONPOTABLE_DEMAND_RESIDENTIAL_RECYCLED_WATER_GAL]:[NONPOTABLE_DEMAND_NONRESIDENTIAL_METERED_IRRIGATION_GAL]])</f>
        <v>0</v>
      </c>
      <c r="X2005" t="str">
        <f>IFERROR(INDEX(Crosswalk_API!$H$2:$H$527, MATCH(POTABLE_NONPOTABLE_API[[#This Row],[PWSID]], CW_PWSID_LIST, 0)), "")</f>
        <v>No</v>
      </c>
    </row>
    <row r="2006" spans="1:24" x14ac:dyDescent="0.25">
      <c r="A2006" t="s">
        <v>1291</v>
      </c>
      <c r="B2006" t="s">
        <v>1292</v>
      </c>
      <c r="C2006" t="s">
        <v>1293</v>
      </c>
      <c r="D2006" t="s">
        <v>1294</v>
      </c>
      <c r="E2006" s="9">
        <v>45108</v>
      </c>
      <c r="F2006" s="9">
        <v>45138</v>
      </c>
      <c r="G2006">
        <v>4149041243.9720001</v>
      </c>
      <c r="H2006">
        <v>393184359.77200001</v>
      </c>
      <c r="I2006">
        <v>1409876045.96</v>
      </c>
      <c r="J2006">
        <v>0</v>
      </c>
      <c r="K2006">
        <v>0</v>
      </c>
      <c r="L2006">
        <v>6992042.0439999998</v>
      </c>
      <c r="M2006">
        <v>0</v>
      </c>
      <c r="T2006" s="9">
        <v>45108</v>
      </c>
      <c r="U2006" s="9">
        <v>45473</v>
      </c>
      <c r="V2006">
        <f>SUM(POTABLE_NONPOTABLE_API[[#This Row],[RESIDENTIAL_SINGLEFAMILY_GAL]:[OTHER_GAL]])</f>
        <v>5959093691.7480001</v>
      </c>
      <c r="W2006">
        <f>SUM(POTABLE_NONPOTABLE_API[[#This Row],[NONPOTABLE_DEMAND_RESIDENTIAL_RECYCLED_WATER_GAL]:[NONPOTABLE_DEMAND_NONRESIDENTIAL_METERED_IRRIGATION_GAL]])</f>
        <v>0</v>
      </c>
      <c r="X2006" t="str">
        <f>IFERROR(INDEX(Crosswalk_API!$H$2:$H$527, MATCH(POTABLE_NONPOTABLE_API[[#This Row],[PWSID]], CW_PWSID_LIST, 0)), "")</f>
        <v>No</v>
      </c>
    </row>
    <row r="2007" spans="1:24" x14ac:dyDescent="0.25">
      <c r="A2007" t="s">
        <v>1291</v>
      </c>
      <c r="B2007" t="s">
        <v>1292</v>
      </c>
      <c r="C2007" t="s">
        <v>1293</v>
      </c>
      <c r="D2007" t="s">
        <v>1294</v>
      </c>
      <c r="E2007" s="9">
        <v>45139</v>
      </c>
      <c r="F2007" s="9">
        <v>45169</v>
      </c>
      <c r="G2007">
        <v>4518874412.5120001</v>
      </c>
      <c r="H2007">
        <v>408200755.62</v>
      </c>
      <c r="I2007">
        <v>1139366229.7720001</v>
      </c>
      <c r="J2007">
        <v>0</v>
      </c>
      <c r="K2007">
        <v>0</v>
      </c>
      <c r="L2007">
        <v>7762535.6040000003</v>
      </c>
      <c r="M2007">
        <v>0</v>
      </c>
      <c r="T2007" s="9">
        <v>45108</v>
      </c>
      <c r="U2007" s="9">
        <v>45473</v>
      </c>
      <c r="V2007">
        <f>SUM(POTABLE_NONPOTABLE_API[[#This Row],[RESIDENTIAL_SINGLEFAMILY_GAL]:[OTHER_GAL]])</f>
        <v>6074203933.5080004</v>
      </c>
      <c r="W2007">
        <f>SUM(POTABLE_NONPOTABLE_API[[#This Row],[NONPOTABLE_DEMAND_RESIDENTIAL_RECYCLED_WATER_GAL]:[NONPOTABLE_DEMAND_NONRESIDENTIAL_METERED_IRRIGATION_GAL]])</f>
        <v>0</v>
      </c>
      <c r="X2007" t="str">
        <f>IFERROR(INDEX(Crosswalk_API!$H$2:$H$527, MATCH(POTABLE_NONPOTABLE_API[[#This Row],[PWSID]], CW_PWSID_LIST, 0)), "")</f>
        <v>No</v>
      </c>
    </row>
    <row r="2008" spans="1:24" x14ac:dyDescent="0.25">
      <c r="A2008" t="s">
        <v>1291</v>
      </c>
      <c r="B2008" t="s">
        <v>1292</v>
      </c>
      <c r="C2008" t="s">
        <v>1293</v>
      </c>
      <c r="D2008" t="s">
        <v>1294</v>
      </c>
      <c r="E2008" s="9">
        <v>45170</v>
      </c>
      <c r="F2008" s="9">
        <v>45199</v>
      </c>
      <c r="G2008">
        <v>4113892524.6480002</v>
      </c>
      <c r="H2008">
        <v>380462239.40799999</v>
      </c>
      <c r="I2008">
        <v>996334199.06000006</v>
      </c>
      <c r="J2008">
        <v>0</v>
      </c>
      <c r="K2008">
        <v>0</v>
      </c>
      <c r="L2008">
        <v>107363415.248</v>
      </c>
      <c r="M2008">
        <v>0</v>
      </c>
      <c r="T2008" s="9">
        <v>45108</v>
      </c>
      <c r="U2008" s="9">
        <v>45473</v>
      </c>
      <c r="V2008">
        <f>SUM(POTABLE_NONPOTABLE_API[[#This Row],[RESIDENTIAL_SINGLEFAMILY_GAL]:[OTHER_GAL]])</f>
        <v>5598052378.3640003</v>
      </c>
      <c r="W2008">
        <f>SUM(POTABLE_NONPOTABLE_API[[#This Row],[NONPOTABLE_DEMAND_RESIDENTIAL_RECYCLED_WATER_GAL]:[NONPOTABLE_DEMAND_NONRESIDENTIAL_METERED_IRRIGATION_GAL]])</f>
        <v>0</v>
      </c>
      <c r="X2008" t="str">
        <f>IFERROR(INDEX(Crosswalk_API!$H$2:$H$527, MATCH(POTABLE_NONPOTABLE_API[[#This Row],[PWSID]], CW_PWSID_LIST, 0)), "")</f>
        <v>No</v>
      </c>
    </row>
    <row r="2009" spans="1:24" x14ac:dyDescent="0.25">
      <c r="A2009" t="s">
        <v>1291</v>
      </c>
      <c r="B2009" t="s">
        <v>1292</v>
      </c>
      <c r="C2009" t="s">
        <v>1293</v>
      </c>
      <c r="D2009" t="s">
        <v>1294</v>
      </c>
      <c r="E2009" s="9">
        <v>45200</v>
      </c>
      <c r="F2009" s="9">
        <v>45230</v>
      </c>
      <c r="G2009">
        <v>3122052622.0040002</v>
      </c>
      <c r="H2009">
        <v>312352852.86000001</v>
      </c>
      <c r="I2009">
        <v>862696953.41600001</v>
      </c>
      <c r="J2009">
        <v>0</v>
      </c>
      <c r="K2009">
        <v>0</v>
      </c>
      <c r="L2009">
        <v>0</v>
      </c>
      <c r="M2009">
        <v>0</v>
      </c>
      <c r="T2009" s="9">
        <v>45108</v>
      </c>
      <c r="U2009" s="9">
        <v>45473</v>
      </c>
      <c r="V2009">
        <f>SUM(POTABLE_NONPOTABLE_API[[#This Row],[RESIDENTIAL_SINGLEFAMILY_GAL]:[OTHER_GAL]])</f>
        <v>4297102428.2800007</v>
      </c>
      <c r="W2009">
        <f>SUM(POTABLE_NONPOTABLE_API[[#This Row],[NONPOTABLE_DEMAND_RESIDENTIAL_RECYCLED_WATER_GAL]:[NONPOTABLE_DEMAND_NONRESIDENTIAL_METERED_IRRIGATION_GAL]])</f>
        <v>0</v>
      </c>
      <c r="X2009" t="str">
        <f>IFERROR(INDEX(Crosswalk_API!$H$2:$H$527, MATCH(POTABLE_NONPOTABLE_API[[#This Row],[PWSID]], CW_PWSID_LIST, 0)), "")</f>
        <v>No</v>
      </c>
    </row>
    <row r="2010" spans="1:24" x14ac:dyDescent="0.25">
      <c r="A2010" t="s">
        <v>1291</v>
      </c>
      <c r="B2010" t="s">
        <v>1292</v>
      </c>
      <c r="C2010" t="s">
        <v>1293</v>
      </c>
      <c r="D2010" t="s">
        <v>1294</v>
      </c>
      <c r="E2010" s="9">
        <v>45231</v>
      </c>
      <c r="F2010" s="9">
        <v>45260</v>
      </c>
      <c r="G2010">
        <v>2805046137.652</v>
      </c>
      <c r="H2010">
        <v>307115740.80800003</v>
      </c>
      <c r="I2010">
        <v>3582177163.0480003</v>
      </c>
      <c r="J2010">
        <v>0</v>
      </c>
      <c r="K2010">
        <v>0</v>
      </c>
      <c r="L2010">
        <v>0</v>
      </c>
      <c r="M2010">
        <v>0</v>
      </c>
      <c r="T2010" s="9">
        <v>45108</v>
      </c>
      <c r="U2010" s="9">
        <v>45473</v>
      </c>
      <c r="V2010">
        <f>SUM(POTABLE_NONPOTABLE_API[[#This Row],[RESIDENTIAL_SINGLEFAMILY_GAL]:[OTHER_GAL]])</f>
        <v>6694339041.5080004</v>
      </c>
      <c r="W2010">
        <f>SUM(POTABLE_NONPOTABLE_API[[#This Row],[NONPOTABLE_DEMAND_RESIDENTIAL_RECYCLED_WATER_GAL]:[NONPOTABLE_DEMAND_NONRESIDENTIAL_METERED_IRRIGATION_GAL]])</f>
        <v>0</v>
      </c>
      <c r="X2010" t="str">
        <f>IFERROR(INDEX(Crosswalk_API!$H$2:$H$527, MATCH(POTABLE_NONPOTABLE_API[[#This Row],[PWSID]], CW_PWSID_LIST, 0)), "")</f>
        <v>No</v>
      </c>
    </row>
    <row r="2011" spans="1:24" x14ac:dyDescent="0.25">
      <c r="A2011" t="s">
        <v>1291</v>
      </c>
      <c r="B2011" t="s">
        <v>1292</v>
      </c>
      <c r="C2011" t="s">
        <v>1293</v>
      </c>
      <c r="D2011" t="s">
        <v>1294</v>
      </c>
      <c r="E2011" s="9">
        <v>45261</v>
      </c>
      <c r="F2011" s="9">
        <v>45291</v>
      </c>
      <c r="G2011">
        <v>2275052043.704</v>
      </c>
      <c r="H2011">
        <v>280538949.352</v>
      </c>
      <c r="I2011">
        <v>599320561.10000002</v>
      </c>
      <c r="J2011">
        <v>0</v>
      </c>
      <c r="K2011">
        <v>0</v>
      </c>
      <c r="L2011">
        <v>0</v>
      </c>
      <c r="M2011">
        <v>0</v>
      </c>
      <c r="T2011" s="9">
        <v>45108</v>
      </c>
      <c r="U2011" s="9">
        <v>45473</v>
      </c>
      <c r="V2011">
        <f>SUM(POTABLE_NONPOTABLE_API[[#This Row],[RESIDENTIAL_SINGLEFAMILY_GAL]:[OTHER_GAL]])</f>
        <v>3154911554.1559997</v>
      </c>
      <c r="W2011">
        <f>SUM(POTABLE_NONPOTABLE_API[[#This Row],[NONPOTABLE_DEMAND_RESIDENTIAL_RECYCLED_WATER_GAL]:[NONPOTABLE_DEMAND_NONRESIDENTIAL_METERED_IRRIGATION_GAL]])</f>
        <v>0</v>
      </c>
      <c r="X2011" t="str">
        <f>IFERROR(INDEX(Crosswalk_API!$H$2:$H$527, MATCH(POTABLE_NONPOTABLE_API[[#This Row],[PWSID]], CW_PWSID_LIST, 0)), "")</f>
        <v>No</v>
      </c>
    </row>
    <row r="2012" spans="1:24" x14ac:dyDescent="0.25">
      <c r="A2012" t="s">
        <v>1291</v>
      </c>
      <c r="B2012" t="s">
        <v>1292</v>
      </c>
      <c r="C2012" t="s">
        <v>1293</v>
      </c>
      <c r="D2012" t="s">
        <v>1294</v>
      </c>
      <c r="E2012" s="9">
        <v>45292</v>
      </c>
      <c r="F2012" s="9">
        <v>45322</v>
      </c>
      <c r="G2012">
        <v>16813102</v>
      </c>
      <c r="H2012">
        <v>2207901</v>
      </c>
      <c r="I2012">
        <v>5168986</v>
      </c>
      <c r="J2012">
        <v>0</v>
      </c>
      <c r="K2012">
        <v>0</v>
      </c>
      <c r="L2012">
        <v>16934</v>
      </c>
      <c r="M2012">
        <v>0</v>
      </c>
      <c r="T2012" s="9">
        <v>45108</v>
      </c>
      <c r="U2012" s="9">
        <v>45473</v>
      </c>
      <c r="V2012">
        <f>SUM(POTABLE_NONPOTABLE_API[[#This Row],[RESIDENTIAL_SINGLEFAMILY_GAL]:[OTHER_GAL]])</f>
        <v>24206923</v>
      </c>
      <c r="W2012">
        <f>SUM(POTABLE_NONPOTABLE_API[[#This Row],[NONPOTABLE_DEMAND_RESIDENTIAL_RECYCLED_WATER_GAL]:[NONPOTABLE_DEMAND_NONRESIDENTIAL_METERED_IRRIGATION_GAL]])</f>
        <v>0</v>
      </c>
      <c r="X2012" t="str">
        <f>IFERROR(INDEX(Crosswalk_API!$H$2:$H$527, MATCH(POTABLE_NONPOTABLE_API[[#This Row],[PWSID]], CW_PWSID_LIST, 0)), "")</f>
        <v>No</v>
      </c>
    </row>
    <row r="2013" spans="1:24" x14ac:dyDescent="0.25">
      <c r="A2013" t="s">
        <v>1291</v>
      </c>
      <c r="B2013" t="s">
        <v>1292</v>
      </c>
      <c r="C2013" t="s">
        <v>1293</v>
      </c>
      <c r="D2013" t="s">
        <v>1294</v>
      </c>
      <c r="E2013" s="9">
        <v>45323</v>
      </c>
      <c r="F2013" s="9">
        <v>45351</v>
      </c>
      <c r="G2013">
        <v>15490324</v>
      </c>
      <c r="H2013">
        <v>2357972</v>
      </c>
      <c r="I2013">
        <v>5398398</v>
      </c>
      <c r="J2013">
        <v>0</v>
      </c>
      <c r="K2013">
        <v>0</v>
      </c>
      <c r="L2013">
        <v>16927</v>
      </c>
      <c r="M2013">
        <v>0</v>
      </c>
      <c r="T2013" s="9">
        <v>45108</v>
      </c>
      <c r="U2013" s="9">
        <v>45473</v>
      </c>
      <c r="V2013">
        <f>SUM(POTABLE_NONPOTABLE_API[[#This Row],[RESIDENTIAL_SINGLEFAMILY_GAL]:[OTHER_GAL]])</f>
        <v>23263621</v>
      </c>
      <c r="W2013">
        <f>SUM(POTABLE_NONPOTABLE_API[[#This Row],[NONPOTABLE_DEMAND_RESIDENTIAL_RECYCLED_WATER_GAL]:[NONPOTABLE_DEMAND_NONRESIDENTIAL_METERED_IRRIGATION_GAL]])</f>
        <v>0</v>
      </c>
      <c r="X2013" t="str">
        <f>IFERROR(INDEX(Crosswalk_API!$H$2:$H$527, MATCH(POTABLE_NONPOTABLE_API[[#This Row],[PWSID]], CW_PWSID_LIST, 0)), "")</f>
        <v>No</v>
      </c>
    </row>
    <row r="2014" spans="1:24" x14ac:dyDescent="0.25">
      <c r="A2014" t="s">
        <v>1291</v>
      </c>
      <c r="B2014" t="s">
        <v>1292</v>
      </c>
      <c r="C2014" t="s">
        <v>1293</v>
      </c>
      <c r="D2014" t="s">
        <v>1294</v>
      </c>
      <c r="E2014" s="9">
        <v>45352</v>
      </c>
      <c r="F2014" s="9">
        <v>45382</v>
      </c>
      <c r="G2014">
        <v>16568506</v>
      </c>
      <c r="H2014">
        <v>2421627</v>
      </c>
      <c r="I2014">
        <v>10339446</v>
      </c>
      <c r="J2014">
        <v>0</v>
      </c>
      <c r="K2014">
        <v>0</v>
      </c>
      <c r="L2014">
        <v>17376</v>
      </c>
      <c r="M2014">
        <v>0</v>
      </c>
      <c r="T2014" s="9">
        <v>45108</v>
      </c>
      <c r="U2014" s="9">
        <v>45473</v>
      </c>
      <c r="V2014">
        <f>SUM(POTABLE_NONPOTABLE_API[[#This Row],[RESIDENTIAL_SINGLEFAMILY_GAL]:[OTHER_GAL]])</f>
        <v>29346955</v>
      </c>
      <c r="W2014">
        <f>SUM(POTABLE_NONPOTABLE_API[[#This Row],[NONPOTABLE_DEMAND_RESIDENTIAL_RECYCLED_WATER_GAL]:[NONPOTABLE_DEMAND_NONRESIDENTIAL_METERED_IRRIGATION_GAL]])</f>
        <v>0</v>
      </c>
      <c r="X2014" t="str">
        <f>IFERROR(INDEX(Crosswalk_API!$H$2:$H$527, MATCH(POTABLE_NONPOTABLE_API[[#This Row],[PWSID]], CW_PWSID_LIST, 0)), "")</f>
        <v>No</v>
      </c>
    </row>
    <row r="2015" spans="1:24" x14ac:dyDescent="0.25">
      <c r="A2015" t="s">
        <v>1291</v>
      </c>
      <c r="B2015" t="s">
        <v>1292</v>
      </c>
      <c r="C2015" t="s">
        <v>1293</v>
      </c>
      <c r="D2015" t="s">
        <v>1294</v>
      </c>
      <c r="E2015" s="9">
        <v>45383</v>
      </c>
      <c r="F2015" s="9">
        <v>45412</v>
      </c>
      <c r="G2015">
        <v>1919638325.516</v>
      </c>
      <c r="H2015">
        <v>295027220.48800004</v>
      </c>
      <c r="I2015">
        <v>589273474.68799996</v>
      </c>
      <c r="J2015">
        <v>10813091.66</v>
      </c>
      <c r="K2015">
        <v>0</v>
      </c>
      <c r="L2015">
        <v>2339906.656</v>
      </c>
      <c r="M2015">
        <v>0</v>
      </c>
      <c r="T2015" s="9">
        <v>45108</v>
      </c>
      <c r="U2015" s="9">
        <v>45473</v>
      </c>
      <c r="V2015">
        <f>SUM(POTABLE_NONPOTABLE_API[[#This Row],[RESIDENTIAL_SINGLEFAMILY_GAL]:[OTHER_GAL]])</f>
        <v>2817092019.0080004</v>
      </c>
      <c r="W2015">
        <f>SUM(POTABLE_NONPOTABLE_API[[#This Row],[NONPOTABLE_DEMAND_RESIDENTIAL_RECYCLED_WATER_GAL]:[NONPOTABLE_DEMAND_NONRESIDENTIAL_METERED_IRRIGATION_GAL]])</f>
        <v>0</v>
      </c>
      <c r="X2015" t="str">
        <f>IFERROR(INDEX(Crosswalk_API!$H$2:$H$527, MATCH(POTABLE_NONPOTABLE_API[[#This Row],[PWSID]], CW_PWSID_LIST, 0)), "")</f>
        <v>No</v>
      </c>
    </row>
    <row r="2016" spans="1:24" x14ac:dyDescent="0.25">
      <c r="A2016" t="s">
        <v>1291</v>
      </c>
      <c r="B2016" t="s">
        <v>1292</v>
      </c>
      <c r="C2016" t="s">
        <v>1293</v>
      </c>
      <c r="D2016" t="s">
        <v>1294</v>
      </c>
      <c r="E2016" s="9">
        <v>45413</v>
      </c>
      <c r="F2016" s="9">
        <v>45443</v>
      </c>
      <c r="G2016">
        <v>2683734544.8120003</v>
      </c>
      <c r="H2016">
        <v>311575626.83200002</v>
      </c>
      <c r="I2016">
        <v>2995310.1716439999</v>
      </c>
      <c r="J2016">
        <v>51482434.744000003</v>
      </c>
      <c r="K2016">
        <v>0</v>
      </c>
      <c r="L2016">
        <v>0</v>
      </c>
      <c r="M2016">
        <v>0</v>
      </c>
      <c r="T2016" s="9">
        <v>45108</v>
      </c>
      <c r="U2016" s="9">
        <v>45473</v>
      </c>
      <c r="V2016">
        <f>SUM(POTABLE_NONPOTABLE_API[[#This Row],[RESIDENTIAL_SINGLEFAMILY_GAL]:[OTHER_GAL]])</f>
        <v>3049787916.5596442</v>
      </c>
      <c r="W2016">
        <f>SUM(POTABLE_NONPOTABLE_API[[#This Row],[NONPOTABLE_DEMAND_RESIDENTIAL_RECYCLED_WATER_GAL]:[NONPOTABLE_DEMAND_NONRESIDENTIAL_METERED_IRRIGATION_GAL]])</f>
        <v>0</v>
      </c>
      <c r="X2016" t="str">
        <f>IFERROR(INDEX(Crosswalk_API!$H$2:$H$527, MATCH(POTABLE_NONPOTABLE_API[[#This Row],[PWSID]], CW_PWSID_LIST, 0)), "")</f>
        <v>No</v>
      </c>
    </row>
    <row r="2017" spans="1:24" x14ac:dyDescent="0.25">
      <c r="A2017" t="s">
        <v>1291</v>
      </c>
      <c r="B2017" t="s">
        <v>1292</v>
      </c>
      <c r="C2017" t="s">
        <v>1293</v>
      </c>
      <c r="D2017" t="s">
        <v>1294</v>
      </c>
      <c r="E2017" s="9">
        <v>45444</v>
      </c>
      <c r="F2017" s="9">
        <v>45473</v>
      </c>
      <c r="G2017">
        <v>4128904432.184</v>
      </c>
      <c r="H2017">
        <v>384103.00849199999</v>
      </c>
      <c r="I2017">
        <v>908658016.34800005</v>
      </c>
      <c r="J2017">
        <v>101295965.476</v>
      </c>
      <c r="K2017">
        <v>0</v>
      </c>
      <c r="L2017">
        <v>0</v>
      </c>
      <c r="M2017">
        <v>0</v>
      </c>
      <c r="T2017" s="9">
        <v>45108</v>
      </c>
      <c r="U2017" s="9">
        <v>45473</v>
      </c>
      <c r="V2017">
        <f>SUM(POTABLE_NONPOTABLE_API[[#This Row],[RESIDENTIAL_SINGLEFAMILY_GAL]:[OTHER_GAL]])</f>
        <v>5139242517.0164919</v>
      </c>
      <c r="W2017">
        <f>SUM(POTABLE_NONPOTABLE_API[[#This Row],[NONPOTABLE_DEMAND_RESIDENTIAL_RECYCLED_WATER_GAL]:[NONPOTABLE_DEMAND_NONRESIDENTIAL_METERED_IRRIGATION_GAL]])</f>
        <v>0</v>
      </c>
      <c r="X2017" t="str">
        <f>IFERROR(INDEX(Crosswalk_API!$H$2:$H$527, MATCH(POTABLE_NONPOTABLE_API[[#This Row],[PWSID]], CW_PWSID_LIST, 0)), "")</f>
        <v>No</v>
      </c>
    </row>
    <row r="2018" spans="1:24" x14ac:dyDescent="0.25">
      <c r="A2018" t="s">
        <v>1295</v>
      </c>
      <c r="B2018" t="s">
        <v>1296</v>
      </c>
      <c r="C2018" t="s">
        <v>1297</v>
      </c>
      <c r="D2018" t="s">
        <v>1298</v>
      </c>
      <c r="E2018" s="9">
        <v>45108</v>
      </c>
      <c r="F2018" s="9">
        <v>45138</v>
      </c>
      <c r="G2018">
        <v>335300679</v>
      </c>
      <c r="H2018">
        <v>26068080</v>
      </c>
      <c r="I2018">
        <v>21832017</v>
      </c>
      <c r="J2018">
        <v>26068080</v>
      </c>
      <c r="K2018">
        <v>0</v>
      </c>
      <c r="L2018">
        <v>26348311.859999999</v>
      </c>
      <c r="M2018">
        <v>0</v>
      </c>
      <c r="T2018" s="9">
        <v>45108</v>
      </c>
      <c r="U2018" s="9">
        <v>45473</v>
      </c>
      <c r="V2018">
        <f>SUM(POTABLE_NONPOTABLE_API[[#This Row],[RESIDENTIAL_SINGLEFAMILY_GAL]:[OTHER_GAL]])</f>
        <v>435617167.86000001</v>
      </c>
      <c r="W2018">
        <f>SUM(POTABLE_NONPOTABLE_API[[#This Row],[NONPOTABLE_DEMAND_RESIDENTIAL_RECYCLED_WATER_GAL]:[NONPOTABLE_DEMAND_NONRESIDENTIAL_METERED_IRRIGATION_GAL]])</f>
        <v>0</v>
      </c>
      <c r="X2018" t="str">
        <f>IFERROR(INDEX(Crosswalk_API!$H$2:$H$527, MATCH(POTABLE_NONPOTABLE_API[[#This Row],[PWSID]], CW_PWSID_LIST, 0)), "")</f>
        <v>No</v>
      </c>
    </row>
    <row r="2019" spans="1:24" x14ac:dyDescent="0.25">
      <c r="A2019" t="s">
        <v>1295</v>
      </c>
      <c r="B2019" t="s">
        <v>1296</v>
      </c>
      <c r="C2019" t="s">
        <v>1297</v>
      </c>
      <c r="D2019" t="s">
        <v>1298</v>
      </c>
      <c r="E2019" s="9">
        <v>45139</v>
      </c>
      <c r="F2019" s="9">
        <v>45169</v>
      </c>
      <c r="G2019">
        <v>330087063</v>
      </c>
      <c r="H2019">
        <v>25742229</v>
      </c>
      <c r="I2019">
        <v>21506166</v>
      </c>
      <c r="J2019">
        <v>25742229</v>
      </c>
      <c r="K2019">
        <v>0</v>
      </c>
      <c r="L2019">
        <v>25501099.260000002</v>
      </c>
      <c r="M2019">
        <v>0</v>
      </c>
      <c r="T2019" s="9">
        <v>45108</v>
      </c>
      <c r="U2019" s="9">
        <v>45473</v>
      </c>
      <c r="V2019">
        <f>SUM(POTABLE_NONPOTABLE_API[[#This Row],[RESIDENTIAL_SINGLEFAMILY_GAL]:[OTHER_GAL]])</f>
        <v>428578786.25999999</v>
      </c>
      <c r="W2019">
        <f>SUM(POTABLE_NONPOTABLE_API[[#This Row],[NONPOTABLE_DEMAND_RESIDENTIAL_RECYCLED_WATER_GAL]:[NONPOTABLE_DEMAND_NONRESIDENTIAL_METERED_IRRIGATION_GAL]])</f>
        <v>0</v>
      </c>
      <c r="X2019" t="str">
        <f>IFERROR(INDEX(Crosswalk_API!$H$2:$H$527, MATCH(POTABLE_NONPOTABLE_API[[#This Row],[PWSID]], CW_PWSID_LIST, 0)), "")</f>
        <v>No</v>
      </c>
    </row>
    <row r="2020" spans="1:24" x14ac:dyDescent="0.25">
      <c r="A2020" t="s">
        <v>1295</v>
      </c>
      <c r="B2020" t="s">
        <v>1296</v>
      </c>
      <c r="C2020" t="s">
        <v>1297</v>
      </c>
      <c r="D2020" t="s">
        <v>1298</v>
      </c>
      <c r="E2020" s="9">
        <v>45170</v>
      </c>
      <c r="F2020" s="9">
        <v>45199</v>
      </c>
      <c r="G2020">
        <v>271759734</v>
      </c>
      <c r="H2020">
        <v>21180315</v>
      </c>
      <c r="I2020">
        <v>17595954</v>
      </c>
      <c r="J2020">
        <v>21180315</v>
      </c>
      <c r="K2020">
        <v>0</v>
      </c>
      <c r="L2020">
        <v>21121661.819999997</v>
      </c>
      <c r="M2020">
        <v>0</v>
      </c>
      <c r="T2020" s="9">
        <v>45108</v>
      </c>
      <c r="U2020" s="9">
        <v>45473</v>
      </c>
      <c r="V2020">
        <f>SUM(POTABLE_NONPOTABLE_API[[#This Row],[RESIDENTIAL_SINGLEFAMILY_GAL]:[OTHER_GAL]])</f>
        <v>352837979.81999999</v>
      </c>
      <c r="W2020">
        <f>SUM(POTABLE_NONPOTABLE_API[[#This Row],[NONPOTABLE_DEMAND_RESIDENTIAL_RECYCLED_WATER_GAL]:[NONPOTABLE_DEMAND_NONRESIDENTIAL_METERED_IRRIGATION_GAL]])</f>
        <v>0</v>
      </c>
      <c r="X2020" t="str">
        <f>IFERROR(INDEX(Crosswalk_API!$H$2:$H$527, MATCH(POTABLE_NONPOTABLE_API[[#This Row],[PWSID]], CW_PWSID_LIST, 0)), "")</f>
        <v>No</v>
      </c>
    </row>
    <row r="2021" spans="1:24" x14ac:dyDescent="0.25">
      <c r="A2021" t="s">
        <v>1295</v>
      </c>
      <c r="B2021" t="s">
        <v>1296</v>
      </c>
      <c r="C2021" t="s">
        <v>1297</v>
      </c>
      <c r="D2021" t="s">
        <v>1298</v>
      </c>
      <c r="E2021" s="9">
        <v>45200</v>
      </c>
      <c r="F2021" s="9">
        <v>45230</v>
      </c>
      <c r="G2021">
        <v>215713362</v>
      </c>
      <c r="H2021">
        <v>16944252</v>
      </c>
      <c r="I2021">
        <v>14011593</v>
      </c>
      <c r="J2021">
        <v>16944252</v>
      </c>
      <c r="K2021">
        <v>0</v>
      </c>
      <c r="L2021">
        <v>16624918.020000001</v>
      </c>
      <c r="M2021">
        <v>0</v>
      </c>
      <c r="T2021" s="9">
        <v>45108</v>
      </c>
      <c r="U2021" s="9">
        <v>45473</v>
      </c>
      <c r="V2021">
        <f>SUM(POTABLE_NONPOTABLE_API[[#This Row],[RESIDENTIAL_SINGLEFAMILY_GAL]:[OTHER_GAL]])</f>
        <v>280238377.01999998</v>
      </c>
      <c r="W2021">
        <f>SUM(POTABLE_NONPOTABLE_API[[#This Row],[NONPOTABLE_DEMAND_RESIDENTIAL_RECYCLED_WATER_GAL]:[NONPOTABLE_DEMAND_NONRESIDENTIAL_METERED_IRRIGATION_GAL]])</f>
        <v>0</v>
      </c>
      <c r="X2021" t="str">
        <f>IFERROR(INDEX(Crosswalk_API!$H$2:$H$527, MATCH(POTABLE_NONPOTABLE_API[[#This Row],[PWSID]], CW_PWSID_LIST, 0)), "")</f>
        <v>No</v>
      </c>
    </row>
    <row r="2022" spans="1:24" x14ac:dyDescent="0.25">
      <c r="A2022" t="s">
        <v>1295</v>
      </c>
      <c r="B2022" t="s">
        <v>1296</v>
      </c>
      <c r="C2022" t="s">
        <v>1297</v>
      </c>
      <c r="D2022" t="s">
        <v>1298</v>
      </c>
      <c r="E2022" s="9">
        <v>45231</v>
      </c>
      <c r="F2022" s="9">
        <v>45260</v>
      </c>
      <c r="G2022">
        <v>134250612</v>
      </c>
      <c r="H2022">
        <v>10427232</v>
      </c>
      <c r="I2022">
        <v>8797977</v>
      </c>
      <c r="J2022">
        <v>8797977</v>
      </c>
      <c r="K2022">
        <v>0</v>
      </c>
      <c r="L2022">
        <v>11893561.5</v>
      </c>
      <c r="M2022">
        <v>0</v>
      </c>
      <c r="T2022" s="9">
        <v>45108</v>
      </c>
      <c r="U2022" s="9">
        <v>45473</v>
      </c>
      <c r="V2022">
        <f>SUM(POTABLE_NONPOTABLE_API[[#This Row],[RESIDENTIAL_SINGLEFAMILY_GAL]:[OTHER_GAL]])</f>
        <v>174167359.5</v>
      </c>
      <c r="W2022">
        <f>SUM(POTABLE_NONPOTABLE_API[[#This Row],[NONPOTABLE_DEMAND_RESIDENTIAL_RECYCLED_WATER_GAL]:[NONPOTABLE_DEMAND_NONRESIDENTIAL_METERED_IRRIGATION_GAL]])</f>
        <v>0</v>
      </c>
      <c r="X2022" t="str">
        <f>IFERROR(INDEX(Crosswalk_API!$H$2:$H$527, MATCH(POTABLE_NONPOTABLE_API[[#This Row],[PWSID]], CW_PWSID_LIST, 0)), "")</f>
        <v>No</v>
      </c>
    </row>
    <row r="2023" spans="1:24" x14ac:dyDescent="0.25">
      <c r="A2023" t="s">
        <v>1295</v>
      </c>
      <c r="B2023" t="s">
        <v>1296</v>
      </c>
      <c r="C2023" t="s">
        <v>1297</v>
      </c>
      <c r="D2023" t="s">
        <v>1298</v>
      </c>
      <c r="E2023" s="9">
        <v>45261</v>
      </c>
      <c r="F2023" s="9">
        <v>45291</v>
      </c>
      <c r="G2023">
        <v>102317214</v>
      </c>
      <c r="H2023">
        <v>7820424</v>
      </c>
      <c r="I2023">
        <v>6517020</v>
      </c>
      <c r="J2023">
        <v>7820424</v>
      </c>
      <c r="K2023">
        <v>0</v>
      </c>
      <c r="L2023">
        <v>8433023.879999999</v>
      </c>
      <c r="M2023">
        <v>0</v>
      </c>
      <c r="T2023" s="9">
        <v>45108</v>
      </c>
      <c r="U2023" s="9">
        <v>45473</v>
      </c>
      <c r="V2023">
        <f>SUM(POTABLE_NONPOTABLE_API[[#This Row],[RESIDENTIAL_SINGLEFAMILY_GAL]:[OTHER_GAL]])</f>
        <v>132908105.88</v>
      </c>
      <c r="W2023">
        <f>SUM(POTABLE_NONPOTABLE_API[[#This Row],[NONPOTABLE_DEMAND_RESIDENTIAL_RECYCLED_WATER_GAL]:[NONPOTABLE_DEMAND_NONRESIDENTIAL_METERED_IRRIGATION_GAL]])</f>
        <v>0</v>
      </c>
      <c r="X2023" t="str">
        <f>IFERROR(INDEX(Crosswalk_API!$H$2:$H$527, MATCH(POTABLE_NONPOTABLE_API[[#This Row],[PWSID]], CW_PWSID_LIST, 0)), "")</f>
        <v>No</v>
      </c>
    </row>
    <row r="2024" spans="1:24" x14ac:dyDescent="0.25">
      <c r="A2024" t="s">
        <v>1295</v>
      </c>
      <c r="B2024" t="s">
        <v>1296</v>
      </c>
      <c r="C2024" t="s">
        <v>1297</v>
      </c>
      <c r="D2024" t="s">
        <v>1298</v>
      </c>
      <c r="E2024" s="9">
        <v>45292</v>
      </c>
      <c r="F2024" s="9">
        <v>45322</v>
      </c>
      <c r="G2024">
        <v>87328068</v>
      </c>
      <c r="H2024">
        <v>6842871</v>
      </c>
      <c r="I2024">
        <v>5539467</v>
      </c>
      <c r="J2024">
        <v>6842871</v>
      </c>
      <c r="K2024">
        <v>0</v>
      </c>
      <c r="L2024">
        <v>6650618.9100000001</v>
      </c>
      <c r="M2024">
        <v>0</v>
      </c>
      <c r="T2024" s="9">
        <v>45108</v>
      </c>
      <c r="U2024" s="9">
        <v>45473</v>
      </c>
      <c r="V2024">
        <f>SUM(POTABLE_NONPOTABLE_API[[#This Row],[RESIDENTIAL_SINGLEFAMILY_GAL]:[OTHER_GAL]])</f>
        <v>113203895.91</v>
      </c>
      <c r="W2024">
        <f>SUM(POTABLE_NONPOTABLE_API[[#This Row],[NONPOTABLE_DEMAND_RESIDENTIAL_RECYCLED_WATER_GAL]:[NONPOTABLE_DEMAND_NONRESIDENTIAL_METERED_IRRIGATION_GAL]])</f>
        <v>0</v>
      </c>
      <c r="X2024" t="str">
        <f>IFERROR(INDEX(Crosswalk_API!$H$2:$H$527, MATCH(POTABLE_NONPOTABLE_API[[#This Row],[PWSID]], CW_PWSID_LIST, 0)), "")</f>
        <v>No</v>
      </c>
    </row>
    <row r="2025" spans="1:24" x14ac:dyDescent="0.25">
      <c r="A2025" t="s">
        <v>1295</v>
      </c>
      <c r="B2025" t="s">
        <v>1296</v>
      </c>
      <c r="C2025" t="s">
        <v>1297</v>
      </c>
      <c r="D2025" t="s">
        <v>1298</v>
      </c>
      <c r="E2025" s="9">
        <v>45323</v>
      </c>
      <c r="F2025" s="9">
        <v>45351</v>
      </c>
      <c r="G2025">
        <v>81136899</v>
      </c>
      <c r="H2025">
        <v>6191169</v>
      </c>
      <c r="I2025">
        <v>5213616</v>
      </c>
      <c r="J2025">
        <v>6191169</v>
      </c>
      <c r="K2025">
        <v>0</v>
      </c>
      <c r="L2025">
        <v>6556122.1200000001</v>
      </c>
      <c r="M2025">
        <v>0</v>
      </c>
      <c r="T2025" s="9">
        <v>45108</v>
      </c>
      <c r="U2025" s="9">
        <v>45473</v>
      </c>
      <c r="V2025">
        <f>SUM(POTABLE_NONPOTABLE_API[[#This Row],[RESIDENTIAL_SINGLEFAMILY_GAL]:[OTHER_GAL]])</f>
        <v>105288975.12</v>
      </c>
      <c r="W2025">
        <f>SUM(POTABLE_NONPOTABLE_API[[#This Row],[NONPOTABLE_DEMAND_RESIDENTIAL_RECYCLED_WATER_GAL]:[NONPOTABLE_DEMAND_NONRESIDENTIAL_METERED_IRRIGATION_GAL]])</f>
        <v>0</v>
      </c>
      <c r="X2025" t="str">
        <f>IFERROR(INDEX(Crosswalk_API!$H$2:$H$527, MATCH(POTABLE_NONPOTABLE_API[[#This Row],[PWSID]], CW_PWSID_LIST, 0)), "")</f>
        <v>No</v>
      </c>
    </row>
    <row r="2026" spans="1:24" x14ac:dyDescent="0.25">
      <c r="A2026" t="s">
        <v>1295</v>
      </c>
      <c r="B2026" t="s">
        <v>1296</v>
      </c>
      <c r="C2026" t="s">
        <v>1297</v>
      </c>
      <c r="D2026" t="s">
        <v>1298</v>
      </c>
      <c r="E2026" s="9">
        <v>45352</v>
      </c>
      <c r="F2026" s="9">
        <v>45382</v>
      </c>
      <c r="G2026">
        <v>100166597.39999999</v>
      </c>
      <c r="H2026">
        <v>7820424</v>
      </c>
      <c r="I2026">
        <v>6517020</v>
      </c>
      <c r="J2026">
        <v>7820424</v>
      </c>
      <c r="K2026">
        <v>0</v>
      </c>
      <c r="L2026">
        <v>7761770.8200000003</v>
      </c>
      <c r="M2026">
        <v>0</v>
      </c>
      <c r="T2026" s="9">
        <v>45108</v>
      </c>
      <c r="U2026" s="9">
        <v>45473</v>
      </c>
      <c r="V2026">
        <f>SUM(POTABLE_NONPOTABLE_API[[#This Row],[RESIDENTIAL_SINGLEFAMILY_GAL]:[OTHER_GAL]])</f>
        <v>130086236.22</v>
      </c>
      <c r="W2026">
        <f>SUM(POTABLE_NONPOTABLE_API[[#This Row],[NONPOTABLE_DEMAND_RESIDENTIAL_RECYCLED_WATER_GAL]:[NONPOTABLE_DEMAND_NONRESIDENTIAL_METERED_IRRIGATION_GAL]])</f>
        <v>0</v>
      </c>
      <c r="X2026" t="str">
        <f>IFERROR(INDEX(Crosswalk_API!$H$2:$H$527, MATCH(POTABLE_NONPOTABLE_API[[#This Row],[PWSID]], CW_PWSID_LIST, 0)), "")</f>
        <v>No</v>
      </c>
    </row>
    <row r="2027" spans="1:24" x14ac:dyDescent="0.25">
      <c r="A2027" t="s">
        <v>1295</v>
      </c>
      <c r="B2027" t="s">
        <v>1296</v>
      </c>
      <c r="C2027" t="s">
        <v>1297</v>
      </c>
      <c r="D2027" t="s">
        <v>1298</v>
      </c>
      <c r="E2027" s="9">
        <v>45383</v>
      </c>
      <c r="F2027" s="9">
        <v>45412</v>
      </c>
      <c r="G2027">
        <v>131735042.27999999</v>
      </c>
      <c r="H2027">
        <v>10264306.5</v>
      </c>
      <c r="I2027">
        <v>8553588.75</v>
      </c>
      <c r="J2027">
        <v>10264306.5</v>
      </c>
      <c r="K2027">
        <v>0</v>
      </c>
      <c r="L2027">
        <v>10267565.01</v>
      </c>
      <c r="M2027">
        <v>0</v>
      </c>
      <c r="T2027" s="9">
        <v>45108</v>
      </c>
      <c r="U2027" s="9">
        <v>45473</v>
      </c>
      <c r="V2027">
        <f>SUM(POTABLE_NONPOTABLE_API[[#This Row],[RESIDENTIAL_SINGLEFAMILY_GAL]:[OTHER_GAL]])</f>
        <v>171084809.03999996</v>
      </c>
      <c r="W2027">
        <f>SUM(POTABLE_NONPOTABLE_API[[#This Row],[NONPOTABLE_DEMAND_RESIDENTIAL_RECYCLED_WATER_GAL]:[NONPOTABLE_DEMAND_NONRESIDENTIAL_METERED_IRRIGATION_GAL]])</f>
        <v>0</v>
      </c>
      <c r="X2027" t="str">
        <f>IFERROR(INDEX(Crosswalk_API!$H$2:$H$527, MATCH(POTABLE_NONPOTABLE_API[[#This Row],[PWSID]], CW_PWSID_LIST, 0)), "")</f>
        <v>No</v>
      </c>
    </row>
    <row r="2028" spans="1:24" x14ac:dyDescent="0.25">
      <c r="A2028" t="s">
        <v>1295</v>
      </c>
      <c r="B2028" t="s">
        <v>1296</v>
      </c>
      <c r="C2028" t="s">
        <v>1297</v>
      </c>
      <c r="D2028" t="s">
        <v>1298</v>
      </c>
      <c r="E2028" s="9">
        <v>45413</v>
      </c>
      <c r="F2028" s="9">
        <v>45443</v>
      </c>
      <c r="G2028">
        <v>229073253</v>
      </c>
      <c r="H2028">
        <v>17921805</v>
      </c>
      <c r="I2028">
        <v>14989146</v>
      </c>
      <c r="J2028">
        <v>17921805</v>
      </c>
      <c r="K2028">
        <v>0</v>
      </c>
      <c r="L2028">
        <v>17537300.82</v>
      </c>
      <c r="M2028">
        <v>0</v>
      </c>
      <c r="T2028" s="9">
        <v>45108</v>
      </c>
      <c r="U2028" s="9">
        <v>45473</v>
      </c>
      <c r="V2028">
        <f>SUM(POTABLE_NONPOTABLE_API[[#This Row],[RESIDENTIAL_SINGLEFAMILY_GAL]:[OTHER_GAL]])</f>
        <v>297443309.81999999</v>
      </c>
      <c r="W2028">
        <f>SUM(POTABLE_NONPOTABLE_API[[#This Row],[NONPOTABLE_DEMAND_RESIDENTIAL_RECYCLED_WATER_GAL]:[NONPOTABLE_DEMAND_NONRESIDENTIAL_METERED_IRRIGATION_GAL]])</f>
        <v>0</v>
      </c>
      <c r="X2028" t="str">
        <f>IFERROR(INDEX(Crosswalk_API!$H$2:$H$527, MATCH(POTABLE_NONPOTABLE_API[[#This Row],[PWSID]], CW_PWSID_LIST, 0)), "")</f>
        <v>No</v>
      </c>
    </row>
    <row r="2029" spans="1:24" x14ac:dyDescent="0.25">
      <c r="A2029" t="s">
        <v>1295</v>
      </c>
      <c r="B2029" t="s">
        <v>1296</v>
      </c>
      <c r="C2029" t="s">
        <v>1297</v>
      </c>
      <c r="D2029" t="s">
        <v>1298</v>
      </c>
      <c r="E2029" s="9">
        <v>45444</v>
      </c>
      <c r="F2029" s="9">
        <v>45473</v>
      </c>
      <c r="G2029">
        <v>313468662</v>
      </c>
      <c r="H2029">
        <v>24438825</v>
      </c>
      <c r="I2029">
        <v>20202762</v>
      </c>
      <c r="J2029">
        <v>24438825</v>
      </c>
      <c r="K2029">
        <v>0</v>
      </c>
      <c r="L2029">
        <v>24748383.449999999</v>
      </c>
      <c r="M2029">
        <v>0</v>
      </c>
      <c r="T2029" s="9">
        <v>45108</v>
      </c>
      <c r="U2029" s="9">
        <v>45473</v>
      </c>
      <c r="V2029">
        <f>SUM(POTABLE_NONPOTABLE_API[[#This Row],[RESIDENTIAL_SINGLEFAMILY_GAL]:[OTHER_GAL]])</f>
        <v>407297457.44999999</v>
      </c>
      <c r="W2029">
        <f>SUM(POTABLE_NONPOTABLE_API[[#This Row],[NONPOTABLE_DEMAND_RESIDENTIAL_RECYCLED_WATER_GAL]:[NONPOTABLE_DEMAND_NONRESIDENTIAL_METERED_IRRIGATION_GAL]])</f>
        <v>0</v>
      </c>
      <c r="X2029" t="str">
        <f>IFERROR(INDEX(Crosswalk_API!$H$2:$H$527, MATCH(POTABLE_NONPOTABLE_API[[#This Row],[PWSID]], CW_PWSID_LIST, 0)), "")</f>
        <v>No</v>
      </c>
    </row>
    <row r="2030" spans="1:24" x14ac:dyDescent="0.25">
      <c r="A2030" t="s">
        <v>1299</v>
      </c>
      <c r="B2030" t="s">
        <v>1300</v>
      </c>
      <c r="C2030" t="s">
        <v>1301</v>
      </c>
      <c r="D2030" t="s">
        <v>1302</v>
      </c>
      <c r="E2030" s="9">
        <v>45108</v>
      </c>
      <c r="F2030" s="9">
        <v>45138</v>
      </c>
      <c r="G2030">
        <v>281250000</v>
      </c>
      <c r="H2030">
        <v>41370000</v>
      </c>
      <c r="I2030">
        <v>68790000</v>
      </c>
      <c r="J2030">
        <v>145180000</v>
      </c>
      <c r="K2030">
        <v>22060000</v>
      </c>
      <c r="L2030">
        <v>3220000</v>
      </c>
      <c r="M2030">
        <v>0</v>
      </c>
      <c r="T2030" s="9">
        <v>45108</v>
      </c>
      <c r="U2030" s="9">
        <v>45473</v>
      </c>
      <c r="V2030">
        <f>SUM(POTABLE_NONPOTABLE_API[[#This Row],[RESIDENTIAL_SINGLEFAMILY_GAL]:[OTHER_GAL]])</f>
        <v>561870000</v>
      </c>
      <c r="W2030">
        <f>SUM(POTABLE_NONPOTABLE_API[[#This Row],[NONPOTABLE_DEMAND_RESIDENTIAL_RECYCLED_WATER_GAL]:[NONPOTABLE_DEMAND_NONRESIDENTIAL_METERED_IRRIGATION_GAL]])</f>
        <v>0</v>
      </c>
      <c r="X2030" t="str">
        <f>IFERROR(INDEX(Crosswalk_API!$H$2:$H$527, MATCH(POTABLE_NONPOTABLE_API[[#This Row],[PWSID]], CW_PWSID_LIST, 0)), "")</f>
        <v>No</v>
      </c>
    </row>
    <row r="2031" spans="1:24" x14ac:dyDescent="0.25">
      <c r="A2031" t="s">
        <v>1299</v>
      </c>
      <c r="B2031" t="s">
        <v>1300</v>
      </c>
      <c r="C2031" t="s">
        <v>1301</v>
      </c>
      <c r="D2031" t="s">
        <v>1302</v>
      </c>
      <c r="E2031" s="9">
        <v>45139</v>
      </c>
      <c r="F2031" s="9">
        <v>45169</v>
      </c>
      <c r="G2031">
        <v>291930000</v>
      </c>
      <c r="H2031">
        <v>43530000</v>
      </c>
      <c r="I2031">
        <v>69990000</v>
      </c>
      <c r="J2031">
        <v>163000000</v>
      </c>
      <c r="K2031">
        <v>23370000</v>
      </c>
      <c r="L2031">
        <v>3930000</v>
      </c>
      <c r="M2031">
        <v>0</v>
      </c>
      <c r="T2031" s="9">
        <v>45108</v>
      </c>
      <c r="U2031" s="9">
        <v>45473</v>
      </c>
      <c r="V2031">
        <f>SUM(POTABLE_NONPOTABLE_API[[#This Row],[RESIDENTIAL_SINGLEFAMILY_GAL]:[OTHER_GAL]])</f>
        <v>595750000</v>
      </c>
      <c r="W2031">
        <f>SUM(POTABLE_NONPOTABLE_API[[#This Row],[NONPOTABLE_DEMAND_RESIDENTIAL_RECYCLED_WATER_GAL]:[NONPOTABLE_DEMAND_NONRESIDENTIAL_METERED_IRRIGATION_GAL]])</f>
        <v>0</v>
      </c>
      <c r="X2031" t="str">
        <f>IFERROR(INDEX(Crosswalk_API!$H$2:$H$527, MATCH(POTABLE_NONPOTABLE_API[[#This Row],[PWSID]], CW_PWSID_LIST, 0)), "")</f>
        <v>No</v>
      </c>
    </row>
    <row r="2032" spans="1:24" x14ac:dyDescent="0.25">
      <c r="A2032" t="s">
        <v>1299</v>
      </c>
      <c r="B2032" t="s">
        <v>1300</v>
      </c>
      <c r="C2032" t="s">
        <v>1301</v>
      </c>
      <c r="D2032" t="s">
        <v>1302</v>
      </c>
      <c r="E2032" s="9">
        <v>45170</v>
      </c>
      <c r="F2032" s="9">
        <v>45199</v>
      </c>
      <c r="G2032">
        <v>345000000</v>
      </c>
      <c r="H2032">
        <v>54000000</v>
      </c>
      <c r="I2032">
        <v>77100000</v>
      </c>
      <c r="J2032">
        <v>194230000</v>
      </c>
      <c r="K2032">
        <v>26850000</v>
      </c>
      <c r="L2032">
        <v>2680000</v>
      </c>
      <c r="M2032">
        <v>0</v>
      </c>
      <c r="T2032" s="9">
        <v>45108</v>
      </c>
      <c r="U2032" s="9">
        <v>45473</v>
      </c>
      <c r="V2032">
        <f>SUM(POTABLE_NONPOTABLE_API[[#This Row],[RESIDENTIAL_SINGLEFAMILY_GAL]:[OTHER_GAL]])</f>
        <v>699860000</v>
      </c>
      <c r="W2032">
        <f>SUM(POTABLE_NONPOTABLE_API[[#This Row],[NONPOTABLE_DEMAND_RESIDENTIAL_RECYCLED_WATER_GAL]:[NONPOTABLE_DEMAND_NONRESIDENTIAL_METERED_IRRIGATION_GAL]])</f>
        <v>0</v>
      </c>
      <c r="X2032" t="str">
        <f>IFERROR(INDEX(Crosswalk_API!$H$2:$H$527, MATCH(POTABLE_NONPOTABLE_API[[#This Row],[PWSID]], CW_PWSID_LIST, 0)), "")</f>
        <v>No</v>
      </c>
    </row>
    <row r="2033" spans="1:24" x14ac:dyDescent="0.25">
      <c r="A2033" t="s">
        <v>1299</v>
      </c>
      <c r="B2033" t="s">
        <v>1300</v>
      </c>
      <c r="C2033" t="s">
        <v>1301</v>
      </c>
      <c r="D2033" t="s">
        <v>1302</v>
      </c>
      <c r="E2033" s="9">
        <v>45200</v>
      </c>
      <c r="F2033" s="9">
        <v>45230</v>
      </c>
      <c r="G2033">
        <v>243320000</v>
      </c>
      <c r="H2033">
        <v>49270000</v>
      </c>
      <c r="I2033">
        <v>61720000</v>
      </c>
      <c r="J2033">
        <v>129289999.99999999</v>
      </c>
      <c r="K2033">
        <v>21920000</v>
      </c>
      <c r="L2033">
        <v>5080000</v>
      </c>
      <c r="M2033">
        <v>0</v>
      </c>
      <c r="T2033" s="9">
        <v>45108</v>
      </c>
      <c r="U2033" s="9">
        <v>45473</v>
      </c>
      <c r="V2033">
        <f>SUM(POTABLE_NONPOTABLE_API[[#This Row],[RESIDENTIAL_SINGLEFAMILY_GAL]:[OTHER_GAL]])</f>
        <v>510600000</v>
      </c>
      <c r="W2033">
        <f>SUM(POTABLE_NONPOTABLE_API[[#This Row],[NONPOTABLE_DEMAND_RESIDENTIAL_RECYCLED_WATER_GAL]:[NONPOTABLE_DEMAND_NONRESIDENTIAL_METERED_IRRIGATION_GAL]])</f>
        <v>0</v>
      </c>
      <c r="X2033" t="str">
        <f>IFERROR(INDEX(Crosswalk_API!$H$2:$H$527, MATCH(POTABLE_NONPOTABLE_API[[#This Row],[PWSID]], CW_PWSID_LIST, 0)), "")</f>
        <v>No</v>
      </c>
    </row>
    <row r="2034" spans="1:24" x14ac:dyDescent="0.25">
      <c r="A2034" t="s">
        <v>1299</v>
      </c>
      <c r="B2034" t="s">
        <v>1300</v>
      </c>
      <c r="C2034" t="s">
        <v>1301</v>
      </c>
      <c r="D2034" t="s">
        <v>1302</v>
      </c>
      <c r="E2034" s="9">
        <v>45231</v>
      </c>
      <c r="F2034" s="9">
        <v>45260</v>
      </c>
      <c r="G2034">
        <v>215190000</v>
      </c>
      <c r="H2034">
        <v>36910000</v>
      </c>
      <c r="I2034">
        <v>54760000</v>
      </c>
      <c r="J2034">
        <v>164690000</v>
      </c>
      <c r="K2034">
        <v>22590000</v>
      </c>
      <c r="L2034">
        <v>1770000</v>
      </c>
      <c r="M2034">
        <v>0</v>
      </c>
      <c r="T2034" s="9">
        <v>45108</v>
      </c>
      <c r="U2034" s="9">
        <v>45473</v>
      </c>
      <c r="V2034">
        <f>SUM(POTABLE_NONPOTABLE_API[[#This Row],[RESIDENTIAL_SINGLEFAMILY_GAL]:[OTHER_GAL]])</f>
        <v>495910000</v>
      </c>
      <c r="W2034">
        <f>SUM(POTABLE_NONPOTABLE_API[[#This Row],[NONPOTABLE_DEMAND_RESIDENTIAL_RECYCLED_WATER_GAL]:[NONPOTABLE_DEMAND_NONRESIDENTIAL_METERED_IRRIGATION_GAL]])</f>
        <v>0</v>
      </c>
      <c r="X2034" t="str">
        <f>IFERROR(INDEX(Crosswalk_API!$H$2:$H$527, MATCH(POTABLE_NONPOTABLE_API[[#This Row],[PWSID]], CW_PWSID_LIST, 0)), "")</f>
        <v>No</v>
      </c>
    </row>
    <row r="2035" spans="1:24" x14ac:dyDescent="0.25">
      <c r="A2035" t="s">
        <v>1299</v>
      </c>
      <c r="B2035" t="s">
        <v>1300</v>
      </c>
      <c r="C2035" t="s">
        <v>1301</v>
      </c>
      <c r="D2035" t="s">
        <v>1302</v>
      </c>
      <c r="E2035" s="9">
        <v>45261</v>
      </c>
      <c r="F2035" s="9">
        <v>45291</v>
      </c>
      <c r="G2035">
        <v>192040000</v>
      </c>
      <c r="H2035">
        <v>34390000</v>
      </c>
      <c r="I2035">
        <v>54890000</v>
      </c>
      <c r="J2035">
        <v>49930000</v>
      </c>
      <c r="K2035">
        <v>20930000</v>
      </c>
      <c r="L2035">
        <v>4110000.0000000005</v>
      </c>
      <c r="M2035">
        <v>0</v>
      </c>
      <c r="T2035" s="9">
        <v>45108</v>
      </c>
      <c r="U2035" s="9">
        <v>45473</v>
      </c>
      <c r="V2035">
        <f>SUM(POTABLE_NONPOTABLE_API[[#This Row],[RESIDENTIAL_SINGLEFAMILY_GAL]:[OTHER_GAL]])</f>
        <v>356290000</v>
      </c>
      <c r="W2035">
        <f>SUM(POTABLE_NONPOTABLE_API[[#This Row],[NONPOTABLE_DEMAND_RESIDENTIAL_RECYCLED_WATER_GAL]:[NONPOTABLE_DEMAND_NONRESIDENTIAL_METERED_IRRIGATION_GAL]])</f>
        <v>0</v>
      </c>
      <c r="X2035" t="str">
        <f>IFERROR(INDEX(Crosswalk_API!$H$2:$H$527, MATCH(POTABLE_NONPOTABLE_API[[#This Row],[PWSID]], CW_PWSID_LIST, 0)), "")</f>
        <v>No</v>
      </c>
    </row>
    <row r="2036" spans="1:24" x14ac:dyDescent="0.25">
      <c r="A2036" t="s">
        <v>1299</v>
      </c>
      <c r="B2036" t="s">
        <v>1300</v>
      </c>
      <c r="C2036" t="s">
        <v>1301</v>
      </c>
      <c r="D2036" t="s">
        <v>1302</v>
      </c>
      <c r="E2036" s="9">
        <v>45292</v>
      </c>
      <c r="F2036" s="9">
        <v>45322</v>
      </c>
      <c r="G2036">
        <v>141790000</v>
      </c>
      <c r="H2036">
        <v>29010000</v>
      </c>
      <c r="I2036">
        <v>57050000</v>
      </c>
      <c r="J2036">
        <v>22880000</v>
      </c>
      <c r="K2036">
        <v>18530000</v>
      </c>
      <c r="L2036">
        <v>870000</v>
      </c>
      <c r="M2036">
        <v>0</v>
      </c>
      <c r="T2036" s="9">
        <v>45108</v>
      </c>
      <c r="U2036" s="9">
        <v>45473</v>
      </c>
      <c r="V2036">
        <f>SUM(POTABLE_NONPOTABLE_API[[#This Row],[RESIDENTIAL_SINGLEFAMILY_GAL]:[OTHER_GAL]])</f>
        <v>270130000</v>
      </c>
      <c r="W2036">
        <f>SUM(POTABLE_NONPOTABLE_API[[#This Row],[NONPOTABLE_DEMAND_RESIDENTIAL_RECYCLED_WATER_GAL]:[NONPOTABLE_DEMAND_NONRESIDENTIAL_METERED_IRRIGATION_GAL]])</f>
        <v>0</v>
      </c>
      <c r="X2036" t="str">
        <f>IFERROR(INDEX(Crosswalk_API!$H$2:$H$527, MATCH(POTABLE_NONPOTABLE_API[[#This Row],[PWSID]], CW_PWSID_LIST, 0)), "")</f>
        <v>No</v>
      </c>
    </row>
    <row r="2037" spans="1:24" x14ac:dyDescent="0.25">
      <c r="A2037" t="s">
        <v>1299</v>
      </c>
      <c r="B2037" t="s">
        <v>1300</v>
      </c>
      <c r="C2037" t="s">
        <v>1301</v>
      </c>
      <c r="D2037" t="s">
        <v>1302</v>
      </c>
      <c r="E2037" s="9">
        <v>45323</v>
      </c>
      <c r="F2037" s="9">
        <v>45351</v>
      </c>
      <c r="G2037">
        <v>163640000</v>
      </c>
      <c r="H2037">
        <v>36460000</v>
      </c>
      <c r="I2037">
        <v>54560000</v>
      </c>
      <c r="J2037">
        <v>22390000</v>
      </c>
      <c r="K2037">
        <v>27980000</v>
      </c>
      <c r="L2037">
        <v>2130000</v>
      </c>
      <c r="M2037">
        <v>0</v>
      </c>
      <c r="T2037" s="9">
        <v>45108</v>
      </c>
      <c r="U2037" s="9">
        <v>45473</v>
      </c>
      <c r="V2037">
        <f>SUM(POTABLE_NONPOTABLE_API[[#This Row],[RESIDENTIAL_SINGLEFAMILY_GAL]:[OTHER_GAL]])</f>
        <v>307160000</v>
      </c>
      <c r="W2037">
        <f>SUM(POTABLE_NONPOTABLE_API[[#This Row],[NONPOTABLE_DEMAND_RESIDENTIAL_RECYCLED_WATER_GAL]:[NONPOTABLE_DEMAND_NONRESIDENTIAL_METERED_IRRIGATION_GAL]])</f>
        <v>0</v>
      </c>
      <c r="X2037" t="str">
        <f>IFERROR(INDEX(Crosswalk_API!$H$2:$H$527, MATCH(POTABLE_NONPOTABLE_API[[#This Row],[PWSID]], CW_PWSID_LIST, 0)), "")</f>
        <v>No</v>
      </c>
    </row>
    <row r="2038" spans="1:24" x14ac:dyDescent="0.25">
      <c r="A2038" t="s">
        <v>1299</v>
      </c>
      <c r="B2038" t="s">
        <v>1300</v>
      </c>
      <c r="C2038" t="s">
        <v>1301</v>
      </c>
      <c r="D2038" t="s">
        <v>1302</v>
      </c>
      <c r="E2038" s="9">
        <v>45352</v>
      </c>
      <c r="F2038" s="9">
        <v>45382</v>
      </c>
      <c r="G2038">
        <v>130729999.99999999</v>
      </c>
      <c r="H2038">
        <v>28510000</v>
      </c>
      <c r="I2038">
        <v>48390000</v>
      </c>
      <c r="J2038">
        <v>14960000</v>
      </c>
      <c r="K2038">
        <v>23320000</v>
      </c>
      <c r="L2038">
        <v>1250000</v>
      </c>
      <c r="M2038">
        <v>0</v>
      </c>
      <c r="T2038" s="9">
        <v>45108</v>
      </c>
      <c r="U2038" s="9">
        <v>45473</v>
      </c>
      <c r="V2038">
        <f>SUM(POTABLE_NONPOTABLE_API[[#This Row],[RESIDENTIAL_SINGLEFAMILY_GAL]:[OTHER_GAL]])</f>
        <v>247160000</v>
      </c>
      <c r="W2038">
        <f>SUM(POTABLE_NONPOTABLE_API[[#This Row],[NONPOTABLE_DEMAND_RESIDENTIAL_RECYCLED_WATER_GAL]:[NONPOTABLE_DEMAND_NONRESIDENTIAL_METERED_IRRIGATION_GAL]])</f>
        <v>0</v>
      </c>
      <c r="X2038" t="str">
        <f>IFERROR(INDEX(Crosswalk_API!$H$2:$H$527, MATCH(POTABLE_NONPOTABLE_API[[#This Row],[PWSID]], CW_PWSID_LIST, 0)), "")</f>
        <v>No</v>
      </c>
    </row>
    <row r="2039" spans="1:24" x14ac:dyDescent="0.25">
      <c r="A2039" t="s">
        <v>1299</v>
      </c>
      <c r="B2039" t="s">
        <v>1300</v>
      </c>
      <c r="C2039" t="s">
        <v>1301</v>
      </c>
      <c r="D2039" t="s">
        <v>1302</v>
      </c>
      <c r="E2039" s="9">
        <v>45383</v>
      </c>
      <c r="F2039" s="9">
        <v>45412</v>
      </c>
      <c r="G2039">
        <v>144370000</v>
      </c>
      <c r="H2039">
        <v>30070000</v>
      </c>
      <c r="I2039">
        <v>57050000</v>
      </c>
      <c r="J2039">
        <v>23450000</v>
      </c>
      <c r="K2039">
        <v>21470000</v>
      </c>
      <c r="L2039">
        <v>1900000</v>
      </c>
      <c r="M2039">
        <v>0</v>
      </c>
      <c r="T2039" s="9">
        <v>45108</v>
      </c>
      <c r="U2039" s="9">
        <v>45473</v>
      </c>
      <c r="V2039">
        <f>SUM(POTABLE_NONPOTABLE_API[[#This Row],[RESIDENTIAL_SINGLEFAMILY_GAL]:[OTHER_GAL]])</f>
        <v>278310000</v>
      </c>
      <c r="W2039">
        <f>SUM(POTABLE_NONPOTABLE_API[[#This Row],[NONPOTABLE_DEMAND_RESIDENTIAL_RECYCLED_WATER_GAL]:[NONPOTABLE_DEMAND_NONRESIDENTIAL_METERED_IRRIGATION_GAL]])</f>
        <v>0</v>
      </c>
      <c r="X2039" t="str">
        <f>IFERROR(INDEX(Crosswalk_API!$H$2:$H$527, MATCH(POTABLE_NONPOTABLE_API[[#This Row],[PWSID]], CW_PWSID_LIST, 0)), "")</f>
        <v>No</v>
      </c>
    </row>
    <row r="2040" spans="1:24" x14ac:dyDescent="0.25">
      <c r="A2040" t="s">
        <v>1299</v>
      </c>
      <c r="B2040" t="s">
        <v>1300</v>
      </c>
      <c r="C2040" t="s">
        <v>1301</v>
      </c>
      <c r="D2040" t="s">
        <v>1302</v>
      </c>
      <c r="E2040" s="9">
        <v>45413</v>
      </c>
      <c r="F2040" s="9">
        <v>45443</v>
      </c>
      <c r="G2040">
        <v>192390000</v>
      </c>
      <c r="H2040">
        <v>33189999.999999996</v>
      </c>
      <c r="I2040">
        <v>56490000</v>
      </c>
      <c r="J2040">
        <v>66430000.000000007</v>
      </c>
      <c r="K2040">
        <v>20460000</v>
      </c>
      <c r="L2040">
        <v>1510000</v>
      </c>
      <c r="M2040">
        <v>0</v>
      </c>
      <c r="T2040" s="9">
        <v>45108</v>
      </c>
      <c r="U2040" s="9">
        <v>45473</v>
      </c>
      <c r="V2040">
        <f>SUM(POTABLE_NONPOTABLE_API[[#This Row],[RESIDENTIAL_SINGLEFAMILY_GAL]:[OTHER_GAL]])</f>
        <v>370470000</v>
      </c>
      <c r="W2040">
        <f>SUM(POTABLE_NONPOTABLE_API[[#This Row],[NONPOTABLE_DEMAND_RESIDENTIAL_RECYCLED_WATER_GAL]:[NONPOTABLE_DEMAND_NONRESIDENTIAL_METERED_IRRIGATION_GAL]])</f>
        <v>0</v>
      </c>
      <c r="X2040" t="str">
        <f>IFERROR(INDEX(Crosswalk_API!$H$2:$H$527, MATCH(POTABLE_NONPOTABLE_API[[#This Row],[PWSID]], CW_PWSID_LIST, 0)), "")</f>
        <v>No</v>
      </c>
    </row>
    <row r="2041" spans="1:24" x14ac:dyDescent="0.25">
      <c r="A2041" t="s">
        <v>1299</v>
      </c>
      <c r="B2041" t="s">
        <v>1300</v>
      </c>
      <c r="C2041" t="s">
        <v>1301</v>
      </c>
      <c r="D2041" t="s">
        <v>1302</v>
      </c>
      <c r="E2041" s="9">
        <v>45444</v>
      </c>
      <c r="F2041" s="9">
        <v>45473</v>
      </c>
      <c r="G2041">
        <v>317210000</v>
      </c>
      <c r="H2041">
        <v>48300000</v>
      </c>
      <c r="I2041">
        <v>77430000</v>
      </c>
      <c r="J2041">
        <v>157040000</v>
      </c>
      <c r="K2041">
        <v>26670000</v>
      </c>
      <c r="L2041">
        <v>4000000</v>
      </c>
      <c r="M2041">
        <v>0</v>
      </c>
      <c r="T2041" s="9">
        <v>45108</v>
      </c>
      <c r="U2041" s="9">
        <v>45473</v>
      </c>
      <c r="V2041">
        <f>SUM(POTABLE_NONPOTABLE_API[[#This Row],[RESIDENTIAL_SINGLEFAMILY_GAL]:[OTHER_GAL]])</f>
        <v>630650000</v>
      </c>
      <c r="W2041">
        <f>SUM(POTABLE_NONPOTABLE_API[[#This Row],[NONPOTABLE_DEMAND_RESIDENTIAL_RECYCLED_WATER_GAL]:[NONPOTABLE_DEMAND_NONRESIDENTIAL_METERED_IRRIGATION_GAL]])</f>
        <v>0</v>
      </c>
      <c r="X2041" t="str">
        <f>IFERROR(INDEX(Crosswalk_API!$H$2:$H$527, MATCH(POTABLE_NONPOTABLE_API[[#This Row],[PWSID]], CW_PWSID_LIST, 0)), "")</f>
        <v>No</v>
      </c>
    </row>
    <row r="2042" spans="1:24" x14ac:dyDescent="0.25">
      <c r="A2042" t="s">
        <v>1303</v>
      </c>
      <c r="B2042" t="s">
        <v>1304</v>
      </c>
      <c r="C2042" t="s">
        <v>1305</v>
      </c>
      <c r="D2042" t="s">
        <v>1306</v>
      </c>
      <c r="E2042" s="9">
        <v>45108</v>
      </c>
      <c r="F2042" s="9">
        <v>45138</v>
      </c>
      <c r="G2042">
        <v>112809616.2</v>
      </c>
      <c r="H2042">
        <v>16097039.4</v>
      </c>
      <c r="I2042">
        <v>16259964.9</v>
      </c>
      <c r="J2042">
        <v>716872.20000000007</v>
      </c>
      <c r="K2042">
        <v>0</v>
      </c>
      <c r="L2042">
        <v>0</v>
      </c>
      <c r="M2042">
        <v>63345434.399999999</v>
      </c>
      <c r="N2042">
        <v>0</v>
      </c>
      <c r="O2042">
        <v>0</v>
      </c>
      <c r="P2042">
        <v>0</v>
      </c>
      <c r="Q2042">
        <v>23819708.099999998</v>
      </c>
      <c r="R2042">
        <v>0</v>
      </c>
      <c r="S2042">
        <v>0</v>
      </c>
      <c r="T2042" s="9">
        <v>45108</v>
      </c>
      <c r="U2042" s="9">
        <v>45473</v>
      </c>
      <c r="V2042">
        <f>SUM(POTABLE_NONPOTABLE_API[[#This Row],[RESIDENTIAL_SINGLEFAMILY_GAL]:[OTHER_GAL]])</f>
        <v>145883492.69999999</v>
      </c>
      <c r="W2042">
        <f>SUM(POTABLE_NONPOTABLE_API[[#This Row],[NONPOTABLE_DEMAND_RESIDENTIAL_RECYCLED_WATER_GAL]:[NONPOTABLE_DEMAND_NONRESIDENTIAL_METERED_IRRIGATION_GAL]])</f>
        <v>23819708.099999998</v>
      </c>
      <c r="X2042" t="str">
        <f>IFERROR(INDEX(Crosswalk_API!$H$2:$H$527, MATCH(POTABLE_NONPOTABLE_API[[#This Row],[PWSID]], CW_PWSID_LIST, 0)), "")</f>
        <v>No</v>
      </c>
    </row>
    <row r="2043" spans="1:24" x14ac:dyDescent="0.25">
      <c r="A2043" t="s">
        <v>1303</v>
      </c>
      <c r="B2043" t="s">
        <v>1304</v>
      </c>
      <c r="C2043" t="s">
        <v>1305</v>
      </c>
      <c r="D2043" t="s">
        <v>1306</v>
      </c>
      <c r="E2043" s="9">
        <v>45139</v>
      </c>
      <c r="F2043" s="9">
        <v>45169</v>
      </c>
      <c r="G2043">
        <v>130014549</v>
      </c>
      <c r="H2043">
        <v>17433028.5</v>
      </c>
      <c r="I2043">
        <v>20919634.199999999</v>
      </c>
      <c r="J2043">
        <v>879797.70000000007</v>
      </c>
      <c r="K2043">
        <v>0</v>
      </c>
      <c r="L2043">
        <v>0</v>
      </c>
      <c r="M2043">
        <v>76314304.200000003</v>
      </c>
      <c r="N2043">
        <v>0</v>
      </c>
      <c r="O2043">
        <v>0</v>
      </c>
      <c r="P2043">
        <v>0</v>
      </c>
      <c r="Q2043">
        <v>21766846.800000001</v>
      </c>
      <c r="R2043">
        <v>0</v>
      </c>
      <c r="S2043">
        <v>0</v>
      </c>
      <c r="T2043" s="9">
        <v>45108</v>
      </c>
      <c r="U2043" s="9">
        <v>45473</v>
      </c>
      <c r="V2043">
        <f>SUM(POTABLE_NONPOTABLE_API[[#This Row],[RESIDENTIAL_SINGLEFAMILY_GAL]:[OTHER_GAL]])</f>
        <v>169247009.39999998</v>
      </c>
      <c r="W2043">
        <f>SUM(POTABLE_NONPOTABLE_API[[#This Row],[NONPOTABLE_DEMAND_RESIDENTIAL_RECYCLED_WATER_GAL]:[NONPOTABLE_DEMAND_NONRESIDENTIAL_METERED_IRRIGATION_GAL]])</f>
        <v>21766846.800000001</v>
      </c>
      <c r="X2043" t="str">
        <f>IFERROR(INDEX(Crosswalk_API!$H$2:$H$527, MATCH(POTABLE_NONPOTABLE_API[[#This Row],[PWSID]], CW_PWSID_LIST, 0)), "")</f>
        <v>No</v>
      </c>
    </row>
    <row r="2044" spans="1:24" x14ac:dyDescent="0.25">
      <c r="A2044" t="s">
        <v>1303</v>
      </c>
      <c r="B2044" t="s">
        <v>1304</v>
      </c>
      <c r="C2044" t="s">
        <v>1305</v>
      </c>
      <c r="D2044" t="s">
        <v>1306</v>
      </c>
      <c r="E2044" s="9">
        <v>45170</v>
      </c>
      <c r="F2044" s="9">
        <v>45199</v>
      </c>
      <c r="G2044">
        <v>109062329.7</v>
      </c>
      <c r="H2044">
        <v>17954390.100000001</v>
      </c>
      <c r="I2044">
        <v>18638677.199999999</v>
      </c>
      <c r="J2044">
        <v>847212.6</v>
      </c>
      <c r="K2044">
        <v>0</v>
      </c>
      <c r="L2044">
        <v>0</v>
      </c>
      <c r="M2044">
        <v>57186850.5</v>
      </c>
      <c r="N2044">
        <v>0</v>
      </c>
      <c r="O2044">
        <v>0</v>
      </c>
      <c r="P2044">
        <v>0</v>
      </c>
      <c r="Q2044">
        <v>20365687.5</v>
      </c>
      <c r="R2044">
        <v>0</v>
      </c>
      <c r="S2044">
        <v>0</v>
      </c>
      <c r="T2044" s="9">
        <v>45108</v>
      </c>
      <c r="U2044" s="9">
        <v>45473</v>
      </c>
      <c r="V2044">
        <f>SUM(POTABLE_NONPOTABLE_API[[#This Row],[RESIDENTIAL_SINGLEFAMILY_GAL]:[OTHER_GAL]])</f>
        <v>146502609.59999999</v>
      </c>
      <c r="W2044">
        <f>SUM(POTABLE_NONPOTABLE_API[[#This Row],[NONPOTABLE_DEMAND_RESIDENTIAL_RECYCLED_WATER_GAL]:[NONPOTABLE_DEMAND_NONRESIDENTIAL_METERED_IRRIGATION_GAL]])</f>
        <v>20365687.5</v>
      </c>
      <c r="X2044" t="str">
        <f>IFERROR(INDEX(Crosswalk_API!$H$2:$H$527, MATCH(POTABLE_NONPOTABLE_API[[#This Row],[PWSID]], CW_PWSID_LIST, 0)), "")</f>
        <v>No</v>
      </c>
    </row>
    <row r="2045" spans="1:24" x14ac:dyDescent="0.25">
      <c r="A2045" t="s">
        <v>1303</v>
      </c>
      <c r="B2045" t="s">
        <v>1304</v>
      </c>
      <c r="C2045" t="s">
        <v>1305</v>
      </c>
      <c r="D2045" t="s">
        <v>1306</v>
      </c>
      <c r="E2045" s="9">
        <v>45200</v>
      </c>
      <c r="F2045" s="9">
        <v>45230</v>
      </c>
      <c r="G2045">
        <v>97136183.100000009</v>
      </c>
      <c r="H2045">
        <v>15510507.6</v>
      </c>
      <c r="I2045">
        <v>15510507.6</v>
      </c>
      <c r="J2045">
        <v>944967.9</v>
      </c>
      <c r="K2045">
        <v>0</v>
      </c>
      <c r="L2045">
        <v>0</v>
      </c>
      <c r="M2045">
        <v>51386702.699999996</v>
      </c>
      <c r="N2045">
        <v>0</v>
      </c>
      <c r="O2045">
        <v>0</v>
      </c>
      <c r="P2045">
        <v>0</v>
      </c>
      <c r="Q2045">
        <v>19127453.699999999</v>
      </c>
      <c r="R2045">
        <v>0</v>
      </c>
      <c r="S2045">
        <v>0</v>
      </c>
      <c r="T2045" s="9">
        <v>45108</v>
      </c>
      <c r="U2045" s="9">
        <v>45473</v>
      </c>
      <c r="V2045">
        <f>SUM(POTABLE_NONPOTABLE_API[[#This Row],[RESIDENTIAL_SINGLEFAMILY_GAL]:[OTHER_GAL]])</f>
        <v>129102166.2</v>
      </c>
      <c r="W2045">
        <f>SUM(POTABLE_NONPOTABLE_API[[#This Row],[NONPOTABLE_DEMAND_RESIDENTIAL_RECYCLED_WATER_GAL]:[NONPOTABLE_DEMAND_NONRESIDENTIAL_METERED_IRRIGATION_GAL]])</f>
        <v>19127453.699999999</v>
      </c>
      <c r="X2045" t="str">
        <f>IFERROR(INDEX(Crosswalk_API!$H$2:$H$527, MATCH(POTABLE_NONPOTABLE_API[[#This Row],[PWSID]], CW_PWSID_LIST, 0)), "")</f>
        <v>No</v>
      </c>
    </row>
    <row r="2046" spans="1:24" x14ac:dyDescent="0.25">
      <c r="A2046" t="s">
        <v>1303</v>
      </c>
      <c r="B2046" t="s">
        <v>1304</v>
      </c>
      <c r="C2046" t="s">
        <v>1305</v>
      </c>
      <c r="D2046" t="s">
        <v>1306</v>
      </c>
      <c r="E2046" s="9">
        <v>45231</v>
      </c>
      <c r="F2046" s="9">
        <v>45260</v>
      </c>
      <c r="G2046">
        <v>102317214</v>
      </c>
      <c r="H2046">
        <v>16813911.600000001</v>
      </c>
      <c r="I2046">
        <v>16813911.600000001</v>
      </c>
      <c r="J2046">
        <v>814627.5</v>
      </c>
      <c r="K2046">
        <v>0</v>
      </c>
      <c r="L2046">
        <v>0</v>
      </c>
      <c r="M2046">
        <v>56567733.600000001</v>
      </c>
      <c r="N2046">
        <v>0</v>
      </c>
      <c r="O2046">
        <v>0</v>
      </c>
      <c r="P2046">
        <v>0</v>
      </c>
      <c r="Q2046">
        <v>13848667.5</v>
      </c>
      <c r="R2046">
        <v>0</v>
      </c>
      <c r="S2046">
        <v>0</v>
      </c>
      <c r="T2046" s="9">
        <v>45108</v>
      </c>
      <c r="U2046" s="9">
        <v>45473</v>
      </c>
      <c r="V2046">
        <f>SUM(POTABLE_NONPOTABLE_API[[#This Row],[RESIDENTIAL_SINGLEFAMILY_GAL]:[OTHER_GAL]])</f>
        <v>136759664.69999999</v>
      </c>
      <c r="W2046">
        <f>SUM(POTABLE_NONPOTABLE_API[[#This Row],[NONPOTABLE_DEMAND_RESIDENTIAL_RECYCLED_WATER_GAL]:[NONPOTABLE_DEMAND_NONRESIDENTIAL_METERED_IRRIGATION_GAL]])</f>
        <v>13848667.5</v>
      </c>
      <c r="X2046" t="str">
        <f>IFERROR(INDEX(Crosswalk_API!$H$2:$H$527, MATCH(POTABLE_NONPOTABLE_API[[#This Row],[PWSID]], CW_PWSID_LIST, 0)), "")</f>
        <v>No</v>
      </c>
    </row>
    <row r="2047" spans="1:24" x14ac:dyDescent="0.25">
      <c r="A2047" t="s">
        <v>1303</v>
      </c>
      <c r="B2047" t="s">
        <v>1304</v>
      </c>
      <c r="C2047" t="s">
        <v>1305</v>
      </c>
      <c r="D2047" t="s">
        <v>1306</v>
      </c>
      <c r="E2047" s="9">
        <v>45261</v>
      </c>
      <c r="F2047" s="9">
        <v>45291</v>
      </c>
      <c r="G2047">
        <v>80745877.799999997</v>
      </c>
      <c r="H2047">
        <v>16976837.100000001</v>
      </c>
      <c r="I2047">
        <v>15086901.299999999</v>
      </c>
      <c r="J2047">
        <v>684287.1</v>
      </c>
      <c r="K2047">
        <v>0</v>
      </c>
      <c r="L2047">
        <v>0</v>
      </c>
      <c r="M2047">
        <v>36593067.299999997</v>
      </c>
      <c r="N2047">
        <v>0</v>
      </c>
      <c r="O2047">
        <v>0</v>
      </c>
      <c r="P2047">
        <v>0</v>
      </c>
      <c r="Q2047">
        <v>8211445.2000000002</v>
      </c>
      <c r="R2047">
        <v>0</v>
      </c>
      <c r="S2047">
        <v>0</v>
      </c>
      <c r="T2047" s="9">
        <v>45108</v>
      </c>
      <c r="U2047" s="9">
        <v>45473</v>
      </c>
      <c r="V2047">
        <f>SUM(POTABLE_NONPOTABLE_API[[#This Row],[RESIDENTIAL_SINGLEFAMILY_GAL]:[OTHER_GAL]])</f>
        <v>113493903.3</v>
      </c>
      <c r="W2047">
        <f>SUM(POTABLE_NONPOTABLE_API[[#This Row],[NONPOTABLE_DEMAND_RESIDENTIAL_RECYCLED_WATER_GAL]:[NONPOTABLE_DEMAND_NONRESIDENTIAL_METERED_IRRIGATION_GAL]])</f>
        <v>8211445.2000000002</v>
      </c>
      <c r="X2047" t="str">
        <f>IFERROR(INDEX(Crosswalk_API!$H$2:$H$527, MATCH(POTABLE_NONPOTABLE_API[[#This Row],[PWSID]], CW_PWSID_LIST, 0)), "")</f>
        <v>No</v>
      </c>
    </row>
    <row r="2048" spans="1:24" x14ac:dyDescent="0.25">
      <c r="A2048" t="s">
        <v>1303</v>
      </c>
      <c r="B2048" t="s">
        <v>1304</v>
      </c>
      <c r="C2048" t="s">
        <v>1305</v>
      </c>
      <c r="D2048" t="s">
        <v>1306</v>
      </c>
      <c r="E2048" s="9">
        <v>45292</v>
      </c>
      <c r="F2048" s="9">
        <v>45322</v>
      </c>
      <c r="G2048">
        <v>61064477.399999999</v>
      </c>
      <c r="H2048">
        <v>15152071.5</v>
      </c>
      <c r="I2048">
        <v>10720497.9</v>
      </c>
      <c r="J2048">
        <v>260680.80000000002</v>
      </c>
      <c r="K2048">
        <v>0</v>
      </c>
      <c r="L2048">
        <v>0</v>
      </c>
      <c r="M2048">
        <v>20528613</v>
      </c>
      <c r="N2048">
        <v>0</v>
      </c>
      <c r="O2048">
        <v>0</v>
      </c>
      <c r="P2048">
        <v>0</v>
      </c>
      <c r="Q2048">
        <v>5734977.6000000006</v>
      </c>
      <c r="R2048">
        <v>0</v>
      </c>
      <c r="S2048">
        <v>0</v>
      </c>
      <c r="T2048" s="9">
        <v>45108</v>
      </c>
      <c r="U2048" s="9">
        <v>45473</v>
      </c>
      <c r="V2048">
        <f>SUM(POTABLE_NONPOTABLE_API[[#This Row],[RESIDENTIAL_SINGLEFAMILY_GAL]:[OTHER_GAL]])</f>
        <v>87197727.600000009</v>
      </c>
      <c r="W2048">
        <f>SUM(POTABLE_NONPOTABLE_API[[#This Row],[NONPOTABLE_DEMAND_RESIDENTIAL_RECYCLED_WATER_GAL]:[NONPOTABLE_DEMAND_NONRESIDENTIAL_METERED_IRRIGATION_GAL]])</f>
        <v>5734977.6000000006</v>
      </c>
      <c r="X2048" t="str">
        <f>IFERROR(INDEX(Crosswalk_API!$H$2:$H$527, MATCH(POTABLE_NONPOTABLE_API[[#This Row],[PWSID]], CW_PWSID_LIST, 0)), "")</f>
        <v>No</v>
      </c>
    </row>
    <row r="2049" spans="1:24" x14ac:dyDescent="0.25">
      <c r="A2049" t="s">
        <v>1303</v>
      </c>
      <c r="B2049" t="s">
        <v>1304</v>
      </c>
      <c r="C2049" t="s">
        <v>1305</v>
      </c>
      <c r="D2049" t="s">
        <v>1306</v>
      </c>
      <c r="E2049" s="9">
        <v>45323</v>
      </c>
      <c r="F2049" s="9">
        <v>45351</v>
      </c>
      <c r="G2049">
        <v>50278809.300000004</v>
      </c>
      <c r="H2049">
        <v>15706018.200000001</v>
      </c>
      <c r="I2049">
        <v>9612604.5</v>
      </c>
      <c r="J2049">
        <v>97755.3</v>
      </c>
      <c r="K2049">
        <v>0</v>
      </c>
      <c r="L2049">
        <v>0</v>
      </c>
      <c r="M2049">
        <v>13099210.200000001</v>
      </c>
      <c r="N2049">
        <v>0</v>
      </c>
      <c r="O2049">
        <v>0</v>
      </c>
      <c r="P2049">
        <v>0</v>
      </c>
      <c r="Q2049">
        <v>3812456.6999999997</v>
      </c>
      <c r="R2049">
        <v>0</v>
      </c>
      <c r="S2049">
        <v>0</v>
      </c>
      <c r="T2049" s="9">
        <v>45108</v>
      </c>
      <c r="U2049" s="9">
        <v>45473</v>
      </c>
      <c r="V2049">
        <f>SUM(POTABLE_NONPOTABLE_API[[#This Row],[RESIDENTIAL_SINGLEFAMILY_GAL]:[OTHER_GAL]])</f>
        <v>75695187.299999997</v>
      </c>
      <c r="W2049">
        <f>SUM(POTABLE_NONPOTABLE_API[[#This Row],[NONPOTABLE_DEMAND_RESIDENTIAL_RECYCLED_WATER_GAL]:[NONPOTABLE_DEMAND_NONRESIDENTIAL_METERED_IRRIGATION_GAL]])</f>
        <v>3812456.6999999997</v>
      </c>
      <c r="X2049" t="str">
        <f>IFERROR(INDEX(Crosswalk_API!$H$2:$H$527, MATCH(POTABLE_NONPOTABLE_API[[#This Row],[PWSID]], CW_PWSID_LIST, 0)), "")</f>
        <v>No</v>
      </c>
    </row>
    <row r="2050" spans="1:24" x14ac:dyDescent="0.25">
      <c r="A2050" t="s">
        <v>1303</v>
      </c>
      <c r="B2050" t="s">
        <v>1304</v>
      </c>
      <c r="C2050" t="s">
        <v>1305</v>
      </c>
      <c r="D2050" t="s">
        <v>1306</v>
      </c>
      <c r="E2050" s="9">
        <v>45352</v>
      </c>
      <c r="F2050" s="9">
        <v>45382</v>
      </c>
      <c r="G2050">
        <v>41448247.200000003</v>
      </c>
      <c r="H2050">
        <v>14044178.1</v>
      </c>
      <c r="I2050">
        <v>7983349.5</v>
      </c>
      <c r="J2050">
        <v>32585.100000000002</v>
      </c>
      <c r="K2050">
        <v>0</v>
      </c>
      <c r="L2050">
        <v>0</v>
      </c>
      <c r="M2050">
        <v>9058657.8000000007</v>
      </c>
      <c r="N2050">
        <v>0</v>
      </c>
      <c r="O2050">
        <v>0</v>
      </c>
      <c r="P2050">
        <v>0</v>
      </c>
      <c r="Q2050">
        <v>7527158.1000000006</v>
      </c>
      <c r="R2050">
        <v>0</v>
      </c>
      <c r="S2050">
        <v>0</v>
      </c>
      <c r="T2050" s="9">
        <v>45108</v>
      </c>
      <c r="U2050" s="9">
        <v>45473</v>
      </c>
      <c r="V2050">
        <f>SUM(POTABLE_NONPOTABLE_API[[#This Row],[RESIDENTIAL_SINGLEFAMILY_GAL]:[OTHER_GAL]])</f>
        <v>63508359.900000006</v>
      </c>
      <c r="W2050">
        <f>SUM(POTABLE_NONPOTABLE_API[[#This Row],[NONPOTABLE_DEMAND_RESIDENTIAL_RECYCLED_WATER_GAL]:[NONPOTABLE_DEMAND_NONRESIDENTIAL_METERED_IRRIGATION_GAL]])</f>
        <v>7527158.1000000006</v>
      </c>
      <c r="X2050" t="str">
        <f>IFERROR(INDEX(Crosswalk_API!$H$2:$H$527, MATCH(POTABLE_NONPOTABLE_API[[#This Row],[PWSID]], CW_PWSID_LIST, 0)), "")</f>
        <v>No</v>
      </c>
    </row>
    <row r="2051" spans="1:24" x14ac:dyDescent="0.25">
      <c r="A2051" t="s">
        <v>1303</v>
      </c>
      <c r="B2051" t="s">
        <v>1304</v>
      </c>
      <c r="C2051" t="s">
        <v>1305</v>
      </c>
      <c r="D2051" t="s">
        <v>1306</v>
      </c>
      <c r="E2051" s="9">
        <v>45383</v>
      </c>
      <c r="F2051" s="9">
        <v>45412</v>
      </c>
      <c r="G2051">
        <v>50735000.699999996</v>
      </c>
      <c r="H2051">
        <v>14565539.700000001</v>
      </c>
      <c r="I2051">
        <v>8928317.4000000004</v>
      </c>
      <c r="J2051">
        <v>195510.6</v>
      </c>
      <c r="K2051">
        <v>0</v>
      </c>
      <c r="L2051">
        <v>0</v>
      </c>
      <c r="M2051">
        <v>16259964.9</v>
      </c>
      <c r="N2051">
        <v>0</v>
      </c>
      <c r="O2051">
        <v>0</v>
      </c>
      <c r="P2051">
        <v>0</v>
      </c>
      <c r="Q2051">
        <v>10166551.199999999</v>
      </c>
      <c r="R2051">
        <v>0</v>
      </c>
      <c r="S2051">
        <v>0</v>
      </c>
      <c r="T2051" s="9">
        <v>45108</v>
      </c>
      <c r="U2051" s="9">
        <v>45473</v>
      </c>
      <c r="V2051">
        <f>SUM(POTABLE_NONPOTABLE_API[[#This Row],[RESIDENTIAL_SINGLEFAMILY_GAL]:[OTHER_GAL]])</f>
        <v>74424368.399999991</v>
      </c>
      <c r="W2051">
        <f>SUM(POTABLE_NONPOTABLE_API[[#This Row],[NONPOTABLE_DEMAND_RESIDENTIAL_RECYCLED_WATER_GAL]:[NONPOTABLE_DEMAND_NONRESIDENTIAL_METERED_IRRIGATION_GAL]])</f>
        <v>10166551.199999999</v>
      </c>
      <c r="X2051" t="str">
        <f>IFERROR(INDEX(Crosswalk_API!$H$2:$H$527, MATCH(POTABLE_NONPOTABLE_API[[#This Row],[PWSID]], CW_PWSID_LIST, 0)), "")</f>
        <v>No</v>
      </c>
    </row>
    <row r="2052" spans="1:24" x14ac:dyDescent="0.25">
      <c r="A2052" t="s">
        <v>1303</v>
      </c>
      <c r="B2052" t="s">
        <v>1304</v>
      </c>
      <c r="C2052" t="s">
        <v>1305</v>
      </c>
      <c r="D2052" t="s">
        <v>1306</v>
      </c>
      <c r="E2052" s="9">
        <v>45413</v>
      </c>
      <c r="F2052" s="9">
        <v>45443</v>
      </c>
      <c r="G2052">
        <v>70644496.799999997</v>
      </c>
      <c r="H2052">
        <v>14923975.799999999</v>
      </c>
      <c r="I2052">
        <v>10459817.1</v>
      </c>
      <c r="J2052">
        <v>423606.3</v>
      </c>
      <c r="K2052">
        <v>0</v>
      </c>
      <c r="L2052">
        <v>0</v>
      </c>
      <c r="M2052">
        <v>29294004.900000002</v>
      </c>
      <c r="N2052">
        <v>0</v>
      </c>
      <c r="O2052">
        <v>0</v>
      </c>
      <c r="P2052">
        <v>0</v>
      </c>
      <c r="Q2052">
        <v>14500369.5</v>
      </c>
      <c r="R2052">
        <v>0</v>
      </c>
      <c r="S2052">
        <v>0</v>
      </c>
      <c r="T2052" s="9">
        <v>45108</v>
      </c>
      <c r="U2052" s="9">
        <v>45473</v>
      </c>
      <c r="V2052">
        <f>SUM(POTABLE_NONPOTABLE_API[[#This Row],[RESIDENTIAL_SINGLEFAMILY_GAL]:[OTHER_GAL]])</f>
        <v>96451895.999999985</v>
      </c>
      <c r="W2052">
        <f>SUM(POTABLE_NONPOTABLE_API[[#This Row],[NONPOTABLE_DEMAND_RESIDENTIAL_RECYCLED_WATER_GAL]:[NONPOTABLE_DEMAND_NONRESIDENTIAL_METERED_IRRIGATION_GAL]])</f>
        <v>14500369.5</v>
      </c>
      <c r="X2052" t="str">
        <f>IFERROR(INDEX(Crosswalk_API!$H$2:$H$527, MATCH(POTABLE_NONPOTABLE_API[[#This Row],[PWSID]], CW_PWSID_LIST, 0)), "")</f>
        <v>No</v>
      </c>
    </row>
    <row r="2053" spans="1:24" x14ac:dyDescent="0.25">
      <c r="A2053" t="s">
        <v>1303</v>
      </c>
      <c r="B2053" t="s">
        <v>1304</v>
      </c>
      <c r="C2053" t="s">
        <v>1305</v>
      </c>
      <c r="D2053" t="s">
        <v>1306</v>
      </c>
      <c r="E2053" s="9">
        <v>45444</v>
      </c>
      <c r="F2053" s="9">
        <v>45473</v>
      </c>
      <c r="G2053">
        <v>103620618</v>
      </c>
      <c r="H2053">
        <v>17204932.800000001</v>
      </c>
      <c r="I2053">
        <v>16422890.4</v>
      </c>
      <c r="J2053">
        <v>586531.80000000005</v>
      </c>
      <c r="K2053">
        <v>0</v>
      </c>
      <c r="L2053">
        <v>0</v>
      </c>
      <c r="M2053">
        <v>46564107.899999999</v>
      </c>
      <c r="N2053">
        <v>0</v>
      </c>
      <c r="O2053">
        <v>0</v>
      </c>
      <c r="P2053">
        <v>0</v>
      </c>
      <c r="Q2053">
        <v>15021731.1</v>
      </c>
      <c r="R2053">
        <v>0</v>
      </c>
      <c r="S2053">
        <v>0</v>
      </c>
      <c r="T2053" s="9">
        <v>45108</v>
      </c>
      <c r="U2053" s="9">
        <v>45473</v>
      </c>
      <c r="V2053">
        <f>SUM(POTABLE_NONPOTABLE_API[[#This Row],[RESIDENTIAL_SINGLEFAMILY_GAL]:[OTHER_GAL]])</f>
        <v>137834973</v>
      </c>
      <c r="W2053">
        <f>SUM(POTABLE_NONPOTABLE_API[[#This Row],[NONPOTABLE_DEMAND_RESIDENTIAL_RECYCLED_WATER_GAL]:[NONPOTABLE_DEMAND_NONRESIDENTIAL_METERED_IRRIGATION_GAL]])</f>
        <v>15021731.1</v>
      </c>
      <c r="X2053" t="str">
        <f>IFERROR(INDEX(Crosswalk_API!$H$2:$H$527, MATCH(POTABLE_NONPOTABLE_API[[#This Row],[PWSID]], CW_PWSID_LIST, 0)), "")</f>
        <v>No</v>
      </c>
    </row>
    <row r="2054" spans="1:24" x14ac:dyDescent="0.25">
      <c r="A2054" t="s">
        <v>1307</v>
      </c>
      <c r="B2054" t="s">
        <v>1308</v>
      </c>
      <c r="C2054" t="s">
        <v>1309</v>
      </c>
      <c r="D2054" t="s">
        <v>1310</v>
      </c>
      <c r="E2054" s="9">
        <v>45108</v>
      </c>
      <c r="F2054" s="9">
        <v>45138</v>
      </c>
      <c r="G2054">
        <v>47184127.952</v>
      </c>
      <c r="H2054">
        <v>8076717.4440000001</v>
      </c>
      <c r="I2054">
        <v>4996987.3600000003</v>
      </c>
      <c r="J2054">
        <v>7297995.3119999999</v>
      </c>
      <c r="K2054">
        <v>1445236.4640000002</v>
      </c>
      <c r="L2054">
        <v>0</v>
      </c>
      <c r="M2054">
        <v>0</v>
      </c>
      <c r="N2054">
        <v>0</v>
      </c>
      <c r="O2054">
        <v>0</v>
      </c>
      <c r="P2054">
        <v>0</v>
      </c>
      <c r="Q2054">
        <v>0</v>
      </c>
      <c r="R2054">
        <v>0</v>
      </c>
      <c r="S2054">
        <v>1201288</v>
      </c>
      <c r="T2054" s="9">
        <v>45108</v>
      </c>
      <c r="U2054" s="9">
        <v>45473</v>
      </c>
      <c r="V2054">
        <f>SUM(POTABLE_NONPOTABLE_API[[#This Row],[RESIDENTIAL_SINGLEFAMILY_GAL]:[OTHER_GAL]])</f>
        <v>69001064.532000005</v>
      </c>
      <c r="W2054">
        <f>SUM(POTABLE_NONPOTABLE_API[[#This Row],[NONPOTABLE_DEMAND_RESIDENTIAL_RECYCLED_WATER_GAL]:[NONPOTABLE_DEMAND_NONRESIDENTIAL_METERED_IRRIGATION_GAL]])</f>
        <v>1201288</v>
      </c>
      <c r="X2054" t="str">
        <f>IFERROR(INDEX(Crosswalk_API!$H$2:$H$527, MATCH(POTABLE_NONPOTABLE_API[[#This Row],[PWSID]], CW_PWSID_LIST, 0)), "")</f>
        <v>No</v>
      </c>
    </row>
    <row r="2055" spans="1:24" x14ac:dyDescent="0.25">
      <c r="A2055" t="s">
        <v>1307</v>
      </c>
      <c r="B2055" t="s">
        <v>1308</v>
      </c>
      <c r="C2055" t="s">
        <v>1309</v>
      </c>
      <c r="D2055" t="s">
        <v>1310</v>
      </c>
      <c r="E2055" s="9">
        <v>45139</v>
      </c>
      <c r="F2055" s="9">
        <v>45169</v>
      </c>
      <c r="G2055">
        <v>42288875.664000005</v>
      </c>
      <c r="H2055">
        <v>6761642.0279999999</v>
      </c>
      <c r="I2055">
        <v>6262691.3440000005</v>
      </c>
      <c r="J2055">
        <v>6077922.5</v>
      </c>
      <c r="K2055">
        <v>454815.61600000004</v>
      </c>
      <c r="L2055">
        <v>0</v>
      </c>
      <c r="M2055">
        <v>0</v>
      </c>
      <c r="N2055">
        <v>0</v>
      </c>
      <c r="O2055">
        <v>0</v>
      </c>
      <c r="P2055">
        <v>0</v>
      </c>
      <c r="Q2055">
        <v>0</v>
      </c>
      <c r="R2055">
        <v>0</v>
      </c>
      <c r="S2055">
        <v>1521537.7680000002</v>
      </c>
      <c r="T2055" s="9">
        <v>45108</v>
      </c>
      <c r="U2055" s="9">
        <v>45473</v>
      </c>
      <c r="V2055">
        <f>SUM(POTABLE_NONPOTABLE_API[[#This Row],[RESIDENTIAL_SINGLEFAMILY_GAL]:[OTHER_GAL]])</f>
        <v>61845947.151999995</v>
      </c>
      <c r="W2055">
        <f>SUM(POTABLE_NONPOTABLE_API[[#This Row],[NONPOTABLE_DEMAND_RESIDENTIAL_RECYCLED_WATER_GAL]:[NONPOTABLE_DEMAND_NONRESIDENTIAL_METERED_IRRIGATION_GAL]])</f>
        <v>1521537.7680000002</v>
      </c>
      <c r="X2055" t="str">
        <f>IFERROR(INDEX(Crosswalk_API!$H$2:$H$527, MATCH(POTABLE_NONPOTABLE_API[[#This Row],[PWSID]], CW_PWSID_LIST, 0)), "")</f>
        <v>No</v>
      </c>
    </row>
    <row r="2056" spans="1:24" x14ac:dyDescent="0.25">
      <c r="A2056" t="s">
        <v>1307</v>
      </c>
      <c r="B2056" t="s">
        <v>1308</v>
      </c>
      <c r="C2056" t="s">
        <v>1309</v>
      </c>
      <c r="D2056" t="s">
        <v>1310</v>
      </c>
      <c r="E2056" s="9">
        <v>45170</v>
      </c>
      <c r="F2056" s="9">
        <v>45199</v>
      </c>
      <c r="G2056">
        <v>35280916</v>
      </c>
      <c r="H2056">
        <v>6713300</v>
      </c>
      <c r="I2056">
        <v>5215056</v>
      </c>
      <c r="J2056">
        <v>4691456</v>
      </c>
      <c r="K2056">
        <v>902836</v>
      </c>
      <c r="L2056">
        <v>0</v>
      </c>
      <c r="M2056">
        <v>0</v>
      </c>
      <c r="N2056">
        <v>0</v>
      </c>
      <c r="O2056">
        <v>0</v>
      </c>
      <c r="P2056">
        <v>0</v>
      </c>
      <c r="Q2056">
        <v>0</v>
      </c>
      <c r="R2056">
        <v>0</v>
      </c>
      <c r="S2056">
        <v>907324</v>
      </c>
      <c r="T2056" s="9">
        <v>45108</v>
      </c>
      <c r="U2056" s="9">
        <v>45473</v>
      </c>
      <c r="V2056">
        <f>SUM(POTABLE_NONPOTABLE_API[[#This Row],[RESIDENTIAL_SINGLEFAMILY_GAL]:[OTHER_GAL]])</f>
        <v>52803564</v>
      </c>
      <c r="W2056">
        <f>SUM(POTABLE_NONPOTABLE_API[[#This Row],[NONPOTABLE_DEMAND_RESIDENTIAL_RECYCLED_WATER_GAL]:[NONPOTABLE_DEMAND_NONRESIDENTIAL_METERED_IRRIGATION_GAL]])</f>
        <v>907324</v>
      </c>
      <c r="X2056" t="str">
        <f>IFERROR(INDEX(Crosswalk_API!$H$2:$H$527, MATCH(POTABLE_NONPOTABLE_API[[#This Row],[PWSID]], CW_PWSID_LIST, 0)), "")</f>
        <v>No</v>
      </c>
    </row>
    <row r="2057" spans="1:24" x14ac:dyDescent="0.25">
      <c r="A2057" t="s">
        <v>1307</v>
      </c>
      <c r="B2057" t="s">
        <v>1308</v>
      </c>
      <c r="C2057" t="s">
        <v>1309</v>
      </c>
      <c r="D2057" t="s">
        <v>1310</v>
      </c>
      <c r="E2057" s="9">
        <v>45200</v>
      </c>
      <c r="F2057" s="9">
        <v>45230</v>
      </c>
      <c r="G2057">
        <v>31626188</v>
      </c>
      <c r="H2057">
        <v>5676572</v>
      </c>
      <c r="I2057">
        <v>4420680</v>
      </c>
      <c r="J2057">
        <v>4141676</v>
      </c>
      <c r="K2057">
        <v>760716</v>
      </c>
      <c r="L2057">
        <v>0</v>
      </c>
      <c r="M2057">
        <v>0</v>
      </c>
      <c r="N2057">
        <v>0</v>
      </c>
      <c r="O2057">
        <v>0</v>
      </c>
      <c r="P2057">
        <v>0</v>
      </c>
      <c r="Q2057">
        <v>1038224</v>
      </c>
      <c r="R2057">
        <v>0</v>
      </c>
      <c r="S2057">
        <v>0</v>
      </c>
      <c r="T2057" s="9">
        <v>45108</v>
      </c>
      <c r="U2057" s="9">
        <v>45473</v>
      </c>
      <c r="V2057">
        <f>SUM(POTABLE_NONPOTABLE_API[[#This Row],[RESIDENTIAL_SINGLEFAMILY_GAL]:[OTHER_GAL]])</f>
        <v>46625832</v>
      </c>
      <c r="W2057">
        <f>SUM(POTABLE_NONPOTABLE_API[[#This Row],[NONPOTABLE_DEMAND_RESIDENTIAL_RECYCLED_WATER_GAL]:[NONPOTABLE_DEMAND_NONRESIDENTIAL_METERED_IRRIGATION_GAL]])</f>
        <v>1038224</v>
      </c>
      <c r="X2057" t="str">
        <f>IFERROR(INDEX(Crosswalk_API!$H$2:$H$527, MATCH(POTABLE_NONPOTABLE_API[[#This Row],[PWSID]], CW_PWSID_LIST, 0)), "")</f>
        <v>No</v>
      </c>
    </row>
    <row r="2058" spans="1:24" x14ac:dyDescent="0.25">
      <c r="A2058" t="s">
        <v>1307</v>
      </c>
      <c r="B2058" t="s">
        <v>1308</v>
      </c>
      <c r="C2058" t="s">
        <v>1309</v>
      </c>
      <c r="D2058" t="s">
        <v>1310</v>
      </c>
      <c r="E2058" s="9">
        <v>45231</v>
      </c>
      <c r="F2058" s="9">
        <v>45260</v>
      </c>
      <c r="G2058">
        <v>38084420</v>
      </c>
      <c r="H2058">
        <v>6767156</v>
      </c>
      <c r="I2058">
        <v>5382608</v>
      </c>
      <c r="J2058">
        <v>4676496</v>
      </c>
      <c r="K2058">
        <v>776424</v>
      </c>
      <c r="L2058">
        <v>0</v>
      </c>
      <c r="M2058">
        <v>0</v>
      </c>
      <c r="N2058">
        <v>0</v>
      </c>
      <c r="O2058">
        <v>0</v>
      </c>
      <c r="P2058">
        <v>0</v>
      </c>
      <c r="Q2058">
        <v>1062160</v>
      </c>
      <c r="R2058">
        <v>0</v>
      </c>
      <c r="S2058">
        <v>0</v>
      </c>
      <c r="T2058" s="9">
        <v>45108</v>
      </c>
      <c r="U2058" s="9">
        <v>45473</v>
      </c>
      <c r="V2058">
        <f>SUM(POTABLE_NONPOTABLE_API[[#This Row],[RESIDENTIAL_SINGLEFAMILY_GAL]:[OTHER_GAL]])</f>
        <v>55687104</v>
      </c>
      <c r="W2058">
        <f>SUM(POTABLE_NONPOTABLE_API[[#This Row],[NONPOTABLE_DEMAND_RESIDENTIAL_RECYCLED_WATER_GAL]:[NONPOTABLE_DEMAND_NONRESIDENTIAL_METERED_IRRIGATION_GAL]])</f>
        <v>1062160</v>
      </c>
      <c r="X2058" t="str">
        <f>IFERROR(INDEX(Crosswalk_API!$H$2:$H$527, MATCH(POTABLE_NONPOTABLE_API[[#This Row],[PWSID]], CW_PWSID_LIST, 0)), "")</f>
        <v>No</v>
      </c>
    </row>
    <row r="2059" spans="1:24" x14ac:dyDescent="0.25">
      <c r="A2059" t="s">
        <v>1307</v>
      </c>
      <c r="B2059" t="s">
        <v>1308</v>
      </c>
      <c r="C2059" t="s">
        <v>1309</v>
      </c>
      <c r="D2059" t="s">
        <v>1310</v>
      </c>
      <c r="E2059" s="9">
        <v>45261</v>
      </c>
      <c r="F2059" s="9">
        <v>45291</v>
      </c>
      <c r="G2059">
        <v>27957996</v>
      </c>
      <c r="H2059">
        <v>5613740</v>
      </c>
      <c r="I2059">
        <v>3837240</v>
      </c>
      <c r="J2059">
        <v>2977040</v>
      </c>
      <c r="K2059">
        <v>578952</v>
      </c>
      <c r="L2059">
        <v>0</v>
      </c>
      <c r="M2059">
        <v>0</v>
      </c>
      <c r="N2059">
        <v>0</v>
      </c>
      <c r="O2059">
        <v>0</v>
      </c>
      <c r="P2059">
        <v>0</v>
      </c>
      <c r="Q2059">
        <v>433840</v>
      </c>
      <c r="R2059">
        <v>0</v>
      </c>
      <c r="S2059">
        <v>0</v>
      </c>
      <c r="T2059" s="9">
        <v>45108</v>
      </c>
      <c r="U2059" s="9">
        <v>45473</v>
      </c>
      <c r="V2059">
        <f>SUM(POTABLE_NONPOTABLE_API[[#This Row],[RESIDENTIAL_SINGLEFAMILY_GAL]:[OTHER_GAL]])</f>
        <v>40964968</v>
      </c>
      <c r="W2059">
        <f>SUM(POTABLE_NONPOTABLE_API[[#This Row],[NONPOTABLE_DEMAND_RESIDENTIAL_RECYCLED_WATER_GAL]:[NONPOTABLE_DEMAND_NONRESIDENTIAL_METERED_IRRIGATION_GAL]])</f>
        <v>433840</v>
      </c>
      <c r="X2059" t="str">
        <f>IFERROR(INDEX(Crosswalk_API!$H$2:$H$527, MATCH(POTABLE_NONPOTABLE_API[[#This Row],[PWSID]], CW_PWSID_LIST, 0)), "")</f>
        <v>No</v>
      </c>
    </row>
    <row r="2060" spans="1:24" x14ac:dyDescent="0.25">
      <c r="A2060" t="s">
        <v>1307</v>
      </c>
      <c r="B2060" t="s">
        <v>1308</v>
      </c>
      <c r="C2060" t="s">
        <v>1309</v>
      </c>
      <c r="D2060" t="s">
        <v>1310</v>
      </c>
      <c r="E2060" s="9">
        <v>45292</v>
      </c>
      <c r="F2060" s="9">
        <v>45322</v>
      </c>
      <c r="G2060">
        <v>23457280</v>
      </c>
      <c r="H2060">
        <v>5124548</v>
      </c>
      <c r="I2060">
        <v>3385448</v>
      </c>
      <c r="J2060">
        <v>1813900</v>
      </c>
      <c r="K2060">
        <v>474980</v>
      </c>
      <c r="L2060">
        <v>0</v>
      </c>
      <c r="M2060">
        <v>0</v>
      </c>
      <c r="N2060">
        <v>0</v>
      </c>
      <c r="O2060">
        <v>0</v>
      </c>
      <c r="P2060">
        <v>0</v>
      </c>
      <c r="Q2060">
        <v>266288</v>
      </c>
      <c r="R2060">
        <v>0</v>
      </c>
      <c r="S2060">
        <v>0</v>
      </c>
      <c r="T2060" s="9">
        <v>45108</v>
      </c>
      <c r="U2060" s="9">
        <v>45473</v>
      </c>
      <c r="V2060">
        <f>SUM(POTABLE_NONPOTABLE_API[[#This Row],[RESIDENTIAL_SINGLEFAMILY_GAL]:[OTHER_GAL]])</f>
        <v>34256156</v>
      </c>
      <c r="W2060">
        <f>SUM(POTABLE_NONPOTABLE_API[[#This Row],[NONPOTABLE_DEMAND_RESIDENTIAL_RECYCLED_WATER_GAL]:[NONPOTABLE_DEMAND_NONRESIDENTIAL_METERED_IRRIGATION_GAL]])</f>
        <v>266288</v>
      </c>
      <c r="X2060" t="str">
        <f>IFERROR(INDEX(Crosswalk_API!$H$2:$H$527, MATCH(POTABLE_NONPOTABLE_API[[#This Row],[PWSID]], CW_PWSID_LIST, 0)), "")</f>
        <v>No</v>
      </c>
    </row>
    <row r="2061" spans="1:24" x14ac:dyDescent="0.25">
      <c r="A2061" t="s">
        <v>1307</v>
      </c>
      <c r="B2061" t="s">
        <v>1308</v>
      </c>
      <c r="C2061" t="s">
        <v>1309</v>
      </c>
      <c r="D2061" t="s">
        <v>1310</v>
      </c>
      <c r="E2061" s="9">
        <v>45323</v>
      </c>
      <c r="F2061" s="9">
        <v>45351</v>
      </c>
      <c r="G2061">
        <v>26494160</v>
      </c>
      <c r="H2061">
        <v>5838888</v>
      </c>
      <c r="I2061">
        <v>3803580</v>
      </c>
      <c r="J2061">
        <v>1213256</v>
      </c>
      <c r="K2061">
        <v>789888</v>
      </c>
      <c r="L2061">
        <v>0</v>
      </c>
      <c r="M2061">
        <v>0</v>
      </c>
      <c r="N2061">
        <v>0</v>
      </c>
      <c r="O2061">
        <v>0</v>
      </c>
      <c r="P2061">
        <v>0</v>
      </c>
      <c r="Q2061">
        <v>74800</v>
      </c>
      <c r="R2061">
        <v>0</v>
      </c>
      <c r="S2061">
        <v>0</v>
      </c>
      <c r="T2061" s="9">
        <v>45108</v>
      </c>
      <c r="U2061" s="9">
        <v>45473</v>
      </c>
      <c r="V2061">
        <f>SUM(POTABLE_NONPOTABLE_API[[#This Row],[RESIDENTIAL_SINGLEFAMILY_GAL]:[OTHER_GAL]])</f>
        <v>38139772</v>
      </c>
      <c r="W2061">
        <f>SUM(POTABLE_NONPOTABLE_API[[#This Row],[NONPOTABLE_DEMAND_RESIDENTIAL_RECYCLED_WATER_GAL]:[NONPOTABLE_DEMAND_NONRESIDENTIAL_METERED_IRRIGATION_GAL]])</f>
        <v>74800</v>
      </c>
      <c r="X2061" t="str">
        <f>IFERROR(INDEX(Crosswalk_API!$H$2:$H$527, MATCH(POTABLE_NONPOTABLE_API[[#This Row],[PWSID]], CW_PWSID_LIST, 0)), "")</f>
        <v>No</v>
      </c>
    </row>
    <row r="2062" spans="1:24" x14ac:dyDescent="0.25">
      <c r="A2062" t="s">
        <v>1307</v>
      </c>
      <c r="B2062" t="s">
        <v>1308</v>
      </c>
      <c r="C2062" t="s">
        <v>1309</v>
      </c>
      <c r="D2062" t="s">
        <v>1310</v>
      </c>
      <c r="E2062" s="9">
        <v>45352</v>
      </c>
      <c r="F2062" s="9">
        <v>45382</v>
      </c>
      <c r="G2062">
        <v>21119032</v>
      </c>
      <c r="H2062">
        <v>5054984</v>
      </c>
      <c r="I2062">
        <v>2795276</v>
      </c>
      <c r="J2062">
        <v>947716</v>
      </c>
      <c r="K2062">
        <v>635800</v>
      </c>
      <c r="L2062">
        <v>0</v>
      </c>
      <c r="M2062">
        <v>0</v>
      </c>
      <c r="N2062">
        <v>0</v>
      </c>
      <c r="O2062">
        <v>0</v>
      </c>
      <c r="P2062">
        <v>0</v>
      </c>
      <c r="Q2062">
        <v>215424</v>
      </c>
      <c r="R2062">
        <v>0</v>
      </c>
      <c r="S2062">
        <v>0</v>
      </c>
      <c r="T2062" s="9">
        <v>45108</v>
      </c>
      <c r="U2062" s="9">
        <v>45473</v>
      </c>
      <c r="V2062">
        <f>SUM(POTABLE_NONPOTABLE_API[[#This Row],[RESIDENTIAL_SINGLEFAMILY_GAL]:[OTHER_GAL]])</f>
        <v>30552808</v>
      </c>
      <c r="W2062">
        <f>SUM(POTABLE_NONPOTABLE_API[[#This Row],[NONPOTABLE_DEMAND_RESIDENTIAL_RECYCLED_WATER_GAL]:[NONPOTABLE_DEMAND_NONRESIDENTIAL_METERED_IRRIGATION_GAL]])</f>
        <v>215424</v>
      </c>
      <c r="X2062" t="str">
        <f>IFERROR(INDEX(Crosswalk_API!$H$2:$H$527, MATCH(POTABLE_NONPOTABLE_API[[#This Row],[PWSID]], CW_PWSID_LIST, 0)), "")</f>
        <v>No</v>
      </c>
    </row>
    <row r="2063" spans="1:24" x14ac:dyDescent="0.25">
      <c r="A2063" t="s">
        <v>1307</v>
      </c>
      <c r="B2063" t="s">
        <v>1308</v>
      </c>
      <c r="C2063" t="s">
        <v>1309</v>
      </c>
      <c r="D2063" t="s">
        <v>1310</v>
      </c>
      <c r="E2063" s="9">
        <v>45383</v>
      </c>
      <c r="F2063" s="9">
        <v>45412</v>
      </c>
      <c r="G2063">
        <v>23365276</v>
      </c>
      <c r="H2063">
        <v>5829164</v>
      </c>
      <c r="I2063">
        <v>3528316</v>
      </c>
      <c r="J2063">
        <v>1849804</v>
      </c>
      <c r="K2063">
        <v>780912</v>
      </c>
      <c r="L2063">
        <v>0</v>
      </c>
      <c r="M2063">
        <v>0</v>
      </c>
      <c r="N2063">
        <v>0</v>
      </c>
      <c r="O2063">
        <v>0</v>
      </c>
      <c r="P2063">
        <v>0</v>
      </c>
      <c r="Q2063">
        <v>608124</v>
      </c>
      <c r="R2063">
        <v>0</v>
      </c>
      <c r="T2063" s="9">
        <v>45108</v>
      </c>
      <c r="U2063" s="9">
        <v>45473</v>
      </c>
      <c r="V2063">
        <f>SUM(POTABLE_NONPOTABLE_API[[#This Row],[RESIDENTIAL_SINGLEFAMILY_GAL]:[OTHER_GAL]])</f>
        <v>35353472</v>
      </c>
      <c r="W2063">
        <f>SUM(POTABLE_NONPOTABLE_API[[#This Row],[NONPOTABLE_DEMAND_RESIDENTIAL_RECYCLED_WATER_GAL]:[NONPOTABLE_DEMAND_NONRESIDENTIAL_METERED_IRRIGATION_GAL]])</f>
        <v>608124</v>
      </c>
      <c r="X2063" t="str">
        <f>IFERROR(INDEX(Crosswalk_API!$H$2:$H$527, MATCH(POTABLE_NONPOTABLE_API[[#This Row],[PWSID]], CW_PWSID_LIST, 0)), "")</f>
        <v>No</v>
      </c>
    </row>
    <row r="2064" spans="1:24" x14ac:dyDescent="0.25">
      <c r="A2064" t="s">
        <v>1307</v>
      </c>
      <c r="B2064" t="s">
        <v>1308</v>
      </c>
      <c r="C2064" t="s">
        <v>1309</v>
      </c>
      <c r="D2064" t="s">
        <v>1310</v>
      </c>
      <c r="E2064" s="9">
        <v>45413</v>
      </c>
      <c r="F2064" s="9">
        <v>45443</v>
      </c>
      <c r="G2064">
        <v>32021880</v>
      </c>
      <c r="H2064">
        <v>6351268</v>
      </c>
      <c r="I2064">
        <v>4398988</v>
      </c>
      <c r="J2064">
        <v>3335332</v>
      </c>
      <c r="K2064">
        <v>935000</v>
      </c>
      <c r="L2064">
        <v>0</v>
      </c>
      <c r="M2064">
        <v>0</v>
      </c>
      <c r="N2064">
        <v>0</v>
      </c>
      <c r="O2064">
        <v>0</v>
      </c>
      <c r="P2064">
        <v>0</v>
      </c>
      <c r="Q2064">
        <v>1166132</v>
      </c>
      <c r="R2064">
        <v>0</v>
      </c>
      <c r="S2064">
        <v>0</v>
      </c>
      <c r="T2064" s="9">
        <v>45108</v>
      </c>
      <c r="U2064" s="9">
        <v>45473</v>
      </c>
      <c r="V2064">
        <f>SUM(POTABLE_NONPOTABLE_API[[#This Row],[RESIDENTIAL_SINGLEFAMILY_GAL]:[OTHER_GAL]])</f>
        <v>47042468</v>
      </c>
      <c r="W2064">
        <f>SUM(POTABLE_NONPOTABLE_API[[#This Row],[NONPOTABLE_DEMAND_RESIDENTIAL_RECYCLED_WATER_GAL]:[NONPOTABLE_DEMAND_NONRESIDENTIAL_METERED_IRRIGATION_GAL]])</f>
        <v>1166132</v>
      </c>
      <c r="X2064" t="str">
        <f>IFERROR(INDEX(Crosswalk_API!$H$2:$H$527, MATCH(POTABLE_NONPOTABLE_API[[#This Row],[PWSID]], CW_PWSID_LIST, 0)), "")</f>
        <v>No</v>
      </c>
    </row>
    <row r="2065" spans="1:24" x14ac:dyDescent="0.25">
      <c r="A2065" t="s">
        <v>1307</v>
      </c>
      <c r="B2065" t="s">
        <v>1308</v>
      </c>
      <c r="C2065" t="s">
        <v>1309</v>
      </c>
      <c r="D2065" t="s">
        <v>1310</v>
      </c>
      <c r="E2065" s="9">
        <v>45444</v>
      </c>
      <c r="F2065" s="9">
        <v>45473</v>
      </c>
      <c r="G2065">
        <v>105781412</v>
      </c>
      <c r="H2065">
        <v>6067028</v>
      </c>
      <c r="I2065">
        <v>5380364</v>
      </c>
      <c r="J2065">
        <v>3734764</v>
      </c>
      <c r="K2065">
        <v>1166132</v>
      </c>
      <c r="L2065">
        <v>0</v>
      </c>
      <c r="M2065">
        <v>0</v>
      </c>
      <c r="N2065">
        <v>0</v>
      </c>
      <c r="O2065">
        <v>0</v>
      </c>
      <c r="P2065">
        <v>0</v>
      </c>
      <c r="Q2065">
        <v>1065900</v>
      </c>
      <c r="R2065">
        <v>0</v>
      </c>
      <c r="S2065">
        <v>0</v>
      </c>
      <c r="T2065" s="9">
        <v>45108</v>
      </c>
      <c r="U2065" s="9">
        <v>45473</v>
      </c>
      <c r="V2065">
        <f>SUM(POTABLE_NONPOTABLE_API[[#This Row],[RESIDENTIAL_SINGLEFAMILY_GAL]:[OTHER_GAL]])</f>
        <v>122129700</v>
      </c>
      <c r="W2065">
        <f>SUM(POTABLE_NONPOTABLE_API[[#This Row],[NONPOTABLE_DEMAND_RESIDENTIAL_RECYCLED_WATER_GAL]:[NONPOTABLE_DEMAND_NONRESIDENTIAL_METERED_IRRIGATION_GAL]])</f>
        <v>1065900</v>
      </c>
      <c r="X2065" t="str">
        <f>IFERROR(INDEX(Crosswalk_API!$H$2:$H$527, MATCH(POTABLE_NONPOTABLE_API[[#This Row],[PWSID]], CW_PWSID_LIST, 0)), "")</f>
        <v>No</v>
      </c>
    </row>
    <row r="2066" spans="1:24" x14ac:dyDescent="0.25">
      <c r="A2066" t="s">
        <v>1311</v>
      </c>
      <c r="B2066" t="s">
        <v>1312</v>
      </c>
      <c r="C2066" t="s">
        <v>1313</v>
      </c>
      <c r="D2066" t="s">
        <v>1314</v>
      </c>
      <c r="E2066" s="9">
        <v>45108</v>
      </c>
      <c r="F2066" s="9">
        <v>45138</v>
      </c>
      <c r="G2066">
        <v>369778973.31</v>
      </c>
      <c r="H2066">
        <v>35061567.600000001</v>
      </c>
      <c r="I2066">
        <v>94001496.480000004</v>
      </c>
      <c r="J2066">
        <v>180192344.49000001</v>
      </c>
      <c r="K2066">
        <v>18153159.210000001</v>
      </c>
      <c r="L2066">
        <v>36576774.75</v>
      </c>
      <c r="M2066">
        <v>0</v>
      </c>
      <c r="N2066">
        <v>0</v>
      </c>
      <c r="O2066">
        <v>0</v>
      </c>
      <c r="P2066">
        <v>0</v>
      </c>
      <c r="Q2066">
        <v>0</v>
      </c>
      <c r="R2066">
        <v>7000000</v>
      </c>
      <c r="S2066">
        <v>0</v>
      </c>
      <c r="T2066" s="9">
        <v>45108</v>
      </c>
      <c r="U2066" s="9">
        <v>45473</v>
      </c>
      <c r="V2066">
        <f>SUM(POTABLE_NONPOTABLE_API[[#This Row],[RESIDENTIAL_SINGLEFAMILY_GAL]:[OTHER_GAL]])</f>
        <v>733764315.84000015</v>
      </c>
      <c r="W2066">
        <f>SUM(POTABLE_NONPOTABLE_API[[#This Row],[NONPOTABLE_DEMAND_RESIDENTIAL_RECYCLED_WATER_GAL]:[NONPOTABLE_DEMAND_NONRESIDENTIAL_METERED_IRRIGATION_GAL]])</f>
        <v>7000000</v>
      </c>
      <c r="X2066" t="str">
        <f>IFERROR(INDEX(Crosswalk_API!$H$2:$H$527, MATCH(POTABLE_NONPOTABLE_API[[#This Row],[PWSID]], CW_PWSID_LIST, 0)), "")</f>
        <v>No</v>
      </c>
    </row>
    <row r="2067" spans="1:24" x14ac:dyDescent="0.25">
      <c r="A2067" t="s">
        <v>1311</v>
      </c>
      <c r="B2067" t="s">
        <v>1312</v>
      </c>
      <c r="C2067" t="s">
        <v>1313</v>
      </c>
      <c r="D2067" t="s">
        <v>1314</v>
      </c>
      <c r="E2067" s="9">
        <v>45139</v>
      </c>
      <c r="F2067" s="9">
        <v>45169</v>
      </c>
      <c r="G2067">
        <v>342996464.99250001</v>
      </c>
      <c r="H2067">
        <v>34311523.768199995</v>
      </c>
      <c r="I2067">
        <v>91848533.752799988</v>
      </c>
      <c r="J2067">
        <v>170087053.278</v>
      </c>
      <c r="K2067">
        <v>14771053.9257</v>
      </c>
      <c r="L2067">
        <v>36130261.124700002</v>
      </c>
      <c r="M2067">
        <v>0</v>
      </c>
      <c r="N2067">
        <v>0</v>
      </c>
      <c r="O2067">
        <v>0</v>
      </c>
      <c r="P2067">
        <v>0</v>
      </c>
      <c r="Q2067">
        <v>0</v>
      </c>
      <c r="R2067">
        <v>6000000</v>
      </c>
      <c r="S2067">
        <v>0</v>
      </c>
      <c r="T2067" s="9">
        <v>45108</v>
      </c>
      <c r="U2067" s="9">
        <v>45473</v>
      </c>
      <c r="V2067">
        <f>SUM(POTABLE_NONPOTABLE_API[[#This Row],[RESIDENTIAL_SINGLEFAMILY_GAL]:[OTHER_GAL]])</f>
        <v>690144890.84189987</v>
      </c>
      <c r="W2067">
        <f>SUM(POTABLE_NONPOTABLE_API[[#This Row],[NONPOTABLE_DEMAND_RESIDENTIAL_RECYCLED_WATER_GAL]:[NONPOTABLE_DEMAND_NONRESIDENTIAL_METERED_IRRIGATION_GAL]])</f>
        <v>6000000</v>
      </c>
      <c r="X2067" t="str">
        <f>IFERROR(INDEX(Crosswalk_API!$H$2:$H$527, MATCH(POTABLE_NONPOTABLE_API[[#This Row],[PWSID]], CW_PWSID_LIST, 0)), "")</f>
        <v>No</v>
      </c>
    </row>
    <row r="2068" spans="1:24" x14ac:dyDescent="0.25">
      <c r="A2068" t="s">
        <v>1311</v>
      </c>
      <c r="B2068" t="s">
        <v>1312</v>
      </c>
      <c r="C2068" t="s">
        <v>1313</v>
      </c>
      <c r="D2068" t="s">
        <v>1314</v>
      </c>
      <c r="E2068" s="9">
        <v>45170</v>
      </c>
      <c r="F2068" s="9">
        <v>45199</v>
      </c>
      <c r="G2068">
        <v>286661356.42140001</v>
      </c>
      <c r="H2068">
        <v>29670656.070899997</v>
      </c>
      <c r="I2068">
        <v>76064278.72770001</v>
      </c>
      <c r="J2068">
        <v>125413141.85880001</v>
      </c>
      <c r="K2068">
        <v>13431838.900799999</v>
      </c>
      <c r="L2068">
        <v>30853430.030699998</v>
      </c>
      <c r="M2068">
        <v>0</v>
      </c>
      <c r="N2068">
        <v>0</v>
      </c>
      <c r="O2068">
        <v>0</v>
      </c>
      <c r="P2068">
        <v>0</v>
      </c>
      <c r="Q2068">
        <v>0</v>
      </c>
      <c r="R2068">
        <v>0</v>
      </c>
      <c r="S2068">
        <v>0</v>
      </c>
      <c r="T2068" s="9">
        <v>45108</v>
      </c>
      <c r="U2068" s="9">
        <v>45473</v>
      </c>
      <c r="V2068">
        <f>SUM(POTABLE_NONPOTABLE_API[[#This Row],[RESIDENTIAL_SINGLEFAMILY_GAL]:[OTHER_GAL]])</f>
        <v>562094702.01030004</v>
      </c>
      <c r="W2068">
        <f>SUM(POTABLE_NONPOTABLE_API[[#This Row],[NONPOTABLE_DEMAND_RESIDENTIAL_RECYCLED_WATER_GAL]:[NONPOTABLE_DEMAND_NONRESIDENTIAL_METERED_IRRIGATION_GAL]])</f>
        <v>0</v>
      </c>
      <c r="X2068" t="str">
        <f>IFERROR(INDEX(Crosswalk_API!$H$2:$H$527, MATCH(POTABLE_NONPOTABLE_API[[#This Row],[PWSID]], CW_PWSID_LIST, 0)), "")</f>
        <v>No</v>
      </c>
    </row>
    <row r="2069" spans="1:24" x14ac:dyDescent="0.25">
      <c r="A2069" t="s">
        <v>1311</v>
      </c>
      <c r="B2069" t="s">
        <v>1312</v>
      </c>
      <c r="C2069" t="s">
        <v>1313</v>
      </c>
      <c r="D2069" t="s">
        <v>1314</v>
      </c>
      <c r="E2069" s="9">
        <v>45200</v>
      </c>
      <c r="F2069" s="9">
        <v>45230</v>
      </c>
      <c r="G2069">
        <v>222108774.4068</v>
      </c>
      <c r="H2069">
        <v>27072971.898899999</v>
      </c>
      <c r="I2069">
        <v>61616208.313199997</v>
      </c>
      <c r="J2069">
        <v>76607586.392550007</v>
      </c>
      <c r="K2069">
        <v>14796828.739799999</v>
      </c>
      <c r="L2069">
        <v>17943474.091499999</v>
      </c>
      <c r="M2069">
        <v>0</v>
      </c>
      <c r="N2069">
        <v>0</v>
      </c>
      <c r="O2069">
        <v>0</v>
      </c>
      <c r="P2069">
        <v>0</v>
      </c>
      <c r="Q2069">
        <v>0</v>
      </c>
      <c r="R2069">
        <v>3000000</v>
      </c>
      <c r="S2069">
        <v>0</v>
      </c>
      <c r="T2069" s="9">
        <v>45108</v>
      </c>
      <c r="U2069" s="9">
        <v>45473</v>
      </c>
      <c r="V2069">
        <f>SUM(POTABLE_NONPOTABLE_API[[#This Row],[RESIDENTIAL_SINGLEFAMILY_GAL]:[OTHER_GAL]])</f>
        <v>420145843.84274995</v>
      </c>
      <c r="W2069">
        <f>SUM(POTABLE_NONPOTABLE_API[[#This Row],[NONPOTABLE_DEMAND_RESIDENTIAL_RECYCLED_WATER_GAL]:[NONPOTABLE_DEMAND_NONRESIDENTIAL_METERED_IRRIGATION_GAL]])</f>
        <v>3000000</v>
      </c>
      <c r="X2069" t="str">
        <f>IFERROR(INDEX(Crosswalk_API!$H$2:$H$527, MATCH(POTABLE_NONPOTABLE_API[[#This Row],[PWSID]], CW_PWSID_LIST, 0)), "")</f>
        <v>No</v>
      </c>
    </row>
    <row r="2070" spans="1:24" x14ac:dyDescent="0.25">
      <c r="A2070" t="s">
        <v>1311</v>
      </c>
      <c r="B2070" t="s">
        <v>1312</v>
      </c>
      <c r="C2070" t="s">
        <v>1313</v>
      </c>
      <c r="D2070" t="s">
        <v>1314</v>
      </c>
      <c r="E2070" s="9">
        <v>45231</v>
      </c>
      <c r="F2070" s="9">
        <v>45260</v>
      </c>
      <c r="G2070">
        <v>145356315.963054</v>
      </c>
      <c r="H2070">
        <v>24037348.870664999</v>
      </c>
      <c r="I2070">
        <v>42294936.157443002</v>
      </c>
      <c r="J2070">
        <v>45673695.603675</v>
      </c>
      <c r="K2070">
        <v>15391887.082917001</v>
      </c>
      <c r="L2070">
        <v>12263519.691359999</v>
      </c>
      <c r="M2070">
        <v>0</v>
      </c>
      <c r="N2070">
        <v>0</v>
      </c>
      <c r="O2070">
        <v>0</v>
      </c>
      <c r="P2070">
        <v>0</v>
      </c>
      <c r="Q2070">
        <v>0</v>
      </c>
      <c r="R2070">
        <v>0</v>
      </c>
      <c r="S2070">
        <v>0</v>
      </c>
      <c r="T2070" s="9">
        <v>45108</v>
      </c>
      <c r="U2070" s="9">
        <v>45473</v>
      </c>
      <c r="V2070">
        <f>SUM(POTABLE_NONPOTABLE_API[[#This Row],[RESIDENTIAL_SINGLEFAMILY_GAL]:[OTHER_GAL]])</f>
        <v>285017703.36911398</v>
      </c>
      <c r="W2070">
        <f>SUM(POTABLE_NONPOTABLE_API[[#This Row],[NONPOTABLE_DEMAND_RESIDENTIAL_RECYCLED_WATER_GAL]:[NONPOTABLE_DEMAND_NONRESIDENTIAL_METERED_IRRIGATION_GAL]])</f>
        <v>0</v>
      </c>
      <c r="X2070" t="str">
        <f>IFERROR(INDEX(Crosswalk_API!$H$2:$H$527, MATCH(POTABLE_NONPOTABLE_API[[#This Row],[PWSID]], CW_PWSID_LIST, 0)), "")</f>
        <v>No</v>
      </c>
    </row>
    <row r="2071" spans="1:24" x14ac:dyDescent="0.25">
      <c r="A2071" t="s">
        <v>1311</v>
      </c>
      <c r="B2071" t="s">
        <v>1312</v>
      </c>
      <c r="C2071" t="s">
        <v>1313</v>
      </c>
      <c r="D2071" t="s">
        <v>1314</v>
      </c>
      <c r="E2071" s="9">
        <v>45261</v>
      </c>
      <c r="F2071" s="9">
        <v>45291</v>
      </c>
      <c r="G2071">
        <v>121685895.1953</v>
      </c>
      <c r="H2071">
        <v>23073476.7249</v>
      </c>
      <c r="I2071">
        <v>36477520.535400003</v>
      </c>
      <c r="J2071">
        <v>17459259.5055</v>
      </c>
      <c r="K2071">
        <v>16505884.649699999</v>
      </c>
      <c r="L2071">
        <v>10369914.8091</v>
      </c>
      <c r="M2071">
        <v>0</v>
      </c>
      <c r="N2071">
        <v>0</v>
      </c>
      <c r="O2071">
        <v>0</v>
      </c>
      <c r="P2071">
        <v>0</v>
      </c>
      <c r="Q2071">
        <v>0</v>
      </c>
      <c r="R2071">
        <v>0</v>
      </c>
      <c r="S2071">
        <v>0</v>
      </c>
      <c r="T2071" s="9">
        <v>45108</v>
      </c>
      <c r="U2071" s="9">
        <v>45473</v>
      </c>
      <c r="V2071">
        <f>SUM(POTABLE_NONPOTABLE_API[[#This Row],[RESIDENTIAL_SINGLEFAMILY_GAL]:[OTHER_GAL]])</f>
        <v>225571951.41989997</v>
      </c>
      <c r="W2071">
        <f>SUM(POTABLE_NONPOTABLE_API[[#This Row],[NONPOTABLE_DEMAND_RESIDENTIAL_RECYCLED_WATER_GAL]:[NONPOTABLE_DEMAND_NONRESIDENTIAL_METERED_IRRIGATION_GAL]])</f>
        <v>0</v>
      </c>
      <c r="X2071" t="str">
        <f>IFERROR(INDEX(Crosswalk_API!$H$2:$H$527, MATCH(POTABLE_NONPOTABLE_API[[#This Row],[PWSID]], CW_PWSID_LIST, 0)), "")</f>
        <v>No</v>
      </c>
    </row>
    <row r="2072" spans="1:24" x14ac:dyDescent="0.25">
      <c r="A2072" t="s">
        <v>1311</v>
      </c>
      <c r="B2072" t="s">
        <v>1312</v>
      </c>
      <c r="C2072" t="s">
        <v>1313</v>
      </c>
      <c r="D2072" t="s">
        <v>1314</v>
      </c>
      <c r="E2072" s="9">
        <v>45292</v>
      </c>
      <c r="F2072" s="9">
        <v>45322</v>
      </c>
      <c r="G2072">
        <v>106574783.16599999</v>
      </c>
      <c r="H2072">
        <v>22634294.747100003</v>
      </c>
      <c r="I2072">
        <v>35730539.703000002</v>
      </c>
      <c r="J2072">
        <v>10405465.153200001</v>
      </c>
      <c r="K2072">
        <v>16788169.370999999</v>
      </c>
      <c r="L2072">
        <v>2791793.6126999999</v>
      </c>
      <c r="M2072">
        <v>0</v>
      </c>
      <c r="N2072">
        <v>0</v>
      </c>
      <c r="O2072">
        <v>0</v>
      </c>
      <c r="P2072">
        <v>0</v>
      </c>
      <c r="Q2072">
        <v>0</v>
      </c>
      <c r="R2072">
        <v>2000000</v>
      </c>
      <c r="S2072">
        <v>0</v>
      </c>
      <c r="T2072" s="9">
        <v>45108</v>
      </c>
      <c r="U2072" s="9">
        <v>45473</v>
      </c>
      <c r="V2072">
        <f>SUM(POTABLE_NONPOTABLE_API[[#This Row],[RESIDENTIAL_SINGLEFAMILY_GAL]:[OTHER_GAL]])</f>
        <v>194925045.75299999</v>
      </c>
      <c r="W2072">
        <f>SUM(POTABLE_NONPOTABLE_API[[#This Row],[NONPOTABLE_DEMAND_RESIDENTIAL_RECYCLED_WATER_GAL]:[NONPOTABLE_DEMAND_NONRESIDENTIAL_METERED_IRRIGATION_GAL]])</f>
        <v>2000000</v>
      </c>
      <c r="X2072" t="str">
        <f>IFERROR(INDEX(Crosswalk_API!$H$2:$H$527, MATCH(POTABLE_NONPOTABLE_API[[#This Row],[PWSID]], CW_PWSID_LIST, 0)), "")</f>
        <v>No</v>
      </c>
    </row>
    <row r="2073" spans="1:24" x14ac:dyDescent="0.25">
      <c r="A2073" t="s">
        <v>1311</v>
      </c>
      <c r="B2073" t="s">
        <v>1312</v>
      </c>
      <c r="C2073" t="s">
        <v>1313</v>
      </c>
      <c r="D2073" t="s">
        <v>1314</v>
      </c>
      <c r="E2073" s="9">
        <v>45323</v>
      </c>
      <c r="F2073" s="9">
        <v>45351</v>
      </c>
      <c r="G2073">
        <v>99988962.98585999</v>
      </c>
      <c r="H2073">
        <v>21133864.614099</v>
      </c>
      <c r="I2073">
        <v>32184136.434287999</v>
      </c>
      <c r="J2073">
        <v>11164992.878355</v>
      </c>
      <c r="K2073">
        <v>10531355.080241999</v>
      </c>
      <c r="L2073">
        <v>3504933.5153460004</v>
      </c>
      <c r="M2073">
        <v>0</v>
      </c>
      <c r="N2073">
        <v>0</v>
      </c>
      <c r="O2073">
        <v>0</v>
      </c>
      <c r="P2073">
        <v>0</v>
      </c>
      <c r="Q2073">
        <v>0</v>
      </c>
      <c r="R2073">
        <v>0</v>
      </c>
      <c r="S2073">
        <v>0</v>
      </c>
      <c r="T2073" s="9">
        <v>45108</v>
      </c>
      <c r="U2073" s="9">
        <v>45473</v>
      </c>
      <c r="V2073">
        <f>SUM(POTABLE_NONPOTABLE_API[[#This Row],[RESIDENTIAL_SINGLEFAMILY_GAL]:[OTHER_GAL]])</f>
        <v>178508245.50818998</v>
      </c>
      <c r="W2073">
        <f>SUM(POTABLE_NONPOTABLE_API[[#This Row],[NONPOTABLE_DEMAND_RESIDENTIAL_RECYCLED_WATER_GAL]:[NONPOTABLE_DEMAND_NONRESIDENTIAL_METERED_IRRIGATION_GAL]])</f>
        <v>0</v>
      </c>
      <c r="X2073" t="str">
        <f>IFERROR(INDEX(Crosswalk_API!$H$2:$H$527, MATCH(POTABLE_NONPOTABLE_API[[#This Row],[PWSID]], CW_PWSID_LIST, 0)), "")</f>
        <v>No</v>
      </c>
    </row>
    <row r="2074" spans="1:24" x14ac:dyDescent="0.25">
      <c r="A2074" t="s">
        <v>1311</v>
      </c>
      <c r="B2074" t="s">
        <v>1312</v>
      </c>
      <c r="C2074" t="s">
        <v>1313</v>
      </c>
      <c r="D2074" t="s">
        <v>1314</v>
      </c>
      <c r="E2074" s="9">
        <v>45352</v>
      </c>
      <c r="F2074" s="9">
        <v>45382</v>
      </c>
      <c r="G2074">
        <v>129358448.01149999</v>
      </c>
      <c r="H2074">
        <v>22840851.696000002</v>
      </c>
      <c r="I2074">
        <v>41775988.135800004</v>
      </c>
      <c r="J2074">
        <v>35023052.011799999</v>
      </c>
      <c r="K2074">
        <v>14285405.5953</v>
      </c>
      <c r="L2074">
        <v>3295461.5034000003</v>
      </c>
      <c r="M2074">
        <v>0</v>
      </c>
      <c r="N2074">
        <v>0</v>
      </c>
      <c r="O2074">
        <v>0</v>
      </c>
      <c r="P2074">
        <v>0</v>
      </c>
      <c r="Q2074">
        <v>0</v>
      </c>
      <c r="R2074">
        <v>17000000</v>
      </c>
      <c r="S2074">
        <v>0</v>
      </c>
      <c r="T2074" s="9">
        <v>45108</v>
      </c>
      <c r="U2074" s="9">
        <v>45473</v>
      </c>
      <c r="V2074">
        <f>SUM(POTABLE_NONPOTABLE_API[[#This Row],[RESIDENTIAL_SINGLEFAMILY_GAL]:[OTHER_GAL]])</f>
        <v>246579206.95379996</v>
      </c>
      <c r="W2074">
        <f>SUM(POTABLE_NONPOTABLE_API[[#This Row],[NONPOTABLE_DEMAND_RESIDENTIAL_RECYCLED_WATER_GAL]:[NONPOTABLE_DEMAND_NONRESIDENTIAL_METERED_IRRIGATION_GAL]])</f>
        <v>17000000</v>
      </c>
      <c r="X2074" t="str">
        <f>IFERROR(INDEX(Crosswalk_API!$H$2:$H$527, MATCH(POTABLE_NONPOTABLE_API[[#This Row],[PWSID]], CW_PWSID_LIST, 0)), "")</f>
        <v>No</v>
      </c>
    </row>
    <row r="2075" spans="1:24" x14ac:dyDescent="0.25">
      <c r="A2075" t="s">
        <v>1311</v>
      </c>
      <c r="B2075" t="s">
        <v>1312</v>
      </c>
      <c r="C2075" t="s">
        <v>1313</v>
      </c>
      <c r="D2075" t="s">
        <v>1314</v>
      </c>
      <c r="E2075" s="9">
        <v>45383</v>
      </c>
      <c r="F2075" s="9">
        <v>45412</v>
      </c>
      <c r="G2075">
        <v>181549937.5113</v>
      </c>
      <c r="H2075">
        <v>25682076.905400001</v>
      </c>
      <c r="I2075">
        <v>54741078.064199999</v>
      </c>
      <c r="J2075">
        <v>71603020.101600006</v>
      </c>
      <c r="K2075">
        <v>14190029.0076</v>
      </c>
      <c r="L2075">
        <v>4853475.6992699997</v>
      </c>
      <c r="M2075">
        <v>0</v>
      </c>
      <c r="N2075">
        <v>0</v>
      </c>
      <c r="O2075">
        <v>0</v>
      </c>
      <c r="P2075">
        <v>0</v>
      </c>
      <c r="Q2075">
        <v>0</v>
      </c>
      <c r="R2075">
        <v>1000000</v>
      </c>
      <c r="S2075">
        <v>0</v>
      </c>
      <c r="T2075" s="9">
        <v>45108</v>
      </c>
      <c r="U2075" s="9">
        <v>45473</v>
      </c>
      <c r="V2075">
        <f>SUM(POTABLE_NONPOTABLE_API[[#This Row],[RESIDENTIAL_SINGLEFAMILY_GAL]:[OTHER_GAL]])</f>
        <v>352619617.28937</v>
      </c>
      <c r="W2075">
        <f>SUM(POTABLE_NONPOTABLE_API[[#This Row],[NONPOTABLE_DEMAND_RESIDENTIAL_RECYCLED_WATER_GAL]:[NONPOTABLE_DEMAND_NONRESIDENTIAL_METERED_IRRIGATION_GAL]])</f>
        <v>1000000</v>
      </c>
      <c r="X2075" t="str">
        <f>IFERROR(INDEX(Crosswalk_API!$H$2:$H$527, MATCH(POTABLE_NONPOTABLE_API[[#This Row],[PWSID]], CW_PWSID_LIST, 0)), "")</f>
        <v>No</v>
      </c>
    </row>
    <row r="2076" spans="1:24" x14ac:dyDescent="0.25">
      <c r="A2076" t="s">
        <v>1311</v>
      </c>
      <c r="B2076" t="s">
        <v>1312</v>
      </c>
      <c r="C2076" t="s">
        <v>1313</v>
      </c>
      <c r="D2076" t="s">
        <v>1314</v>
      </c>
      <c r="E2076" s="9">
        <v>45413</v>
      </c>
      <c r="F2076" s="9">
        <v>45443</v>
      </c>
      <c r="G2076">
        <v>301902320.07419997</v>
      </c>
      <c r="H2076">
        <v>33387214.821600001</v>
      </c>
      <c r="I2076">
        <v>71779012.226699993</v>
      </c>
      <c r="J2076">
        <v>138277250.5623</v>
      </c>
      <c r="K2076">
        <v>15482777.6799</v>
      </c>
      <c r="L2076">
        <v>9088440.5813999996</v>
      </c>
      <c r="M2076">
        <v>0</v>
      </c>
      <c r="N2076">
        <v>0</v>
      </c>
      <c r="O2076">
        <v>0</v>
      </c>
      <c r="P2076">
        <v>0</v>
      </c>
      <c r="Q2076">
        <v>0</v>
      </c>
      <c r="R2076">
        <v>1000000</v>
      </c>
      <c r="S2076">
        <v>0</v>
      </c>
      <c r="T2076" s="9">
        <v>45108</v>
      </c>
      <c r="U2076" s="9">
        <v>45473</v>
      </c>
      <c r="V2076">
        <f>SUM(POTABLE_NONPOTABLE_API[[#This Row],[RESIDENTIAL_SINGLEFAMILY_GAL]:[OTHER_GAL]])</f>
        <v>569917015.94610012</v>
      </c>
      <c r="W2076">
        <f>SUM(POTABLE_NONPOTABLE_API[[#This Row],[NONPOTABLE_DEMAND_RESIDENTIAL_RECYCLED_WATER_GAL]:[NONPOTABLE_DEMAND_NONRESIDENTIAL_METERED_IRRIGATION_GAL]])</f>
        <v>1000000</v>
      </c>
      <c r="X2076" t="str">
        <f>IFERROR(INDEX(Crosswalk_API!$H$2:$H$527, MATCH(POTABLE_NONPOTABLE_API[[#This Row],[PWSID]], CW_PWSID_LIST, 0)), "")</f>
        <v>No</v>
      </c>
    </row>
    <row r="2077" spans="1:24" x14ac:dyDescent="0.25">
      <c r="A2077" t="s">
        <v>1311</v>
      </c>
      <c r="B2077" t="s">
        <v>1312</v>
      </c>
      <c r="C2077" t="s">
        <v>1313</v>
      </c>
      <c r="D2077" t="s">
        <v>1314</v>
      </c>
      <c r="E2077" s="9">
        <v>45444</v>
      </c>
      <c r="F2077" s="9">
        <v>45473</v>
      </c>
      <c r="G2077">
        <v>364377934.65767097</v>
      </c>
      <c r="H2077">
        <v>32812814.780180998</v>
      </c>
      <c r="I2077">
        <v>86813264.151374996</v>
      </c>
      <c r="J2077">
        <v>177655674.614346</v>
      </c>
      <c r="K2077">
        <v>14810440.839474</v>
      </c>
      <c r="L2077">
        <v>13018600.202066999</v>
      </c>
      <c r="M2077">
        <v>0</v>
      </c>
      <c r="N2077">
        <v>0</v>
      </c>
      <c r="O2077">
        <v>0</v>
      </c>
      <c r="P2077">
        <v>0</v>
      </c>
      <c r="Q2077">
        <v>0</v>
      </c>
      <c r="R2077">
        <v>6000000</v>
      </c>
      <c r="S2077">
        <v>0</v>
      </c>
      <c r="T2077" s="9">
        <v>45108</v>
      </c>
      <c r="U2077" s="9">
        <v>45473</v>
      </c>
      <c r="V2077">
        <f>SUM(POTABLE_NONPOTABLE_API[[#This Row],[RESIDENTIAL_SINGLEFAMILY_GAL]:[OTHER_GAL]])</f>
        <v>689488729.24511397</v>
      </c>
      <c r="W2077">
        <f>SUM(POTABLE_NONPOTABLE_API[[#This Row],[NONPOTABLE_DEMAND_RESIDENTIAL_RECYCLED_WATER_GAL]:[NONPOTABLE_DEMAND_NONRESIDENTIAL_METERED_IRRIGATION_GAL]])</f>
        <v>6000000</v>
      </c>
      <c r="X2077" t="str">
        <f>IFERROR(INDEX(Crosswalk_API!$H$2:$H$527, MATCH(POTABLE_NONPOTABLE_API[[#This Row],[PWSID]], CW_PWSID_LIST, 0)), "")</f>
        <v>No</v>
      </c>
    </row>
    <row r="2078" spans="1:24" x14ac:dyDescent="0.25">
      <c r="A2078" t="s">
        <v>1311</v>
      </c>
      <c r="B2078" t="s">
        <v>1312</v>
      </c>
      <c r="C2078" t="s">
        <v>1315</v>
      </c>
      <c r="D2078" t="s">
        <v>1316</v>
      </c>
      <c r="E2078" s="9">
        <v>45108</v>
      </c>
      <c r="F2078" s="9">
        <v>45138</v>
      </c>
      <c r="G2078">
        <v>28455459.9366</v>
      </c>
      <c r="H2078">
        <v>11759245.717800001</v>
      </c>
      <c r="I2078">
        <v>2160131.4492000001</v>
      </c>
      <c r="J2078">
        <v>3156746.7327000001</v>
      </c>
      <c r="K2078">
        <v>0</v>
      </c>
      <c r="L2078">
        <v>1767546.1644000001</v>
      </c>
      <c r="M2078">
        <v>0</v>
      </c>
      <c r="T2078" s="9">
        <v>45108</v>
      </c>
      <c r="U2078" s="9">
        <v>45473</v>
      </c>
      <c r="V2078">
        <f>SUM(POTABLE_NONPOTABLE_API[[#This Row],[RESIDENTIAL_SINGLEFAMILY_GAL]:[OTHER_GAL]])</f>
        <v>47299130.000699997</v>
      </c>
      <c r="W2078">
        <f>SUM(POTABLE_NONPOTABLE_API[[#This Row],[NONPOTABLE_DEMAND_RESIDENTIAL_RECYCLED_WATER_GAL]:[NONPOTABLE_DEMAND_NONRESIDENTIAL_METERED_IRRIGATION_GAL]])</f>
        <v>0</v>
      </c>
      <c r="X2078" t="str">
        <f>IFERROR(INDEX(Crosswalk_API!$H$2:$H$527, MATCH(POTABLE_NONPOTABLE_API[[#This Row],[PWSID]], CW_PWSID_LIST, 0)), "")</f>
        <v>No</v>
      </c>
    </row>
    <row r="2079" spans="1:24" x14ac:dyDescent="0.25">
      <c r="A2079" t="s">
        <v>1311</v>
      </c>
      <c r="B2079" t="s">
        <v>1312</v>
      </c>
      <c r="C2079" t="s">
        <v>1315</v>
      </c>
      <c r="D2079" t="s">
        <v>1316</v>
      </c>
      <c r="E2079" s="9">
        <v>45139</v>
      </c>
      <c r="F2079" s="9">
        <v>45169</v>
      </c>
      <c r="G2079">
        <v>25776801.791099999</v>
      </c>
      <c r="H2079">
        <v>10808608.010400001</v>
      </c>
      <c r="I2079">
        <v>2209009.0992000001</v>
      </c>
      <c r="J2079">
        <v>3229965.4523999998</v>
      </c>
      <c r="K2079">
        <v>0</v>
      </c>
      <c r="L2079">
        <v>1695891.5295000002</v>
      </c>
      <c r="M2079">
        <v>0</v>
      </c>
      <c r="T2079" s="9">
        <v>45108</v>
      </c>
      <c r="U2079" s="9">
        <v>45473</v>
      </c>
      <c r="V2079">
        <f>SUM(POTABLE_NONPOTABLE_API[[#This Row],[RESIDENTIAL_SINGLEFAMILY_GAL]:[OTHER_GAL]])</f>
        <v>43720275.882600002</v>
      </c>
      <c r="W2079">
        <f>SUM(POTABLE_NONPOTABLE_API[[#This Row],[NONPOTABLE_DEMAND_RESIDENTIAL_RECYCLED_WATER_GAL]:[NONPOTABLE_DEMAND_NONRESIDENTIAL_METERED_IRRIGATION_GAL]])</f>
        <v>0</v>
      </c>
      <c r="X2079" t="str">
        <f>IFERROR(INDEX(Crosswalk_API!$H$2:$H$527, MATCH(POTABLE_NONPOTABLE_API[[#This Row],[PWSID]], CW_PWSID_LIST, 0)), "")</f>
        <v>No</v>
      </c>
    </row>
    <row r="2080" spans="1:24" x14ac:dyDescent="0.25">
      <c r="A2080" t="s">
        <v>1311</v>
      </c>
      <c r="B2080" t="s">
        <v>1312</v>
      </c>
      <c r="C2080" t="s">
        <v>1315</v>
      </c>
      <c r="D2080" t="s">
        <v>1316</v>
      </c>
      <c r="E2080" s="9">
        <v>45170</v>
      </c>
      <c r="F2080" s="9">
        <v>45199</v>
      </c>
      <c r="G2080">
        <v>21089304.815699998</v>
      </c>
      <c r="H2080">
        <v>8818831.4639999997</v>
      </c>
      <c r="I2080">
        <v>1843436.8623000002</v>
      </c>
      <c r="J2080">
        <v>2128817.1680999999</v>
      </c>
      <c r="K2080">
        <v>0</v>
      </c>
      <c r="L2080">
        <v>1368443.8596000001</v>
      </c>
      <c r="M2080">
        <v>0</v>
      </c>
      <c r="T2080" s="9">
        <v>45108</v>
      </c>
      <c r="U2080" s="9">
        <v>45473</v>
      </c>
      <c r="V2080">
        <f>SUM(POTABLE_NONPOTABLE_API[[#This Row],[RESIDENTIAL_SINGLEFAMILY_GAL]:[OTHER_GAL]])</f>
        <v>35248834.169699997</v>
      </c>
      <c r="W2080">
        <f>SUM(POTABLE_NONPOTABLE_API[[#This Row],[NONPOTABLE_DEMAND_RESIDENTIAL_RECYCLED_WATER_GAL]:[NONPOTABLE_DEMAND_NONRESIDENTIAL_METERED_IRRIGATION_GAL]])</f>
        <v>0</v>
      </c>
      <c r="X2080" t="str">
        <f>IFERROR(INDEX(Crosswalk_API!$H$2:$H$527, MATCH(POTABLE_NONPOTABLE_API[[#This Row],[PWSID]], CW_PWSID_LIST, 0)), "")</f>
        <v>No</v>
      </c>
    </row>
    <row r="2081" spans="1:24" x14ac:dyDescent="0.25">
      <c r="A2081" t="s">
        <v>1311</v>
      </c>
      <c r="B2081" t="s">
        <v>1312</v>
      </c>
      <c r="C2081" t="s">
        <v>1315</v>
      </c>
      <c r="D2081" t="s">
        <v>1316</v>
      </c>
      <c r="E2081" s="9">
        <v>45200</v>
      </c>
      <c r="F2081" s="9">
        <v>45230</v>
      </c>
      <c r="G2081">
        <v>14657364.5118</v>
      </c>
      <c r="H2081">
        <v>6760821.7182</v>
      </c>
      <c r="I2081">
        <v>1298548.8201000001</v>
      </c>
      <c r="J2081">
        <v>1483306.3371000001</v>
      </c>
      <c r="K2081">
        <v>0</v>
      </c>
      <c r="L2081">
        <v>1464798.0003000002</v>
      </c>
      <c r="M2081">
        <v>0</v>
      </c>
      <c r="T2081" s="9">
        <v>45108</v>
      </c>
      <c r="U2081" s="9">
        <v>45473</v>
      </c>
      <c r="V2081">
        <f>SUM(POTABLE_NONPOTABLE_API[[#This Row],[RESIDENTIAL_SINGLEFAMILY_GAL]:[OTHER_GAL]])</f>
        <v>25664839.387499999</v>
      </c>
      <c r="W2081">
        <f>SUM(POTABLE_NONPOTABLE_API[[#This Row],[NONPOTABLE_DEMAND_RESIDENTIAL_RECYCLED_WATER_GAL]:[NONPOTABLE_DEMAND_NONRESIDENTIAL_METERED_IRRIGATION_GAL]])</f>
        <v>0</v>
      </c>
      <c r="X2081" t="str">
        <f>IFERROR(INDEX(Crosswalk_API!$H$2:$H$527, MATCH(POTABLE_NONPOTABLE_API[[#This Row],[PWSID]], CW_PWSID_LIST, 0)), "")</f>
        <v>No</v>
      </c>
    </row>
    <row r="2082" spans="1:24" x14ac:dyDescent="0.25">
      <c r="A2082" t="s">
        <v>1311</v>
      </c>
      <c r="B2082" t="s">
        <v>1312</v>
      </c>
      <c r="C2082" t="s">
        <v>1315</v>
      </c>
      <c r="D2082" t="s">
        <v>1316</v>
      </c>
      <c r="E2082" s="9">
        <v>45231</v>
      </c>
      <c r="F2082" s="9">
        <v>45260</v>
      </c>
      <c r="G2082">
        <v>8098342.3179000001</v>
      </c>
      <c r="H2082">
        <v>4381457.7161999997</v>
      </c>
      <c r="I2082">
        <v>1110109.1868</v>
      </c>
      <c r="J2082">
        <v>474373.88579999999</v>
      </c>
      <c r="K2082">
        <v>0</v>
      </c>
      <c r="L2082">
        <v>352896.63299999997</v>
      </c>
      <c r="M2082">
        <v>0</v>
      </c>
      <c r="T2082" s="9">
        <v>45108</v>
      </c>
      <c r="U2082" s="9">
        <v>45473</v>
      </c>
      <c r="V2082">
        <f>SUM(POTABLE_NONPOTABLE_API[[#This Row],[RESIDENTIAL_SINGLEFAMILY_GAL]:[OTHER_GAL]])</f>
        <v>14417179.739699999</v>
      </c>
      <c r="W2082">
        <f>SUM(POTABLE_NONPOTABLE_API[[#This Row],[NONPOTABLE_DEMAND_RESIDENTIAL_RECYCLED_WATER_GAL]:[NONPOTABLE_DEMAND_NONRESIDENTIAL_METERED_IRRIGATION_GAL]])</f>
        <v>0</v>
      </c>
      <c r="X2082" t="str">
        <f>IFERROR(INDEX(Crosswalk_API!$H$2:$H$527, MATCH(POTABLE_NONPOTABLE_API[[#This Row],[PWSID]], CW_PWSID_LIST, 0)), "")</f>
        <v>No</v>
      </c>
    </row>
    <row r="2083" spans="1:24" x14ac:dyDescent="0.25">
      <c r="A2083" t="s">
        <v>1311</v>
      </c>
      <c r="B2083" t="s">
        <v>1312</v>
      </c>
      <c r="C2083" t="s">
        <v>1315</v>
      </c>
      <c r="D2083" t="s">
        <v>1316</v>
      </c>
      <c r="E2083" s="9">
        <v>45261</v>
      </c>
      <c r="F2083" s="9">
        <v>45291</v>
      </c>
      <c r="G2083">
        <v>6187258.7879999997</v>
      </c>
      <c r="H2083">
        <v>3910440.0956999999</v>
      </c>
      <c r="I2083">
        <v>662194.40220000001</v>
      </c>
      <c r="J2083">
        <v>299261.55839999998</v>
      </c>
      <c r="K2083">
        <v>0</v>
      </c>
      <c r="L2083">
        <v>427646.85240000003</v>
      </c>
      <c r="M2083">
        <v>0</v>
      </c>
      <c r="T2083" s="9">
        <v>45108</v>
      </c>
      <c r="U2083" s="9">
        <v>45473</v>
      </c>
      <c r="V2083">
        <f>SUM(POTABLE_NONPOTABLE_API[[#This Row],[RESIDENTIAL_SINGLEFAMILY_GAL]:[OTHER_GAL]])</f>
        <v>11486801.696699999</v>
      </c>
      <c r="W2083">
        <f>SUM(POTABLE_NONPOTABLE_API[[#This Row],[NONPOTABLE_DEMAND_RESIDENTIAL_RECYCLED_WATER_GAL]:[NONPOTABLE_DEMAND_NONRESIDENTIAL_METERED_IRRIGATION_GAL]])</f>
        <v>0</v>
      </c>
      <c r="X2083" t="str">
        <f>IFERROR(INDEX(Crosswalk_API!$H$2:$H$527, MATCH(POTABLE_NONPOTABLE_API[[#This Row],[PWSID]], CW_PWSID_LIST, 0)), "")</f>
        <v>No</v>
      </c>
    </row>
    <row r="2084" spans="1:24" x14ac:dyDescent="0.25">
      <c r="A2084" t="s">
        <v>1311</v>
      </c>
      <c r="B2084" t="s">
        <v>1312</v>
      </c>
      <c r="C2084" t="s">
        <v>1315</v>
      </c>
      <c r="D2084" t="s">
        <v>1316</v>
      </c>
      <c r="E2084" s="9">
        <v>45292</v>
      </c>
      <c r="F2084" s="9">
        <v>45322</v>
      </c>
      <c r="G2084">
        <v>5255309.6130030006</v>
      </c>
      <c r="H2084">
        <v>2751435.0112439999</v>
      </c>
      <c r="I2084">
        <v>551344.77976499998</v>
      </c>
      <c r="J2084">
        <v>101862.326004</v>
      </c>
      <c r="K2084">
        <v>0</v>
      </c>
      <c r="L2084">
        <v>327976.20022199996</v>
      </c>
      <c r="M2084">
        <v>0</v>
      </c>
      <c r="T2084" s="9">
        <v>45108</v>
      </c>
      <c r="U2084" s="9">
        <v>45473</v>
      </c>
      <c r="V2084">
        <f>SUM(POTABLE_NONPOTABLE_API[[#This Row],[RESIDENTIAL_SINGLEFAMILY_GAL]:[OTHER_GAL]])</f>
        <v>8987927.930238001</v>
      </c>
      <c r="W2084">
        <f>SUM(POTABLE_NONPOTABLE_API[[#This Row],[NONPOTABLE_DEMAND_RESIDENTIAL_RECYCLED_WATER_GAL]:[NONPOTABLE_DEMAND_NONRESIDENTIAL_METERED_IRRIGATION_GAL]])</f>
        <v>0</v>
      </c>
      <c r="X2084" t="str">
        <f>IFERROR(INDEX(Crosswalk_API!$H$2:$H$527, MATCH(POTABLE_NONPOTABLE_API[[#This Row],[PWSID]], CW_PWSID_LIST, 0)), "")</f>
        <v>No</v>
      </c>
    </row>
    <row r="2085" spans="1:24" x14ac:dyDescent="0.25">
      <c r="A2085" t="s">
        <v>1311</v>
      </c>
      <c r="B2085" t="s">
        <v>1312</v>
      </c>
      <c r="C2085" t="s">
        <v>1315</v>
      </c>
      <c r="D2085" t="s">
        <v>1316</v>
      </c>
      <c r="E2085" s="9">
        <v>45323</v>
      </c>
      <c r="F2085" s="9">
        <v>45351</v>
      </c>
      <c r="G2085">
        <v>4768340.6085000001</v>
      </c>
      <c r="H2085">
        <v>2962637.2920000004</v>
      </c>
      <c r="I2085">
        <v>482226.89490000001</v>
      </c>
      <c r="J2085">
        <v>107433.0747</v>
      </c>
      <c r="K2085">
        <v>0</v>
      </c>
      <c r="L2085">
        <v>439214.56290000002</v>
      </c>
      <c r="M2085">
        <v>0</v>
      </c>
      <c r="T2085" s="9">
        <v>45108</v>
      </c>
      <c r="U2085" s="9">
        <v>45473</v>
      </c>
      <c r="V2085">
        <f>SUM(POTABLE_NONPOTABLE_API[[#This Row],[RESIDENTIAL_SINGLEFAMILY_GAL]:[OTHER_GAL]])</f>
        <v>8759852.4330000002</v>
      </c>
      <c r="W2085">
        <f>SUM(POTABLE_NONPOTABLE_API[[#This Row],[NONPOTABLE_DEMAND_RESIDENTIAL_RECYCLED_WATER_GAL]:[NONPOTABLE_DEMAND_NONRESIDENTIAL_METERED_IRRIGATION_GAL]])</f>
        <v>0</v>
      </c>
      <c r="X2085" t="str">
        <f>IFERROR(INDEX(Crosswalk_API!$H$2:$H$527, MATCH(POTABLE_NONPOTABLE_API[[#This Row],[PWSID]], CW_PWSID_LIST, 0)), "")</f>
        <v>No</v>
      </c>
    </row>
    <row r="2086" spans="1:24" x14ac:dyDescent="0.25">
      <c r="A2086" t="s">
        <v>1311</v>
      </c>
      <c r="B2086" t="s">
        <v>1312</v>
      </c>
      <c r="C2086" t="s">
        <v>1315</v>
      </c>
      <c r="D2086" t="s">
        <v>1316</v>
      </c>
      <c r="E2086" s="9">
        <v>45352</v>
      </c>
      <c r="F2086" s="9">
        <v>45382</v>
      </c>
      <c r="G2086">
        <v>6861248.9963999996</v>
      </c>
      <c r="H2086">
        <v>3605182.8788999999</v>
      </c>
      <c r="I2086">
        <v>656426.8395</v>
      </c>
      <c r="J2086">
        <v>208968.2463</v>
      </c>
      <c r="K2086">
        <v>0</v>
      </c>
      <c r="L2086">
        <v>436835.85060000001</v>
      </c>
      <c r="M2086">
        <v>0</v>
      </c>
      <c r="T2086" s="9">
        <v>45108</v>
      </c>
      <c r="U2086" s="9">
        <v>45473</v>
      </c>
      <c r="V2086">
        <f>SUM(POTABLE_NONPOTABLE_API[[#This Row],[RESIDENTIAL_SINGLEFAMILY_GAL]:[OTHER_GAL]])</f>
        <v>11768662.811700001</v>
      </c>
      <c r="W2086">
        <f>SUM(POTABLE_NONPOTABLE_API[[#This Row],[NONPOTABLE_DEMAND_RESIDENTIAL_RECYCLED_WATER_GAL]:[NONPOTABLE_DEMAND_NONRESIDENTIAL_METERED_IRRIGATION_GAL]])</f>
        <v>0</v>
      </c>
      <c r="X2086" t="str">
        <f>IFERROR(INDEX(Crosswalk_API!$H$2:$H$527, MATCH(POTABLE_NONPOTABLE_API[[#This Row],[PWSID]], CW_PWSID_LIST, 0)), "")</f>
        <v>No</v>
      </c>
    </row>
    <row r="2087" spans="1:24" x14ac:dyDescent="0.25">
      <c r="A2087" t="s">
        <v>1311</v>
      </c>
      <c r="B2087" t="s">
        <v>1312</v>
      </c>
      <c r="C2087" t="s">
        <v>1315</v>
      </c>
      <c r="D2087" t="s">
        <v>1316</v>
      </c>
      <c r="E2087" s="9">
        <v>45383</v>
      </c>
      <c r="F2087" s="9">
        <v>45412</v>
      </c>
      <c r="G2087">
        <v>11142931.136399999</v>
      </c>
      <c r="H2087">
        <v>4669835.8512000004</v>
      </c>
      <c r="I2087">
        <v>896546.44139999989</v>
      </c>
      <c r="J2087">
        <v>886999.00710000005</v>
      </c>
      <c r="K2087">
        <v>0</v>
      </c>
      <c r="L2087">
        <v>455702.62350000005</v>
      </c>
      <c r="M2087">
        <v>0</v>
      </c>
      <c r="T2087" s="9">
        <v>45108</v>
      </c>
      <c r="U2087" s="9">
        <v>45473</v>
      </c>
      <c r="V2087">
        <f>SUM(POTABLE_NONPOTABLE_API[[#This Row],[RESIDENTIAL_SINGLEFAMILY_GAL]:[OTHER_GAL]])</f>
        <v>18052015.059599999</v>
      </c>
      <c r="W2087">
        <f>SUM(POTABLE_NONPOTABLE_API[[#This Row],[NONPOTABLE_DEMAND_RESIDENTIAL_RECYCLED_WATER_GAL]:[NONPOTABLE_DEMAND_NONRESIDENTIAL_METERED_IRRIGATION_GAL]])</f>
        <v>0</v>
      </c>
      <c r="X2087" t="str">
        <f>IFERROR(INDEX(Crosswalk_API!$H$2:$H$527, MATCH(POTABLE_NONPOTABLE_API[[#This Row],[PWSID]], CW_PWSID_LIST, 0)), "")</f>
        <v>No</v>
      </c>
    </row>
    <row r="2088" spans="1:24" x14ac:dyDescent="0.25">
      <c r="A2088" t="s">
        <v>1311</v>
      </c>
      <c r="B2088" t="s">
        <v>1312</v>
      </c>
      <c r="C2088" t="s">
        <v>1315</v>
      </c>
      <c r="D2088" t="s">
        <v>1316</v>
      </c>
      <c r="E2088" s="9">
        <v>45413</v>
      </c>
      <c r="F2088" s="9">
        <v>45443</v>
      </c>
      <c r="G2088">
        <v>21283903.032899998</v>
      </c>
      <c r="H2088">
        <v>7927726.7342999997</v>
      </c>
      <c r="I2088">
        <v>1614559.1199</v>
      </c>
      <c r="J2088">
        <v>1750080.5508000001</v>
      </c>
      <c r="K2088">
        <v>0</v>
      </c>
      <c r="L2088">
        <v>1622542.4694000001</v>
      </c>
      <c r="M2088">
        <v>0</v>
      </c>
      <c r="T2088" s="9">
        <v>45108</v>
      </c>
      <c r="U2088" s="9">
        <v>45473</v>
      </c>
      <c r="V2088">
        <f>SUM(POTABLE_NONPOTABLE_API[[#This Row],[RESIDENTIAL_SINGLEFAMILY_GAL]:[OTHER_GAL]])</f>
        <v>34198811.907299995</v>
      </c>
      <c r="W2088">
        <f>SUM(POTABLE_NONPOTABLE_API[[#This Row],[NONPOTABLE_DEMAND_RESIDENTIAL_RECYCLED_WATER_GAL]:[NONPOTABLE_DEMAND_NONRESIDENTIAL_METERED_IRRIGATION_GAL]])</f>
        <v>0</v>
      </c>
      <c r="X2088" t="str">
        <f>IFERROR(INDEX(Crosswalk_API!$H$2:$H$527, MATCH(POTABLE_NONPOTABLE_API[[#This Row],[PWSID]], CW_PWSID_LIST, 0)), "")</f>
        <v>No</v>
      </c>
    </row>
    <row r="2089" spans="1:24" x14ac:dyDescent="0.25">
      <c r="A2089" t="s">
        <v>1311</v>
      </c>
      <c r="B2089" t="s">
        <v>1312</v>
      </c>
      <c r="C2089" t="s">
        <v>1315</v>
      </c>
      <c r="D2089" t="s">
        <v>1316</v>
      </c>
      <c r="E2089" s="9">
        <v>45444</v>
      </c>
      <c r="F2089" s="9">
        <v>45473</v>
      </c>
      <c r="G2089">
        <v>27598536.976799998</v>
      </c>
      <c r="H2089">
        <v>11310190.454699999</v>
      </c>
      <c r="I2089">
        <v>2076713.5932</v>
      </c>
      <c r="J2089">
        <v>2485428.5024999999</v>
      </c>
      <c r="K2089">
        <v>0</v>
      </c>
      <c r="L2089">
        <v>1932231.2598000001</v>
      </c>
      <c r="M2089">
        <v>0</v>
      </c>
      <c r="T2089" s="9">
        <v>45108</v>
      </c>
      <c r="U2089" s="9">
        <v>45473</v>
      </c>
      <c r="V2089">
        <f>SUM(POTABLE_NONPOTABLE_API[[#This Row],[RESIDENTIAL_SINGLEFAMILY_GAL]:[OTHER_GAL]])</f>
        <v>45403100.786999993</v>
      </c>
      <c r="W2089">
        <f>SUM(POTABLE_NONPOTABLE_API[[#This Row],[NONPOTABLE_DEMAND_RESIDENTIAL_RECYCLED_WATER_GAL]:[NONPOTABLE_DEMAND_NONRESIDENTIAL_METERED_IRRIGATION_GAL]])</f>
        <v>0</v>
      </c>
      <c r="X2089" t="str">
        <f>IFERROR(INDEX(Crosswalk_API!$H$2:$H$527, MATCH(POTABLE_NONPOTABLE_API[[#This Row],[PWSID]], CW_PWSID_LIST, 0)), "")</f>
        <v>No</v>
      </c>
    </row>
    <row r="2090" spans="1:24" x14ac:dyDescent="0.25">
      <c r="A2090" t="s">
        <v>1317</v>
      </c>
      <c r="B2090" t="s">
        <v>1318</v>
      </c>
      <c r="C2090" t="s">
        <v>1319</v>
      </c>
      <c r="D2090" t="s">
        <v>1320</v>
      </c>
      <c r="E2090" s="9">
        <v>45108</v>
      </c>
      <c r="F2090" s="9">
        <v>45138</v>
      </c>
      <c r="G2090">
        <v>25449000</v>
      </c>
      <c r="H2090">
        <v>1503000</v>
      </c>
      <c r="I2090">
        <v>4597000</v>
      </c>
      <c r="J2090">
        <v>542000</v>
      </c>
      <c r="K2090">
        <v>83000</v>
      </c>
      <c r="L2090">
        <v>0</v>
      </c>
      <c r="M2090">
        <v>0</v>
      </c>
      <c r="T2090" s="9">
        <v>45108</v>
      </c>
      <c r="U2090" s="9">
        <v>45473</v>
      </c>
      <c r="V2090">
        <f>SUM(POTABLE_NONPOTABLE_API[[#This Row],[RESIDENTIAL_SINGLEFAMILY_GAL]:[OTHER_GAL]])</f>
        <v>32174000</v>
      </c>
      <c r="W2090">
        <f>SUM(POTABLE_NONPOTABLE_API[[#This Row],[NONPOTABLE_DEMAND_RESIDENTIAL_RECYCLED_WATER_GAL]:[NONPOTABLE_DEMAND_NONRESIDENTIAL_METERED_IRRIGATION_GAL]])</f>
        <v>0</v>
      </c>
      <c r="X2090" t="str">
        <f>IFERROR(INDEX(Crosswalk_API!$H$2:$H$527, MATCH(POTABLE_NONPOTABLE_API[[#This Row],[PWSID]], CW_PWSID_LIST, 0)), "")</f>
        <v>No</v>
      </c>
    </row>
    <row r="2091" spans="1:24" x14ac:dyDescent="0.25">
      <c r="A2091" t="s">
        <v>1317</v>
      </c>
      <c r="B2091" t="s">
        <v>1318</v>
      </c>
      <c r="C2091" t="s">
        <v>1319</v>
      </c>
      <c r="D2091" t="s">
        <v>1320</v>
      </c>
      <c r="E2091" s="9">
        <v>45139</v>
      </c>
      <c r="F2091" s="9">
        <v>45169</v>
      </c>
      <c r="G2091">
        <v>30287000</v>
      </c>
      <c r="H2091">
        <v>1798000</v>
      </c>
      <c r="I2091">
        <v>5035000</v>
      </c>
      <c r="J2091">
        <v>2247000</v>
      </c>
      <c r="K2091">
        <v>97000</v>
      </c>
      <c r="L2091">
        <v>0</v>
      </c>
      <c r="M2091">
        <v>0</v>
      </c>
      <c r="T2091" s="9">
        <v>45108</v>
      </c>
      <c r="U2091" s="9">
        <v>45473</v>
      </c>
      <c r="V2091">
        <f>SUM(POTABLE_NONPOTABLE_API[[#This Row],[RESIDENTIAL_SINGLEFAMILY_GAL]:[OTHER_GAL]])</f>
        <v>39464000</v>
      </c>
      <c r="W2091">
        <f>SUM(POTABLE_NONPOTABLE_API[[#This Row],[NONPOTABLE_DEMAND_RESIDENTIAL_RECYCLED_WATER_GAL]:[NONPOTABLE_DEMAND_NONRESIDENTIAL_METERED_IRRIGATION_GAL]])</f>
        <v>0</v>
      </c>
      <c r="X2091" t="str">
        <f>IFERROR(INDEX(Crosswalk_API!$H$2:$H$527, MATCH(POTABLE_NONPOTABLE_API[[#This Row],[PWSID]], CW_PWSID_LIST, 0)), "")</f>
        <v>No</v>
      </c>
    </row>
    <row r="2092" spans="1:24" x14ac:dyDescent="0.25">
      <c r="A2092" t="s">
        <v>1317</v>
      </c>
      <c r="B2092" t="s">
        <v>1318</v>
      </c>
      <c r="C2092" t="s">
        <v>1319</v>
      </c>
      <c r="D2092" t="s">
        <v>1320</v>
      </c>
      <c r="E2092" s="9">
        <v>45170</v>
      </c>
      <c r="F2092" s="9">
        <v>45199</v>
      </c>
      <c r="G2092">
        <v>25910000</v>
      </c>
      <c r="H2092">
        <v>1538000</v>
      </c>
      <c r="I2092">
        <v>4844000</v>
      </c>
      <c r="J2092">
        <v>1814000</v>
      </c>
      <c r="K2092">
        <v>99000</v>
      </c>
      <c r="L2092">
        <v>0</v>
      </c>
      <c r="M2092">
        <v>0</v>
      </c>
      <c r="T2092" s="9">
        <v>45108</v>
      </c>
      <c r="U2092" s="9">
        <v>45473</v>
      </c>
      <c r="V2092">
        <f>SUM(POTABLE_NONPOTABLE_API[[#This Row],[RESIDENTIAL_SINGLEFAMILY_GAL]:[OTHER_GAL]])</f>
        <v>34205000</v>
      </c>
      <c r="W2092">
        <f>SUM(POTABLE_NONPOTABLE_API[[#This Row],[NONPOTABLE_DEMAND_RESIDENTIAL_RECYCLED_WATER_GAL]:[NONPOTABLE_DEMAND_NONRESIDENTIAL_METERED_IRRIGATION_GAL]])</f>
        <v>0</v>
      </c>
      <c r="X2092" t="str">
        <f>IFERROR(INDEX(Crosswalk_API!$H$2:$H$527, MATCH(POTABLE_NONPOTABLE_API[[#This Row],[PWSID]], CW_PWSID_LIST, 0)), "")</f>
        <v>No</v>
      </c>
    </row>
    <row r="2093" spans="1:24" x14ac:dyDescent="0.25">
      <c r="A2093" t="s">
        <v>1317</v>
      </c>
      <c r="B2093" t="s">
        <v>1318</v>
      </c>
      <c r="C2093" t="s">
        <v>1319</v>
      </c>
      <c r="D2093" t="s">
        <v>1320</v>
      </c>
      <c r="E2093" s="9">
        <v>45200</v>
      </c>
      <c r="F2093" s="9">
        <v>45230</v>
      </c>
      <c r="G2093">
        <v>21456000</v>
      </c>
      <c r="H2093">
        <v>1499000</v>
      </c>
      <c r="I2093">
        <v>4960000</v>
      </c>
      <c r="J2093">
        <v>490000</v>
      </c>
      <c r="K2093">
        <v>93000</v>
      </c>
      <c r="L2093">
        <v>0</v>
      </c>
      <c r="M2093">
        <v>0</v>
      </c>
      <c r="T2093" s="9">
        <v>45108</v>
      </c>
      <c r="U2093" s="9">
        <v>45473</v>
      </c>
      <c r="V2093">
        <f>SUM(POTABLE_NONPOTABLE_API[[#This Row],[RESIDENTIAL_SINGLEFAMILY_GAL]:[OTHER_GAL]])</f>
        <v>28498000</v>
      </c>
      <c r="W2093">
        <f>SUM(POTABLE_NONPOTABLE_API[[#This Row],[NONPOTABLE_DEMAND_RESIDENTIAL_RECYCLED_WATER_GAL]:[NONPOTABLE_DEMAND_NONRESIDENTIAL_METERED_IRRIGATION_GAL]])</f>
        <v>0</v>
      </c>
      <c r="X2093" t="str">
        <f>IFERROR(INDEX(Crosswalk_API!$H$2:$H$527, MATCH(POTABLE_NONPOTABLE_API[[#This Row],[PWSID]], CW_PWSID_LIST, 0)), "")</f>
        <v>No</v>
      </c>
    </row>
    <row r="2094" spans="1:24" x14ac:dyDescent="0.25">
      <c r="A2094" t="s">
        <v>1317</v>
      </c>
      <c r="B2094" t="s">
        <v>1318</v>
      </c>
      <c r="C2094" t="s">
        <v>1319</v>
      </c>
      <c r="D2094" t="s">
        <v>1320</v>
      </c>
      <c r="E2094" s="9">
        <v>45231</v>
      </c>
      <c r="F2094" s="9">
        <v>45260</v>
      </c>
      <c r="G2094">
        <v>16300000</v>
      </c>
      <c r="H2094">
        <v>1000000</v>
      </c>
      <c r="I2094">
        <v>4500000</v>
      </c>
      <c r="J2094">
        <v>197000</v>
      </c>
      <c r="K2094">
        <v>74000</v>
      </c>
      <c r="L2094">
        <v>0</v>
      </c>
      <c r="M2094">
        <v>0</v>
      </c>
      <c r="T2094" s="9">
        <v>45108</v>
      </c>
      <c r="U2094" s="9">
        <v>45473</v>
      </c>
      <c r="V2094">
        <f>SUM(POTABLE_NONPOTABLE_API[[#This Row],[RESIDENTIAL_SINGLEFAMILY_GAL]:[OTHER_GAL]])</f>
        <v>22071000</v>
      </c>
      <c r="W2094">
        <f>SUM(POTABLE_NONPOTABLE_API[[#This Row],[NONPOTABLE_DEMAND_RESIDENTIAL_RECYCLED_WATER_GAL]:[NONPOTABLE_DEMAND_NONRESIDENTIAL_METERED_IRRIGATION_GAL]])</f>
        <v>0</v>
      </c>
      <c r="X2094" t="str">
        <f>IFERROR(INDEX(Crosswalk_API!$H$2:$H$527, MATCH(POTABLE_NONPOTABLE_API[[#This Row],[PWSID]], CW_PWSID_LIST, 0)), "")</f>
        <v>No</v>
      </c>
    </row>
    <row r="2095" spans="1:24" x14ac:dyDescent="0.25">
      <c r="A2095" t="s">
        <v>1317</v>
      </c>
      <c r="B2095" t="s">
        <v>1318</v>
      </c>
      <c r="C2095" t="s">
        <v>1319</v>
      </c>
      <c r="D2095" t="s">
        <v>1320</v>
      </c>
      <c r="E2095" s="9">
        <v>45261</v>
      </c>
      <c r="F2095" s="9">
        <v>45291</v>
      </c>
      <c r="G2095">
        <v>17192737</v>
      </c>
      <c r="H2095">
        <v>0</v>
      </c>
      <c r="I2095">
        <v>4517989</v>
      </c>
      <c r="J2095">
        <v>217587</v>
      </c>
      <c r="K2095">
        <v>96642</v>
      </c>
      <c r="L2095">
        <v>0</v>
      </c>
      <c r="M2095">
        <v>0</v>
      </c>
      <c r="T2095" s="9">
        <v>45108</v>
      </c>
      <c r="U2095" s="9">
        <v>45473</v>
      </c>
      <c r="V2095">
        <f>SUM(POTABLE_NONPOTABLE_API[[#This Row],[RESIDENTIAL_SINGLEFAMILY_GAL]:[OTHER_GAL]])</f>
        <v>22024955</v>
      </c>
      <c r="W2095">
        <f>SUM(POTABLE_NONPOTABLE_API[[#This Row],[NONPOTABLE_DEMAND_RESIDENTIAL_RECYCLED_WATER_GAL]:[NONPOTABLE_DEMAND_NONRESIDENTIAL_METERED_IRRIGATION_GAL]])</f>
        <v>0</v>
      </c>
      <c r="X2095" t="str">
        <f>IFERROR(INDEX(Crosswalk_API!$H$2:$H$527, MATCH(POTABLE_NONPOTABLE_API[[#This Row],[PWSID]], CW_PWSID_LIST, 0)), "")</f>
        <v>No</v>
      </c>
    </row>
    <row r="2096" spans="1:24" x14ac:dyDescent="0.25">
      <c r="A2096" t="s">
        <v>1317</v>
      </c>
      <c r="B2096" t="s">
        <v>1318</v>
      </c>
      <c r="C2096" t="s">
        <v>1319</v>
      </c>
      <c r="D2096" t="s">
        <v>1320</v>
      </c>
      <c r="E2096" s="9">
        <v>45292</v>
      </c>
      <c r="F2096" s="9">
        <v>45322</v>
      </c>
      <c r="G2096">
        <v>16862236</v>
      </c>
      <c r="H2096">
        <v>0</v>
      </c>
      <c r="I2096">
        <v>5387827</v>
      </c>
      <c r="J2096">
        <v>79753</v>
      </c>
      <c r="K2096">
        <v>134386</v>
      </c>
      <c r="L2096">
        <v>3020000</v>
      </c>
      <c r="M2096">
        <v>0</v>
      </c>
      <c r="T2096" s="9">
        <v>45108</v>
      </c>
      <c r="U2096" s="9">
        <v>45473</v>
      </c>
      <c r="V2096">
        <f>SUM(POTABLE_NONPOTABLE_API[[#This Row],[RESIDENTIAL_SINGLEFAMILY_GAL]:[OTHER_GAL]])</f>
        <v>25484202</v>
      </c>
      <c r="W2096">
        <f>SUM(POTABLE_NONPOTABLE_API[[#This Row],[NONPOTABLE_DEMAND_RESIDENTIAL_RECYCLED_WATER_GAL]:[NONPOTABLE_DEMAND_NONRESIDENTIAL_METERED_IRRIGATION_GAL]])</f>
        <v>0</v>
      </c>
      <c r="X2096" t="str">
        <f>IFERROR(INDEX(Crosswalk_API!$H$2:$H$527, MATCH(POTABLE_NONPOTABLE_API[[#This Row],[PWSID]], CW_PWSID_LIST, 0)), "")</f>
        <v>No</v>
      </c>
    </row>
    <row r="2097" spans="1:24" x14ac:dyDescent="0.25">
      <c r="A2097" t="s">
        <v>1317</v>
      </c>
      <c r="B2097" t="s">
        <v>1318</v>
      </c>
      <c r="C2097" t="s">
        <v>1319</v>
      </c>
      <c r="D2097" t="s">
        <v>1320</v>
      </c>
      <c r="E2097" s="9">
        <v>45323</v>
      </c>
      <c r="F2097" s="9">
        <v>45351</v>
      </c>
      <c r="G2097">
        <v>17783422</v>
      </c>
      <c r="H2097">
        <v>0</v>
      </c>
      <c r="I2097">
        <v>5345736</v>
      </c>
      <c r="J2097">
        <v>0</v>
      </c>
      <c r="K2097">
        <v>384769</v>
      </c>
      <c r="L2097">
        <v>0</v>
      </c>
      <c r="M2097">
        <v>0</v>
      </c>
      <c r="T2097" s="9">
        <v>45108</v>
      </c>
      <c r="U2097" s="9">
        <v>45473</v>
      </c>
      <c r="V2097">
        <f>SUM(POTABLE_NONPOTABLE_API[[#This Row],[RESIDENTIAL_SINGLEFAMILY_GAL]:[OTHER_GAL]])</f>
        <v>23513927</v>
      </c>
      <c r="W2097">
        <f>SUM(POTABLE_NONPOTABLE_API[[#This Row],[NONPOTABLE_DEMAND_RESIDENTIAL_RECYCLED_WATER_GAL]:[NONPOTABLE_DEMAND_NONRESIDENTIAL_METERED_IRRIGATION_GAL]])</f>
        <v>0</v>
      </c>
      <c r="X2097" t="str">
        <f>IFERROR(INDEX(Crosswalk_API!$H$2:$H$527, MATCH(POTABLE_NONPOTABLE_API[[#This Row],[PWSID]], CW_PWSID_LIST, 0)), "")</f>
        <v>No</v>
      </c>
    </row>
    <row r="2098" spans="1:24" x14ac:dyDescent="0.25">
      <c r="A2098" t="s">
        <v>1317</v>
      </c>
      <c r="B2098" t="s">
        <v>1318</v>
      </c>
      <c r="C2098" t="s">
        <v>1319</v>
      </c>
      <c r="D2098" t="s">
        <v>1320</v>
      </c>
      <c r="E2098" s="9">
        <v>45352</v>
      </c>
      <c r="F2098" s="9">
        <v>45382</v>
      </c>
      <c r="G2098">
        <v>16883228</v>
      </c>
      <c r="H2098">
        <v>0</v>
      </c>
      <c r="I2098">
        <v>4393480</v>
      </c>
      <c r="J2098">
        <v>8700</v>
      </c>
      <c r="K2098">
        <v>34630</v>
      </c>
      <c r="L2098">
        <v>0</v>
      </c>
      <c r="M2098">
        <v>0</v>
      </c>
      <c r="T2098" s="9">
        <v>45108</v>
      </c>
      <c r="U2098" s="9">
        <v>45473</v>
      </c>
      <c r="V2098">
        <f>SUM(POTABLE_NONPOTABLE_API[[#This Row],[RESIDENTIAL_SINGLEFAMILY_GAL]:[OTHER_GAL]])</f>
        <v>21320038</v>
      </c>
      <c r="W2098">
        <f>SUM(POTABLE_NONPOTABLE_API[[#This Row],[NONPOTABLE_DEMAND_RESIDENTIAL_RECYCLED_WATER_GAL]:[NONPOTABLE_DEMAND_NONRESIDENTIAL_METERED_IRRIGATION_GAL]])</f>
        <v>0</v>
      </c>
      <c r="X2098" t="str">
        <f>IFERROR(INDEX(Crosswalk_API!$H$2:$H$527, MATCH(POTABLE_NONPOTABLE_API[[#This Row],[PWSID]], CW_PWSID_LIST, 0)), "")</f>
        <v>No</v>
      </c>
    </row>
    <row r="2099" spans="1:24" x14ac:dyDescent="0.25">
      <c r="A2099" t="s">
        <v>1317</v>
      </c>
      <c r="B2099" t="s">
        <v>1318</v>
      </c>
      <c r="C2099" t="s">
        <v>1319</v>
      </c>
      <c r="D2099" t="s">
        <v>1320</v>
      </c>
      <c r="E2099" s="9">
        <v>45383</v>
      </c>
      <c r="F2099" s="9">
        <v>45412</v>
      </c>
      <c r="G2099">
        <v>16319749</v>
      </c>
      <c r="H2099">
        <v>0</v>
      </c>
      <c r="I2099">
        <v>5255402</v>
      </c>
      <c r="J2099">
        <v>122550</v>
      </c>
      <c r="K2099">
        <v>207178</v>
      </c>
      <c r="L2099">
        <v>0</v>
      </c>
      <c r="M2099">
        <v>0</v>
      </c>
      <c r="T2099" s="9">
        <v>45108</v>
      </c>
      <c r="U2099" s="9">
        <v>45473</v>
      </c>
      <c r="V2099">
        <f>SUM(POTABLE_NONPOTABLE_API[[#This Row],[RESIDENTIAL_SINGLEFAMILY_GAL]:[OTHER_GAL]])</f>
        <v>21904879</v>
      </c>
      <c r="W2099">
        <f>SUM(POTABLE_NONPOTABLE_API[[#This Row],[NONPOTABLE_DEMAND_RESIDENTIAL_RECYCLED_WATER_GAL]:[NONPOTABLE_DEMAND_NONRESIDENTIAL_METERED_IRRIGATION_GAL]])</f>
        <v>0</v>
      </c>
      <c r="X2099" t="str">
        <f>IFERROR(INDEX(Crosswalk_API!$H$2:$H$527, MATCH(POTABLE_NONPOTABLE_API[[#This Row],[PWSID]], CW_PWSID_LIST, 0)), "")</f>
        <v>No</v>
      </c>
    </row>
    <row r="2100" spans="1:24" x14ac:dyDescent="0.25">
      <c r="A2100" t="s">
        <v>1317</v>
      </c>
      <c r="B2100" t="s">
        <v>1318</v>
      </c>
      <c r="C2100" t="s">
        <v>1319</v>
      </c>
      <c r="D2100" t="s">
        <v>1320</v>
      </c>
      <c r="E2100" s="9">
        <v>45413</v>
      </c>
      <c r="F2100" s="9">
        <v>45443</v>
      </c>
      <c r="G2100">
        <v>19061000</v>
      </c>
      <c r="H2100">
        <v>943000</v>
      </c>
      <c r="I2100">
        <v>4875000</v>
      </c>
      <c r="J2100">
        <v>119000</v>
      </c>
      <c r="K2100">
        <v>243000</v>
      </c>
      <c r="L2100">
        <v>0</v>
      </c>
      <c r="M2100">
        <v>0</v>
      </c>
      <c r="T2100" s="9">
        <v>45108</v>
      </c>
      <c r="U2100" s="9">
        <v>45473</v>
      </c>
      <c r="V2100">
        <f>SUM(POTABLE_NONPOTABLE_API[[#This Row],[RESIDENTIAL_SINGLEFAMILY_GAL]:[OTHER_GAL]])</f>
        <v>25241000</v>
      </c>
      <c r="W2100">
        <f>SUM(POTABLE_NONPOTABLE_API[[#This Row],[NONPOTABLE_DEMAND_RESIDENTIAL_RECYCLED_WATER_GAL]:[NONPOTABLE_DEMAND_NONRESIDENTIAL_METERED_IRRIGATION_GAL]])</f>
        <v>0</v>
      </c>
      <c r="X2100" t="str">
        <f>IFERROR(INDEX(Crosswalk_API!$H$2:$H$527, MATCH(POTABLE_NONPOTABLE_API[[#This Row],[PWSID]], CW_PWSID_LIST, 0)), "")</f>
        <v>No</v>
      </c>
    </row>
    <row r="2101" spans="1:24" x14ac:dyDescent="0.25">
      <c r="A2101" t="s">
        <v>1317</v>
      </c>
      <c r="B2101" t="s">
        <v>1318</v>
      </c>
      <c r="C2101" t="s">
        <v>1319</v>
      </c>
      <c r="D2101" t="s">
        <v>1320</v>
      </c>
      <c r="E2101" s="9">
        <v>45444</v>
      </c>
      <c r="F2101" s="9">
        <v>45473</v>
      </c>
      <c r="G2101">
        <v>24395877</v>
      </c>
      <c r="H2101">
        <v>964168</v>
      </c>
      <c r="I2101">
        <v>5141084</v>
      </c>
      <c r="J2101">
        <v>1015168</v>
      </c>
      <c r="K2101">
        <v>290802</v>
      </c>
      <c r="L2101">
        <v>0</v>
      </c>
      <c r="M2101">
        <v>0</v>
      </c>
      <c r="T2101" s="9">
        <v>45108</v>
      </c>
      <c r="U2101" s="9">
        <v>45473</v>
      </c>
      <c r="V2101">
        <f>SUM(POTABLE_NONPOTABLE_API[[#This Row],[RESIDENTIAL_SINGLEFAMILY_GAL]:[OTHER_GAL]])</f>
        <v>31807099</v>
      </c>
      <c r="W2101">
        <f>SUM(POTABLE_NONPOTABLE_API[[#This Row],[NONPOTABLE_DEMAND_RESIDENTIAL_RECYCLED_WATER_GAL]:[NONPOTABLE_DEMAND_NONRESIDENTIAL_METERED_IRRIGATION_GAL]])</f>
        <v>0</v>
      </c>
      <c r="X2101" t="str">
        <f>IFERROR(INDEX(Crosswalk_API!$H$2:$H$527, MATCH(POTABLE_NONPOTABLE_API[[#This Row],[PWSID]], CW_PWSID_LIST, 0)), "")</f>
        <v>No</v>
      </c>
    </row>
    <row r="2102" spans="1:24" x14ac:dyDescent="0.25">
      <c r="A2102" t="s">
        <v>1321</v>
      </c>
      <c r="B2102" t="s">
        <v>1322</v>
      </c>
      <c r="C2102" t="s">
        <v>1323</v>
      </c>
      <c r="D2102" t="s">
        <v>1324</v>
      </c>
      <c r="E2102" s="9">
        <v>45108</v>
      </c>
      <c r="F2102" s="9">
        <v>45138</v>
      </c>
      <c r="G2102">
        <v>221709020.40000001</v>
      </c>
      <c r="H2102">
        <v>32910951</v>
      </c>
      <c r="I2102">
        <v>49040575.5</v>
      </c>
      <c r="J2102">
        <v>12023901.9</v>
      </c>
      <c r="K2102">
        <v>5278786.2</v>
      </c>
      <c r="L2102">
        <v>1205648.7</v>
      </c>
      <c r="M2102">
        <v>0</v>
      </c>
      <c r="N2102">
        <v>0</v>
      </c>
      <c r="O2102">
        <v>0</v>
      </c>
      <c r="P2102">
        <v>0</v>
      </c>
      <c r="Q2102">
        <v>0</v>
      </c>
      <c r="R2102">
        <v>0</v>
      </c>
      <c r="S2102">
        <v>53648108.639999993</v>
      </c>
      <c r="T2102" s="9">
        <v>45108</v>
      </c>
      <c r="U2102" s="9">
        <v>45473</v>
      </c>
      <c r="V2102">
        <f>SUM(POTABLE_NONPOTABLE_API[[#This Row],[RESIDENTIAL_SINGLEFAMILY_GAL]:[OTHER_GAL]])</f>
        <v>322168883.69999993</v>
      </c>
      <c r="W2102">
        <f>SUM(POTABLE_NONPOTABLE_API[[#This Row],[NONPOTABLE_DEMAND_RESIDENTIAL_RECYCLED_WATER_GAL]:[NONPOTABLE_DEMAND_NONRESIDENTIAL_METERED_IRRIGATION_GAL]])</f>
        <v>53648108.639999993</v>
      </c>
      <c r="X2102" t="str">
        <f>IFERROR(INDEX(Crosswalk_API!$H$2:$H$527, MATCH(POTABLE_NONPOTABLE_API[[#This Row],[PWSID]], CW_PWSID_LIST, 0)), "")</f>
        <v>No</v>
      </c>
    </row>
    <row r="2103" spans="1:24" x14ac:dyDescent="0.25">
      <c r="A2103" t="s">
        <v>1321</v>
      </c>
      <c r="B2103" t="s">
        <v>1322</v>
      </c>
      <c r="C2103" t="s">
        <v>1323</v>
      </c>
      <c r="D2103" t="s">
        <v>1324</v>
      </c>
      <c r="E2103" s="9">
        <v>45139</v>
      </c>
      <c r="F2103" s="9">
        <v>45169</v>
      </c>
      <c r="G2103">
        <v>143732876.09999999</v>
      </c>
      <c r="H2103">
        <v>13359891</v>
      </c>
      <c r="I2103">
        <v>80159346</v>
      </c>
      <c r="J2103">
        <v>14565539.700000001</v>
      </c>
      <c r="K2103">
        <v>5734977.6000000006</v>
      </c>
      <c r="L2103">
        <v>1010138.1</v>
      </c>
      <c r="M2103">
        <v>944967.9</v>
      </c>
      <c r="N2103">
        <v>0</v>
      </c>
      <c r="O2103">
        <v>0</v>
      </c>
      <c r="P2103">
        <v>0</v>
      </c>
      <c r="Q2103">
        <v>0</v>
      </c>
      <c r="R2103">
        <v>0</v>
      </c>
      <c r="S2103">
        <v>34628185.769999996</v>
      </c>
      <c r="T2103" s="9">
        <v>45108</v>
      </c>
      <c r="U2103" s="9">
        <v>45473</v>
      </c>
      <c r="V2103">
        <f>SUM(POTABLE_NONPOTABLE_API[[#This Row],[RESIDENTIAL_SINGLEFAMILY_GAL]:[OTHER_GAL]])</f>
        <v>258562768.49999997</v>
      </c>
      <c r="W2103">
        <f>SUM(POTABLE_NONPOTABLE_API[[#This Row],[NONPOTABLE_DEMAND_RESIDENTIAL_RECYCLED_WATER_GAL]:[NONPOTABLE_DEMAND_NONRESIDENTIAL_METERED_IRRIGATION_GAL]])</f>
        <v>34628185.769999996</v>
      </c>
      <c r="X2103" t="str">
        <f>IFERROR(INDEX(Crosswalk_API!$H$2:$H$527, MATCH(POTABLE_NONPOTABLE_API[[#This Row],[PWSID]], CW_PWSID_LIST, 0)), "")</f>
        <v>No</v>
      </c>
    </row>
    <row r="2104" spans="1:24" x14ac:dyDescent="0.25">
      <c r="A2104" t="s">
        <v>1321</v>
      </c>
      <c r="B2104" t="s">
        <v>1322</v>
      </c>
      <c r="C2104" t="s">
        <v>1323</v>
      </c>
      <c r="D2104" t="s">
        <v>1324</v>
      </c>
      <c r="E2104" s="9">
        <v>45170</v>
      </c>
      <c r="F2104" s="9">
        <v>45199</v>
      </c>
      <c r="G2104">
        <v>200137684.20000002</v>
      </c>
      <c r="H2104">
        <v>23135421</v>
      </c>
      <c r="I2104">
        <v>48519213.899999999</v>
      </c>
      <c r="J2104">
        <v>12577848.6</v>
      </c>
      <c r="K2104">
        <v>5539467</v>
      </c>
      <c r="L2104">
        <v>1238233.8</v>
      </c>
      <c r="M2104">
        <v>0</v>
      </c>
      <c r="N2104">
        <v>0</v>
      </c>
      <c r="O2104">
        <v>0</v>
      </c>
      <c r="Q2104">
        <v>0</v>
      </c>
      <c r="R2104">
        <v>0</v>
      </c>
      <c r="S2104">
        <v>30069530.280000001</v>
      </c>
      <c r="T2104" s="9">
        <v>45108</v>
      </c>
      <c r="U2104" s="9">
        <v>45473</v>
      </c>
      <c r="V2104">
        <f>SUM(POTABLE_NONPOTABLE_API[[#This Row],[RESIDENTIAL_SINGLEFAMILY_GAL]:[OTHER_GAL]])</f>
        <v>291147868.50000006</v>
      </c>
      <c r="W2104">
        <f>SUM(POTABLE_NONPOTABLE_API[[#This Row],[NONPOTABLE_DEMAND_RESIDENTIAL_RECYCLED_WATER_GAL]:[NONPOTABLE_DEMAND_NONRESIDENTIAL_METERED_IRRIGATION_GAL]])</f>
        <v>30069530.280000001</v>
      </c>
      <c r="X2104" t="str">
        <f>IFERROR(INDEX(Crosswalk_API!$H$2:$H$527, MATCH(POTABLE_NONPOTABLE_API[[#This Row],[PWSID]], CW_PWSID_LIST, 0)), "")</f>
        <v>No</v>
      </c>
    </row>
    <row r="2105" spans="1:24" x14ac:dyDescent="0.25">
      <c r="A2105" t="s">
        <v>1321</v>
      </c>
      <c r="B2105" t="s">
        <v>1322</v>
      </c>
      <c r="C2105" t="s">
        <v>1323</v>
      </c>
      <c r="D2105" t="s">
        <v>1324</v>
      </c>
      <c r="E2105" s="9">
        <v>45200</v>
      </c>
      <c r="F2105" s="9">
        <v>45230</v>
      </c>
      <c r="G2105">
        <v>118544593.8</v>
      </c>
      <c r="H2105">
        <v>4236063</v>
      </c>
      <c r="I2105">
        <v>80452611.900000006</v>
      </c>
      <c r="J2105">
        <v>12284582.700000001</v>
      </c>
      <c r="K2105">
        <v>6745115.7000000002</v>
      </c>
      <c r="L2105">
        <v>716872.20000000007</v>
      </c>
      <c r="M2105">
        <v>260680.80000000002</v>
      </c>
      <c r="N2105">
        <v>0</v>
      </c>
      <c r="O2105">
        <v>0</v>
      </c>
      <c r="P2105">
        <v>0</v>
      </c>
      <c r="Q2105">
        <v>0</v>
      </c>
      <c r="R2105">
        <v>0</v>
      </c>
      <c r="S2105">
        <v>26726299.02</v>
      </c>
      <c r="T2105" s="9">
        <v>45108</v>
      </c>
      <c r="U2105" s="9">
        <v>45473</v>
      </c>
      <c r="V2105">
        <f>SUM(POTABLE_NONPOTABLE_API[[#This Row],[RESIDENTIAL_SINGLEFAMILY_GAL]:[OTHER_GAL]])</f>
        <v>222979839.29999995</v>
      </c>
      <c r="W2105">
        <f>SUM(POTABLE_NONPOTABLE_API[[#This Row],[NONPOTABLE_DEMAND_RESIDENTIAL_RECYCLED_WATER_GAL]:[NONPOTABLE_DEMAND_NONRESIDENTIAL_METERED_IRRIGATION_GAL]])</f>
        <v>26726299.02</v>
      </c>
      <c r="X2105" t="str">
        <f>IFERROR(INDEX(Crosswalk_API!$H$2:$H$527, MATCH(POTABLE_NONPOTABLE_API[[#This Row],[PWSID]], CW_PWSID_LIST, 0)), "")</f>
        <v>No</v>
      </c>
    </row>
    <row r="2106" spans="1:24" x14ac:dyDescent="0.25">
      <c r="A2106" t="s">
        <v>1321</v>
      </c>
      <c r="B2106" t="s">
        <v>1322</v>
      </c>
      <c r="C2106" t="s">
        <v>1323</v>
      </c>
      <c r="D2106" t="s">
        <v>1324</v>
      </c>
      <c r="E2106" s="9">
        <v>45231</v>
      </c>
      <c r="F2106" s="9">
        <v>45260</v>
      </c>
      <c r="G2106">
        <v>221285414.09999999</v>
      </c>
      <c r="H2106">
        <v>34214355</v>
      </c>
      <c r="I2106">
        <v>63606115.199999996</v>
      </c>
      <c r="J2106">
        <v>13685742</v>
      </c>
      <c r="K2106">
        <v>5767562.7000000002</v>
      </c>
      <c r="L2106">
        <v>716872.20000000007</v>
      </c>
      <c r="M2106">
        <v>912382.79999999993</v>
      </c>
      <c r="N2106">
        <v>0</v>
      </c>
      <c r="O2106">
        <v>0</v>
      </c>
      <c r="Q2106">
        <v>0</v>
      </c>
      <c r="R2106">
        <v>0</v>
      </c>
      <c r="S2106">
        <v>21988425.48</v>
      </c>
      <c r="T2106" s="9">
        <v>45108</v>
      </c>
      <c r="U2106" s="9">
        <v>45473</v>
      </c>
      <c r="V2106">
        <f>SUM(POTABLE_NONPOTABLE_API[[#This Row],[RESIDENTIAL_SINGLEFAMILY_GAL]:[OTHER_GAL]])</f>
        <v>339276061.19999999</v>
      </c>
      <c r="W2106">
        <f>SUM(POTABLE_NONPOTABLE_API[[#This Row],[NONPOTABLE_DEMAND_RESIDENTIAL_RECYCLED_WATER_GAL]:[NONPOTABLE_DEMAND_NONRESIDENTIAL_METERED_IRRIGATION_GAL]])</f>
        <v>21988425.48</v>
      </c>
      <c r="X2106" t="str">
        <f>IFERROR(INDEX(Crosswalk_API!$H$2:$H$527, MATCH(POTABLE_NONPOTABLE_API[[#This Row],[PWSID]], CW_PWSID_LIST, 0)), "")</f>
        <v>No</v>
      </c>
    </row>
    <row r="2107" spans="1:24" x14ac:dyDescent="0.25">
      <c r="A2107" t="s">
        <v>1321</v>
      </c>
      <c r="B2107" t="s">
        <v>1322</v>
      </c>
      <c r="C2107" t="s">
        <v>1323</v>
      </c>
      <c r="D2107" t="s">
        <v>1324</v>
      </c>
      <c r="E2107" s="9">
        <v>45261</v>
      </c>
      <c r="F2107" s="9">
        <v>45291</v>
      </c>
      <c r="G2107">
        <v>70677081.900000006</v>
      </c>
      <c r="H2107">
        <v>651702</v>
      </c>
      <c r="I2107">
        <v>50930511.300000004</v>
      </c>
      <c r="J2107">
        <v>8504711.0999999996</v>
      </c>
      <c r="K2107">
        <v>4007967.3000000003</v>
      </c>
      <c r="L2107">
        <v>651702</v>
      </c>
      <c r="M2107">
        <v>0</v>
      </c>
      <c r="N2107">
        <v>0</v>
      </c>
      <c r="O2107">
        <v>0</v>
      </c>
      <c r="P2107">
        <v>0</v>
      </c>
      <c r="Q2107">
        <v>0</v>
      </c>
      <c r="R2107">
        <v>0</v>
      </c>
      <c r="S2107">
        <v>19958373.75</v>
      </c>
      <c r="T2107" s="9">
        <v>45108</v>
      </c>
      <c r="U2107" s="9">
        <v>45473</v>
      </c>
      <c r="V2107">
        <f>SUM(POTABLE_NONPOTABLE_API[[#This Row],[RESIDENTIAL_SINGLEFAMILY_GAL]:[OTHER_GAL]])</f>
        <v>135423675.60000002</v>
      </c>
      <c r="W2107">
        <f>SUM(POTABLE_NONPOTABLE_API[[#This Row],[NONPOTABLE_DEMAND_RESIDENTIAL_RECYCLED_WATER_GAL]:[NONPOTABLE_DEMAND_NONRESIDENTIAL_METERED_IRRIGATION_GAL]])</f>
        <v>19958373.75</v>
      </c>
      <c r="X2107" t="str">
        <f>IFERROR(INDEX(Crosswalk_API!$H$2:$H$527, MATCH(POTABLE_NONPOTABLE_API[[#This Row],[PWSID]], CW_PWSID_LIST, 0)), "")</f>
        <v>No</v>
      </c>
    </row>
    <row r="2108" spans="1:24" x14ac:dyDescent="0.25">
      <c r="A2108" t="s">
        <v>1321</v>
      </c>
      <c r="B2108" t="s">
        <v>1322</v>
      </c>
      <c r="C2108" t="s">
        <v>1323</v>
      </c>
      <c r="D2108" t="s">
        <v>1324</v>
      </c>
      <c r="E2108" s="9">
        <v>45292</v>
      </c>
      <c r="F2108" s="9">
        <v>45322</v>
      </c>
      <c r="G2108">
        <v>122422220.7</v>
      </c>
      <c r="H2108">
        <v>32585100</v>
      </c>
      <c r="I2108">
        <v>43338183</v>
      </c>
      <c r="J2108">
        <v>9091242.9000000004</v>
      </c>
      <c r="K2108">
        <v>4398988.5</v>
      </c>
      <c r="L2108">
        <v>0</v>
      </c>
      <c r="M2108">
        <v>0</v>
      </c>
      <c r="N2108">
        <v>0</v>
      </c>
      <c r="O2108">
        <v>0</v>
      </c>
      <c r="P2108">
        <v>0</v>
      </c>
      <c r="Q2108">
        <v>0</v>
      </c>
      <c r="R2108">
        <v>0</v>
      </c>
      <c r="S2108">
        <v>8257064.3399999999</v>
      </c>
      <c r="T2108" s="9">
        <v>45108</v>
      </c>
      <c r="U2108" s="9">
        <v>45473</v>
      </c>
      <c r="V2108">
        <f>SUM(POTABLE_NONPOTABLE_API[[#This Row],[RESIDENTIAL_SINGLEFAMILY_GAL]:[OTHER_GAL]])</f>
        <v>211835735.09999999</v>
      </c>
      <c r="W2108">
        <f>SUM(POTABLE_NONPOTABLE_API[[#This Row],[NONPOTABLE_DEMAND_RESIDENTIAL_RECYCLED_WATER_GAL]:[NONPOTABLE_DEMAND_NONRESIDENTIAL_METERED_IRRIGATION_GAL]])</f>
        <v>8257064.3399999999</v>
      </c>
      <c r="X2108" t="str">
        <f>IFERROR(INDEX(Crosswalk_API!$H$2:$H$527, MATCH(POTABLE_NONPOTABLE_API[[#This Row],[PWSID]], CW_PWSID_LIST, 0)), "")</f>
        <v>No</v>
      </c>
    </row>
    <row r="2109" spans="1:24" x14ac:dyDescent="0.25">
      <c r="A2109" t="s">
        <v>1321</v>
      </c>
      <c r="B2109" t="s">
        <v>1322</v>
      </c>
      <c r="C2109" t="s">
        <v>1323</v>
      </c>
      <c r="D2109" t="s">
        <v>1324</v>
      </c>
      <c r="E2109" s="9">
        <v>45323</v>
      </c>
      <c r="F2109" s="9">
        <v>45351</v>
      </c>
      <c r="G2109">
        <v>69341092.799999997</v>
      </c>
      <c r="H2109">
        <v>4561914</v>
      </c>
      <c r="I2109">
        <v>49399011.600000001</v>
      </c>
      <c r="J2109">
        <v>4561914</v>
      </c>
      <c r="K2109">
        <v>5343956.3999999994</v>
      </c>
      <c r="L2109">
        <v>325851</v>
      </c>
      <c r="M2109">
        <v>260680.80000000002</v>
      </c>
      <c r="N2109">
        <v>0</v>
      </c>
      <c r="O2109">
        <v>0</v>
      </c>
      <c r="P2109">
        <v>0</v>
      </c>
      <c r="Q2109">
        <v>0</v>
      </c>
      <c r="R2109">
        <v>0</v>
      </c>
      <c r="S2109">
        <v>1736785.83</v>
      </c>
      <c r="T2109" s="9">
        <v>45108</v>
      </c>
      <c r="U2109" s="9">
        <v>45473</v>
      </c>
      <c r="V2109">
        <f>SUM(POTABLE_NONPOTABLE_API[[#This Row],[RESIDENTIAL_SINGLEFAMILY_GAL]:[OTHER_GAL]])</f>
        <v>133533739.80000001</v>
      </c>
      <c r="W2109">
        <f>SUM(POTABLE_NONPOTABLE_API[[#This Row],[NONPOTABLE_DEMAND_RESIDENTIAL_RECYCLED_WATER_GAL]:[NONPOTABLE_DEMAND_NONRESIDENTIAL_METERED_IRRIGATION_GAL]])</f>
        <v>1736785.83</v>
      </c>
      <c r="X2109" t="str">
        <f>IFERROR(INDEX(Crosswalk_API!$H$2:$H$527, MATCH(POTABLE_NONPOTABLE_API[[#This Row],[PWSID]], CW_PWSID_LIST, 0)), "")</f>
        <v>No</v>
      </c>
    </row>
    <row r="2110" spans="1:24" x14ac:dyDescent="0.25">
      <c r="A2110" t="s">
        <v>1321</v>
      </c>
      <c r="B2110" t="s">
        <v>1322</v>
      </c>
      <c r="C2110" t="s">
        <v>1323</v>
      </c>
      <c r="D2110" t="s">
        <v>1324</v>
      </c>
      <c r="E2110" s="9">
        <v>45352</v>
      </c>
      <c r="F2110" s="9">
        <v>45382</v>
      </c>
      <c r="G2110">
        <v>101241905.7</v>
      </c>
      <c r="H2110">
        <v>28674888</v>
      </c>
      <c r="I2110">
        <v>38026811.700000003</v>
      </c>
      <c r="J2110">
        <v>3584361</v>
      </c>
      <c r="K2110">
        <v>4040552.4</v>
      </c>
      <c r="L2110">
        <v>162925.5</v>
      </c>
      <c r="M2110">
        <v>0</v>
      </c>
      <c r="N2110">
        <v>0</v>
      </c>
      <c r="O2110">
        <v>0</v>
      </c>
      <c r="P2110">
        <v>0</v>
      </c>
      <c r="Q2110">
        <v>0</v>
      </c>
      <c r="R2110">
        <v>0</v>
      </c>
      <c r="S2110">
        <v>6165100.9200000009</v>
      </c>
      <c r="T2110" s="9">
        <v>45108</v>
      </c>
      <c r="U2110" s="9">
        <v>45473</v>
      </c>
      <c r="V2110">
        <f>SUM(POTABLE_NONPOTABLE_API[[#This Row],[RESIDENTIAL_SINGLEFAMILY_GAL]:[OTHER_GAL]])</f>
        <v>175731444.30000001</v>
      </c>
      <c r="W2110">
        <f>SUM(POTABLE_NONPOTABLE_API[[#This Row],[NONPOTABLE_DEMAND_RESIDENTIAL_RECYCLED_WATER_GAL]:[NONPOTABLE_DEMAND_NONRESIDENTIAL_METERED_IRRIGATION_GAL]])</f>
        <v>6165100.9200000009</v>
      </c>
      <c r="X2110" t="str">
        <f>IFERROR(INDEX(Crosswalk_API!$H$2:$H$527, MATCH(POTABLE_NONPOTABLE_API[[#This Row],[PWSID]], CW_PWSID_LIST, 0)), "")</f>
        <v>No</v>
      </c>
    </row>
    <row r="2111" spans="1:24" x14ac:dyDescent="0.25">
      <c r="A2111" t="s">
        <v>1321</v>
      </c>
      <c r="B2111" t="s">
        <v>1322</v>
      </c>
      <c r="C2111" t="s">
        <v>1323</v>
      </c>
      <c r="D2111" t="s">
        <v>1324</v>
      </c>
      <c r="E2111" s="9">
        <v>45383</v>
      </c>
      <c r="F2111" s="9">
        <v>45412</v>
      </c>
      <c r="G2111">
        <v>87719089.200000003</v>
      </c>
      <c r="H2111">
        <v>4236063</v>
      </c>
      <c r="I2111">
        <v>55329499.800000004</v>
      </c>
      <c r="J2111">
        <v>2476467.6</v>
      </c>
      <c r="K2111">
        <v>4073137.5</v>
      </c>
      <c r="L2111">
        <v>358436.10000000003</v>
      </c>
      <c r="M2111">
        <v>162925.5</v>
      </c>
      <c r="N2111">
        <v>0</v>
      </c>
      <c r="O2111">
        <v>0</v>
      </c>
      <c r="P2111">
        <v>0</v>
      </c>
      <c r="Q2111">
        <v>0</v>
      </c>
      <c r="R2111">
        <v>0</v>
      </c>
      <c r="S2111">
        <v>21160763.939999998</v>
      </c>
      <c r="T2111" s="9">
        <v>45108</v>
      </c>
      <c r="U2111" s="9">
        <v>45473</v>
      </c>
      <c r="V2111">
        <f>SUM(POTABLE_NONPOTABLE_API[[#This Row],[RESIDENTIAL_SINGLEFAMILY_GAL]:[OTHER_GAL]])</f>
        <v>154192693.19999999</v>
      </c>
      <c r="W2111">
        <f>SUM(POTABLE_NONPOTABLE_API[[#This Row],[NONPOTABLE_DEMAND_RESIDENTIAL_RECYCLED_WATER_GAL]:[NONPOTABLE_DEMAND_NONRESIDENTIAL_METERED_IRRIGATION_GAL]])</f>
        <v>21160763.939999998</v>
      </c>
      <c r="X2111" t="str">
        <f>IFERROR(INDEX(Crosswalk_API!$H$2:$H$527, MATCH(POTABLE_NONPOTABLE_API[[#This Row],[PWSID]], CW_PWSID_LIST, 0)), "")</f>
        <v>No</v>
      </c>
    </row>
    <row r="2112" spans="1:24" x14ac:dyDescent="0.25">
      <c r="A2112" t="s">
        <v>1321</v>
      </c>
      <c r="B2112" t="s">
        <v>1322</v>
      </c>
      <c r="C2112" t="s">
        <v>1323</v>
      </c>
      <c r="D2112" t="s">
        <v>1324</v>
      </c>
      <c r="E2112" s="9">
        <v>45413</v>
      </c>
      <c r="F2112" s="9">
        <v>45443</v>
      </c>
      <c r="G2112">
        <v>94594545.299999997</v>
      </c>
      <c r="H2112">
        <v>27371484</v>
      </c>
      <c r="I2112">
        <v>35713269.600000001</v>
      </c>
      <c r="J2112">
        <v>6060828.6000000006</v>
      </c>
      <c r="K2112">
        <v>4105722.6</v>
      </c>
      <c r="L2112">
        <v>1596669.9000000001</v>
      </c>
      <c r="M2112">
        <v>0</v>
      </c>
      <c r="N2112">
        <v>0</v>
      </c>
      <c r="O2112">
        <v>0</v>
      </c>
      <c r="P2112">
        <v>0</v>
      </c>
      <c r="Q2112">
        <v>0</v>
      </c>
      <c r="R2112">
        <v>0</v>
      </c>
      <c r="S2112">
        <v>44178878.580000006</v>
      </c>
      <c r="T2112" s="9">
        <v>45108</v>
      </c>
      <c r="U2112" s="9">
        <v>45473</v>
      </c>
      <c r="V2112">
        <f>SUM(POTABLE_NONPOTABLE_API[[#This Row],[RESIDENTIAL_SINGLEFAMILY_GAL]:[OTHER_GAL]])</f>
        <v>169442520</v>
      </c>
      <c r="W2112">
        <f>SUM(POTABLE_NONPOTABLE_API[[#This Row],[NONPOTABLE_DEMAND_RESIDENTIAL_RECYCLED_WATER_GAL]:[NONPOTABLE_DEMAND_NONRESIDENTIAL_METERED_IRRIGATION_GAL]])</f>
        <v>44178878.580000006</v>
      </c>
      <c r="X2112" t="str">
        <f>IFERROR(INDEX(Crosswalk_API!$H$2:$H$527, MATCH(POTABLE_NONPOTABLE_API[[#This Row],[PWSID]], CW_PWSID_LIST, 0)), "")</f>
        <v>No</v>
      </c>
    </row>
    <row r="2113" spans="1:24" x14ac:dyDescent="0.25">
      <c r="A2113" t="s">
        <v>1321</v>
      </c>
      <c r="B2113" t="s">
        <v>1322</v>
      </c>
      <c r="C2113" t="s">
        <v>1323</v>
      </c>
      <c r="D2113" t="s">
        <v>1324</v>
      </c>
      <c r="E2113" s="9">
        <v>45444</v>
      </c>
      <c r="F2113" s="9">
        <v>45473</v>
      </c>
      <c r="G2113">
        <v>105771234.60000001</v>
      </c>
      <c r="H2113">
        <v>3910212</v>
      </c>
      <c r="I2113">
        <v>62042030.399999999</v>
      </c>
      <c r="J2113">
        <v>8504711.0999999996</v>
      </c>
      <c r="K2113">
        <v>5474296.7999999998</v>
      </c>
      <c r="L2113">
        <v>488776.5</v>
      </c>
      <c r="M2113">
        <v>1010138.1</v>
      </c>
      <c r="N2113">
        <v>0</v>
      </c>
      <c r="O2113">
        <v>0</v>
      </c>
      <c r="P2113">
        <v>0</v>
      </c>
      <c r="Q2113">
        <v>0</v>
      </c>
      <c r="R2113">
        <v>0</v>
      </c>
      <c r="S2113">
        <v>41982642.840000004</v>
      </c>
      <c r="T2113" s="9">
        <v>45108</v>
      </c>
      <c r="U2113" s="9">
        <v>45473</v>
      </c>
      <c r="V2113">
        <f>SUM(POTABLE_NONPOTABLE_API[[#This Row],[RESIDENTIAL_SINGLEFAMILY_GAL]:[OTHER_GAL]])</f>
        <v>186191261.40000001</v>
      </c>
      <c r="W2113">
        <f>SUM(POTABLE_NONPOTABLE_API[[#This Row],[NONPOTABLE_DEMAND_RESIDENTIAL_RECYCLED_WATER_GAL]:[NONPOTABLE_DEMAND_NONRESIDENTIAL_METERED_IRRIGATION_GAL]])</f>
        <v>41982642.840000004</v>
      </c>
      <c r="X2113" t="str">
        <f>IFERROR(INDEX(Crosswalk_API!$H$2:$H$527, MATCH(POTABLE_NONPOTABLE_API[[#This Row],[PWSID]], CW_PWSID_LIST, 0)), "")</f>
        <v>No</v>
      </c>
    </row>
    <row r="2114" spans="1:24" x14ac:dyDescent="0.25">
      <c r="A2114" t="s">
        <v>1325</v>
      </c>
      <c r="B2114" t="s">
        <v>1326</v>
      </c>
      <c r="C2114" t="s">
        <v>1327</v>
      </c>
      <c r="D2114" t="s">
        <v>1328</v>
      </c>
      <c r="E2114" s="9">
        <v>45108</v>
      </c>
      <c r="F2114" s="9">
        <v>45138</v>
      </c>
      <c r="G2114">
        <v>2245616800</v>
      </c>
      <c r="H2114">
        <v>624010597</v>
      </c>
      <c r="I2114">
        <v>706114496</v>
      </c>
      <c r="J2114">
        <v>294023743</v>
      </c>
      <c r="K2114">
        <v>156721735</v>
      </c>
      <c r="L2114">
        <v>96758190</v>
      </c>
      <c r="M2114">
        <v>0</v>
      </c>
      <c r="N2114">
        <v>0</v>
      </c>
      <c r="O2114">
        <v>0</v>
      </c>
      <c r="Q2114">
        <v>13019682</v>
      </c>
      <c r="R2114">
        <v>392489935</v>
      </c>
      <c r="T2114" s="9">
        <v>45108</v>
      </c>
      <c r="U2114" s="9">
        <v>45473</v>
      </c>
      <c r="V2114">
        <f>SUM(POTABLE_NONPOTABLE_API[[#This Row],[RESIDENTIAL_SINGLEFAMILY_GAL]:[OTHER_GAL]])</f>
        <v>4123245561</v>
      </c>
      <c r="W2114">
        <f>SUM(POTABLE_NONPOTABLE_API[[#This Row],[NONPOTABLE_DEMAND_RESIDENTIAL_RECYCLED_WATER_GAL]:[NONPOTABLE_DEMAND_NONRESIDENTIAL_METERED_IRRIGATION_GAL]])</f>
        <v>405509617</v>
      </c>
      <c r="X2114" t="str">
        <f>IFERROR(INDEX(Crosswalk_API!$H$2:$H$527, MATCH(POTABLE_NONPOTABLE_API[[#This Row],[PWSID]], CW_PWSID_LIST, 0)), "")</f>
        <v>No</v>
      </c>
    </row>
    <row r="2115" spans="1:24" x14ac:dyDescent="0.25">
      <c r="A2115" t="s">
        <v>1325</v>
      </c>
      <c r="B2115" t="s">
        <v>1326</v>
      </c>
      <c r="C2115" t="s">
        <v>1327</v>
      </c>
      <c r="D2115" t="s">
        <v>1328</v>
      </c>
      <c r="E2115" s="9">
        <v>45139</v>
      </c>
      <c r="F2115" s="9">
        <v>45169</v>
      </c>
      <c r="G2115">
        <v>2159231463</v>
      </c>
      <c r="H2115">
        <v>598214409</v>
      </c>
      <c r="I2115">
        <v>597383246</v>
      </c>
      <c r="J2115">
        <v>356140850</v>
      </c>
      <c r="K2115">
        <v>150337328</v>
      </c>
      <c r="L2115">
        <v>62153947</v>
      </c>
      <c r="M2115">
        <v>0</v>
      </c>
      <c r="N2115">
        <v>0</v>
      </c>
      <c r="O2115">
        <v>0</v>
      </c>
      <c r="Q2115">
        <v>14557437</v>
      </c>
      <c r="R2115">
        <v>396741215</v>
      </c>
      <c r="T2115" s="9">
        <v>45108</v>
      </c>
      <c r="U2115" s="9">
        <v>45473</v>
      </c>
      <c r="V2115">
        <f>SUM(POTABLE_NONPOTABLE_API[[#This Row],[RESIDENTIAL_SINGLEFAMILY_GAL]:[OTHER_GAL]])</f>
        <v>3923461243</v>
      </c>
      <c r="W2115">
        <f>SUM(POTABLE_NONPOTABLE_API[[#This Row],[NONPOTABLE_DEMAND_RESIDENTIAL_RECYCLED_WATER_GAL]:[NONPOTABLE_DEMAND_NONRESIDENTIAL_METERED_IRRIGATION_GAL]])</f>
        <v>411298652</v>
      </c>
      <c r="X2115" t="str">
        <f>IFERROR(INDEX(Crosswalk_API!$H$2:$H$527, MATCH(POTABLE_NONPOTABLE_API[[#This Row],[PWSID]], CW_PWSID_LIST, 0)), "")</f>
        <v>No</v>
      </c>
    </row>
    <row r="2116" spans="1:24" x14ac:dyDescent="0.25">
      <c r="A2116" t="s">
        <v>1325</v>
      </c>
      <c r="B2116" t="s">
        <v>1326</v>
      </c>
      <c r="C2116" t="s">
        <v>1327</v>
      </c>
      <c r="D2116" t="s">
        <v>1328</v>
      </c>
      <c r="E2116" s="9">
        <v>45170</v>
      </c>
      <c r="F2116" s="9">
        <v>45199</v>
      </c>
      <c r="G2116">
        <v>1898891399</v>
      </c>
      <c r="H2116">
        <v>688273807</v>
      </c>
      <c r="I2116">
        <v>521844173</v>
      </c>
      <c r="J2116">
        <v>370543364</v>
      </c>
      <c r="K2116">
        <v>133970589</v>
      </c>
      <c r="L2116">
        <v>45891899</v>
      </c>
      <c r="M2116">
        <v>0</v>
      </c>
      <c r="N2116">
        <v>0</v>
      </c>
      <c r="O2116">
        <v>0</v>
      </c>
      <c r="Q2116">
        <v>12684927</v>
      </c>
      <c r="R2116">
        <v>138310640</v>
      </c>
      <c r="T2116" s="9">
        <v>45108</v>
      </c>
      <c r="U2116" s="9">
        <v>45473</v>
      </c>
      <c r="V2116">
        <f>SUM(POTABLE_NONPOTABLE_API[[#This Row],[RESIDENTIAL_SINGLEFAMILY_GAL]:[OTHER_GAL]])</f>
        <v>3659415231</v>
      </c>
      <c r="W2116">
        <f>SUM(POTABLE_NONPOTABLE_API[[#This Row],[NONPOTABLE_DEMAND_RESIDENTIAL_RECYCLED_WATER_GAL]:[NONPOTABLE_DEMAND_NONRESIDENTIAL_METERED_IRRIGATION_GAL]])</f>
        <v>150995567</v>
      </c>
      <c r="X2116" t="str">
        <f>IFERROR(INDEX(Crosswalk_API!$H$2:$H$527, MATCH(POTABLE_NONPOTABLE_API[[#This Row],[PWSID]], CW_PWSID_LIST, 0)), "")</f>
        <v>No</v>
      </c>
    </row>
    <row r="2117" spans="1:24" x14ac:dyDescent="0.25">
      <c r="A2117" t="s">
        <v>1325</v>
      </c>
      <c r="B2117" t="s">
        <v>1326</v>
      </c>
      <c r="C2117" t="s">
        <v>1327</v>
      </c>
      <c r="D2117" t="s">
        <v>1328</v>
      </c>
      <c r="E2117" s="9">
        <v>45200</v>
      </c>
      <c r="F2117" s="9">
        <v>45230</v>
      </c>
      <c r="G2117">
        <v>1667259731</v>
      </c>
      <c r="H2117">
        <v>482013286</v>
      </c>
      <c r="I2117">
        <v>501067026</v>
      </c>
      <c r="J2117">
        <v>274405212</v>
      </c>
      <c r="K2117">
        <v>138744930</v>
      </c>
      <c r="L2117">
        <v>67461305</v>
      </c>
      <c r="M2117">
        <v>0</v>
      </c>
      <c r="N2117">
        <v>0</v>
      </c>
      <c r="O2117">
        <v>0</v>
      </c>
      <c r="Q2117">
        <v>10151954</v>
      </c>
      <c r="R2117">
        <v>50919599</v>
      </c>
      <c r="T2117" s="9">
        <v>45108</v>
      </c>
      <c r="U2117" s="9">
        <v>45473</v>
      </c>
      <c r="V2117">
        <f>SUM(POTABLE_NONPOTABLE_API[[#This Row],[RESIDENTIAL_SINGLEFAMILY_GAL]:[OTHER_GAL]])</f>
        <v>3130951490</v>
      </c>
      <c r="W2117">
        <f>SUM(POTABLE_NONPOTABLE_API[[#This Row],[NONPOTABLE_DEMAND_RESIDENTIAL_RECYCLED_WATER_GAL]:[NONPOTABLE_DEMAND_NONRESIDENTIAL_METERED_IRRIGATION_GAL]])</f>
        <v>61071553</v>
      </c>
      <c r="X2117" t="str">
        <f>IFERROR(INDEX(Crosswalk_API!$H$2:$H$527, MATCH(POTABLE_NONPOTABLE_API[[#This Row],[PWSID]], CW_PWSID_LIST, 0)), "")</f>
        <v>No</v>
      </c>
    </row>
    <row r="2118" spans="1:24" x14ac:dyDescent="0.25">
      <c r="A2118" t="s">
        <v>1325</v>
      </c>
      <c r="B2118" t="s">
        <v>1326</v>
      </c>
      <c r="C2118" t="s">
        <v>1327</v>
      </c>
      <c r="D2118" t="s">
        <v>1328</v>
      </c>
      <c r="E2118" s="9">
        <v>45231</v>
      </c>
      <c r="F2118" s="9">
        <v>45260</v>
      </c>
      <c r="G2118">
        <v>1160727881</v>
      </c>
      <c r="H2118">
        <v>411661296</v>
      </c>
      <c r="I2118">
        <v>503576045</v>
      </c>
      <c r="J2118">
        <v>139755235</v>
      </c>
      <c r="K2118">
        <v>125166942</v>
      </c>
      <c r="L2118">
        <v>45090624</v>
      </c>
      <c r="M2118">
        <v>0</v>
      </c>
      <c r="N2118">
        <v>0</v>
      </c>
      <c r="O2118">
        <v>0</v>
      </c>
      <c r="Q2118">
        <v>5335771</v>
      </c>
      <c r="R2118">
        <v>46989222</v>
      </c>
      <c r="T2118" s="9">
        <v>45108</v>
      </c>
      <c r="U2118" s="9">
        <v>45473</v>
      </c>
      <c r="V2118">
        <f>SUM(POTABLE_NONPOTABLE_API[[#This Row],[RESIDENTIAL_SINGLEFAMILY_GAL]:[OTHER_GAL]])</f>
        <v>2385978023</v>
      </c>
      <c r="W2118">
        <f>SUM(POTABLE_NONPOTABLE_API[[#This Row],[NONPOTABLE_DEMAND_RESIDENTIAL_RECYCLED_WATER_GAL]:[NONPOTABLE_DEMAND_NONRESIDENTIAL_METERED_IRRIGATION_GAL]])</f>
        <v>52324993</v>
      </c>
      <c r="X2118" t="str">
        <f>IFERROR(INDEX(Crosswalk_API!$H$2:$H$527, MATCH(POTABLE_NONPOTABLE_API[[#This Row],[PWSID]], CW_PWSID_LIST, 0)), "")</f>
        <v>No</v>
      </c>
    </row>
    <row r="2119" spans="1:24" x14ac:dyDescent="0.25">
      <c r="A2119" t="s">
        <v>1325</v>
      </c>
      <c r="B2119" t="s">
        <v>1326</v>
      </c>
      <c r="C2119" t="s">
        <v>1327</v>
      </c>
      <c r="D2119" t="s">
        <v>1328</v>
      </c>
      <c r="E2119" s="9">
        <v>45261</v>
      </c>
      <c r="F2119" s="9">
        <v>45291</v>
      </c>
      <c r="G2119">
        <v>992161171</v>
      </c>
      <c r="H2119">
        <v>378072576</v>
      </c>
      <c r="I2119">
        <v>329128982</v>
      </c>
      <c r="J2119">
        <v>207941980</v>
      </c>
      <c r="K2119">
        <v>114033685</v>
      </c>
      <c r="L2119">
        <v>35664877</v>
      </c>
      <c r="M2119">
        <v>0</v>
      </c>
      <c r="N2119">
        <v>0</v>
      </c>
      <c r="O2119">
        <v>0</v>
      </c>
      <c r="Q2119">
        <v>1498812</v>
      </c>
      <c r="R2119">
        <v>44782204</v>
      </c>
      <c r="T2119" s="9">
        <v>45108</v>
      </c>
      <c r="U2119" s="9">
        <v>45473</v>
      </c>
      <c r="V2119">
        <f>SUM(POTABLE_NONPOTABLE_API[[#This Row],[RESIDENTIAL_SINGLEFAMILY_GAL]:[OTHER_GAL]])</f>
        <v>2057003271</v>
      </c>
      <c r="W2119">
        <f>SUM(POTABLE_NONPOTABLE_API[[#This Row],[NONPOTABLE_DEMAND_RESIDENTIAL_RECYCLED_WATER_GAL]:[NONPOTABLE_DEMAND_NONRESIDENTIAL_METERED_IRRIGATION_GAL]])</f>
        <v>46281016</v>
      </c>
      <c r="X2119" t="str">
        <f>IFERROR(INDEX(Crosswalk_API!$H$2:$H$527, MATCH(POTABLE_NONPOTABLE_API[[#This Row],[PWSID]], CW_PWSID_LIST, 0)), "")</f>
        <v>No</v>
      </c>
    </row>
    <row r="2120" spans="1:24" x14ac:dyDescent="0.25">
      <c r="A2120" t="s">
        <v>1325</v>
      </c>
      <c r="B2120" t="s">
        <v>1326</v>
      </c>
      <c r="C2120" t="s">
        <v>1327</v>
      </c>
      <c r="D2120" t="s">
        <v>1328</v>
      </c>
      <c r="E2120" s="9">
        <v>45292</v>
      </c>
      <c r="F2120" s="9">
        <v>45322</v>
      </c>
      <c r="G2120">
        <v>808722980.89999998</v>
      </c>
      <c r="H2120">
        <v>342472232.60000002</v>
      </c>
      <c r="I2120">
        <v>299830152</v>
      </c>
      <c r="J2120">
        <v>81334746</v>
      </c>
      <c r="K2120">
        <v>128882488</v>
      </c>
      <c r="L2120">
        <v>34682056</v>
      </c>
      <c r="M2120">
        <v>0</v>
      </c>
      <c r="N2120">
        <v>0</v>
      </c>
      <c r="O2120">
        <v>0</v>
      </c>
      <c r="Q2120">
        <v>1577327</v>
      </c>
      <c r="R2120">
        <v>0</v>
      </c>
      <c r="T2120" s="9">
        <v>45108</v>
      </c>
      <c r="U2120" s="9">
        <v>45473</v>
      </c>
      <c r="V2120">
        <f>SUM(POTABLE_NONPOTABLE_API[[#This Row],[RESIDENTIAL_SINGLEFAMILY_GAL]:[OTHER_GAL]])</f>
        <v>1695924655.5</v>
      </c>
      <c r="W2120">
        <f>SUM(POTABLE_NONPOTABLE_API[[#This Row],[NONPOTABLE_DEMAND_RESIDENTIAL_RECYCLED_WATER_GAL]:[NONPOTABLE_DEMAND_NONRESIDENTIAL_METERED_IRRIGATION_GAL]])</f>
        <v>1577327</v>
      </c>
      <c r="X2120" t="str">
        <f>IFERROR(INDEX(Crosswalk_API!$H$2:$H$527, MATCH(POTABLE_NONPOTABLE_API[[#This Row],[PWSID]], CW_PWSID_LIST, 0)), "")</f>
        <v>No</v>
      </c>
    </row>
    <row r="2121" spans="1:24" x14ac:dyDescent="0.25">
      <c r="A2121" t="s">
        <v>1325</v>
      </c>
      <c r="B2121" t="s">
        <v>1326</v>
      </c>
      <c r="C2121" t="s">
        <v>1327</v>
      </c>
      <c r="D2121" t="s">
        <v>1328</v>
      </c>
      <c r="E2121" s="9">
        <v>45323</v>
      </c>
      <c r="F2121" s="9">
        <v>45351</v>
      </c>
      <c r="G2121">
        <v>721420482.60000002</v>
      </c>
      <c r="H2121">
        <v>566516723</v>
      </c>
      <c r="I2121">
        <v>251397069</v>
      </c>
      <c r="J2121">
        <v>76583351</v>
      </c>
      <c r="K2121">
        <v>119382101</v>
      </c>
      <c r="L2121">
        <v>30025297</v>
      </c>
      <c r="M2121">
        <v>0</v>
      </c>
      <c r="N2121">
        <v>0</v>
      </c>
      <c r="O2121">
        <v>0</v>
      </c>
      <c r="Q2121">
        <v>1171529</v>
      </c>
      <c r="R2121">
        <v>0</v>
      </c>
      <c r="T2121" s="9">
        <v>45108</v>
      </c>
      <c r="U2121" s="9">
        <v>45473</v>
      </c>
      <c r="V2121">
        <f>SUM(POTABLE_NONPOTABLE_API[[#This Row],[RESIDENTIAL_SINGLEFAMILY_GAL]:[OTHER_GAL]])</f>
        <v>1765325023.5999999</v>
      </c>
      <c r="W2121">
        <f>SUM(POTABLE_NONPOTABLE_API[[#This Row],[NONPOTABLE_DEMAND_RESIDENTIAL_RECYCLED_WATER_GAL]:[NONPOTABLE_DEMAND_NONRESIDENTIAL_METERED_IRRIGATION_GAL]])</f>
        <v>1171529</v>
      </c>
      <c r="X2121" t="str">
        <f>IFERROR(INDEX(Crosswalk_API!$H$2:$H$527, MATCH(POTABLE_NONPOTABLE_API[[#This Row],[PWSID]], CW_PWSID_LIST, 0)), "")</f>
        <v>No</v>
      </c>
    </row>
    <row r="2122" spans="1:24" x14ac:dyDescent="0.25">
      <c r="A2122" t="s">
        <v>1325</v>
      </c>
      <c r="B2122" t="s">
        <v>1326</v>
      </c>
      <c r="C2122" t="s">
        <v>1327</v>
      </c>
      <c r="D2122" t="s">
        <v>1328</v>
      </c>
      <c r="E2122" s="9">
        <v>45352</v>
      </c>
      <c r="F2122" s="9">
        <v>45382</v>
      </c>
      <c r="G2122">
        <v>901871429</v>
      </c>
      <c r="H2122">
        <v>373010483</v>
      </c>
      <c r="I2122">
        <v>323837692</v>
      </c>
      <c r="J2122">
        <v>106060702</v>
      </c>
      <c r="K2122">
        <v>126987436</v>
      </c>
      <c r="L2122">
        <v>31391350</v>
      </c>
      <c r="M2122">
        <v>0</v>
      </c>
      <c r="N2122">
        <v>0</v>
      </c>
      <c r="O2122">
        <v>0</v>
      </c>
      <c r="P2122">
        <v>0</v>
      </c>
      <c r="Q2122">
        <v>1766826</v>
      </c>
      <c r="R2122">
        <v>0</v>
      </c>
      <c r="T2122" s="9">
        <v>45108</v>
      </c>
      <c r="U2122" s="9">
        <v>45473</v>
      </c>
      <c r="V2122">
        <f>SUM(POTABLE_NONPOTABLE_API[[#This Row],[RESIDENTIAL_SINGLEFAMILY_GAL]:[OTHER_GAL]])</f>
        <v>1863159092</v>
      </c>
      <c r="W2122">
        <f>SUM(POTABLE_NONPOTABLE_API[[#This Row],[NONPOTABLE_DEMAND_RESIDENTIAL_RECYCLED_WATER_GAL]:[NONPOTABLE_DEMAND_NONRESIDENTIAL_METERED_IRRIGATION_GAL]])</f>
        <v>1766826</v>
      </c>
      <c r="X2122" t="str">
        <f>IFERROR(INDEX(Crosswalk_API!$H$2:$H$527, MATCH(POTABLE_NONPOTABLE_API[[#This Row],[PWSID]], CW_PWSID_LIST, 0)), "")</f>
        <v>No</v>
      </c>
    </row>
    <row r="2123" spans="1:24" x14ac:dyDescent="0.25">
      <c r="A2123" t="s">
        <v>1325</v>
      </c>
      <c r="B2123" t="s">
        <v>1326</v>
      </c>
      <c r="C2123" t="s">
        <v>1327</v>
      </c>
      <c r="D2123" t="s">
        <v>1328</v>
      </c>
      <c r="E2123" s="9">
        <v>45383</v>
      </c>
      <c r="F2123" s="9">
        <v>45412</v>
      </c>
      <c r="G2123">
        <v>1095373398</v>
      </c>
      <c r="H2123">
        <v>721802122</v>
      </c>
      <c r="I2123">
        <v>363064304</v>
      </c>
      <c r="J2123">
        <v>137190177</v>
      </c>
      <c r="K2123">
        <v>137262017</v>
      </c>
      <c r="L2123">
        <v>61468389</v>
      </c>
      <c r="M2123">
        <v>0</v>
      </c>
      <c r="N2123">
        <v>0</v>
      </c>
      <c r="O2123">
        <v>0</v>
      </c>
      <c r="Q2123">
        <v>7814561</v>
      </c>
      <c r="R2123">
        <v>0</v>
      </c>
      <c r="T2123" s="9">
        <v>45108</v>
      </c>
      <c r="U2123" s="9">
        <v>45473</v>
      </c>
      <c r="V2123">
        <f>SUM(POTABLE_NONPOTABLE_API[[#This Row],[RESIDENTIAL_SINGLEFAMILY_GAL]:[OTHER_GAL]])</f>
        <v>2516160407</v>
      </c>
      <c r="W2123">
        <f>SUM(POTABLE_NONPOTABLE_API[[#This Row],[NONPOTABLE_DEMAND_RESIDENTIAL_RECYCLED_WATER_GAL]:[NONPOTABLE_DEMAND_NONRESIDENTIAL_METERED_IRRIGATION_GAL]])</f>
        <v>7814561</v>
      </c>
      <c r="X2123" t="str">
        <f>IFERROR(INDEX(Crosswalk_API!$H$2:$H$527, MATCH(POTABLE_NONPOTABLE_API[[#This Row],[PWSID]], CW_PWSID_LIST, 0)), "")</f>
        <v>No</v>
      </c>
    </row>
    <row r="2124" spans="1:24" x14ac:dyDescent="0.25">
      <c r="A2124" t="s">
        <v>1325</v>
      </c>
      <c r="B2124" t="s">
        <v>1326</v>
      </c>
      <c r="C2124" t="s">
        <v>1327</v>
      </c>
      <c r="D2124" t="s">
        <v>1328</v>
      </c>
      <c r="E2124" s="9">
        <v>45413</v>
      </c>
      <c r="F2124" s="9">
        <v>45443</v>
      </c>
      <c r="G2124">
        <v>1766125422</v>
      </c>
      <c r="H2124">
        <v>425074450</v>
      </c>
      <c r="I2124">
        <v>539519232</v>
      </c>
      <c r="J2124">
        <v>342997781</v>
      </c>
      <c r="K2124">
        <v>145386034</v>
      </c>
      <c r="L2124">
        <v>29674269.699999999</v>
      </c>
      <c r="M2124">
        <v>0</v>
      </c>
      <c r="N2124">
        <v>0</v>
      </c>
      <c r="O2124">
        <v>0</v>
      </c>
      <c r="P2124">
        <v>0</v>
      </c>
      <c r="Q2124">
        <v>15926894</v>
      </c>
      <c r="R2124">
        <v>0</v>
      </c>
      <c r="T2124" s="9">
        <v>45108</v>
      </c>
      <c r="U2124" s="9">
        <v>45473</v>
      </c>
      <c r="V2124">
        <f>SUM(POTABLE_NONPOTABLE_API[[#This Row],[RESIDENTIAL_SINGLEFAMILY_GAL]:[OTHER_GAL]])</f>
        <v>3248777188.6999998</v>
      </c>
      <c r="W2124">
        <f>SUM(POTABLE_NONPOTABLE_API[[#This Row],[NONPOTABLE_DEMAND_RESIDENTIAL_RECYCLED_WATER_GAL]:[NONPOTABLE_DEMAND_NONRESIDENTIAL_METERED_IRRIGATION_GAL]])</f>
        <v>15926894</v>
      </c>
      <c r="X2124" t="str">
        <f>IFERROR(INDEX(Crosswalk_API!$H$2:$H$527, MATCH(POTABLE_NONPOTABLE_API[[#This Row],[PWSID]], CW_PWSID_LIST, 0)), "")</f>
        <v>No</v>
      </c>
    </row>
    <row r="2125" spans="1:24" x14ac:dyDescent="0.25">
      <c r="A2125" t="s">
        <v>1325</v>
      </c>
      <c r="B2125" t="s">
        <v>1326</v>
      </c>
      <c r="C2125" t="s">
        <v>1327</v>
      </c>
      <c r="D2125" t="s">
        <v>1328</v>
      </c>
      <c r="E2125" s="9">
        <v>45444</v>
      </c>
      <c r="F2125" s="9">
        <v>45473</v>
      </c>
      <c r="G2125">
        <v>2124409636.5599999</v>
      </c>
      <c r="H2125">
        <v>648506269.70000005</v>
      </c>
      <c r="I2125">
        <v>724643479.91999996</v>
      </c>
      <c r="J2125">
        <v>282530358.27999997</v>
      </c>
      <c r="K2125">
        <v>140710381.56</v>
      </c>
      <c r="L2125">
        <v>91818254.099999994</v>
      </c>
      <c r="M2125">
        <v>0</v>
      </c>
      <c r="N2125">
        <v>0</v>
      </c>
      <c r="O2125">
        <v>0</v>
      </c>
      <c r="P2125">
        <v>0</v>
      </c>
      <c r="Q2125">
        <v>13266045</v>
      </c>
      <c r="R2125">
        <v>0</v>
      </c>
      <c r="S2125">
        <v>0</v>
      </c>
      <c r="T2125" s="9">
        <v>45108</v>
      </c>
      <c r="U2125" s="9">
        <v>45473</v>
      </c>
      <c r="V2125">
        <f>SUM(POTABLE_NONPOTABLE_API[[#This Row],[RESIDENTIAL_SINGLEFAMILY_GAL]:[OTHER_GAL]])</f>
        <v>4012618380.1199999</v>
      </c>
      <c r="W2125">
        <f>SUM(POTABLE_NONPOTABLE_API[[#This Row],[NONPOTABLE_DEMAND_RESIDENTIAL_RECYCLED_WATER_GAL]:[NONPOTABLE_DEMAND_NONRESIDENTIAL_METERED_IRRIGATION_GAL]])</f>
        <v>13266045</v>
      </c>
      <c r="X2125" t="str">
        <f>IFERROR(INDEX(Crosswalk_API!$H$2:$H$527, MATCH(POTABLE_NONPOTABLE_API[[#This Row],[PWSID]], CW_PWSID_LIST, 0)), "")</f>
        <v>No</v>
      </c>
    </row>
    <row r="2126" spans="1:24" x14ac:dyDescent="0.25">
      <c r="A2126" t="s">
        <v>1329</v>
      </c>
      <c r="B2126" t="s">
        <v>1330</v>
      </c>
      <c r="C2126" t="s">
        <v>1331</v>
      </c>
      <c r="D2126" t="s">
        <v>1332</v>
      </c>
      <c r="E2126" s="9">
        <v>45108</v>
      </c>
      <c r="F2126" s="9">
        <v>45138</v>
      </c>
      <c r="G2126">
        <v>313995500</v>
      </c>
      <c r="H2126">
        <v>120753800</v>
      </c>
      <c r="I2126">
        <v>163703300</v>
      </c>
      <c r="J2126">
        <v>88806300</v>
      </c>
      <c r="K2126">
        <v>18721100</v>
      </c>
      <c r="L2126">
        <v>681100</v>
      </c>
      <c r="M2126">
        <v>262700</v>
      </c>
      <c r="T2126" s="9">
        <v>45108</v>
      </c>
      <c r="U2126" s="9">
        <v>45473</v>
      </c>
      <c r="V2126">
        <f>SUM(POTABLE_NONPOTABLE_API[[#This Row],[RESIDENTIAL_SINGLEFAMILY_GAL]:[OTHER_GAL]])</f>
        <v>706661100</v>
      </c>
      <c r="W2126">
        <f>SUM(POTABLE_NONPOTABLE_API[[#This Row],[NONPOTABLE_DEMAND_RESIDENTIAL_RECYCLED_WATER_GAL]:[NONPOTABLE_DEMAND_NONRESIDENTIAL_METERED_IRRIGATION_GAL]])</f>
        <v>0</v>
      </c>
      <c r="X2126" t="str">
        <f>IFERROR(INDEX(Crosswalk_API!$H$2:$H$527, MATCH(POTABLE_NONPOTABLE_API[[#This Row],[PWSID]], CW_PWSID_LIST, 0)), "")</f>
        <v>No</v>
      </c>
    </row>
    <row r="2127" spans="1:24" x14ac:dyDescent="0.25">
      <c r="A2127" t="s">
        <v>1329</v>
      </c>
      <c r="B2127" t="s">
        <v>1330</v>
      </c>
      <c r="C2127" t="s">
        <v>1331</v>
      </c>
      <c r="D2127" t="s">
        <v>1332</v>
      </c>
      <c r="E2127" s="9">
        <v>45139</v>
      </c>
      <c r="F2127" s="9">
        <v>45169</v>
      </c>
      <c r="G2127">
        <v>311022300</v>
      </c>
      <c r="H2127">
        <v>122351000</v>
      </c>
      <c r="I2127">
        <v>161375400</v>
      </c>
      <c r="J2127">
        <v>79935800</v>
      </c>
      <c r="K2127">
        <v>18658400</v>
      </c>
      <c r="L2127">
        <v>982300</v>
      </c>
      <c r="M2127">
        <v>242200</v>
      </c>
      <c r="T2127" s="9">
        <v>45108</v>
      </c>
      <c r="U2127" s="9">
        <v>45473</v>
      </c>
      <c r="V2127">
        <f>SUM(POTABLE_NONPOTABLE_API[[#This Row],[RESIDENTIAL_SINGLEFAMILY_GAL]:[OTHER_GAL]])</f>
        <v>694325200</v>
      </c>
      <c r="W2127">
        <f>SUM(POTABLE_NONPOTABLE_API[[#This Row],[NONPOTABLE_DEMAND_RESIDENTIAL_RECYCLED_WATER_GAL]:[NONPOTABLE_DEMAND_NONRESIDENTIAL_METERED_IRRIGATION_GAL]])</f>
        <v>0</v>
      </c>
      <c r="X2127" t="str">
        <f>IFERROR(INDEX(Crosswalk_API!$H$2:$H$527, MATCH(POTABLE_NONPOTABLE_API[[#This Row],[PWSID]], CW_PWSID_LIST, 0)), "")</f>
        <v>No</v>
      </c>
    </row>
    <row r="2128" spans="1:24" x14ac:dyDescent="0.25">
      <c r="A2128" t="s">
        <v>1329</v>
      </c>
      <c r="B2128" t="s">
        <v>1330</v>
      </c>
      <c r="C2128" t="s">
        <v>1331</v>
      </c>
      <c r="D2128" t="s">
        <v>1332</v>
      </c>
      <c r="E2128" s="9">
        <v>45170</v>
      </c>
      <c r="F2128" s="9">
        <v>45199</v>
      </c>
      <c r="G2128">
        <v>286415100</v>
      </c>
      <c r="H2128">
        <v>116445700</v>
      </c>
      <c r="I2128">
        <v>144448400</v>
      </c>
      <c r="J2128">
        <v>36732600</v>
      </c>
      <c r="K2128">
        <v>16934300</v>
      </c>
      <c r="L2128">
        <v>691200</v>
      </c>
      <c r="M2128">
        <v>201800</v>
      </c>
      <c r="T2128" s="9">
        <v>45108</v>
      </c>
      <c r="U2128" s="9">
        <v>45473</v>
      </c>
      <c r="V2128">
        <f>SUM(POTABLE_NONPOTABLE_API[[#This Row],[RESIDENTIAL_SINGLEFAMILY_GAL]:[OTHER_GAL]])</f>
        <v>601667300</v>
      </c>
      <c r="W2128">
        <f>SUM(POTABLE_NONPOTABLE_API[[#This Row],[NONPOTABLE_DEMAND_RESIDENTIAL_RECYCLED_WATER_GAL]:[NONPOTABLE_DEMAND_NONRESIDENTIAL_METERED_IRRIGATION_GAL]])</f>
        <v>0</v>
      </c>
      <c r="X2128" t="str">
        <f>IFERROR(INDEX(Crosswalk_API!$H$2:$H$527, MATCH(POTABLE_NONPOTABLE_API[[#This Row],[PWSID]], CW_PWSID_LIST, 0)), "")</f>
        <v>No</v>
      </c>
    </row>
    <row r="2129" spans="1:24" x14ac:dyDescent="0.25">
      <c r="A2129" t="s">
        <v>1329</v>
      </c>
      <c r="B2129" t="s">
        <v>1330</v>
      </c>
      <c r="C2129" t="s">
        <v>1331</v>
      </c>
      <c r="D2129" t="s">
        <v>1332</v>
      </c>
      <c r="E2129" s="9">
        <v>45200</v>
      </c>
      <c r="F2129" s="9">
        <v>45230</v>
      </c>
      <c r="G2129">
        <v>285938500</v>
      </c>
      <c r="H2129">
        <v>118193600</v>
      </c>
      <c r="I2129">
        <v>142426500</v>
      </c>
      <c r="J2129">
        <v>34763600</v>
      </c>
      <c r="K2129">
        <v>16285200</v>
      </c>
      <c r="L2129">
        <v>747500</v>
      </c>
      <c r="M2129">
        <v>262200</v>
      </c>
      <c r="T2129" s="9">
        <v>45108</v>
      </c>
      <c r="U2129" s="9">
        <v>45473</v>
      </c>
      <c r="V2129">
        <f>SUM(POTABLE_NONPOTABLE_API[[#This Row],[RESIDENTIAL_SINGLEFAMILY_GAL]:[OTHER_GAL]])</f>
        <v>598354900</v>
      </c>
      <c r="W2129">
        <f>SUM(POTABLE_NONPOTABLE_API[[#This Row],[NONPOTABLE_DEMAND_RESIDENTIAL_RECYCLED_WATER_GAL]:[NONPOTABLE_DEMAND_NONRESIDENTIAL_METERED_IRRIGATION_GAL]])</f>
        <v>0</v>
      </c>
      <c r="X2129" t="str">
        <f>IFERROR(INDEX(Crosswalk_API!$H$2:$H$527, MATCH(POTABLE_NONPOTABLE_API[[#This Row],[PWSID]], CW_PWSID_LIST, 0)), "")</f>
        <v>No</v>
      </c>
    </row>
    <row r="2130" spans="1:24" x14ac:dyDescent="0.25">
      <c r="A2130" t="s">
        <v>1329</v>
      </c>
      <c r="B2130" t="s">
        <v>1330</v>
      </c>
      <c r="C2130" t="s">
        <v>1331</v>
      </c>
      <c r="D2130" t="s">
        <v>1332</v>
      </c>
      <c r="E2130" s="9">
        <v>45231</v>
      </c>
      <c r="F2130" s="9">
        <v>45260</v>
      </c>
      <c r="G2130">
        <v>250272200</v>
      </c>
      <c r="H2130">
        <v>114716400</v>
      </c>
      <c r="I2130">
        <v>123312100</v>
      </c>
      <c r="J2130">
        <v>24742200</v>
      </c>
      <c r="K2130">
        <v>15327700</v>
      </c>
      <c r="L2130">
        <v>910600</v>
      </c>
      <c r="M2130">
        <v>172600</v>
      </c>
      <c r="T2130" s="9">
        <v>45108</v>
      </c>
      <c r="U2130" s="9">
        <v>45473</v>
      </c>
      <c r="V2130">
        <f>SUM(POTABLE_NONPOTABLE_API[[#This Row],[RESIDENTIAL_SINGLEFAMILY_GAL]:[OTHER_GAL]])</f>
        <v>529281200</v>
      </c>
      <c r="W2130">
        <f>SUM(POTABLE_NONPOTABLE_API[[#This Row],[NONPOTABLE_DEMAND_RESIDENTIAL_RECYCLED_WATER_GAL]:[NONPOTABLE_DEMAND_NONRESIDENTIAL_METERED_IRRIGATION_GAL]])</f>
        <v>0</v>
      </c>
      <c r="X2130" t="str">
        <f>IFERROR(INDEX(Crosswalk_API!$H$2:$H$527, MATCH(POTABLE_NONPOTABLE_API[[#This Row],[PWSID]], CW_PWSID_LIST, 0)), "")</f>
        <v>No</v>
      </c>
    </row>
    <row r="2131" spans="1:24" x14ac:dyDescent="0.25">
      <c r="A2131" t="s">
        <v>1329</v>
      </c>
      <c r="B2131" t="s">
        <v>1330</v>
      </c>
      <c r="C2131" t="s">
        <v>1331</v>
      </c>
      <c r="D2131" t="s">
        <v>1332</v>
      </c>
      <c r="E2131" s="9">
        <v>45261</v>
      </c>
      <c r="F2131" s="9">
        <v>45291</v>
      </c>
      <c r="G2131">
        <v>232691500</v>
      </c>
      <c r="H2131">
        <v>108589300</v>
      </c>
      <c r="I2131">
        <v>98116200</v>
      </c>
      <c r="J2131">
        <v>17172800</v>
      </c>
      <c r="K2131">
        <v>14677400</v>
      </c>
      <c r="L2131">
        <v>1256600</v>
      </c>
      <c r="M2131">
        <v>157300</v>
      </c>
      <c r="T2131" s="9">
        <v>45108</v>
      </c>
      <c r="U2131" s="9">
        <v>45473</v>
      </c>
      <c r="V2131">
        <f>SUM(POTABLE_NONPOTABLE_API[[#This Row],[RESIDENTIAL_SINGLEFAMILY_GAL]:[OTHER_GAL]])</f>
        <v>472503800</v>
      </c>
      <c r="W2131">
        <f>SUM(POTABLE_NONPOTABLE_API[[#This Row],[NONPOTABLE_DEMAND_RESIDENTIAL_RECYCLED_WATER_GAL]:[NONPOTABLE_DEMAND_NONRESIDENTIAL_METERED_IRRIGATION_GAL]])</f>
        <v>0</v>
      </c>
      <c r="X2131" t="str">
        <f>IFERROR(INDEX(Crosswalk_API!$H$2:$H$527, MATCH(POTABLE_NONPOTABLE_API[[#This Row],[PWSID]], CW_PWSID_LIST, 0)), "")</f>
        <v>No</v>
      </c>
    </row>
    <row r="2132" spans="1:24" x14ac:dyDescent="0.25">
      <c r="A2132" t="s">
        <v>1329</v>
      </c>
      <c r="B2132" t="s">
        <v>1330</v>
      </c>
      <c r="C2132" t="s">
        <v>1331</v>
      </c>
      <c r="D2132" t="s">
        <v>1332</v>
      </c>
      <c r="E2132" s="9">
        <v>45292</v>
      </c>
      <c r="F2132" s="9">
        <v>45322</v>
      </c>
      <c r="G2132">
        <v>189890400</v>
      </c>
      <c r="H2132">
        <v>99943900</v>
      </c>
      <c r="I2132">
        <v>78808100</v>
      </c>
      <c r="J2132">
        <v>7649100</v>
      </c>
      <c r="K2132">
        <v>12808800</v>
      </c>
      <c r="L2132">
        <v>395600</v>
      </c>
      <c r="M2132">
        <v>35600</v>
      </c>
      <c r="T2132" s="9">
        <v>45108</v>
      </c>
      <c r="U2132" s="9">
        <v>45473</v>
      </c>
      <c r="V2132">
        <f>SUM(POTABLE_NONPOTABLE_API[[#This Row],[RESIDENTIAL_SINGLEFAMILY_GAL]:[OTHER_GAL]])</f>
        <v>389495900</v>
      </c>
      <c r="W2132">
        <f>SUM(POTABLE_NONPOTABLE_API[[#This Row],[NONPOTABLE_DEMAND_RESIDENTIAL_RECYCLED_WATER_GAL]:[NONPOTABLE_DEMAND_NONRESIDENTIAL_METERED_IRRIGATION_GAL]])</f>
        <v>0</v>
      </c>
      <c r="X2132" t="str">
        <f>IFERROR(INDEX(Crosswalk_API!$H$2:$H$527, MATCH(POTABLE_NONPOTABLE_API[[#This Row],[PWSID]], CW_PWSID_LIST, 0)), "")</f>
        <v>No</v>
      </c>
    </row>
    <row r="2133" spans="1:24" x14ac:dyDescent="0.25">
      <c r="A2133" t="s">
        <v>1329</v>
      </c>
      <c r="B2133" t="s">
        <v>1330</v>
      </c>
      <c r="C2133" t="s">
        <v>1331</v>
      </c>
      <c r="D2133" t="s">
        <v>1332</v>
      </c>
      <c r="E2133" s="9">
        <v>45323</v>
      </c>
      <c r="F2133" s="9">
        <v>45351</v>
      </c>
      <c r="G2133">
        <v>162303300</v>
      </c>
      <c r="H2133">
        <v>90729600</v>
      </c>
      <c r="I2133">
        <v>73243900</v>
      </c>
      <c r="J2133">
        <v>4524200</v>
      </c>
      <c r="K2133">
        <v>12033100</v>
      </c>
      <c r="L2133">
        <v>402700</v>
      </c>
      <c r="M2133">
        <v>20300</v>
      </c>
      <c r="T2133" s="9">
        <v>45108</v>
      </c>
      <c r="U2133" s="9">
        <v>45473</v>
      </c>
      <c r="V2133">
        <f>SUM(POTABLE_NONPOTABLE_API[[#This Row],[RESIDENTIAL_SINGLEFAMILY_GAL]:[OTHER_GAL]])</f>
        <v>343236800</v>
      </c>
      <c r="W2133">
        <f>SUM(POTABLE_NONPOTABLE_API[[#This Row],[NONPOTABLE_DEMAND_RESIDENTIAL_RECYCLED_WATER_GAL]:[NONPOTABLE_DEMAND_NONRESIDENTIAL_METERED_IRRIGATION_GAL]])</f>
        <v>0</v>
      </c>
      <c r="X2133" t="str">
        <f>IFERROR(INDEX(Crosswalk_API!$H$2:$H$527, MATCH(POTABLE_NONPOTABLE_API[[#This Row],[PWSID]], CW_PWSID_LIST, 0)), "")</f>
        <v>No</v>
      </c>
    </row>
    <row r="2134" spans="1:24" x14ac:dyDescent="0.25">
      <c r="A2134" t="s">
        <v>1329</v>
      </c>
      <c r="B2134" t="s">
        <v>1330</v>
      </c>
      <c r="C2134" t="s">
        <v>1331</v>
      </c>
      <c r="D2134" t="s">
        <v>1332</v>
      </c>
      <c r="E2134" s="9">
        <v>45352</v>
      </c>
      <c r="F2134" s="9">
        <v>45382</v>
      </c>
      <c r="G2134">
        <v>182994700</v>
      </c>
      <c r="H2134">
        <v>98271500</v>
      </c>
      <c r="I2134">
        <v>81157000</v>
      </c>
      <c r="J2134">
        <v>9780100</v>
      </c>
      <c r="K2134">
        <v>13632800</v>
      </c>
      <c r="L2134">
        <v>705800</v>
      </c>
      <c r="M2134">
        <v>27900</v>
      </c>
      <c r="T2134" s="9">
        <v>45108</v>
      </c>
      <c r="U2134" s="9">
        <v>45473</v>
      </c>
      <c r="V2134">
        <f>SUM(POTABLE_NONPOTABLE_API[[#This Row],[RESIDENTIAL_SINGLEFAMILY_GAL]:[OTHER_GAL]])</f>
        <v>386541900</v>
      </c>
      <c r="W2134">
        <f>SUM(POTABLE_NONPOTABLE_API[[#This Row],[NONPOTABLE_DEMAND_RESIDENTIAL_RECYCLED_WATER_GAL]:[NONPOTABLE_DEMAND_NONRESIDENTIAL_METERED_IRRIGATION_GAL]])</f>
        <v>0</v>
      </c>
      <c r="X2134" t="str">
        <f>IFERROR(INDEX(Crosswalk_API!$H$2:$H$527, MATCH(POTABLE_NONPOTABLE_API[[#This Row],[PWSID]], CW_PWSID_LIST, 0)), "")</f>
        <v>No</v>
      </c>
    </row>
    <row r="2135" spans="1:24" x14ac:dyDescent="0.25">
      <c r="A2135" t="s">
        <v>1329</v>
      </c>
      <c r="B2135" t="s">
        <v>1330</v>
      </c>
      <c r="C2135" t="s">
        <v>1331</v>
      </c>
      <c r="D2135" t="s">
        <v>1332</v>
      </c>
      <c r="E2135" s="9">
        <v>45383</v>
      </c>
      <c r="F2135" s="9">
        <v>45412</v>
      </c>
      <c r="G2135">
        <v>201173700</v>
      </c>
      <c r="H2135">
        <v>100558400</v>
      </c>
      <c r="I2135">
        <v>94493700</v>
      </c>
      <c r="J2135">
        <v>18725200</v>
      </c>
      <c r="K2135">
        <v>13932900</v>
      </c>
      <c r="L2135">
        <v>710600</v>
      </c>
      <c r="M2135">
        <v>35300</v>
      </c>
      <c r="T2135" s="9">
        <v>45108</v>
      </c>
      <c r="U2135" s="9">
        <v>45473</v>
      </c>
      <c r="V2135">
        <f>SUM(POTABLE_NONPOTABLE_API[[#This Row],[RESIDENTIAL_SINGLEFAMILY_GAL]:[OTHER_GAL]])</f>
        <v>429594500</v>
      </c>
      <c r="W2135">
        <f>SUM(POTABLE_NONPOTABLE_API[[#This Row],[NONPOTABLE_DEMAND_RESIDENTIAL_RECYCLED_WATER_GAL]:[NONPOTABLE_DEMAND_NONRESIDENTIAL_METERED_IRRIGATION_GAL]])</f>
        <v>0</v>
      </c>
      <c r="X2135" t="str">
        <f>IFERROR(INDEX(Crosswalk_API!$H$2:$H$527, MATCH(POTABLE_NONPOTABLE_API[[#This Row],[PWSID]], CW_PWSID_LIST, 0)), "")</f>
        <v>No</v>
      </c>
    </row>
    <row r="2136" spans="1:24" x14ac:dyDescent="0.25">
      <c r="A2136" t="s">
        <v>1329</v>
      </c>
      <c r="B2136" t="s">
        <v>1330</v>
      </c>
      <c r="C2136" t="s">
        <v>1331</v>
      </c>
      <c r="D2136" t="s">
        <v>1332</v>
      </c>
      <c r="E2136" s="9">
        <v>45413</v>
      </c>
      <c r="F2136" s="9">
        <v>45443</v>
      </c>
      <c r="G2136">
        <v>262026800</v>
      </c>
      <c r="H2136">
        <v>110598500</v>
      </c>
      <c r="I2136">
        <v>120073500</v>
      </c>
      <c r="J2136">
        <v>31361400</v>
      </c>
      <c r="K2136">
        <v>14882600</v>
      </c>
      <c r="L2136">
        <v>286500</v>
      </c>
      <c r="M2136">
        <v>29500</v>
      </c>
      <c r="T2136" s="9">
        <v>45108</v>
      </c>
      <c r="U2136" s="9">
        <v>45473</v>
      </c>
      <c r="V2136">
        <f>SUM(POTABLE_NONPOTABLE_API[[#This Row],[RESIDENTIAL_SINGLEFAMILY_GAL]:[OTHER_GAL]])</f>
        <v>539229300</v>
      </c>
      <c r="W2136">
        <f>SUM(POTABLE_NONPOTABLE_API[[#This Row],[NONPOTABLE_DEMAND_RESIDENTIAL_RECYCLED_WATER_GAL]:[NONPOTABLE_DEMAND_NONRESIDENTIAL_METERED_IRRIGATION_GAL]])</f>
        <v>0</v>
      </c>
      <c r="X2136" t="str">
        <f>IFERROR(INDEX(Crosswalk_API!$H$2:$H$527, MATCH(POTABLE_NONPOTABLE_API[[#This Row],[PWSID]], CW_PWSID_LIST, 0)), "")</f>
        <v>No</v>
      </c>
    </row>
    <row r="2137" spans="1:24" x14ac:dyDescent="0.25">
      <c r="A2137" t="s">
        <v>1329</v>
      </c>
      <c r="B2137" t="s">
        <v>1330</v>
      </c>
      <c r="C2137" t="s">
        <v>1331</v>
      </c>
      <c r="D2137" t="s">
        <v>1332</v>
      </c>
      <c r="E2137" s="9">
        <v>45444</v>
      </c>
      <c r="F2137" s="9">
        <v>45473</v>
      </c>
      <c r="G2137">
        <v>82227300</v>
      </c>
      <c r="H2137">
        <v>62433900</v>
      </c>
      <c r="I2137">
        <v>157622600</v>
      </c>
      <c r="J2137">
        <v>22620600</v>
      </c>
      <c r="K2137">
        <v>6873000</v>
      </c>
      <c r="L2137">
        <v>538700</v>
      </c>
      <c r="M2137">
        <v>300</v>
      </c>
      <c r="T2137" s="9">
        <v>45108</v>
      </c>
      <c r="U2137" s="9">
        <v>45473</v>
      </c>
      <c r="V2137">
        <f>SUM(POTABLE_NONPOTABLE_API[[#This Row],[RESIDENTIAL_SINGLEFAMILY_GAL]:[OTHER_GAL]])</f>
        <v>332316100</v>
      </c>
      <c r="W2137">
        <f>SUM(POTABLE_NONPOTABLE_API[[#This Row],[NONPOTABLE_DEMAND_RESIDENTIAL_RECYCLED_WATER_GAL]:[NONPOTABLE_DEMAND_NONRESIDENTIAL_METERED_IRRIGATION_GAL]])</f>
        <v>0</v>
      </c>
      <c r="X2137" t="str">
        <f>IFERROR(INDEX(Crosswalk_API!$H$2:$H$527, MATCH(POTABLE_NONPOTABLE_API[[#This Row],[PWSID]], CW_PWSID_LIST, 0)), "")</f>
        <v>No</v>
      </c>
    </row>
    <row r="2138" spans="1:24" x14ac:dyDescent="0.25">
      <c r="A2138" t="s">
        <v>1333</v>
      </c>
      <c r="B2138" t="s">
        <v>1334</v>
      </c>
      <c r="C2138" t="s">
        <v>1335</v>
      </c>
      <c r="D2138" t="s">
        <v>1336</v>
      </c>
      <c r="E2138" s="9">
        <v>45108</v>
      </c>
      <c r="F2138" s="9">
        <v>45138</v>
      </c>
      <c r="G2138">
        <v>119375534.09999999</v>
      </c>
      <c r="H2138">
        <v>8858182.5199999996</v>
      </c>
      <c r="I2138">
        <v>44866588</v>
      </c>
      <c r="J2138">
        <v>0</v>
      </c>
      <c r="K2138">
        <v>0</v>
      </c>
      <c r="L2138">
        <v>547053</v>
      </c>
      <c r="M2138">
        <v>0</v>
      </c>
      <c r="T2138" s="9">
        <v>45108</v>
      </c>
      <c r="U2138" s="9">
        <v>45473</v>
      </c>
      <c r="V2138">
        <f>SUM(POTABLE_NONPOTABLE_API[[#This Row],[RESIDENTIAL_SINGLEFAMILY_GAL]:[OTHER_GAL]])</f>
        <v>173647357.62</v>
      </c>
      <c r="W2138">
        <f>SUM(POTABLE_NONPOTABLE_API[[#This Row],[NONPOTABLE_DEMAND_RESIDENTIAL_RECYCLED_WATER_GAL]:[NONPOTABLE_DEMAND_NONRESIDENTIAL_METERED_IRRIGATION_GAL]])</f>
        <v>0</v>
      </c>
      <c r="X2138" t="str">
        <f>IFERROR(INDEX(Crosswalk_API!$H$2:$H$527, MATCH(POTABLE_NONPOTABLE_API[[#This Row],[PWSID]], CW_PWSID_LIST, 0)), "")</f>
        <v>No</v>
      </c>
    </row>
    <row r="2139" spans="1:24" x14ac:dyDescent="0.25">
      <c r="A2139" t="s">
        <v>1333</v>
      </c>
      <c r="B2139" t="s">
        <v>1334</v>
      </c>
      <c r="C2139" t="s">
        <v>1335</v>
      </c>
      <c r="D2139" t="s">
        <v>1336</v>
      </c>
      <c r="E2139" s="9">
        <v>45139</v>
      </c>
      <c r="F2139" s="9">
        <v>45169</v>
      </c>
      <c r="G2139">
        <v>112247592.5</v>
      </c>
      <c r="H2139">
        <v>8294587</v>
      </c>
      <c r="I2139">
        <v>46399898.600000001</v>
      </c>
      <c r="J2139">
        <v>0</v>
      </c>
      <c r="K2139">
        <v>0</v>
      </c>
      <c r="L2139">
        <v>754744</v>
      </c>
      <c r="M2139">
        <v>0</v>
      </c>
      <c r="T2139" s="9">
        <v>45108</v>
      </c>
      <c r="U2139" s="9">
        <v>45473</v>
      </c>
      <c r="V2139">
        <f>SUM(POTABLE_NONPOTABLE_API[[#This Row],[RESIDENTIAL_SINGLEFAMILY_GAL]:[OTHER_GAL]])</f>
        <v>167696822.09999999</v>
      </c>
      <c r="W2139">
        <f>SUM(POTABLE_NONPOTABLE_API[[#This Row],[NONPOTABLE_DEMAND_RESIDENTIAL_RECYCLED_WATER_GAL]:[NONPOTABLE_DEMAND_NONRESIDENTIAL_METERED_IRRIGATION_GAL]])</f>
        <v>0</v>
      </c>
      <c r="X2139" t="str">
        <f>IFERROR(INDEX(Crosswalk_API!$H$2:$H$527, MATCH(POTABLE_NONPOTABLE_API[[#This Row],[PWSID]], CW_PWSID_LIST, 0)), "")</f>
        <v>No</v>
      </c>
    </row>
    <row r="2140" spans="1:24" x14ac:dyDescent="0.25">
      <c r="A2140" t="s">
        <v>1333</v>
      </c>
      <c r="B2140" t="s">
        <v>1334</v>
      </c>
      <c r="C2140" t="s">
        <v>1335</v>
      </c>
      <c r="D2140" t="s">
        <v>1336</v>
      </c>
      <c r="E2140" s="9">
        <v>45170</v>
      </c>
      <c r="F2140" s="9">
        <v>45199</v>
      </c>
      <c r="G2140">
        <v>94054295</v>
      </c>
      <c r="H2140">
        <v>7466551</v>
      </c>
      <c r="I2140">
        <v>57465407</v>
      </c>
      <c r="J2140">
        <v>0</v>
      </c>
      <c r="K2140">
        <v>0</v>
      </c>
      <c r="L2140">
        <v>557023</v>
      </c>
      <c r="M2140">
        <v>0</v>
      </c>
      <c r="T2140" s="9">
        <v>45108</v>
      </c>
      <c r="U2140" s="9">
        <v>45473</v>
      </c>
      <c r="V2140">
        <f>SUM(POTABLE_NONPOTABLE_API[[#This Row],[RESIDENTIAL_SINGLEFAMILY_GAL]:[OTHER_GAL]])</f>
        <v>159543276</v>
      </c>
      <c r="W2140">
        <f>SUM(POTABLE_NONPOTABLE_API[[#This Row],[NONPOTABLE_DEMAND_RESIDENTIAL_RECYCLED_WATER_GAL]:[NONPOTABLE_DEMAND_NONRESIDENTIAL_METERED_IRRIGATION_GAL]])</f>
        <v>0</v>
      </c>
      <c r="X2140" t="str">
        <f>IFERROR(INDEX(Crosswalk_API!$H$2:$H$527, MATCH(POTABLE_NONPOTABLE_API[[#This Row],[PWSID]], CW_PWSID_LIST, 0)), "")</f>
        <v>No</v>
      </c>
    </row>
    <row r="2141" spans="1:24" x14ac:dyDescent="0.25">
      <c r="A2141" t="s">
        <v>1333</v>
      </c>
      <c r="B2141" t="s">
        <v>1334</v>
      </c>
      <c r="C2141" t="s">
        <v>1335</v>
      </c>
      <c r="D2141" t="s">
        <v>1336</v>
      </c>
      <c r="E2141" s="9">
        <v>45200</v>
      </c>
      <c r="F2141" s="9">
        <v>45230</v>
      </c>
      <c r="G2141">
        <v>80377597</v>
      </c>
      <c r="H2141">
        <v>6846162</v>
      </c>
      <c r="I2141">
        <v>41342192</v>
      </c>
      <c r="J2141">
        <v>0</v>
      </c>
      <c r="K2141">
        <v>0</v>
      </c>
      <c r="L2141">
        <v>12000</v>
      </c>
      <c r="M2141">
        <v>0</v>
      </c>
      <c r="T2141" s="9">
        <v>45108</v>
      </c>
      <c r="U2141" s="9">
        <v>45473</v>
      </c>
      <c r="V2141">
        <f>SUM(POTABLE_NONPOTABLE_API[[#This Row],[RESIDENTIAL_SINGLEFAMILY_GAL]:[OTHER_GAL]])</f>
        <v>128577951</v>
      </c>
      <c r="W2141">
        <f>SUM(POTABLE_NONPOTABLE_API[[#This Row],[NONPOTABLE_DEMAND_RESIDENTIAL_RECYCLED_WATER_GAL]:[NONPOTABLE_DEMAND_NONRESIDENTIAL_METERED_IRRIGATION_GAL]])</f>
        <v>0</v>
      </c>
      <c r="X2141" t="str">
        <f>IFERROR(INDEX(Crosswalk_API!$H$2:$H$527, MATCH(POTABLE_NONPOTABLE_API[[#This Row],[PWSID]], CW_PWSID_LIST, 0)), "")</f>
        <v>No</v>
      </c>
    </row>
    <row r="2142" spans="1:24" x14ac:dyDescent="0.25">
      <c r="A2142" t="s">
        <v>1333</v>
      </c>
      <c r="B2142" t="s">
        <v>1334</v>
      </c>
      <c r="C2142" t="s">
        <v>1335</v>
      </c>
      <c r="D2142" t="s">
        <v>1336</v>
      </c>
      <c r="E2142" s="9">
        <v>45231</v>
      </c>
      <c r="F2142" s="9">
        <v>45260</v>
      </c>
      <c r="G2142">
        <v>56596343.560000002</v>
      </c>
      <c r="H2142">
        <v>5407439.1299999999</v>
      </c>
      <c r="I2142">
        <v>24416700.260000002</v>
      </c>
      <c r="J2142">
        <v>0</v>
      </c>
      <c r="K2142">
        <v>0</v>
      </c>
      <c r="L2142">
        <v>763013</v>
      </c>
      <c r="M2142">
        <v>0</v>
      </c>
      <c r="T2142" s="9">
        <v>45108</v>
      </c>
      <c r="U2142" s="9">
        <v>45473</v>
      </c>
      <c r="V2142">
        <f>SUM(POTABLE_NONPOTABLE_API[[#This Row],[RESIDENTIAL_SINGLEFAMILY_GAL]:[OTHER_GAL]])</f>
        <v>87183495.950000003</v>
      </c>
      <c r="W2142">
        <f>SUM(POTABLE_NONPOTABLE_API[[#This Row],[NONPOTABLE_DEMAND_RESIDENTIAL_RECYCLED_WATER_GAL]:[NONPOTABLE_DEMAND_NONRESIDENTIAL_METERED_IRRIGATION_GAL]])</f>
        <v>0</v>
      </c>
      <c r="X2142" t="str">
        <f>IFERROR(INDEX(Crosswalk_API!$H$2:$H$527, MATCH(POTABLE_NONPOTABLE_API[[#This Row],[PWSID]], CW_PWSID_LIST, 0)), "")</f>
        <v>No</v>
      </c>
    </row>
    <row r="2143" spans="1:24" x14ac:dyDescent="0.25">
      <c r="A2143" t="s">
        <v>1333</v>
      </c>
      <c r="B2143" t="s">
        <v>1334</v>
      </c>
      <c r="C2143" t="s">
        <v>1335</v>
      </c>
      <c r="D2143" t="s">
        <v>1336</v>
      </c>
      <c r="E2143" s="9">
        <v>45261</v>
      </c>
      <c r="F2143" s="9">
        <v>45291</v>
      </c>
      <c r="G2143">
        <v>43057881.049999997</v>
      </c>
      <c r="H2143">
        <v>4837455.2</v>
      </c>
      <c r="I2143">
        <v>17187776.329999998</v>
      </c>
      <c r="J2143">
        <v>0</v>
      </c>
      <c r="K2143">
        <v>0</v>
      </c>
      <c r="L2143">
        <v>387000</v>
      </c>
      <c r="M2143">
        <v>0</v>
      </c>
      <c r="T2143" s="9">
        <v>45108</v>
      </c>
      <c r="U2143" s="9">
        <v>45473</v>
      </c>
      <c r="V2143">
        <f>SUM(POTABLE_NONPOTABLE_API[[#This Row],[RESIDENTIAL_SINGLEFAMILY_GAL]:[OTHER_GAL]])</f>
        <v>65470112.579999998</v>
      </c>
      <c r="W2143">
        <f>SUM(POTABLE_NONPOTABLE_API[[#This Row],[NONPOTABLE_DEMAND_RESIDENTIAL_RECYCLED_WATER_GAL]:[NONPOTABLE_DEMAND_NONRESIDENTIAL_METERED_IRRIGATION_GAL]])</f>
        <v>0</v>
      </c>
      <c r="X2143" t="str">
        <f>IFERROR(INDEX(Crosswalk_API!$H$2:$H$527, MATCH(POTABLE_NONPOTABLE_API[[#This Row],[PWSID]], CW_PWSID_LIST, 0)), "")</f>
        <v>No</v>
      </c>
    </row>
    <row r="2144" spans="1:24" x14ac:dyDescent="0.25">
      <c r="A2144" t="s">
        <v>1333</v>
      </c>
      <c r="B2144" t="s">
        <v>1334</v>
      </c>
      <c r="C2144" t="s">
        <v>1335</v>
      </c>
      <c r="D2144" t="s">
        <v>1336</v>
      </c>
      <c r="E2144" s="9">
        <v>45292</v>
      </c>
      <c r="F2144" s="9">
        <v>45322</v>
      </c>
      <c r="G2144">
        <v>41080541</v>
      </c>
      <c r="H2144">
        <v>2618112.2000000002</v>
      </c>
      <c r="I2144">
        <v>12702932.439999999</v>
      </c>
      <c r="J2144">
        <v>0</v>
      </c>
      <c r="K2144">
        <v>0</v>
      </c>
      <c r="L2144">
        <v>260000</v>
      </c>
      <c r="M2144">
        <v>0</v>
      </c>
      <c r="T2144" s="9">
        <v>45108</v>
      </c>
      <c r="U2144" s="9">
        <v>45473</v>
      </c>
      <c r="V2144">
        <f>SUM(POTABLE_NONPOTABLE_API[[#This Row],[RESIDENTIAL_SINGLEFAMILY_GAL]:[OTHER_GAL]])</f>
        <v>56661585.640000001</v>
      </c>
      <c r="W2144">
        <f>SUM(POTABLE_NONPOTABLE_API[[#This Row],[NONPOTABLE_DEMAND_RESIDENTIAL_RECYCLED_WATER_GAL]:[NONPOTABLE_DEMAND_NONRESIDENTIAL_METERED_IRRIGATION_GAL]])</f>
        <v>0</v>
      </c>
      <c r="X2144" t="str">
        <f>IFERROR(INDEX(Crosswalk_API!$H$2:$H$527, MATCH(POTABLE_NONPOTABLE_API[[#This Row],[PWSID]], CW_PWSID_LIST, 0)), "")</f>
        <v>No</v>
      </c>
    </row>
    <row r="2145" spans="1:24" x14ac:dyDescent="0.25">
      <c r="A2145" t="s">
        <v>1333</v>
      </c>
      <c r="B2145" t="s">
        <v>1334</v>
      </c>
      <c r="C2145" t="s">
        <v>1335</v>
      </c>
      <c r="D2145" t="s">
        <v>1336</v>
      </c>
      <c r="E2145" s="9">
        <v>45323</v>
      </c>
      <c r="F2145" s="9">
        <v>45351</v>
      </c>
      <c r="G2145">
        <v>37004098</v>
      </c>
      <c r="H2145">
        <v>4298143</v>
      </c>
      <c r="I2145">
        <v>6927819</v>
      </c>
      <c r="J2145">
        <v>0</v>
      </c>
      <c r="K2145">
        <v>0</v>
      </c>
      <c r="L2145">
        <v>1481000</v>
      </c>
      <c r="M2145">
        <v>0</v>
      </c>
      <c r="T2145" s="9">
        <v>45108</v>
      </c>
      <c r="U2145" s="9">
        <v>45473</v>
      </c>
      <c r="V2145">
        <f>SUM(POTABLE_NONPOTABLE_API[[#This Row],[RESIDENTIAL_SINGLEFAMILY_GAL]:[OTHER_GAL]])</f>
        <v>49711060</v>
      </c>
      <c r="W2145">
        <f>SUM(POTABLE_NONPOTABLE_API[[#This Row],[NONPOTABLE_DEMAND_RESIDENTIAL_RECYCLED_WATER_GAL]:[NONPOTABLE_DEMAND_NONRESIDENTIAL_METERED_IRRIGATION_GAL]])</f>
        <v>0</v>
      </c>
      <c r="X2145" t="str">
        <f>IFERROR(INDEX(Crosswalk_API!$H$2:$H$527, MATCH(POTABLE_NONPOTABLE_API[[#This Row],[PWSID]], CW_PWSID_LIST, 0)), "")</f>
        <v>No</v>
      </c>
    </row>
    <row r="2146" spans="1:24" x14ac:dyDescent="0.25">
      <c r="A2146" t="s">
        <v>1333</v>
      </c>
      <c r="B2146" t="s">
        <v>1334</v>
      </c>
      <c r="C2146" t="s">
        <v>1335</v>
      </c>
      <c r="D2146" t="s">
        <v>1336</v>
      </c>
      <c r="E2146" s="9">
        <v>45352</v>
      </c>
      <c r="F2146" s="9">
        <v>45382</v>
      </c>
      <c r="G2146">
        <v>59664432.280000001</v>
      </c>
      <c r="H2146">
        <v>4698395.12</v>
      </c>
      <c r="I2146">
        <v>15179926.810000001</v>
      </c>
      <c r="J2146">
        <v>0</v>
      </c>
      <c r="K2146">
        <v>0</v>
      </c>
      <c r="L2146">
        <v>568196</v>
      </c>
      <c r="M2146">
        <v>0</v>
      </c>
      <c r="T2146" s="9">
        <v>45108</v>
      </c>
      <c r="U2146" s="9">
        <v>45473</v>
      </c>
      <c r="V2146">
        <f>SUM(POTABLE_NONPOTABLE_API[[#This Row],[RESIDENTIAL_SINGLEFAMILY_GAL]:[OTHER_GAL]])</f>
        <v>80110950.209999993</v>
      </c>
      <c r="W2146">
        <f>SUM(POTABLE_NONPOTABLE_API[[#This Row],[NONPOTABLE_DEMAND_RESIDENTIAL_RECYCLED_WATER_GAL]:[NONPOTABLE_DEMAND_NONRESIDENTIAL_METERED_IRRIGATION_GAL]])</f>
        <v>0</v>
      </c>
      <c r="X2146" t="str">
        <f>IFERROR(INDEX(Crosswalk_API!$H$2:$H$527, MATCH(POTABLE_NONPOTABLE_API[[#This Row],[PWSID]], CW_PWSID_LIST, 0)), "")</f>
        <v>No</v>
      </c>
    </row>
    <row r="2147" spans="1:24" x14ac:dyDescent="0.25">
      <c r="A2147" t="s">
        <v>1333</v>
      </c>
      <c r="B2147" t="s">
        <v>1334</v>
      </c>
      <c r="C2147" t="s">
        <v>1335</v>
      </c>
      <c r="D2147" t="s">
        <v>1336</v>
      </c>
      <c r="E2147" s="9">
        <v>45383</v>
      </c>
      <c r="F2147" s="9">
        <v>45412</v>
      </c>
      <c r="G2147">
        <v>33483445.739999998</v>
      </c>
      <c r="H2147">
        <v>4983812.7699999996</v>
      </c>
      <c r="I2147">
        <v>22236003.940000001</v>
      </c>
      <c r="J2147">
        <v>0</v>
      </c>
      <c r="K2147">
        <v>0</v>
      </c>
      <c r="L2147">
        <v>353266</v>
      </c>
      <c r="M2147">
        <v>0</v>
      </c>
      <c r="T2147" s="9">
        <v>45108</v>
      </c>
      <c r="U2147" s="9">
        <v>45473</v>
      </c>
      <c r="V2147">
        <f>SUM(POTABLE_NONPOTABLE_API[[#This Row],[RESIDENTIAL_SINGLEFAMILY_GAL]:[OTHER_GAL]])</f>
        <v>61056528.450000003</v>
      </c>
      <c r="W2147">
        <f>SUM(POTABLE_NONPOTABLE_API[[#This Row],[NONPOTABLE_DEMAND_RESIDENTIAL_RECYCLED_WATER_GAL]:[NONPOTABLE_DEMAND_NONRESIDENTIAL_METERED_IRRIGATION_GAL]])</f>
        <v>0</v>
      </c>
      <c r="X2147" t="str">
        <f>IFERROR(INDEX(Crosswalk_API!$H$2:$H$527, MATCH(POTABLE_NONPOTABLE_API[[#This Row],[PWSID]], CW_PWSID_LIST, 0)), "")</f>
        <v>No</v>
      </c>
    </row>
    <row r="2148" spans="1:24" x14ac:dyDescent="0.25">
      <c r="A2148" t="s">
        <v>1333</v>
      </c>
      <c r="B2148" t="s">
        <v>1334</v>
      </c>
      <c r="C2148" t="s">
        <v>1335</v>
      </c>
      <c r="D2148" t="s">
        <v>1336</v>
      </c>
      <c r="E2148" s="9">
        <v>45413</v>
      </c>
      <c r="F2148" s="9">
        <v>45443</v>
      </c>
      <c r="G2148">
        <v>83046330</v>
      </c>
      <c r="H2148">
        <v>6428209</v>
      </c>
      <c r="I2148">
        <v>34301524</v>
      </c>
      <c r="J2148">
        <v>0</v>
      </c>
      <c r="K2148">
        <v>0</v>
      </c>
      <c r="L2148">
        <v>552769</v>
      </c>
      <c r="M2148">
        <v>0</v>
      </c>
      <c r="T2148" s="9">
        <v>45108</v>
      </c>
      <c r="U2148" s="9">
        <v>45473</v>
      </c>
      <c r="V2148">
        <f>SUM(POTABLE_NONPOTABLE_API[[#This Row],[RESIDENTIAL_SINGLEFAMILY_GAL]:[OTHER_GAL]])</f>
        <v>124328832</v>
      </c>
      <c r="W2148">
        <f>SUM(POTABLE_NONPOTABLE_API[[#This Row],[NONPOTABLE_DEMAND_RESIDENTIAL_RECYCLED_WATER_GAL]:[NONPOTABLE_DEMAND_NONRESIDENTIAL_METERED_IRRIGATION_GAL]])</f>
        <v>0</v>
      </c>
      <c r="X2148" t="str">
        <f>IFERROR(INDEX(Crosswalk_API!$H$2:$H$527, MATCH(POTABLE_NONPOTABLE_API[[#This Row],[PWSID]], CW_PWSID_LIST, 0)), "")</f>
        <v>No</v>
      </c>
    </row>
    <row r="2149" spans="1:24" x14ac:dyDescent="0.25">
      <c r="A2149" t="s">
        <v>1333</v>
      </c>
      <c r="B2149" t="s">
        <v>1334</v>
      </c>
      <c r="C2149" t="s">
        <v>1335</v>
      </c>
      <c r="D2149" t="s">
        <v>1336</v>
      </c>
      <c r="E2149" s="9">
        <v>45444</v>
      </c>
      <c r="F2149" s="9">
        <v>45473</v>
      </c>
      <c r="G2149">
        <v>112318479</v>
      </c>
      <c r="H2149">
        <v>7830631</v>
      </c>
      <c r="I2149">
        <v>51033065</v>
      </c>
      <c r="J2149">
        <v>0</v>
      </c>
      <c r="K2149">
        <v>0</v>
      </c>
      <c r="L2149">
        <v>476523</v>
      </c>
      <c r="M2149">
        <v>0</v>
      </c>
      <c r="T2149" s="9">
        <v>45108</v>
      </c>
      <c r="U2149" s="9">
        <v>45473</v>
      </c>
      <c r="V2149">
        <f>SUM(POTABLE_NONPOTABLE_API[[#This Row],[RESIDENTIAL_SINGLEFAMILY_GAL]:[OTHER_GAL]])</f>
        <v>171658698</v>
      </c>
      <c r="W2149">
        <f>SUM(POTABLE_NONPOTABLE_API[[#This Row],[NONPOTABLE_DEMAND_RESIDENTIAL_RECYCLED_WATER_GAL]:[NONPOTABLE_DEMAND_NONRESIDENTIAL_METERED_IRRIGATION_GAL]])</f>
        <v>0</v>
      </c>
      <c r="X2149" t="str">
        <f>IFERROR(INDEX(Crosswalk_API!$H$2:$H$527, MATCH(POTABLE_NONPOTABLE_API[[#This Row],[PWSID]], CW_PWSID_LIST, 0)), "")</f>
        <v>No</v>
      </c>
    </row>
    <row r="2150" spans="1:24" x14ac:dyDescent="0.25">
      <c r="A2150" t="s">
        <v>1337</v>
      </c>
      <c r="B2150" t="s">
        <v>1338</v>
      </c>
      <c r="C2150" t="s">
        <v>1339</v>
      </c>
      <c r="D2150" t="s">
        <v>1340</v>
      </c>
      <c r="E2150" s="9">
        <v>45108</v>
      </c>
      <c r="F2150" s="9">
        <v>45138</v>
      </c>
      <c r="G2150">
        <v>296029119.43872708</v>
      </c>
      <c r="H2150">
        <v>119606868.06</v>
      </c>
      <c r="I2150">
        <v>136248078.63</v>
      </c>
      <c r="J2150">
        <v>18306309.18</v>
      </c>
      <c r="K2150">
        <v>13170897.42</v>
      </c>
      <c r="L2150">
        <v>31607.547000000002</v>
      </c>
      <c r="M2150">
        <v>81462.75</v>
      </c>
      <c r="T2150" s="9">
        <v>45108</v>
      </c>
      <c r="U2150" s="9">
        <v>45473</v>
      </c>
      <c r="V2150">
        <f>SUM(POTABLE_NONPOTABLE_API[[#This Row],[RESIDENTIAL_SINGLEFAMILY_GAL]:[OTHER_GAL]])</f>
        <v>583392880.27572703</v>
      </c>
      <c r="W2150">
        <f>SUM(POTABLE_NONPOTABLE_API[[#This Row],[NONPOTABLE_DEMAND_RESIDENTIAL_RECYCLED_WATER_GAL]:[NONPOTABLE_DEMAND_NONRESIDENTIAL_METERED_IRRIGATION_GAL]])</f>
        <v>0</v>
      </c>
      <c r="X2150" t="str">
        <f>IFERROR(INDEX(Crosswalk_API!$H$2:$H$527, MATCH(POTABLE_NONPOTABLE_API[[#This Row],[PWSID]], CW_PWSID_LIST, 0)), "")</f>
        <v>No</v>
      </c>
    </row>
    <row r="2151" spans="1:24" x14ac:dyDescent="0.25">
      <c r="A2151" t="s">
        <v>1337</v>
      </c>
      <c r="B2151" t="s">
        <v>1338</v>
      </c>
      <c r="C2151" t="s">
        <v>1339</v>
      </c>
      <c r="D2151" t="s">
        <v>1340</v>
      </c>
      <c r="E2151" s="9">
        <v>45139</v>
      </c>
      <c r="F2151" s="9">
        <v>45169</v>
      </c>
      <c r="G2151">
        <v>294924481.59000003</v>
      </c>
      <c r="H2151">
        <v>122604697.25999999</v>
      </c>
      <c r="I2151">
        <v>148610865.56999999</v>
      </c>
      <c r="J2151">
        <v>21926513.790000003</v>
      </c>
      <c r="K2151">
        <v>13464163.32</v>
      </c>
      <c r="L2151">
        <v>31607.547000000002</v>
      </c>
      <c r="M2151">
        <v>71687.22</v>
      </c>
      <c r="T2151" s="9">
        <v>45108</v>
      </c>
      <c r="U2151" s="9">
        <v>45473</v>
      </c>
      <c r="V2151">
        <f>SUM(POTABLE_NONPOTABLE_API[[#This Row],[RESIDENTIAL_SINGLEFAMILY_GAL]:[OTHER_GAL]])</f>
        <v>601562329.07700014</v>
      </c>
      <c r="W2151">
        <f>SUM(POTABLE_NONPOTABLE_API[[#This Row],[NONPOTABLE_DEMAND_RESIDENTIAL_RECYCLED_WATER_GAL]:[NONPOTABLE_DEMAND_NONRESIDENTIAL_METERED_IRRIGATION_GAL]])</f>
        <v>0</v>
      </c>
      <c r="X2151" t="str">
        <f>IFERROR(INDEX(Crosswalk_API!$H$2:$H$527, MATCH(POTABLE_NONPOTABLE_API[[#This Row],[PWSID]], CW_PWSID_LIST, 0)), "")</f>
        <v>No</v>
      </c>
    </row>
    <row r="2152" spans="1:24" x14ac:dyDescent="0.25">
      <c r="A2152" t="s">
        <v>1337</v>
      </c>
      <c r="B2152" t="s">
        <v>1338</v>
      </c>
      <c r="C2152" t="s">
        <v>1339</v>
      </c>
      <c r="D2152" t="s">
        <v>1340</v>
      </c>
      <c r="E2152" s="9">
        <v>45170</v>
      </c>
      <c r="F2152" s="9">
        <v>45199</v>
      </c>
      <c r="G2152">
        <v>269143150.47000003</v>
      </c>
      <c r="H2152">
        <v>115895425.17</v>
      </c>
      <c r="I2152">
        <v>142292614.68000001</v>
      </c>
      <c r="J2152">
        <v>20303775.810000002</v>
      </c>
      <c r="K2152">
        <v>12724481.549999999</v>
      </c>
      <c r="L2152">
        <v>31607.547000000002</v>
      </c>
      <c r="M2152">
        <v>58653.18</v>
      </c>
      <c r="T2152" s="9">
        <v>45108</v>
      </c>
      <c r="U2152" s="9">
        <v>45473</v>
      </c>
      <c r="V2152">
        <f>SUM(POTABLE_NONPOTABLE_API[[#This Row],[RESIDENTIAL_SINGLEFAMILY_GAL]:[OTHER_GAL]])</f>
        <v>560391055.22700012</v>
      </c>
      <c r="W2152">
        <f>SUM(POTABLE_NONPOTABLE_API[[#This Row],[NONPOTABLE_DEMAND_RESIDENTIAL_RECYCLED_WATER_GAL]:[NONPOTABLE_DEMAND_NONRESIDENTIAL_METERED_IRRIGATION_GAL]])</f>
        <v>0</v>
      </c>
      <c r="X2152" t="str">
        <f>IFERROR(INDEX(Crosswalk_API!$H$2:$H$527, MATCH(POTABLE_NONPOTABLE_API[[#This Row],[PWSID]], CW_PWSID_LIST, 0)), "")</f>
        <v>No</v>
      </c>
    </row>
    <row r="2153" spans="1:24" x14ac:dyDescent="0.25">
      <c r="A2153" t="s">
        <v>1337</v>
      </c>
      <c r="B2153" t="s">
        <v>1338</v>
      </c>
      <c r="C2153" t="s">
        <v>1339</v>
      </c>
      <c r="D2153" t="s">
        <v>1340</v>
      </c>
      <c r="E2153" s="9">
        <v>45200</v>
      </c>
      <c r="F2153" s="9">
        <v>45230</v>
      </c>
      <c r="G2153">
        <v>273294492.21000004</v>
      </c>
      <c r="H2153">
        <v>119078989.44</v>
      </c>
      <c r="I2153">
        <v>138239028.24000001</v>
      </c>
      <c r="J2153">
        <v>19606454.670000002</v>
      </c>
      <c r="K2153">
        <v>13627088.82</v>
      </c>
      <c r="L2153">
        <v>31607.547000000002</v>
      </c>
      <c r="M2153">
        <v>55394.670000000006</v>
      </c>
      <c r="T2153" s="9">
        <v>45108</v>
      </c>
      <c r="U2153" s="9">
        <v>45473</v>
      </c>
      <c r="V2153">
        <f>SUM(POTABLE_NONPOTABLE_API[[#This Row],[RESIDENTIAL_SINGLEFAMILY_GAL]:[OTHER_GAL]])</f>
        <v>563877660.92700016</v>
      </c>
      <c r="W2153">
        <f>SUM(POTABLE_NONPOTABLE_API[[#This Row],[NONPOTABLE_DEMAND_RESIDENTIAL_RECYCLED_WATER_GAL]:[NONPOTABLE_DEMAND_NONRESIDENTIAL_METERED_IRRIGATION_GAL]])</f>
        <v>0</v>
      </c>
      <c r="X2153" t="str">
        <f>IFERROR(INDEX(Crosswalk_API!$H$2:$H$527, MATCH(POTABLE_NONPOTABLE_API[[#This Row],[PWSID]], CW_PWSID_LIST, 0)), "")</f>
        <v>No</v>
      </c>
    </row>
    <row r="2154" spans="1:24" x14ac:dyDescent="0.25">
      <c r="A2154" t="s">
        <v>1337</v>
      </c>
      <c r="B2154" t="s">
        <v>1338</v>
      </c>
      <c r="C2154" t="s">
        <v>1339</v>
      </c>
      <c r="D2154" t="s">
        <v>1340</v>
      </c>
      <c r="E2154" s="9">
        <v>45231</v>
      </c>
      <c r="F2154" s="9">
        <v>45260</v>
      </c>
      <c r="G2154">
        <v>243635534.19000003</v>
      </c>
      <c r="H2154">
        <v>111597450.48</v>
      </c>
      <c r="I2154">
        <v>135195579.90000001</v>
      </c>
      <c r="J2154">
        <v>16934476.469999999</v>
      </c>
      <c r="K2154">
        <v>12998196.390000001</v>
      </c>
      <c r="L2154">
        <v>31607.547000000002</v>
      </c>
      <c r="M2154">
        <v>48877.65</v>
      </c>
      <c r="T2154" s="9">
        <v>45108</v>
      </c>
      <c r="U2154" s="9">
        <v>45473</v>
      </c>
      <c r="V2154">
        <f>SUM(POTABLE_NONPOTABLE_API[[#This Row],[RESIDENTIAL_SINGLEFAMILY_GAL]:[OTHER_GAL]])</f>
        <v>520392844.97700006</v>
      </c>
      <c r="W2154">
        <f>SUM(POTABLE_NONPOTABLE_API[[#This Row],[NONPOTABLE_DEMAND_RESIDENTIAL_RECYCLED_WATER_GAL]:[NONPOTABLE_DEMAND_NONRESIDENTIAL_METERED_IRRIGATION_GAL]])</f>
        <v>0</v>
      </c>
      <c r="X2154" t="str">
        <f>IFERROR(INDEX(Crosswalk_API!$H$2:$H$527, MATCH(POTABLE_NONPOTABLE_API[[#This Row],[PWSID]], CW_PWSID_LIST, 0)), "")</f>
        <v>No</v>
      </c>
    </row>
    <row r="2155" spans="1:24" x14ac:dyDescent="0.25">
      <c r="A2155" t="s">
        <v>1337</v>
      </c>
      <c r="B2155" t="s">
        <v>1338</v>
      </c>
      <c r="C2155" t="s">
        <v>1339</v>
      </c>
      <c r="D2155" t="s">
        <v>1340</v>
      </c>
      <c r="E2155" s="9">
        <v>45261</v>
      </c>
      <c r="F2155" s="9">
        <v>45291</v>
      </c>
      <c r="G2155">
        <v>228317278.67999998</v>
      </c>
      <c r="H2155">
        <v>111936335.52</v>
      </c>
      <c r="I2155">
        <v>150070678.05000001</v>
      </c>
      <c r="J2155">
        <v>13193706.99</v>
      </c>
      <c r="K2155">
        <v>12294358.229999999</v>
      </c>
      <c r="L2155">
        <v>31607.547000000002</v>
      </c>
      <c r="M2155">
        <v>48877.65</v>
      </c>
      <c r="T2155" s="9">
        <v>45108</v>
      </c>
      <c r="U2155" s="9">
        <v>45473</v>
      </c>
      <c r="V2155">
        <f>SUM(POTABLE_NONPOTABLE_API[[#This Row],[RESIDENTIAL_SINGLEFAMILY_GAL]:[OTHER_GAL]])</f>
        <v>515843965.01700002</v>
      </c>
      <c r="W2155">
        <f>SUM(POTABLE_NONPOTABLE_API[[#This Row],[NONPOTABLE_DEMAND_RESIDENTIAL_RECYCLED_WATER_GAL]:[NONPOTABLE_DEMAND_NONRESIDENTIAL_METERED_IRRIGATION_GAL]])</f>
        <v>0</v>
      </c>
      <c r="X2155" t="str">
        <f>IFERROR(INDEX(Crosswalk_API!$H$2:$H$527, MATCH(POTABLE_NONPOTABLE_API[[#This Row],[PWSID]], CW_PWSID_LIST, 0)), "")</f>
        <v>No</v>
      </c>
    </row>
    <row r="2156" spans="1:24" x14ac:dyDescent="0.25">
      <c r="A2156" t="s">
        <v>1337</v>
      </c>
      <c r="B2156" t="s">
        <v>1338</v>
      </c>
      <c r="C2156" t="s">
        <v>1339</v>
      </c>
      <c r="D2156" t="s">
        <v>1340</v>
      </c>
      <c r="E2156" s="9">
        <v>45292</v>
      </c>
      <c r="F2156" s="9">
        <v>45322</v>
      </c>
      <c r="G2156">
        <v>213738704.94000003</v>
      </c>
      <c r="H2156">
        <v>109854147.63</v>
      </c>
      <c r="I2156">
        <v>109068846.72000001</v>
      </c>
      <c r="J2156">
        <v>9958006.5599999987</v>
      </c>
      <c r="K2156">
        <v>11704567.92</v>
      </c>
      <c r="L2156">
        <v>31607.547000000002</v>
      </c>
      <c r="M2156">
        <v>45619.140000000007</v>
      </c>
      <c r="T2156" s="9">
        <v>45108</v>
      </c>
      <c r="U2156" s="9">
        <v>45473</v>
      </c>
      <c r="V2156">
        <f>SUM(POTABLE_NONPOTABLE_API[[#This Row],[RESIDENTIAL_SINGLEFAMILY_GAL]:[OTHER_GAL]])</f>
        <v>454355881.31700009</v>
      </c>
      <c r="W2156">
        <f>SUM(POTABLE_NONPOTABLE_API[[#This Row],[NONPOTABLE_DEMAND_RESIDENTIAL_RECYCLED_WATER_GAL]:[NONPOTABLE_DEMAND_NONRESIDENTIAL_METERED_IRRIGATION_GAL]])</f>
        <v>0</v>
      </c>
      <c r="X2156" t="str">
        <f>IFERROR(INDEX(Crosswalk_API!$H$2:$H$527, MATCH(POTABLE_NONPOTABLE_API[[#This Row],[PWSID]], CW_PWSID_LIST, 0)), "")</f>
        <v>No</v>
      </c>
    </row>
    <row r="2157" spans="1:24" x14ac:dyDescent="0.25">
      <c r="A2157" t="s">
        <v>1337</v>
      </c>
      <c r="B2157" t="s">
        <v>1338</v>
      </c>
      <c r="C2157" t="s">
        <v>1339</v>
      </c>
      <c r="D2157" t="s">
        <v>1340</v>
      </c>
      <c r="E2157" s="9">
        <v>45323</v>
      </c>
      <c r="F2157" s="9">
        <v>45351</v>
      </c>
      <c r="G2157">
        <v>189000097.01999998</v>
      </c>
      <c r="H2157">
        <v>97530462.810000002</v>
      </c>
      <c r="I2157">
        <v>90459496.109999999</v>
      </c>
      <c r="J2157">
        <v>7162204.9800000004</v>
      </c>
      <c r="K2157">
        <v>10775892.57</v>
      </c>
      <c r="L2157">
        <v>31607.547000000002</v>
      </c>
      <c r="M2157">
        <v>26068.080000000002</v>
      </c>
      <c r="T2157" s="9">
        <v>45108</v>
      </c>
      <c r="U2157" s="9">
        <v>45473</v>
      </c>
      <c r="V2157">
        <f>SUM(POTABLE_NONPOTABLE_API[[#This Row],[RESIDENTIAL_SINGLEFAMILY_GAL]:[OTHER_GAL]])</f>
        <v>394959761.037</v>
      </c>
      <c r="W2157">
        <f>SUM(POTABLE_NONPOTABLE_API[[#This Row],[NONPOTABLE_DEMAND_RESIDENTIAL_RECYCLED_WATER_GAL]:[NONPOTABLE_DEMAND_NONRESIDENTIAL_METERED_IRRIGATION_GAL]])</f>
        <v>0</v>
      </c>
      <c r="X2157" t="str">
        <f>IFERROR(INDEX(Crosswalk_API!$H$2:$H$527, MATCH(POTABLE_NONPOTABLE_API[[#This Row],[PWSID]], CW_PWSID_LIST, 0)), "")</f>
        <v>No</v>
      </c>
    </row>
    <row r="2158" spans="1:24" x14ac:dyDescent="0.25">
      <c r="A2158" t="s">
        <v>1337</v>
      </c>
      <c r="B2158" t="s">
        <v>1338</v>
      </c>
      <c r="C2158" t="s">
        <v>1339</v>
      </c>
      <c r="D2158" t="s">
        <v>1340</v>
      </c>
      <c r="E2158" s="9">
        <v>45352</v>
      </c>
      <c r="F2158" s="9">
        <v>45382</v>
      </c>
      <c r="G2158">
        <v>207889679.49000001</v>
      </c>
      <c r="H2158">
        <v>108674567.00999999</v>
      </c>
      <c r="I2158">
        <v>99857038.950000003</v>
      </c>
      <c r="J2158">
        <v>9309563.0700000003</v>
      </c>
      <c r="K2158">
        <v>11587261.560000001</v>
      </c>
      <c r="L2158">
        <v>31607.547000000002</v>
      </c>
      <c r="M2158">
        <v>9775.5299999999988</v>
      </c>
      <c r="T2158" s="9">
        <v>45108</v>
      </c>
      <c r="U2158" s="9">
        <v>45473</v>
      </c>
      <c r="V2158">
        <f>SUM(POTABLE_NONPOTABLE_API[[#This Row],[RESIDENTIAL_SINGLEFAMILY_GAL]:[OTHER_GAL]])</f>
        <v>437349717.62699997</v>
      </c>
      <c r="W2158">
        <f>SUM(POTABLE_NONPOTABLE_API[[#This Row],[NONPOTABLE_DEMAND_RESIDENTIAL_RECYCLED_WATER_GAL]:[NONPOTABLE_DEMAND_NONRESIDENTIAL_METERED_IRRIGATION_GAL]])</f>
        <v>0</v>
      </c>
      <c r="X2158" t="str">
        <f>IFERROR(INDEX(Crosswalk_API!$H$2:$H$527, MATCH(POTABLE_NONPOTABLE_API[[#This Row],[PWSID]], CW_PWSID_LIST, 0)), "")</f>
        <v>No</v>
      </c>
    </row>
    <row r="2159" spans="1:24" x14ac:dyDescent="0.25">
      <c r="A2159" t="s">
        <v>1337</v>
      </c>
      <c r="B2159" t="s">
        <v>1338</v>
      </c>
      <c r="C2159" t="s">
        <v>1339</v>
      </c>
      <c r="D2159" t="s">
        <v>1340</v>
      </c>
      <c r="E2159" s="9">
        <v>45383</v>
      </c>
      <c r="F2159" s="9">
        <v>45412</v>
      </c>
      <c r="G2159">
        <v>220940012.03999999</v>
      </c>
      <c r="H2159">
        <v>106230684.50999999</v>
      </c>
      <c r="I2159">
        <v>112992092.75999999</v>
      </c>
      <c r="J2159">
        <v>13372925.039999999</v>
      </c>
      <c r="K2159">
        <v>12620209.229999999</v>
      </c>
      <c r="L2159">
        <v>31607.547000000002</v>
      </c>
      <c r="M2159">
        <v>32585.100000000002</v>
      </c>
      <c r="T2159" s="9">
        <v>45108</v>
      </c>
      <c r="U2159" s="9">
        <v>45473</v>
      </c>
      <c r="V2159">
        <f>SUM(POTABLE_NONPOTABLE_API[[#This Row],[RESIDENTIAL_SINGLEFAMILY_GAL]:[OTHER_GAL]])</f>
        <v>466187531.12699997</v>
      </c>
      <c r="W2159">
        <f>SUM(POTABLE_NONPOTABLE_API[[#This Row],[NONPOTABLE_DEMAND_RESIDENTIAL_RECYCLED_WATER_GAL]:[NONPOTABLE_DEMAND_NONRESIDENTIAL_METERED_IRRIGATION_GAL]])</f>
        <v>0</v>
      </c>
      <c r="X2159" t="str">
        <f>IFERROR(INDEX(Crosswalk_API!$H$2:$H$527, MATCH(POTABLE_NONPOTABLE_API[[#This Row],[PWSID]], CW_PWSID_LIST, 0)), "")</f>
        <v>No</v>
      </c>
    </row>
    <row r="2160" spans="1:24" x14ac:dyDescent="0.25">
      <c r="A2160" t="s">
        <v>1337</v>
      </c>
      <c r="B2160" t="s">
        <v>1338</v>
      </c>
      <c r="C2160" t="s">
        <v>1339</v>
      </c>
      <c r="D2160" t="s">
        <v>1340</v>
      </c>
      <c r="E2160" s="9">
        <v>45413</v>
      </c>
      <c r="F2160" s="9">
        <v>45443</v>
      </c>
      <c r="G2160">
        <v>255854946.69000003</v>
      </c>
      <c r="H2160">
        <v>114005489.37</v>
      </c>
      <c r="I2160">
        <v>125524322.22000001</v>
      </c>
      <c r="J2160">
        <v>17201674.289999999</v>
      </c>
      <c r="K2160">
        <v>13470680.340000002</v>
      </c>
      <c r="L2160">
        <v>31607.547000000002</v>
      </c>
      <c r="M2160">
        <v>55394.670000000006</v>
      </c>
      <c r="T2160" s="9">
        <v>45108</v>
      </c>
      <c r="U2160" s="9">
        <v>45473</v>
      </c>
      <c r="V2160">
        <f>SUM(POTABLE_NONPOTABLE_API[[#This Row],[RESIDENTIAL_SINGLEFAMILY_GAL]:[OTHER_GAL]])</f>
        <v>526088720.45700008</v>
      </c>
      <c r="W2160">
        <f>SUM(POTABLE_NONPOTABLE_API[[#This Row],[NONPOTABLE_DEMAND_RESIDENTIAL_RECYCLED_WATER_GAL]:[NONPOTABLE_DEMAND_NONRESIDENTIAL_METERED_IRRIGATION_GAL]])</f>
        <v>0</v>
      </c>
      <c r="X2160" t="str">
        <f>IFERROR(INDEX(Crosswalk_API!$H$2:$H$527, MATCH(POTABLE_NONPOTABLE_API[[#This Row],[PWSID]], CW_PWSID_LIST, 0)), "")</f>
        <v>No</v>
      </c>
    </row>
    <row r="2161" spans="1:24" x14ac:dyDescent="0.25">
      <c r="A2161" t="s">
        <v>1337</v>
      </c>
      <c r="B2161" t="s">
        <v>1338</v>
      </c>
      <c r="C2161" t="s">
        <v>1339</v>
      </c>
      <c r="D2161" t="s">
        <v>1340</v>
      </c>
      <c r="E2161" s="9">
        <v>45444</v>
      </c>
      <c r="F2161" s="9">
        <v>45473</v>
      </c>
      <c r="G2161">
        <v>271385005.35000002</v>
      </c>
      <c r="H2161">
        <v>115804186.89</v>
      </c>
      <c r="I2161">
        <v>147721292.34</v>
      </c>
      <c r="J2161">
        <v>20046353.52</v>
      </c>
      <c r="K2161">
        <v>13451129.280000001</v>
      </c>
      <c r="L2161">
        <v>31607.547000000002</v>
      </c>
      <c r="M2161">
        <v>68428.709999999992</v>
      </c>
      <c r="T2161" s="9">
        <v>45108</v>
      </c>
      <c r="U2161" s="9">
        <v>45473</v>
      </c>
      <c r="V2161">
        <f>SUM(POTABLE_NONPOTABLE_API[[#This Row],[RESIDENTIAL_SINGLEFAMILY_GAL]:[OTHER_GAL]])</f>
        <v>568439574.92700005</v>
      </c>
      <c r="W2161">
        <f>SUM(POTABLE_NONPOTABLE_API[[#This Row],[NONPOTABLE_DEMAND_RESIDENTIAL_RECYCLED_WATER_GAL]:[NONPOTABLE_DEMAND_NONRESIDENTIAL_METERED_IRRIGATION_GAL]])</f>
        <v>0</v>
      </c>
      <c r="X2161" t="str">
        <f>IFERROR(INDEX(Crosswalk_API!$H$2:$H$527, MATCH(POTABLE_NONPOTABLE_API[[#This Row],[PWSID]], CW_PWSID_LIST, 0)), "")</f>
        <v>No</v>
      </c>
    </row>
    <row r="2162" spans="1:24" x14ac:dyDescent="0.25">
      <c r="A2162" t="s">
        <v>1341</v>
      </c>
      <c r="B2162" t="s">
        <v>1342</v>
      </c>
      <c r="C2162" t="s">
        <v>1343</v>
      </c>
      <c r="D2162" t="s">
        <v>1344</v>
      </c>
      <c r="E2162" s="9">
        <v>45108</v>
      </c>
      <c r="F2162" s="9">
        <v>45138</v>
      </c>
      <c r="G2162">
        <v>48006532.580540001</v>
      </c>
      <c r="H2162">
        <v>546691.36264000006</v>
      </c>
      <c r="I2162">
        <v>1927086.67928</v>
      </c>
      <c r="J2162">
        <v>6446513.9022200005</v>
      </c>
      <c r="K2162">
        <v>4730546.1986400001</v>
      </c>
      <c r="L2162">
        <v>70698.394520000002</v>
      </c>
      <c r="M2162">
        <v>0</v>
      </c>
      <c r="T2162" s="9">
        <v>45108</v>
      </c>
      <c r="U2162" s="9">
        <v>45473</v>
      </c>
      <c r="V2162">
        <f>SUM(POTABLE_NONPOTABLE_API[[#This Row],[RESIDENTIAL_SINGLEFAMILY_GAL]:[OTHER_GAL]])</f>
        <v>61728069.117840007</v>
      </c>
      <c r="W2162">
        <f>SUM(POTABLE_NONPOTABLE_API[[#This Row],[NONPOTABLE_DEMAND_RESIDENTIAL_RECYCLED_WATER_GAL]:[NONPOTABLE_DEMAND_NONRESIDENTIAL_METERED_IRRIGATION_GAL]])</f>
        <v>0</v>
      </c>
      <c r="X2162" t="str">
        <f>IFERROR(INDEX(Crosswalk_API!$H$2:$H$527, MATCH(POTABLE_NONPOTABLE_API[[#This Row],[PWSID]], CW_PWSID_LIST, 0)), "")</f>
        <v>No</v>
      </c>
    </row>
    <row r="2163" spans="1:24" x14ac:dyDescent="0.25">
      <c r="A2163" t="s">
        <v>1341</v>
      </c>
      <c r="B2163" t="s">
        <v>1342</v>
      </c>
      <c r="C2163" t="s">
        <v>1343</v>
      </c>
      <c r="D2163" t="s">
        <v>1344</v>
      </c>
      <c r="E2163" s="9">
        <v>45139</v>
      </c>
      <c r="F2163" s="9">
        <v>45169</v>
      </c>
      <c r="G2163">
        <v>48006532.580540001</v>
      </c>
      <c r="H2163">
        <v>546691.36264000006</v>
      </c>
      <c r="I2163">
        <v>1927086.67928</v>
      </c>
      <c r="J2163">
        <v>6446513.9022200005</v>
      </c>
      <c r="K2163">
        <v>4730546.1986400001</v>
      </c>
      <c r="L2163">
        <v>70698.394520000002</v>
      </c>
      <c r="M2163">
        <v>0</v>
      </c>
      <c r="T2163" s="9">
        <v>45108</v>
      </c>
      <c r="U2163" s="9">
        <v>45473</v>
      </c>
      <c r="V2163">
        <f>SUM(POTABLE_NONPOTABLE_API[[#This Row],[RESIDENTIAL_SINGLEFAMILY_GAL]:[OTHER_GAL]])</f>
        <v>61728069.117840007</v>
      </c>
      <c r="W2163">
        <f>SUM(POTABLE_NONPOTABLE_API[[#This Row],[NONPOTABLE_DEMAND_RESIDENTIAL_RECYCLED_WATER_GAL]:[NONPOTABLE_DEMAND_NONRESIDENTIAL_METERED_IRRIGATION_GAL]])</f>
        <v>0</v>
      </c>
      <c r="X2163" t="str">
        <f>IFERROR(INDEX(Crosswalk_API!$H$2:$H$527, MATCH(POTABLE_NONPOTABLE_API[[#This Row],[PWSID]], CW_PWSID_LIST, 0)), "")</f>
        <v>No</v>
      </c>
    </row>
    <row r="2164" spans="1:24" x14ac:dyDescent="0.25">
      <c r="A2164" t="s">
        <v>1341</v>
      </c>
      <c r="B2164" t="s">
        <v>1342</v>
      </c>
      <c r="C2164" t="s">
        <v>1343</v>
      </c>
      <c r="D2164" t="s">
        <v>1344</v>
      </c>
      <c r="E2164" s="9">
        <v>45170</v>
      </c>
      <c r="F2164" s="9">
        <v>45199</v>
      </c>
      <c r="G2164">
        <v>4103858.1551200002</v>
      </c>
      <c r="H2164">
        <v>414907.04180000001</v>
      </c>
      <c r="I2164">
        <v>1395375.05794</v>
      </c>
      <c r="J2164">
        <v>2434826.9742800002</v>
      </c>
      <c r="K2164">
        <v>3973375.4447600003</v>
      </c>
      <c r="L2164">
        <v>50860.055479999995</v>
      </c>
      <c r="M2164">
        <v>0</v>
      </c>
      <c r="N2164">
        <v>0</v>
      </c>
      <c r="O2164">
        <v>246213015.59999999</v>
      </c>
      <c r="P2164">
        <v>0</v>
      </c>
      <c r="Q2164">
        <v>0</v>
      </c>
      <c r="R2164">
        <v>0</v>
      </c>
      <c r="S2164">
        <v>0</v>
      </c>
      <c r="T2164" s="9">
        <v>45108</v>
      </c>
      <c r="U2164" s="9">
        <v>45473</v>
      </c>
      <c r="V2164">
        <f>SUM(POTABLE_NONPOTABLE_API[[#This Row],[RESIDENTIAL_SINGLEFAMILY_GAL]:[OTHER_GAL]])</f>
        <v>12373202.72938</v>
      </c>
      <c r="W2164">
        <f>SUM(POTABLE_NONPOTABLE_API[[#This Row],[NONPOTABLE_DEMAND_RESIDENTIAL_RECYCLED_WATER_GAL]:[NONPOTABLE_DEMAND_NONRESIDENTIAL_METERED_IRRIGATION_GAL]])</f>
        <v>246213015.59999999</v>
      </c>
      <c r="X2164" t="str">
        <f>IFERROR(INDEX(Crosswalk_API!$H$2:$H$527, MATCH(POTABLE_NONPOTABLE_API[[#This Row],[PWSID]], CW_PWSID_LIST, 0)), "")</f>
        <v>No</v>
      </c>
    </row>
    <row r="2165" spans="1:24" x14ac:dyDescent="0.25">
      <c r="A2165" t="s">
        <v>1341</v>
      </c>
      <c r="B2165" t="s">
        <v>1342</v>
      </c>
      <c r="C2165" t="s">
        <v>1343</v>
      </c>
      <c r="D2165" t="s">
        <v>1344</v>
      </c>
      <c r="E2165" s="9">
        <v>45200</v>
      </c>
      <c r="F2165" s="9">
        <v>45230</v>
      </c>
      <c r="G2165">
        <v>4103881.3447320005</v>
      </c>
      <c r="H2165">
        <v>414907.04180000001</v>
      </c>
      <c r="I2165">
        <v>1395371.3176799999</v>
      </c>
      <c r="J2165">
        <v>2434826.9742800002</v>
      </c>
      <c r="K2165">
        <v>3973375.4447600003</v>
      </c>
      <c r="L2165">
        <v>50860.055479999995</v>
      </c>
      <c r="M2165">
        <v>0</v>
      </c>
      <c r="T2165" s="9">
        <v>45108</v>
      </c>
      <c r="U2165" s="9">
        <v>45473</v>
      </c>
      <c r="V2165">
        <f>SUM(POTABLE_NONPOTABLE_API[[#This Row],[RESIDENTIAL_SINGLEFAMILY_GAL]:[OTHER_GAL]])</f>
        <v>12373222.178732</v>
      </c>
      <c r="W2165">
        <f>SUM(POTABLE_NONPOTABLE_API[[#This Row],[NONPOTABLE_DEMAND_RESIDENTIAL_RECYCLED_WATER_GAL]:[NONPOTABLE_DEMAND_NONRESIDENTIAL_METERED_IRRIGATION_GAL]])</f>
        <v>0</v>
      </c>
      <c r="X2165" t="str">
        <f>IFERROR(INDEX(Crosswalk_API!$H$2:$H$527, MATCH(POTABLE_NONPOTABLE_API[[#This Row],[PWSID]], CW_PWSID_LIST, 0)), "")</f>
        <v>No</v>
      </c>
    </row>
    <row r="2166" spans="1:24" x14ac:dyDescent="0.25">
      <c r="A2166" t="s">
        <v>1341</v>
      </c>
      <c r="B2166" t="s">
        <v>1342</v>
      </c>
      <c r="C2166" t="s">
        <v>1343</v>
      </c>
      <c r="D2166" t="s">
        <v>1344</v>
      </c>
      <c r="E2166" s="9">
        <v>45231</v>
      </c>
      <c r="F2166" s="9">
        <v>45260</v>
      </c>
      <c r="G2166">
        <v>20518886.827519998</v>
      </c>
      <c r="H2166">
        <v>333900.49072</v>
      </c>
      <c r="I2166">
        <v>1004315.9139</v>
      </c>
      <c r="J2166">
        <v>571343.41630000004</v>
      </c>
      <c r="K2166">
        <v>673994.85200000007</v>
      </c>
      <c r="L2166">
        <v>32558.963299999999</v>
      </c>
      <c r="M2166">
        <v>0</v>
      </c>
      <c r="T2166" s="9">
        <v>45108</v>
      </c>
      <c r="U2166" s="9">
        <v>45473</v>
      </c>
      <c r="V2166">
        <f>SUM(POTABLE_NONPOTABLE_API[[#This Row],[RESIDENTIAL_SINGLEFAMILY_GAL]:[OTHER_GAL]])</f>
        <v>23135000.463739999</v>
      </c>
      <c r="W2166">
        <f>SUM(POTABLE_NONPOTABLE_API[[#This Row],[NONPOTABLE_DEMAND_RESIDENTIAL_RECYCLED_WATER_GAL]:[NONPOTABLE_DEMAND_NONRESIDENTIAL_METERED_IRRIGATION_GAL]])</f>
        <v>0</v>
      </c>
      <c r="X2166" t="str">
        <f>IFERROR(INDEX(Crosswalk_API!$H$2:$H$527, MATCH(POTABLE_NONPOTABLE_API[[#This Row],[PWSID]], CW_PWSID_LIST, 0)), "")</f>
        <v>No</v>
      </c>
    </row>
    <row r="2167" spans="1:24" x14ac:dyDescent="0.25">
      <c r="A2167" t="s">
        <v>1341</v>
      </c>
      <c r="B2167" t="s">
        <v>1342</v>
      </c>
      <c r="C2167" t="s">
        <v>1343</v>
      </c>
      <c r="D2167" t="s">
        <v>1344</v>
      </c>
      <c r="E2167" s="9">
        <v>45261</v>
      </c>
      <c r="F2167" s="9">
        <v>45291</v>
      </c>
      <c r="G2167">
        <v>20518890.567779999</v>
      </c>
      <c r="H2167">
        <v>333900.49072</v>
      </c>
      <c r="I2167">
        <v>1004315.9139</v>
      </c>
      <c r="J2167">
        <v>571343.41630000004</v>
      </c>
      <c r="K2167">
        <v>673994.85200000007</v>
      </c>
      <c r="L2167">
        <v>32558.963299999999</v>
      </c>
      <c r="M2167">
        <v>0</v>
      </c>
      <c r="T2167" s="9">
        <v>45108</v>
      </c>
      <c r="U2167" s="9">
        <v>45473</v>
      </c>
      <c r="V2167">
        <f>SUM(POTABLE_NONPOTABLE_API[[#This Row],[RESIDENTIAL_SINGLEFAMILY_GAL]:[OTHER_GAL]])</f>
        <v>23135004.204</v>
      </c>
      <c r="W2167">
        <f>SUM(POTABLE_NONPOTABLE_API[[#This Row],[NONPOTABLE_DEMAND_RESIDENTIAL_RECYCLED_WATER_GAL]:[NONPOTABLE_DEMAND_NONRESIDENTIAL_METERED_IRRIGATION_GAL]])</f>
        <v>0</v>
      </c>
      <c r="X2167" t="str">
        <f>IFERROR(INDEX(Crosswalk_API!$H$2:$H$527, MATCH(POTABLE_NONPOTABLE_API[[#This Row],[PWSID]], CW_PWSID_LIST, 0)), "")</f>
        <v>No</v>
      </c>
    </row>
    <row r="2168" spans="1:24" x14ac:dyDescent="0.25">
      <c r="A2168" t="s">
        <v>1341</v>
      </c>
      <c r="B2168" t="s">
        <v>1342</v>
      </c>
      <c r="C2168" t="s">
        <v>1343</v>
      </c>
      <c r="D2168" t="s">
        <v>1344</v>
      </c>
      <c r="E2168" s="9">
        <v>45292</v>
      </c>
      <c r="F2168" s="9">
        <v>45322</v>
      </c>
      <c r="G2168">
        <v>19651086.66336</v>
      </c>
      <c r="H2168">
        <v>341904.64712000004</v>
      </c>
      <c r="I2168">
        <v>1031683.3963200001</v>
      </c>
      <c r="J2168">
        <v>112716.47536000001</v>
      </c>
      <c r="K2168">
        <v>517464.97100000002</v>
      </c>
      <c r="L2168">
        <v>27431.066840000003</v>
      </c>
      <c r="M2168">
        <v>0</v>
      </c>
      <c r="T2168" s="9">
        <v>45108</v>
      </c>
      <c r="U2168" s="9">
        <v>45473</v>
      </c>
      <c r="V2168">
        <f>SUM(POTABLE_NONPOTABLE_API[[#This Row],[RESIDENTIAL_SINGLEFAMILY_GAL]:[OTHER_GAL]])</f>
        <v>21682287.219999999</v>
      </c>
      <c r="W2168">
        <f>SUM(POTABLE_NONPOTABLE_API[[#This Row],[NONPOTABLE_DEMAND_RESIDENTIAL_RECYCLED_WATER_GAL]:[NONPOTABLE_DEMAND_NONRESIDENTIAL_METERED_IRRIGATION_GAL]])</f>
        <v>0</v>
      </c>
      <c r="X2168" t="str">
        <f>IFERROR(INDEX(Crosswalk_API!$H$2:$H$527, MATCH(POTABLE_NONPOTABLE_API[[#This Row],[PWSID]], CW_PWSID_LIST, 0)), "")</f>
        <v>No</v>
      </c>
    </row>
    <row r="2169" spans="1:24" x14ac:dyDescent="0.25">
      <c r="A2169" t="s">
        <v>1341</v>
      </c>
      <c r="B2169" t="s">
        <v>1342</v>
      </c>
      <c r="C2169" t="s">
        <v>1343</v>
      </c>
      <c r="D2169" t="s">
        <v>1344</v>
      </c>
      <c r="E2169" s="9">
        <v>45323</v>
      </c>
      <c r="F2169" s="9">
        <v>45351</v>
      </c>
      <c r="G2169">
        <v>19651094.143879998</v>
      </c>
      <c r="H2169">
        <v>341904.64712000004</v>
      </c>
      <c r="I2169">
        <v>1031683.3963200001</v>
      </c>
      <c r="J2169">
        <v>112716.47536000001</v>
      </c>
      <c r="K2169">
        <v>517464.97100000002</v>
      </c>
      <c r="L2169">
        <v>27431.066840000003</v>
      </c>
      <c r="M2169">
        <v>0</v>
      </c>
      <c r="T2169" s="9">
        <v>45108</v>
      </c>
      <c r="U2169" s="9">
        <v>45473</v>
      </c>
      <c r="V2169">
        <f>SUM(POTABLE_NONPOTABLE_API[[#This Row],[RESIDENTIAL_SINGLEFAMILY_GAL]:[OTHER_GAL]])</f>
        <v>21682294.700519998</v>
      </c>
      <c r="W2169">
        <f>SUM(POTABLE_NONPOTABLE_API[[#This Row],[NONPOTABLE_DEMAND_RESIDENTIAL_RECYCLED_WATER_GAL]:[NONPOTABLE_DEMAND_NONRESIDENTIAL_METERED_IRRIGATION_GAL]])</f>
        <v>0</v>
      </c>
      <c r="X2169" t="str">
        <f>IFERROR(INDEX(Crosswalk_API!$H$2:$H$527, MATCH(POTABLE_NONPOTABLE_API[[#This Row],[PWSID]], CW_PWSID_LIST, 0)), "")</f>
        <v>No</v>
      </c>
    </row>
    <row r="2170" spans="1:24" x14ac:dyDescent="0.25">
      <c r="A2170" t="s">
        <v>1341</v>
      </c>
      <c r="B2170" t="s">
        <v>1342</v>
      </c>
      <c r="C2170" t="s">
        <v>1343</v>
      </c>
      <c r="D2170" t="s">
        <v>1344</v>
      </c>
      <c r="E2170" s="9">
        <v>45352</v>
      </c>
      <c r="F2170" s="9">
        <v>45382</v>
      </c>
      <c r="G2170">
        <v>19548005.097760003</v>
      </c>
      <c r="H2170">
        <v>340528.23144</v>
      </c>
      <c r="I2170">
        <v>1068233.21704</v>
      </c>
      <c r="J2170">
        <v>241112.12064000001</v>
      </c>
      <c r="K2170">
        <v>579867.46883999999</v>
      </c>
      <c r="L2170">
        <v>44000.418640000004</v>
      </c>
      <c r="M2170">
        <v>0</v>
      </c>
      <c r="T2170" s="9">
        <v>45108</v>
      </c>
      <c r="U2170" s="9">
        <v>45473</v>
      </c>
      <c r="V2170">
        <f>SUM(POTABLE_NONPOTABLE_API[[#This Row],[RESIDENTIAL_SINGLEFAMILY_GAL]:[OTHER_GAL]])</f>
        <v>21821746.554359999</v>
      </c>
      <c r="W2170">
        <f>SUM(POTABLE_NONPOTABLE_API[[#This Row],[NONPOTABLE_DEMAND_RESIDENTIAL_RECYCLED_WATER_GAL]:[NONPOTABLE_DEMAND_NONRESIDENTIAL_METERED_IRRIGATION_GAL]])</f>
        <v>0</v>
      </c>
      <c r="X2170" t="str">
        <f>IFERROR(INDEX(Crosswalk_API!$H$2:$H$527, MATCH(POTABLE_NONPOTABLE_API[[#This Row],[PWSID]], CW_PWSID_LIST, 0)), "")</f>
        <v>No</v>
      </c>
    </row>
    <row r="2171" spans="1:24" x14ac:dyDescent="0.25">
      <c r="A2171" t="s">
        <v>1341</v>
      </c>
      <c r="B2171" t="s">
        <v>1342</v>
      </c>
      <c r="C2171" t="s">
        <v>1343</v>
      </c>
      <c r="D2171" t="s">
        <v>1344</v>
      </c>
      <c r="E2171" s="9">
        <v>45383</v>
      </c>
      <c r="F2171" s="9">
        <v>45412</v>
      </c>
      <c r="G2171">
        <v>19548005.097760003</v>
      </c>
      <c r="H2171">
        <v>340528.23144</v>
      </c>
      <c r="I2171">
        <v>1068233.21704</v>
      </c>
      <c r="J2171">
        <v>241044.79596000002</v>
      </c>
      <c r="K2171">
        <v>579867.46883999999</v>
      </c>
      <c r="L2171">
        <v>44000.418640000004</v>
      </c>
      <c r="M2171">
        <v>0</v>
      </c>
      <c r="T2171" s="9">
        <v>45108</v>
      </c>
      <c r="U2171" s="9">
        <v>45473</v>
      </c>
      <c r="V2171">
        <f>SUM(POTABLE_NONPOTABLE_API[[#This Row],[RESIDENTIAL_SINGLEFAMILY_GAL]:[OTHER_GAL]])</f>
        <v>21821679.229680002</v>
      </c>
      <c r="W2171">
        <f>SUM(POTABLE_NONPOTABLE_API[[#This Row],[NONPOTABLE_DEMAND_RESIDENTIAL_RECYCLED_WATER_GAL]:[NONPOTABLE_DEMAND_NONRESIDENTIAL_METERED_IRRIGATION_GAL]])</f>
        <v>0</v>
      </c>
      <c r="X2171" t="str">
        <f>IFERROR(INDEX(Crosswalk_API!$H$2:$H$527, MATCH(POTABLE_NONPOTABLE_API[[#This Row],[PWSID]], CW_PWSID_LIST, 0)), "")</f>
        <v>No</v>
      </c>
    </row>
    <row r="2172" spans="1:24" x14ac:dyDescent="0.25">
      <c r="A2172" t="s">
        <v>1341</v>
      </c>
      <c r="B2172" t="s">
        <v>1342</v>
      </c>
      <c r="C2172" t="s">
        <v>1343</v>
      </c>
      <c r="D2172" t="s">
        <v>1344</v>
      </c>
      <c r="E2172" s="9">
        <v>45413</v>
      </c>
      <c r="F2172" s="9">
        <v>45443</v>
      </c>
      <c r="G2172">
        <v>31346685.18984</v>
      </c>
      <c r="H2172">
        <v>476030.37072000001</v>
      </c>
      <c r="I2172">
        <v>1405021.18848</v>
      </c>
      <c r="J2172">
        <v>2316784.3686800003</v>
      </c>
      <c r="K2172">
        <v>2137109.7588</v>
      </c>
      <c r="L2172">
        <v>44404.366719999998</v>
      </c>
      <c r="M2172">
        <v>0</v>
      </c>
      <c r="T2172" s="9">
        <v>45108</v>
      </c>
      <c r="U2172" s="9">
        <v>45473</v>
      </c>
      <c r="V2172">
        <f>SUM(POTABLE_NONPOTABLE_API[[#This Row],[RESIDENTIAL_SINGLEFAMILY_GAL]:[OTHER_GAL]])</f>
        <v>37726035.243239999</v>
      </c>
      <c r="W2172">
        <f>SUM(POTABLE_NONPOTABLE_API[[#This Row],[NONPOTABLE_DEMAND_RESIDENTIAL_RECYCLED_WATER_GAL]:[NONPOTABLE_DEMAND_NONRESIDENTIAL_METERED_IRRIGATION_GAL]])</f>
        <v>0</v>
      </c>
      <c r="X2172" t="str">
        <f>IFERROR(INDEX(Crosswalk_API!$H$2:$H$527, MATCH(POTABLE_NONPOTABLE_API[[#This Row],[PWSID]], CW_PWSID_LIST, 0)), "")</f>
        <v>No</v>
      </c>
    </row>
    <row r="2173" spans="1:24" x14ac:dyDescent="0.25">
      <c r="A2173" t="s">
        <v>1341</v>
      </c>
      <c r="B2173" t="s">
        <v>1342</v>
      </c>
      <c r="C2173" t="s">
        <v>1343</v>
      </c>
      <c r="D2173" t="s">
        <v>1344</v>
      </c>
      <c r="E2173" s="9">
        <v>45444</v>
      </c>
      <c r="F2173" s="9">
        <v>45473</v>
      </c>
      <c r="G2173">
        <v>31346685.18984</v>
      </c>
      <c r="H2173">
        <v>476030.37072000001</v>
      </c>
      <c r="I2173">
        <v>1405021.18848</v>
      </c>
      <c r="J2173">
        <v>2316784.3686800003</v>
      </c>
      <c r="K2173">
        <v>2137109.7588</v>
      </c>
      <c r="L2173">
        <v>44404.366719999998</v>
      </c>
      <c r="M2173">
        <v>0</v>
      </c>
      <c r="T2173" s="9">
        <v>45108</v>
      </c>
      <c r="U2173" s="9">
        <v>45473</v>
      </c>
      <c r="V2173">
        <f>SUM(POTABLE_NONPOTABLE_API[[#This Row],[RESIDENTIAL_SINGLEFAMILY_GAL]:[OTHER_GAL]])</f>
        <v>37726035.243239999</v>
      </c>
      <c r="W2173">
        <f>SUM(POTABLE_NONPOTABLE_API[[#This Row],[NONPOTABLE_DEMAND_RESIDENTIAL_RECYCLED_WATER_GAL]:[NONPOTABLE_DEMAND_NONRESIDENTIAL_METERED_IRRIGATION_GAL]])</f>
        <v>0</v>
      </c>
      <c r="X2173" t="str">
        <f>IFERROR(INDEX(Crosswalk_API!$H$2:$H$527, MATCH(POTABLE_NONPOTABLE_API[[#This Row],[PWSID]], CW_PWSID_LIST, 0)), "")</f>
        <v>No</v>
      </c>
    </row>
    <row r="2174" spans="1:24" x14ac:dyDescent="0.25">
      <c r="A2174" t="s">
        <v>1345</v>
      </c>
      <c r="B2174" t="s">
        <v>1346</v>
      </c>
      <c r="C2174" t="s">
        <v>1347</v>
      </c>
      <c r="D2174" t="s">
        <v>1348</v>
      </c>
      <c r="E2174" s="9">
        <v>45108</v>
      </c>
      <c r="F2174" s="9">
        <v>45138</v>
      </c>
      <c r="G2174">
        <v>155360000</v>
      </c>
      <c r="H2174">
        <v>25310000</v>
      </c>
      <c r="I2174">
        <v>41760000</v>
      </c>
      <c r="J2174">
        <v>33290000</v>
      </c>
      <c r="K2174">
        <v>6960000</v>
      </c>
      <c r="L2174">
        <v>3270000</v>
      </c>
      <c r="M2174">
        <v>0</v>
      </c>
      <c r="T2174" s="9">
        <v>45108</v>
      </c>
      <c r="U2174" s="9">
        <v>45473</v>
      </c>
      <c r="V2174">
        <f>SUM(POTABLE_NONPOTABLE_API[[#This Row],[RESIDENTIAL_SINGLEFAMILY_GAL]:[OTHER_GAL]])</f>
        <v>265950000</v>
      </c>
      <c r="W2174">
        <f>SUM(POTABLE_NONPOTABLE_API[[#This Row],[NONPOTABLE_DEMAND_RESIDENTIAL_RECYCLED_WATER_GAL]:[NONPOTABLE_DEMAND_NONRESIDENTIAL_METERED_IRRIGATION_GAL]])</f>
        <v>0</v>
      </c>
      <c r="X2174" t="str">
        <f>IFERROR(INDEX(Crosswalk_API!$H$2:$H$527, MATCH(POTABLE_NONPOTABLE_API[[#This Row],[PWSID]], CW_PWSID_LIST, 0)), "")</f>
        <v>No</v>
      </c>
    </row>
    <row r="2175" spans="1:24" x14ac:dyDescent="0.25">
      <c r="A2175" t="s">
        <v>1345</v>
      </c>
      <c r="B2175" t="s">
        <v>1346</v>
      </c>
      <c r="C2175" t="s">
        <v>1347</v>
      </c>
      <c r="D2175" t="s">
        <v>1348</v>
      </c>
      <c r="E2175" s="9">
        <v>45139</v>
      </c>
      <c r="F2175" s="9">
        <v>45169</v>
      </c>
      <c r="G2175">
        <v>146160000</v>
      </c>
      <c r="H2175">
        <v>23730000</v>
      </c>
      <c r="I2175">
        <v>35060000</v>
      </c>
      <c r="J2175">
        <v>32409999.999999996</v>
      </c>
      <c r="K2175">
        <v>8900000</v>
      </c>
      <c r="L2175">
        <v>1540000</v>
      </c>
      <c r="M2175">
        <v>0</v>
      </c>
      <c r="T2175" s="9">
        <v>45108</v>
      </c>
      <c r="U2175" s="9">
        <v>45473</v>
      </c>
      <c r="V2175">
        <f>SUM(POTABLE_NONPOTABLE_API[[#This Row],[RESIDENTIAL_SINGLEFAMILY_GAL]:[OTHER_GAL]])</f>
        <v>247800000</v>
      </c>
      <c r="W2175">
        <f>SUM(POTABLE_NONPOTABLE_API[[#This Row],[NONPOTABLE_DEMAND_RESIDENTIAL_RECYCLED_WATER_GAL]:[NONPOTABLE_DEMAND_NONRESIDENTIAL_METERED_IRRIGATION_GAL]])</f>
        <v>0</v>
      </c>
      <c r="X2175" t="str">
        <f>IFERROR(INDEX(Crosswalk_API!$H$2:$H$527, MATCH(POTABLE_NONPOTABLE_API[[#This Row],[PWSID]], CW_PWSID_LIST, 0)), "")</f>
        <v>No</v>
      </c>
    </row>
    <row r="2176" spans="1:24" x14ac:dyDescent="0.25">
      <c r="A2176" t="s">
        <v>1345</v>
      </c>
      <c r="B2176" t="s">
        <v>1346</v>
      </c>
      <c r="C2176" t="s">
        <v>1347</v>
      </c>
      <c r="D2176" t="s">
        <v>1348</v>
      </c>
      <c r="E2176" s="9">
        <v>45170</v>
      </c>
      <c r="F2176" s="9">
        <v>45199</v>
      </c>
      <c r="G2176">
        <v>131750000</v>
      </c>
      <c r="H2176">
        <v>22500000</v>
      </c>
      <c r="I2176">
        <v>36480000</v>
      </c>
      <c r="J2176">
        <v>29930000</v>
      </c>
      <c r="K2176">
        <v>9100000</v>
      </c>
      <c r="L2176">
        <v>1250000</v>
      </c>
      <c r="M2176">
        <v>0</v>
      </c>
      <c r="T2176" s="9">
        <v>45108</v>
      </c>
      <c r="U2176" s="9">
        <v>45473</v>
      </c>
      <c r="V2176">
        <f>SUM(POTABLE_NONPOTABLE_API[[#This Row],[RESIDENTIAL_SINGLEFAMILY_GAL]:[OTHER_GAL]])</f>
        <v>231010000</v>
      </c>
      <c r="W2176">
        <f>SUM(POTABLE_NONPOTABLE_API[[#This Row],[NONPOTABLE_DEMAND_RESIDENTIAL_RECYCLED_WATER_GAL]:[NONPOTABLE_DEMAND_NONRESIDENTIAL_METERED_IRRIGATION_GAL]])</f>
        <v>0</v>
      </c>
      <c r="X2176" t="str">
        <f>IFERROR(INDEX(Crosswalk_API!$H$2:$H$527, MATCH(POTABLE_NONPOTABLE_API[[#This Row],[PWSID]], CW_PWSID_LIST, 0)), "")</f>
        <v>No</v>
      </c>
    </row>
    <row r="2177" spans="1:24" x14ac:dyDescent="0.25">
      <c r="A2177" t="s">
        <v>1345</v>
      </c>
      <c r="B2177" t="s">
        <v>1346</v>
      </c>
      <c r="C2177" t="s">
        <v>1347</v>
      </c>
      <c r="D2177" t="s">
        <v>1348</v>
      </c>
      <c r="E2177" s="9">
        <v>45200</v>
      </c>
      <c r="F2177" s="9">
        <v>45230</v>
      </c>
      <c r="G2177">
        <v>124200000</v>
      </c>
      <c r="H2177">
        <v>22480000</v>
      </c>
      <c r="I2177">
        <v>39320000</v>
      </c>
      <c r="J2177">
        <v>25670000</v>
      </c>
      <c r="K2177">
        <v>8109999.9999999991</v>
      </c>
      <c r="L2177">
        <v>90000</v>
      </c>
      <c r="M2177">
        <v>0</v>
      </c>
      <c r="T2177" s="9">
        <v>45108</v>
      </c>
      <c r="U2177" s="9">
        <v>45473</v>
      </c>
      <c r="V2177">
        <f>SUM(POTABLE_NONPOTABLE_API[[#This Row],[RESIDENTIAL_SINGLEFAMILY_GAL]:[OTHER_GAL]])</f>
        <v>219870000</v>
      </c>
      <c r="W2177">
        <f>SUM(POTABLE_NONPOTABLE_API[[#This Row],[NONPOTABLE_DEMAND_RESIDENTIAL_RECYCLED_WATER_GAL]:[NONPOTABLE_DEMAND_NONRESIDENTIAL_METERED_IRRIGATION_GAL]])</f>
        <v>0</v>
      </c>
      <c r="X2177" t="str">
        <f>IFERROR(INDEX(Crosswalk_API!$H$2:$H$527, MATCH(POTABLE_NONPOTABLE_API[[#This Row],[PWSID]], CW_PWSID_LIST, 0)), "")</f>
        <v>No</v>
      </c>
    </row>
    <row r="2178" spans="1:24" x14ac:dyDescent="0.25">
      <c r="A2178" t="s">
        <v>1345</v>
      </c>
      <c r="B2178" t="s">
        <v>1346</v>
      </c>
      <c r="C2178" t="s">
        <v>1347</v>
      </c>
      <c r="D2178" t="s">
        <v>1348</v>
      </c>
      <c r="E2178" s="9">
        <v>45231</v>
      </c>
      <c r="F2178" s="9">
        <v>45260</v>
      </c>
      <c r="G2178">
        <v>98360000</v>
      </c>
      <c r="H2178">
        <v>20690000</v>
      </c>
      <c r="I2178">
        <v>27790000</v>
      </c>
      <c r="J2178">
        <v>14570000</v>
      </c>
      <c r="K2178">
        <v>2780000</v>
      </c>
      <c r="L2178">
        <v>190000</v>
      </c>
      <c r="M2178">
        <v>0</v>
      </c>
      <c r="T2178" s="9">
        <v>45108</v>
      </c>
      <c r="U2178" s="9">
        <v>45473</v>
      </c>
      <c r="V2178">
        <f>SUM(POTABLE_NONPOTABLE_API[[#This Row],[RESIDENTIAL_SINGLEFAMILY_GAL]:[OTHER_GAL]])</f>
        <v>164380000</v>
      </c>
      <c r="W2178">
        <f>SUM(POTABLE_NONPOTABLE_API[[#This Row],[NONPOTABLE_DEMAND_RESIDENTIAL_RECYCLED_WATER_GAL]:[NONPOTABLE_DEMAND_NONRESIDENTIAL_METERED_IRRIGATION_GAL]])</f>
        <v>0</v>
      </c>
      <c r="X2178" t="str">
        <f>IFERROR(INDEX(Crosswalk_API!$H$2:$H$527, MATCH(POTABLE_NONPOTABLE_API[[#This Row],[PWSID]], CW_PWSID_LIST, 0)), "")</f>
        <v>No</v>
      </c>
    </row>
    <row r="2179" spans="1:24" x14ac:dyDescent="0.25">
      <c r="A2179" t="s">
        <v>1345</v>
      </c>
      <c r="B2179" t="s">
        <v>1346</v>
      </c>
      <c r="C2179" t="s">
        <v>1347</v>
      </c>
      <c r="D2179" t="s">
        <v>1348</v>
      </c>
      <c r="E2179" s="9">
        <v>45261</v>
      </c>
      <c r="F2179" s="9">
        <v>45291</v>
      </c>
      <c r="G2179">
        <v>82870000</v>
      </c>
      <c r="H2179">
        <v>19820000</v>
      </c>
      <c r="I2179">
        <v>25930000</v>
      </c>
      <c r="J2179">
        <v>6520000</v>
      </c>
      <c r="K2179">
        <v>350000</v>
      </c>
      <c r="L2179">
        <v>150000</v>
      </c>
      <c r="M2179">
        <v>0</v>
      </c>
      <c r="T2179" s="9">
        <v>45108</v>
      </c>
      <c r="U2179" s="9">
        <v>45473</v>
      </c>
      <c r="V2179">
        <f>SUM(POTABLE_NONPOTABLE_API[[#This Row],[RESIDENTIAL_SINGLEFAMILY_GAL]:[OTHER_GAL]])</f>
        <v>135640000</v>
      </c>
      <c r="W2179">
        <f>SUM(POTABLE_NONPOTABLE_API[[#This Row],[NONPOTABLE_DEMAND_RESIDENTIAL_RECYCLED_WATER_GAL]:[NONPOTABLE_DEMAND_NONRESIDENTIAL_METERED_IRRIGATION_GAL]])</f>
        <v>0</v>
      </c>
      <c r="X2179" t="str">
        <f>IFERROR(INDEX(Crosswalk_API!$H$2:$H$527, MATCH(POTABLE_NONPOTABLE_API[[#This Row],[PWSID]], CW_PWSID_LIST, 0)), "")</f>
        <v>No</v>
      </c>
    </row>
    <row r="2180" spans="1:24" x14ac:dyDescent="0.25">
      <c r="A2180" t="s">
        <v>1345</v>
      </c>
      <c r="B2180" t="s">
        <v>1346</v>
      </c>
      <c r="C2180" t="s">
        <v>1347</v>
      </c>
      <c r="D2180" t="s">
        <v>1348</v>
      </c>
      <c r="E2180" s="9">
        <v>45292</v>
      </c>
      <c r="F2180" s="9">
        <v>45322</v>
      </c>
      <c r="G2180">
        <v>74710000</v>
      </c>
      <c r="H2180">
        <v>19840000</v>
      </c>
      <c r="I2180">
        <v>25030000</v>
      </c>
      <c r="J2180">
        <v>3470000</v>
      </c>
      <c r="K2180">
        <v>3100000</v>
      </c>
      <c r="L2180">
        <v>400000</v>
      </c>
      <c r="M2180">
        <v>0</v>
      </c>
      <c r="T2180" s="9">
        <v>45108</v>
      </c>
      <c r="U2180" s="9">
        <v>45473</v>
      </c>
      <c r="V2180">
        <f>SUM(POTABLE_NONPOTABLE_API[[#This Row],[RESIDENTIAL_SINGLEFAMILY_GAL]:[OTHER_GAL]])</f>
        <v>126550000</v>
      </c>
      <c r="W2180">
        <f>SUM(POTABLE_NONPOTABLE_API[[#This Row],[NONPOTABLE_DEMAND_RESIDENTIAL_RECYCLED_WATER_GAL]:[NONPOTABLE_DEMAND_NONRESIDENTIAL_METERED_IRRIGATION_GAL]])</f>
        <v>0</v>
      </c>
      <c r="X2180" t="str">
        <f>IFERROR(INDEX(Crosswalk_API!$H$2:$H$527, MATCH(POTABLE_NONPOTABLE_API[[#This Row],[PWSID]], CW_PWSID_LIST, 0)), "")</f>
        <v>No</v>
      </c>
    </row>
    <row r="2181" spans="1:24" x14ac:dyDescent="0.25">
      <c r="A2181" t="s">
        <v>1345</v>
      </c>
      <c r="B2181" t="s">
        <v>1346</v>
      </c>
      <c r="C2181" t="s">
        <v>1347</v>
      </c>
      <c r="D2181" t="s">
        <v>1348</v>
      </c>
      <c r="E2181" s="9">
        <v>45323</v>
      </c>
      <c r="F2181" s="9">
        <v>45351</v>
      </c>
      <c r="G2181">
        <v>65940000</v>
      </c>
      <c r="H2181">
        <v>18320000</v>
      </c>
      <c r="I2181">
        <v>23580000</v>
      </c>
      <c r="J2181">
        <v>2790000</v>
      </c>
      <c r="K2181">
        <v>3100000</v>
      </c>
      <c r="L2181">
        <v>160000</v>
      </c>
      <c r="M2181">
        <v>0</v>
      </c>
      <c r="T2181" s="9">
        <v>45108</v>
      </c>
      <c r="U2181" s="9">
        <v>45473</v>
      </c>
      <c r="V2181">
        <f>SUM(POTABLE_NONPOTABLE_API[[#This Row],[RESIDENTIAL_SINGLEFAMILY_GAL]:[OTHER_GAL]])</f>
        <v>113890000</v>
      </c>
      <c r="W2181">
        <f>SUM(POTABLE_NONPOTABLE_API[[#This Row],[NONPOTABLE_DEMAND_RESIDENTIAL_RECYCLED_WATER_GAL]:[NONPOTABLE_DEMAND_NONRESIDENTIAL_METERED_IRRIGATION_GAL]])</f>
        <v>0</v>
      </c>
      <c r="X2181" t="str">
        <f>IFERROR(INDEX(Crosswalk_API!$H$2:$H$527, MATCH(POTABLE_NONPOTABLE_API[[#This Row],[PWSID]], CW_PWSID_LIST, 0)), "")</f>
        <v>No</v>
      </c>
    </row>
    <row r="2182" spans="1:24" x14ac:dyDescent="0.25">
      <c r="A2182" t="s">
        <v>1345</v>
      </c>
      <c r="B2182" t="s">
        <v>1346</v>
      </c>
      <c r="C2182" t="s">
        <v>1347</v>
      </c>
      <c r="D2182" t="s">
        <v>1348</v>
      </c>
      <c r="E2182" s="9">
        <v>45352</v>
      </c>
      <c r="F2182" s="9">
        <v>45382</v>
      </c>
      <c r="G2182">
        <v>74140000</v>
      </c>
      <c r="H2182">
        <v>19400000</v>
      </c>
      <c r="I2182">
        <v>27670000</v>
      </c>
      <c r="J2182">
        <v>3670000</v>
      </c>
      <c r="K2182">
        <v>2069999.9999999998</v>
      </c>
      <c r="L2182">
        <v>40000</v>
      </c>
      <c r="M2182">
        <v>0</v>
      </c>
      <c r="T2182" s="9">
        <v>45108</v>
      </c>
      <c r="U2182" s="9">
        <v>45473</v>
      </c>
      <c r="V2182">
        <f>SUM(POTABLE_NONPOTABLE_API[[#This Row],[RESIDENTIAL_SINGLEFAMILY_GAL]:[OTHER_GAL]])</f>
        <v>126990000</v>
      </c>
      <c r="W2182">
        <f>SUM(POTABLE_NONPOTABLE_API[[#This Row],[NONPOTABLE_DEMAND_RESIDENTIAL_RECYCLED_WATER_GAL]:[NONPOTABLE_DEMAND_NONRESIDENTIAL_METERED_IRRIGATION_GAL]])</f>
        <v>0</v>
      </c>
      <c r="X2182" t="str">
        <f>IFERROR(INDEX(Crosswalk_API!$H$2:$H$527, MATCH(POTABLE_NONPOTABLE_API[[#This Row],[PWSID]], CW_PWSID_LIST, 0)), "")</f>
        <v>No</v>
      </c>
    </row>
    <row r="2183" spans="1:24" x14ac:dyDescent="0.25">
      <c r="A2183" t="s">
        <v>1345</v>
      </c>
      <c r="B2183" t="s">
        <v>1346</v>
      </c>
      <c r="C2183" t="s">
        <v>1347</v>
      </c>
      <c r="D2183" t="s">
        <v>1348</v>
      </c>
      <c r="E2183" s="9">
        <v>45383</v>
      </c>
      <c r="F2183" s="9">
        <v>45412</v>
      </c>
      <c r="G2183">
        <v>74380000</v>
      </c>
      <c r="H2183">
        <v>19850000</v>
      </c>
      <c r="I2183">
        <v>26360000</v>
      </c>
      <c r="J2183">
        <v>3460000</v>
      </c>
      <c r="K2183">
        <v>370000</v>
      </c>
      <c r="L2183">
        <v>40000</v>
      </c>
      <c r="M2183">
        <v>0</v>
      </c>
      <c r="T2183" s="9">
        <v>45108</v>
      </c>
      <c r="U2183" s="9">
        <v>45473</v>
      </c>
      <c r="V2183">
        <f>SUM(POTABLE_NONPOTABLE_API[[#This Row],[RESIDENTIAL_SINGLEFAMILY_GAL]:[OTHER_GAL]])</f>
        <v>124460000</v>
      </c>
      <c r="W2183">
        <f>SUM(POTABLE_NONPOTABLE_API[[#This Row],[NONPOTABLE_DEMAND_RESIDENTIAL_RECYCLED_WATER_GAL]:[NONPOTABLE_DEMAND_NONRESIDENTIAL_METERED_IRRIGATION_GAL]])</f>
        <v>0</v>
      </c>
      <c r="X2183" t="str">
        <f>IFERROR(INDEX(Crosswalk_API!$H$2:$H$527, MATCH(POTABLE_NONPOTABLE_API[[#This Row],[PWSID]], CW_PWSID_LIST, 0)), "")</f>
        <v>No</v>
      </c>
    </row>
    <row r="2184" spans="1:24" x14ac:dyDescent="0.25">
      <c r="A2184" t="s">
        <v>1345</v>
      </c>
      <c r="B2184" t="s">
        <v>1346</v>
      </c>
      <c r="C2184" t="s">
        <v>1347</v>
      </c>
      <c r="D2184" t="s">
        <v>1348</v>
      </c>
      <c r="E2184" s="9">
        <v>45413</v>
      </c>
      <c r="F2184" s="9">
        <v>45443</v>
      </c>
      <c r="G2184">
        <v>121090000</v>
      </c>
      <c r="H2184">
        <v>22490000</v>
      </c>
      <c r="I2184">
        <v>35990000</v>
      </c>
      <c r="J2184">
        <v>20620000</v>
      </c>
      <c r="K2184">
        <v>5270000</v>
      </c>
      <c r="L2184">
        <v>580000</v>
      </c>
      <c r="M2184">
        <v>0</v>
      </c>
      <c r="T2184" s="9">
        <v>45108</v>
      </c>
      <c r="U2184" s="9">
        <v>45473</v>
      </c>
      <c r="V2184">
        <f>SUM(POTABLE_NONPOTABLE_API[[#This Row],[RESIDENTIAL_SINGLEFAMILY_GAL]:[OTHER_GAL]])</f>
        <v>206040000</v>
      </c>
      <c r="W2184">
        <f>SUM(POTABLE_NONPOTABLE_API[[#This Row],[NONPOTABLE_DEMAND_RESIDENTIAL_RECYCLED_WATER_GAL]:[NONPOTABLE_DEMAND_NONRESIDENTIAL_METERED_IRRIGATION_GAL]])</f>
        <v>0</v>
      </c>
      <c r="X2184" t="str">
        <f>IFERROR(INDEX(Crosswalk_API!$H$2:$H$527, MATCH(POTABLE_NONPOTABLE_API[[#This Row],[PWSID]], CW_PWSID_LIST, 0)), "")</f>
        <v>No</v>
      </c>
    </row>
    <row r="2185" spans="1:24" x14ac:dyDescent="0.25">
      <c r="A2185" t="s">
        <v>1345</v>
      </c>
      <c r="B2185" t="s">
        <v>1346</v>
      </c>
      <c r="C2185" t="s">
        <v>1347</v>
      </c>
      <c r="D2185" t="s">
        <v>1348</v>
      </c>
      <c r="E2185" s="9">
        <v>45444</v>
      </c>
      <c r="F2185" s="9">
        <v>45473</v>
      </c>
      <c r="G2185">
        <v>145690000</v>
      </c>
      <c r="H2185">
        <v>24070000</v>
      </c>
      <c r="I2185">
        <v>38600000</v>
      </c>
      <c r="J2185">
        <v>28900000</v>
      </c>
      <c r="K2185">
        <v>9280000</v>
      </c>
      <c r="L2185">
        <v>210000</v>
      </c>
      <c r="M2185">
        <v>0</v>
      </c>
      <c r="T2185" s="9">
        <v>45108</v>
      </c>
      <c r="U2185" s="9">
        <v>45473</v>
      </c>
      <c r="V2185">
        <f>SUM(POTABLE_NONPOTABLE_API[[#This Row],[RESIDENTIAL_SINGLEFAMILY_GAL]:[OTHER_GAL]])</f>
        <v>246750000</v>
      </c>
      <c r="W2185">
        <f>SUM(POTABLE_NONPOTABLE_API[[#This Row],[NONPOTABLE_DEMAND_RESIDENTIAL_RECYCLED_WATER_GAL]:[NONPOTABLE_DEMAND_NONRESIDENTIAL_METERED_IRRIGATION_GAL]])</f>
        <v>0</v>
      </c>
      <c r="X2185" t="str">
        <f>IFERROR(INDEX(Crosswalk_API!$H$2:$H$527, MATCH(POTABLE_NONPOTABLE_API[[#This Row],[PWSID]], CW_PWSID_LIST, 0)), "")</f>
        <v>No</v>
      </c>
    </row>
    <row r="2186" spans="1:24" x14ac:dyDescent="0.25">
      <c r="A2186" t="s">
        <v>1349</v>
      </c>
      <c r="B2186" t="s">
        <v>1350</v>
      </c>
      <c r="C2186" t="s">
        <v>1351</v>
      </c>
      <c r="D2186" t="s">
        <v>1352</v>
      </c>
      <c r="E2186" s="9">
        <v>45108</v>
      </c>
      <c r="F2186" s="9">
        <v>45138</v>
      </c>
      <c r="G2186">
        <v>213073968.90000001</v>
      </c>
      <c r="H2186">
        <v>209235444.12</v>
      </c>
      <c r="I2186">
        <v>68663322.719999999</v>
      </c>
      <c r="J2186">
        <v>23177781.629999999</v>
      </c>
      <c r="K2186">
        <v>9430127.9400000013</v>
      </c>
      <c r="L2186">
        <v>752715.81</v>
      </c>
      <c r="M2186">
        <v>0</v>
      </c>
      <c r="N2186">
        <v>0</v>
      </c>
      <c r="O2186">
        <v>0</v>
      </c>
      <c r="P2186">
        <v>0</v>
      </c>
      <c r="Q2186">
        <v>48453032.530000001</v>
      </c>
      <c r="R2186">
        <v>0</v>
      </c>
      <c r="S2186">
        <v>0</v>
      </c>
      <c r="T2186" s="9">
        <v>45108</v>
      </c>
      <c r="U2186" s="9">
        <v>45473</v>
      </c>
      <c r="V2186">
        <f>SUM(POTABLE_NONPOTABLE_API[[#This Row],[RESIDENTIAL_SINGLEFAMILY_GAL]:[OTHER_GAL]])</f>
        <v>524333361.12</v>
      </c>
      <c r="W2186">
        <f>SUM(POTABLE_NONPOTABLE_API[[#This Row],[NONPOTABLE_DEMAND_RESIDENTIAL_RECYCLED_WATER_GAL]:[NONPOTABLE_DEMAND_NONRESIDENTIAL_METERED_IRRIGATION_GAL]])</f>
        <v>48453032.530000001</v>
      </c>
      <c r="X2186" t="str">
        <f>IFERROR(INDEX(Crosswalk_API!$H$2:$H$527, MATCH(POTABLE_NONPOTABLE_API[[#This Row],[PWSID]], CW_PWSID_LIST, 0)), "")</f>
        <v>No</v>
      </c>
    </row>
    <row r="2187" spans="1:24" x14ac:dyDescent="0.25">
      <c r="A2187" t="s">
        <v>1349</v>
      </c>
      <c r="B2187" t="s">
        <v>1350</v>
      </c>
      <c r="C2187" t="s">
        <v>1351</v>
      </c>
      <c r="D2187" t="s">
        <v>1352</v>
      </c>
      <c r="E2187" s="9">
        <v>45139</v>
      </c>
      <c r="F2187" s="9">
        <v>45169</v>
      </c>
      <c r="G2187">
        <v>195546443.61000001</v>
      </c>
      <c r="H2187">
        <v>211170999.05999997</v>
      </c>
      <c r="I2187">
        <v>81149933.039999992</v>
      </c>
      <c r="J2187">
        <v>24099939.959999997</v>
      </c>
      <c r="K2187">
        <v>11590520.07</v>
      </c>
      <c r="L2187">
        <v>1153512.54</v>
      </c>
      <c r="M2187">
        <v>0</v>
      </c>
      <c r="N2187">
        <v>0</v>
      </c>
      <c r="O2187">
        <v>0</v>
      </c>
      <c r="P2187">
        <v>0</v>
      </c>
      <c r="Q2187">
        <v>39724735.030000001</v>
      </c>
      <c r="R2187">
        <v>0</v>
      </c>
      <c r="S2187">
        <v>0</v>
      </c>
      <c r="T2187" s="9">
        <v>45108</v>
      </c>
      <c r="U2187" s="9">
        <v>45473</v>
      </c>
      <c r="V2187">
        <f>SUM(POTABLE_NONPOTABLE_API[[#This Row],[RESIDENTIAL_SINGLEFAMILY_GAL]:[OTHER_GAL]])</f>
        <v>524711348.27999991</v>
      </c>
      <c r="W2187">
        <f>SUM(POTABLE_NONPOTABLE_API[[#This Row],[NONPOTABLE_DEMAND_RESIDENTIAL_RECYCLED_WATER_GAL]:[NONPOTABLE_DEMAND_NONRESIDENTIAL_METERED_IRRIGATION_GAL]])</f>
        <v>39724735.030000001</v>
      </c>
      <c r="X2187" t="str">
        <f>IFERROR(INDEX(Crosswalk_API!$H$2:$H$527, MATCH(POTABLE_NONPOTABLE_API[[#This Row],[PWSID]], CW_PWSID_LIST, 0)), "")</f>
        <v>No</v>
      </c>
    </row>
    <row r="2188" spans="1:24" x14ac:dyDescent="0.25">
      <c r="A2188" t="s">
        <v>1349</v>
      </c>
      <c r="B2188" t="s">
        <v>1350</v>
      </c>
      <c r="C2188" t="s">
        <v>1351</v>
      </c>
      <c r="D2188" t="s">
        <v>1352</v>
      </c>
      <c r="E2188" s="9">
        <v>45170</v>
      </c>
      <c r="F2188" s="9">
        <v>45199</v>
      </c>
      <c r="G2188">
        <v>173678583</v>
      </c>
      <c r="H2188">
        <v>192903792</v>
      </c>
      <c r="I2188">
        <v>70383816</v>
      </c>
      <c r="J2188">
        <v>20202762</v>
      </c>
      <c r="K2188">
        <v>12056487</v>
      </c>
      <c r="L2188">
        <v>651702</v>
      </c>
      <c r="M2188">
        <v>0</v>
      </c>
      <c r="N2188">
        <v>0</v>
      </c>
      <c r="O2188">
        <v>0</v>
      </c>
      <c r="P2188">
        <v>0</v>
      </c>
      <c r="Q2188">
        <v>36690823</v>
      </c>
      <c r="R2188">
        <v>0</v>
      </c>
      <c r="S2188">
        <v>0</v>
      </c>
      <c r="T2188" s="9">
        <v>45108</v>
      </c>
      <c r="U2188" s="9">
        <v>45473</v>
      </c>
      <c r="V2188">
        <f>SUM(POTABLE_NONPOTABLE_API[[#This Row],[RESIDENTIAL_SINGLEFAMILY_GAL]:[OTHER_GAL]])</f>
        <v>469877142</v>
      </c>
      <c r="W2188">
        <f>SUM(POTABLE_NONPOTABLE_API[[#This Row],[NONPOTABLE_DEMAND_RESIDENTIAL_RECYCLED_WATER_GAL]:[NONPOTABLE_DEMAND_NONRESIDENTIAL_METERED_IRRIGATION_GAL]])</f>
        <v>36690823</v>
      </c>
      <c r="X2188" t="str">
        <f>IFERROR(INDEX(Crosswalk_API!$H$2:$H$527, MATCH(POTABLE_NONPOTABLE_API[[#This Row],[PWSID]], CW_PWSID_LIST, 0)), "")</f>
        <v>No</v>
      </c>
    </row>
    <row r="2189" spans="1:24" x14ac:dyDescent="0.25">
      <c r="A2189" t="s">
        <v>1349</v>
      </c>
      <c r="B2189" t="s">
        <v>1350</v>
      </c>
      <c r="C2189" t="s">
        <v>1351</v>
      </c>
      <c r="D2189" t="s">
        <v>1352</v>
      </c>
      <c r="E2189" s="9">
        <v>45200</v>
      </c>
      <c r="F2189" s="9">
        <v>45230</v>
      </c>
      <c r="G2189">
        <v>174330285</v>
      </c>
      <c r="H2189">
        <v>189319431</v>
      </c>
      <c r="I2189">
        <v>91564131</v>
      </c>
      <c r="J2189">
        <v>18247656</v>
      </c>
      <c r="K2189">
        <v>10753083</v>
      </c>
      <c r="L2189">
        <v>977553</v>
      </c>
      <c r="M2189">
        <v>0</v>
      </c>
      <c r="N2189">
        <v>0</v>
      </c>
      <c r="O2189">
        <v>0</v>
      </c>
      <c r="P2189">
        <v>0</v>
      </c>
      <c r="Q2189">
        <v>42367147</v>
      </c>
      <c r="R2189">
        <v>0</v>
      </c>
      <c r="S2189">
        <v>0</v>
      </c>
      <c r="T2189" s="9">
        <v>45108</v>
      </c>
      <c r="U2189" s="9">
        <v>45473</v>
      </c>
      <c r="V2189">
        <f>SUM(POTABLE_NONPOTABLE_API[[#This Row],[RESIDENTIAL_SINGLEFAMILY_GAL]:[OTHER_GAL]])</f>
        <v>485192139</v>
      </c>
      <c r="W2189">
        <f>SUM(POTABLE_NONPOTABLE_API[[#This Row],[NONPOTABLE_DEMAND_RESIDENTIAL_RECYCLED_WATER_GAL]:[NONPOTABLE_DEMAND_NONRESIDENTIAL_METERED_IRRIGATION_GAL]])</f>
        <v>42367147</v>
      </c>
      <c r="X2189" t="str">
        <f>IFERROR(INDEX(Crosswalk_API!$H$2:$H$527, MATCH(POTABLE_NONPOTABLE_API[[#This Row],[PWSID]], CW_PWSID_LIST, 0)), "")</f>
        <v>No</v>
      </c>
    </row>
    <row r="2190" spans="1:24" x14ac:dyDescent="0.25">
      <c r="A2190" t="s">
        <v>1349</v>
      </c>
      <c r="B2190" t="s">
        <v>1350</v>
      </c>
      <c r="C2190" t="s">
        <v>1351</v>
      </c>
      <c r="D2190" t="s">
        <v>1352</v>
      </c>
      <c r="E2190" s="9">
        <v>45231</v>
      </c>
      <c r="F2190" s="9">
        <v>45260</v>
      </c>
      <c r="G2190">
        <v>151520715</v>
      </c>
      <c r="H2190">
        <v>178240497</v>
      </c>
      <c r="I2190">
        <v>75597432</v>
      </c>
      <c r="J2190">
        <v>14989146</v>
      </c>
      <c r="K2190">
        <v>10101381</v>
      </c>
      <c r="L2190">
        <v>977553</v>
      </c>
      <c r="M2190">
        <v>0</v>
      </c>
      <c r="N2190">
        <v>0</v>
      </c>
      <c r="O2190">
        <v>0</v>
      </c>
      <c r="P2190">
        <v>0</v>
      </c>
      <c r="Q2190">
        <v>26892483</v>
      </c>
      <c r="R2190">
        <v>0</v>
      </c>
      <c r="S2190">
        <v>0</v>
      </c>
      <c r="T2190" s="9">
        <v>45108</v>
      </c>
      <c r="U2190" s="9">
        <v>45473</v>
      </c>
      <c r="V2190">
        <f>SUM(POTABLE_NONPOTABLE_API[[#This Row],[RESIDENTIAL_SINGLEFAMILY_GAL]:[OTHER_GAL]])</f>
        <v>431426724</v>
      </c>
      <c r="W2190">
        <f>SUM(POTABLE_NONPOTABLE_API[[#This Row],[NONPOTABLE_DEMAND_RESIDENTIAL_RECYCLED_WATER_GAL]:[NONPOTABLE_DEMAND_NONRESIDENTIAL_METERED_IRRIGATION_GAL]])</f>
        <v>26892483</v>
      </c>
      <c r="X2190" t="str">
        <f>IFERROR(INDEX(Crosswalk_API!$H$2:$H$527, MATCH(POTABLE_NONPOTABLE_API[[#This Row],[PWSID]], CW_PWSID_LIST, 0)), "")</f>
        <v>No</v>
      </c>
    </row>
    <row r="2191" spans="1:24" x14ac:dyDescent="0.25">
      <c r="A2191" t="s">
        <v>1349</v>
      </c>
      <c r="B2191" t="s">
        <v>1350</v>
      </c>
      <c r="C2191" t="s">
        <v>1351</v>
      </c>
      <c r="D2191" t="s">
        <v>1352</v>
      </c>
      <c r="E2191" s="9">
        <v>45261</v>
      </c>
      <c r="F2191" s="9">
        <v>45291</v>
      </c>
      <c r="G2191">
        <v>142396887</v>
      </c>
      <c r="H2191">
        <v>194207196</v>
      </c>
      <c r="I2191">
        <v>80159346</v>
      </c>
      <c r="J2191">
        <v>9775530</v>
      </c>
      <c r="K2191">
        <v>9123828</v>
      </c>
      <c r="L2191">
        <v>977553</v>
      </c>
      <c r="M2191">
        <v>0</v>
      </c>
      <c r="N2191">
        <v>0</v>
      </c>
      <c r="O2191">
        <v>0</v>
      </c>
      <c r="P2191">
        <v>0</v>
      </c>
      <c r="Q2191">
        <v>21326948</v>
      </c>
      <c r="R2191">
        <v>0</v>
      </c>
      <c r="S2191">
        <v>0</v>
      </c>
      <c r="T2191" s="9">
        <v>45108</v>
      </c>
      <c r="U2191" s="9">
        <v>45473</v>
      </c>
      <c r="V2191">
        <f>SUM(POTABLE_NONPOTABLE_API[[#This Row],[RESIDENTIAL_SINGLEFAMILY_GAL]:[OTHER_GAL]])</f>
        <v>436640340</v>
      </c>
      <c r="W2191">
        <f>SUM(POTABLE_NONPOTABLE_API[[#This Row],[NONPOTABLE_DEMAND_RESIDENTIAL_RECYCLED_WATER_GAL]:[NONPOTABLE_DEMAND_NONRESIDENTIAL_METERED_IRRIGATION_GAL]])</f>
        <v>21326948</v>
      </c>
      <c r="X2191" t="str">
        <f>IFERROR(INDEX(Crosswalk_API!$H$2:$H$527, MATCH(POTABLE_NONPOTABLE_API[[#This Row],[PWSID]], CW_PWSID_LIST, 0)), "")</f>
        <v>No</v>
      </c>
    </row>
    <row r="2192" spans="1:24" x14ac:dyDescent="0.25">
      <c r="A2192" t="s">
        <v>1349</v>
      </c>
      <c r="B2192" t="s">
        <v>1350</v>
      </c>
      <c r="C2192" t="s">
        <v>1351</v>
      </c>
      <c r="D2192" t="s">
        <v>1352</v>
      </c>
      <c r="E2192" s="9">
        <v>45292</v>
      </c>
      <c r="F2192" s="9">
        <v>45322</v>
      </c>
      <c r="G2192">
        <v>125778486</v>
      </c>
      <c r="H2192">
        <v>192252090</v>
      </c>
      <c r="I2192">
        <v>69732114</v>
      </c>
      <c r="J2192">
        <v>5865318</v>
      </c>
      <c r="K2192">
        <v>8472126</v>
      </c>
      <c r="L2192">
        <v>651702</v>
      </c>
      <c r="M2192">
        <v>0</v>
      </c>
      <c r="N2192">
        <v>0</v>
      </c>
      <c r="O2192">
        <v>0</v>
      </c>
      <c r="P2192">
        <v>0</v>
      </c>
      <c r="Q2192">
        <v>8159309</v>
      </c>
      <c r="R2192">
        <v>0</v>
      </c>
      <c r="S2192">
        <v>0</v>
      </c>
      <c r="T2192" s="9">
        <v>45108</v>
      </c>
      <c r="U2192" s="9">
        <v>45473</v>
      </c>
      <c r="V2192">
        <f>SUM(POTABLE_NONPOTABLE_API[[#This Row],[RESIDENTIAL_SINGLEFAMILY_GAL]:[OTHER_GAL]])</f>
        <v>402751836</v>
      </c>
      <c r="W2192">
        <f>SUM(POTABLE_NONPOTABLE_API[[#This Row],[NONPOTABLE_DEMAND_RESIDENTIAL_RECYCLED_WATER_GAL]:[NONPOTABLE_DEMAND_NONRESIDENTIAL_METERED_IRRIGATION_GAL]])</f>
        <v>8159309</v>
      </c>
      <c r="X2192" t="str">
        <f>IFERROR(INDEX(Crosswalk_API!$H$2:$H$527, MATCH(POTABLE_NONPOTABLE_API[[#This Row],[PWSID]], CW_PWSID_LIST, 0)), "")</f>
        <v>No</v>
      </c>
    </row>
    <row r="2193" spans="1:24" x14ac:dyDescent="0.25">
      <c r="A2193" t="s">
        <v>1349</v>
      </c>
      <c r="B2193" t="s">
        <v>1350</v>
      </c>
      <c r="C2193" t="s">
        <v>1351</v>
      </c>
      <c r="D2193" t="s">
        <v>1352</v>
      </c>
      <c r="E2193" s="9">
        <v>45323</v>
      </c>
      <c r="F2193" s="9">
        <v>45351</v>
      </c>
      <c r="G2193">
        <v>94170939</v>
      </c>
      <c r="H2193">
        <v>177262944</v>
      </c>
      <c r="I2193">
        <v>71687220</v>
      </c>
      <c r="J2193">
        <v>3584361</v>
      </c>
      <c r="K2193">
        <v>8472126</v>
      </c>
      <c r="L2193">
        <v>325851</v>
      </c>
      <c r="M2193">
        <v>0</v>
      </c>
      <c r="N2193">
        <v>0</v>
      </c>
      <c r="O2193">
        <v>0</v>
      </c>
      <c r="P2193">
        <v>0</v>
      </c>
      <c r="Q2193">
        <v>3440987</v>
      </c>
      <c r="R2193">
        <v>0</v>
      </c>
      <c r="S2193">
        <v>0</v>
      </c>
      <c r="T2193" s="9">
        <v>45108</v>
      </c>
      <c r="U2193" s="9">
        <v>45473</v>
      </c>
      <c r="V2193">
        <f>SUM(POTABLE_NONPOTABLE_API[[#This Row],[RESIDENTIAL_SINGLEFAMILY_GAL]:[OTHER_GAL]])</f>
        <v>355503441</v>
      </c>
      <c r="W2193">
        <f>SUM(POTABLE_NONPOTABLE_API[[#This Row],[NONPOTABLE_DEMAND_RESIDENTIAL_RECYCLED_WATER_GAL]:[NONPOTABLE_DEMAND_NONRESIDENTIAL_METERED_IRRIGATION_GAL]])</f>
        <v>3440987</v>
      </c>
      <c r="X2193" t="str">
        <f>IFERROR(INDEX(Crosswalk_API!$H$2:$H$527, MATCH(POTABLE_NONPOTABLE_API[[#This Row],[PWSID]], CW_PWSID_LIST, 0)), "")</f>
        <v>No</v>
      </c>
    </row>
    <row r="2194" spans="1:24" x14ac:dyDescent="0.25">
      <c r="A2194" t="s">
        <v>1349</v>
      </c>
      <c r="B2194" t="s">
        <v>1350</v>
      </c>
      <c r="C2194" t="s">
        <v>1351</v>
      </c>
      <c r="D2194" t="s">
        <v>1352</v>
      </c>
      <c r="E2194" s="9">
        <v>45352</v>
      </c>
      <c r="F2194" s="9">
        <v>45382</v>
      </c>
      <c r="G2194">
        <v>118609764</v>
      </c>
      <c r="H2194">
        <v>196162302</v>
      </c>
      <c r="I2194">
        <v>70383816</v>
      </c>
      <c r="J2194">
        <v>2606808</v>
      </c>
      <c r="K2194">
        <v>9123828</v>
      </c>
      <c r="L2194">
        <v>325851</v>
      </c>
      <c r="M2194">
        <v>0</v>
      </c>
      <c r="N2194">
        <v>0</v>
      </c>
      <c r="O2194">
        <v>0</v>
      </c>
      <c r="P2194">
        <v>0</v>
      </c>
      <c r="Q2194">
        <v>11847942</v>
      </c>
      <c r="R2194">
        <v>0</v>
      </c>
      <c r="S2194">
        <v>0</v>
      </c>
      <c r="T2194" s="9">
        <v>45108</v>
      </c>
      <c r="U2194" s="9">
        <v>45473</v>
      </c>
      <c r="V2194">
        <f>SUM(POTABLE_NONPOTABLE_API[[#This Row],[RESIDENTIAL_SINGLEFAMILY_GAL]:[OTHER_GAL]])</f>
        <v>397212369</v>
      </c>
      <c r="W2194">
        <f>SUM(POTABLE_NONPOTABLE_API[[#This Row],[NONPOTABLE_DEMAND_RESIDENTIAL_RECYCLED_WATER_GAL]:[NONPOTABLE_DEMAND_NONRESIDENTIAL_METERED_IRRIGATION_GAL]])</f>
        <v>11847942</v>
      </c>
      <c r="X2194" t="str">
        <f>IFERROR(INDEX(Crosswalk_API!$H$2:$H$527, MATCH(POTABLE_NONPOTABLE_API[[#This Row],[PWSID]], CW_PWSID_LIST, 0)), "")</f>
        <v>No</v>
      </c>
    </row>
    <row r="2195" spans="1:24" x14ac:dyDescent="0.25">
      <c r="A2195" t="s">
        <v>1349</v>
      </c>
      <c r="B2195" t="s">
        <v>1350</v>
      </c>
      <c r="C2195" t="s">
        <v>1351</v>
      </c>
      <c r="D2195" t="s">
        <v>1352</v>
      </c>
      <c r="E2195" s="9">
        <v>45383</v>
      </c>
      <c r="F2195" s="9">
        <v>45412</v>
      </c>
      <c r="G2195">
        <v>133598910</v>
      </c>
      <c r="H2195">
        <v>193881345</v>
      </c>
      <c r="I2195">
        <v>78204240</v>
      </c>
      <c r="J2195">
        <v>5539467</v>
      </c>
      <c r="K2195">
        <v>9449679</v>
      </c>
      <c r="L2195">
        <v>325851</v>
      </c>
      <c r="M2195">
        <v>0</v>
      </c>
      <c r="N2195">
        <v>0</v>
      </c>
      <c r="O2195">
        <v>0</v>
      </c>
      <c r="P2195">
        <v>0</v>
      </c>
      <c r="Q2195">
        <v>22122024</v>
      </c>
      <c r="R2195">
        <v>0</v>
      </c>
      <c r="S2195">
        <v>0</v>
      </c>
      <c r="T2195" s="9">
        <v>45108</v>
      </c>
      <c r="U2195" s="9">
        <v>45473</v>
      </c>
      <c r="V2195">
        <f>SUM(POTABLE_NONPOTABLE_API[[#This Row],[RESIDENTIAL_SINGLEFAMILY_GAL]:[OTHER_GAL]])</f>
        <v>420999492</v>
      </c>
      <c r="W2195">
        <f>SUM(POTABLE_NONPOTABLE_API[[#This Row],[NONPOTABLE_DEMAND_RESIDENTIAL_RECYCLED_WATER_GAL]:[NONPOTABLE_DEMAND_NONRESIDENTIAL_METERED_IRRIGATION_GAL]])</f>
        <v>22122024</v>
      </c>
      <c r="X2195" t="str">
        <f>IFERROR(INDEX(Crosswalk_API!$H$2:$H$527, MATCH(POTABLE_NONPOTABLE_API[[#This Row],[PWSID]], CW_PWSID_LIST, 0)), "")</f>
        <v>No</v>
      </c>
    </row>
    <row r="2196" spans="1:24" x14ac:dyDescent="0.25">
      <c r="A2196" t="s">
        <v>1349</v>
      </c>
      <c r="B2196" t="s">
        <v>1350</v>
      </c>
      <c r="C2196" t="s">
        <v>1351</v>
      </c>
      <c r="D2196" t="s">
        <v>1352</v>
      </c>
      <c r="E2196" s="9">
        <v>45413</v>
      </c>
      <c r="F2196" s="9">
        <v>45443</v>
      </c>
      <c r="G2196">
        <v>174981987</v>
      </c>
      <c r="H2196">
        <v>205937832</v>
      </c>
      <c r="I2196">
        <v>80485197</v>
      </c>
      <c r="J2196">
        <v>10427232</v>
      </c>
      <c r="K2196">
        <v>10101381</v>
      </c>
      <c r="L2196">
        <v>651702</v>
      </c>
      <c r="M2196">
        <v>0</v>
      </c>
      <c r="N2196">
        <v>0</v>
      </c>
      <c r="O2196">
        <v>0</v>
      </c>
      <c r="P2196">
        <v>0</v>
      </c>
      <c r="Q2196">
        <v>36570258</v>
      </c>
      <c r="R2196">
        <v>0</v>
      </c>
      <c r="S2196">
        <v>0</v>
      </c>
      <c r="T2196" s="9">
        <v>45108</v>
      </c>
      <c r="U2196" s="9">
        <v>45473</v>
      </c>
      <c r="V2196">
        <f>SUM(POTABLE_NONPOTABLE_API[[#This Row],[RESIDENTIAL_SINGLEFAMILY_GAL]:[OTHER_GAL]])</f>
        <v>482585331</v>
      </c>
      <c r="W2196">
        <f>SUM(POTABLE_NONPOTABLE_API[[#This Row],[NONPOTABLE_DEMAND_RESIDENTIAL_RECYCLED_WATER_GAL]:[NONPOTABLE_DEMAND_NONRESIDENTIAL_METERED_IRRIGATION_GAL]])</f>
        <v>36570258</v>
      </c>
      <c r="X2196" t="str">
        <f>IFERROR(INDEX(Crosswalk_API!$H$2:$H$527, MATCH(POTABLE_NONPOTABLE_API[[#This Row],[PWSID]], CW_PWSID_LIST, 0)), "")</f>
        <v>No</v>
      </c>
    </row>
    <row r="2197" spans="1:24" x14ac:dyDescent="0.25">
      <c r="A2197" t="s">
        <v>1349</v>
      </c>
      <c r="B2197" t="s">
        <v>1350</v>
      </c>
      <c r="C2197" t="s">
        <v>1351</v>
      </c>
      <c r="D2197" t="s">
        <v>1352</v>
      </c>
      <c r="E2197" s="9">
        <v>45444</v>
      </c>
      <c r="F2197" s="9">
        <v>45473</v>
      </c>
      <c r="G2197">
        <v>196162302</v>
      </c>
      <c r="H2197">
        <v>237219528</v>
      </c>
      <c r="I2197">
        <v>104598171</v>
      </c>
      <c r="J2197">
        <v>15966699</v>
      </c>
      <c r="K2197">
        <v>11404785</v>
      </c>
      <c r="L2197">
        <v>977553</v>
      </c>
      <c r="M2197">
        <v>0</v>
      </c>
      <c r="N2197">
        <v>0</v>
      </c>
      <c r="O2197">
        <v>0</v>
      </c>
      <c r="P2197">
        <v>0</v>
      </c>
      <c r="Q2197">
        <v>45668018</v>
      </c>
      <c r="R2197">
        <v>0</v>
      </c>
      <c r="S2197">
        <v>0</v>
      </c>
      <c r="T2197" s="9">
        <v>45108</v>
      </c>
      <c r="U2197" s="9">
        <v>45473</v>
      </c>
      <c r="V2197">
        <f>SUM(POTABLE_NONPOTABLE_API[[#This Row],[RESIDENTIAL_SINGLEFAMILY_GAL]:[OTHER_GAL]])</f>
        <v>566329038</v>
      </c>
      <c r="W2197">
        <f>SUM(POTABLE_NONPOTABLE_API[[#This Row],[NONPOTABLE_DEMAND_RESIDENTIAL_RECYCLED_WATER_GAL]:[NONPOTABLE_DEMAND_NONRESIDENTIAL_METERED_IRRIGATION_GAL]])</f>
        <v>45668018</v>
      </c>
      <c r="X2197" t="str">
        <f>IFERROR(INDEX(Crosswalk_API!$H$2:$H$527, MATCH(POTABLE_NONPOTABLE_API[[#This Row],[PWSID]], CW_PWSID_LIST, 0)), "")</f>
        <v>No</v>
      </c>
    </row>
    <row r="2198" spans="1:24" x14ac:dyDescent="0.25">
      <c r="A2198" t="s">
        <v>1353</v>
      </c>
      <c r="B2198" t="s">
        <v>1354</v>
      </c>
      <c r="C2198" t="s">
        <v>1355</v>
      </c>
      <c r="D2198" t="s">
        <v>1356</v>
      </c>
      <c r="E2198" s="9">
        <v>45108</v>
      </c>
      <c r="F2198" s="9">
        <v>45138</v>
      </c>
      <c r="G2198">
        <v>259377396</v>
      </c>
      <c r="H2198">
        <v>80159346</v>
      </c>
      <c r="I2198">
        <v>5865318</v>
      </c>
      <c r="J2198">
        <v>8146275</v>
      </c>
      <c r="K2198">
        <v>651702</v>
      </c>
      <c r="L2198">
        <v>0</v>
      </c>
      <c r="M2198">
        <v>0</v>
      </c>
      <c r="T2198" s="9">
        <v>45108</v>
      </c>
      <c r="U2198" s="9">
        <v>45473</v>
      </c>
      <c r="V2198">
        <f>SUM(POTABLE_NONPOTABLE_API[[#This Row],[RESIDENTIAL_SINGLEFAMILY_GAL]:[OTHER_GAL]])</f>
        <v>354200037</v>
      </c>
      <c r="W2198">
        <f>SUM(POTABLE_NONPOTABLE_API[[#This Row],[NONPOTABLE_DEMAND_RESIDENTIAL_RECYCLED_WATER_GAL]:[NONPOTABLE_DEMAND_NONRESIDENTIAL_METERED_IRRIGATION_GAL]])</f>
        <v>0</v>
      </c>
      <c r="X2198" t="str">
        <f>IFERROR(INDEX(Crosswalk_API!$H$2:$H$527, MATCH(POTABLE_NONPOTABLE_API[[#This Row],[PWSID]], CW_PWSID_LIST, 0)), "")</f>
        <v>No</v>
      </c>
    </row>
    <row r="2199" spans="1:24" x14ac:dyDescent="0.25">
      <c r="A2199" t="s">
        <v>1353</v>
      </c>
      <c r="B2199" t="s">
        <v>1354</v>
      </c>
      <c r="C2199" t="s">
        <v>1355</v>
      </c>
      <c r="D2199" t="s">
        <v>1356</v>
      </c>
      <c r="E2199" s="9">
        <v>45139</v>
      </c>
      <c r="F2199" s="9">
        <v>45169</v>
      </c>
      <c r="G2199">
        <v>191274537</v>
      </c>
      <c r="H2199">
        <v>57349776</v>
      </c>
      <c r="I2199">
        <v>21180315</v>
      </c>
      <c r="J2199">
        <v>205286.13</v>
      </c>
      <c r="K2199">
        <v>325851</v>
      </c>
      <c r="L2199">
        <v>0</v>
      </c>
      <c r="M2199">
        <v>0</v>
      </c>
      <c r="T2199" s="9">
        <v>45108</v>
      </c>
      <c r="U2199" s="9">
        <v>45473</v>
      </c>
      <c r="V2199">
        <f>SUM(POTABLE_NONPOTABLE_API[[#This Row],[RESIDENTIAL_SINGLEFAMILY_GAL]:[OTHER_GAL]])</f>
        <v>270335765.13</v>
      </c>
      <c r="W2199">
        <f>SUM(POTABLE_NONPOTABLE_API[[#This Row],[NONPOTABLE_DEMAND_RESIDENTIAL_RECYCLED_WATER_GAL]:[NONPOTABLE_DEMAND_NONRESIDENTIAL_METERED_IRRIGATION_GAL]])</f>
        <v>0</v>
      </c>
      <c r="X2199" t="str">
        <f>IFERROR(INDEX(Crosswalk_API!$H$2:$H$527, MATCH(POTABLE_NONPOTABLE_API[[#This Row],[PWSID]], CW_PWSID_LIST, 0)), "")</f>
        <v>No</v>
      </c>
    </row>
    <row r="2200" spans="1:24" x14ac:dyDescent="0.25">
      <c r="A2200" t="s">
        <v>1353</v>
      </c>
      <c r="B2200" t="s">
        <v>1354</v>
      </c>
      <c r="C2200" t="s">
        <v>1355</v>
      </c>
      <c r="D2200" t="s">
        <v>1356</v>
      </c>
      <c r="E2200" s="9">
        <v>45170</v>
      </c>
      <c r="F2200" s="9">
        <v>45199</v>
      </c>
      <c r="G2200">
        <v>157711884</v>
      </c>
      <c r="H2200">
        <v>23787123</v>
      </c>
      <c r="I2200">
        <v>17595954</v>
      </c>
      <c r="J2200">
        <v>325851</v>
      </c>
      <c r="K2200">
        <v>0</v>
      </c>
      <c r="L2200">
        <v>0</v>
      </c>
      <c r="M2200">
        <v>0</v>
      </c>
      <c r="T2200" s="9">
        <v>45108</v>
      </c>
      <c r="U2200" s="9">
        <v>45473</v>
      </c>
      <c r="V2200">
        <f>SUM(POTABLE_NONPOTABLE_API[[#This Row],[RESIDENTIAL_SINGLEFAMILY_GAL]:[OTHER_GAL]])</f>
        <v>199420812</v>
      </c>
      <c r="W2200">
        <f>SUM(POTABLE_NONPOTABLE_API[[#This Row],[NONPOTABLE_DEMAND_RESIDENTIAL_RECYCLED_WATER_GAL]:[NONPOTABLE_DEMAND_NONRESIDENTIAL_METERED_IRRIGATION_GAL]])</f>
        <v>0</v>
      </c>
      <c r="X2200" t="str">
        <f>IFERROR(INDEX(Crosswalk_API!$H$2:$H$527, MATCH(POTABLE_NONPOTABLE_API[[#This Row],[PWSID]], CW_PWSID_LIST, 0)), "")</f>
        <v>No</v>
      </c>
    </row>
    <row r="2201" spans="1:24" x14ac:dyDescent="0.25">
      <c r="A2201" t="s">
        <v>1353</v>
      </c>
      <c r="B2201" t="s">
        <v>1354</v>
      </c>
      <c r="C2201" t="s">
        <v>1355</v>
      </c>
      <c r="D2201" t="s">
        <v>1356</v>
      </c>
      <c r="E2201" s="9">
        <v>45200</v>
      </c>
      <c r="F2201" s="9">
        <v>45230</v>
      </c>
      <c r="G2201">
        <v>201050067</v>
      </c>
      <c r="H2201">
        <v>2932659</v>
      </c>
      <c r="I2201">
        <v>13359891</v>
      </c>
      <c r="J2201">
        <v>651702</v>
      </c>
      <c r="K2201">
        <v>651702</v>
      </c>
      <c r="L2201">
        <v>0</v>
      </c>
      <c r="M2201">
        <v>0</v>
      </c>
      <c r="T2201" s="9">
        <v>45108</v>
      </c>
      <c r="U2201" s="9">
        <v>45473</v>
      </c>
      <c r="V2201">
        <f>SUM(POTABLE_NONPOTABLE_API[[#This Row],[RESIDENTIAL_SINGLEFAMILY_GAL]:[OTHER_GAL]])</f>
        <v>218646021</v>
      </c>
      <c r="W2201">
        <f>SUM(POTABLE_NONPOTABLE_API[[#This Row],[NONPOTABLE_DEMAND_RESIDENTIAL_RECYCLED_WATER_GAL]:[NONPOTABLE_DEMAND_NONRESIDENTIAL_METERED_IRRIGATION_GAL]])</f>
        <v>0</v>
      </c>
      <c r="X2201" t="str">
        <f>IFERROR(INDEX(Crosswalk_API!$H$2:$H$527, MATCH(POTABLE_NONPOTABLE_API[[#This Row],[PWSID]], CW_PWSID_LIST, 0)), "")</f>
        <v>No</v>
      </c>
    </row>
    <row r="2202" spans="1:24" x14ac:dyDescent="0.25">
      <c r="A2202" t="s">
        <v>1353</v>
      </c>
      <c r="B2202" t="s">
        <v>1354</v>
      </c>
      <c r="C2202" t="s">
        <v>1355</v>
      </c>
      <c r="D2202" t="s">
        <v>1356</v>
      </c>
      <c r="E2202" s="9">
        <v>45231</v>
      </c>
      <c r="F2202" s="9">
        <v>45260</v>
      </c>
      <c r="G2202">
        <v>199420812</v>
      </c>
      <c r="H2202">
        <v>8472126</v>
      </c>
      <c r="I2202">
        <v>17595954</v>
      </c>
      <c r="J2202">
        <v>0</v>
      </c>
      <c r="K2202">
        <v>325851</v>
      </c>
      <c r="L2202">
        <v>0</v>
      </c>
      <c r="M2202">
        <v>0</v>
      </c>
      <c r="T2202" s="9">
        <v>45108</v>
      </c>
      <c r="U2202" s="9">
        <v>45473</v>
      </c>
      <c r="V2202">
        <f>SUM(POTABLE_NONPOTABLE_API[[#This Row],[RESIDENTIAL_SINGLEFAMILY_GAL]:[OTHER_GAL]])</f>
        <v>225814743</v>
      </c>
      <c r="W2202">
        <f>SUM(POTABLE_NONPOTABLE_API[[#This Row],[NONPOTABLE_DEMAND_RESIDENTIAL_RECYCLED_WATER_GAL]:[NONPOTABLE_DEMAND_NONRESIDENTIAL_METERED_IRRIGATION_GAL]])</f>
        <v>0</v>
      </c>
      <c r="X2202" t="str">
        <f>IFERROR(INDEX(Crosswalk_API!$H$2:$H$527, MATCH(POTABLE_NONPOTABLE_API[[#This Row],[PWSID]], CW_PWSID_LIST, 0)), "")</f>
        <v>No</v>
      </c>
    </row>
    <row r="2203" spans="1:24" x14ac:dyDescent="0.25">
      <c r="A2203" t="s">
        <v>1353</v>
      </c>
      <c r="B2203" t="s">
        <v>1354</v>
      </c>
      <c r="C2203" t="s">
        <v>1355</v>
      </c>
      <c r="D2203" t="s">
        <v>1356</v>
      </c>
      <c r="E2203" s="9">
        <v>45261</v>
      </c>
      <c r="F2203" s="9">
        <v>45291</v>
      </c>
      <c r="G2203">
        <v>128385294</v>
      </c>
      <c r="H2203">
        <v>9449679</v>
      </c>
      <c r="I2203">
        <v>23135421</v>
      </c>
      <c r="J2203">
        <v>7494573</v>
      </c>
      <c r="K2203">
        <v>325851</v>
      </c>
      <c r="L2203">
        <v>0</v>
      </c>
      <c r="M2203">
        <v>0</v>
      </c>
      <c r="T2203" s="9">
        <v>45108</v>
      </c>
      <c r="U2203" s="9">
        <v>45473</v>
      </c>
      <c r="V2203">
        <f>SUM(POTABLE_NONPOTABLE_API[[#This Row],[RESIDENTIAL_SINGLEFAMILY_GAL]:[OTHER_GAL]])</f>
        <v>168790818</v>
      </c>
      <c r="W2203">
        <f>SUM(POTABLE_NONPOTABLE_API[[#This Row],[NONPOTABLE_DEMAND_RESIDENTIAL_RECYCLED_WATER_GAL]:[NONPOTABLE_DEMAND_NONRESIDENTIAL_METERED_IRRIGATION_GAL]])</f>
        <v>0</v>
      </c>
      <c r="X2203" t="str">
        <f>IFERROR(INDEX(Crosswalk_API!$H$2:$H$527, MATCH(POTABLE_NONPOTABLE_API[[#This Row],[PWSID]], CW_PWSID_LIST, 0)), "")</f>
        <v>No</v>
      </c>
    </row>
    <row r="2204" spans="1:24" x14ac:dyDescent="0.25">
      <c r="A2204" t="s">
        <v>1353</v>
      </c>
      <c r="B2204" t="s">
        <v>1354</v>
      </c>
      <c r="C2204" t="s">
        <v>1355</v>
      </c>
      <c r="D2204" t="s">
        <v>1356</v>
      </c>
      <c r="E2204" s="9">
        <v>45292</v>
      </c>
      <c r="F2204" s="9">
        <v>45322</v>
      </c>
      <c r="G2204">
        <v>150217311</v>
      </c>
      <c r="H2204">
        <v>11078934</v>
      </c>
      <c r="I2204">
        <v>41708928</v>
      </c>
      <c r="J2204">
        <v>0</v>
      </c>
      <c r="K2204">
        <v>1955106</v>
      </c>
      <c r="L2204">
        <v>0</v>
      </c>
      <c r="M2204">
        <v>0</v>
      </c>
      <c r="T2204" s="9">
        <v>45108</v>
      </c>
      <c r="U2204" s="9">
        <v>45473</v>
      </c>
      <c r="V2204">
        <f>SUM(POTABLE_NONPOTABLE_API[[#This Row],[RESIDENTIAL_SINGLEFAMILY_GAL]:[OTHER_GAL]])</f>
        <v>204960279</v>
      </c>
      <c r="W2204">
        <f>SUM(POTABLE_NONPOTABLE_API[[#This Row],[NONPOTABLE_DEMAND_RESIDENTIAL_RECYCLED_WATER_GAL]:[NONPOTABLE_DEMAND_NONRESIDENTIAL_METERED_IRRIGATION_GAL]])</f>
        <v>0</v>
      </c>
      <c r="X2204" t="str">
        <f>IFERROR(INDEX(Crosswalk_API!$H$2:$H$527, MATCH(POTABLE_NONPOTABLE_API[[#This Row],[PWSID]], CW_PWSID_LIST, 0)), "")</f>
        <v>No</v>
      </c>
    </row>
    <row r="2205" spans="1:24" x14ac:dyDescent="0.25">
      <c r="A2205" t="s">
        <v>1353</v>
      </c>
      <c r="B2205" t="s">
        <v>1354</v>
      </c>
      <c r="C2205" t="s">
        <v>1355</v>
      </c>
      <c r="D2205" t="s">
        <v>1356</v>
      </c>
      <c r="E2205" s="9">
        <v>45323</v>
      </c>
      <c r="F2205" s="9">
        <v>45351</v>
      </c>
      <c r="G2205">
        <v>73642326</v>
      </c>
      <c r="H2205">
        <v>5213616</v>
      </c>
      <c r="I2205">
        <v>20528613</v>
      </c>
      <c r="J2205">
        <v>0</v>
      </c>
      <c r="K2205">
        <v>977553</v>
      </c>
      <c r="L2205">
        <v>0</v>
      </c>
      <c r="M2205">
        <v>0</v>
      </c>
      <c r="T2205" s="9">
        <v>45108</v>
      </c>
      <c r="U2205" s="9">
        <v>45473</v>
      </c>
      <c r="V2205">
        <f>SUM(POTABLE_NONPOTABLE_API[[#This Row],[RESIDENTIAL_SINGLEFAMILY_GAL]:[OTHER_GAL]])</f>
        <v>100362108</v>
      </c>
      <c r="W2205">
        <f>SUM(POTABLE_NONPOTABLE_API[[#This Row],[NONPOTABLE_DEMAND_RESIDENTIAL_RECYCLED_WATER_GAL]:[NONPOTABLE_DEMAND_NONRESIDENTIAL_METERED_IRRIGATION_GAL]])</f>
        <v>0</v>
      </c>
      <c r="X2205" t="str">
        <f>IFERROR(INDEX(Crosswalk_API!$H$2:$H$527, MATCH(POTABLE_NONPOTABLE_API[[#This Row],[PWSID]], CW_PWSID_LIST, 0)), "")</f>
        <v>No</v>
      </c>
    </row>
    <row r="2206" spans="1:24" x14ac:dyDescent="0.25">
      <c r="A2206" t="s">
        <v>1353</v>
      </c>
      <c r="B2206" t="s">
        <v>1354</v>
      </c>
      <c r="C2206" t="s">
        <v>1355</v>
      </c>
      <c r="D2206" t="s">
        <v>1356</v>
      </c>
      <c r="E2206" s="9">
        <v>45352</v>
      </c>
      <c r="F2206" s="9">
        <v>45382</v>
      </c>
      <c r="G2206">
        <v>86676366</v>
      </c>
      <c r="H2206">
        <v>6191169</v>
      </c>
      <c r="I2206">
        <v>24112974</v>
      </c>
      <c r="J2206">
        <v>0</v>
      </c>
      <c r="K2206">
        <v>1303404</v>
      </c>
      <c r="L2206">
        <v>0</v>
      </c>
      <c r="M2206">
        <v>0</v>
      </c>
      <c r="T2206" s="9">
        <v>45108</v>
      </c>
      <c r="U2206" s="9">
        <v>45473</v>
      </c>
      <c r="V2206">
        <f>SUM(POTABLE_NONPOTABLE_API[[#This Row],[RESIDENTIAL_SINGLEFAMILY_GAL]:[OTHER_GAL]])</f>
        <v>118283913</v>
      </c>
      <c r="W2206">
        <f>SUM(POTABLE_NONPOTABLE_API[[#This Row],[NONPOTABLE_DEMAND_RESIDENTIAL_RECYCLED_WATER_GAL]:[NONPOTABLE_DEMAND_NONRESIDENTIAL_METERED_IRRIGATION_GAL]])</f>
        <v>0</v>
      </c>
      <c r="X2206" t="str">
        <f>IFERROR(INDEX(Crosswalk_API!$H$2:$H$527, MATCH(POTABLE_NONPOTABLE_API[[#This Row],[PWSID]], CW_PWSID_LIST, 0)), "")</f>
        <v>No</v>
      </c>
    </row>
    <row r="2207" spans="1:24" x14ac:dyDescent="0.25">
      <c r="A2207" t="s">
        <v>1353</v>
      </c>
      <c r="B2207" t="s">
        <v>1354</v>
      </c>
      <c r="C2207" t="s">
        <v>1355</v>
      </c>
      <c r="D2207" t="s">
        <v>1356</v>
      </c>
      <c r="E2207" s="9">
        <v>45383</v>
      </c>
      <c r="F2207" s="9">
        <v>45412</v>
      </c>
      <c r="G2207">
        <v>99710406</v>
      </c>
      <c r="H2207">
        <v>7168722</v>
      </c>
      <c r="I2207">
        <v>27697335</v>
      </c>
      <c r="J2207">
        <v>0</v>
      </c>
      <c r="K2207">
        <v>1303404</v>
      </c>
      <c r="L2207">
        <v>0</v>
      </c>
      <c r="M2207">
        <v>0</v>
      </c>
      <c r="T2207" s="9">
        <v>45108</v>
      </c>
      <c r="U2207" s="9">
        <v>45473</v>
      </c>
      <c r="V2207">
        <f>SUM(POTABLE_NONPOTABLE_API[[#This Row],[RESIDENTIAL_SINGLEFAMILY_GAL]:[OTHER_GAL]])</f>
        <v>135879867</v>
      </c>
      <c r="W2207">
        <f>SUM(POTABLE_NONPOTABLE_API[[#This Row],[NONPOTABLE_DEMAND_RESIDENTIAL_RECYCLED_WATER_GAL]:[NONPOTABLE_DEMAND_NONRESIDENTIAL_METERED_IRRIGATION_GAL]])</f>
        <v>0</v>
      </c>
      <c r="X2207" t="str">
        <f>IFERROR(INDEX(Crosswalk_API!$H$2:$H$527, MATCH(POTABLE_NONPOTABLE_API[[#This Row],[PWSID]], CW_PWSID_LIST, 0)), "")</f>
        <v>No</v>
      </c>
    </row>
    <row r="2208" spans="1:24" x14ac:dyDescent="0.25">
      <c r="A2208" t="s">
        <v>1353</v>
      </c>
      <c r="B2208" t="s">
        <v>1354</v>
      </c>
      <c r="C2208" t="s">
        <v>1355</v>
      </c>
      <c r="D2208" t="s">
        <v>1356</v>
      </c>
      <c r="E2208" s="9">
        <v>45413</v>
      </c>
      <c r="F2208" s="9">
        <v>45443</v>
      </c>
      <c r="G2208">
        <v>120239019</v>
      </c>
      <c r="H2208">
        <v>8797977</v>
      </c>
      <c r="I2208">
        <v>33236802</v>
      </c>
      <c r="J2208">
        <v>0</v>
      </c>
      <c r="K2208">
        <v>1629255</v>
      </c>
      <c r="L2208">
        <v>0</v>
      </c>
      <c r="M2208">
        <v>0</v>
      </c>
      <c r="T2208" s="9">
        <v>45108</v>
      </c>
      <c r="U2208" s="9">
        <v>45473</v>
      </c>
      <c r="V2208">
        <f>SUM(POTABLE_NONPOTABLE_API[[#This Row],[RESIDENTIAL_SINGLEFAMILY_GAL]:[OTHER_GAL]])</f>
        <v>163903053</v>
      </c>
      <c r="W2208">
        <f>SUM(POTABLE_NONPOTABLE_API[[#This Row],[NONPOTABLE_DEMAND_RESIDENTIAL_RECYCLED_WATER_GAL]:[NONPOTABLE_DEMAND_NONRESIDENTIAL_METERED_IRRIGATION_GAL]])</f>
        <v>0</v>
      </c>
      <c r="X2208" t="str">
        <f>IFERROR(INDEX(Crosswalk_API!$H$2:$H$527, MATCH(POTABLE_NONPOTABLE_API[[#This Row],[PWSID]], CW_PWSID_LIST, 0)), "")</f>
        <v>No</v>
      </c>
    </row>
    <row r="2209" spans="1:24" x14ac:dyDescent="0.25">
      <c r="A2209" t="s">
        <v>1353</v>
      </c>
      <c r="B2209" t="s">
        <v>1354</v>
      </c>
      <c r="C2209" t="s">
        <v>1355</v>
      </c>
      <c r="D2209" t="s">
        <v>1356</v>
      </c>
      <c r="E2209" s="9">
        <v>45444</v>
      </c>
      <c r="F2209" s="9">
        <v>45473</v>
      </c>
      <c r="G2209">
        <v>117306360</v>
      </c>
      <c r="H2209">
        <v>8472126</v>
      </c>
      <c r="I2209">
        <v>32585100</v>
      </c>
      <c r="J2209">
        <v>0</v>
      </c>
      <c r="K2209">
        <v>1629255</v>
      </c>
      <c r="L2209">
        <v>0</v>
      </c>
      <c r="M2209">
        <v>0</v>
      </c>
      <c r="T2209" s="9">
        <v>45108</v>
      </c>
      <c r="U2209" s="9">
        <v>45473</v>
      </c>
      <c r="V2209">
        <f>SUM(POTABLE_NONPOTABLE_API[[#This Row],[RESIDENTIAL_SINGLEFAMILY_GAL]:[OTHER_GAL]])</f>
        <v>159992841</v>
      </c>
      <c r="W2209">
        <f>SUM(POTABLE_NONPOTABLE_API[[#This Row],[NONPOTABLE_DEMAND_RESIDENTIAL_RECYCLED_WATER_GAL]:[NONPOTABLE_DEMAND_NONRESIDENTIAL_METERED_IRRIGATION_GAL]])</f>
        <v>0</v>
      </c>
      <c r="X2209" t="str">
        <f>IFERROR(INDEX(Crosswalk_API!$H$2:$H$527, MATCH(POTABLE_NONPOTABLE_API[[#This Row],[PWSID]], CW_PWSID_LIST, 0)), "")</f>
        <v>No</v>
      </c>
    </row>
    <row r="2210" spans="1:24" x14ac:dyDescent="0.25">
      <c r="A2210" t="s">
        <v>1357</v>
      </c>
      <c r="B2210" t="s">
        <v>1358</v>
      </c>
      <c r="C2210" t="s">
        <v>1359</v>
      </c>
      <c r="D2210" t="s">
        <v>1360</v>
      </c>
      <c r="E2210" s="9">
        <v>45108</v>
      </c>
      <c r="F2210" s="9">
        <v>45138</v>
      </c>
      <c r="G2210">
        <v>66507059</v>
      </c>
      <c r="H2210">
        <v>30795805</v>
      </c>
      <c r="I2210">
        <v>25952916</v>
      </c>
      <c r="J2210">
        <v>1799813</v>
      </c>
      <c r="K2210">
        <v>629860</v>
      </c>
      <c r="L2210">
        <v>11969</v>
      </c>
      <c r="M2210">
        <v>0</v>
      </c>
      <c r="T2210" s="9">
        <v>45108</v>
      </c>
      <c r="U2210" s="9">
        <v>45473</v>
      </c>
      <c r="V2210">
        <f>SUM(POTABLE_NONPOTABLE_API[[#This Row],[RESIDENTIAL_SINGLEFAMILY_GAL]:[OTHER_GAL]])</f>
        <v>125697422</v>
      </c>
      <c r="W2210">
        <f>SUM(POTABLE_NONPOTABLE_API[[#This Row],[NONPOTABLE_DEMAND_RESIDENTIAL_RECYCLED_WATER_GAL]:[NONPOTABLE_DEMAND_NONRESIDENTIAL_METERED_IRRIGATION_GAL]])</f>
        <v>0</v>
      </c>
      <c r="X2210" t="str">
        <f>IFERROR(INDEX(Crosswalk_API!$H$2:$H$527, MATCH(POTABLE_NONPOTABLE_API[[#This Row],[PWSID]], CW_PWSID_LIST, 0)), "")</f>
        <v>No</v>
      </c>
    </row>
    <row r="2211" spans="1:24" x14ac:dyDescent="0.25">
      <c r="A2211" t="s">
        <v>1357</v>
      </c>
      <c r="B2211" t="s">
        <v>1358</v>
      </c>
      <c r="C2211" t="s">
        <v>1359</v>
      </c>
      <c r="D2211" t="s">
        <v>1360</v>
      </c>
      <c r="E2211" s="9">
        <v>45139</v>
      </c>
      <c r="F2211" s="9">
        <v>45169</v>
      </c>
      <c r="G2211">
        <v>62638134</v>
      </c>
      <c r="H2211">
        <v>29069301</v>
      </c>
      <c r="I2211">
        <v>26290288</v>
      </c>
      <c r="J2211">
        <v>1929974</v>
      </c>
      <c r="K2211">
        <v>633600</v>
      </c>
      <c r="L2211">
        <v>5984</v>
      </c>
      <c r="M2211">
        <v>0</v>
      </c>
      <c r="T2211" s="9">
        <v>45108</v>
      </c>
      <c r="U2211" s="9">
        <v>45473</v>
      </c>
      <c r="V2211">
        <f>SUM(POTABLE_NONPOTABLE_API[[#This Row],[RESIDENTIAL_SINGLEFAMILY_GAL]:[OTHER_GAL]])</f>
        <v>120567281</v>
      </c>
      <c r="W2211">
        <f>SUM(POTABLE_NONPOTABLE_API[[#This Row],[NONPOTABLE_DEMAND_RESIDENTIAL_RECYCLED_WATER_GAL]:[NONPOTABLE_DEMAND_NONRESIDENTIAL_METERED_IRRIGATION_GAL]])</f>
        <v>0</v>
      </c>
      <c r="X2211" t="str">
        <f>IFERROR(INDEX(Crosswalk_API!$H$2:$H$527, MATCH(POTABLE_NONPOTABLE_API[[#This Row],[PWSID]], CW_PWSID_LIST, 0)), "")</f>
        <v>No</v>
      </c>
    </row>
    <row r="2212" spans="1:24" x14ac:dyDescent="0.25">
      <c r="A2212" t="s">
        <v>1357</v>
      </c>
      <c r="B2212" t="s">
        <v>1358</v>
      </c>
      <c r="C2212" t="s">
        <v>1359</v>
      </c>
      <c r="D2212" t="s">
        <v>1360</v>
      </c>
      <c r="E2212" s="9">
        <v>45170</v>
      </c>
      <c r="F2212" s="9">
        <v>45199</v>
      </c>
      <c r="G2212">
        <v>66234020</v>
      </c>
      <c r="H2212">
        <v>33381072</v>
      </c>
      <c r="I2212">
        <v>28607753</v>
      </c>
      <c r="J2212">
        <v>1836468</v>
      </c>
      <c r="K2212">
        <v>593205</v>
      </c>
      <c r="L2212">
        <v>15709</v>
      </c>
      <c r="M2212">
        <v>0</v>
      </c>
      <c r="T2212" s="9">
        <v>45108</v>
      </c>
      <c r="U2212" s="9">
        <v>45473</v>
      </c>
      <c r="V2212">
        <f>SUM(POTABLE_NONPOTABLE_API[[#This Row],[RESIDENTIAL_SINGLEFAMILY_GAL]:[OTHER_GAL]])</f>
        <v>130668227</v>
      </c>
      <c r="W2212">
        <f>SUM(POTABLE_NONPOTABLE_API[[#This Row],[NONPOTABLE_DEMAND_RESIDENTIAL_RECYCLED_WATER_GAL]:[NONPOTABLE_DEMAND_NONRESIDENTIAL_METERED_IRRIGATION_GAL]])</f>
        <v>0</v>
      </c>
      <c r="X2212" t="str">
        <f>IFERROR(INDEX(Crosswalk_API!$H$2:$H$527, MATCH(POTABLE_NONPOTABLE_API[[#This Row],[PWSID]], CW_PWSID_LIST, 0)), "")</f>
        <v>No</v>
      </c>
    </row>
    <row r="2213" spans="1:24" x14ac:dyDescent="0.25">
      <c r="A2213" t="s">
        <v>1357</v>
      </c>
      <c r="B2213" t="s">
        <v>1358</v>
      </c>
      <c r="C2213" t="s">
        <v>1359</v>
      </c>
      <c r="D2213" t="s">
        <v>1360</v>
      </c>
      <c r="E2213" s="9">
        <v>45200</v>
      </c>
      <c r="F2213" s="9">
        <v>45230</v>
      </c>
      <c r="G2213">
        <v>58980160</v>
      </c>
      <c r="H2213">
        <v>28418496</v>
      </c>
      <c r="I2213">
        <v>23147721</v>
      </c>
      <c r="J2213">
        <v>1685361</v>
      </c>
      <c r="K2213">
        <v>668758</v>
      </c>
      <c r="L2213">
        <v>10473</v>
      </c>
      <c r="M2213">
        <v>0</v>
      </c>
      <c r="T2213" s="9">
        <v>45108</v>
      </c>
      <c r="U2213" s="9">
        <v>45473</v>
      </c>
      <c r="V2213">
        <f>SUM(POTABLE_NONPOTABLE_API[[#This Row],[RESIDENTIAL_SINGLEFAMILY_GAL]:[OTHER_GAL]])</f>
        <v>112910969</v>
      </c>
      <c r="W2213">
        <f>SUM(POTABLE_NONPOTABLE_API[[#This Row],[NONPOTABLE_DEMAND_RESIDENTIAL_RECYCLED_WATER_GAL]:[NONPOTABLE_DEMAND_NONRESIDENTIAL_METERED_IRRIGATION_GAL]])</f>
        <v>0</v>
      </c>
      <c r="X2213" t="str">
        <f>IFERROR(INDEX(Crosswalk_API!$H$2:$H$527, MATCH(POTABLE_NONPOTABLE_API[[#This Row],[PWSID]], CW_PWSID_LIST, 0)), "")</f>
        <v>No</v>
      </c>
    </row>
    <row r="2214" spans="1:24" x14ac:dyDescent="0.25">
      <c r="A2214" t="s">
        <v>1357</v>
      </c>
      <c r="B2214" t="s">
        <v>1358</v>
      </c>
      <c r="C2214" t="s">
        <v>1359</v>
      </c>
      <c r="D2214" t="s">
        <v>1360</v>
      </c>
      <c r="E2214" s="9">
        <v>45231</v>
      </c>
      <c r="F2214" s="9">
        <v>45260</v>
      </c>
      <c r="G2214">
        <v>62982238</v>
      </c>
      <c r="H2214">
        <v>31009000</v>
      </c>
      <c r="I2214">
        <v>26149654</v>
      </c>
      <c r="J2214">
        <v>1864894</v>
      </c>
      <c r="K2214">
        <v>699429</v>
      </c>
      <c r="L2214">
        <v>23938</v>
      </c>
      <c r="M2214">
        <v>0</v>
      </c>
      <c r="T2214" s="9">
        <v>45108</v>
      </c>
      <c r="U2214" s="9">
        <v>45473</v>
      </c>
      <c r="V2214">
        <f>SUM(POTABLE_NONPOTABLE_API[[#This Row],[RESIDENTIAL_SINGLEFAMILY_GAL]:[OTHER_GAL]])</f>
        <v>122729153</v>
      </c>
      <c r="W2214">
        <f>SUM(POTABLE_NONPOTABLE_API[[#This Row],[NONPOTABLE_DEMAND_RESIDENTIAL_RECYCLED_WATER_GAL]:[NONPOTABLE_DEMAND_NONRESIDENTIAL_METERED_IRRIGATION_GAL]])</f>
        <v>0</v>
      </c>
      <c r="X2214" t="str">
        <f>IFERROR(INDEX(Crosswalk_API!$H$2:$H$527, MATCH(POTABLE_NONPOTABLE_API[[#This Row],[PWSID]], CW_PWSID_LIST, 0)), "")</f>
        <v>No</v>
      </c>
    </row>
    <row r="2215" spans="1:24" x14ac:dyDescent="0.25">
      <c r="A2215" t="s">
        <v>1357</v>
      </c>
      <c r="B2215" t="s">
        <v>1358</v>
      </c>
      <c r="C2215" t="s">
        <v>1359</v>
      </c>
      <c r="D2215" t="s">
        <v>1360</v>
      </c>
      <c r="E2215" s="9">
        <v>45261</v>
      </c>
      <c r="F2215" s="9">
        <v>45291</v>
      </c>
      <c r="G2215">
        <v>57230466</v>
      </c>
      <c r="H2215">
        <v>27093695</v>
      </c>
      <c r="I2215">
        <v>22642038</v>
      </c>
      <c r="J2215">
        <v>1802805</v>
      </c>
      <c r="K2215">
        <v>552810</v>
      </c>
      <c r="L2215">
        <v>3740</v>
      </c>
      <c r="M2215">
        <v>0</v>
      </c>
      <c r="T2215" s="9">
        <v>45108</v>
      </c>
      <c r="U2215" s="9">
        <v>45473</v>
      </c>
      <c r="V2215">
        <f>SUM(POTABLE_NONPOTABLE_API[[#This Row],[RESIDENTIAL_SINGLEFAMILY_GAL]:[OTHER_GAL]])</f>
        <v>109325554</v>
      </c>
      <c r="W2215">
        <f>SUM(POTABLE_NONPOTABLE_API[[#This Row],[NONPOTABLE_DEMAND_RESIDENTIAL_RECYCLED_WATER_GAL]:[NONPOTABLE_DEMAND_NONRESIDENTIAL_METERED_IRRIGATION_GAL]])</f>
        <v>0</v>
      </c>
      <c r="X2215" t="str">
        <f>IFERROR(INDEX(Crosswalk_API!$H$2:$H$527, MATCH(POTABLE_NONPOTABLE_API[[#This Row],[PWSID]], CW_PWSID_LIST, 0)), "")</f>
        <v>No</v>
      </c>
    </row>
    <row r="2216" spans="1:24" x14ac:dyDescent="0.25">
      <c r="A2216" t="s">
        <v>1357</v>
      </c>
      <c r="B2216" t="s">
        <v>1358</v>
      </c>
      <c r="C2216" t="s">
        <v>1359</v>
      </c>
      <c r="D2216" t="s">
        <v>1360</v>
      </c>
      <c r="E2216" s="9">
        <v>45292</v>
      </c>
      <c r="F2216" s="9">
        <v>45322</v>
      </c>
      <c r="G2216">
        <v>54748430</v>
      </c>
      <c r="H2216">
        <v>29376002</v>
      </c>
      <c r="I2216">
        <v>21015773</v>
      </c>
      <c r="J2216">
        <v>1437756</v>
      </c>
      <c r="K2216">
        <v>531865</v>
      </c>
      <c r="L2216">
        <v>13465</v>
      </c>
      <c r="M2216">
        <v>0</v>
      </c>
      <c r="T2216" s="9">
        <v>45108</v>
      </c>
      <c r="U2216" s="9">
        <v>45473</v>
      </c>
      <c r="V2216">
        <f>SUM(POTABLE_NONPOTABLE_API[[#This Row],[RESIDENTIAL_SINGLEFAMILY_GAL]:[OTHER_GAL]])</f>
        <v>107123291</v>
      </c>
      <c r="W2216">
        <f>SUM(POTABLE_NONPOTABLE_API[[#This Row],[NONPOTABLE_DEMAND_RESIDENTIAL_RECYCLED_WATER_GAL]:[NONPOTABLE_DEMAND_NONRESIDENTIAL_METERED_IRRIGATION_GAL]])</f>
        <v>0</v>
      </c>
      <c r="X2216" t="str">
        <f>IFERROR(INDEX(Crosswalk_API!$H$2:$H$527, MATCH(POTABLE_NONPOTABLE_API[[#This Row],[PWSID]], CW_PWSID_LIST, 0)), "")</f>
        <v>No</v>
      </c>
    </row>
    <row r="2217" spans="1:24" x14ac:dyDescent="0.25">
      <c r="A2217" t="s">
        <v>1357</v>
      </c>
      <c r="B2217" t="s">
        <v>1358</v>
      </c>
      <c r="C2217" t="s">
        <v>1359</v>
      </c>
      <c r="D2217" t="s">
        <v>1360</v>
      </c>
      <c r="E2217" s="9">
        <v>45323</v>
      </c>
      <c r="F2217" s="9">
        <v>45351</v>
      </c>
      <c r="G2217">
        <v>52552897</v>
      </c>
      <c r="H2217">
        <v>27507368</v>
      </c>
      <c r="I2217">
        <v>19123201</v>
      </c>
      <c r="J2217">
        <v>976208</v>
      </c>
      <c r="K2217">
        <v>603678</v>
      </c>
      <c r="L2217">
        <v>11221</v>
      </c>
      <c r="M2217">
        <v>0</v>
      </c>
      <c r="T2217" s="9">
        <v>45108</v>
      </c>
      <c r="U2217" s="9">
        <v>45473</v>
      </c>
      <c r="V2217">
        <f>SUM(POTABLE_NONPOTABLE_API[[#This Row],[RESIDENTIAL_SINGLEFAMILY_GAL]:[OTHER_GAL]])</f>
        <v>100774573</v>
      </c>
      <c r="W2217">
        <f>SUM(POTABLE_NONPOTABLE_API[[#This Row],[NONPOTABLE_DEMAND_RESIDENTIAL_RECYCLED_WATER_GAL]:[NONPOTABLE_DEMAND_NONRESIDENTIAL_METERED_IRRIGATION_GAL]])</f>
        <v>0</v>
      </c>
      <c r="X2217" t="str">
        <f>IFERROR(INDEX(Crosswalk_API!$H$2:$H$527, MATCH(POTABLE_NONPOTABLE_API[[#This Row],[PWSID]], CW_PWSID_LIST, 0)), "")</f>
        <v>No</v>
      </c>
    </row>
    <row r="2218" spans="1:24" x14ac:dyDescent="0.25">
      <c r="A2218" t="s">
        <v>1357</v>
      </c>
      <c r="B2218" t="s">
        <v>1358</v>
      </c>
      <c r="C2218" t="s">
        <v>1359</v>
      </c>
      <c r="D2218" t="s">
        <v>1360</v>
      </c>
      <c r="E2218" s="9">
        <v>45352</v>
      </c>
      <c r="F2218" s="9">
        <v>45382</v>
      </c>
      <c r="G2218">
        <v>48606175</v>
      </c>
      <c r="H2218">
        <v>25349986</v>
      </c>
      <c r="I2218">
        <v>17759503</v>
      </c>
      <c r="J2218">
        <v>781714</v>
      </c>
      <c r="K2218">
        <v>366545</v>
      </c>
      <c r="L2218">
        <v>10473</v>
      </c>
      <c r="M2218">
        <v>0</v>
      </c>
      <c r="T2218" s="9">
        <v>45108</v>
      </c>
      <c r="U2218" s="9">
        <v>45473</v>
      </c>
      <c r="V2218">
        <f>SUM(POTABLE_NONPOTABLE_API[[#This Row],[RESIDENTIAL_SINGLEFAMILY_GAL]:[OTHER_GAL]])</f>
        <v>92874396</v>
      </c>
      <c r="W2218">
        <f>SUM(POTABLE_NONPOTABLE_API[[#This Row],[NONPOTABLE_DEMAND_RESIDENTIAL_RECYCLED_WATER_GAL]:[NONPOTABLE_DEMAND_NONRESIDENTIAL_METERED_IRRIGATION_GAL]])</f>
        <v>0</v>
      </c>
      <c r="X2218" t="str">
        <f>IFERROR(INDEX(Crosswalk_API!$H$2:$H$527, MATCH(POTABLE_NONPOTABLE_API[[#This Row],[PWSID]], CW_PWSID_LIST, 0)), "")</f>
        <v>No</v>
      </c>
    </row>
    <row r="2219" spans="1:24" x14ac:dyDescent="0.25">
      <c r="A2219" t="s">
        <v>1357</v>
      </c>
      <c r="B2219" t="s">
        <v>1358</v>
      </c>
      <c r="C2219" t="s">
        <v>1359</v>
      </c>
      <c r="D2219" t="s">
        <v>1360</v>
      </c>
      <c r="E2219" s="9">
        <v>45383</v>
      </c>
      <c r="F2219" s="9">
        <v>45412</v>
      </c>
      <c r="G2219">
        <v>50425437</v>
      </c>
      <c r="H2219">
        <v>25916262</v>
      </c>
      <c r="I2219">
        <v>19326671</v>
      </c>
      <c r="J2219">
        <v>1211844</v>
      </c>
      <c r="K2219">
        <v>693444</v>
      </c>
      <c r="L2219">
        <v>6732</v>
      </c>
      <c r="M2219">
        <v>0</v>
      </c>
      <c r="T2219" s="9">
        <v>45108</v>
      </c>
      <c r="U2219" s="9">
        <v>45473</v>
      </c>
      <c r="V2219">
        <f>SUM(POTABLE_NONPOTABLE_API[[#This Row],[RESIDENTIAL_SINGLEFAMILY_GAL]:[OTHER_GAL]])</f>
        <v>97580390</v>
      </c>
      <c r="W2219">
        <f>SUM(POTABLE_NONPOTABLE_API[[#This Row],[NONPOTABLE_DEMAND_RESIDENTIAL_RECYCLED_WATER_GAL]:[NONPOTABLE_DEMAND_NONRESIDENTIAL_METERED_IRRIGATION_GAL]])</f>
        <v>0</v>
      </c>
      <c r="X2219" t="str">
        <f>IFERROR(INDEX(Crosswalk_API!$H$2:$H$527, MATCH(POTABLE_NONPOTABLE_API[[#This Row],[PWSID]], CW_PWSID_LIST, 0)), "")</f>
        <v>No</v>
      </c>
    </row>
    <row r="2220" spans="1:24" x14ac:dyDescent="0.25">
      <c r="A2220" t="s">
        <v>1357</v>
      </c>
      <c r="B2220" t="s">
        <v>1358</v>
      </c>
      <c r="C2220" t="s">
        <v>1359</v>
      </c>
      <c r="D2220" t="s">
        <v>1360</v>
      </c>
      <c r="E2220" s="9">
        <v>45413</v>
      </c>
      <c r="F2220" s="9">
        <v>45443</v>
      </c>
      <c r="G2220">
        <v>55654321</v>
      </c>
      <c r="H2220">
        <v>28399046</v>
      </c>
      <c r="I2220">
        <v>20936479</v>
      </c>
      <c r="J2220">
        <v>1401101</v>
      </c>
      <c r="K2220">
        <v>602930</v>
      </c>
      <c r="L2220">
        <v>7481</v>
      </c>
      <c r="M2220">
        <v>0</v>
      </c>
      <c r="T2220" s="9">
        <v>45108</v>
      </c>
      <c r="U2220" s="9">
        <v>45473</v>
      </c>
      <c r="V2220">
        <f>SUM(POTABLE_NONPOTABLE_API[[#This Row],[RESIDENTIAL_SINGLEFAMILY_GAL]:[OTHER_GAL]])</f>
        <v>107001358</v>
      </c>
      <c r="W2220">
        <f>SUM(POTABLE_NONPOTABLE_API[[#This Row],[NONPOTABLE_DEMAND_RESIDENTIAL_RECYCLED_WATER_GAL]:[NONPOTABLE_DEMAND_NONRESIDENTIAL_METERED_IRRIGATION_GAL]])</f>
        <v>0</v>
      </c>
      <c r="X2220" t="str">
        <f>IFERROR(INDEX(Crosswalk_API!$H$2:$H$527, MATCH(POTABLE_NONPOTABLE_API[[#This Row],[PWSID]], CW_PWSID_LIST, 0)), "")</f>
        <v>No</v>
      </c>
    </row>
    <row r="2221" spans="1:24" x14ac:dyDescent="0.25">
      <c r="A2221" t="s">
        <v>1357</v>
      </c>
      <c r="B2221" t="s">
        <v>1358</v>
      </c>
      <c r="C2221" t="s">
        <v>1359</v>
      </c>
      <c r="D2221" t="s">
        <v>1360</v>
      </c>
      <c r="E2221" s="9">
        <v>45444</v>
      </c>
      <c r="F2221" s="9">
        <v>45473</v>
      </c>
      <c r="G2221">
        <v>64485823</v>
      </c>
      <c r="H2221">
        <v>31863275</v>
      </c>
      <c r="I2221">
        <v>24168064</v>
      </c>
      <c r="J2221">
        <v>1861153</v>
      </c>
      <c r="K2221">
        <v>552062</v>
      </c>
      <c r="L2221">
        <v>8977</v>
      </c>
      <c r="M2221">
        <v>0</v>
      </c>
      <c r="T2221" s="9">
        <v>45108</v>
      </c>
      <c r="U2221" s="9">
        <v>45473</v>
      </c>
      <c r="V2221">
        <f>SUM(POTABLE_NONPOTABLE_API[[#This Row],[RESIDENTIAL_SINGLEFAMILY_GAL]:[OTHER_GAL]])</f>
        <v>122939354</v>
      </c>
      <c r="W2221">
        <f>SUM(POTABLE_NONPOTABLE_API[[#This Row],[NONPOTABLE_DEMAND_RESIDENTIAL_RECYCLED_WATER_GAL]:[NONPOTABLE_DEMAND_NONRESIDENTIAL_METERED_IRRIGATION_GAL]])</f>
        <v>0</v>
      </c>
      <c r="X2221" t="str">
        <f>IFERROR(INDEX(Crosswalk_API!$H$2:$H$527, MATCH(POTABLE_NONPOTABLE_API[[#This Row],[PWSID]], CW_PWSID_LIST, 0)), "")</f>
        <v>No</v>
      </c>
    </row>
    <row r="2222" spans="1:24" x14ac:dyDescent="0.25">
      <c r="A2222" t="s">
        <v>1361</v>
      </c>
      <c r="B2222" t="s">
        <v>1362</v>
      </c>
      <c r="C2222" t="s">
        <v>1363</v>
      </c>
      <c r="D2222" t="s">
        <v>1364</v>
      </c>
      <c r="E2222" s="9">
        <v>45108</v>
      </c>
      <c r="F2222" s="9">
        <v>45138</v>
      </c>
      <c r="G2222">
        <v>61906539</v>
      </c>
      <c r="H2222">
        <v>0</v>
      </c>
      <c r="I2222">
        <v>55622903</v>
      </c>
      <c r="J2222">
        <v>1808042</v>
      </c>
      <c r="K2222">
        <v>1440000</v>
      </c>
      <c r="L2222">
        <v>215439</v>
      </c>
      <c r="M2222">
        <v>0</v>
      </c>
      <c r="T2222" s="9">
        <v>45108</v>
      </c>
      <c r="U2222" s="9">
        <v>45473</v>
      </c>
      <c r="V2222">
        <f>SUM(POTABLE_NONPOTABLE_API[[#This Row],[RESIDENTIAL_SINGLEFAMILY_GAL]:[OTHER_GAL]])</f>
        <v>120992923</v>
      </c>
      <c r="W2222">
        <f>SUM(POTABLE_NONPOTABLE_API[[#This Row],[NONPOTABLE_DEMAND_RESIDENTIAL_RECYCLED_WATER_GAL]:[NONPOTABLE_DEMAND_NONRESIDENTIAL_METERED_IRRIGATION_GAL]])</f>
        <v>0</v>
      </c>
      <c r="X2222" t="str">
        <f>IFERROR(INDEX(Crosswalk_API!$H$2:$H$527, MATCH(POTABLE_NONPOTABLE_API[[#This Row],[PWSID]], CW_PWSID_LIST, 0)), "")</f>
        <v>No</v>
      </c>
    </row>
    <row r="2223" spans="1:24" x14ac:dyDescent="0.25">
      <c r="A2223" t="s">
        <v>1361</v>
      </c>
      <c r="B2223" t="s">
        <v>1362</v>
      </c>
      <c r="C2223" t="s">
        <v>1363</v>
      </c>
      <c r="D2223" t="s">
        <v>1364</v>
      </c>
      <c r="E2223" s="9">
        <v>45139</v>
      </c>
      <c r="F2223" s="9">
        <v>45169</v>
      </c>
      <c r="G2223">
        <v>59299578</v>
      </c>
      <c r="H2223">
        <v>29383483</v>
      </c>
      <c r="I2223">
        <v>54922726</v>
      </c>
      <c r="J2223">
        <v>4168146</v>
      </c>
      <c r="K2223">
        <v>1440748</v>
      </c>
      <c r="L2223">
        <v>248353</v>
      </c>
      <c r="M2223">
        <v>0</v>
      </c>
      <c r="T2223" s="9">
        <v>45108</v>
      </c>
      <c r="U2223" s="9">
        <v>45473</v>
      </c>
      <c r="V2223">
        <f>SUM(POTABLE_NONPOTABLE_API[[#This Row],[RESIDENTIAL_SINGLEFAMILY_GAL]:[OTHER_GAL]])</f>
        <v>149463034</v>
      </c>
      <c r="W2223">
        <f>SUM(POTABLE_NONPOTABLE_API[[#This Row],[NONPOTABLE_DEMAND_RESIDENTIAL_RECYCLED_WATER_GAL]:[NONPOTABLE_DEMAND_NONRESIDENTIAL_METERED_IRRIGATION_GAL]])</f>
        <v>0</v>
      </c>
      <c r="X2223" t="str">
        <f>IFERROR(INDEX(Crosswalk_API!$H$2:$H$527, MATCH(POTABLE_NONPOTABLE_API[[#This Row],[PWSID]], CW_PWSID_LIST, 0)), "")</f>
        <v>No</v>
      </c>
    </row>
    <row r="2224" spans="1:24" x14ac:dyDescent="0.25">
      <c r="A2224" t="s">
        <v>1361</v>
      </c>
      <c r="B2224" t="s">
        <v>1362</v>
      </c>
      <c r="C2224" t="s">
        <v>1363</v>
      </c>
      <c r="D2224" t="s">
        <v>1364</v>
      </c>
      <c r="E2224" s="9">
        <v>45170</v>
      </c>
      <c r="F2224" s="9">
        <v>45199</v>
      </c>
      <c r="G2224">
        <v>61053012</v>
      </c>
      <c r="H2224">
        <v>31816896</v>
      </c>
      <c r="I2224">
        <v>59700534</v>
      </c>
      <c r="J2224">
        <v>2714681</v>
      </c>
      <c r="K2224">
        <v>1232790</v>
      </c>
      <c r="L2224">
        <v>216187</v>
      </c>
      <c r="M2224">
        <v>0</v>
      </c>
      <c r="T2224" s="9">
        <v>45108</v>
      </c>
      <c r="U2224" s="9">
        <v>45473</v>
      </c>
      <c r="V2224">
        <f>SUM(POTABLE_NONPOTABLE_API[[#This Row],[RESIDENTIAL_SINGLEFAMILY_GAL]:[OTHER_GAL]])</f>
        <v>156734100</v>
      </c>
      <c r="W2224">
        <f>SUM(POTABLE_NONPOTABLE_API[[#This Row],[NONPOTABLE_DEMAND_RESIDENTIAL_RECYCLED_WATER_GAL]:[NONPOTABLE_DEMAND_NONRESIDENTIAL_METERED_IRRIGATION_GAL]])</f>
        <v>0</v>
      </c>
      <c r="X2224" t="str">
        <f>IFERROR(INDEX(Crosswalk_API!$H$2:$H$527, MATCH(POTABLE_NONPOTABLE_API[[#This Row],[PWSID]], CW_PWSID_LIST, 0)), "")</f>
        <v>No</v>
      </c>
    </row>
    <row r="2225" spans="1:24" x14ac:dyDescent="0.25">
      <c r="A2225" t="s">
        <v>1361</v>
      </c>
      <c r="B2225" t="s">
        <v>1362</v>
      </c>
      <c r="C2225" t="s">
        <v>1363</v>
      </c>
      <c r="D2225" t="s">
        <v>1364</v>
      </c>
      <c r="E2225" s="9">
        <v>45200</v>
      </c>
      <c r="F2225" s="9">
        <v>45230</v>
      </c>
      <c r="G2225">
        <v>51369479</v>
      </c>
      <c r="H2225">
        <v>30903524</v>
      </c>
      <c r="I2225">
        <v>58244077</v>
      </c>
      <c r="J2225">
        <v>1346494</v>
      </c>
      <c r="K2225">
        <v>1094400</v>
      </c>
      <c r="L2225">
        <v>187013</v>
      </c>
      <c r="M2225">
        <v>0</v>
      </c>
      <c r="T2225" s="9">
        <v>45108</v>
      </c>
      <c r="U2225" s="9">
        <v>45473</v>
      </c>
      <c r="V2225">
        <f>SUM(POTABLE_NONPOTABLE_API[[#This Row],[RESIDENTIAL_SINGLEFAMILY_GAL]:[OTHER_GAL]])</f>
        <v>143144987</v>
      </c>
      <c r="W2225">
        <f>SUM(POTABLE_NONPOTABLE_API[[#This Row],[NONPOTABLE_DEMAND_RESIDENTIAL_RECYCLED_WATER_GAL]:[NONPOTABLE_DEMAND_NONRESIDENTIAL_METERED_IRRIGATION_GAL]])</f>
        <v>0</v>
      </c>
      <c r="X2225" t="str">
        <f>IFERROR(INDEX(Crosswalk_API!$H$2:$H$527, MATCH(POTABLE_NONPOTABLE_API[[#This Row],[PWSID]], CW_PWSID_LIST, 0)), "")</f>
        <v>No</v>
      </c>
    </row>
    <row r="2226" spans="1:24" x14ac:dyDescent="0.25">
      <c r="A2226" t="s">
        <v>1361</v>
      </c>
      <c r="B2226" t="s">
        <v>1362</v>
      </c>
      <c r="C2226" t="s">
        <v>1363</v>
      </c>
      <c r="D2226" t="s">
        <v>1364</v>
      </c>
      <c r="E2226" s="9">
        <v>45231</v>
      </c>
      <c r="F2226" s="9">
        <v>45260</v>
      </c>
      <c r="G2226">
        <v>48721375</v>
      </c>
      <c r="H2226">
        <v>25572906</v>
      </c>
      <c r="I2226">
        <v>47481105</v>
      </c>
      <c r="J2226">
        <v>1353974</v>
      </c>
      <c r="K2226">
        <v>1532759</v>
      </c>
      <c r="L2226">
        <v>148114</v>
      </c>
      <c r="M2226">
        <v>0</v>
      </c>
      <c r="T2226" s="9">
        <v>45108</v>
      </c>
      <c r="U2226" s="9">
        <v>45473</v>
      </c>
      <c r="V2226">
        <f>SUM(POTABLE_NONPOTABLE_API[[#This Row],[RESIDENTIAL_SINGLEFAMILY_GAL]:[OTHER_GAL]])</f>
        <v>124810233</v>
      </c>
      <c r="W2226">
        <f>SUM(POTABLE_NONPOTABLE_API[[#This Row],[NONPOTABLE_DEMAND_RESIDENTIAL_RECYCLED_WATER_GAL]:[NONPOTABLE_DEMAND_NONRESIDENTIAL_METERED_IRRIGATION_GAL]])</f>
        <v>0</v>
      </c>
      <c r="X2226" t="str">
        <f>IFERROR(INDEX(Crosswalk_API!$H$2:$H$527, MATCH(POTABLE_NONPOTABLE_API[[#This Row],[PWSID]], CW_PWSID_LIST, 0)), "")</f>
        <v>No</v>
      </c>
    </row>
    <row r="2227" spans="1:24" x14ac:dyDescent="0.25">
      <c r="A2227" t="s">
        <v>1361</v>
      </c>
      <c r="B2227" t="s">
        <v>1362</v>
      </c>
      <c r="C2227" t="s">
        <v>1363</v>
      </c>
      <c r="D2227" t="s">
        <v>1364</v>
      </c>
      <c r="E2227" s="9">
        <v>45261</v>
      </c>
      <c r="F2227" s="9">
        <v>45291</v>
      </c>
      <c r="G2227">
        <v>39769437</v>
      </c>
      <c r="H2227">
        <v>26281311</v>
      </c>
      <c r="I2227">
        <v>38354870</v>
      </c>
      <c r="J2227">
        <v>961247</v>
      </c>
      <c r="K2227">
        <v>926088</v>
      </c>
      <c r="L2227">
        <v>102483</v>
      </c>
      <c r="M2227">
        <v>0</v>
      </c>
      <c r="T2227" s="9">
        <v>45108</v>
      </c>
      <c r="U2227" s="9">
        <v>45473</v>
      </c>
      <c r="V2227">
        <f>SUM(POTABLE_NONPOTABLE_API[[#This Row],[RESIDENTIAL_SINGLEFAMILY_GAL]:[OTHER_GAL]])</f>
        <v>106395436</v>
      </c>
      <c r="W2227">
        <f>SUM(POTABLE_NONPOTABLE_API[[#This Row],[NONPOTABLE_DEMAND_RESIDENTIAL_RECYCLED_WATER_GAL]:[NONPOTABLE_DEMAND_NONRESIDENTIAL_METERED_IRRIGATION_GAL]])</f>
        <v>0</v>
      </c>
      <c r="X2227" t="str">
        <f>IFERROR(INDEX(Crosswalk_API!$H$2:$H$527, MATCH(POTABLE_NONPOTABLE_API[[#This Row],[PWSID]], CW_PWSID_LIST, 0)), "")</f>
        <v>No</v>
      </c>
    </row>
    <row r="2228" spans="1:24" x14ac:dyDescent="0.25">
      <c r="A2228" t="s">
        <v>1361</v>
      </c>
      <c r="B2228" t="s">
        <v>1362</v>
      </c>
      <c r="C2228" t="s">
        <v>1363</v>
      </c>
      <c r="D2228" t="s">
        <v>1364</v>
      </c>
      <c r="E2228" s="9">
        <v>45292</v>
      </c>
      <c r="F2228" s="9">
        <v>45322</v>
      </c>
      <c r="G2228">
        <v>39109655</v>
      </c>
      <c r="H2228">
        <v>20934983</v>
      </c>
      <c r="I2228">
        <v>31298496</v>
      </c>
      <c r="J2228">
        <v>741320</v>
      </c>
      <c r="K2228">
        <v>442099</v>
      </c>
      <c r="L2228">
        <v>94255</v>
      </c>
      <c r="M2228">
        <v>0</v>
      </c>
      <c r="T2228" s="9">
        <v>45108</v>
      </c>
      <c r="U2228" s="9">
        <v>45473</v>
      </c>
      <c r="V2228">
        <f>SUM(POTABLE_NONPOTABLE_API[[#This Row],[RESIDENTIAL_SINGLEFAMILY_GAL]:[OTHER_GAL]])</f>
        <v>92620808</v>
      </c>
      <c r="W2228">
        <f>SUM(POTABLE_NONPOTABLE_API[[#This Row],[NONPOTABLE_DEMAND_RESIDENTIAL_RECYCLED_WATER_GAL]:[NONPOTABLE_DEMAND_NONRESIDENTIAL_METERED_IRRIGATION_GAL]])</f>
        <v>0</v>
      </c>
      <c r="X2228" t="str">
        <f>IFERROR(INDEX(Crosswalk_API!$H$2:$H$527, MATCH(POTABLE_NONPOTABLE_API[[#This Row],[PWSID]], CW_PWSID_LIST, 0)), "")</f>
        <v>No</v>
      </c>
    </row>
    <row r="2229" spans="1:24" x14ac:dyDescent="0.25">
      <c r="A2229" t="s">
        <v>1361</v>
      </c>
      <c r="B2229" t="s">
        <v>1362</v>
      </c>
      <c r="C2229" t="s">
        <v>1363</v>
      </c>
      <c r="D2229" t="s">
        <v>1364</v>
      </c>
      <c r="E2229" s="9">
        <v>45323</v>
      </c>
      <c r="F2229" s="9">
        <v>45351</v>
      </c>
      <c r="G2229">
        <v>37041291</v>
      </c>
      <c r="H2229">
        <v>25195887</v>
      </c>
      <c r="I2229">
        <v>28428968</v>
      </c>
      <c r="J2229">
        <v>999397</v>
      </c>
      <c r="K2229">
        <v>2108759</v>
      </c>
      <c r="L2229">
        <v>74805</v>
      </c>
      <c r="M2229">
        <v>0</v>
      </c>
      <c r="T2229" s="9">
        <v>45108</v>
      </c>
      <c r="U2229" s="9">
        <v>45473</v>
      </c>
      <c r="V2229">
        <f>SUM(POTABLE_NONPOTABLE_API[[#This Row],[RESIDENTIAL_SINGLEFAMILY_GAL]:[OTHER_GAL]])</f>
        <v>93849107</v>
      </c>
      <c r="W2229">
        <f>SUM(POTABLE_NONPOTABLE_API[[#This Row],[NONPOTABLE_DEMAND_RESIDENTIAL_RECYCLED_WATER_GAL]:[NONPOTABLE_DEMAND_NONRESIDENTIAL_METERED_IRRIGATION_GAL]])</f>
        <v>0</v>
      </c>
      <c r="X2229" t="str">
        <f>IFERROR(INDEX(Crosswalk_API!$H$2:$H$527, MATCH(POTABLE_NONPOTABLE_API[[#This Row],[PWSID]], CW_PWSID_LIST, 0)), "")</f>
        <v>No</v>
      </c>
    </row>
    <row r="2230" spans="1:24" x14ac:dyDescent="0.25">
      <c r="A2230" t="s">
        <v>1361</v>
      </c>
      <c r="B2230" t="s">
        <v>1362</v>
      </c>
      <c r="C2230" t="s">
        <v>1363</v>
      </c>
      <c r="D2230" t="s">
        <v>1364</v>
      </c>
      <c r="E2230" s="9">
        <v>45352</v>
      </c>
      <c r="F2230" s="9">
        <v>45382</v>
      </c>
      <c r="G2230">
        <v>34448543</v>
      </c>
      <c r="H2230">
        <v>21111524</v>
      </c>
      <c r="I2230">
        <v>29111940</v>
      </c>
      <c r="J2230">
        <v>931325</v>
      </c>
      <c r="K2230">
        <v>971720</v>
      </c>
      <c r="L2230">
        <v>69569</v>
      </c>
      <c r="M2230">
        <v>0</v>
      </c>
      <c r="T2230" s="9">
        <v>45108</v>
      </c>
      <c r="U2230" s="9">
        <v>45473</v>
      </c>
      <c r="V2230">
        <f>SUM(POTABLE_NONPOTABLE_API[[#This Row],[RESIDENTIAL_SINGLEFAMILY_GAL]:[OTHER_GAL]])</f>
        <v>86644621</v>
      </c>
      <c r="W2230">
        <f>SUM(POTABLE_NONPOTABLE_API[[#This Row],[NONPOTABLE_DEMAND_RESIDENTIAL_RECYCLED_WATER_GAL]:[NONPOTABLE_DEMAND_NONRESIDENTIAL_METERED_IRRIGATION_GAL]])</f>
        <v>0</v>
      </c>
      <c r="X2230" t="str">
        <f>IFERROR(INDEX(Crosswalk_API!$H$2:$H$527, MATCH(POTABLE_NONPOTABLE_API[[#This Row],[PWSID]], CW_PWSID_LIST, 0)), "")</f>
        <v>No</v>
      </c>
    </row>
    <row r="2231" spans="1:24" x14ac:dyDescent="0.25">
      <c r="A2231" t="s">
        <v>1361</v>
      </c>
      <c r="B2231" t="s">
        <v>1362</v>
      </c>
      <c r="C2231" t="s">
        <v>1363</v>
      </c>
      <c r="D2231" t="s">
        <v>1364</v>
      </c>
      <c r="E2231" s="9">
        <v>45383</v>
      </c>
      <c r="F2231" s="9">
        <v>45412</v>
      </c>
      <c r="G2231">
        <v>38065374</v>
      </c>
      <c r="H2231">
        <v>18999773</v>
      </c>
      <c r="I2231">
        <v>30868366</v>
      </c>
      <c r="J2231">
        <v>15709</v>
      </c>
      <c r="K2231">
        <v>1205860</v>
      </c>
      <c r="L2231">
        <v>86774</v>
      </c>
      <c r="M2231">
        <v>0</v>
      </c>
      <c r="T2231" s="9">
        <v>45108</v>
      </c>
      <c r="U2231" s="9">
        <v>45473</v>
      </c>
      <c r="V2231">
        <f>SUM(POTABLE_NONPOTABLE_API[[#This Row],[RESIDENTIAL_SINGLEFAMILY_GAL]:[OTHER_GAL]])</f>
        <v>89241856</v>
      </c>
      <c r="W2231">
        <f>SUM(POTABLE_NONPOTABLE_API[[#This Row],[NONPOTABLE_DEMAND_RESIDENTIAL_RECYCLED_WATER_GAL]:[NONPOTABLE_DEMAND_NONRESIDENTIAL_METERED_IRRIGATION_GAL]])</f>
        <v>0</v>
      </c>
      <c r="X2231" t="str">
        <f>IFERROR(INDEX(Crosswalk_API!$H$2:$H$527, MATCH(POTABLE_NONPOTABLE_API[[#This Row],[PWSID]], CW_PWSID_LIST, 0)), "")</f>
        <v>No</v>
      </c>
    </row>
    <row r="2232" spans="1:24" x14ac:dyDescent="0.25">
      <c r="A2232" t="s">
        <v>1361</v>
      </c>
      <c r="B2232" t="s">
        <v>1362</v>
      </c>
      <c r="C2232" t="s">
        <v>1363</v>
      </c>
      <c r="D2232" t="s">
        <v>1364</v>
      </c>
      <c r="E2232" s="9">
        <v>45413</v>
      </c>
      <c r="F2232" s="9">
        <v>45443</v>
      </c>
      <c r="G2232">
        <v>44941468</v>
      </c>
      <c r="H2232">
        <v>22196947</v>
      </c>
      <c r="I2232">
        <v>44804575</v>
      </c>
      <c r="J2232">
        <v>905891</v>
      </c>
      <c r="K2232">
        <v>1321060</v>
      </c>
      <c r="L2232">
        <v>133153</v>
      </c>
      <c r="M2232">
        <v>0</v>
      </c>
      <c r="T2232" s="9">
        <v>45108</v>
      </c>
      <c r="U2232" s="9">
        <v>45473</v>
      </c>
      <c r="V2232">
        <f>SUM(POTABLE_NONPOTABLE_API[[#This Row],[RESIDENTIAL_SINGLEFAMILY_GAL]:[OTHER_GAL]])</f>
        <v>114303094</v>
      </c>
      <c r="W2232">
        <f>SUM(POTABLE_NONPOTABLE_API[[#This Row],[NONPOTABLE_DEMAND_RESIDENTIAL_RECYCLED_WATER_GAL]:[NONPOTABLE_DEMAND_NONRESIDENTIAL_METERED_IRRIGATION_GAL]])</f>
        <v>0</v>
      </c>
      <c r="X2232" t="str">
        <f>IFERROR(INDEX(Crosswalk_API!$H$2:$H$527, MATCH(POTABLE_NONPOTABLE_API[[#This Row],[PWSID]], CW_PWSID_LIST, 0)), "")</f>
        <v>No</v>
      </c>
    </row>
    <row r="2233" spans="1:24" x14ac:dyDescent="0.25">
      <c r="A2233" t="s">
        <v>1361</v>
      </c>
      <c r="B2233" t="s">
        <v>1362</v>
      </c>
      <c r="C2233" t="s">
        <v>1363</v>
      </c>
      <c r="D2233" t="s">
        <v>1364</v>
      </c>
      <c r="E2233" s="9">
        <v>45444</v>
      </c>
      <c r="F2233" s="9">
        <v>45473</v>
      </c>
      <c r="G2233">
        <v>58892638</v>
      </c>
      <c r="H2233">
        <v>28737166</v>
      </c>
      <c r="I2233">
        <v>60455318</v>
      </c>
      <c r="J2233">
        <v>2089309</v>
      </c>
      <c r="K2233">
        <v>1842452</v>
      </c>
      <c r="L2233">
        <v>217683</v>
      </c>
      <c r="M2233">
        <v>0</v>
      </c>
      <c r="T2233" s="9">
        <v>45108</v>
      </c>
      <c r="U2233" s="9">
        <v>45473</v>
      </c>
      <c r="V2233">
        <f>SUM(POTABLE_NONPOTABLE_API[[#This Row],[RESIDENTIAL_SINGLEFAMILY_GAL]:[OTHER_GAL]])</f>
        <v>152234566</v>
      </c>
      <c r="W2233">
        <f>SUM(POTABLE_NONPOTABLE_API[[#This Row],[NONPOTABLE_DEMAND_RESIDENTIAL_RECYCLED_WATER_GAL]:[NONPOTABLE_DEMAND_NONRESIDENTIAL_METERED_IRRIGATION_GAL]])</f>
        <v>0</v>
      </c>
      <c r="X2233" t="str">
        <f>IFERROR(INDEX(Crosswalk_API!$H$2:$H$527, MATCH(POTABLE_NONPOTABLE_API[[#This Row],[PWSID]], CW_PWSID_LIST, 0)), "")</f>
        <v>No</v>
      </c>
    </row>
    <row r="2234" spans="1:24" x14ac:dyDescent="0.25">
      <c r="A2234" t="s">
        <v>1365</v>
      </c>
      <c r="B2234" t="s">
        <v>1366</v>
      </c>
      <c r="C2234" t="s">
        <v>1367</v>
      </c>
      <c r="D2234" t="s">
        <v>1368</v>
      </c>
      <c r="E2234" s="9">
        <v>45108</v>
      </c>
      <c r="F2234" s="9">
        <v>45138</v>
      </c>
      <c r="G2234">
        <v>31065852</v>
      </c>
      <c r="H2234">
        <v>14171845</v>
      </c>
      <c r="I2234">
        <v>5778702</v>
      </c>
      <c r="J2234">
        <v>4869070</v>
      </c>
      <c r="K2234">
        <v>2733382</v>
      </c>
      <c r="L2234">
        <v>2244</v>
      </c>
      <c r="M2234">
        <v>0</v>
      </c>
      <c r="T2234" s="9">
        <v>45108</v>
      </c>
      <c r="U2234" s="9">
        <v>45473</v>
      </c>
      <c r="V2234">
        <f>SUM(POTABLE_NONPOTABLE_API[[#This Row],[RESIDENTIAL_SINGLEFAMILY_GAL]:[OTHER_GAL]])</f>
        <v>58621095</v>
      </c>
      <c r="W2234">
        <f>SUM(POTABLE_NONPOTABLE_API[[#This Row],[NONPOTABLE_DEMAND_RESIDENTIAL_RECYCLED_WATER_GAL]:[NONPOTABLE_DEMAND_NONRESIDENTIAL_METERED_IRRIGATION_GAL]])</f>
        <v>0</v>
      </c>
      <c r="X2234" t="str">
        <f>IFERROR(INDEX(Crosswalk_API!$H$2:$H$527, MATCH(POTABLE_NONPOTABLE_API[[#This Row],[PWSID]], CW_PWSID_LIST, 0)), "")</f>
        <v>No</v>
      </c>
    </row>
    <row r="2235" spans="1:24" x14ac:dyDescent="0.25">
      <c r="A2235" t="s">
        <v>1365</v>
      </c>
      <c r="B2235" t="s">
        <v>1366</v>
      </c>
      <c r="C2235" t="s">
        <v>1367</v>
      </c>
      <c r="D2235" t="s">
        <v>1368</v>
      </c>
      <c r="E2235" s="9">
        <v>45139</v>
      </c>
      <c r="F2235" s="9">
        <v>45169</v>
      </c>
      <c r="G2235">
        <v>28021280</v>
      </c>
      <c r="H2235">
        <v>12401206</v>
      </c>
      <c r="I2235">
        <v>4949860</v>
      </c>
      <c r="J2235">
        <v>4438193</v>
      </c>
      <c r="K2235">
        <v>2376561</v>
      </c>
      <c r="L2235">
        <v>748</v>
      </c>
      <c r="M2235">
        <v>0</v>
      </c>
      <c r="T2235" s="9">
        <v>45108</v>
      </c>
      <c r="U2235" s="9">
        <v>45473</v>
      </c>
      <c r="V2235">
        <f>SUM(POTABLE_NONPOTABLE_API[[#This Row],[RESIDENTIAL_SINGLEFAMILY_GAL]:[OTHER_GAL]])</f>
        <v>52187848</v>
      </c>
      <c r="W2235">
        <f>SUM(POTABLE_NONPOTABLE_API[[#This Row],[NONPOTABLE_DEMAND_RESIDENTIAL_RECYCLED_WATER_GAL]:[NONPOTABLE_DEMAND_NONRESIDENTIAL_METERED_IRRIGATION_GAL]])</f>
        <v>0</v>
      </c>
      <c r="X2235" t="str">
        <f>IFERROR(INDEX(Crosswalk_API!$H$2:$H$527, MATCH(POTABLE_NONPOTABLE_API[[#This Row],[PWSID]], CW_PWSID_LIST, 0)), "")</f>
        <v>No</v>
      </c>
    </row>
    <row r="2236" spans="1:24" x14ac:dyDescent="0.25">
      <c r="A2236" t="s">
        <v>1365</v>
      </c>
      <c r="B2236" t="s">
        <v>1366</v>
      </c>
      <c r="C2236" t="s">
        <v>1367</v>
      </c>
      <c r="D2236" t="s">
        <v>1368</v>
      </c>
      <c r="E2236" s="9">
        <v>45170</v>
      </c>
      <c r="F2236" s="9">
        <v>45199</v>
      </c>
      <c r="G2236">
        <v>30816750</v>
      </c>
      <c r="H2236">
        <v>13927232</v>
      </c>
      <c r="I2236">
        <v>4354411</v>
      </c>
      <c r="J2236">
        <v>4735917</v>
      </c>
      <c r="K2236">
        <v>2627159</v>
      </c>
      <c r="L2236">
        <v>1496</v>
      </c>
      <c r="M2236">
        <v>0</v>
      </c>
      <c r="T2236" s="9">
        <v>45108</v>
      </c>
      <c r="U2236" s="9">
        <v>45473</v>
      </c>
      <c r="V2236">
        <f>SUM(POTABLE_NONPOTABLE_API[[#This Row],[RESIDENTIAL_SINGLEFAMILY_GAL]:[OTHER_GAL]])</f>
        <v>56462965</v>
      </c>
      <c r="W2236">
        <f>SUM(POTABLE_NONPOTABLE_API[[#This Row],[NONPOTABLE_DEMAND_RESIDENTIAL_RECYCLED_WATER_GAL]:[NONPOTABLE_DEMAND_NONRESIDENTIAL_METERED_IRRIGATION_GAL]])</f>
        <v>0</v>
      </c>
      <c r="X2236" t="str">
        <f>IFERROR(INDEX(Crosswalk_API!$H$2:$H$527, MATCH(POTABLE_NONPOTABLE_API[[#This Row],[PWSID]], CW_PWSID_LIST, 0)), "")</f>
        <v>No</v>
      </c>
    </row>
    <row r="2237" spans="1:24" x14ac:dyDescent="0.25">
      <c r="A2237" t="s">
        <v>1365</v>
      </c>
      <c r="B2237" t="s">
        <v>1366</v>
      </c>
      <c r="C2237" t="s">
        <v>1367</v>
      </c>
      <c r="D2237" t="s">
        <v>1368</v>
      </c>
      <c r="E2237" s="9">
        <v>45200</v>
      </c>
      <c r="F2237" s="9">
        <v>45230</v>
      </c>
      <c r="G2237">
        <v>26709945</v>
      </c>
      <c r="H2237">
        <v>12371284</v>
      </c>
      <c r="I2237">
        <v>3721559</v>
      </c>
      <c r="J2237">
        <v>3623564</v>
      </c>
      <c r="K2237">
        <v>2542629</v>
      </c>
      <c r="L2237">
        <v>8977</v>
      </c>
      <c r="M2237">
        <v>0</v>
      </c>
      <c r="T2237" s="9">
        <v>45108</v>
      </c>
      <c r="U2237" s="9">
        <v>45473</v>
      </c>
      <c r="V2237">
        <f>SUM(POTABLE_NONPOTABLE_API[[#This Row],[RESIDENTIAL_SINGLEFAMILY_GAL]:[OTHER_GAL]])</f>
        <v>48977958</v>
      </c>
      <c r="W2237">
        <f>SUM(POTABLE_NONPOTABLE_API[[#This Row],[NONPOTABLE_DEMAND_RESIDENTIAL_RECYCLED_WATER_GAL]:[NONPOTABLE_DEMAND_NONRESIDENTIAL_METERED_IRRIGATION_GAL]])</f>
        <v>0</v>
      </c>
      <c r="X2237" t="str">
        <f>IFERROR(INDEX(Crosswalk_API!$H$2:$H$527, MATCH(POTABLE_NONPOTABLE_API[[#This Row],[PWSID]], CW_PWSID_LIST, 0)), "")</f>
        <v>No</v>
      </c>
    </row>
    <row r="2238" spans="1:24" x14ac:dyDescent="0.25">
      <c r="A2238" t="s">
        <v>1365</v>
      </c>
      <c r="B2238" t="s">
        <v>1366</v>
      </c>
      <c r="C2238" t="s">
        <v>1367</v>
      </c>
      <c r="D2238" t="s">
        <v>1368</v>
      </c>
      <c r="E2238" s="9">
        <v>45231</v>
      </c>
      <c r="F2238" s="9">
        <v>45260</v>
      </c>
      <c r="G2238">
        <v>26311233</v>
      </c>
      <c r="H2238">
        <v>12416167</v>
      </c>
      <c r="I2238">
        <v>2829881</v>
      </c>
      <c r="J2238">
        <v>2521683</v>
      </c>
      <c r="K2238">
        <v>2740114</v>
      </c>
      <c r="L2238">
        <v>2244</v>
      </c>
      <c r="M2238">
        <v>0</v>
      </c>
      <c r="T2238" s="9">
        <v>45108</v>
      </c>
      <c r="U2238" s="9">
        <v>45473</v>
      </c>
      <c r="V2238">
        <f>SUM(POTABLE_NONPOTABLE_API[[#This Row],[RESIDENTIAL_SINGLEFAMILY_GAL]:[OTHER_GAL]])</f>
        <v>46821322</v>
      </c>
      <c r="W2238">
        <f>SUM(POTABLE_NONPOTABLE_API[[#This Row],[NONPOTABLE_DEMAND_RESIDENTIAL_RECYCLED_WATER_GAL]:[NONPOTABLE_DEMAND_NONRESIDENTIAL_METERED_IRRIGATION_GAL]])</f>
        <v>0</v>
      </c>
      <c r="X2238" t="str">
        <f>IFERROR(INDEX(Crosswalk_API!$H$2:$H$527, MATCH(POTABLE_NONPOTABLE_API[[#This Row],[PWSID]], CW_PWSID_LIST, 0)), "")</f>
        <v>No</v>
      </c>
    </row>
    <row r="2239" spans="1:24" x14ac:dyDescent="0.25">
      <c r="A2239" t="s">
        <v>1365</v>
      </c>
      <c r="B2239" t="s">
        <v>1366</v>
      </c>
      <c r="C2239" t="s">
        <v>1367</v>
      </c>
      <c r="D2239" t="s">
        <v>1368</v>
      </c>
      <c r="E2239" s="9">
        <v>45261</v>
      </c>
      <c r="F2239" s="9">
        <v>45291</v>
      </c>
      <c r="G2239">
        <v>23387845.780000001</v>
      </c>
      <c r="H2239">
        <v>11037507.26</v>
      </c>
      <c r="I2239">
        <v>2713184.6039999998</v>
      </c>
      <c r="J2239">
        <v>1056997</v>
      </c>
      <c r="K2239">
        <v>1915013.1200000001</v>
      </c>
      <c r="L2239">
        <v>2244.1559999999999</v>
      </c>
      <c r="M2239">
        <v>0</v>
      </c>
      <c r="T2239" s="9">
        <v>45108</v>
      </c>
      <c r="U2239" s="9">
        <v>45473</v>
      </c>
      <c r="V2239">
        <f>SUM(POTABLE_NONPOTABLE_API[[#This Row],[RESIDENTIAL_SINGLEFAMILY_GAL]:[OTHER_GAL]])</f>
        <v>40112791.920000002</v>
      </c>
      <c r="W2239">
        <f>SUM(POTABLE_NONPOTABLE_API[[#This Row],[NONPOTABLE_DEMAND_RESIDENTIAL_RECYCLED_WATER_GAL]:[NONPOTABLE_DEMAND_NONRESIDENTIAL_METERED_IRRIGATION_GAL]])</f>
        <v>0</v>
      </c>
      <c r="X2239" t="str">
        <f>IFERROR(INDEX(Crosswalk_API!$H$2:$H$527, MATCH(POTABLE_NONPOTABLE_API[[#This Row],[PWSID]], CW_PWSID_LIST, 0)), "")</f>
        <v>No</v>
      </c>
    </row>
    <row r="2240" spans="1:24" x14ac:dyDescent="0.25">
      <c r="A2240" t="s">
        <v>1365</v>
      </c>
      <c r="B2240" t="s">
        <v>1366</v>
      </c>
      <c r="C2240" t="s">
        <v>1367</v>
      </c>
      <c r="D2240" t="s">
        <v>1368</v>
      </c>
      <c r="E2240" s="9">
        <v>45292</v>
      </c>
      <c r="F2240" s="9">
        <v>45322</v>
      </c>
      <c r="G2240">
        <v>22733300</v>
      </c>
      <c r="H2240">
        <v>10860967</v>
      </c>
      <c r="I2240">
        <v>2057891</v>
      </c>
      <c r="J2240">
        <v>604426</v>
      </c>
      <c r="K2240">
        <v>1523034</v>
      </c>
      <c r="L2240">
        <v>1496</v>
      </c>
      <c r="M2240">
        <v>0</v>
      </c>
      <c r="T2240" s="9">
        <v>45108</v>
      </c>
      <c r="U2240" s="9">
        <v>45473</v>
      </c>
      <c r="V2240">
        <f>SUM(POTABLE_NONPOTABLE_API[[#This Row],[RESIDENTIAL_SINGLEFAMILY_GAL]:[OTHER_GAL]])</f>
        <v>37781114</v>
      </c>
      <c r="W2240">
        <f>SUM(POTABLE_NONPOTABLE_API[[#This Row],[NONPOTABLE_DEMAND_RESIDENTIAL_RECYCLED_WATER_GAL]:[NONPOTABLE_DEMAND_NONRESIDENTIAL_METERED_IRRIGATION_GAL]])</f>
        <v>0</v>
      </c>
      <c r="X2240" t="str">
        <f>IFERROR(INDEX(Crosswalk_API!$H$2:$H$527, MATCH(POTABLE_NONPOTABLE_API[[#This Row],[PWSID]], CW_PWSID_LIST, 0)), "")</f>
        <v>No</v>
      </c>
    </row>
    <row r="2241" spans="1:24" x14ac:dyDescent="0.25">
      <c r="A2241" t="s">
        <v>1365</v>
      </c>
      <c r="B2241" t="s">
        <v>1366</v>
      </c>
      <c r="C2241" t="s">
        <v>1367</v>
      </c>
      <c r="D2241" t="s">
        <v>1368</v>
      </c>
      <c r="E2241" s="9">
        <v>45323</v>
      </c>
      <c r="F2241" s="9">
        <v>45351</v>
      </c>
      <c r="G2241">
        <v>21593269</v>
      </c>
      <c r="H2241">
        <v>11929933</v>
      </c>
      <c r="I2241">
        <v>1749694</v>
      </c>
      <c r="J2241">
        <v>711397</v>
      </c>
      <c r="K2241">
        <v>1254483</v>
      </c>
      <c r="L2241">
        <v>748</v>
      </c>
      <c r="M2241">
        <v>0</v>
      </c>
      <c r="T2241" s="9">
        <v>45108</v>
      </c>
      <c r="U2241" s="9">
        <v>45473</v>
      </c>
      <c r="V2241">
        <f>SUM(POTABLE_NONPOTABLE_API[[#This Row],[RESIDENTIAL_SINGLEFAMILY_GAL]:[OTHER_GAL]])</f>
        <v>37239524</v>
      </c>
      <c r="W2241">
        <f>SUM(POTABLE_NONPOTABLE_API[[#This Row],[NONPOTABLE_DEMAND_RESIDENTIAL_RECYCLED_WATER_GAL]:[NONPOTABLE_DEMAND_NONRESIDENTIAL_METERED_IRRIGATION_GAL]])</f>
        <v>0</v>
      </c>
      <c r="X2241" t="str">
        <f>IFERROR(INDEX(Crosswalk_API!$H$2:$H$527, MATCH(POTABLE_NONPOTABLE_API[[#This Row],[PWSID]], CW_PWSID_LIST, 0)), "")</f>
        <v>No</v>
      </c>
    </row>
    <row r="2242" spans="1:24" x14ac:dyDescent="0.25">
      <c r="A2242" t="s">
        <v>1365</v>
      </c>
      <c r="B2242" t="s">
        <v>1366</v>
      </c>
      <c r="C2242" t="s">
        <v>1367</v>
      </c>
      <c r="D2242" t="s">
        <v>1368</v>
      </c>
      <c r="E2242" s="9">
        <v>45352</v>
      </c>
      <c r="F2242" s="9">
        <v>45382</v>
      </c>
      <c r="G2242">
        <v>20823524</v>
      </c>
      <c r="H2242">
        <v>10115907</v>
      </c>
      <c r="I2242">
        <v>1591107</v>
      </c>
      <c r="J2242">
        <v>647813</v>
      </c>
      <c r="K2242">
        <v>1126566</v>
      </c>
      <c r="L2242">
        <v>7481</v>
      </c>
      <c r="M2242">
        <v>0</v>
      </c>
      <c r="T2242" s="9">
        <v>45108</v>
      </c>
      <c r="U2242" s="9">
        <v>45473</v>
      </c>
      <c r="V2242">
        <f>SUM(POTABLE_NONPOTABLE_API[[#This Row],[RESIDENTIAL_SINGLEFAMILY_GAL]:[OTHER_GAL]])</f>
        <v>34312398</v>
      </c>
      <c r="W2242">
        <f>SUM(POTABLE_NONPOTABLE_API[[#This Row],[NONPOTABLE_DEMAND_RESIDENTIAL_RECYCLED_WATER_GAL]:[NONPOTABLE_DEMAND_NONRESIDENTIAL_METERED_IRRIGATION_GAL]])</f>
        <v>0</v>
      </c>
      <c r="X2242" t="str">
        <f>IFERROR(INDEX(Crosswalk_API!$H$2:$H$527, MATCH(POTABLE_NONPOTABLE_API[[#This Row],[PWSID]], CW_PWSID_LIST, 0)), "")</f>
        <v>No</v>
      </c>
    </row>
    <row r="2243" spans="1:24" x14ac:dyDescent="0.25">
      <c r="A2243" t="s">
        <v>1365</v>
      </c>
      <c r="B2243" t="s">
        <v>1366</v>
      </c>
      <c r="C2243" t="s">
        <v>1367</v>
      </c>
      <c r="D2243" t="s">
        <v>1368</v>
      </c>
      <c r="E2243" s="9">
        <v>45383</v>
      </c>
      <c r="F2243" s="9">
        <v>45412</v>
      </c>
      <c r="G2243">
        <v>21684531</v>
      </c>
      <c r="H2243">
        <v>11328499</v>
      </c>
      <c r="I2243">
        <v>2167855</v>
      </c>
      <c r="J2243">
        <v>1066722</v>
      </c>
      <c r="K2243">
        <v>1596343</v>
      </c>
      <c r="L2243">
        <v>3740</v>
      </c>
      <c r="M2243">
        <v>0</v>
      </c>
      <c r="T2243" s="9">
        <v>45108</v>
      </c>
      <c r="U2243" s="9">
        <v>45473</v>
      </c>
      <c r="V2243">
        <f>SUM(POTABLE_NONPOTABLE_API[[#This Row],[RESIDENTIAL_SINGLEFAMILY_GAL]:[OTHER_GAL]])</f>
        <v>37847690</v>
      </c>
      <c r="W2243">
        <f>SUM(POTABLE_NONPOTABLE_API[[#This Row],[NONPOTABLE_DEMAND_RESIDENTIAL_RECYCLED_WATER_GAL]:[NONPOTABLE_DEMAND_NONRESIDENTIAL_METERED_IRRIGATION_GAL]])</f>
        <v>0</v>
      </c>
      <c r="X2243" t="str">
        <f>IFERROR(INDEX(Crosswalk_API!$H$2:$H$527, MATCH(POTABLE_NONPOTABLE_API[[#This Row],[PWSID]], CW_PWSID_LIST, 0)), "")</f>
        <v>No</v>
      </c>
    </row>
    <row r="2244" spans="1:24" x14ac:dyDescent="0.25">
      <c r="A2244" t="s">
        <v>1365</v>
      </c>
      <c r="B2244" t="s">
        <v>1366</v>
      </c>
      <c r="C2244" t="s">
        <v>1367</v>
      </c>
      <c r="D2244" t="s">
        <v>1368</v>
      </c>
      <c r="E2244" s="9">
        <v>45413</v>
      </c>
      <c r="F2244" s="9">
        <v>45443</v>
      </c>
      <c r="G2244">
        <v>24599690</v>
      </c>
      <c r="H2244">
        <v>11057705</v>
      </c>
      <c r="I2244">
        <v>3346785</v>
      </c>
      <c r="J2244">
        <v>2645112</v>
      </c>
      <c r="K2244">
        <v>1352478</v>
      </c>
      <c r="L2244">
        <v>748</v>
      </c>
      <c r="M2244">
        <v>0</v>
      </c>
      <c r="T2244" s="9">
        <v>45108</v>
      </c>
      <c r="U2244" s="9">
        <v>45473</v>
      </c>
      <c r="V2244">
        <f>SUM(POTABLE_NONPOTABLE_API[[#This Row],[RESIDENTIAL_SINGLEFAMILY_GAL]:[OTHER_GAL]])</f>
        <v>43002518</v>
      </c>
      <c r="W2244">
        <f>SUM(POTABLE_NONPOTABLE_API[[#This Row],[NONPOTABLE_DEMAND_RESIDENTIAL_RECYCLED_WATER_GAL]:[NONPOTABLE_DEMAND_NONRESIDENTIAL_METERED_IRRIGATION_GAL]])</f>
        <v>0</v>
      </c>
      <c r="X2244" t="str">
        <f>IFERROR(INDEX(Crosswalk_API!$H$2:$H$527, MATCH(POTABLE_NONPOTABLE_API[[#This Row],[PWSID]], CW_PWSID_LIST, 0)), "")</f>
        <v>No</v>
      </c>
    </row>
    <row r="2245" spans="1:24" x14ac:dyDescent="0.25">
      <c r="A2245" t="s">
        <v>1365</v>
      </c>
      <c r="B2245" t="s">
        <v>1366</v>
      </c>
      <c r="C2245" t="s">
        <v>1367</v>
      </c>
      <c r="D2245" t="s">
        <v>1368</v>
      </c>
      <c r="E2245" s="9">
        <v>45444</v>
      </c>
      <c r="F2245" s="9">
        <v>45473</v>
      </c>
      <c r="G2245">
        <v>30484615.100000001</v>
      </c>
      <c r="H2245">
        <v>14296021.77</v>
      </c>
      <c r="I2245">
        <v>5084509.4440000001</v>
      </c>
      <c r="J2245">
        <v>3744748.3119999999</v>
      </c>
      <c r="K2245">
        <v>2323449.5120000001</v>
      </c>
      <c r="L2245">
        <v>2244.1559999999999</v>
      </c>
      <c r="M2245">
        <v>0</v>
      </c>
      <c r="T2245" s="9">
        <v>45108</v>
      </c>
      <c r="U2245" s="9">
        <v>45473</v>
      </c>
      <c r="V2245">
        <f>SUM(POTABLE_NONPOTABLE_API[[#This Row],[RESIDENTIAL_SINGLEFAMILY_GAL]:[OTHER_GAL]])</f>
        <v>55935588.294000007</v>
      </c>
      <c r="W2245">
        <f>SUM(POTABLE_NONPOTABLE_API[[#This Row],[NONPOTABLE_DEMAND_RESIDENTIAL_RECYCLED_WATER_GAL]:[NONPOTABLE_DEMAND_NONRESIDENTIAL_METERED_IRRIGATION_GAL]])</f>
        <v>0</v>
      </c>
      <c r="X2245" t="str">
        <f>IFERROR(INDEX(Crosswalk_API!$H$2:$H$527, MATCH(POTABLE_NONPOTABLE_API[[#This Row],[PWSID]], CW_PWSID_LIST, 0)), "")</f>
        <v>No</v>
      </c>
    </row>
    <row r="2246" spans="1:24" x14ac:dyDescent="0.25">
      <c r="A2246" t="s">
        <v>1369</v>
      </c>
      <c r="B2246" t="s">
        <v>1370</v>
      </c>
      <c r="C2246" t="s">
        <v>1371</v>
      </c>
      <c r="D2246" t="s">
        <v>1372</v>
      </c>
      <c r="E2246" s="9">
        <v>45108</v>
      </c>
      <c r="F2246" s="9">
        <v>45138</v>
      </c>
      <c r="G2246">
        <v>33716948</v>
      </c>
      <c r="H2246">
        <v>58339079</v>
      </c>
      <c r="I2246">
        <v>19836095</v>
      </c>
      <c r="J2246">
        <v>2051159</v>
      </c>
      <c r="K2246">
        <v>2075844</v>
      </c>
      <c r="L2246">
        <v>0</v>
      </c>
      <c r="M2246">
        <v>0</v>
      </c>
      <c r="T2246" s="9">
        <v>45108</v>
      </c>
      <c r="U2246" s="9">
        <v>45473</v>
      </c>
      <c r="V2246">
        <f>SUM(POTABLE_NONPOTABLE_API[[#This Row],[RESIDENTIAL_SINGLEFAMILY_GAL]:[OTHER_GAL]])</f>
        <v>116019125</v>
      </c>
      <c r="W2246">
        <f>SUM(POTABLE_NONPOTABLE_API[[#This Row],[NONPOTABLE_DEMAND_RESIDENTIAL_RECYCLED_WATER_GAL]:[NONPOTABLE_DEMAND_NONRESIDENTIAL_METERED_IRRIGATION_GAL]])</f>
        <v>0</v>
      </c>
      <c r="X2246" t="str">
        <f>IFERROR(INDEX(Crosswalk_API!$H$2:$H$527, MATCH(POTABLE_NONPOTABLE_API[[#This Row],[PWSID]], CW_PWSID_LIST, 0)), "")</f>
        <v>No</v>
      </c>
    </row>
    <row r="2247" spans="1:24" x14ac:dyDescent="0.25">
      <c r="A2247" t="s">
        <v>1369</v>
      </c>
      <c r="B2247" t="s">
        <v>1370</v>
      </c>
      <c r="C2247" t="s">
        <v>1371</v>
      </c>
      <c r="D2247" t="s">
        <v>1372</v>
      </c>
      <c r="E2247" s="9">
        <v>45139</v>
      </c>
      <c r="F2247" s="9">
        <v>45169</v>
      </c>
      <c r="G2247">
        <v>29931057</v>
      </c>
      <c r="H2247">
        <v>51014154</v>
      </c>
      <c r="I2247">
        <v>21294796</v>
      </c>
      <c r="J2247">
        <v>1965133</v>
      </c>
      <c r="K2247">
        <v>1987574</v>
      </c>
      <c r="L2247">
        <v>2992</v>
      </c>
      <c r="M2247">
        <v>0</v>
      </c>
      <c r="T2247" s="9">
        <v>45108</v>
      </c>
      <c r="U2247" s="9">
        <v>45473</v>
      </c>
      <c r="V2247">
        <f>SUM(POTABLE_NONPOTABLE_API[[#This Row],[RESIDENTIAL_SINGLEFAMILY_GAL]:[OTHER_GAL]])</f>
        <v>106195706</v>
      </c>
      <c r="W2247">
        <f>SUM(POTABLE_NONPOTABLE_API[[#This Row],[NONPOTABLE_DEMAND_RESIDENTIAL_RECYCLED_WATER_GAL]:[NONPOTABLE_DEMAND_NONRESIDENTIAL_METERED_IRRIGATION_GAL]])</f>
        <v>0</v>
      </c>
      <c r="X2247" t="str">
        <f>IFERROR(INDEX(Crosswalk_API!$H$2:$H$527, MATCH(POTABLE_NONPOTABLE_API[[#This Row],[PWSID]], CW_PWSID_LIST, 0)), "")</f>
        <v>No</v>
      </c>
    </row>
    <row r="2248" spans="1:24" x14ac:dyDescent="0.25">
      <c r="A2248" t="s">
        <v>1369</v>
      </c>
      <c r="B2248" t="s">
        <v>1370</v>
      </c>
      <c r="C2248" t="s">
        <v>1371</v>
      </c>
      <c r="D2248" t="s">
        <v>1372</v>
      </c>
      <c r="E2248" s="9">
        <v>45170</v>
      </c>
      <c r="F2248" s="9">
        <v>45199</v>
      </c>
      <c r="G2248">
        <v>32615067</v>
      </c>
      <c r="H2248">
        <v>57342674</v>
      </c>
      <c r="I2248">
        <v>22855233</v>
      </c>
      <c r="J2248">
        <v>1391377</v>
      </c>
      <c r="K2248">
        <v>2324946</v>
      </c>
      <c r="L2248">
        <v>9725</v>
      </c>
      <c r="M2248">
        <v>0</v>
      </c>
      <c r="T2248" s="9">
        <v>45108</v>
      </c>
      <c r="U2248" s="9">
        <v>45473</v>
      </c>
      <c r="V2248">
        <f>SUM(POTABLE_NONPOTABLE_API[[#This Row],[RESIDENTIAL_SINGLEFAMILY_GAL]:[OTHER_GAL]])</f>
        <v>116539022</v>
      </c>
      <c r="W2248">
        <f>SUM(POTABLE_NONPOTABLE_API[[#This Row],[NONPOTABLE_DEMAND_RESIDENTIAL_RECYCLED_WATER_GAL]:[NONPOTABLE_DEMAND_NONRESIDENTIAL_METERED_IRRIGATION_GAL]])</f>
        <v>0</v>
      </c>
      <c r="X2248" t="str">
        <f>IFERROR(INDEX(Crosswalk_API!$H$2:$H$527, MATCH(POTABLE_NONPOTABLE_API[[#This Row],[PWSID]], CW_PWSID_LIST, 0)), "")</f>
        <v>No</v>
      </c>
    </row>
    <row r="2249" spans="1:24" x14ac:dyDescent="0.25">
      <c r="A2249" t="s">
        <v>1369</v>
      </c>
      <c r="B2249" t="s">
        <v>1370</v>
      </c>
      <c r="C2249" t="s">
        <v>1371</v>
      </c>
      <c r="D2249" t="s">
        <v>1372</v>
      </c>
      <c r="E2249" s="9">
        <v>45200</v>
      </c>
      <c r="F2249" s="9">
        <v>45230</v>
      </c>
      <c r="G2249">
        <v>29441083</v>
      </c>
      <c r="H2249">
        <v>51829531</v>
      </c>
      <c r="I2249">
        <v>20851950</v>
      </c>
      <c r="J2249">
        <v>1440748</v>
      </c>
      <c r="K2249">
        <v>2036198</v>
      </c>
      <c r="L2249">
        <v>0</v>
      </c>
      <c r="M2249">
        <v>0</v>
      </c>
      <c r="T2249" s="9">
        <v>45108</v>
      </c>
      <c r="U2249" s="9">
        <v>45473</v>
      </c>
      <c r="V2249">
        <f>SUM(POTABLE_NONPOTABLE_API[[#This Row],[RESIDENTIAL_SINGLEFAMILY_GAL]:[OTHER_GAL]])</f>
        <v>105599510</v>
      </c>
      <c r="W2249">
        <f>SUM(POTABLE_NONPOTABLE_API[[#This Row],[NONPOTABLE_DEMAND_RESIDENTIAL_RECYCLED_WATER_GAL]:[NONPOTABLE_DEMAND_NONRESIDENTIAL_METERED_IRRIGATION_GAL]])</f>
        <v>0</v>
      </c>
      <c r="X2249" t="str">
        <f>IFERROR(INDEX(Crosswalk_API!$H$2:$H$527, MATCH(POTABLE_NONPOTABLE_API[[#This Row],[PWSID]], CW_PWSID_LIST, 0)), "")</f>
        <v>No</v>
      </c>
    </row>
    <row r="2250" spans="1:24" x14ac:dyDescent="0.25">
      <c r="A2250" t="s">
        <v>1369</v>
      </c>
      <c r="B2250" t="s">
        <v>1370</v>
      </c>
      <c r="C2250" t="s">
        <v>1371</v>
      </c>
      <c r="D2250" t="s">
        <v>1372</v>
      </c>
      <c r="E2250" s="9">
        <v>45231</v>
      </c>
      <c r="F2250" s="9">
        <v>45260</v>
      </c>
      <c r="G2250">
        <v>29227140</v>
      </c>
      <c r="H2250">
        <v>52583567</v>
      </c>
      <c r="I2250">
        <v>26577540</v>
      </c>
      <c r="J2250">
        <v>1068218</v>
      </c>
      <c r="K2250">
        <v>2135688</v>
      </c>
      <c r="L2250">
        <v>3740</v>
      </c>
      <c r="M2250">
        <v>0</v>
      </c>
      <c r="T2250" s="9">
        <v>45108</v>
      </c>
      <c r="U2250" s="9">
        <v>45473</v>
      </c>
      <c r="V2250">
        <f>SUM(POTABLE_NONPOTABLE_API[[#This Row],[RESIDENTIAL_SINGLEFAMILY_GAL]:[OTHER_GAL]])</f>
        <v>111595893</v>
      </c>
      <c r="W2250">
        <f>SUM(POTABLE_NONPOTABLE_API[[#This Row],[NONPOTABLE_DEMAND_RESIDENTIAL_RECYCLED_WATER_GAL]:[NONPOTABLE_DEMAND_NONRESIDENTIAL_METERED_IRRIGATION_GAL]])</f>
        <v>0</v>
      </c>
      <c r="X2250" t="str">
        <f>IFERROR(INDEX(Crosswalk_API!$H$2:$H$527, MATCH(POTABLE_NONPOTABLE_API[[#This Row],[PWSID]], CW_PWSID_LIST, 0)), "")</f>
        <v>No</v>
      </c>
    </row>
    <row r="2251" spans="1:24" x14ac:dyDescent="0.25">
      <c r="A2251" t="s">
        <v>1369</v>
      </c>
      <c r="B2251" t="s">
        <v>1370</v>
      </c>
      <c r="C2251" t="s">
        <v>1371</v>
      </c>
      <c r="D2251" t="s">
        <v>1372</v>
      </c>
      <c r="E2251" s="9">
        <v>45261</v>
      </c>
      <c r="F2251" s="9">
        <v>45291</v>
      </c>
      <c r="G2251">
        <v>27923285</v>
      </c>
      <c r="H2251">
        <v>49031068</v>
      </c>
      <c r="I2251">
        <v>19309466</v>
      </c>
      <c r="J2251">
        <v>818369</v>
      </c>
      <c r="K2251">
        <v>2038442</v>
      </c>
      <c r="L2251">
        <v>0</v>
      </c>
      <c r="M2251">
        <v>0</v>
      </c>
      <c r="T2251" s="9">
        <v>45108</v>
      </c>
      <c r="U2251" s="9">
        <v>45473</v>
      </c>
      <c r="V2251">
        <f>SUM(POTABLE_NONPOTABLE_API[[#This Row],[RESIDENTIAL_SINGLEFAMILY_GAL]:[OTHER_GAL]])</f>
        <v>99120630</v>
      </c>
      <c r="W2251">
        <f>SUM(POTABLE_NONPOTABLE_API[[#This Row],[NONPOTABLE_DEMAND_RESIDENTIAL_RECYCLED_WATER_GAL]:[NONPOTABLE_DEMAND_NONRESIDENTIAL_METERED_IRRIGATION_GAL]])</f>
        <v>0</v>
      </c>
      <c r="X2251" t="str">
        <f>IFERROR(INDEX(Crosswalk_API!$H$2:$H$527, MATCH(POTABLE_NONPOTABLE_API[[#This Row],[PWSID]], CW_PWSID_LIST, 0)), "")</f>
        <v>No</v>
      </c>
    </row>
    <row r="2252" spans="1:24" x14ac:dyDescent="0.25">
      <c r="A2252" t="s">
        <v>1369</v>
      </c>
      <c r="B2252" t="s">
        <v>1370</v>
      </c>
      <c r="C2252" t="s">
        <v>1371</v>
      </c>
      <c r="D2252" t="s">
        <v>1372</v>
      </c>
      <c r="E2252" s="9">
        <v>45292</v>
      </c>
      <c r="F2252" s="9">
        <v>45322</v>
      </c>
      <c r="G2252">
        <v>27140075</v>
      </c>
      <c r="H2252">
        <v>50742611</v>
      </c>
      <c r="I2252">
        <v>18331762</v>
      </c>
      <c r="J2252">
        <v>534857</v>
      </c>
      <c r="K2252">
        <v>2001039</v>
      </c>
      <c r="L2252">
        <v>2992</v>
      </c>
      <c r="M2252">
        <v>0</v>
      </c>
      <c r="T2252" s="9">
        <v>45108</v>
      </c>
      <c r="U2252" s="9">
        <v>45473</v>
      </c>
      <c r="V2252">
        <f>SUM(POTABLE_NONPOTABLE_API[[#This Row],[RESIDENTIAL_SINGLEFAMILY_GAL]:[OTHER_GAL]])</f>
        <v>98753336</v>
      </c>
      <c r="W2252">
        <f>SUM(POTABLE_NONPOTABLE_API[[#This Row],[NONPOTABLE_DEMAND_RESIDENTIAL_RECYCLED_WATER_GAL]:[NONPOTABLE_DEMAND_NONRESIDENTIAL_METERED_IRRIGATION_GAL]])</f>
        <v>0</v>
      </c>
      <c r="X2252" t="str">
        <f>IFERROR(INDEX(Crosswalk_API!$H$2:$H$527, MATCH(POTABLE_NONPOTABLE_API[[#This Row],[PWSID]], CW_PWSID_LIST, 0)), "")</f>
        <v>No</v>
      </c>
    </row>
    <row r="2253" spans="1:24" x14ac:dyDescent="0.25">
      <c r="A2253" t="s">
        <v>1369</v>
      </c>
      <c r="B2253" t="s">
        <v>1370</v>
      </c>
      <c r="C2253" t="s">
        <v>1371</v>
      </c>
      <c r="D2253" t="s">
        <v>1372</v>
      </c>
      <c r="E2253" s="9">
        <v>45323</v>
      </c>
      <c r="F2253" s="9">
        <v>45351</v>
      </c>
      <c r="G2253">
        <v>28464127</v>
      </c>
      <c r="H2253">
        <v>53024170</v>
      </c>
      <c r="I2253">
        <v>18418536</v>
      </c>
      <c r="J2253">
        <v>355325</v>
      </c>
      <c r="K2253">
        <v>2729642</v>
      </c>
      <c r="L2253">
        <v>3740</v>
      </c>
      <c r="M2253">
        <v>0</v>
      </c>
      <c r="T2253" s="9">
        <v>45108</v>
      </c>
      <c r="U2253" s="9">
        <v>45473</v>
      </c>
      <c r="V2253">
        <f>SUM(POTABLE_NONPOTABLE_API[[#This Row],[RESIDENTIAL_SINGLEFAMILY_GAL]:[OTHER_GAL]])</f>
        <v>102995540</v>
      </c>
      <c r="W2253">
        <f>SUM(POTABLE_NONPOTABLE_API[[#This Row],[NONPOTABLE_DEMAND_RESIDENTIAL_RECYCLED_WATER_GAL]:[NONPOTABLE_DEMAND_NONRESIDENTIAL_METERED_IRRIGATION_GAL]])</f>
        <v>0</v>
      </c>
      <c r="X2253" t="str">
        <f>IFERROR(INDEX(Crosswalk_API!$H$2:$H$527, MATCH(POTABLE_NONPOTABLE_API[[#This Row],[PWSID]], CW_PWSID_LIST, 0)), "")</f>
        <v>No</v>
      </c>
    </row>
    <row r="2254" spans="1:24" x14ac:dyDescent="0.25">
      <c r="A2254" t="s">
        <v>1369</v>
      </c>
      <c r="B2254" t="s">
        <v>1370</v>
      </c>
      <c r="C2254" t="s">
        <v>1371</v>
      </c>
      <c r="D2254" t="s">
        <v>1372</v>
      </c>
      <c r="E2254" s="9">
        <v>45352</v>
      </c>
      <c r="F2254" s="9">
        <v>45382</v>
      </c>
      <c r="G2254">
        <v>24528625</v>
      </c>
      <c r="H2254">
        <v>46561001</v>
      </c>
      <c r="I2254">
        <v>17965965</v>
      </c>
      <c r="J2254">
        <v>758525</v>
      </c>
      <c r="K2254">
        <v>2291283</v>
      </c>
      <c r="L2254">
        <v>1496</v>
      </c>
      <c r="M2254">
        <v>0</v>
      </c>
      <c r="T2254" s="9">
        <v>45108</v>
      </c>
      <c r="U2254" s="9">
        <v>45473</v>
      </c>
      <c r="V2254">
        <f>SUM(POTABLE_NONPOTABLE_API[[#This Row],[RESIDENTIAL_SINGLEFAMILY_GAL]:[OTHER_GAL]])</f>
        <v>92106895</v>
      </c>
      <c r="W2254">
        <f>SUM(POTABLE_NONPOTABLE_API[[#This Row],[NONPOTABLE_DEMAND_RESIDENTIAL_RECYCLED_WATER_GAL]:[NONPOTABLE_DEMAND_NONRESIDENTIAL_METERED_IRRIGATION_GAL]])</f>
        <v>0</v>
      </c>
      <c r="X2254" t="str">
        <f>IFERROR(INDEX(Crosswalk_API!$H$2:$H$527, MATCH(POTABLE_NONPOTABLE_API[[#This Row],[PWSID]], CW_PWSID_LIST, 0)), "")</f>
        <v>No</v>
      </c>
    </row>
    <row r="2255" spans="1:24" x14ac:dyDescent="0.25">
      <c r="A2255" t="s">
        <v>1369</v>
      </c>
      <c r="B2255" t="s">
        <v>1370</v>
      </c>
      <c r="C2255" t="s">
        <v>1371</v>
      </c>
      <c r="D2255" t="s">
        <v>1372</v>
      </c>
      <c r="E2255" s="9">
        <v>45383</v>
      </c>
      <c r="F2255" s="9">
        <v>45412</v>
      </c>
      <c r="G2255">
        <v>25507825</v>
      </c>
      <c r="H2255">
        <v>46777188</v>
      </c>
      <c r="I2255">
        <v>16585809</v>
      </c>
      <c r="J2255">
        <v>496707</v>
      </c>
      <c r="K2255">
        <v>2241912</v>
      </c>
      <c r="L2255">
        <v>0</v>
      </c>
      <c r="M2255">
        <v>0</v>
      </c>
      <c r="T2255" s="9">
        <v>45108</v>
      </c>
      <c r="U2255" s="9">
        <v>45473</v>
      </c>
      <c r="V2255">
        <f>SUM(POTABLE_NONPOTABLE_API[[#This Row],[RESIDENTIAL_SINGLEFAMILY_GAL]:[OTHER_GAL]])</f>
        <v>91609441</v>
      </c>
      <c r="W2255">
        <f>SUM(POTABLE_NONPOTABLE_API[[#This Row],[NONPOTABLE_DEMAND_RESIDENTIAL_RECYCLED_WATER_GAL]:[NONPOTABLE_DEMAND_NONRESIDENTIAL_METERED_IRRIGATION_GAL]])</f>
        <v>0</v>
      </c>
      <c r="X2255" t="str">
        <f>IFERROR(INDEX(Crosswalk_API!$H$2:$H$527, MATCH(POTABLE_NONPOTABLE_API[[#This Row],[PWSID]], CW_PWSID_LIST, 0)), "")</f>
        <v>No</v>
      </c>
    </row>
    <row r="2256" spans="1:24" x14ac:dyDescent="0.25">
      <c r="A2256" t="s">
        <v>1369</v>
      </c>
      <c r="B2256" t="s">
        <v>1370</v>
      </c>
      <c r="C2256" t="s">
        <v>1371</v>
      </c>
      <c r="D2256" t="s">
        <v>1372</v>
      </c>
      <c r="E2256" s="9">
        <v>45413</v>
      </c>
      <c r="F2256" s="9">
        <v>45443</v>
      </c>
      <c r="G2256">
        <v>28816459</v>
      </c>
      <c r="H2256">
        <v>52626206</v>
      </c>
      <c r="I2256">
        <v>21432438</v>
      </c>
      <c r="J2256">
        <v>926088</v>
      </c>
      <c r="K2256">
        <v>2505226</v>
      </c>
      <c r="L2256">
        <v>62836</v>
      </c>
      <c r="M2256">
        <v>0</v>
      </c>
      <c r="T2256" s="9">
        <v>45108</v>
      </c>
      <c r="U2256" s="9">
        <v>45473</v>
      </c>
      <c r="V2256">
        <f>SUM(POTABLE_NONPOTABLE_API[[#This Row],[RESIDENTIAL_SINGLEFAMILY_GAL]:[OTHER_GAL]])</f>
        <v>106369253</v>
      </c>
      <c r="W2256">
        <f>SUM(POTABLE_NONPOTABLE_API[[#This Row],[NONPOTABLE_DEMAND_RESIDENTIAL_RECYCLED_WATER_GAL]:[NONPOTABLE_DEMAND_NONRESIDENTIAL_METERED_IRRIGATION_GAL]])</f>
        <v>0</v>
      </c>
      <c r="X2256" t="str">
        <f>IFERROR(INDEX(Crosswalk_API!$H$2:$H$527, MATCH(POTABLE_NONPOTABLE_API[[#This Row],[PWSID]], CW_PWSID_LIST, 0)), "")</f>
        <v>No</v>
      </c>
    </row>
    <row r="2257" spans="1:24" x14ac:dyDescent="0.25">
      <c r="A2257" t="s">
        <v>1369</v>
      </c>
      <c r="B2257" t="s">
        <v>1370</v>
      </c>
      <c r="C2257" t="s">
        <v>1371</v>
      </c>
      <c r="D2257" t="s">
        <v>1372</v>
      </c>
      <c r="E2257" s="9">
        <v>45444</v>
      </c>
      <c r="F2257" s="9">
        <v>45473</v>
      </c>
      <c r="G2257">
        <v>31662049</v>
      </c>
      <c r="H2257">
        <v>53906871</v>
      </c>
      <c r="I2257">
        <v>20669425</v>
      </c>
      <c r="J2257">
        <v>1276925</v>
      </c>
      <c r="K2257">
        <v>2159626</v>
      </c>
      <c r="L2257">
        <v>93507</v>
      </c>
      <c r="M2257">
        <v>0</v>
      </c>
      <c r="T2257" s="9">
        <v>45108</v>
      </c>
      <c r="U2257" s="9">
        <v>45473</v>
      </c>
      <c r="V2257">
        <f>SUM(POTABLE_NONPOTABLE_API[[#This Row],[RESIDENTIAL_SINGLEFAMILY_GAL]:[OTHER_GAL]])</f>
        <v>109768403</v>
      </c>
      <c r="W2257">
        <f>SUM(POTABLE_NONPOTABLE_API[[#This Row],[NONPOTABLE_DEMAND_RESIDENTIAL_RECYCLED_WATER_GAL]:[NONPOTABLE_DEMAND_NONRESIDENTIAL_METERED_IRRIGATION_GAL]])</f>
        <v>0</v>
      </c>
      <c r="X2257" t="str">
        <f>IFERROR(INDEX(Crosswalk_API!$H$2:$H$527, MATCH(POTABLE_NONPOTABLE_API[[#This Row],[PWSID]], CW_PWSID_LIST, 0)), "")</f>
        <v>No</v>
      </c>
    </row>
    <row r="2258" spans="1:24" x14ac:dyDescent="0.25">
      <c r="A2258" t="s">
        <v>1373</v>
      </c>
      <c r="B2258" t="s">
        <v>1374</v>
      </c>
      <c r="C2258" t="s">
        <v>1375</v>
      </c>
      <c r="D2258" t="s">
        <v>1376</v>
      </c>
      <c r="E2258" s="9">
        <v>45108</v>
      </c>
      <c r="F2258" s="9">
        <v>45138</v>
      </c>
      <c r="G2258">
        <v>142626587</v>
      </c>
      <c r="H2258">
        <v>18172427</v>
      </c>
      <c r="I2258">
        <v>63731786</v>
      </c>
      <c r="J2258">
        <v>24993165</v>
      </c>
      <c r="K2258">
        <v>2366837</v>
      </c>
      <c r="L2258">
        <v>65081</v>
      </c>
      <c r="M2258">
        <v>0</v>
      </c>
      <c r="T2258" s="9">
        <v>45108</v>
      </c>
      <c r="U2258" s="9">
        <v>45473</v>
      </c>
      <c r="V2258">
        <f>SUM(POTABLE_NONPOTABLE_API[[#This Row],[RESIDENTIAL_SINGLEFAMILY_GAL]:[OTHER_GAL]])</f>
        <v>251955883</v>
      </c>
      <c r="W2258">
        <f>SUM(POTABLE_NONPOTABLE_API[[#This Row],[NONPOTABLE_DEMAND_RESIDENTIAL_RECYCLED_WATER_GAL]:[NONPOTABLE_DEMAND_NONRESIDENTIAL_METERED_IRRIGATION_GAL]])</f>
        <v>0</v>
      </c>
      <c r="X2258" t="str">
        <f>IFERROR(INDEX(Crosswalk_API!$H$2:$H$527, MATCH(POTABLE_NONPOTABLE_API[[#This Row],[PWSID]], CW_PWSID_LIST, 0)), "")</f>
        <v>No</v>
      </c>
    </row>
    <row r="2259" spans="1:24" x14ac:dyDescent="0.25">
      <c r="A2259" t="s">
        <v>1373</v>
      </c>
      <c r="B2259" t="s">
        <v>1374</v>
      </c>
      <c r="C2259" t="s">
        <v>1375</v>
      </c>
      <c r="D2259" t="s">
        <v>1376</v>
      </c>
      <c r="E2259" s="9">
        <v>45139</v>
      </c>
      <c r="F2259" s="9">
        <v>45169</v>
      </c>
      <c r="G2259">
        <v>149403938</v>
      </c>
      <c r="H2259">
        <v>19254858</v>
      </c>
      <c r="I2259">
        <v>74060140</v>
      </c>
      <c r="J2259">
        <v>27973405</v>
      </c>
      <c r="K2259">
        <v>2232935</v>
      </c>
      <c r="L2259">
        <v>748</v>
      </c>
      <c r="M2259">
        <v>0</v>
      </c>
      <c r="T2259" s="9">
        <v>45108</v>
      </c>
      <c r="U2259" s="9">
        <v>45473</v>
      </c>
      <c r="V2259">
        <f>SUM(POTABLE_NONPOTABLE_API[[#This Row],[RESIDENTIAL_SINGLEFAMILY_GAL]:[OTHER_GAL]])</f>
        <v>272926024</v>
      </c>
      <c r="W2259">
        <f>SUM(POTABLE_NONPOTABLE_API[[#This Row],[NONPOTABLE_DEMAND_RESIDENTIAL_RECYCLED_WATER_GAL]:[NONPOTABLE_DEMAND_NONRESIDENTIAL_METERED_IRRIGATION_GAL]])</f>
        <v>0</v>
      </c>
      <c r="X2259" t="str">
        <f>IFERROR(INDEX(Crosswalk_API!$H$2:$H$527, MATCH(POTABLE_NONPOTABLE_API[[#This Row],[PWSID]], CW_PWSID_LIST, 0)), "")</f>
        <v>No</v>
      </c>
    </row>
    <row r="2260" spans="1:24" x14ac:dyDescent="0.25">
      <c r="A2260" t="s">
        <v>1373</v>
      </c>
      <c r="B2260" t="s">
        <v>1374</v>
      </c>
      <c r="C2260" t="s">
        <v>1375</v>
      </c>
      <c r="D2260" t="s">
        <v>1376</v>
      </c>
      <c r="E2260" s="9">
        <v>45170</v>
      </c>
      <c r="F2260" s="9">
        <v>45199</v>
      </c>
      <c r="G2260">
        <v>149728592</v>
      </c>
      <c r="H2260">
        <v>22541799</v>
      </c>
      <c r="I2260">
        <v>74884494</v>
      </c>
      <c r="J2260">
        <v>19479274</v>
      </c>
      <c r="K2260">
        <v>2528416</v>
      </c>
      <c r="L2260">
        <v>59844</v>
      </c>
      <c r="M2260">
        <v>0</v>
      </c>
      <c r="T2260" s="9">
        <v>45108</v>
      </c>
      <c r="U2260" s="9">
        <v>45473</v>
      </c>
      <c r="V2260">
        <f>SUM(POTABLE_NONPOTABLE_API[[#This Row],[RESIDENTIAL_SINGLEFAMILY_GAL]:[OTHER_GAL]])</f>
        <v>269222419</v>
      </c>
      <c r="W2260">
        <f>SUM(POTABLE_NONPOTABLE_API[[#This Row],[NONPOTABLE_DEMAND_RESIDENTIAL_RECYCLED_WATER_GAL]:[NONPOTABLE_DEMAND_NONRESIDENTIAL_METERED_IRRIGATION_GAL]])</f>
        <v>0</v>
      </c>
      <c r="X2260" t="str">
        <f>IFERROR(INDEX(Crosswalk_API!$H$2:$H$527, MATCH(POTABLE_NONPOTABLE_API[[#This Row],[PWSID]], CW_PWSID_LIST, 0)), "")</f>
        <v>No</v>
      </c>
    </row>
    <row r="2261" spans="1:24" x14ac:dyDescent="0.25">
      <c r="A2261" t="s">
        <v>1373</v>
      </c>
      <c r="B2261" t="s">
        <v>1374</v>
      </c>
      <c r="C2261" t="s">
        <v>1375</v>
      </c>
      <c r="D2261" t="s">
        <v>1376</v>
      </c>
      <c r="E2261" s="9">
        <v>45200</v>
      </c>
      <c r="F2261" s="9">
        <v>45230</v>
      </c>
      <c r="G2261">
        <v>121469432</v>
      </c>
      <c r="H2261">
        <v>15640271</v>
      </c>
      <c r="I2261">
        <v>62564825</v>
      </c>
      <c r="J2261">
        <v>21298537</v>
      </c>
      <c r="K2261">
        <v>1819262</v>
      </c>
      <c r="L2261">
        <v>29922</v>
      </c>
      <c r="M2261">
        <v>0</v>
      </c>
      <c r="T2261" s="9">
        <v>45108</v>
      </c>
      <c r="U2261" s="9">
        <v>45473</v>
      </c>
      <c r="V2261">
        <f>SUM(POTABLE_NONPOTABLE_API[[#This Row],[RESIDENTIAL_SINGLEFAMILY_GAL]:[OTHER_GAL]])</f>
        <v>222822249</v>
      </c>
      <c r="W2261">
        <f>SUM(POTABLE_NONPOTABLE_API[[#This Row],[NONPOTABLE_DEMAND_RESIDENTIAL_RECYCLED_WATER_GAL]:[NONPOTABLE_DEMAND_NONRESIDENTIAL_METERED_IRRIGATION_GAL]])</f>
        <v>0</v>
      </c>
      <c r="X2261" t="str">
        <f>IFERROR(INDEX(Crosswalk_API!$H$2:$H$527, MATCH(POTABLE_NONPOTABLE_API[[#This Row],[PWSID]], CW_PWSID_LIST, 0)), "")</f>
        <v>No</v>
      </c>
    </row>
    <row r="2262" spans="1:24" x14ac:dyDescent="0.25">
      <c r="A2262" t="s">
        <v>1373</v>
      </c>
      <c r="B2262" t="s">
        <v>1374</v>
      </c>
      <c r="C2262" t="s">
        <v>1375</v>
      </c>
      <c r="D2262" t="s">
        <v>1376</v>
      </c>
      <c r="E2262" s="9">
        <v>45231</v>
      </c>
      <c r="F2262" s="9">
        <v>45260</v>
      </c>
      <c r="G2262">
        <v>126470159</v>
      </c>
      <c r="H2262">
        <v>18317549</v>
      </c>
      <c r="I2262">
        <v>61026830</v>
      </c>
      <c r="J2262">
        <v>21045695</v>
      </c>
      <c r="K2262">
        <v>1314327</v>
      </c>
      <c r="L2262">
        <v>0</v>
      </c>
      <c r="M2262">
        <v>0</v>
      </c>
      <c r="T2262" s="9">
        <v>45108</v>
      </c>
      <c r="U2262" s="9">
        <v>45473</v>
      </c>
      <c r="V2262">
        <f>SUM(POTABLE_NONPOTABLE_API[[#This Row],[RESIDENTIAL_SINGLEFAMILY_GAL]:[OTHER_GAL]])</f>
        <v>228174560</v>
      </c>
      <c r="W2262">
        <f>SUM(POTABLE_NONPOTABLE_API[[#This Row],[NONPOTABLE_DEMAND_RESIDENTIAL_RECYCLED_WATER_GAL]:[NONPOTABLE_DEMAND_NONRESIDENTIAL_METERED_IRRIGATION_GAL]])</f>
        <v>0</v>
      </c>
      <c r="X2262" t="str">
        <f>IFERROR(INDEX(Crosswalk_API!$H$2:$H$527, MATCH(POTABLE_NONPOTABLE_API[[#This Row],[PWSID]], CW_PWSID_LIST, 0)), "")</f>
        <v>No</v>
      </c>
    </row>
    <row r="2263" spans="1:24" x14ac:dyDescent="0.25">
      <c r="A2263" t="s">
        <v>1373</v>
      </c>
      <c r="B2263" t="s">
        <v>1374</v>
      </c>
      <c r="C2263" t="s">
        <v>1375</v>
      </c>
      <c r="D2263" t="s">
        <v>1376</v>
      </c>
      <c r="E2263" s="9">
        <v>45261</v>
      </c>
      <c r="F2263" s="9">
        <v>45291</v>
      </c>
      <c r="G2263">
        <v>104944215</v>
      </c>
      <c r="H2263">
        <v>15314121</v>
      </c>
      <c r="I2263">
        <v>59286113</v>
      </c>
      <c r="J2263">
        <v>8248021</v>
      </c>
      <c r="K2263">
        <v>2415460</v>
      </c>
      <c r="L2263">
        <v>0</v>
      </c>
      <c r="M2263">
        <v>0</v>
      </c>
      <c r="T2263" s="9">
        <v>45108</v>
      </c>
      <c r="U2263" s="9">
        <v>45473</v>
      </c>
      <c r="V2263">
        <f>SUM(POTABLE_NONPOTABLE_API[[#This Row],[RESIDENTIAL_SINGLEFAMILY_GAL]:[OTHER_GAL]])</f>
        <v>190207930</v>
      </c>
      <c r="W2263">
        <f>SUM(POTABLE_NONPOTABLE_API[[#This Row],[NONPOTABLE_DEMAND_RESIDENTIAL_RECYCLED_WATER_GAL]:[NONPOTABLE_DEMAND_NONRESIDENTIAL_METERED_IRRIGATION_GAL]])</f>
        <v>0</v>
      </c>
      <c r="X2263" t="str">
        <f>IFERROR(INDEX(Crosswalk_API!$H$2:$H$527, MATCH(POTABLE_NONPOTABLE_API[[#This Row],[PWSID]], CW_PWSID_LIST, 0)), "")</f>
        <v>No</v>
      </c>
    </row>
    <row r="2264" spans="1:24" x14ac:dyDescent="0.25">
      <c r="A2264" t="s">
        <v>1373</v>
      </c>
      <c r="B2264" t="s">
        <v>1374</v>
      </c>
      <c r="C2264" t="s">
        <v>1375</v>
      </c>
      <c r="D2264" t="s">
        <v>1376</v>
      </c>
      <c r="E2264" s="9">
        <v>45292</v>
      </c>
      <c r="F2264" s="9">
        <v>45322</v>
      </c>
      <c r="G2264">
        <v>86920650.189999998</v>
      </c>
      <c r="H2264">
        <v>13527772.369999999</v>
      </c>
      <c r="I2264">
        <v>33380324.399999999</v>
      </c>
      <c r="J2264">
        <v>6137018.608</v>
      </c>
      <c r="K2264">
        <v>1132550.7279999999</v>
      </c>
      <c r="L2264">
        <v>-11968.832</v>
      </c>
      <c r="M2264">
        <v>0</v>
      </c>
      <c r="T2264" s="9">
        <v>45108</v>
      </c>
      <c r="U2264" s="9">
        <v>45473</v>
      </c>
      <c r="V2264">
        <f>SUM(POTABLE_NONPOTABLE_API[[#This Row],[RESIDENTIAL_SINGLEFAMILY_GAL]:[OTHER_GAL]])</f>
        <v>141086347.46400002</v>
      </c>
      <c r="W2264">
        <f>SUM(POTABLE_NONPOTABLE_API[[#This Row],[NONPOTABLE_DEMAND_RESIDENTIAL_RECYCLED_WATER_GAL]:[NONPOTABLE_DEMAND_NONRESIDENTIAL_METERED_IRRIGATION_GAL]])</f>
        <v>0</v>
      </c>
      <c r="X2264" t="str">
        <f>IFERROR(INDEX(Crosswalk_API!$H$2:$H$527, MATCH(POTABLE_NONPOTABLE_API[[#This Row],[PWSID]], CW_PWSID_LIST, 0)), "")</f>
        <v>No</v>
      </c>
    </row>
    <row r="2265" spans="1:24" x14ac:dyDescent="0.25">
      <c r="A2265" t="s">
        <v>1373</v>
      </c>
      <c r="B2265" t="s">
        <v>1374</v>
      </c>
      <c r="C2265" t="s">
        <v>1375</v>
      </c>
      <c r="D2265" t="s">
        <v>1376</v>
      </c>
      <c r="E2265" s="9">
        <v>45323</v>
      </c>
      <c r="F2265" s="9">
        <v>45351</v>
      </c>
      <c r="G2265">
        <v>71578852</v>
      </c>
      <c r="H2265">
        <v>12497705</v>
      </c>
      <c r="I2265">
        <v>37055504</v>
      </c>
      <c r="J2265">
        <v>5152582</v>
      </c>
      <c r="K2265">
        <v>1496104</v>
      </c>
      <c r="L2265">
        <v>8229</v>
      </c>
      <c r="M2265">
        <v>0</v>
      </c>
      <c r="T2265" s="9">
        <v>45108</v>
      </c>
      <c r="U2265" s="9">
        <v>45473</v>
      </c>
      <c r="V2265">
        <f>SUM(POTABLE_NONPOTABLE_API[[#This Row],[RESIDENTIAL_SINGLEFAMILY_GAL]:[OTHER_GAL]])</f>
        <v>127788976</v>
      </c>
      <c r="W2265">
        <f>SUM(POTABLE_NONPOTABLE_API[[#This Row],[NONPOTABLE_DEMAND_RESIDENTIAL_RECYCLED_WATER_GAL]:[NONPOTABLE_DEMAND_NONRESIDENTIAL_METERED_IRRIGATION_GAL]])</f>
        <v>0</v>
      </c>
      <c r="X2265" t="str">
        <f>IFERROR(INDEX(Crosswalk_API!$H$2:$H$527, MATCH(POTABLE_NONPOTABLE_API[[#This Row],[PWSID]], CW_PWSID_LIST, 0)), "")</f>
        <v>No</v>
      </c>
    </row>
    <row r="2266" spans="1:24" x14ac:dyDescent="0.25">
      <c r="A2266" t="s">
        <v>1373</v>
      </c>
      <c r="B2266" t="s">
        <v>1374</v>
      </c>
      <c r="C2266" t="s">
        <v>1375</v>
      </c>
      <c r="D2266" t="s">
        <v>1376</v>
      </c>
      <c r="E2266" s="9">
        <v>45352</v>
      </c>
      <c r="F2266" s="9">
        <v>45382</v>
      </c>
      <c r="G2266">
        <v>58461012</v>
      </c>
      <c r="H2266">
        <v>10237840</v>
      </c>
      <c r="I2266">
        <v>29764989</v>
      </c>
      <c r="J2266">
        <v>2660821</v>
      </c>
      <c r="K2266">
        <v>985933</v>
      </c>
      <c r="L2266">
        <v>27678</v>
      </c>
      <c r="M2266">
        <v>0</v>
      </c>
      <c r="T2266" s="9">
        <v>45108</v>
      </c>
      <c r="U2266" s="9">
        <v>45473</v>
      </c>
      <c r="V2266">
        <f>SUM(POTABLE_NONPOTABLE_API[[#This Row],[RESIDENTIAL_SINGLEFAMILY_GAL]:[OTHER_GAL]])</f>
        <v>102138273</v>
      </c>
      <c r="W2266">
        <f>SUM(POTABLE_NONPOTABLE_API[[#This Row],[NONPOTABLE_DEMAND_RESIDENTIAL_RECYCLED_WATER_GAL]:[NONPOTABLE_DEMAND_NONRESIDENTIAL_METERED_IRRIGATION_GAL]])</f>
        <v>0</v>
      </c>
      <c r="X2266" t="str">
        <f>IFERROR(INDEX(Crosswalk_API!$H$2:$H$527, MATCH(POTABLE_NONPOTABLE_API[[#This Row],[PWSID]], CW_PWSID_LIST, 0)), "")</f>
        <v>No</v>
      </c>
    </row>
    <row r="2267" spans="1:24" x14ac:dyDescent="0.25">
      <c r="A2267" t="s">
        <v>1373</v>
      </c>
      <c r="B2267" t="s">
        <v>1374</v>
      </c>
      <c r="C2267" t="s">
        <v>1375</v>
      </c>
      <c r="D2267" t="s">
        <v>1376</v>
      </c>
      <c r="E2267" s="9">
        <v>45383</v>
      </c>
      <c r="F2267" s="9">
        <v>45412</v>
      </c>
      <c r="G2267">
        <v>69265127</v>
      </c>
      <c r="H2267">
        <v>13265206</v>
      </c>
      <c r="I2267">
        <v>36282766</v>
      </c>
      <c r="J2267">
        <v>3645257</v>
      </c>
      <c r="K2267">
        <v>1680873</v>
      </c>
      <c r="L2267">
        <v>30670</v>
      </c>
      <c r="M2267">
        <v>0</v>
      </c>
      <c r="T2267" s="9">
        <v>45108</v>
      </c>
      <c r="U2267" s="9">
        <v>45473</v>
      </c>
      <c r="V2267">
        <f>SUM(POTABLE_NONPOTABLE_API[[#This Row],[RESIDENTIAL_SINGLEFAMILY_GAL]:[OTHER_GAL]])</f>
        <v>124169899</v>
      </c>
      <c r="W2267">
        <f>SUM(POTABLE_NONPOTABLE_API[[#This Row],[NONPOTABLE_DEMAND_RESIDENTIAL_RECYCLED_WATER_GAL]:[NONPOTABLE_DEMAND_NONRESIDENTIAL_METERED_IRRIGATION_GAL]])</f>
        <v>0</v>
      </c>
      <c r="X2267" t="str">
        <f>IFERROR(INDEX(Crosswalk_API!$H$2:$H$527, MATCH(POTABLE_NONPOTABLE_API[[#This Row],[PWSID]], CW_PWSID_LIST, 0)), "")</f>
        <v>No</v>
      </c>
    </row>
    <row r="2268" spans="1:24" x14ac:dyDescent="0.25">
      <c r="A2268" t="s">
        <v>1373</v>
      </c>
      <c r="B2268" t="s">
        <v>1374</v>
      </c>
      <c r="C2268" t="s">
        <v>1375</v>
      </c>
      <c r="D2268" t="s">
        <v>1376</v>
      </c>
      <c r="E2268" s="9">
        <v>45413</v>
      </c>
      <c r="F2268" s="9">
        <v>45443</v>
      </c>
      <c r="G2268">
        <v>98598490</v>
      </c>
      <c r="H2268">
        <v>13522536</v>
      </c>
      <c r="I2268">
        <v>51956700</v>
      </c>
      <c r="J2268">
        <v>14364843</v>
      </c>
      <c r="K2268">
        <v>1249247</v>
      </c>
      <c r="L2268">
        <v>26930</v>
      </c>
      <c r="M2268">
        <v>0</v>
      </c>
      <c r="T2268" s="9">
        <v>45108</v>
      </c>
      <c r="U2268" s="9">
        <v>45473</v>
      </c>
      <c r="V2268">
        <f>SUM(POTABLE_NONPOTABLE_API[[#This Row],[RESIDENTIAL_SINGLEFAMILY_GAL]:[OTHER_GAL]])</f>
        <v>179718746</v>
      </c>
      <c r="W2268">
        <f>SUM(POTABLE_NONPOTABLE_API[[#This Row],[NONPOTABLE_DEMAND_RESIDENTIAL_RECYCLED_WATER_GAL]:[NONPOTABLE_DEMAND_NONRESIDENTIAL_METERED_IRRIGATION_GAL]])</f>
        <v>0</v>
      </c>
      <c r="X2268" t="str">
        <f>IFERROR(INDEX(Crosswalk_API!$H$2:$H$527, MATCH(POTABLE_NONPOTABLE_API[[#This Row],[PWSID]], CW_PWSID_LIST, 0)), "")</f>
        <v>No</v>
      </c>
    </row>
    <row r="2269" spans="1:24" x14ac:dyDescent="0.25">
      <c r="A2269" t="s">
        <v>1373</v>
      </c>
      <c r="B2269" t="s">
        <v>1374</v>
      </c>
      <c r="C2269" t="s">
        <v>1375</v>
      </c>
      <c r="D2269" t="s">
        <v>1376</v>
      </c>
      <c r="E2269" s="9">
        <v>45444</v>
      </c>
      <c r="F2269" s="9">
        <v>45473</v>
      </c>
      <c r="G2269">
        <v>132168820</v>
      </c>
      <c r="H2269">
        <v>17202204</v>
      </c>
      <c r="I2269">
        <v>59896524</v>
      </c>
      <c r="J2269">
        <v>22476718</v>
      </c>
      <c r="K2269">
        <v>2385538</v>
      </c>
      <c r="L2269">
        <v>38899</v>
      </c>
      <c r="M2269">
        <v>0</v>
      </c>
      <c r="T2269" s="9">
        <v>45108</v>
      </c>
      <c r="U2269" s="9">
        <v>45473</v>
      </c>
      <c r="V2269">
        <f>SUM(POTABLE_NONPOTABLE_API[[#This Row],[RESIDENTIAL_SINGLEFAMILY_GAL]:[OTHER_GAL]])</f>
        <v>234168703</v>
      </c>
      <c r="W2269">
        <f>SUM(POTABLE_NONPOTABLE_API[[#This Row],[NONPOTABLE_DEMAND_RESIDENTIAL_RECYCLED_WATER_GAL]:[NONPOTABLE_DEMAND_NONRESIDENTIAL_METERED_IRRIGATION_GAL]])</f>
        <v>0</v>
      </c>
      <c r="X2269" t="str">
        <f>IFERROR(INDEX(Crosswalk_API!$H$2:$H$527, MATCH(POTABLE_NONPOTABLE_API[[#This Row],[PWSID]], CW_PWSID_LIST, 0)), "")</f>
        <v>No</v>
      </c>
    </row>
    <row r="2270" spans="1:24" x14ac:dyDescent="0.25">
      <c r="A2270" t="s">
        <v>1377</v>
      </c>
      <c r="B2270" t="s">
        <v>1378</v>
      </c>
      <c r="C2270" t="s">
        <v>1379</v>
      </c>
      <c r="D2270" t="s">
        <v>1380</v>
      </c>
      <c r="E2270" s="9">
        <v>45108</v>
      </c>
      <c r="F2270" s="9">
        <v>45138</v>
      </c>
      <c r="G2270">
        <v>271097785</v>
      </c>
      <c r="H2270">
        <v>67783236</v>
      </c>
      <c r="I2270">
        <v>166697404</v>
      </c>
      <c r="J2270">
        <v>95047487</v>
      </c>
      <c r="K2270">
        <v>207958</v>
      </c>
      <c r="L2270">
        <v>54608</v>
      </c>
      <c r="M2270">
        <v>0</v>
      </c>
      <c r="T2270" s="9">
        <v>45108</v>
      </c>
      <c r="U2270" s="9">
        <v>45473</v>
      </c>
      <c r="V2270">
        <f>SUM(POTABLE_NONPOTABLE_API[[#This Row],[RESIDENTIAL_SINGLEFAMILY_GAL]:[OTHER_GAL]])</f>
        <v>600888478</v>
      </c>
      <c r="W2270">
        <f>SUM(POTABLE_NONPOTABLE_API[[#This Row],[NONPOTABLE_DEMAND_RESIDENTIAL_RECYCLED_WATER_GAL]:[NONPOTABLE_DEMAND_NONRESIDENTIAL_METERED_IRRIGATION_GAL]])</f>
        <v>0</v>
      </c>
      <c r="X2270" t="str">
        <f>IFERROR(INDEX(Crosswalk_API!$H$2:$H$527, MATCH(POTABLE_NONPOTABLE_API[[#This Row],[PWSID]], CW_PWSID_LIST, 0)), "")</f>
        <v>No</v>
      </c>
    </row>
    <row r="2271" spans="1:24" x14ac:dyDescent="0.25">
      <c r="A2271" t="s">
        <v>1377</v>
      </c>
      <c r="B2271" t="s">
        <v>1378</v>
      </c>
      <c r="C2271" t="s">
        <v>1379</v>
      </c>
      <c r="D2271" t="s">
        <v>1380</v>
      </c>
      <c r="E2271" s="9">
        <v>45139</v>
      </c>
      <c r="F2271" s="9">
        <v>45169</v>
      </c>
      <c r="G2271">
        <v>77712878</v>
      </c>
      <c r="H2271">
        <v>9894484</v>
      </c>
      <c r="I2271">
        <v>26515451</v>
      </c>
      <c r="J2271">
        <v>33334693</v>
      </c>
      <c r="K2271">
        <v>65081</v>
      </c>
      <c r="L2271">
        <v>62836</v>
      </c>
      <c r="M2271">
        <v>0</v>
      </c>
      <c r="T2271" s="9">
        <v>45108</v>
      </c>
      <c r="U2271" s="9">
        <v>45473</v>
      </c>
      <c r="V2271">
        <f>SUM(POTABLE_NONPOTABLE_API[[#This Row],[RESIDENTIAL_SINGLEFAMILY_GAL]:[OTHER_GAL]])</f>
        <v>147585423</v>
      </c>
      <c r="W2271">
        <f>SUM(POTABLE_NONPOTABLE_API[[#This Row],[NONPOTABLE_DEMAND_RESIDENTIAL_RECYCLED_WATER_GAL]:[NONPOTABLE_DEMAND_NONRESIDENTIAL_METERED_IRRIGATION_GAL]])</f>
        <v>0</v>
      </c>
      <c r="X2271" t="str">
        <f>IFERROR(INDEX(Crosswalk_API!$H$2:$H$527, MATCH(POTABLE_NONPOTABLE_API[[#This Row],[PWSID]], CW_PWSID_LIST, 0)), "")</f>
        <v>No</v>
      </c>
    </row>
    <row r="2272" spans="1:24" x14ac:dyDescent="0.25">
      <c r="A2272" t="s">
        <v>1377</v>
      </c>
      <c r="B2272" t="s">
        <v>1378</v>
      </c>
      <c r="C2272" t="s">
        <v>1379</v>
      </c>
      <c r="D2272" t="s">
        <v>1380</v>
      </c>
      <c r="E2272" s="9">
        <v>45170</v>
      </c>
      <c r="F2272" s="9">
        <v>45199</v>
      </c>
      <c r="G2272">
        <v>100997493</v>
      </c>
      <c r="H2272">
        <v>38602475</v>
      </c>
      <c r="I2272">
        <v>125182014</v>
      </c>
      <c r="J2272">
        <v>62560337</v>
      </c>
      <c r="K2272">
        <v>221423</v>
      </c>
      <c r="L2272">
        <v>3740</v>
      </c>
      <c r="M2272">
        <v>0</v>
      </c>
      <c r="T2272" s="9">
        <v>45108</v>
      </c>
      <c r="U2272" s="9">
        <v>45473</v>
      </c>
      <c r="V2272">
        <f>SUM(POTABLE_NONPOTABLE_API[[#This Row],[RESIDENTIAL_SINGLEFAMILY_GAL]:[OTHER_GAL]])</f>
        <v>327567482</v>
      </c>
      <c r="W2272">
        <f>SUM(POTABLE_NONPOTABLE_API[[#This Row],[NONPOTABLE_DEMAND_RESIDENTIAL_RECYCLED_WATER_GAL]:[NONPOTABLE_DEMAND_NONRESIDENTIAL_METERED_IRRIGATION_GAL]])</f>
        <v>0</v>
      </c>
      <c r="X2272" t="str">
        <f>IFERROR(INDEX(Crosswalk_API!$H$2:$H$527, MATCH(POTABLE_NONPOTABLE_API[[#This Row],[PWSID]], CW_PWSID_LIST, 0)), "")</f>
        <v>No</v>
      </c>
    </row>
    <row r="2273" spans="1:24" x14ac:dyDescent="0.25">
      <c r="A2273" t="s">
        <v>1377</v>
      </c>
      <c r="B2273" t="s">
        <v>1378</v>
      </c>
      <c r="C2273" t="s">
        <v>1379</v>
      </c>
      <c r="D2273" t="s">
        <v>1380</v>
      </c>
      <c r="E2273" s="9">
        <v>45200</v>
      </c>
      <c r="F2273" s="9">
        <v>45230</v>
      </c>
      <c r="G2273">
        <v>265672164</v>
      </c>
      <c r="H2273">
        <v>36840813</v>
      </c>
      <c r="I2273">
        <v>123239323</v>
      </c>
      <c r="J2273">
        <v>76629699</v>
      </c>
      <c r="K2273">
        <v>139138</v>
      </c>
      <c r="L2273">
        <v>177288</v>
      </c>
      <c r="M2273">
        <v>0</v>
      </c>
      <c r="T2273" s="9">
        <v>45108</v>
      </c>
      <c r="U2273" s="9">
        <v>45473</v>
      </c>
      <c r="V2273">
        <f>SUM(POTABLE_NONPOTABLE_API[[#This Row],[RESIDENTIAL_SINGLEFAMILY_GAL]:[OTHER_GAL]])</f>
        <v>502698425</v>
      </c>
      <c r="W2273">
        <f>SUM(POTABLE_NONPOTABLE_API[[#This Row],[NONPOTABLE_DEMAND_RESIDENTIAL_RECYCLED_WATER_GAL]:[NONPOTABLE_DEMAND_NONRESIDENTIAL_METERED_IRRIGATION_GAL]])</f>
        <v>0</v>
      </c>
      <c r="X2273" t="str">
        <f>IFERROR(INDEX(Crosswalk_API!$H$2:$H$527, MATCH(POTABLE_NONPOTABLE_API[[#This Row],[PWSID]], CW_PWSID_LIST, 0)), "")</f>
        <v>No</v>
      </c>
    </row>
    <row r="2274" spans="1:24" x14ac:dyDescent="0.25">
      <c r="A2274" t="s">
        <v>1377</v>
      </c>
      <c r="B2274" t="s">
        <v>1378</v>
      </c>
      <c r="C2274" t="s">
        <v>1379</v>
      </c>
      <c r="D2274" t="s">
        <v>1380</v>
      </c>
      <c r="E2274" s="9">
        <v>45231</v>
      </c>
      <c r="F2274" s="9">
        <v>45260</v>
      </c>
      <c r="G2274">
        <v>151456592</v>
      </c>
      <c r="H2274">
        <v>34005696</v>
      </c>
      <c r="I2274">
        <v>85176941</v>
      </c>
      <c r="J2274">
        <v>41495941</v>
      </c>
      <c r="K2274">
        <v>70317</v>
      </c>
      <c r="L2274">
        <v>115200</v>
      </c>
      <c r="M2274">
        <v>0</v>
      </c>
      <c r="T2274" s="9">
        <v>45108</v>
      </c>
      <c r="U2274" s="9">
        <v>45473</v>
      </c>
      <c r="V2274">
        <f>SUM(POTABLE_NONPOTABLE_API[[#This Row],[RESIDENTIAL_SINGLEFAMILY_GAL]:[OTHER_GAL]])</f>
        <v>312320687</v>
      </c>
      <c r="W2274">
        <f>SUM(POTABLE_NONPOTABLE_API[[#This Row],[NONPOTABLE_DEMAND_RESIDENTIAL_RECYCLED_WATER_GAL]:[NONPOTABLE_DEMAND_NONRESIDENTIAL_METERED_IRRIGATION_GAL]])</f>
        <v>0</v>
      </c>
      <c r="X2274" t="str">
        <f>IFERROR(INDEX(Crosswalk_API!$H$2:$H$527, MATCH(POTABLE_NONPOTABLE_API[[#This Row],[PWSID]], CW_PWSID_LIST, 0)), "")</f>
        <v>No</v>
      </c>
    </row>
    <row r="2275" spans="1:24" x14ac:dyDescent="0.25">
      <c r="A2275" t="s">
        <v>1377</v>
      </c>
      <c r="B2275" t="s">
        <v>1378</v>
      </c>
      <c r="C2275" t="s">
        <v>1379</v>
      </c>
      <c r="D2275" t="s">
        <v>1380</v>
      </c>
      <c r="E2275" s="9">
        <v>45261</v>
      </c>
      <c r="F2275" s="9">
        <v>45291</v>
      </c>
      <c r="G2275">
        <v>78998031.459999993</v>
      </c>
      <c r="H2275">
        <v>26455607.030000001</v>
      </c>
      <c r="I2275">
        <v>64961583.729999997</v>
      </c>
      <c r="J2275">
        <v>11591066</v>
      </c>
      <c r="K2275">
        <v>84529.876000000004</v>
      </c>
      <c r="L2275">
        <v>48623.38</v>
      </c>
      <c r="M2275">
        <v>0</v>
      </c>
      <c r="T2275" s="9">
        <v>45108</v>
      </c>
      <c r="U2275" s="9">
        <v>45473</v>
      </c>
      <c r="V2275">
        <f>SUM(POTABLE_NONPOTABLE_API[[#This Row],[RESIDENTIAL_SINGLEFAMILY_GAL]:[OTHER_GAL]])</f>
        <v>182139441.47599998</v>
      </c>
      <c r="W2275">
        <f>SUM(POTABLE_NONPOTABLE_API[[#This Row],[NONPOTABLE_DEMAND_RESIDENTIAL_RECYCLED_WATER_GAL]:[NONPOTABLE_DEMAND_NONRESIDENTIAL_METERED_IRRIGATION_GAL]])</f>
        <v>0</v>
      </c>
      <c r="X2275" t="str">
        <f>IFERROR(INDEX(Crosswalk_API!$H$2:$H$527, MATCH(POTABLE_NONPOTABLE_API[[#This Row],[PWSID]], CW_PWSID_LIST, 0)), "")</f>
        <v>No</v>
      </c>
    </row>
    <row r="2276" spans="1:24" x14ac:dyDescent="0.25">
      <c r="A2276" t="s">
        <v>1377</v>
      </c>
      <c r="B2276" t="s">
        <v>1378</v>
      </c>
      <c r="C2276" t="s">
        <v>1379</v>
      </c>
      <c r="D2276" t="s">
        <v>1380</v>
      </c>
      <c r="E2276" s="9">
        <v>45292</v>
      </c>
      <c r="F2276" s="9">
        <v>45322</v>
      </c>
      <c r="G2276">
        <v>64691537</v>
      </c>
      <c r="H2276">
        <v>25267700</v>
      </c>
      <c r="I2276">
        <v>41998631</v>
      </c>
      <c r="J2276">
        <v>3240561</v>
      </c>
      <c r="K2276">
        <v>46379</v>
      </c>
      <c r="L2276">
        <v>164571</v>
      </c>
      <c r="M2276">
        <v>0</v>
      </c>
      <c r="T2276" s="9">
        <v>45108</v>
      </c>
      <c r="U2276" s="9">
        <v>45473</v>
      </c>
      <c r="V2276">
        <f>SUM(POTABLE_NONPOTABLE_API[[#This Row],[RESIDENTIAL_SINGLEFAMILY_GAL]:[OTHER_GAL]])</f>
        <v>135409379</v>
      </c>
      <c r="W2276">
        <f>SUM(POTABLE_NONPOTABLE_API[[#This Row],[NONPOTABLE_DEMAND_RESIDENTIAL_RECYCLED_WATER_GAL]:[NONPOTABLE_DEMAND_NONRESIDENTIAL_METERED_IRRIGATION_GAL]])</f>
        <v>0</v>
      </c>
      <c r="X2276" t="str">
        <f>IFERROR(INDEX(Crosswalk_API!$H$2:$H$527, MATCH(POTABLE_NONPOTABLE_API[[#This Row],[PWSID]], CW_PWSID_LIST, 0)), "")</f>
        <v>No</v>
      </c>
    </row>
    <row r="2277" spans="1:24" x14ac:dyDescent="0.25">
      <c r="A2277" t="s">
        <v>1377</v>
      </c>
      <c r="B2277" t="s">
        <v>1378</v>
      </c>
      <c r="C2277" t="s">
        <v>1379</v>
      </c>
      <c r="D2277" t="s">
        <v>1380</v>
      </c>
      <c r="E2277" s="9">
        <v>45323</v>
      </c>
      <c r="F2277" s="9">
        <v>45351</v>
      </c>
      <c r="G2277">
        <v>61988825</v>
      </c>
      <c r="H2277">
        <v>22487939</v>
      </c>
      <c r="I2277">
        <v>42030050</v>
      </c>
      <c r="J2277">
        <v>4271377</v>
      </c>
      <c r="K2277">
        <v>47875</v>
      </c>
      <c r="L2277">
        <v>86026</v>
      </c>
      <c r="M2277">
        <v>0</v>
      </c>
      <c r="T2277" s="9">
        <v>45108</v>
      </c>
      <c r="U2277" s="9">
        <v>45473</v>
      </c>
      <c r="V2277">
        <f>SUM(POTABLE_NONPOTABLE_API[[#This Row],[RESIDENTIAL_SINGLEFAMILY_GAL]:[OTHER_GAL]])</f>
        <v>130912092</v>
      </c>
      <c r="W2277">
        <f>SUM(POTABLE_NONPOTABLE_API[[#This Row],[NONPOTABLE_DEMAND_RESIDENTIAL_RECYCLED_WATER_GAL]:[NONPOTABLE_DEMAND_NONRESIDENTIAL_METERED_IRRIGATION_GAL]])</f>
        <v>0</v>
      </c>
      <c r="X2277" t="str">
        <f>IFERROR(INDEX(Crosswalk_API!$H$2:$H$527, MATCH(POTABLE_NONPOTABLE_API[[#This Row],[PWSID]], CW_PWSID_LIST, 0)), "")</f>
        <v>No</v>
      </c>
    </row>
    <row r="2278" spans="1:24" x14ac:dyDescent="0.25">
      <c r="A2278" t="s">
        <v>1377</v>
      </c>
      <c r="B2278" t="s">
        <v>1378</v>
      </c>
      <c r="C2278" t="s">
        <v>1379</v>
      </c>
      <c r="D2278" t="s">
        <v>1380</v>
      </c>
      <c r="E2278" s="9">
        <v>45352</v>
      </c>
      <c r="F2278" s="9">
        <v>45382</v>
      </c>
      <c r="G2278">
        <v>57938123.5</v>
      </c>
      <c r="H2278">
        <v>21893985.940000001</v>
      </c>
      <c r="I2278">
        <v>37327794.799999997</v>
      </c>
      <c r="J2278">
        <v>4602015.9040000001</v>
      </c>
      <c r="K2278">
        <v>45631.171999999999</v>
      </c>
      <c r="L2278">
        <v>83781.823999999993</v>
      </c>
      <c r="M2278">
        <v>0</v>
      </c>
      <c r="T2278" s="9">
        <v>45108</v>
      </c>
      <c r="U2278" s="9">
        <v>45473</v>
      </c>
      <c r="V2278">
        <f>SUM(POTABLE_NONPOTABLE_API[[#This Row],[RESIDENTIAL_SINGLEFAMILY_GAL]:[OTHER_GAL]])</f>
        <v>121891333.14</v>
      </c>
      <c r="W2278">
        <f>SUM(POTABLE_NONPOTABLE_API[[#This Row],[NONPOTABLE_DEMAND_RESIDENTIAL_RECYCLED_WATER_GAL]:[NONPOTABLE_DEMAND_NONRESIDENTIAL_METERED_IRRIGATION_GAL]])</f>
        <v>0</v>
      </c>
      <c r="X2278" t="str">
        <f>IFERROR(INDEX(Crosswalk_API!$H$2:$H$527, MATCH(POTABLE_NONPOTABLE_API[[#This Row],[PWSID]], CW_PWSID_LIST, 0)), "")</f>
        <v>No</v>
      </c>
    </row>
    <row r="2279" spans="1:24" x14ac:dyDescent="0.25">
      <c r="A2279" t="s">
        <v>1377</v>
      </c>
      <c r="B2279" t="s">
        <v>1378</v>
      </c>
      <c r="C2279" t="s">
        <v>1379</v>
      </c>
      <c r="D2279" t="s">
        <v>1380</v>
      </c>
      <c r="E2279" s="9">
        <v>45383</v>
      </c>
      <c r="F2279" s="9">
        <v>45412</v>
      </c>
      <c r="G2279">
        <v>82045595.310000002</v>
      </c>
      <c r="H2279">
        <v>24478505.600000001</v>
      </c>
      <c r="I2279">
        <v>51349281.490000002</v>
      </c>
      <c r="J2279">
        <v>18479128.559999999</v>
      </c>
      <c r="K2279">
        <v>62088.315999999999</v>
      </c>
      <c r="L2279">
        <v>86774.032000000007</v>
      </c>
      <c r="M2279">
        <v>0</v>
      </c>
      <c r="T2279" s="9">
        <v>45108</v>
      </c>
      <c r="U2279" s="9">
        <v>45473</v>
      </c>
      <c r="V2279">
        <f>SUM(POTABLE_NONPOTABLE_API[[#This Row],[RESIDENTIAL_SINGLEFAMILY_GAL]:[OTHER_GAL]])</f>
        <v>176501373.30800003</v>
      </c>
      <c r="W2279">
        <f>SUM(POTABLE_NONPOTABLE_API[[#This Row],[NONPOTABLE_DEMAND_RESIDENTIAL_RECYCLED_WATER_GAL]:[NONPOTABLE_DEMAND_NONRESIDENTIAL_METERED_IRRIGATION_GAL]])</f>
        <v>0</v>
      </c>
      <c r="X2279" t="str">
        <f>IFERROR(INDEX(Crosswalk_API!$H$2:$H$527, MATCH(POTABLE_NONPOTABLE_API[[#This Row],[PWSID]], CW_PWSID_LIST, 0)), "")</f>
        <v>No</v>
      </c>
    </row>
    <row r="2280" spans="1:24" x14ac:dyDescent="0.25">
      <c r="A2280" t="s">
        <v>1377</v>
      </c>
      <c r="B2280" t="s">
        <v>1378</v>
      </c>
      <c r="C2280" t="s">
        <v>1379</v>
      </c>
      <c r="D2280" t="s">
        <v>1380</v>
      </c>
      <c r="E2280" s="9">
        <v>45413</v>
      </c>
      <c r="F2280" s="9">
        <v>45443</v>
      </c>
      <c r="G2280">
        <v>96028931.340000004</v>
      </c>
      <c r="H2280">
        <v>23379617.210000001</v>
      </c>
      <c r="I2280">
        <v>66670134.5</v>
      </c>
      <c r="J2280">
        <v>28250931.829999998</v>
      </c>
      <c r="K2280">
        <v>115948.06</v>
      </c>
      <c r="L2280">
        <v>54607.796000000002</v>
      </c>
      <c r="M2280">
        <v>0</v>
      </c>
      <c r="T2280" s="9">
        <v>45108</v>
      </c>
      <c r="U2280" s="9">
        <v>45473</v>
      </c>
      <c r="V2280">
        <f>SUM(POTABLE_NONPOTABLE_API[[#This Row],[RESIDENTIAL_SINGLEFAMILY_GAL]:[OTHER_GAL]])</f>
        <v>214500170.736</v>
      </c>
      <c r="W2280">
        <f>SUM(POTABLE_NONPOTABLE_API[[#This Row],[NONPOTABLE_DEMAND_RESIDENTIAL_RECYCLED_WATER_GAL]:[NONPOTABLE_DEMAND_NONRESIDENTIAL_METERED_IRRIGATION_GAL]])</f>
        <v>0</v>
      </c>
      <c r="X2280" t="str">
        <f>IFERROR(INDEX(Crosswalk_API!$H$2:$H$527, MATCH(POTABLE_NONPOTABLE_API[[#This Row],[PWSID]], CW_PWSID_LIST, 0)), "")</f>
        <v>No</v>
      </c>
    </row>
    <row r="2281" spans="1:24" x14ac:dyDescent="0.25">
      <c r="A2281" t="s">
        <v>1377</v>
      </c>
      <c r="B2281" t="s">
        <v>1378</v>
      </c>
      <c r="C2281" t="s">
        <v>1379</v>
      </c>
      <c r="D2281" t="s">
        <v>1380</v>
      </c>
      <c r="E2281" s="9">
        <v>45444</v>
      </c>
      <c r="F2281" s="9">
        <v>45473</v>
      </c>
      <c r="G2281">
        <v>160080883.80000001</v>
      </c>
      <c r="H2281">
        <v>38473062.409999996</v>
      </c>
      <c r="I2281">
        <v>105976526.8</v>
      </c>
      <c r="J2281">
        <v>61931973.130000003</v>
      </c>
      <c r="K2281">
        <v>116696.11199999999</v>
      </c>
      <c r="L2281">
        <v>56103.9</v>
      </c>
      <c r="M2281">
        <v>0</v>
      </c>
      <c r="T2281" s="9">
        <v>45108</v>
      </c>
      <c r="U2281" s="9">
        <v>45473</v>
      </c>
      <c r="V2281">
        <f>SUM(POTABLE_NONPOTABLE_API[[#This Row],[RESIDENTIAL_SINGLEFAMILY_GAL]:[OTHER_GAL]])</f>
        <v>366635246.15199995</v>
      </c>
      <c r="W2281">
        <f>SUM(POTABLE_NONPOTABLE_API[[#This Row],[NONPOTABLE_DEMAND_RESIDENTIAL_RECYCLED_WATER_GAL]:[NONPOTABLE_DEMAND_NONRESIDENTIAL_METERED_IRRIGATION_GAL]])</f>
        <v>0</v>
      </c>
      <c r="X2281" t="str">
        <f>IFERROR(INDEX(Crosswalk_API!$H$2:$H$527, MATCH(POTABLE_NONPOTABLE_API[[#This Row],[PWSID]], CW_PWSID_LIST, 0)), "")</f>
        <v>No</v>
      </c>
    </row>
    <row r="2282" spans="1:24" x14ac:dyDescent="0.25">
      <c r="A2282" t="s">
        <v>1381</v>
      </c>
      <c r="B2282" t="s">
        <v>1382</v>
      </c>
      <c r="C2282" t="s">
        <v>1383</v>
      </c>
      <c r="D2282" t="s">
        <v>1384</v>
      </c>
      <c r="E2282" s="9">
        <v>45108</v>
      </c>
      <c r="F2282" s="9">
        <v>45138</v>
      </c>
      <c r="G2282">
        <v>40732928</v>
      </c>
      <c r="H2282">
        <v>27817810</v>
      </c>
      <c r="I2282">
        <v>46144336</v>
      </c>
      <c r="J2282">
        <v>4335709</v>
      </c>
      <c r="K2282">
        <v>4125507</v>
      </c>
      <c r="L2282">
        <v>53112</v>
      </c>
      <c r="M2282">
        <v>0</v>
      </c>
      <c r="T2282" s="9">
        <v>45108</v>
      </c>
      <c r="U2282" s="9">
        <v>45473</v>
      </c>
      <c r="V2282">
        <f>SUM(POTABLE_NONPOTABLE_API[[#This Row],[RESIDENTIAL_SINGLEFAMILY_GAL]:[OTHER_GAL]])</f>
        <v>123209402</v>
      </c>
      <c r="W2282">
        <f>SUM(POTABLE_NONPOTABLE_API[[#This Row],[NONPOTABLE_DEMAND_RESIDENTIAL_RECYCLED_WATER_GAL]:[NONPOTABLE_DEMAND_NONRESIDENTIAL_METERED_IRRIGATION_GAL]])</f>
        <v>0</v>
      </c>
      <c r="X2282" t="str">
        <f>IFERROR(INDEX(Crosswalk_API!$H$2:$H$527, MATCH(POTABLE_NONPOTABLE_API[[#This Row],[PWSID]], CW_PWSID_LIST, 0)), "")</f>
        <v>No</v>
      </c>
    </row>
    <row r="2283" spans="1:24" x14ac:dyDescent="0.25">
      <c r="A2283" t="s">
        <v>1381</v>
      </c>
      <c r="B2283" t="s">
        <v>1382</v>
      </c>
      <c r="C2283" t="s">
        <v>1383</v>
      </c>
      <c r="D2283" t="s">
        <v>1384</v>
      </c>
      <c r="E2283" s="9">
        <v>45139</v>
      </c>
      <c r="F2283" s="9">
        <v>45169</v>
      </c>
      <c r="G2283">
        <v>37871629</v>
      </c>
      <c r="H2283">
        <v>25934963</v>
      </c>
      <c r="I2283">
        <v>45672315</v>
      </c>
      <c r="J2283">
        <v>4333465</v>
      </c>
      <c r="K2283">
        <v>3901091</v>
      </c>
      <c r="L2283">
        <v>16457</v>
      </c>
      <c r="M2283">
        <v>0</v>
      </c>
      <c r="T2283" s="9">
        <v>45108</v>
      </c>
      <c r="U2283" s="9">
        <v>45473</v>
      </c>
      <c r="V2283">
        <f>SUM(POTABLE_NONPOTABLE_API[[#This Row],[RESIDENTIAL_SINGLEFAMILY_GAL]:[OTHER_GAL]])</f>
        <v>117729920</v>
      </c>
      <c r="W2283">
        <f>SUM(POTABLE_NONPOTABLE_API[[#This Row],[NONPOTABLE_DEMAND_RESIDENTIAL_RECYCLED_WATER_GAL]:[NONPOTABLE_DEMAND_NONRESIDENTIAL_METERED_IRRIGATION_GAL]])</f>
        <v>0</v>
      </c>
      <c r="X2283" t="str">
        <f>IFERROR(INDEX(Crosswalk_API!$H$2:$H$527, MATCH(POTABLE_NONPOTABLE_API[[#This Row],[PWSID]], CW_PWSID_LIST, 0)), "")</f>
        <v>No</v>
      </c>
    </row>
    <row r="2284" spans="1:24" x14ac:dyDescent="0.25">
      <c r="A2284" t="s">
        <v>1381</v>
      </c>
      <c r="B2284" t="s">
        <v>1382</v>
      </c>
      <c r="C2284" t="s">
        <v>1383</v>
      </c>
      <c r="D2284" t="s">
        <v>1384</v>
      </c>
      <c r="E2284" s="9">
        <v>45170</v>
      </c>
      <c r="F2284" s="9">
        <v>45199</v>
      </c>
      <c r="G2284">
        <v>40832418</v>
      </c>
      <c r="H2284">
        <v>27757966</v>
      </c>
      <c r="I2284">
        <v>52787785</v>
      </c>
      <c r="J2284">
        <v>4254172</v>
      </c>
      <c r="K2284">
        <v>4382089</v>
      </c>
      <c r="L2284">
        <v>92010</v>
      </c>
      <c r="M2284">
        <v>0</v>
      </c>
      <c r="T2284" s="9">
        <v>45108</v>
      </c>
      <c r="U2284" s="9">
        <v>45473</v>
      </c>
      <c r="V2284">
        <f>SUM(POTABLE_NONPOTABLE_API[[#This Row],[RESIDENTIAL_SINGLEFAMILY_GAL]:[OTHER_GAL]])</f>
        <v>130106440</v>
      </c>
      <c r="W2284">
        <f>SUM(POTABLE_NONPOTABLE_API[[#This Row],[NONPOTABLE_DEMAND_RESIDENTIAL_RECYCLED_WATER_GAL]:[NONPOTABLE_DEMAND_NONRESIDENTIAL_METERED_IRRIGATION_GAL]])</f>
        <v>0</v>
      </c>
      <c r="X2284" t="str">
        <f>IFERROR(INDEX(Crosswalk_API!$H$2:$H$527, MATCH(POTABLE_NONPOTABLE_API[[#This Row],[PWSID]], CW_PWSID_LIST, 0)), "")</f>
        <v>No</v>
      </c>
    </row>
    <row r="2285" spans="1:24" x14ac:dyDescent="0.25">
      <c r="A2285" t="s">
        <v>1381</v>
      </c>
      <c r="B2285" t="s">
        <v>1382</v>
      </c>
      <c r="C2285" t="s">
        <v>1383</v>
      </c>
      <c r="D2285" t="s">
        <v>1384</v>
      </c>
      <c r="E2285" s="9">
        <v>45200</v>
      </c>
      <c r="F2285" s="9">
        <v>45230</v>
      </c>
      <c r="G2285">
        <v>37392875</v>
      </c>
      <c r="H2285">
        <v>29824085</v>
      </c>
      <c r="I2285">
        <v>42993541</v>
      </c>
      <c r="J2285">
        <v>3355013</v>
      </c>
      <c r="K2285">
        <v>3198670</v>
      </c>
      <c r="L2285">
        <v>44135</v>
      </c>
      <c r="M2285">
        <v>0</v>
      </c>
      <c r="T2285" s="9">
        <v>45108</v>
      </c>
      <c r="U2285" s="9">
        <v>45473</v>
      </c>
      <c r="V2285">
        <f>SUM(POTABLE_NONPOTABLE_API[[#This Row],[RESIDENTIAL_SINGLEFAMILY_GAL]:[OTHER_GAL]])</f>
        <v>116808319</v>
      </c>
      <c r="W2285">
        <f>SUM(POTABLE_NONPOTABLE_API[[#This Row],[NONPOTABLE_DEMAND_RESIDENTIAL_RECYCLED_WATER_GAL]:[NONPOTABLE_DEMAND_NONRESIDENTIAL_METERED_IRRIGATION_GAL]])</f>
        <v>0</v>
      </c>
      <c r="X2285" t="str">
        <f>IFERROR(INDEX(Crosswalk_API!$H$2:$H$527, MATCH(POTABLE_NONPOTABLE_API[[#This Row],[PWSID]], CW_PWSID_LIST, 0)), "")</f>
        <v>No</v>
      </c>
    </row>
    <row r="2286" spans="1:24" x14ac:dyDescent="0.25">
      <c r="A2286" t="s">
        <v>1381</v>
      </c>
      <c r="B2286" t="s">
        <v>1382</v>
      </c>
      <c r="C2286" t="s">
        <v>1383</v>
      </c>
      <c r="D2286" t="s">
        <v>1384</v>
      </c>
      <c r="E2286" s="9">
        <v>45231</v>
      </c>
      <c r="F2286" s="9">
        <v>45260</v>
      </c>
      <c r="G2286">
        <v>40028263</v>
      </c>
      <c r="H2286">
        <v>29091742</v>
      </c>
      <c r="I2286">
        <v>45346912</v>
      </c>
      <c r="J2286">
        <v>3955699</v>
      </c>
      <c r="K2286">
        <v>3408125</v>
      </c>
      <c r="L2286">
        <v>26930</v>
      </c>
      <c r="M2286">
        <v>0</v>
      </c>
      <c r="T2286" s="9">
        <v>45108</v>
      </c>
      <c r="U2286" s="9">
        <v>45473</v>
      </c>
      <c r="V2286">
        <f>SUM(POTABLE_NONPOTABLE_API[[#This Row],[RESIDENTIAL_SINGLEFAMILY_GAL]:[OTHER_GAL]])</f>
        <v>121857671</v>
      </c>
      <c r="W2286">
        <f>SUM(POTABLE_NONPOTABLE_API[[#This Row],[NONPOTABLE_DEMAND_RESIDENTIAL_RECYCLED_WATER_GAL]:[NONPOTABLE_DEMAND_NONRESIDENTIAL_METERED_IRRIGATION_GAL]])</f>
        <v>0</v>
      </c>
      <c r="X2286" t="str">
        <f>IFERROR(INDEX(Crosswalk_API!$H$2:$H$527, MATCH(POTABLE_NONPOTABLE_API[[#This Row],[PWSID]], CW_PWSID_LIST, 0)), "")</f>
        <v>No</v>
      </c>
    </row>
    <row r="2287" spans="1:24" x14ac:dyDescent="0.25">
      <c r="A2287" t="s">
        <v>1381</v>
      </c>
      <c r="B2287" t="s">
        <v>1382</v>
      </c>
      <c r="C2287" t="s">
        <v>1383</v>
      </c>
      <c r="D2287" t="s">
        <v>1384</v>
      </c>
      <c r="E2287" s="9">
        <v>45261</v>
      </c>
      <c r="F2287" s="9">
        <v>45291</v>
      </c>
      <c r="G2287">
        <v>32297893</v>
      </c>
      <c r="H2287">
        <v>23475368</v>
      </c>
      <c r="I2287">
        <v>45140450</v>
      </c>
      <c r="J2287">
        <v>3096935</v>
      </c>
      <c r="K2287">
        <v>2885985</v>
      </c>
      <c r="L2287">
        <v>22442</v>
      </c>
      <c r="M2287">
        <v>0</v>
      </c>
      <c r="T2287" s="9">
        <v>45108</v>
      </c>
      <c r="U2287" s="9">
        <v>45473</v>
      </c>
      <c r="V2287">
        <f>SUM(POTABLE_NONPOTABLE_API[[#This Row],[RESIDENTIAL_SINGLEFAMILY_GAL]:[OTHER_GAL]])</f>
        <v>106919073</v>
      </c>
      <c r="W2287">
        <f>SUM(POTABLE_NONPOTABLE_API[[#This Row],[NONPOTABLE_DEMAND_RESIDENTIAL_RECYCLED_WATER_GAL]:[NONPOTABLE_DEMAND_NONRESIDENTIAL_METERED_IRRIGATION_GAL]])</f>
        <v>0</v>
      </c>
      <c r="X2287" t="str">
        <f>IFERROR(INDEX(Crosswalk_API!$H$2:$H$527, MATCH(POTABLE_NONPOTABLE_API[[#This Row],[PWSID]], CW_PWSID_LIST, 0)), "")</f>
        <v>No</v>
      </c>
    </row>
    <row r="2288" spans="1:24" x14ac:dyDescent="0.25">
      <c r="A2288" t="s">
        <v>1381</v>
      </c>
      <c r="B2288" t="s">
        <v>1382</v>
      </c>
      <c r="C2288" t="s">
        <v>1383</v>
      </c>
      <c r="D2288" t="s">
        <v>1384</v>
      </c>
      <c r="E2288" s="9">
        <v>45292</v>
      </c>
      <c r="F2288" s="9">
        <v>45322</v>
      </c>
      <c r="G2288">
        <v>33133467</v>
      </c>
      <c r="H2288">
        <v>27371223</v>
      </c>
      <c r="I2288">
        <v>39456003</v>
      </c>
      <c r="J2288">
        <v>2632395</v>
      </c>
      <c r="K2288">
        <v>2510463</v>
      </c>
      <c r="L2288">
        <v>74057</v>
      </c>
      <c r="M2288">
        <v>0</v>
      </c>
      <c r="T2288" s="9">
        <v>45108</v>
      </c>
      <c r="U2288" s="9">
        <v>45473</v>
      </c>
      <c r="V2288">
        <f>SUM(POTABLE_NONPOTABLE_API[[#This Row],[RESIDENTIAL_SINGLEFAMILY_GAL]:[OTHER_GAL]])</f>
        <v>105177608</v>
      </c>
      <c r="W2288">
        <f>SUM(POTABLE_NONPOTABLE_API[[#This Row],[NONPOTABLE_DEMAND_RESIDENTIAL_RECYCLED_WATER_GAL]:[NONPOTABLE_DEMAND_NONRESIDENTIAL_METERED_IRRIGATION_GAL]])</f>
        <v>0</v>
      </c>
      <c r="X2288" t="str">
        <f>IFERROR(INDEX(Crosswalk_API!$H$2:$H$527, MATCH(POTABLE_NONPOTABLE_API[[#This Row],[PWSID]], CW_PWSID_LIST, 0)), "")</f>
        <v>No</v>
      </c>
    </row>
    <row r="2289" spans="1:24" x14ac:dyDescent="0.25">
      <c r="A2289" t="s">
        <v>1381</v>
      </c>
      <c r="B2289" t="s">
        <v>1382</v>
      </c>
      <c r="C2289" t="s">
        <v>1383</v>
      </c>
      <c r="D2289" t="s">
        <v>1384</v>
      </c>
      <c r="E2289" s="9">
        <v>45323</v>
      </c>
      <c r="F2289" s="9">
        <v>45351</v>
      </c>
      <c r="G2289">
        <v>31540865</v>
      </c>
      <c r="H2289">
        <v>27639025</v>
      </c>
      <c r="I2289">
        <v>40054444</v>
      </c>
      <c r="J2289">
        <v>1752686</v>
      </c>
      <c r="K2289">
        <v>3260759</v>
      </c>
      <c r="L2289">
        <v>26182</v>
      </c>
      <c r="M2289">
        <v>0</v>
      </c>
      <c r="T2289" s="9">
        <v>45108</v>
      </c>
      <c r="U2289" s="9">
        <v>45473</v>
      </c>
      <c r="V2289">
        <f>SUM(POTABLE_NONPOTABLE_API[[#This Row],[RESIDENTIAL_SINGLEFAMILY_GAL]:[OTHER_GAL]])</f>
        <v>104273961</v>
      </c>
      <c r="W2289">
        <f>SUM(POTABLE_NONPOTABLE_API[[#This Row],[NONPOTABLE_DEMAND_RESIDENTIAL_RECYCLED_WATER_GAL]:[NONPOTABLE_DEMAND_NONRESIDENTIAL_METERED_IRRIGATION_GAL]])</f>
        <v>0</v>
      </c>
      <c r="X2289" t="str">
        <f>IFERROR(INDEX(Crosswalk_API!$H$2:$H$527, MATCH(POTABLE_NONPOTABLE_API[[#This Row],[PWSID]], CW_PWSID_LIST, 0)), "")</f>
        <v>No</v>
      </c>
    </row>
    <row r="2290" spans="1:24" x14ac:dyDescent="0.25">
      <c r="A2290" t="s">
        <v>1381</v>
      </c>
      <c r="B2290" t="s">
        <v>1382</v>
      </c>
      <c r="C2290" t="s">
        <v>1383</v>
      </c>
      <c r="D2290" t="s">
        <v>1384</v>
      </c>
      <c r="E2290" s="9">
        <v>45352</v>
      </c>
      <c r="F2290" s="9">
        <v>45382</v>
      </c>
      <c r="G2290">
        <v>25396365</v>
      </c>
      <c r="H2290">
        <v>22458017</v>
      </c>
      <c r="I2290">
        <v>32860428</v>
      </c>
      <c r="J2290">
        <v>1170701</v>
      </c>
      <c r="K2290">
        <v>2226951</v>
      </c>
      <c r="L2290">
        <v>61340</v>
      </c>
      <c r="M2290">
        <v>0</v>
      </c>
      <c r="T2290" s="9">
        <v>45108</v>
      </c>
      <c r="U2290" s="9">
        <v>45473</v>
      </c>
      <c r="V2290">
        <f>SUM(POTABLE_NONPOTABLE_API[[#This Row],[RESIDENTIAL_SINGLEFAMILY_GAL]:[OTHER_GAL]])</f>
        <v>84173802</v>
      </c>
      <c r="W2290">
        <f>SUM(POTABLE_NONPOTABLE_API[[#This Row],[NONPOTABLE_DEMAND_RESIDENTIAL_RECYCLED_WATER_GAL]:[NONPOTABLE_DEMAND_NONRESIDENTIAL_METERED_IRRIGATION_GAL]])</f>
        <v>0</v>
      </c>
      <c r="X2290" t="str">
        <f>IFERROR(INDEX(Crosswalk_API!$H$2:$H$527, MATCH(POTABLE_NONPOTABLE_API[[#This Row],[PWSID]], CW_PWSID_LIST, 0)), "")</f>
        <v>No</v>
      </c>
    </row>
    <row r="2291" spans="1:24" x14ac:dyDescent="0.25">
      <c r="A2291" t="s">
        <v>1381</v>
      </c>
      <c r="B2291" t="s">
        <v>1382</v>
      </c>
      <c r="C2291" t="s">
        <v>1383</v>
      </c>
      <c r="D2291" t="s">
        <v>1384</v>
      </c>
      <c r="E2291" s="9">
        <v>45383</v>
      </c>
      <c r="F2291" s="9">
        <v>45412</v>
      </c>
      <c r="G2291">
        <v>28874059</v>
      </c>
      <c r="H2291">
        <v>23906246</v>
      </c>
      <c r="I2291">
        <v>37137042</v>
      </c>
      <c r="J2291">
        <v>3018390</v>
      </c>
      <c r="K2291">
        <v>2867283</v>
      </c>
      <c r="L2291">
        <v>68821</v>
      </c>
      <c r="M2291">
        <v>0</v>
      </c>
      <c r="T2291" s="9">
        <v>45108</v>
      </c>
      <c r="U2291" s="9">
        <v>45473</v>
      </c>
      <c r="V2291">
        <f>SUM(POTABLE_NONPOTABLE_API[[#This Row],[RESIDENTIAL_SINGLEFAMILY_GAL]:[OTHER_GAL]])</f>
        <v>95871841</v>
      </c>
      <c r="W2291">
        <f>SUM(POTABLE_NONPOTABLE_API[[#This Row],[NONPOTABLE_DEMAND_RESIDENTIAL_RECYCLED_WATER_GAL]:[NONPOTABLE_DEMAND_NONRESIDENTIAL_METERED_IRRIGATION_GAL]])</f>
        <v>0</v>
      </c>
      <c r="X2291" t="str">
        <f>IFERROR(INDEX(Crosswalk_API!$H$2:$H$527, MATCH(POTABLE_NONPOTABLE_API[[#This Row],[PWSID]], CW_PWSID_LIST, 0)), "")</f>
        <v>No</v>
      </c>
    </row>
    <row r="2292" spans="1:24" x14ac:dyDescent="0.25">
      <c r="A2292" t="s">
        <v>1381</v>
      </c>
      <c r="B2292" t="s">
        <v>1382</v>
      </c>
      <c r="C2292" t="s">
        <v>1383</v>
      </c>
      <c r="D2292" t="s">
        <v>1384</v>
      </c>
      <c r="E2292" s="9">
        <v>45413</v>
      </c>
      <c r="F2292" s="9">
        <v>45443</v>
      </c>
      <c r="G2292">
        <v>34054319</v>
      </c>
      <c r="H2292">
        <v>25735981</v>
      </c>
      <c r="I2292">
        <v>41377000</v>
      </c>
      <c r="J2292">
        <v>3322847</v>
      </c>
      <c r="K2292">
        <v>2980239</v>
      </c>
      <c r="L2292">
        <v>-5236</v>
      </c>
      <c r="M2292">
        <v>0</v>
      </c>
      <c r="T2292" s="9">
        <v>45108</v>
      </c>
      <c r="U2292" s="9">
        <v>45473</v>
      </c>
      <c r="V2292">
        <f>SUM(POTABLE_NONPOTABLE_API[[#This Row],[RESIDENTIAL_SINGLEFAMILY_GAL]:[OTHER_GAL]])</f>
        <v>107465150</v>
      </c>
      <c r="W2292">
        <f>SUM(POTABLE_NONPOTABLE_API[[#This Row],[NONPOTABLE_DEMAND_RESIDENTIAL_RECYCLED_WATER_GAL]:[NONPOTABLE_DEMAND_NONRESIDENTIAL_METERED_IRRIGATION_GAL]])</f>
        <v>0</v>
      </c>
      <c r="X2292" t="str">
        <f>IFERROR(INDEX(Crosswalk_API!$H$2:$H$527, MATCH(POTABLE_NONPOTABLE_API[[#This Row],[PWSID]], CW_PWSID_LIST, 0)), "")</f>
        <v>No</v>
      </c>
    </row>
    <row r="2293" spans="1:24" x14ac:dyDescent="0.25">
      <c r="A2293" t="s">
        <v>1381</v>
      </c>
      <c r="B2293" t="s">
        <v>1382</v>
      </c>
      <c r="C2293" t="s">
        <v>1383</v>
      </c>
      <c r="D2293" t="s">
        <v>1384</v>
      </c>
      <c r="E2293" s="9">
        <v>45444</v>
      </c>
      <c r="F2293" s="9">
        <v>45473</v>
      </c>
      <c r="G2293">
        <v>39901094</v>
      </c>
      <c r="H2293">
        <v>28158173</v>
      </c>
      <c r="I2293">
        <v>46889395</v>
      </c>
      <c r="J2293">
        <v>4614733</v>
      </c>
      <c r="K2293">
        <v>3637777</v>
      </c>
      <c r="L2293">
        <v>84530</v>
      </c>
      <c r="M2293">
        <v>0</v>
      </c>
      <c r="T2293" s="9">
        <v>45108</v>
      </c>
      <c r="U2293" s="9">
        <v>45473</v>
      </c>
      <c r="V2293">
        <f>SUM(POTABLE_NONPOTABLE_API[[#This Row],[RESIDENTIAL_SINGLEFAMILY_GAL]:[OTHER_GAL]])</f>
        <v>123285702</v>
      </c>
      <c r="W2293">
        <f>SUM(POTABLE_NONPOTABLE_API[[#This Row],[NONPOTABLE_DEMAND_RESIDENTIAL_RECYCLED_WATER_GAL]:[NONPOTABLE_DEMAND_NONRESIDENTIAL_METERED_IRRIGATION_GAL]])</f>
        <v>0</v>
      </c>
      <c r="X2293" t="str">
        <f>IFERROR(INDEX(Crosswalk_API!$H$2:$H$527, MATCH(POTABLE_NONPOTABLE_API[[#This Row],[PWSID]], CW_PWSID_LIST, 0)), "")</f>
        <v>No</v>
      </c>
    </row>
    <row r="2294" spans="1:24" x14ac:dyDescent="0.25">
      <c r="A2294" t="s">
        <v>1385</v>
      </c>
      <c r="B2294" t="s">
        <v>1386</v>
      </c>
      <c r="C2294" t="s">
        <v>1387</v>
      </c>
      <c r="D2294" t="s">
        <v>1388</v>
      </c>
      <c r="E2294" s="9">
        <v>45108</v>
      </c>
      <c r="F2294" s="9">
        <v>45138</v>
      </c>
      <c r="G2294">
        <v>50299016</v>
      </c>
      <c r="H2294">
        <v>47216294</v>
      </c>
      <c r="I2294">
        <v>21773550</v>
      </c>
      <c r="J2294">
        <v>612655</v>
      </c>
      <c r="K2294">
        <v>1431772</v>
      </c>
      <c r="L2294">
        <v>748</v>
      </c>
      <c r="M2294">
        <v>0</v>
      </c>
      <c r="T2294" s="9">
        <v>45108</v>
      </c>
      <c r="U2294" s="9">
        <v>45473</v>
      </c>
      <c r="V2294">
        <f>SUM(POTABLE_NONPOTABLE_API[[#This Row],[RESIDENTIAL_SINGLEFAMILY_GAL]:[OTHER_GAL]])</f>
        <v>121334035</v>
      </c>
      <c r="W2294">
        <f>SUM(POTABLE_NONPOTABLE_API[[#This Row],[NONPOTABLE_DEMAND_RESIDENTIAL_RECYCLED_WATER_GAL]:[NONPOTABLE_DEMAND_NONRESIDENTIAL_METERED_IRRIGATION_GAL]])</f>
        <v>0</v>
      </c>
      <c r="X2294" t="str">
        <f>IFERROR(INDEX(Crosswalk_API!$H$2:$H$527, MATCH(POTABLE_NONPOTABLE_API[[#This Row],[PWSID]], CW_PWSID_LIST, 0)), "")</f>
        <v>No</v>
      </c>
    </row>
    <row r="2295" spans="1:24" x14ac:dyDescent="0.25">
      <c r="A2295" t="s">
        <v>1385</v>
      </c>
      <c r="B2295" t="s">
        <v>1386</v>
      </c>
      <c r="C2295" t="s">
        <v>1387</v>
      </c>
      <c r="D2295" t="s">
        <v>1388</v>
      </c>
      <c r="E2295" s="9">
        <v>45139</v>
      </c>
      <c r="F2295" s="9">
        <v>45169</v>
      </c>
      <c r="G2295">
        <v>44969894</v>
      </c>
      <c r="H2295">
        <v>41299203</v>
      </c>
      <c r="I2295">
        <v>18334006</v>
      </c>
      <c r="J2295">
        <v>1055501</v>
      </c>
      <c r="K2295">
        <v>662026</v>
      </c>
      <c r="L2295">
        <v>0</v>
      </c>
      <c r="M2295">
        <v>0</v>
      </c>
      <c r="T2295" s="9">
        <v>45108</v>
      </c>
      <c r="U2295" s="9">
        <v>45473</v>
      </c>
      <c r="V2295">
        <f>SUM(POTABLE_NONPOTABLE_API[[#This Row],[RESIDENTIAL_SINGLEFAMILY_GAL]:[OTHER_GAL]])</f>
        <v>106320630</v>
      </c>
      <c r="W2295">
        <f>SUM(POTABLE_NONPOTABLE_API[[#This Row],[NONPOTABLE_DEMAND_RESIDENTIAL_RECYCLED_WATER_GAL]:[NONPOTABLE_DEMAND_NONRESIDENTIAL_METERED_IRRIGATION_GAL]])</f>
        <v>0</v>
      </c>
      <c r="X2295" t="str">
        <f>IFERROR(INDEX(Crosswalk_API!$H$2:$H$527, MATCH(POTABLE_NONPOTABLE_API[[#This Row],[PWSID]], CW_PWSID_LIST, 0)), "")</f>
        <v>No</v>
      </c>
    </row>
    <row r="2296" spans="1:24" x14ac:dyDescent="0.25">
      <c r="A2296" t="s">
        <v>1385</v>
      </c>
      <c r="B2296" t="s">
        <v>1386</v>
      </c>
      <c r="C2296" t="s">
        <v>1387</v>
      </c>
      <c r="D2296" t="s">
        <v>1388</v>
      </c>
      <c r="E2296" s="9">
        <v>45170</v>
      </c>
      <c r="F2296" s="9">
        <v>45199</v>
      </c>
      <c r="G2296">
        <v>51976149</v>
      </c>
      <c r="H2296">
        <v>49076700</v>
      </c>
      <c r="I2296">
        <v>23539700</v>
      </c>
      <c r="J2296">
        <v>780218</v>
      </c>
      <c r="K2296">
        <v>5068800</v>
      </c>
      <c r="L2296">
        <v>2992</v>
      </c>
      <c r="M2296">
        <v>0</v>
      </c>
      <c r="T2296" s="9">
        <v>45108</v>
      </c>
      <c r="U2296" s="9">
        <v>45473</v>
      </c>
      <c r="V2296">
        <f>SUM(POTABLE_NONPOTABLE_API[[#This Row],[RESIDENTIAL_SINGLEFAMILY_GAL]:[OTHER_GAL]])</f>
        <v>130444559</v>
      </c>
      <c r="W2296">
        <f>SUM(POTABLE_NONPOTABLE_API[[#This Row],[NONPOTABLE_DEMAND_RESIDENTIAL_RECYCLED_WATER_GAL]:[NONPOTABLE_DEMAND_NONRESIDENTIAL_METERED_IRRIGATION_GAL]])</f>
        <v>0</v>
      </c>
      <c r="X2296" t="str">
        <f>IFERROR(INDEX(Crosswalk_API!$H$2:$H$527, MATCH(POTABLE_NONPOTABLE_API[[#This Row],[PWSID]], CW_PWSID_LIST, 0)), "")</f>
        <v>No</v>
      </c>
    </row>
    <row r="2297" spans="1:24" x14ac:dyDescent="0.25">
      <c r="A2297" t="s">
        <v>1385</v>
      </c>
      <c r="B2297" t="s">
        <v>1386</v>
      </c>
      <c r="C2297" t="s">
        <v>1387</v>
      </c>
      <c r="D2297" t="s">
        <v>1388</v>
      </c>
      <c r="E2297" s="9">
        <v>45200</v>
      </c>
      <c r="F2297" s="9">
        <v>45230</v>
      </c>
      <c r="G2297">
        <v>43954787</v>
      </c>
      <c r="H2297">
        <v>43399733</v>
      </c>
      <c r="I2297">
        <v>20709820</v>
      </c>
      <c r="J2297">
        <v>629112</v>
      </c>
      <c r="K2297">
        <v>5068052</v>
      </c>
      <c r="L2297">
        <v>2992</v>
      </c>
      <c r="M2297">
        <v>0</v>
      </c>
      <c r="T2297" s="9">
        <v>45108</v>
      </c>
      <c r="U2297" s="9">
        <v>45473</v>
      </c>
      <c r="V2297">
        <f>SUM(POTABLE_NONPOTABLE_API[[#This Row],[RESIDENTIAL_SINGLEFAMILY_GAL]:[OTHER_GAL]])</f>
        <v>113764496</v>
      </c>
      <c r="W2297">
        <f>SUM(POTABLE_NONPOTABLE_API[[#This Row],[NONPOTABLE_DEMAND_RESIDENTIAL_RECYCLED_WATER_GAL]:[NONPOTABLE_DEMAND_NONRESIDENTIAL_METERED_IRRIGATION_GAL]])</f>
        <v>0</v>
      </c>
      <c r="X2297" t="str">
        <f>IFERROR(INDEX(Crosswalk_API!$H$2:$H$527, MATCH(POTABLE_NONPOTABLE_API[[#This Row],[PWSID]], CW_PWSID_LIST, 0)), "")</f>
        <v>No</v>
      </c>
    </row>
    <row r="2298" spans="1:24" x14ac:dyDescent="0.25">
      <c r="A2298" t="s">
        <v>1385</v>
      </c>
      <c r="B2298" t="s">
        <v>1386</v>
      </c>
      <c r="C2298" t="s">
        <v>1387</v>
      </c>
      <c r="D2298" t="s">
        <v>1388</v>
      </c>
      <c r="E2298" s="9">
        <v>45231</v>
      </c>
      <c r="F2298" s="9">
        <v>45260</v>
      </c>
      <c r="G2298">
        <v>44476180</v>
      </c>
      <c r="H2298">
        <v>41535587</v>
      </c>
      <c r="I2298">
        <v>22853737</v>
      </c>
      <c r="J2298">
        <v>608166</v>
      </c>
      <c r="K2298">
        <v>2937600</v>
      </c>
      <c r="L2298">
        <v>1496</v>
      </c>
      <c r="M2298">
        <v>0</v>
      </c>
      <c r="T2298" s="9">
        <v>45108</v>
      </c>
      <c r="U2298" s="9">
        <v>45473</v>
      </c>
      <c r="V2298">
        <f>SUM(POTABLE_NONPOTABLE_API[[#This Row],[RESIDENTIAL_SINGLEFAMILY_GAL]:[OTHER_GAL]])</f>
        <v>112412766</v>
      </c>
      <c r="W2298">
        <f>SUM(POTABLE_NONPOTABLE_API[[#This Row],[NONPOTABLE_DEMAND_RESIDENTIAL_RECYCLED_WATER_GAL]:[NONPOTABLE_DEMAND_NONRESIDENTIAL_METERED_IRRIGATION_GAL]])</f>
        <v>0</v>
      </c>
      <c r="X2298" t="str">
        <f>IFERROR(INDEX(Crosswalk_API!$H$2:$H$527, MATCH(POTABLE_NONPOTABLE_API[[#This Row],[PWSID]], CW_PWSID_LIST, 0)), "")</f>
        <v>No</v>
      </c>
    </row>
    <row r="2299" spans="1:24" x14ac:dyDescent="0.25">
      <c r="A2299" t="s">
        <v>1385</v>
      </c>
      <c r="B2299" t="s">
        <v>1386</v>
      </c>
      <c r="C2299" t="s">
        <v>1387</v>
      </c>
      <c r="D2299" t="s">
        <v>1388</v>
      </c>
      <c r="E2299" s="9">
        <v>45261</v>
      </c>
      <c r="F2299" s="9">
        <v>45291</v>
      </c>
      <c r="G2299">
        <v>45025250</v>
      </c>
      <c r="H2299">
        <v>42705541</v>
      </c>
      <c r="I2299">
        <v>21531929</v>
      </c>
      <c r="J2299">
        <v>551314</v>
      </c>
      <c r="K2299">
        <v>1230546</v>
      </c>
      <c r="L2299">
        <v>27677</v>
      </c>
      <c r="M2299">
        <v>0</v>
      </c>
      <c r="T2299" s="9">
        <v>45108</v>
      </c>
      <c r="U2299" s="9">
        <v>45473</v>
      </c>
      <c r="V2299">
        <f>SUM(POTABLE_NONPOTABLE_API[[#This Row],[RESIDENTIAL_SINGLEFAMILY_GAL]:[OTHER_GAL]])</f>
        <v>111072257</v>
      </c>
      <c r="W2299">
        <f>SUM(POTABLE_NONPOTABLE_API[[#This Row],[NONPOTABLE_DEMAND_RESIDENTIAL_RECYCLED_WATER_GAL]:[NONPOTABLE_DEMAND_NONRESIDENTIAL_METERED_IRRIGATION_GAL]])</f>
        <v>0</v>
      </c>
      <c r="X2299" t="str">
        <f>IFERROR(INDEX(Crosswalk_API!$H$2:$H$527, MATCH(POTABLE_NONPOTABLE_API[[#This Row],[PWSID]], CW_PWSID_LIST, 0)), "")</f>
        <v>No</v>
      </c>
    </row>
    <row r="2300" spans="1:24" x14ac:dyDescent="0.25">
      <c r="A2300" t="s">
        <v>1385</v>
      </c>
      <c r="B2300" t="s">
        <v>1386</v>
      </c>
      <c r="C2300" t="s">
        <v>1387</v>
      </c>
      <c r="D2300" t="s">
        <v>1388</v>
      </c>
      <c r="E2300" s="9">
        <v>45292</v>
      </c>
      <c r="F2300" s="9">
        <v>45322</v>
      </c>
      <c r="G2300">
        <v>42491598</v>
      </c>
      <c r="H2300">
        <v>39684907</v>
      </c>
      <c r="I2300">
        <v>20159253</v>
      </c>
      <c r="J2300">
        <v>981444</v>
      </c>
      <c r="K2300">
        <v>3830774</v>
      </c>
      <c r="L2300">
        <v>-15709</v>
      </c>
      <c r="M2300">
        <v>0</v>
      </c>
      <c r="T2300" s="9">
        <v>45108</v>
      </c>
      <c r="U2300" s="9">
        <v>45473</v>
      </c>
      <c r="V2300">
        <f>SUM(POTABLE_NONPOTABLE_API[[#This Row],[RESIDENTIAL_SINGLEFAMILY_GAL]:[OTHER_GAL]])</f>
        <v>107132267</v>
      </c>
      <c r="W2300">
        <f>SUM(POTABLE_NONPOTABLE_API[[#This Row],[NONPOTABLE_DEMAND_RESIDENTIAL_RECYCLED_WATER_GAL]:[NONPOTABLE_DEMAND_NONRESIDENTIAL_METERED_IRRIGATION_GAL]])</f>
        <v>0</v>
      </c>
      <c r="X2300" t="str">
        <f>IFERROR(INDEX(Crosswalk_API!$H$2:$H$527, MATCH(POTABLE_NONPOTABLE_API[[#This Row],[PWSID]], CW_PWSID_LIST, 0)), "")</f>
        <v>No</v>
      </c>
    </row>
    <row r="2301" spans="1:24" x14ac:dyDescent="0.25">
      <c r="A2301" t="s">
        <v>1385</v>
      </c>
      <c r="B2301" t="s">
        <v>1386</v>
      </c>
      <c r="C2301" t="s">
        <v>1387</v>
      </c>
      <c r="D2301" t="s">
        <v>1388</v>
      </c>
      <c r="E2301" s="9">
        <v>45323</v>
      </c>
      <c r="F2301" s="9">
        <v>45351</v>
      </c>
      <c r="G2301">
        <v>43088543</v>
      </c>
      <c r="H2301">
        <v>41569998</v>
      </c>
      <c r="I2301">
        <v>19824126</v>
      </c>
      <c r="J2301">
        <v>659782</v>
      </c>
      <c r="K2301">
        <v>1903044</v>
      </c>
      <c r="L2301">
        <v>6732</v>
      </c>
      <c r="M2301">
        <v>0</v>
      </c>
      <c r="T2301" s="9">
        <v>45108</v>
      </c>
      <c r="U2301" s="9">
        <v>45473</v>
      </c>
      <c r="V2301">
        <f>SUM(POTABLE_NONPOTABLE_API[[#This Row],[RESIDENTIAL_SINGLEFAMILY_GAL]:[OTHER_GAL]])</f>
        <v>107052225</v>
      </c>
      <c r="W2301">
        <f>SUM(POTABLE_NONPOTABLE_API[[#This Row],[NONPOTABLE_DEMAND_RESIDENTIAL_RECYCLED_WATER_GAL]:[NONPOTABLE_DEMAND_NONRESIDENTIAL_METERED_IRRIGATION_GAL]])</f>
        <v>0</v>
      </c>
      <c r="X2301" t="str">
        <f>IFERROR(INDEX(Crosswalk_API!$H$2:$H$527, MATCH(POTABLE_NONPOTABLE_API[[#This Row],[PWSID]], CW_PWSID_LIST, 0)), "")</f>
        <v>No</v>
      </c>
    </row>
    <row r="2302" spans="1:24" x14ac:dyDescent="0.25">
      <c r="A2302" t="s">
        <v>1385</v>
      </c>
      <c r="B2302" t="s">
        <v>1386</v>
      </c>
      <c r="C2302" t="s">
        <v>1387</v>
      </c>
      <c r="D2302" t="s">
        <v>1388</v>
      </c>
      <c r="E2302" s="9">
        <v>45352</v>
      </c>
      <c r="F2302" s="9">
        <v>45382</v>
      </c>
      <c r="G2302">
        <v>39963930</v>
      </c>
      <c r="H2302">
        <v>39523327</v>
      </c>
      <c r="I2302">
        <v>17485716</v>
      </c>
      <c r="J2302">
        <v>599190</v>
      </c>
      <c r="K2302">
        <v>2685507</v>
      </c>
      <c r="L2302">
        <v>2992</v>
      </c>
      <c r="M2302">
        <v>0</v>
      </c>
      <c r="T2302" s="9">
        <v>45108</v>
      </c>
      <c r="U2302" s="9">
        <v>45473</v>
      </c>
      <c r="V2302">
        <f>SUM(POTABLE_NONPOTABLE_API[[#This Row],[RESIDENTIAL_SINGLEFAMILY_GAL]:[OTHER_GAL]])</f>
        <v>100260662</v>
      </c>
      <c r="W2302">
        <f>SUM(POTABLE_NONPOTABLE_API[[#This Row],[NONPOTABLE_DEMAND_RESIDENTIAL_RECYCLED_WATER_GAL]:[NONPOTABLE_DEMAND_NONRESIDENTIAL_METERED_IRRIGATION_GAL]])</f>
        <v>0</v>
      </c>
      <c r="X2302" t="str">
        <f>IFERROR(INDEX(Crosswalk_API!$H$2:$H$527, MATCH(POTABLE_NONPOTABLE_API[[#This Row],[PWSID]], CW_PWSID_LIST, 0)), "")</f>
        <v>No</v>
      </c>
    </row>
    <row r="2303" spans="1:24" x14ac:dyDescent="0.25">
      <c r="A2303" t="s">
        <v>1385</v>
      </c>
      <c r="B2303" t="s">
        <v>1386</v>
      </c>
      <c r="C2303" t="s">
        <v>1387</v>
      </c>
      <c r="D2303" t="s">
        <v>1388</v>
      </c>
      <c r="E2303" s="9">
        <v>45383</v>
      </c>
      <c r="F2303" s="9">
        <v>45412</v>
      </c>
      <c r="G2303">
        <v>41011951</v>
      </c>
      <c r="H2303">
        <v>38220969</v>
      </c>
      <c r="I2303">
        <v>20221342</v>
      </c>
      <c r="J2303">
        <v>317922</v>
      </c>
      <c r="K2303">
        <v>3157527</v>
      </c>
      <c r="L2303">
        <v>748</v>
      </c>
      <c r="M2303">
        <v>0</v>
      </c>
      <c r="T2303" s="9">
        <v>45108</v>
      </c>
      <c r="U2303" s="9">
        <v>45473</v>
      </c>
      <c r="V2303">
        <f>SUM(POTABLE_NONPOTABLE_API[[#This Row],[RESIDENTIAL_SINGLEFAMILY_GAL]:[OTHER_GAL]])</f>
        <v>102930459</v>
      </c>
      <c r="W2303">
        <f>SUM(POTABLE_NONPOTABLE_API[[#This Row],[NONPOTABLE_DEMAND_RESIDENTIAL_RECYCLED_WATER_GAL]:[NONPOTABLE_DEMAND_NONRESIDENTIAL_METERED_IRRIGATION_GAL]])</f>
        <v>0</v>
      </c>
      <c r="X2303" t="str">
        <f>IFERROR(INDEX(Crosswalk_API!$H$2:$H$527, MATCH(POTABLE_NONPOTABLE_API[[#This Row],[PWSID]], CW_PWSID_LIST, 0)), "")</f>
        <v>No</v>
      </c>
    </row>
    <row r="2304" spans="1:24" x14ac:dyDescent="0.25">
      <c r="A2304" t="s">
        <v>1385</v>
      </c>
      <c r="B2304" t="s">
        <v>1386</v>
      </c>
      <c r="C2304" t="s">
        <v>1387</v>
      </c>
      <c r="D2304" t="s">
        <v>1388</v>
      </c>
      <c r="E2304" s="9">
        <v>45413</v>
      </c>
      <c r="F2304" s="9">
        <v>45443</v>
      </c>
      <c r="G2304">
        <v>44389406</v>
      </c>
      <c r="H2304">
        <v>41606652</v>
      </c>
      <c r="I2304">
        <v>20565446</v>
      </c>
      <c r="J2304">
        <v>628364</v>
      </c>
      <c r="K2304">
        <v>2599481</v>
      </c>
      <c r="L2304">
        <v>23190</v>
      </c>
      <c r="M2304">
        <v>0</v>
      </c>
      <c r="T2304" s="9">
        <v>45108</v>
      </c>
      <c r="U2304" s="9">
        <v>45473</v>
      </c>
      <c r="V2304">
        <f>SUM(POTABLE_NONPOTABLE_API[[#This Row],[RESIDENTIAL_SINGLEFAMILY_GAL]:[OTHER_GAL]])</f>
        <v>109812539</v>
      </c>
      <c r="W2304">
        <f>SUM(POTABLE_NONPOTABLE_API[[#This Row],[NONPOTABLE_DEMAND_RESIDENTIAL_RECYCLED_WATER_GAL]:[NONPOTABLE_DEMAND_NONRESIDENTIAL_METERED_IRRIGATION_GAL]])</f>
        <v>0</v>
      </c>
      <c r="X2304" t="str">
        <f>IFERROR(INDEX(Crosswalk_API!$H$2:$H$527, MATCH(POTABLE_NONPOTABLE_API[[#This Row],[PWSID]], CW_PWSID_LIST, 0)), "")</f>
        <v>No</v>
      </c>
    </row>
    <row r="2305" spans="1:24" x14ac:dyDescent="0.25">
      <c r="A2305" t="s">
        <v>1385</v>
      </c>
      <c r="B2305" t="s">
        <v>1386</v>
      </c>
      <c r="C2305" t="s">
        <v>1387</v>
      </c>
      <c r="D2305" t="s">
        <v>1388</v>
      </c>
      <c r="E2305" s="9">
        <v>45444</v>
      </c>
      <c r="F2305" s="9">
        <v>45473</v>
      </c>
      <c r="G2305">
        <v>48942050</v>
      </c>
      <c r="H2305">
        <v>43837343</v>
      </c>
      <c r="I2305">
        <v>23044490</v>
      </c>
      <c r="J2305">
        <v>778722</v>
      </c>
      <c r="K2305">
        <v>1855917</v>
      </c>
      <c r="L2305">
        <v>54608</v>
      </c>
      <c r="M2305">
        <v>0</v>
      </c>
      <c r="T2305" s="9">
        <v>45108</v>
      </c>
      <c r="U2305" s="9">
        <v>45473</v>
      </c>
      <c r="V2305">
        <f>SUM(POTABLE_NONPOTABLE_API[[#This Row],[RESIDENTIAL_SINGLEFAMILY_GAL]:[OTHER_GAL]])</f>
        <v>118513130</v>
      </c>
      <c r="W2305">
        <f>SUM(POTABLE_NONPOTABLE_API[[#This Row],[NONPOTABLE_DEMAND_RESIDENTIAL_RECYCLED_WATER_GAL]:[NONPOTABLE_DEMAND_NONRESIDENTIAL_METERED_IRRIGATION_GAL]])</f>
        <v>0</v>
      </c>
      <c r="X2305" t="str">
        <f>IFERROR(INDEX(Crosswalk_API!$H$2:$H$527, MATCH(POTABLE_NONPOTABLE_API[[#This Row],[PWSID]], CW_PWSID_LIST, 0)), "")</f>
        <v>No</v>
      </c>
    </row>
    <row r="2306" spans="1:24" x14ac:dyDescent="0.25">
      <c r="A2306" t="s">
        <v>1389</v>
      </c>
      <c r="B2306" t="s">
        <v>1390</v>
      </c>
      <c r="C2306" t="s">
        <v>1391</v>
      </c>
      <c r="D2306" t="s">
        <v>1392</v>
      </c>
      <c r="E2306" s="9">
        <v>45108</v>
      </c>
      <c r="F2306" s="9">
        <v>45138</v>
      </c>
      <c r="G2306">
        <v>72998654</v>
      </c>
      <c r="H2306">
        <v>17299451</v>
      </c>
      <c r="I2306">
        <v>27490163</v>
      </c>
      <c r="J2306">
        <v>2528416</v>
      </c>
      <c r="K2306">
        <v>272291</v>
      </c>
      <c r="L2306">
        <v>13465</v>
      </c>
      <c r="M2306">
        <v>0</v>
      </c>
      <c r="T2306" s="9">
        <v>45108</v>
      </c>
      <c r="U2306" s="9">
        <v>45473</v>
      </c>
      <c r="V2306">
        <f>SUM(POTABLE_NONPOTABLE_API[[#This Row],[RESIDENTIAL_SINGLEFAMILY_GAL]:[OTHER_GAL]])</f>
        <v>120602440</v>
      </c>
      <c r="W2306">
        <f>SUM(POTABLE_NONPOTABLE_API[[#This Row],[NONPOTABLE_DEMAND_RESIDENTIAL_RECYCLED_WATER_GAL]:[NONPOTABLE_DEMAND_NONRESIDENTIAL_METERED_IRRIGATION_GAL]])</f>
        <v>0</v>
      </c>
      <c r="X2306" t="str">
        <f>IFERROR(INDEX(Crosswalk_API!$H$2:$H$527, MATCH(POTABLE_NONPOTABLE_API[[#This Row],[PWSID]], CW_PWSID_LIST, 0)), "")</f>
        <v>No</v>
      </c>
    </row>
    <row r="2307" spans="1:24" x14ac:dyDescent="0.25">
      <c r="A2307" t="s">
        <v>1389</v>
      </c>
      <c r="B2307" t="s">
        <v>1390</v>
      </c>
      <c r="C2307" t="s">
        <v>1391</v>
      </c>
      <c r="D2307" t="s">
        <v>1392</v>
      </c>
      <c r="E2307" s="9">
        <v>45139</v>
      </c>
      <c r="F2307" s="9">
        <v>45169</v>
      </c>
      <c r="G2307">
        <v>62295526</v>
      </c>
      <c r="H2307">
        <v>14860801</v>
      </c>
      <c r="I2307">
        <v>28574090</v>
      </c>
      <c r="J2307">
        <v>2292779</v>
      </c>
      <c r="K2307">
        <v>329143</v>
      </c>
      <c r="L2307">
        <v>2244</v>
      </c>
      <c r="M2307">
        <v>0</v>
      </c>
      <c r="T2307" s="9">
        <v>45108</v>
      </c>
      <c r="U2307" s="9">
        <v>45473</v>
      </c>
      <c r="V2307">
        <f>SUM(POTABLE_NONPOTABLE_API[[#This Row],[RESIDENTIAL_SINGLEFAMILY_GAL]:[OTHER_GAL]])</f>
        <v>108354583</v>
      </c>
      <c r="W2307">
        <f>SUM(POTABLE_NONPOTABLE_API[[#This Row],[NONPOTABLE_DEMAND_RESIDENTIAL_RECYCLED_WATER_GAL]:[NONPOTABLE_DEMAND_NONRESIDENTIAL_METERED_IRRIGATION_GAL]])</f>
        <v>0</v>
      </c>
      <c r="X2307" t="str">
        <f>IFERROR(INDEX(Crosswalk_API!$H$2:$H$527, MATCH(POTABLE_NONPOTABLE_API[[#This Row],[PWSID]], CW_PWSID_LIST, 0)), "")</f>
        <v>No</v>
      </c>
    </row>
    <row r="2308" spans="1:24" x14ac:dyDescent="0.25">
      <c r="A2308" t="s">
        <v>1389</v>
      </c>
      <c r="B2308" t="s">
        <v>1390</v>
      </c>
      <c r="C2308" t="s">
        <v>1391</v>
      </c>
      <c r="D2308" t="s">
        <v>1392</v>
      </c>
      <c r="E2308" s="9">
        <v>45170</v>
      </c>
      <c r="F2308" s="9">
        <v>45199</v>
      </c>
      <c r="G2308">
        <v>65722353</v>
      </c>
      <c r="H2308">
        <v>19137414</v>
      </c>
      <c r="I2308">
        <v>30699306</v>
      </c>
      <c r="J2308">
        <v>2274078</v>
      </c>
      <c r="K2308">
        <v>291740</v>
      </c>
      <c r="L2308">
        <v>36655</v>
      </c>
      <c r="M2308">
        <v>0</v>
      </c>
      <c r="T2308" s="9">
        <v>45108</v>
      </c>
      <c r="U2308" s="9">
        <v>45473</v>
      </c>
      <c r="V2308">
        <f>SUM(POTABLE_NONPOTABLE_API[[#This Row],[RESIDENTIAL_SINGLEFAMILY_GAL]:[OTHER_GAL]])</f>
        <v>118161546</v>
      </c>
      <c r="W2308">
        <f>SUM(POTABLE_NONPOTABLE_API[[#This Row],[NONPOTABLE_DEMAND_RESIDENTIAL_RECYCLED_WATER_GAL]:[NONPOTABLE_DEMAND_NONRESIDENTIAL_METERED_IRRIGATION_GAL]])</f>
        <v>0</v>
      </c>
      <c r="X2308" t="str">
        <f>IFERROR(INDEX(Crosswalk_API!$H$2:$H$527, MATCH(POTABLE_NONPOTABLE_API[[#This Row],[PWSID]], CW_PWSID_LIST, 0)), "")</f>
        <v>No</v>
      </c>
    </row>
    <row r="2309" spans="1:24" x14ac:dyDescent="0.25">
      <c r="A2309" t="s">
        <v>1389</v>
      </c>
      <c r="B2309" t="s">
        <v>1390</v>
      </c>
      <c r="C2309" t="s">
        <v>1391</v>
      </c>
      <c r="D2309" t="s">
        <v>1392</v>
      </c>
      <c r="E2309" s="9">
        <v>45200</v>
      </c>
      <c r="F2309" s="9">
        <v>45230</v>
      </c>
      <c r="G2309">
        <v>59045989</v>
      </c>
      <c r="H2309">
        <v>14815170</v>
      </c>
      <c r="I2309">
        <v>26310485</v>
      </c>
      <c r="J2309">
        <v>2083325</v>
      </c>
      <c r="K2309">
        <v>211699</v>
      </c>
      <c r="L2309">
        <v>15709</v>
      </c>
      <c r="M2309">
        <v>0</v>
      </c>
      <c r="T2309" s="9">
        <v>45108</v>
      </c>
      <c r="U2309" s="9">
        <v>45473</v>
      </c>
      <c r="V2309">
        <f>SUM(POTABLE_NONPOTABLE_API[[#This Row],[RESIDENTIAL_SINGLEFAMILY_GAL]:[OTHER_GAL]])</f>
        <v>102482377</v>
      </c>
      <c r="W2309">
        <f>SUM(POTABLE_NONPOTABLE_API[[#This Row],[NONPOTABLE_DEMAND_RESIDENTIAL_RECYCLED_WATER_GAL]:[NONPOTABLE_DEMAND_NONRESIDENTIAL_METERED_IRRIGATION_GAL]])</f>
        <v>0</v>
      </c>
      <c r="X2309" t="str">
        <f>IFERROR(INDEX(Crosswalk_API!$H$2:$H$527, MATCH(POTABLE_NONPOTABLE_API[[#This Row],[PWSID]], CW_PWSID_LIST, 0)), "")</f>
        <v>No</v>
      </c>
    </row>
    <row r="2310" spans="1:24" x14ac:dyDescent="0.25">
      <c r="A2310" t="s">
        <v>1389</v>
      </c>
      <c r="B2310" t="s">
        <v>1390</v>
      </c>
      <c r="C2310" t="s">
        <v>1391</v>
      </c>
      <c r="D2310" t="s">
        <v>1392</v>
      </c>
      <c r="E2310" s="9">
        <v>45231</v>
      </c>
      <c r="F2310" s="9">
        <v>45260</v>
      </c>
      <c r="G2310">
        <v>61287900</v>
      </c>
      <c r="H2310">
        <v>17603160</v>
      </c>
      <c r="I2310">
        <v>26715929</v>
      </c>
      <c r="J2310">
        <v>2145413</v>
      </c>
      <c r="K2310">
        <v>258826</v>
      </c>
      <c r="L2310">
        <v>748</v>
      </c>
      <c r="M2310">
        <v>0</v>
      </c>
      <c r="T2310" s="9">
        <v>45108</v>
      </c>
      <c r="U2310" s="9">
        <v>45473</v>
      </c>
      <c r="V2310">
        <f>SUM(POTABLE_NONPOTABLE_API[[#This Row],[RESIDENTIAL_SINGLEFAMILY_GAL]:[OTHER_GAL]])</f>
        <v>108011976</v>
      </c>
      <c r="W2310">
        <f>SUM(POTABLE_NONPOTABLE_API[[#This Row],[NONPOTABLE_DEMAND_RESIDENTIAL_RECYCLED_WATER_GAL]:[NONPOTABLE_DEMAND_NONRESIDENTIAL_METERED_IRRIGATION_GAL]])</f>
        <v>0</v>
      </c>
      <c r="X2310" t="str">
        <f>IFERROR(INDEX(Crosswalk_API!$H$2:$H$527, MATCH(POTABLE_NONPOTABLE_API[[#This Row],[PWSID]], CW_PWSID_LIST, 0)), "")</f>
        <v>No</v>
      </c>
    </row>
    <row r="2311" spans="1:24" x14ac:dyDescent="0.25">
      <c r="A2311" t="s">
        <v>1389</v>
      </c>
      <c r="B2311" t="s">
        <v>1390</v>
      </c>
      <c r="C2311" t="s">
        <v>1391</v>
      </c>
      <c r="D2311" t="s">
        <v>1392</v>
      </c>
      <c r="E2311" s="9">
        <v>45261</v>
      </c>
      <c r="F2311" s="9">
        <v>45291</v>
      </c>
      <c r="G2311">
        <v>51934258</v>
      </c>
      <c r="H2311">
        <v>14193539</v>
      </c>
      <c r="I2311">
        <v>23123035</v>
      </c>
      <c r="J2311">
        <v>1340509</v>
      </c>
      <c r="K2311">
        <v>219179</v>
      </c>
      <c r="L2311">
        <v>18701</v>
      </c>
      <c r="M2311">
        <v>0</v>
      </c>
      <c r="T2311" s="9">
        <v>45108</v>
      </c>
      <c r="U2311" s="9">
        <v>45473</v>
      </c>
      <c r="V2311">
        <f>SUM(POTABLE_NONPOTABLE_API[[#This Row],[RESIDENTIAL_SINGLEFAMILY_GAL]:[OTHER_GAL]])</f>
        <v>90829221</v>
      </c>
      <c r="W2311">
        <f>SUM(POTABLE_NONPOTABLE_API[[#This Row],[NONPOTABLE_DEMAND_RESIDENTIAL_RECYCLED_WATER_GAL]:[NONPOTABLE_DEMAND_NONRESIDENTIAL_METERED_IRRIGATION_GAL]])</f>
        <v>0</v>
      </c>
      <c r="X2311" t="str">
        <f>IFERROR(INDEX(Crosswalk_API!$H$2:$H$527, MATCH(POTABLE_NONPOTABLE_API[[#This Row],[PWSID]], CW_PWSID_LIST, 0)), "")</f>
        <v>No</v>
      </c>
    </row>
    <row r="2312" spans="1:24" x14ac:dyDescent="0.25">
      <c r="A2312" t="s">
        <v>1389</v>
      </c>
      <c r="B2312" t="s">
        <v>1390</v>
      </c>
      <c r="C2312" t="s">
        <v>1391</v>
      </c>
      <c r="D2312" t="s">
        <v>1392</v>
      </c>
      <c r="E2312" s="9">
        <v>45292</v>
      </c>
      <c r="F2312" s="9">
        <v>45322</v>
      </c>
      <c r="G2312">
        <v>53621115</v>
      </c>
      <c r="H2312">
        <v>15410619</v>
      </c>
      <c r="I2312">
        <v>20730017</v>
      </c>
      <c r="J2312">
        <v>1178182</v>
      </c>
      <c r="K2312">
        <v>218431</v>
      </c>
      <c r="L2312">
        <v>6732</v>
      </c>
      <c r="M2312">
        <v>0</v>
      </c>
      <c r="T2312" s="9">
        <v>45108</v>
      </c>
      <c r="U2312" s="9">
        <v>45473</v>
      </c>
      <c r="V2312">
        <f>SUM(POTABLE_NONPOTABLE_API[[#This Row],[RESIDENTIAL_SINGLEFAMILY_GAL]:[OTHER_GAL]])</f>
        <v>91165096</v>
      </c>
      <c r="W2312">
        <f>SUM(POTABLE_NONPOTABLE_API[[#This Row],[NONPOTABLE_DEMAND_RESIDENTIAL_RECYCLED_WATER_GAL]:[NONPOTABLE_DEMAND_NONRESIDENTIAL_METERED_IRRIGATION_GAL]])</f>
        <v>0</v>
      </c>
      <c r="X2312" t="str">
        <f>IFERROR(INDEX(Crosswalk_API!$H$2:$H$527, MATCH(POTABLE_NONPOTABLE_API[[#This Row],[PWSID]], CW_PWSID_LIST, 0)), "")</f>
        <v>No</v>
      </c>
    </row>
    <row r="2313" spans="1:24" x14ac:dyDescent="0.25">
      <c r="A2313" t="s">
        <v>1389</v>
      </c>
      <c r="B2313" t="s">
        <v>1390</v>
      </c>
      <c r="C2313" t="s">
        <v>1391</v>
      </c>
      <c r="D2313" t="s">
        <v>1392</v>
      </c>
      <c r="E2313" s="9">
        <v>45323</v>
      </c>
      <c r="F2313" s="9">
        <v>45351</v>
      </c>
      <c r="G2313">
        <v>51200419</v>
      </c>
      <c r="H2313">
        <v>15192936</v>
      </c>
      <c r="I2313">
        <v>20430048</v>
      </c>
      <c r="J2313">
        <v>707657</v>
      </c>
      <c r="K2313">
        <v>241621</v>
      </c>
      <c r="L2313">
        <v>5236</v>
      </c>
      <c r="M2313">
        <v>0</v>
      </c>
      <c r="T2313" s="9">
        <v>45108</v>
      </c>
      <c r="U2313" s="9">
        <v>45473</v>
      </c>
      <c r="V2313">
        <f>SUM(POTABLE_NONPOTABLE_API[[#This Row],[RESIDENTIAL_SINGLEFAMILY_GAL]:[OTHER_GAL]])</f>
        <v>87777917</v>
      </c>
      <c r="W2313">
        <f>SUM(POTABLE_NONPOTABLE_API[[#This Row],[NONPOTABLE_DEMAND_RESIDENTIAL_RECYCLED_WATER_GAL]:[NONPOTABLE_DEMAND_NONRESIDENTIAL_METERED_IRRIGATION_GAL]])</f>
        <v>0</v>
      </c>
      <c r="X2313" t="str">
        <f>IFERROR(INDEX(Crosswalk_API!$H$2:$H$527, MATCH(POTABLE_NONPOTABLE_API[[#This Row],[PWSID]], CW_PWSID_LIST, 0)), "")</f>
        <v>No</v>
      </c>
    </row>
    <row r="2314" spans="1:24" x14ac:dyDescent="0.25">
      <c r="A2314" t="s">
        <v>1389</v>
      </c>
      <c r="B2314" t="s">
        <v>1390</v>
      </c>
      <c r="C2314" t="s">
        <v>1391</v>
      </c>
      <c r="D2314" t="s">
        <v>1392</v>
      </c>
      <c r="E2314" s="9">
        <v>45352</v>
      </c>
      <c r="F2314" s="9">
        <v>45382</v>
      </c>
      <c r="G2314">
        <v>47114559</v>
      </c>
      <c r="H2314">
        <v>13830733</v>
      </c>
      <c r="I2314">
        <v>19290017</v>
      </c>
      <c r="J2314">
        <v>446587</v>
      </c>
      <c r="K2314">
        <v>230400</v>
      </c>
      <c r="L2314">
        <v>203470</v>
      </c>
      <c r="M2314">
        <v>0</v>
      </c>
      <c r="T2314" s="9">
        <v>45108</v>
      </c>
      <c r="U2314" s="9">
        <v>45473</v>
      </c>
      <c r="V2314">
        <f>SUM(POTABLE_NONPOTABLE_API[[#This Row],[RESIDENTIAL_SINGLEFAMILY_GAL]:[OTHER_GAL]])</f>
        <v>81115766</v>
      </c>
      <c r="W2314">
        <f>SUM(POTABLE_NONPOTABLE_API[[#This Row],[NONPOTABLE_DEMAND_RESIDENTIAL_RECYCLED_WATER_GAL]:[NONPOTABLE_DEMAND_NONRESIDENTIAL_METERED_IRRIGATION_GAL]])</f>
        <v>0</v>
      </c>
      <c r="X2314" t="str">
        <f>IFERROR(INDEX(Crosswalk_API!$H$2:$H$527, MATCH(POTABLE_NONPOTABLE_API[[#This Row],[PWSID]], CW_PWSID_LIST, 0)), "")</f>
        <v>No</v>
      </c>
    </row>
    <row r="2315" spans="1:24" x14ac:dyDescent="0.25">
      <c r="A2315" t="s">
        <v>1389</v>
      </c>
      <c r="B2315" t="s">
        <v>1390</v>
      </c>
      <c r="C2315" t="s">
        <v>1391</v>
      </c>
      <c r="D2315" t="s">
        <v>1392</v>
      </c>
      <c r="E2315" s="9">
        <v>45383</v>
      </c>
      <c r="F2315" s="9">
        <v>45412</v>
      </c>
      <c r="G2315">
        <v>48484242</v>
      </c>
      <c r="H2315">
        <v>13758920</v>
      </c>
      <c r="I2315">
        <v>20622298</v>
      </c>
      <c r="J2315">
        <v>771990</v>
      </c>
      <c r="K2315">
        <v>185517</v>
      </c>
      <c r="L2315">
        <v>86026</v>
      </c>
      <c r="M2315">
        <v>0</v>
      </c>
      <c r="T2315" s="9">
        <v>45108</v>
      </c>
      <c r="U2315" s="9">
        <v>45473</v>
      </c>
      <c r="V2315">
        <f>SUM(POTABLE_NONPOTABLE_API[[#This Row],[RESIDENTIAL_SINGLEFAMILY_GAL]:[OTHER_GAL]])</f>
        <v>83908993</v>
      </c>
      <c r="W2315">
        <f>SUM(POTABLE_NONPOTABLE_API[[#This Row],[NONPOTABLE_DEMAND_RESIDENTIAL_RECYCLED_WATER_GAL]:[NONPOTABLE_DEMAND_NONRESIDENTIAL_METERED_IRRIGATION_GAL]])</f>
        <v>0</v>
      </c>
      <c r="X2315" t="str">
        <f>IFERROR(INDEX(Crosswalk_API!$H$2:$H$527, MATCH(POTABLE_NONPOTABLE_API[[#This Row],[PWSID]], CW_PWSID_LIST, 0)), "")</f>
        <v>No</v>
      </c>
    </row>
    <row r="2316" spans="1:24" x14ac:dyDescent="0.25">
      <c r="A2316" t="s">
        <v>1389</v>
      </c>
      <c r="B2316" t="s">
        <v>1390</v>
      </c>
      <c r="C2316" t="s">
        <v>1391</v>
      </c>
      <c r="D2316" t="s">
        <v>1392</v>
      </c>
      <c r="E2316" s="9">
        <v>45413</v>
      </c>
      <c r="F2316" s="9">
        <v>45443</v>
      </c>
      <c r="G2316">
        <v>58193957</v>
      </c>
      <c r="H2316">
        <v>15498141</v>
      </c>
      <c r="I2316">
        <v>23136500</v>
      </c>
      <c r="J2316">
        <v>1270192</v>
      </c>
      <c r="K2316">
        <v>184769</v>
      </c>
      <c r="L2316">
        <v>-50868</v>
      </c>
      <c r="M2316">
        <v>0</v>
      </c>
      <c r="T2316" s="9">
        <v>45108</v>
      </c>
      <c r="U2316" s="9">
        <v>45473</v>
      </c>
      <c r="V2316">
        <f>SUM(POTABLE_NONPOTABLE_API[[#This Row],[RESIDENTIAL_SINGLEFAMILY_GAL]:[OTHER_GAL]])</f>
        <v>98232691</v>
      </c>
      <c r="W2316">
        <f>SUM(POTABLE_NONPOTABLE_API[[#This Row],[NONPOTABLE_DEMAND_RESIDENTIAL_RECYCLED_WATER_GAL]:[NONPOTABLE_DEMAND_NONRESIDENTIAL_METERED_IRRIGATION_GAL]])</f>
        <v>0</v>
      </c>
      <c r="X2316" t="str">
        <f>IFERROR(INDEX(Crosswalk_API!$H$2:$H$527, MATCH(POTABLE_NONPOTABLE_API[[#This Row],[PWSID]], CW_PWSID_LIST, 0)), "")</f>
        <v>No</v>
      </c>
    </row>
    <row r="2317" spans="1:24" x14ac:dyDescent="0.25">
      <c r="A2317" t="s">
        <v>1389</v>
      </c>
      <c r="B2317" t="s">
        <v>1390</v>
      </c>
      <c r="C2317" t="s">
        <v>1391</v>
      </c>
      <c r="D2317" t="s">
        <v>1392</v>
      </c>
      <c r="E2317" s="9">
        <v>45444</v>
      </c>
      <c r="F2317" s="9">
        <v>45473</v>
      </c>
      <c r="G2317">
        <v>66778602</v>
      </c>
      <c r="H2317">
        <v>16190837</v>
      </c>
      <c r="I2317">
        <v>28725197</v>
      </c>
      <c r="J2317">
        <v>1573153</v>
      </c>
      <c r="K2317">
        <v>202722</v>
      </c>
      <c r="L2317">
        <v>-5984</v>
      </c>
      <c r="M2317">
        <v>0</v>
      </c>
      <c r="T2317" s="9">
        <v>45108</v>
      </c>
      <c r="U2317" s="9">
        <v>45473</v>
      </c>
      <c r="V2317">
        <f>SUM(POTABLE_NONPOTABLE_API[[#This Row],[RESIDENTIAL_SINGLEFAMILY_GAL]:[OTHER_GAL]])</f>
        <v>113464527</v>
      </c>
      <c r="W2317">
        <f>SUM(POTABLE_NONPOTABLE_API[[#This Row],[NONPOTABLE_DEMAND_RESIDENTIAL_RECYCLED_WATER_GAL]:[NONPOTABLE_DEMAND_NONRESIDENTIAL_METERED_IRRIGATION_GAL]])</f>
        <v>0</v>
      </c>
      <c r="X2317" t="str">
        <f>IFERROR(INDEX(Crosswalk_API!$H$2:$H$527, MATCH(POTABLE_NONPOTABLE_API[[#This Row],[PWSID]], CW_PWSID_LIST, 0)), "")</f>
        <v>No</v>
      </c>
    </row>
    <row r="2318" spans="1:24" x14ac:dyDescent="0.25">
      <c r="A2318" t="s">
        <v>1393</v>
      </c>
      <c r="B2318" t="s">
        <v>1394</v>
      </c>
      <c r="C2318" t="s">
        <v>1395</v>
      </c>
      <c r="D2318" t="s">
        <v>1396</v>
      </c>
      <c r="E2318" s="9">
        <v>45108</v>
      </c>
      <c r="F2318" s="9">
        <v>45138</v>
      </c>
      <c r="G2318">
        <v>133310347</v>
      </c>
      <c r="H2318">
        <v>6107097</v>
      </c>
      <c r="I2318">
        <v>22852241</v>
      </c>
      <c r="J2318">
        <v>7391502</v>
      </c>
      <c r="K2318">
        <v>28426</v>
      </c>
      <c r="L2318">
        <v>748</v>
      </c>
      <c r="M2318">
        <v>0</v>
      </c>
      <c r="T2318" s="9">
        <v>45108</v>
      </c>
      <c r="U2318" s="9">
        <v>45473</v>
      </c>
      <c r="V2318">
        <f>SUM(POTABLE_NONPOTABLE_API[[#This Row],[RESIDENTIAL_SINGLEFAMILY_GAL]:[OTHER_GAL]])</f>
        <v>169690361</v>
      </c>
      <c r="W2318">
        <f>SUM(POTABLE_NONPOTABLE_API[[#This Row],[NONPOTABLE_DEMAND_RESIDENTIAL_RECYCLED_WATER_GAL]:[NONPOTABLE_DEMAND_NONRESIDENTIAL_METERED_IRRIGATION_GAL]])</f>
        <v>0</v>
      </c>
      <c r="X2318" t="str">
        <f>IFERROR(INDEX(Crosswalk_API!$H$2:$H$527, MATCH(POTABLE_NONPOTABLE_API[[#This Row],[PWSID]], CW_PWSID_LIST, 0)), "")</f>
        <v>No</v>
      </c>
    </row>
    <row r="2319" spans="1:24" x14ac:dyDescent="0.25">
      <c r="A2319" t="s">
        <v>1393</v>
      </c>
      <c r="B2319" t="s">
        <v>1394</v>
      </c>
      <c r="C2319" t="s">
        <v>1395</v>
      </c>
      <c r="D2319" t="s">
        <v>1396</v>
      </c>
      <c r="E2319" s="9">
        <v>45139</v>
      </c>
      <c r="F2319" s="9">
        <v>45169</v>
      </c>
      <c r="G2319">
        <v>127606450</v>
      </c>
      <c r="H2319">
        <v>6093632</v>
      </c>
      <c r="I2319">
        <v>22646526</v>
      </c>
      <c r="J2319">
        <v>6262691</v>
      </c>
      <c r="K2319">
        <v>23190</v>
      </c>
      <c r="L2319">
        <v>0</v>
      </c>
      <c r="M2319">
        <v>0</v>
      </c>
      <c r="T2319" s="9">
        <v>45108</v>
      </c>
      <c r="U2319" s="9">
        <v>45473</v>
      </c>
      <c r="V2319">
        <f>SUM(POTABLE_NONPOTABLE_API[[#This Row],[RESIDENTIAL_SINGLEFAMILY_GAL]:[OTHER_GAL]])</f>
        <v>162632489</v>
      </c>
      <c r="W2319">
        <f>SUM(POTABLE_NONPOTABLE_API[[#This Row],[NONPOTABLE_DEMAND_RESIDENTIAL_RECYCLED_WATER_GAL]:[NONPOTABLE_DEMAND_NONRESIDENTIAL_METERED_IRRIGATION_GAL]])</f>
        <v>0</v>
      </c>
      <c r="X2319" t="str">
        <f>IFERROR(INDEX(Crosswalk_API!$H$2:$H$527, MATCH(POTABLE_NONPOTABLE_API[[#This Row],[PWSID]], CW_PWSID_LIST, 0)), "")</f>
        <v>No</v>
      </c>
    </row>
    <row r="2320" spans="1:24" x14ac:dyDescent="0.25">
      <c r="A2320" t="s">
        <v>1393</v>
      </c>
      <c r="B2320" t="s">
        <v>1394</v>
      </c>
      <c r="C2320" t="s">
        <v>1395</v>
      </c>
      <c r="D2320" t="s">
        <v>1396</v>
      </c>
      <c r="E2320" s="9">
        <v>45170</v>
      </c>
      <c r="F2320" s="9">
        <v>45199</v>
      </c>
      <c r="G2320">
        <v>137711885</v>
      </c>
      <c r="H2320">
        <v>6363678</v>
      </c>
      <c r="I2320">
        <v>29969955</v>
      </c>
      <c r="J2320">
        <v>7180551</v>
      </c>
      <c r="K2320">
        <v>25434</v>
      </c>
      <c r="L2320">
        <v>0</v>
      </c>
      <c r="M2320">
        <v>0</v>
      </c>
      <c r="T2320" s="9">
        <v>45108</v>
      </c>
      <c r="U2320" s="9">
        <v>45473</v>
      </c>
      <c r="V2320">
        <f>SUM(POTABLE_NONPOTABLE_API[[#This Row],[RESIDENTIAL_SINGLEFAMILY_GAL]:[OTHER_GAL]])</f>
        <v>181251503</v>
      </c>
      <c r="W2320">
        <f>SUM(POTABLE_NONPOTABLE_API[[#This Row],[NONPOTABLE_DEMAND_RESIDENTIAL_RECYCLED_WATER_GAL]:[NONPOTABLE_DEMAND_NONRESIDENTIAL_METERED_IRRIGATION_GAL]])</f>
        <v>0</v>
      </c>
      <c r="X2320" t="str">
        <f>IFERROR(INDEX(Crosswalk_API!$H$2:$H$527, MATCH(POTABLE_NONPOTABLE_API[[#This Row],[PWSID]], CW_PWSID_LIST, 0)), "")</f>
        <v>No</v>
      </c>
    </row>
    <row r="2321" spans="1:24" x14ac:dyDescent="0.25">
      <c r="A2321" t="s">
        <v>1393</v>
      </c>
      <c r="B2321" t="s">
        <v>1394</v>
      </c>
      <c r="C2321" t="s">
        <v>1395</v>
      </c>
      <c r="D2321" t="s">
        <v>1396</v>
      </c>
      <c r="E2321" s="9">
        <v>45200</v>
      </c>
      <c r="F2321" s="9">
        <v>45230</v>
      </c>
      <c r="G2321">
        <v>119314294</v>
      </c>
      <c r="H2321">
        <v>5911855</v>
      </c>
      <c r="I2321">
        <v>28847129</v>
      </c>
      <c r="J2321">
        <v>6457933</v>
      </c>
      <c r="K2321">
        <v>23190</v>
      </c>
      <c r="L2321">
        <v>0</v>
      </c>
      <c r="M2321">
        <v>0</v>
      </c>
      <c r="T2321" s="9">
        <v>45108</v>
      </c>
      <c r="U2321" s="9">
        <v>45473</v>
      </c>
      <c r="V2321">
        <f>SUM(POTABLE_NONPOTABLE_API[[#This Row],[RESIDENTIAL_SINGLEFAMILY_GAL]:[OTHER_GAL]])</f>
        <v>160554401</v>
      </c>
      <c r="W2321">
        <f>SUM(POTABLE_NONPOTABLE_API[[#This Row],[NONPOTABLE_DEMAND_RESIDENTIAL_RECYCLED_WATER_GAL]:[NONPOTABLE_DEMAND_NONRESIDENTIAL_METERED_IRRIGATION_GAL]])</f>
        <v>0</v>
      </c>
      <c r="X2321" t="str">
        <f>IFERROR(INDEX(Crosswalk_API!$H$2:$H$527, MATCH(POTABLE_NONPOTABLE_API[[#This Row],[PWSID]], CW_PWSID_LIST, 0)), "")</f>
        <v>No</v>
      </c>
    </row>
    <row r="2322" spans="1:24" x14ac:dyDescent="0.25">
      <c r="A2322" t="s">
        <v>1393</v>
      </c>
      <c r="B2322" t="s">
        <v>1394</v>
      </c>
      <c r="C2322" t="s">
        <v>1395</v>
      </c>
      <c r="D2322" t="s">
        <v>1396</v>
      </c>
      <c r="E2322" s="9">
        <v>45231</v>
      </c>
      <c r="F2322" s="9">
        <v>45260</v>
      </c>
      <c r="G2322">
        <v>113404683</v>
      </c>
      <c r="H2322">
        <v>5418889</v>
      </c>
      <c r="I2322">
        <v>21811700</v>
      </c>
      <c r="J2322">
        <v>5489206</v>
      </c>
      <c r="K2322">
        <v>21694</v>
      </c>
      <c r="L2322">
        <v>748</v>
      </c>
      <c r="M2322">
        <v>0</v>
      </c>
      <c r="T2322" s="9">
        <v>45108</v>
      </c>
      <c r="U2322" s="9">
        <v>45473</v>
      </c>
      <c r="V2322">
        <f>SUM(POTABLE_NONPOTABLE_API[[#This Row],[RESIDENTIAL_SINGLEFAMILY_GAL]:[OTHER_GAL]])</f>
        <v>146146920</v>
      </c>
      <c r="W2322">
        <f>SUM(POTABLE_NONPOTABLE_API[[#This Row],[NONPOTABLE_DEMAND_RESIDENTIAL_RECYCLED_WATER_GAL]:[NONPOTABLE_DEMAND_NONRESIDENTIAL_METERED_IRRIGATION_GAL]])</f>
        <v>0</v>
      </c>
      <c r="X2322" t="str">
        <f>IFERROR(INDEX(Crosswalk_API!$H$2:$H$527, MATCH(POTABLE_NONPOTABLE_API[[#This Row],[PWSID]], CW_PWSID_LIST, 0)), "")</f>
        <v>No</v>
      </c>
    </row>
    <row r="2323" spans="1:24" x14ac:dyDescent="0.25">
      <c r="A2323" t="s">
        <v>1393</v>
      </c>
      <c r="B2323" t="s">
        <v>1394</v>
      </c>
      <c r="C2323" t="s">
        <v>1395</v>
      </c>
      <c r="D2323" t="s">
        <v>1396</v>
      </c>
      <c r="E2323" s="9">
        <v>45261</v>
      </c>
      <c r="F2323" s="9">
        <v>45291</v>
      </c>
      <c r="G2323">
        <v>98724163</v>
      </c>
      <c r="H2323">
        <v>5069548</v>
      </c>
      <c r="I2323">
        <v>16201310</v>
      </c>
      <c r="J2323">
        <v>4157673</v>
      </c>
      <c r="K2323">
        <v>25434</v>
      </c>
      <c r="L2323">
        <v>0</v>
      </c>
      <c r="M2323">
        <v>0</v>
      </c>
      <c r="T2323" s="9">
        <v>45108</v>
      </c>
      <c r="U2323" s="9">
        <v>45473</v>
      </c>
      <c r="V2323">
        <f>SUM(POTABLE_NONPOTABLE_API[[#This Row],[RESIDENTIAL_SINGLEFAMILY_GAL]:[OTHER_GAL]])</f>
        <v>124178128</v>
      </c>
      <c r="W2323">
        <f>SUM(POTABLE_NONPOTABLE_API[[#This Row],[NONPOTABLE_DEMAND_RESIDENTIAL_RECYCLED_WATER_GAL]:[NONPOTABLE_DEMAND_NONRESIDENTIAL_METERED_IRRIGATION_GAL]])</f>
        <v>0</v>
      </c>
      <c r="X2323" t="str">
        <f>IFERROR(INDEX(Crosswalk_API!$H$2:$H$527, MATCH(POTABLE_NONPOTABLE_API[[#This Row],[PWSID]], CW_PWSID_LIST, 0)), "")</f>
        <v>No</v>
      </c>
    </row>
    <row r="2324" spans="1:24" x14ac:dyDescent="0.25">
      <c r="A2324" t="s">
        <v>1393</v>
      </c>
      <c r="B2324" t="s">
        <v>1394</v>
      </c>
      <c r="C2324" t="s">
        <v>1395</v>
      </c>
      <c r="D2324" t="s">
        <v>1396</v>
      </c>
      <c r="E2324" s="9">
        <v>45292</v>
      </c>
      <c r="F2324" s="9">
        <v>45322</v>
      </c>
      <c r="G2324">
        <v>79194021</v>
      </c>
      <c r="H2324">
        <v>4703003</v>
      </c>
      <c r="I2324">
        <v>9014775</v>
      </c>
      <c r="J2324">
        <v>961247</v>
      </c>
      <c r="K2324">
        <v>9725</v>
      </c>
      <c r="L2324">
        <v>0</v>
      </c>
      <c r="M2324">
        <v>0</v>
      </c>
      <c r="T2324" s="9">
        <v>45108</v>
      </c>
      <c r="U2324" s="9">
        <v>45473</v>
      </c>
      <c r="V2324">
        <f>SUM(POTABLE_NONPOTABLE_API[[#This Row],[RESIDENTIAL_SINGLEFAMILY_GAL]:[OTHER_GAL]])</f>
        <v>93882771</v>
      </c>
      <c r="W2324">
        <f>SUM(POTABLE_NONPOTABLE_API[[#This Row],[NONPOTABLE_DEMAND_RESIDENTIAL_RECYCLED_WATER_GAL]:[NONPOTABLE_DEMAND_NONRESIDENTIAL_METERED_IRRIGATION_GAL]])</f>
        <v>0</v>
      </c>
      <c r="X2324" t="str">
        <f>IFERROR(INDEX(Crosswalk_API!$H$2:$H$527, MATCH(POTABLE_NONPOTABLE_API[[#This Row],[PWSID]], CW_PWSID_LIST, 0)), "")</f>
        <v>No</v>
      </c>
    </row>
    <row r="2325" spans="1:24" x14ac:dyDescent="0.25">
      <c r="A2325" t="s">
        <v>1393</v>
      </c>
      <c r="B2325" t="s">
        <v>1394</v>
      </c>
      <c r="C2325" t="s">
        <v>1395</v>
      </c>
      <c r="D2325" t="s">
        <v>1396</v>
      </c>
      <c r="E2325" s="9">
        <v>45323</v>
      </c>
      <c r="F2325" s="9">
        <v>45351</v>
      </c>
      <c r="G2325">
        <v>65218914</v>
      </c>
      <c r="H2325">
        <v>4008063</v>
      </c>
      <c r="I2325">
        <v>6258951</v>
      </c>
      <c r="J2325">
        <v>605922</v>
      </c>
      <c r="K2325">
        <v>5984</v>
      </c>
      <c r="L2325">
        <v>28426</v>
      </c>
      <c r="M2325">
        <v>0</v>
      </c>
      <c r="T2325" s="9">
        <v>45108</v>
      </c>
      <c r="U2325" s="9">
        <v>45473</v>
      </c>
      <c r="V2325">
        <f>SUM(POTABLE_NONPOTABLE_API[[#This Row],[RESIDENTIAL_SINGLEFAMILY_GAL]:[OTHER_GAL]])</f>
        <v>76126260</v>
      </c>
      <c r="W2325">
        <f>SUM(POTABLE_NONPOTABLE_API[[#This Row],[NONPOTABLE_DEMAND_RESIDENTIAL_RECYCLED_WATER_GAL]:[NONPOTABLE_DEMAND_NONRESIDENTIAL_METERED_IRRIGATION_GAL]])</f>
        <v>0</v>
      </c>
      <c r="X2325" t="str">
        <f>IFERROR(INDEX(Crosswalk_API!$H$2:$H$527, MATCH(POTABLE_NONPOTABLE_API[[#This Row],[PWSID]], CW_PWSID_LIST, 0)), "")</f>
        <v>No</v>
      </c>
    </row>
    <row r="2326" spans="1:24" x14ac:dyDescent="0.25">
      <c r="A2326" t="s">
        <v>1393</v>
      </c>
      <c r="B2326" t="s">
        <v>1394</v>
      </c>
      <c r="C2326" t="s">
        <v>1395</v>
      </c>
      <c r="D2326" t="s">
        <v>1396</v>
      </c>
      <c r="E2326" s="9">
        <v>45352</v>
      </c>
      <c r="F2326" s="9">
        <v>45382</v>
      </c>
      <c r="G2326">
        <v>60976711</v>
      </c>
      <c r="H2326">
        <v>3390920</v>
      </c>
      <c r="I2326">
        <v>6481871</v>
      </c>
      <c r="J2326">
        <v>568520</v>
      </c>
      <c r="K2326">
        <v>5984</v>
      </c>
      <c r="L2326">
        <v>4488</v>
      </c>
      <c r="M2326">
        <v>0</v>
      </c>
      <c r="T2326" s="9">
        <v>45108</v>
      </c>
      <c r="U2326" s="9">
        <v>45473</v>
      </c>
      <c r="V2326">
        <f>SUM(POTABLE_NONPOTABLE_API[[#This Row],[RESIDENTIAL_SINGLEFAMILY_GAL]:[OTHER_GAL]])</f>
        <v>71428494</v>
      </c>
      <c r="W2326">
        <f>SUM(POTABLE_NONPOTABLE_API[[#This Row],[NONPOTABLE_DEMAND_RESIDENTIAL_RECYCLED_WATER_GAL]:[NONPOTABLE_DEMAND_NONRESIDENTIAL_METERED_IRRIGATION_GAL]])</f>
        <v>0</v>
      </c>
      <c r="X2326" t="str">
        <f>IFERROR(INDEX(Crosswalk_API!$H$2:$H$527, MATCH(POTABLE_NONPOTABLE_API[[#This Row],[PWSID]], CW_PWSID_LIST, 0)), "")</f>
        <v>No</v>
      </c>
    </row>
    <row r="2327" spans="1:24" x14ac:dyDescent="0.25">
      <c r="A2327" t="s">
        <v>1393</v>
      </c>
      <c r="B2327" t="s">
        <v>1394</v>
      </c>
      <c r="C2327" t="s">
        <v>1395</v>
      </c>
      <c r="D2327" t="s">
        <v>1396</v>
      </c>
      <c r="E2327" s="9">
        <v>45383</v>
      </c>
      <c r="F2327" s="9">
        <v>45412</v>
      </c>
      <c r="G2327">
        <v>69613719</v>
      </c>
      <c r="H2327">
        <v>4048457</v>
      </c>
      <c r="I2327">
        <v>8502359</v>
      </c>
      <c r="J2327">
        <v>2153642</v>
      </c>
      <c r="K2327">
        <v>3740</v>
      </c>
      <c r="L2327">
        <v>0</v>
      </c>
      <c r="M2327">
        <v>0</v>
      </c>
      <c r="T2327" s="9">
        <v>45108</v>
      </c>
      <c r="U2327" s="9">
        <v>45473</v>
      </c>
      <c r="V2327">
        <f>SUM(POTABLE_NONPOTABLE_API[[#This Row],[RESIDENTIAL_SINGLEFAMILY_GAL]:[OTHER_GAL]])</f>
        <v>84321917</v>
      </c>
      <c r="W2327">
        <f>SUM(POTABLE_NONPOTABLE_API[[#This Row],[NONPOTABLE_DEMAND_RESIDENTIAL_RECYCLED_WATER_GAL]:[NONPOTABLE_DEMAND_NONRESIDENTIAL_METERED_IRRIGATION_GAL]])</f>
        <v>0</v>
      </c>
      <c r="X2327" t="str">
        <f>IFERROR(INDEX(Crosswalk_API!$H$2:$H$527, MATCH(POTABLE_NONPOTABLE_API[[#This Row],[PWSID]], CW_PWSID_LIST, 0)), "")</f>
        <v>No</v>
      </c>
    </row>
    <row r="2328" spans="1:24" x14ac:dyDescent="0.25">
      <c r="A2328" t="s">
        <v>1393</v>
      </c>
      <c r="B2328" t="s">
        <v>1394</v>
      </c>
      <c r="C2328" t="s">
        <v>1395</v>
      </c>
      <c r="D2328" t="s">
        <v>1396</v>
      </c>
      <c r="E2328" s="9">
        <v>45413</v>
      </c>
      <c r="F2328" s="9">
        <v>45443</v>
      </c>
      <c r="G2328">
        <v>95955622</v>
      </c>
      <c r="H2328">
        <v>4661860</v>
      </c>
      <c r="I2328">
        <v>16868573</v>
      </c>
      <c r="J2328">
        <v>4980530</v>
      </c>
      <c r="K2328">
        <v>6732</v>
      </c>
      <c r="L2328">
        <v>0</v>
      </c>
      <c r="M2328">
        <v>0</v>
      </c>
      <c r="T2328" s="9">
        <v>45108</v>
      </c>
      <c r="U2328" s="9">
        <v>45473</v>
      </c>
      <c r="V2328">
        <f>SUM(POTABLE_NONPOTABLE_API[[#This Row],[RESIDENTIAL_SINGLEFAMILY_GAL]:[OTHER_GAL]])</f>
        <v>122473317</v>
      </c>
      <c r="W2328">
        <f>SUM(POTABLE_NONPOTABLE_API[[#This Row],[NONPOTABLE_DEMAND_RESIDENTIAL_RECYCLED_WATER_GAL]:[NONPOTABLE_DEMAND_NONRESIDENTIAL_METERED_IRRIGATION_GAL]])</f>
        <v>0</v>
      </c>
      <c r="X2328" t="str">
        <f>IFERROR(INDEX(Crosswalk_API!$H$2:$H$527, MATCH(POTABLE_NONPOTABLE_API[[#This Row],[PWSID]], CW_PWSID_LIST, 0)), "")</f>
        <v>No</v>
      </c>
    </row>
    <row r="2329" spans="1:24" x14ac:dyDescent="0.25">
      <c r="A2329" t="s">
        <v>1393</v>
      </c>
      <c r="B2329" t="s">
        <v>1394</v>
      </c>
      <c r="C2329" t="s">
        <v>1395</v>
      </c>
      <c r="D2329" t="s">
        <v>1396</v>
      </c>
      <c r="E2329" s="9">
        <v>45444</v>
      </c>
      <c r="F2329" s="9">
        <v>45473</v>
      </c>
      <c r="G2329">
        <v>130407157</v>
      </c>
      <c r="H2329">
        <v>5721102</v>
      </c>
      <c r="I2329">
        <v>26174339</v>
      </c>
      <c r="J2329">
        <v>6288873</v>
      </c>
      <c r="K2329">
        <v>22442</v>
      </c>
      <c r="L2329">
        <v>0</v>
      </c>
      <c r="M2329">
        <v>0</v>
      </c>
      <c r="T2329" s="9">
        <v>45108</v>
      </c>
      <c r="U2329" s="9">
        <v>45473</v>
      </c>
      <c r="V2329">
        <f>SUM(POTABLE_NONPOTABLE_API[[#This Row],[RESIDENTIAL_SINGLEFAMILY_GAL]:[OTHER_GAL]])</f>
        <v>168613913</v>
      </c>
      <c r="W2329">
        <f>SUM(POTABLE_NONPOTABLE_API[[#This Row],[NONPOTABLE_DEMAND_RESIDENTIAL_RECYCLED_WATER_GAL]:[NONPOTABLE_DEMAND_NONRESIDENTIAL_METERED_IRRIGATION_GAL]])</f>
        <v>0</v>
      </c>
      <c r="X2329" t="str">
        <f>IFERROR(INDEX(Crosswalk_API!$H$2:$H$527, MATCH(POTABLE_NONPOTABLE_API[[#This Row],[PWSID]], CW_PWSID_LIST, 0)), "")</f>
        <v>No</v>
      </c>
    </row>
    <row r="2330" spans="1:24" x14ac:dyDescent="0.25">
      <c r="A2330" t="s">
        <v>1397</v>
      </c>
      <c r="B2330" t="s">
        <v>1398</v>
      </c>
      <c r="C2330" t="s">
        <v>1399</v>
      </c>
      <c r="D2330" t="s">
        <v>1400</v>
      </c>
      <c r="E2330" s="9">
        <v>45108</v>
      </c>
      <c r="F2330" s="9">
        <v>45138</v>
      </c>
      <c r="G2330">
        <v>104822283</v>
      </c>
      <c r="H2330">
        <v>25600584</v>
      </c>
      <c r="I2330">
        <v>45372346</v>
      </c>
      <c r="J2330">
        <v>7684738</v>
      </c>
      <c r="K2330">
        <v>0</v>
      </c>
      <c r="L2330">
        <v>43387</v>
      </c>
      <c r="M2330">
        <v>0</v>
      </c>
      <c r="T2330" s="9">
        <v>45108</v>
      </c>
      <c r="U2330" s="9">
        <v>45473</v>
      </c>
      <c r="V2330">
        <f>SUM(POTABLE_NONPOTABLE_API[[#This Row],[RESIDENTIAL_SINGLEFAMILY_GAL]:[OTHER_GAL]])</f>
        <v>183523338</v>
      </c>
      <c r="W2330">
        <f>SUM(POTABLE_NONPOTABLE_API[[#This Row],[NONPOTABLE_DEMAND_RESIDENTIAL_RECYCLED_WATER_GAL]:[NONPOTABLE_DEMAND_NONRESIDENTIAL_METERED_IRRIGATION_GAL]])</f>
        <v>0</v>
      </c>
      <c r="X2330" t="str">
        <f>IFERROR(INDEX(Crosswalk_API!$H$2:$H$527, MATCH(POTABLE_NONPOTABLE_API[[#This Row],[PWSID]], CW_PWSID_LIST, 0)), "")</f>
        <v>No</v>
      </c>
    </row>
    <row r="2331" spans="1:24" x14ac:dyDescent="0.25">
      <c r="A2331" t="s">
        <v>1397</v>
      </c>
      <c r="B2331" t="s">
        <v>1398</v>
      </c>
      <c r="C2331" t="s">
        <v>1399</v>
      </c>
      <c r="D2331" t="s">
        <v>1400</v>
      </c>
      <c r="E2331" s="9">
        <v>45139</v>
      </c>
      <c r="F2331" s="9">
        <v>45169</v>
      </c>
      <c r="G2331">
        <v>107704527</v>
      </c>
      <c r="H2331">
        <v>29123909</v>
      </c>
      <c r="I2331">
        <v>51572201</v>
      </c>
      <c r="J2331">
        <v>9496520</v>
      </c>
      <c r="K2331">
        <v>0</v>
      </c>
      <c r="L2331">
        <v>36655</v>
      </c>
      <c r="M2331">
        <v>0</v>
      </c>
      <c r="T2331" s="9">
        <v>45108</v>
      </c>
      <c r="U2331" s="9">
        <v>45473</v>
      </c>
      <c r="V2331">
        <f>SUM(POTABLE_NONPOTABLE_API[[#This Row],[RESIDENTIAL_SINGLEFAMILY_GAL]:[OTHER_GAL]])</f>
        <v>197933812</v>
      </c>
      <c r="W2331">
        <f>SUM(POTABLE_NONPOTABLE_API[[#This Row],[NONPOTABLE_DEMAND_RESIDENTIAL_RECYCLED_WATER_GAL]:[NONPOTABLE_DEMAND_NONRESIDENTIAL_METERED_IRRIGATION_GAL]])</f>
        <v>0</v>
      </c>
      <c r="X2331" t="str">
        <f>IFERROR(INDEX(Crosswalk_API!$H$2:$H$527, MATCH(POTABLE_NONPOTABLE_API[[#This Row],[PWSID]], CW_PWSID_LIST, 0)), "")</f>
        <v>No</v>
      </c>
    </row>
    <row r="2332" spans="1:24" x14ac:dyDescent="0.25">
      <c r="A2332" t="s">
        <v>1397</v>
      </c>
      <c r="B2332" t="s">
        <v>1398</v>
      </c>
      <c r="C2332" t="s">
        <v>1399</v>
      </c>
      <c r="D2332" t="s">
        <v>1400</v>
      </c>
      <c r="E2332" s="9">
        <v>45170</v>
      </c>
      <c r="F2332" s="9">
        <v>45199</v>
      </c>
      <c r="G2332">
        <v>98252141.887999997</v>
      </c>
      <c r="H2332">
        <v>24990921.215999998</v>
      </c>
      <c r="I2332">
        <v>44885364.156000003</v>
      </c>
      <c r="J2332">
        <v>9544395.4680000003</v>
      </c>
      <c r="K2332">
        <v>0</v>
      </c>
      <c r="L2332">
        <v>49371.432000000001</v>
      </c>
      <c r="M2332">
        <v>0</v>
      </c>
      <c r="T2332" s="9">
        <v>45108</v>
      </c>
      <c r="U2332" s="9">
        <v>45473</v>
      </c>
      <c r="V2332">
        <f>SUM(POTABLE_NONPOTABLE_API[[#This Row],[RESIDENTIAL_SINGLEFAMILY_GAL]:[OTHER_GAL]])</f>
        <v>177722194.16</v>
      </c>
      <c r="W2332">
        <f>SUM(POTABLE_NONPOTABLE_API[[#This Row],[NONPOTABLE_DEMAND_RESIDENTIAL_RECYCLED_WATER_GAL]:[NONPOTABLE_DEMAND_NONRESIDENTIAL_METERED_IRRIGATION_GAL]])</f>
        <v>0</v>
      </c>
      <c r="X2332" t="str">
        <f>IFERROR(INDEX(Crosswalk_API!$H$2:$H$527, MATCH(POTABLE_NONPOTABLE_API[[#This Row],[PWSID]], CW_PWSID_LIST, 0)), "")</f>
        <v>No</v>
      </c>
    </row>
    <row r="2333" spans="1:24" x14ac:dyDescent="0.25">
      <c r="A2333" t="s">
        <v>1397</v>
      </c>
      <c r="B2333" t="s">
        <v>1398</v>
      </c>
      <c r="C2333" t="s">
        <v>1399</v>
      </c>
      <c r="D2333" t="s">
        <v>1400</v>
      </c>
      <c r="E2333" s="9">
        <v>45200</v>
      </c>
      <c r="F2333" s="9">
        <v>45230</v>
      </c>
      <c r="G2333">
        <v>88500536</v>
      </c>
      <c r="H2333">
        <v>23693051</v>
      </c>
      <c r="I2333">
        <v>42734715</v>
      </c>
      <c r="J2333">
        <v>7651824</v>
      </c>
      <c r="K2333">
        <v>0</v>
      </c>
      <c r="L2333">
        <v>22442</v>
      </c>
      <c r="M2333">
        <v>0</v>
      </c>
      <c r="T2333" s="9">
        <v>45108</v>
      </c>
      <c r="U2333" s="9">
        <v>45473</v>
      </c>
      <c r="V2333">
        <f>SUM(POTABLE_NONPOTABLE_API[[#This Row],[RESIDENTIAL_SINGLEFAMILY_GAL]:[OTHER_GAL]])</f>
        <v>162602568</v>
      </c>
      <c r="W2333">
        <f>SUM(POTABLE_NONPOTABLE_API[[#This Row],[NONPOTABLE_DEMAND_RESIDENTIAL_RECYCLED_WATER_GAL]:[NONPOTABLE_DEMAND_NONRESIDENTIAL_METERED_IRRIGATION_GAL]])</f>
        <v>0</v>
      </c>
      <c r="X2333" t="str">
        <f>IFERROR(INDEX(Crosswalk_API!$H$2:$H$527, MATCH(POTABLE_NONPOTABLE_API[[#This Row],[PWSID]], CW_PWSID_LIST, 0)), "")</f>
        <v>No</v>
      </c>
    </row>
    <row r="2334" spans="1:24" x14ac:dyDescent="0.25">
      <c r="A2334" t="s">
        <v>1397</v>
      </c>
      <c r="B2334" t="s">
        <v>1398</v>
      </c>
      <c r="C2334" t="s">
        <v>1399</v>
      </c>
      <c r="D2334" t="s">
        <v>1400</v>
      </c>
      <c r="E2334" s="9">
        <v>45231</v>
      </c>
      <c r="F2334" s="9">
        <v>45260</v>
      </c>
      <c r="G2334">
        <v>97421804.159999996</v>
      </c>
      <c r="H2334">
        <v>28349674.690000001</v>
      </c>
      <c r="I2334">
        <v>41323888.579999998</v>
      </c>
      <c r="J2334">
        <v>7458078.4400000004</v>
      </c>
      <c r="K2334">
        <v>0</v>
      </c>
      <c r="L2334">
        <v>11968.83</v>
      </c>
      <c r="M2334">
        <v>0</v>
      </c>
      <c r="T2334" s="9">
        <v>45108</v>
      </c>
      <c r="U2334" s="9">
        <v>45473</v>
      </c>
      <c r="V2334">
        <f>SUM(POTABLE_NONPOTABLE_API[[#This Row],[RESIDENTIAL_SINGLEFAMILY_GAL]:[OTHER_GAL]])</f>
        <v>174565414.70000002</v>
      </c>
      <c r="W2334">
        <f>SUM(POTABLE_NONPOTABLE_API[[#This Row],[NONPOTABLE_DEMAND_RESIDENTIAL_RECYCLED_WATER_GAL]:[NONPOTABLE_DEMAND_NONRESIDENTIAL_METERED_IRRIGATION_GAL]])</f>
        <v>0</v>
      </c>
      <c r="X2334" t="str">
        <f>IFERROR(INDEX(Crosswalk_API!$H$2:$H$527, MATCH(POTABLE_NONPOTABLE_API[[#This Row],[PWSID]], CW_PWSID_LIST, 0)), "")</f>
        <v>No</v>
      </c>
    </row>
    <row r="2335" spans="1:24" x14ac:dyDescent="0.25">
      <c r="A2335" t="s">
        <v>1397</v>
      </c>
      <c r="B2335" t="s">
        <v>1398</v>
      </c>
      <c r="C2335" t="s">
        <v>1399</v>
      </c>
      <c r="D2335" t="s">
        <v>1400</v>
      </c>
      <c r="E2335" s="9">
        <v>45261</v>
      </c>
      <c r="F2335" s="9">
        <v>45291</v>
      </c>
      <c r="G2335">
        <v>85743216</v>
      </c>
      <c r="H2335">
        <v>23512770</v>
      </c>
      <c r="I2335">
        <v>34981156</v>
      </c>
      <c r="J2335">
        <v>7303232</v>
      </c>
      <c r="K2335">
        <v>0</v>
      </c>
      <c r="L2335">
        <v>17205</v>
      </c>
      <c r="M2335">
        <v>0</v>
      </c>
      <c r="T2335" s="9">
        <v>45108</v>
      </c>
      <c r="U2335" s="9">
        <v>45473</v>
      </c>
      <c r="V2335">
        <f>SUM(POTABLE_NONPOTABLE_API[[#This Row],[RESIDENTIAL_SINGLEFAMILY_GAL]:[OTHER_GAL]])</f>
        <v>151557579</v>
      </c>
      <c r="W2335">
        <f>SUM(POTABLE_NONPOTABLE_API[[#This Row],[NONPOTABLE_DEMAND_RESIDENTIAL_RECYCLED_WATER_GAL]:[NONPOTABLE_DEMAND_NONRESIDENTIAL_METERED_IRRIGATION_GAL]])</f>
        <v>0</v>
      </c>
      <c r="X2335" t="str">
        <f>IFERROR(INDEX(Crosswalk_API!$H$2:$H$527, MATCH(POTABLE_NONPOTABLE_API[[#This Row],[PWSID]], CW_PWSID_LIST, 0)), "")</f>
        <v>No</v>
      </c>
    </row>
    <row r="2336" spans="1:24" x14ac:dyDescent="0.25">
      <c r="A2336" t="s">
        <v>1397</v>
      </c>
      <c r="B2336" t="s">
        <v>1398</v>
      </c>
      <c r="C2336" t="s">
        <v>1399</v>
      </c>
      <c r="D2336" t="s">
        <v>1400</v>
      </c>
      <c r="E2336" s="9">
        <v>45292</v>
      </c>
      <c r="F2336" s="9">
        <v>45322</v>
      </c>
      <c r="G2336">
        <v>76795766</v>
      </c>
      <c r="H2336">
        <v>24092511</v>
      </c>
      <c r="I2336">
        <v>22864209</v>
      </c>
      <c r="J2336">
        <v>3756717</v>
      </c>
      <c r="K2336">
        <v>0</v>
      </c>
      <c r="L2336">
        <v>38899</v>
      </c>
      <c r="M2336">
        <v>0</v>
      </c>
      <c r="T2336" s="9">
        <v>45108</v>
      </c>
      <c r="U2336" s="9">
        <v>45473</v>
      </c>
      <c r="V2336">
        <f>SUM(POTABLE_NONPOTABLE_API[[#This Row],[RESIDENTIAL_SINGLEFAMILY_GAL]:[OTHER_GAL]])</f>
        <v>127548102</v>
      </c>
      <c r="W2336">
        <f>SUM(POTABLE_NONPOTABLE_API[[#This Row],[NONPOTABLE_DEMAND_RESIDENTIAL_RECYCLED_WATER_GAL]:[NONPOTABLE_DEMAND_NONRESIDENTIAL_METERED_IRRIGATION_GAL]])</f>
        <v>0</v>
      </c>
      <c r="X2336" t="str">
        <f>IFERROR(INDEX(Crosswalk_API!$H$2:$H$527, MATCH(POTABLE_NONPOTABLE_API[[#This Row],[PWSID]], CW_PWSID_LIST, 0)), "")</f>
        <v>No</v>
      </c>
    </row>
    <row r="2337" spans="1:24" x14ac:dyDescent="0.25">
      <c r="A2337" t="s">
        <v>1397</v>
      </c>
      <c r="B2337" t="s">
        <v>1398</v>
      </c>
      <c r="C2337" t="s">
        <v>1399</v>
      </c>
      <c r="D2337" t="s">
        <v>1400</v>
      </c>
      <c r="E2337" s="9">
        <v>45323</v>
      </c>
      <c r="F2337" s="9">
        <v>45351</v>
      </c>
      <c r="G2337">
        <v>68043558</v>
      </c>
      <c r="H2337">
        <v>21716698</v>
      </c>
      <c r="I2337">
        <v>18654921</v>
      </c>
      <c r="J2337">
        <v>1226805</v>
      </c>
      <c r="K2337">
        <v>0</v>
      </c>
      <c r="L2337">
        <v>42639</v>
      </c>
      <c r="M2337">
        <v>0</v>
      </c>
      <c r="T2337" s="9">
        <v>45108</v>
      </c>
      <c r="U2337" s="9">
        <v>45473</v>
      </c>
      <c r="V2337">
        <f>SUM(POTABLE_NONPOTABLE_API[[#This Row],[RESIDENTIAL_SINGLEFAMILY_GAL]:[OTHER_GAL]])</f>
        <v>109684621</v>
      </c>
      <c r="W2337">
        <f>SUM(POTABLE_NONPOTABLE_API[[#This Row],[NONPOTABLE_DEMAND_RESIDENTIAL_RECYCLED_WATER_GAL]:[NONPOTABLE_DEMAND_NONRESIDENTIAL_METERED_IRRIGATION_GAL]])</f>
        <v>0</v>
      </c>
      <c r="X2337" t="str">
        <f>IFERROR(INDEX(Crosswalk_API!$H$2:$H$527, MATCH(POTABLE_NONPOTABLE_API[[#This Row],[PWSID]], CW_PWSID_LIST, 0)), "")</f>
        <v>No</v>
      </c>
    </row>
    <row r="2338" spans="1:24" x14ac:dyDescent="0.25">
      <c r="A2338" t="s">
        <v>1397</v>
      </c>
      <c r="B2338" t="s">
        <v>1398</v>
      </c>
      <c r="C2338" t="s">
        <v>1399</v>
      </c>
      <c r="D2338" t="s">
        <v>1400</v>
      </c>
      <c r="E2338" s="9">
        <v>45352</v>
      </c>
      <c r="F2338" s="9">
        <v>45382</v>
      </c>
      <c r="G2338">
        <v>59669864</v>
      </c>
      <c r="H2338">
        <v>24251846</v>
      </c>
      <c r="I2338">
        <v>14191294</v>
      </c>
      <c r="J2338">
        <v>1429527</v>
      </c>
      <c r="K2338">
        <v>0</v>
      </c>
      <c r="L2338">
        <v>50868</v>
      </c>
      <c r="M2338">
        <v>0</v>
      </c>
      <c r="T2338" s="9">
        <v>45108</v>
      </c>
      <c r="U2338" s="9">
        <v>45473</v>
      </c>
      <c r="V2338">
        <f>SUM(POTABLE_NONPOTABLE_API[[#This Row],[RESIDENTIAL_SINGLEFAMILY_GAL]:[OTHER_GAL]])</f>
        <v>99593399</v>
      </c>
      <c r="W2338">
        <f>SUM(POTABLE_NONPOTABLE_API[[#This Row],[NONPOTABLE_DEMAND_RESIDENTIAL_RECYCLED_WATER_GAL]:[NONPOTABLE_DEMAND_NONRESIDENTIAL_METERED_IRRIGATION_GAL]])</f>
        <v>0</v>
      </c>
      <c r="X2338" t="str">
        <f>IFERROR(INDEX(Crosswalk_API!$H$2:$H$527, MATCH(POTABLE_NONPOTABLE_API[[#This Row],[PWSID]], CW_PWSID_LIST, 0)), "")</f>
        <v>No</v>
      </c>
    </row>
    <row r="2339" spans="1:24" x14ac:dyDescent="0.25">
      <c r="A2339" t="s">
        <v>1397</v>
      </c>
      <c r="B2339" t="s">
        <v>1398</v>
      </c>
      <c r="C2339" t="s">
        <v>1399</v>
      </c>
      <c r="D2339" t="s">
        <v>1400</v>
      </c>
      <c r="E2339" s="9">
        <v>45383</v>
      </c>
      <c r="F2339" s="9">
        <v>45412</v>
      </c>
      <c r="G2339">
        <v>66308077</v>
      </c>
      <c r="H2339">
        <v>15053798</v>
      </c>
      <c r="I2339">
        <v>21240188</v>
      </c>
      <c r="J2339">
        <v>2882244</v>
      </c>
      <c r="K2339">
        <v>0</v>
      </c>
      <c r="L2339">
        <v>17953</v>
      </c>
      <c r="M2339">
        <v>0</v>
      </c>
      <c r="T2339" s="9">
        <v>45108</v>
      </c>
      <c r="U2339" s="9">
        <v>45473</v>
      </c>
      <c r="V2339">
        <f>SUM(POTABLE_NONPOTABLE_API[[#This Row],[RESIDENTIAL_SINGLEFAMILY_GAL]:[OTHER_GAL]])</f>
        <v>105502260</v>
      </c>
      <c r="W2339">
        <f>SUM(POTABLE_NONPOTABLE_API[[#This Row],[NONPOTABLE_DEMAND_RESIDENTIAL_RECYCLED_WATER_GAL]:[NONPOTABLE_DEMAND_NONRESIDENTIAL_METERED_IRRIGATION_GAL]])</f>
        <v>0</v>
      </c>
      <c r="X2339" t="str">
        <f>IFERROR(INDEX(Crosswalk_API!$H$2:$H$527, MATCH(POTABLE_NONPOTABLE_API[[#This Row],[PWSID]], CW_PWSID_LIST, 0)), "")</f>
        <v>No</v>
      </c>
    </row>
    <row r="2340" spans="1:24" x14ac:dyDescent="0.25">
      <c r="A2340" t="s">
        <v>1397</v>
      </c>
      <c r="B2340" t="s">
        <v>1398</v>
      </c>
      <c r="C2340" t="s">
        <v>1399</v>
      </c>
      <c r="D2340" t="s">
        <v>1400</v>
      </c>
      <c r="E2340" s="9">
        <v>45413</v>
      </c>
      <c r="F2340" s="9">
        <v>45443</v>
      </c>
      <c r="G2340">
        <v>83658395</v>
      </c>
      <c r="H2340">
        <v>27652490</v>
      </c>
      <c r="I2340">
        <v>31169831</v>
      </c>
      <c r="J2340">
        <v>5493694</v>
      </c>
      <c r="K2340">
        <v>0</v>
      </c>
      <c r="L2340">
        <v>31418</v>
      </c>
      <c r="M2340">
        <v>0</v>
      </c>
      <c r="T2340" s="9">
        <v>45108</v>
      </c>
      <c r="U2340" s="9">
        <v>45473</v>
      </c>
      <c r="V2340">
        <f>SUM(POTABLE_NONPOTABLE_API[[#This Row],[RESIDENTIAL_SINGLEFAMILY_GAL]:[OTHER_GAL]])</f>
        <v>148005828</v>
      </c>
      <c r="W2340">
        <f>SUM(POTABLE_NONPOTABLE_API[[#This Row],[NONPOTABLE_DEMAND_RESIDENTIAL_RECYCLED_WATER_GAL]:[NONPOTABLE_DEMAND_NONRESIDENTIAL_METERED_IRRIGATION_GAL]])</f>
        <v>0</v>
      </c>
      <c r="X2340" t="str">
        <f>IFERROR(INDEX(Crosswalk_API!$H$2:$H$527, MATCH(POTABLE_NONPOTABLE_API[[#This Row],[PWSID]], CW_PWSID_LIST, 0)), "")</f>
        <v>No</v>
      </c>
    </row>
    <row r="2341" spans="1:24" x14ac:dyDescent="0.25">
      <c r="A2341" t="s">
        <v>1397</v>
      </c>
      <c r="B2341" t="s">
        <v>1398</v>
      </c>
      <c r="C2341" t="s">
        <v>1399</v>
      </c>
      <c r="D2341" t="s">
        <v>1400</v>
      </c>
      <c r="E2341" s="9">
        <v>45444</v>
      </c>
      <c r="F2341" s="9">
        <v>45473</v>
      </c>
      <c r="G2341">
        <v>96185274</v>
      </c>
      <c r="H2341">
        <v>24658038</v>
      </c>
      <c r="I2341">
        <v>43147639</v>
      </c>
      <c r="J2341">
        <v>7654816</v>
      </c>
      <c r="K2341">
        <v>0</v>
      </c>
      <c r="L2341">
        <v>11969</v>
      </c>
      <c r="M2341">
        <v>0</v>
      </c>
      <c r="T2341" s="9">
        <v>45108</v>
      </c>
      <c r="U2341" s="9">
        <v>45473</v>
      </c>
      <c r="V2341">
        <f>SUM(POTABLE_NONPOTABLE_API[[#This Row],[RESIDENTIAL_SINGLEFAMILY_GAL]:[OTHER_GAL]])</f>
        <v>171657736</v>
      </c>
      <c r="W2341">
        <f>SUM(POTABLE_NONPOTABLE_API[[#This Row],[NONPOTABLE_DEMAND_RESIDENTIAL_RECYCLED_WATER_GAL]:[NONPOTABLE_DEMAND_NONRESIDENTIAL_METERED_IRRIGATION_GAL]])</f>
        <v>0</v>
      </c>
      <c r="X2341" t="str">
        <f>IFERROR(INDEX(Crosswalk_API!$H$2:$H$527, MATCH(POTABLE_NONPOTABLE_API[[#This Row],[PWSID]], CW_PWSID_LIST, 0)), "")</f>
        <v>No</v>
      </c>
    </row>
    <row r="2342" spans="1:24" x14ac:dyDescent="0.25">
      <c r="A2342" t="s">
        <v>1401</v>
      </c>
      <c r="B2342" t="s">
        <v>1402</v>
      </c>
      <c r="C2342" t="s">
        <v>1403</v>
      </c>
      <c r="D2342" t="s">
        <v>1404</v>
      </c>
      <c r="E2342" s="9">
        <v>45108</v>
      </c>
      <c r="F2342" s="9">
        <v>45138</v>
      </c>
      <c r="G2342">
        <v>168899669</v>
      </c>
      <c r="H2342">
        <v>25068719</v>
      </c>
      <c r="I2342">
        <v>90372162</v>
      </c>
      <c r="J2342">
        <v>9645382</v>
      </c>
      <c r="K2342">
        <v>2244</v>
      </c>
      <c r="L2342">
        <v>15709</v>
      </c>
      <c r="M2342">
        <v>0</v>
      </c>
      <c r="T2342" s="9">
        <v>45108</v>
      </c>
      <c r="U2342" s="9">
        <v>45473</v>
      </c>
      <c r="V2342">
        <f>SUM(POTABLE_NONPOTABLE_API[[#This Row],[RESIDENTIAL_SINGLEFAMILY_GAL]:[OTHER_GAL]])</f>
        <v>294003885</v>
      </c>
      <c r="W2342">
        <f>SUM(POTABLE_NONPOTABLE_API[[#This Row],[NONPOTABLE_DEMAND_RESIDENTIAL_RECYCLED_WATER_GAL]:[NONPOTABLE_DEMAND_NONRESIDENTIAL_METERED_IRRIGATION_GAL]])</f>
        <v>0</v>
      </c>
      <c r="X2342" t="str">
        <f>IFERROR(INDEX(Crosswalk_API!$H$2:$H$527, MATCH(POTABLE_NONPOTABLE_API[[#This Row],[PWSID]], CW_PWSID_LIST, 0)), "")</f>
        <v>No</v>
      </c>
    </row>
    <row r="2343" spans="1:24" x14ac:dyDescent="0.25">
      <c r="A2343" t="s">
        <v>1401</v>
      </c>
      <c r="B2343" t="s">
        <v>1402</v>
      </c>
      <c r="C2343" t="s">
        <v>1403</v>
      </c>
      <c r="D2343" t="s">
        <v>1404</v>
      </c>
      <c r="E2343" s="9">
        <v>45139</v>
      </c>
      <c r="F2343" s="9">
        <v>45169</v>
      </c>
      <c r="G2343">
        <v>169662682</v>
      </c>
      <c r="H2343">
        <v>24670755</v>
      </c>
      <c r="I2343">
        <v>88328484</v>
      </c>
      <c r="J2343">
        <v>33721436</v>
      </c>
      <c r="K2343">
        <v>748</v>
      </c>
      <c r="L2343">
        <v>12717</v>
      </c>
      <c r="M2343">
        <v>0</v>
      </c>
      <c r="T2343" s="9">
        <v>45108</v>
      </c>
      <c r="U2343" s="9">
        <v>45473</v>
      </c>
      <c r="V2343">
        <f>SUM(POTABLE_NONPOTABLE_API[[#This Row],[RESIDENTIAL_SINGLEFAMILY_GAL]:[OTHER_GAL]])</f>
        <v>316396822</v>
      </c>
      <c r="W2343">
        <f>SUM(POTABLE_NONPOTABLE_API[[#This Row],[NONPOTABLE_DEMAND_RESIDENTIAL_RECYCLED_WATER_GAL]:[NONPOTABLE_DEMAND_NONRESIDENTIAL_METERED_IRRIGATION_GAL]])</f>
        <v>0</v>
      </c>
      <c r="X2343" t="str">
        <f>IFERROR(INDEX(Crosswalk_API!$H$2:$H$527, MATCH(POTABLE_NONPOTABLE_API[[#This Row],[PWSID]], CW_PWSID_LIST, 0)), "")</f>
        <v>No</v>
      </c>
    </row>
    <row r="2344" spans="1:24" x14ac:dyDescent="0.25">
      <c r="A2344" t="s">
        <v>1401</v>
      </c>
      <c r="B2344" t="s">
        <v>1402</v>
      </c>
      <c r="C2344" t="s">
        <v>1403</v>
      </c>
      <c r="D2344" t="s">
        <v>1404</v>
      </c>
      <c r="E2344" s="9">
        <v>45170</v>
      </c>
      <c r="F2344" s="9">
        <v>45199</v>
      </c>
      <c r="G2344">
        <v>169050027</v>
      </c>
      <c r="H2344">
        <v>27488667</v>
      </c>
      <c r="I2344">
        <v>94612121</v>
      </c>
      <c r="J2344">
        <v>22784916</v>
      </c>
      <c r="K2344">
        <v>0</v>
      </c>
      <c r="L2344">
        <v>17205</v>
      </c>
      <c r="M2344">
        <v>0</v>
      </c>
      <c r="T2344" s="9">
        <v>45108</v>
      </c>
      <c r="U2344" s="9">
        <v>45473</v>
      </c>
      <c r="V2344">
        <f>SUM(POTABLE_NONPOTABLE_API[[#This Row],[RESIDENTIAL_SINGLEFAMILY_GAL]:[OTHER_GAL]])</f>
        <v>313952936</v>
      </c>
      <c r="W2344">
        <f>SUM(POTABLE_NONPOTABLE_API[[#This Row],[NONPOTABLE_DEMAND_RESIDENTIAL_RECYCLED_WATER_GAL]:[NONPOTABLE_DEMAND_NONRESIDENTIAL_METERED_IRRIGATION_GAL]])</f>
        <v>0</v>
      </c>
      <c r="X2344" t="str">
        <f>IFERROR(INDEX(Crosswalk_API!$H$2:$H$527, MATCH(POTABLE_NONPOTABLE_API[[#This Row],[PWSID]], CW_PWSID_LIST, 0)), "")</f>
        <v>No</v>
      </c>
    </row>
    <row r="2345" spans="1:24" x14ac:dyDescent="0.25">
      <c r="A2345" t="s">
        <v>1401</v>
      </c>
      <c r="B2345" t="s">
        <v>1402</v>
      </c>
      <c r="C2345" t="s">
        <v>1403</v>
      </c>
      <c r="D2345" t="s">
        <v>1404</v>
      </c>
      <c r="E2345" s="9">
        <v>45200</v>
      </c>
      <c r="F2345" s="9">
        <v>45230</v>
      </c>
      <c r="G2345">
        <v>139765288</v>
      </c>
      <c r="H2345">
        <v>24346100</v>
      </c>
      <c r="I2345">
        <v>69651870</v>
      </c>
      <c r="J2345">
        <v>15465975</v>
      </c>
      <c r="K2345">
        <v>748</v>
      </c>
      <c r="L2345">
        <v>13465</v>
      </c>
      <c r="M2345">
        <v>0</v>
      </c>
      <c r="T2345" s="9">
        <v>45108</v>
      </c>
      <c r="U2345" s="9">
        <v>45473</v>
      </c>
      <c r="V2345">
        <f>SUM(POTABLE_NONPOTABLE_API[[#This Row],[RESIDENTIAL_SINGLEFAMILY_GAL]:[OTHER_GAL]])</f>
        <v>249243446</v>
      </c>
      <c r="W2345">
        <f>SUM(POTABLE_NONPOTABLE_API[[#This Row],[NONPOTABLE_DEMAND_RESIDENTIAL_RECYCLED_WATER_GAL]:[NONPOTABLE_DEMAND_NONRESIDENTIAL_METERED_IRRIGATION_GAL]])</f>
        <v>0</v>
      </c>
      <c r="X2345" t="str">
        <f>IFERROR(INDEX(Crosswalk_API!$H$2:$H$527, MATCH(POTABLE_NONPOTABLE_API[[#This Row],[PWSID]], CW_PWSID_LIST, 0)), "")</f>
        <v>No</v>
      </c>
    </row>
    <row r="2346" spans="1:24" x14ac:dyDescent="0.25">
      <c r="A2346" t="s">
        <v>1401</v>
      </c>
      <c r="B2346" t="s">
        <v>1402</v>
      </c>
      <c r="C2346" t="s">
        <v>1403</v>
      </c>
      <c r="D2346" t="s">
        <v>1404</v>
      </c>
      <c r="E2346" s="9">
        <v>45231</v>
      </c>
      <c r="F2346" s="9">
        <v>45260</v>
      </c>
      <c r="G2346">
        <v>144411439</v>
      </c>
      <c r="H2346">
        <v>23561394</v>
      </c>
      <c r="I2346">
        <v>60946041</v>
      </c>
      <c r="J2346">
        <v>16711482</v>
      </c>
      <c r="K2346">
        <v>0</v>
      </c>
      <c r="L2346">
        <v>16457</v>
      </c>
      <c r="M2346">
        <v>0</v>
      </c>
      <c r="T2346" s="9">
        <v>45108</v>
      </c>
      <c r="U2346" s="9">
        <v>45473</v>
      </c>
      <c r="V2346">
        <f>SUM(POTABLE_NONPOTABLE_API[[#This Row],[RESIDENTIAL_SINGLEFAMILY_GAL]:[OTHER_GAL]])</f>
        <v>245646813</v>
      </c>
      <c r="W2346">
        <f>SUM(POTABLE_NONPOTABLE_API[[#This Row],[NONPOTABLE_DEMAND_RESIDENTIAL_RECYCLED_WATER_GAL]:[NONPOTABLE_DEMAND_NONRESIDENTIAL_METERED_IRRIGATION_GAL]])</f>
        <v>0</v>
      </c>
      <c r="X2346" t="str">
        <f>IFERROR(INDEX(Crosswalk_API!$H$2:$H$527, MATCH(POTABLE_NONPOTABLE_API[[#This Row],[PWSID]], CW_PWSID_LIST, 0)), "")</f>
        <v>No</v>
      </c>
    </row>
    <row r="2347" spans="1:24" x14ac:dyDescent="0.25">
      <c r="A2347" t="s">
        <v>1401</v>
      </c>
      <c r="B2347" t="s">
        <v>1402</v>
      </c>
      <c r="C2347" t="s">
        <v>1403</v>
      </c>
      <c r="D2347" t="s">
        <v>1404</v>
      </c>
      <c r="E2347" s="9">
        <v>45261</v>
      </c>
      <c r="F2347" s="9">
        <v>45291</v>
      </c>
      <c r="G2347">
        <v>127241401</v>
      </c>
      <c r="H2347">
        <v>21276095</v>
      </c>
      <c r="I2347">
        <v>49932471</v>
      </c>
      <c r="J2347">
        <v>13540489</v>
      </c>
      <c r="K2347">
        <v>0</v>
      </c>
      <c r="L2347">
        <v>25434</v>
      </c>
      <c r="M2347">
        <v>0</v>
      </c>
      <c r="T2347" s="9">
        <v>45108</v>
      </c>
      <c r="U2347" s="9">
        <v>45473</v>
      </c>
      <c r="V2347">
        <f>SUM(POTABLE_NONPOTABLE_API[[#This Row],[RESIDENTIAL_SINGLEFAMILY_GAL]:[OTHER_GAL]])</f>
        <v>212015890</v>
      </c>
      <c r="W2347">
        <f>SUM(POTABLE_NONPOTABLE_API[[#This Row],[NONPOTABLE_DEMAND_RESIDENTIAL_RECYCLED_WATER_GAL]:[NONPOTABLE_DEMAND_NONRESIDENTIAL_METERED_IRRIGATION_GAL]])</f>
        <v>0</v>
      </c>
      <c r="X2347" t="str">
        <f>IFERROR(INDEX(Crosswalk_API!$H$2:$H$527, MATCH(POTABLE_NONPOTABLE_API[[#This Row],[PWSID]], CW_PWSID_LIST, 0)), "")</f>
        <v>No</v>
      </c>
    </row>
    <row r="2348" spans="1:24" x14ac:dyDescent="0.25">
      <c r="A2348" t="s">
        <v>1401</v>
      </c>
      <c r="B2348" t="s">
        <v>1402</v>
      </c>
      <c r="C2348" t="s">
        <v>1403</v>
      </c>
      <c r="D2348" t="s">
        <v>1404</v>
      </c>
      <c r="E2348" s="9">
        <v>45292</v>
      </c>
      <c r="F2348" s="9">
        <v>45322</v>
      </c>
      <c r="G2348">
        <v>109025587</v>
      </c>
      <c r="H2348">
        <v>17109445</v>
      </c>
      <c r="I2348">
        <v>39410372</v>
      </c>
      <c r="J2348">
        <v>15902837</v>
      </c>
      <c r="K2348">
        <v>0</v>
      </c>
      <c r="L2348">
        <v>19449</v>
      </c>
      <c r="M2348">
        <v>0</v>
      </c>
      <c r="T2348" s="9">
        <v>45108</v>
      </c>
      <c r="U2348" s="9">
        <v>45473</v>
      </c>
      <c r="V2348">
        <f>SUM(POTABLE_NONPOTABLE_API[[#This Row],[RESIDENTIAL_SINGLEFAMILY_GAL]:[OTHER_GAL]])</f>
        <v>181467690</v>
      </c>
      <c r="W2348">
        <f>SUM(POTABLE_NONPOTABLE_API[[#This Row],[NONPOTABLE_DEMAND_RESIDENTIAL_RECYCLED_WATER_GAL]:[NONPOTABLE_DEMAND_NONRESIDENTIAL_METERED_IRRIGATION_GAL]])</f>
        <v>0</v>
      </c>
      <c r="X2348" t="str">
        <f>IFERROR(INDEX(Crosswalk_API!$H$2:$H$527, MATCH(POTABLE_NONPOTABLE_API[[#This Row],[PWSID]], CW_PWSID_LIST, 0)), "")</f>
        <v>No</v>
      </c>
    </row>
    <row r="2349" spans="1:24" x14ac:dyDescent="0.25">
      <c r="A2349" t="s">
        <v>1401</v>
      </c>
      <c r="B2349" t="s">
        <v>1402</v>
      </c>
      <c r="C2349" t="s">
        <v>1403</v>
      </c>
      <c r="D2349" t="s">
        <v>1404</v>
      </c>
      <c r="E2349" s="9">
        <v>45323</v>
      </c>
      <c r="F2349" s="9">
        <v>45351</v>
      </c>
      <c r="G2349">
        <v>92992588</v>
      </c>
      <c r="H2349">
        <v>17873206</v>
      </c>
      <c r="I2349">
        <v>34283223</v>
      </c>
      <c r="J2349">
        <v>3776166</v>
      </c>
      <c r="K2349">
        <v>0</v>
      </c>
      <c r="L2349">
        <v>16457</v>
      </c>
      <c r="M2349">
        <v>0</v>
      </c>
      <c r="T2349" s="9">
        <v>45108</v>
      </c>
      <c r="U2349" s="9">
        <v>45473</v>
      </c>
      <c r="V2349">
        <f>SUM(POTABLE_NONPOTABLE_API[[#This Row],[RESIDENTIAL_SINGLEFAMILY_GAL]:[OTHER_GAL]])</f>
        <v>148941640</v>
      </c>
      <c r="W2349">
        <f>SUM(POTABLE_NONPOTABLE_API[[#This Row],[NONPOTABLE_DEMAND_RESIDENTIAL_RECYCLED_WATER_GAL]:[NONPOTABLE_DEMAND_NONRESIDENTIAL_METERED_IRRIGATION_GAL]])</f>
        <v>0</v>
      </c>
      <c r="X2349" t="str">
        <f>IFERROR(INDEX(Crosswalk_API!$H$2:$H$527, MATCH(POTABLE_NONPOTABLE_API[[#This Row],[PWSID]], CW_PWSID_LIST, 0)), "")</f>
        <v>No</v>
      </c>
    </row>
    <row r="2350" spans="1:24" x14ac:dyDescent="0.25">
      <c r="A2350" t="s">
        <v>1401</v>
      </c>
      <c r="B2350" t="s">
        <v>1402</v>
      </c>
      <c r="C2350" t="s">
        <v>1403</v>
      </c>
      <c r="D2350" t="s">
        <v>1404</v>
      </c>
      <c r="E2350" s="9">
        <v>45352</v>
      </c>
      <c r="F2350" s="9">
        <v>45382</v>
      </c>
      <c r="G2350">
        <v>81428452.409999996</v>
      </c>
      <c r="H2350">
        <v>16561871.279999999</v>
      </c>
      <c r="I2350">
        <v>27904583.760000002</v>
      </c>
      <c r="J2350">
        <v>-7232914.7879999997</v>
      </c>
      <c r="K2350">
        <v>0</v>
      </c>
      <c r="L2350">
        <v>10472.727999999999</v>
      </c>
      <c r="M2350">
        <v>0</v>
      </c>
      <c r="T2350" s="9">
        <v>45108</v>
      </c>
      <c r="U2350" s="9">
        <v>45473</v>
      </c>
      <c r="V2350">
        <f>SUM(POTABLE_NONPOTABLE_API[[#This Row],[RESIDENTIAL_SINGLEFAMILY_GAL]:[OTHER_GAL]])</f>
        <v>118672465.39</v>
      </c>
      <c r="W2350">
        <f>SUM(POTABLE_NONPOTABLE_API[[#This Row],[NONPOTABLE_DEMAND_RESIDENTIAL_RECYCLED_WATER_GAL]:[NONPOTABLE_DEMAND_NONRESIDENTIAL_METERED_IRRIGATION_GAL]])</f>
        <v>0</v>
      </c>
      <c r="X2350" t="str">
        <f>IFERROR(INDEX(Crosswalk_API!$H$2:$H$527, MATCH(POTABLE_NONPOTABLE_API[[#This Row],[PWSID]], CW_PWSID_LIST, 0)), "")</f>
        <v>No</v>
      </c>
    </row>
    <row r="2351" spans="1:24" x14ac:dyDescent="0.25">
      <c r="A2351" t="s">
        <v>1401</v>
      </c>
      <c r="B2351" t="s">
        <v>1402</v>
      </c>
      <c r="C2351" t="s">
        <v>1403</v>
      </c>
      <c r="D2351" t="s">
        <v>1404</v>
      </c>
      <c r="E2351" s="9">
        <v>45383</v>
      </c>
      <c r="F2351" s="9">
        <v>45412</v>
      </c>
      <c r="G2351">
        <v>90407321</v>
      </c>
      <c r="H2351">
        <v>16069653</v>
      </c>
      <c r="I2351">
        <v>30320044</v>
      </c>
      <c r="J2351">
        <v>6036032</v>
      </c>
      <c r="K2351">
        <v>0</v>
      </c>
      <c r="L2351">
        <v>14213</v>
      </c>
      <c r="M2351">
        <v>0</v>
      </c>
      <c r="T2351" s="9">
        <v>45108</v>
      </c>
      <c r="U2351" s="9">
        <v>45473</v>
      </c>
      <c r="V2351">
        <f>SUM(POTABLE_NONPOTABLE_API[[#This Row],[RESIDENTIAL_SINGLEFAMILY_GAL]:[OTHER_GAL]])</f>
        <v>142847263</v>
      </c>
      <c r="W2351">
        <f>SUM(POTABLE_NONPOTABLE_API[[#This Row],[NONPOTABLE_DEMAND_RESIDENTIAL_RECYCLED_WATER_GAL]:[NONPOTABLE_DEMAND_NONRESIDENTIAL_METERED_IRRIGATION_GAL]])</f>
        <v>0</v>
      </c>
      <c r="X2351" t="str">
        <f>IFERROR(INDEX(Crosswalk_API!$H$2:$H$527, MATCH(POTABLE_NONPOTABLE_API[[#This Row],[PWSID]], CW_PWSID_LIST, 0)), "")</f>
        <v>No</v>
      </c>
    </row>
    <row r="2352" spans="1:24" x14ac:dyDescent="0.25">
      <c r="A2352" t="s">
        <v>1401</v>
      </c>
      <c r="B2352" t="s">
        <v>1402</v>
      </c>
      <c r="C2352" t="s">
        <v>1403</v>
      </c>
      <c r="D2352" t="s">
        <v>1404</v>
      </c>
      <c r="E2352" s="9">
        <v>45413</v>
      </c>
      <c r="F2352" s="9">
        <v>45443</v>
      </c>
      <c r="G2352">
        <v>119934429</v>
      </c>
      <c r="H2352">
        <v>22102692</v>
      </c>
      <c r="I2352">
        <v>51566217</v>
      </c>
      <c r="J2352">
        <v>11841663</v>
      </c>
      <c r="K2352">
        <v>0</v>
      </c>
      <c r="L2352">
        <v>15709</v>
      </c>
      <c r="M2352">
        <v>0</v>
      </c>
      <c r="T2352" s="9">
        <v>45108</v>
      </c>
      <c r="U2352" s="9">
        <v>45473</v>
      </c>
      <c r="V2352">
        <f>SUM(POTABLE_NONPOTABLE_API[[#This Row],[RESIDENTIAL_SINGLEFAMILY_GAL]:[OTHER_GAL]])</f>
        <v>205460710</v>
      </c>
      <c r="W2352">
        <f>SUM(POTABLE_NONPOTABLE_API[[#This Row],[NONPOTABLE_DEMAND_RESIDENTIAL_RECYCLED_WATER_GAL]:[NONPOTABLE_DEMAND_NONRESIDENTIAL_METERED_IRRIGATION_GAL]])</f>
        <v>0</v>
      </c>
      <c r="X2352" t="str">
        <f>IFERROR(INDEX(Crosswalk_API!$H$2:$H$527, MATCH(POTABLE_NONPOTABLE_API[[#This Row],[PWSID]], CW_PWSID_LIST, 0)), "")</f>
        <v>No</v>
      </c>
    </row>
    <row r="2353" spans="1:24" x14ac:dyDescent="0.25">
      <c r="A2353" t="s">
        <v>1401</v>
      </c>
      <c r="B2353" t="s">
        <v>1402</v>
      </c>
      <c r="C2353" t="s">
        <v>1403</v>
      </c>
      <c r="D2353" t="s">
        <v>1404</v>
      </c>
      <c r="E2353" s="9">
        <v>45444</v>
      </c>
      <c r="F2353" s="9">
        <v>45473</v>
      </c>
      <c r="G2353">
        <v>154457777</v>
      </c>
      <c r="H2353">
        <v>26873768</v>
      </c>
      <c r="I2353">
        <v>63694384</v>
      </c>
      <c r="J2353">
        <v>17474495</v>
      </c>
      <c r="K2353">
        <v>0</v>
      </c>
      <c r="L2353">
        <v>22442</v>
      </c>
      <c r="M2353">
        <v>0</v>
      </c>
      <c r="T2353" s="9">
        <v>45108</v>
      </c>
      <c r="U2353" s="9">
        <v>45473</v>
      </c>
      <c r="V2353">
        <f>SUM(POTABLE_NONPOTABLE_API[[#This Row],[RESIDENTIAL_SINGLEFAMILY_GAL]:[OTHER_GAL]])</f>
        <v>262522866</v>
      </c>
      <c r="W2353">
        <f>SUM(POTABLE_NONPOTABLE_API[[#This Row],[NONPOTABLE_DEMAND_RESIDENTIAL_RECYCLED_WATER_GAL]:[NONPOTABLE_DEMAND_NONRESIDENTIAL_METERED_IRRIGATION_GAL]])</f>
        <v>0</v>
      </c>
      <c r="X2353" t="str">
        <f>IFERROR(INDEX(Crosswalk_API!$H$2:$H$527, MATCH(POTABLE_NONPOTABLE_API[[#This Row],[PWSID]], CW_PWSID_LIST, 0)), "")</f>
        <v>No</v>
      </c>
    </row>
    <row r="2354" spans="1:24" x14ac:dyDescent="0.25">
      <c r="A2354" t="s">
        <v>1405</v>
      </c>
      <c r="B2354" t="s">
        <v>1406</v>
      </c>
      <c r="C2354" t="s">
        <v>1407</v>
      </c>
      <c r="D2354" t="s">
        <v>1408</v>
      </c>
      <c r="E2354" s="9">
        <v>45108</v>
      </c>
      <c r="F2354" s="9">
        <v>45138</v>
      </c>
      <c r="G2354">
        <v>111060288</v>
      </c>
      <c r="H2354">
        <v>9749362</v>
      </c>
      <c r="I2354">
        <v>27302402</v>
      </c>
      <c r="J2354">
        <v>12333881</v>
      </c>
      <c r="K2354">
        <v>310442</v>
      </c>
      <c r="L2354">
        <v>21694</v>
      </c>
      <c r="M2354">
        <v>0</v>
      </c>
      <c r="T2354" s="9">
        <v>45108</v>
      </c>
      <c r="U2354" s="9">
        <v>45473</v>
      </c>
      <c r="V2354">
        <f>SUM(POTABLE_NONPOTABLE_API[[#This Row],[RESIDENTIAL_SINGLEFAMILY_GAL]:[OTHER_GAL]])</f>
        <v>160778069</v>
      </c>
      <c r="W2354">
        <f>SUM(POTABLE_NONPOTABLE_API[[#This Row],[NONPOTABLE_DEMAND_RESIDENTIAL_RECYCLED_WATER_GAL]:[NONPOTABLE_DEMAND_NONRESIDENTIAL_METERED_IRRIGATION_GAL]])</f>
        <v>0</v>
      </c>
      <c r="X2354" t="str">
        <f>IFERROR(INDEX(Crosswalk_API!$H$2:$H$527, MATCH(POTABLE_NONPOTABLE_API[[#This Row],[PWSID]], CW_PWSID_LIST, 0)), "")</f>
        <v>No</v>
      </c>
    </row>
    <row r="2355" spans="1:24" x14ac:dyDescent="0.25">
      <c r="A2355" t="s">
        <v>1405</v>
      </c>
      <c r="B2355" t="s">
        <v>1406</v>
      </c>
      <c r="C2355" t="s">
        <v>1407</v>
      </c>
      <c r="D2355" t="s">
        <v>1408</v>
      </c>
      <c r="E2355" s="9">
        <v>45139</v>
      </c>
      <c r="F2355" s="9">
        <v>45169</v>
      </c>
      <c r="G2355">
        <v>108623135</v>
      </c>
      <c r="H2355">
        <v>8844219</v>
      </c>
      <c r="I2355">
        <v>26387534</v>
      </c>
      <c r="J2355">
        <v>12874723</v>
      </c>
      <c r="K2355">
        <v>292488</v>
      </c>
      <c r="L2355">
        <v>293236</v>
      </c>
      <c r="M2355">
        <v>0</v>
      </c>
      <c r="T2355" s="9">
        <v>45108</v>
      </c>
      <c r="U2355" s="9">
        <v>45473</v>
      </c>
      <c r="V2355">
        <f>SUM(POTABLE_NONPOTABLE_API[[#This Row],[RESIDENTIAL_SINGLEFAMILY_GAL]:[OTHER_GAL]])</f>
        <v>157315335</v>
      </c>
      <c r="W2355">
        <f>SUM(POTABLE_NONPOTABLE_API[[#This Row],[NONPOTABLE_DEMAND_RESIDENTIAL_RECYCLED_WATER_GAL]:[NONPOTABLE_DEMAND_NONRESIDENTIAL_METERED_IRRIGATION_GAL]])</f>
        <v>0</v>
      </c>
      <c r="X2355" t="str">
        <f>IFERROR(INDEX(Crosswalk_API!$H$2:$H$527, MATCH(POTABLE_NONPOTABLE_API[[#This Row],[PWSID]], CW_PWSID_LIST, 0)), "")</f>
        <v>No</v>
      </c>
    </row>
    <row r="2356" spans="1:24" x14ac:dyDescent="0.25">
      <c r="A2356" t="s">
        <v>1405</v>
      </c>
      <c r="B2356" t="s">
        <v>1406</v>
      </c>
      <c r="C2356" t="s">
        <v>1407</v>
      </c>
      <c r="D2356" t="s">
        <v>1408</v>
      </c>
      <c r="E2356" s="9">
        <v>45170</v>
      </c>
      <c r="F2356" s="9">
        <v>45199</v>
      </c>
      <c r="G2356">
        <v>118005203</v>
      </c>
      <c r="H2356">
        <v>8354993</v>
      </c>
      <c r="I2356">
        <v>30647690</v>
      </c>
      <c r="J2356">
        <v>14574297</v>
      </c>
      <c r="K2356">
        <v>342608</v>
      </c>
      <c r="L2356">
        <v>0</v>
      </c>
      <c r="M2356">
        <v>0</v>
      </c>
      <c r="T2356" s="9">
        <v>45108</v>
      </c>
      <c r="U2356" s="9">
        <v>45473</v>
      </c>
      <c r="V2356">
        <f>SUM(POTABLE_NONPOTABLE_API[[#This Row],[RESIDENTIAL_SINGLEFAMILY_GAL]:[OTHER_GAL]])</f>
        <v>171924791</v>
      </c>
      <c r="W2356">
        <f>SUM(POTABLE_NONPOTABLE_API[[#This Row],[NONPOTABLE_DEMAND_RESIDENTIAL_RECYCLED_WATER_GAL]:[NONPOTABLE_DEMAND_NONRESIDENTIAL_METERED_IRRIGATION_GAL]])</f>
        <v>0</v>
      </c>
      <c r="X2356" t="str">
        <f>IFERROR(INDEX(Crosswalk_API!$H$2:$H$527, MATCH(POTABLE_NONPOTABLE_API[[#This Row],[PWSID]], CW_PWSID_LIST, 0)), "")</f>
        <v>No</v>
      </c>
    </row>
    <row r="2357" spans="1:24" x14ac:dyDescent="0.25">
      <c r="A2357" t="s">
        <v>1405</v>
      </c>
      <c r="B2357" t="s">
        <v>1406</v>
      </c>
      <c r="C2357" t="s">
        <v>1407</v>
      </c>
      <c r="D2357" t="s">
        <v>1408</v>
      </c>
      <c r="E2357" s="9">
        <v>45200</v>
      </c>
      <c r="F2357" s="9">
        <v>45230</v>
      </c>
      <c r="G2357">
        <v>89825336</v>
      </c>
      <c r="H2357">
        <v>11088375</v>
      </c>
      <c r="I2357">
        <v>22119150</v>
      </c>
      <c r="J2357">
        <v>9328208</v>
      </c>
      <c r="K2357">
        <v>306701</v>
      </c>
      <c r="L2357">
        <v>11969</v>
      </c>
      <c r="M2357">
        <v>0</v>
      </c>
      <c r="T2357" s="9">
        <v>45108</v>
      </c>
      <c r="U2357" s="9">
        <v>45473</v>
      </c>
      <c r="V2357">
        <f>SUM(POTABLE_NONPOTABLE_API[[#This Row],[RESIDENTIAL_SINGLEFAMILY_GAL]:[OTHER_GAL]])</f>
        <v>132679739</v>
      </c>
      <c r="W2357">
        <f>SUM(POTABLE_NONPOTABLE_API[[#This Row],[NONPOTABLE_DEMAND_RESIDENTIAL_RECYCLED_WATER_GAL]:[NONPOTABLE_DEMAND_NONRESIDENTIAL_METERED_IRRIGATION_GAL]])</f>
        <v>0</v>
      </c>
      <c r="X2357" t="str">
        <f>IFERROR(INDEX(Crosswalk_API!$H$2:$H$527, MATCH(POTABLE_NONPOTABLE_API[[#This Row],[PWSID]], CW_PWSID_LIST, 0)), "")</f>
        <v>No</v>
      </c>
    </row>
    <row r="2358" spans="1:24" x14ac:dyDescent="0.25">
      <c r="A2358" t="s">
        <v>1405</v>
      </c>
      <c r="B2358" t="s">
        <v>1406</v>
      </c>
      <c r="C2358" t="s">
        <v>1407</v>
      </c>
      <c r="D2358" t="s">
        <v>1408</v>
      </c>
      <c r="E2358" s="9">
        <v>45231</v>
      </c>
      <c r="F2358" s="9">
        <v>45260</v>
      </c>
      <c r="G2358">
        <v>103075581</v>
      </c>
      <c r="H2358">
        <v>8438775</v>
      </c>
      <c r="I2358">
        <v>24224916</v>
      </c>
      <c r="J2358">
        <v>10243824</v>
      </c>
      <c r="K2358">
        <v>359065</v>
      </c>
      <c r="L2358">
        <v>23190</v>
      </c>
      <c r="M2358">
        <v>0</v>
      </c>
      <c r="T2358" s="9">
        <v>45108</v>
      </c>
      <c r="U2358" s="9">
        <v>45473</v>
      </c>
      <c r="V2358">
        <f>SUM(POTABLE_NONPOTABLE_API[[#This Row],[RESIDENTIAL_SINGLEFAMILY_GAL]:[OTHER_GAL]])</f>
        <v>146365351</v>
      </c>
      <c r="W2358">
        <f>SUM(POTABLE_NONPOTABLE_API[[#This Row],[NONPOTABLE_DEMAND_RESIDENTIAL_RECYCLED_WATER_GAL]:[NONPOTABLE_DEMAND_NONRESIDENTIAL_METERED_IRRIGATION_GAL]])</f>
        <v>0</v>
      </c>
      <c r="X2358" t="str">
        <f>IFERROR(INDEX(Crosswalk_API!$H$2:$H$527, MATCH(POTABLE_NONPOTABLE_API[[#This Row],[PWSID]], CW_PWSID_LIST, 0)), "")</f>
        <v>No</v>
      </c>
    </row>
    <row r="2359" spans="1:24" x14ac:dyDescent="0.25">
      <c r="A2359" t="s">
        <v>1405</v>
      </c>
      <c r="B2359" t="s">
        <v>1406</v>
      </c>
      <c r="C2359" t="s">
        <v>1407</v>
      </c>
      <c r="D2359" t="s">
        <v>1408</v>
      </c>
      <c r="E2359" s="9">
        <v>45261</v>
      </c>
      <c r="F2359" s="9">
        <v>45291</v>
      </c>
      <c r="G2359">
        <v>95390843</v>
      </c>
      <c r="H2359">
        <v>8083450</v>
      </c>
      <c r="I2359">
        <v>22610620</v>
      </c>
      <c r="J2359">
        <v>7477528</v>
      </c>
      <c r="K2359">
        <v>331387</v>
      </c>
      <c r="L2359">
        <v>85278</v>
      </c>
      <c r="M2359">
        <v>0</v>
      </c>
      <c r="T2359" s="9">
        <v>45108</v>
      </c>
      <c r="U2359" s="9">
        <v>45473</v>
      </c>
      <c r="V2359">
        <f>SUM(POTABLE_NONPOTABLE_API[[#This Row],[RESIDENTIAL_SINGLEFAMILY_GAL]:[OTHER_GAL]])</f>
        <v>133979106</v>
      </c>
      <c r="W2359">
        <f>SUM(POTABLE_NONPOTABLE_API[[#This Row],[NONPOTABLE_DEMAND_RESIDENTIAL_RECYCLED_WATER_GAL]:[NONPOTABLE_DEMAND_NONRESIDENTIAL_METERED_IRRIGATION_GAL]])</f>
        <v>0</v>
      </c>
      <c r="X2359" t="str">
        <f>IFERROR(INDEX(Crosswalk_API!$H$2:$H$527, MATCH(POTABLE_NONPOTABLE_API[[#This Row],[PWSID]], CW_PWSID_LIST, 0)), "")</f>
        <v>No</v>
      </c>
    </row>
    <row r="2360" spans="1:24" x14ac:dyDescent="0.25">
      <c r="A2360" t="s">
        <v>1405</v>
      </c>
      <c r="B2360" t="s">
        <v>1406</v>
      </c>
      <c r="C2360" t="s">
        <v>1407</v>
      </c>
      <c r="D2360" t="s">
        <v>1408</v>
      </c>
      <c r="E2360" s="9">
        <v>45292</v>
      </c>
      <c r="F2360" s="9">
        <v>45322</v>
      </c>
      <c r="G2360">
        <v>78986811</v>
      </c>
      <c r="H2360">
        <v>13477653</v>
      </c>
      <c r="I2360">
        <v>13784354</v>
      </c>
      <c r="J2360">
        <v>3151543</v>
      </c>
      <c r="K2360">
        <v>225164</v>
      </c>
      <c r="L2360">
        <v>8977</v>
      </c>
      <c r="M2360">
        <v>0</v>
      </c>
      <c r="T2360" s="9">
        <v>45108</v>
      </c>
      <c r="U2360" s="9">
        <v>45473</v>
      </c>
      <c r="V2360">
        <f>SUM(POTABLE_NONPOTABLE_API[[#This Row],[RESIDENTIAL_SINGLEFAMILY_GAL]:[OTHER_GAL]])</f>
        <v>109634502</v>
      </c>
      <c r="W2360">
        <f>SUM(POTABLE_NONPOTABLE_API[[#This Row],[NONPOTABLE_DEMAND_RESIDENTIAL_RECYCLED_WATER_GAL]:[NONPOTABLE_DEMAND_NONRESIDENTIAL_METERED_IRRIGATION_GAL]])</f>
        <v>0</v>
      </c>
      <c r="X2360" t="str">
        <f>IFERROR(INDEX(Crosswalk_API!$H$2:$H$527, MATCH(POTABLE_NONPOTABLE_API[[#This Row],[PWSID]], CW_PWSID_LIST, 0)), "")</f>
        <v>No</v>
      </c>
    </row>
    <row r="2361" spans="1:24" x14ac:dyDescent="0.25">
      <c r="A2361" t="s">
        <v>1405</v>
      </c>
      <c r="B2361" t="s">
        <v>1406</v>
      </c>
      <c r="C2361" t="s">
        <v>1407</v>
      </c>
      <c r="D2361" t="s">
        <v>1408</v>
      </c>
      <c r="E2361" s="9">
        <v>45323</v>
      </c>
      <c r="F2361" s="9">
        <v>45351</v>
      </c>
      <c r="G2361">
        <v>71774093</v>
      </c>
      <c r="H2361">
        <v>0</v>
      </c>
      <c r="I2361">
        <v>9047689</v>
      </c>
      <c r="J2361">
        <v>1641226</v>
      </c>
      <c r="K2361">
        <v>198234</v>
      </c>
      <c r="L2361">
        <v>20945</v>
      </c>
      <c r="M2361">
        <v>0</v>
      </c>
      <c r="T2361" s="9">
        <v>45108</v>
      </c>
      <c r="U2361" s="9">
        <v>45473</v>
      </c>
      <c r="V2361">
        <f>SUM(POTABLE_NONPOTABLE_API[[#This Row],[RESIDENTIAL_SINGLEFAMILY_GAL]:[OTHER_GAL]])</f>
        <v>82682187</v>
      </c>
      <c r="W2361">
        <f>SUM(POTABLE_NONPOTABLE_API[[#This Row],[NONPOTABLE_DEMAND_RESIDENTIAL_RECYCLED_WATER_GAL]:[NONPOTABLE_DEMAND_NONRESIDENTIAL_METERED_IRRIGATION_GAL]])</f>
        <v>0</v>
      </c>
      <c r="X2361" t="str">
        <f>IFERROR(INDEX(Crosswalk_API!$H$2:$H$527, MATCH(POTABLE_NONPOTABLE_API[[#This Row],[PWSID]], CW_PWSID_LIST, 0)), "")</f>
        <v>No</v>
      </c>
    </row>
    <row r="2362" spans="1:24" x14ac:dyDescent="0.25">
      <c r="A2362" t="s">
        <v>1405</v>
      </c>
      <c r="B2362" t="s">
        <v>1406</v>
      </c>
      <c r="C2362" t="s">
        <v>1407</v>
      </c>
      <c r="D2362" t="s">
        <v>1408</v>
      </c>
      <c r="E2362" s="9">
        <v>45352</v>
      </c>
      <c r="F2362" s="9">
        <v>45382</v>
      </c>
      <c r="G2362">
        <v>63808836</v>
      </c>
      <c r="H2362">
        <v>6689829</v>
      </c>
      <c r="I2362">
        <v>8942962</v>
      </c>
      <c r="J2362">
        <v>1166961</v>
      </c>
      <c r="K2362">
        <v>217683</v>
      </c>
      <c r="L2362">
        <v>10473</v>
      </c>
      <c r="M2362">
        <v>0</v>
      </c>
      <c r="T2362" s="9">
        <v>45108</v>
      </c>
      <c r="U2362" s="9">
        <v>45473</v>
      </c>
      <c r="V2362">
        <f>SUM(POTABLE_NONPOTABLE_API[[#This Row],[RESIDENTIAL_SINGLEFAMILY_GAL]:[OTHER_GAL]])</f>
        <v>80836744</v>
      </c>
      <c r="W2362">
        <f>SUM(POTABLE_NONPOTABLE_API[[#This Row],[NONPOTABLE_DEMAND_RESIDENTIAL_RECYCLED_WATER_GAL]:[NONPOTABLE_DEMAND_NONRESIDENTIAL_METERED_IRRIGATION_GAL]])</f>
        <v>0</v>
      </c>
      <c r="X2362" t="str">
        <f>IFERROR(INDEX(Crosswalk_API!$H$2:$H$527, MATCH(POTABLE_NONPOTABLE_API[[#This Row],[PWSID]], CW_PWSID_LIST, 0)), "")</f>
        <v>No</v>
      </c>
    </row>
    <row r="2363" spans="1:24" x14ac:dyDescent="0.25">
      <c r="A2363" t="s">
        <v>1405</v>
      </c>
      <c r="B2363" t="s">
        <v>1406</v>
      </c>
      <c r="C2363" t="s">
        <v>1407</v>
      </c>
      <c r="D2363" t="s">
        <v>1408</v>
      </c>
      <c r="E2363" s="9">
        <v>45383</v>
      </c>
      <c r="F2363" s="9">
        <v>45412</v>
      </c>
      <c r="G2363">
        <v>70898124</v>
      </c>
      <c r="H2363">
        <v>7515678</v>
      </c>
      <c r="I2363">
        <v>11078650</v>
      </c>
      <c r="J2363">
        <v>2250140</v>
      </c>
      <c r="K2363">
        <v>228904</v>
      </c>
      <c r="L2363">
        <v>11221</v>
      </c>
      <c r="M2363">
        <v>0</v>
      </c>
      <c r="T2363" s="9">
        <v>45108</v>
      </c>
      <c r="U2363" s="9">
        <v>45473</v>
      </c>
      <c r="V2363">
        <f>SUM(POTABLE_NONPOTABLE_API[[#This Row],[RESIDENTIAL_SINGLEFAMILY_GAL]:[OTHER_GAL]])</f>
        <v>91982717</v>
      </c>
      <c r="W2363">
        <f>SUM(POTABLE_NONPOTABLE_API[[#This Row],[NONPOTABLE_DEMAND_RESIDENTIAL_RECYCLED_WATER_GAL]:[NONPOTABLE_DEMAND_NONRESIDENTIAL_METERED_IRRIGATION_GAL]])</f>
        <v>0</v>
      </c>
      <c r="X2363" t="str">
        <f>IFERROR(INDEX(Crosswalk_API!$H$2:$H$527, MATCH(POTABLE_NONPOTABLE_API[[#This Row],[PWSID]], CW_PWSID_LIST, 0)), "")</f>
        <v>No</v>
      </c>
    </row>
    <row r="2364" spans="1:24" x14ac:dyDescent="0.25">
      <c r="A2364" t="s">
        <v>1405</v>
      </c>
      <c r="B2364" t="s">
        <v>1406</v>
      </c>
      <c r="C2364" t="s">
        <v>1407</v>
      </c>
      <c r="D2364" t="s">
        <v>1408</v>
      </c>
      <c r="E2364" s="9">
        <v>45413</v>
      </c>
      <c r="F2364" s="9">
        <v>45443</v>
      </c>
      <c r="G2364">
        <v>92055279</v>
      </c>
      <c r="H2364">
        <v>7965258</v>
      </c>
      <c r="I2364">
        <v>17459534</v>
      </c>
      <c r="J2364">
        <v>8241289</v>
      </c>
      <c r="K2364">
        <v>243117</v>
      </c>
      <c r="L2364">
        <v>23938</v>
      </c>
      <c r="M2364">
        <v>0</v>
      </c>
      <c r="T2364" s="9">
        <v>45108</v>
      </c>
      <c r="U2364" s="9">
        <v>45473</v>
      </c>
      <c r="V2364">
        <f>SUM(POTABLE_NONPOTABLE_API[[#This Row],[RESIDENTIAL_SINGLEFAMILY_GAL]:[OTHER_GAL]])</f>
        <v>125988415</v>
      </c>
      <c r="W2364">
        <f>SUM(POTABLE_NONPOTABLE_API[[#This Row],[NONPOTABLE_DEMAND_RESIDENTIAL_RECYCLED_WATER_GAL]:[NONPOTABLE_DEMAND_NONRESIDENTIAL_METERED_IRRIGATION_GAL]])</f>
        <v>0</v>
      </c>
      <c r="X2364" t="str">
        <f>IFERROR(INDEX(Crosswalk_API!$H$2:$H$527, MATCH(POTABLE_NONPOTABLE_API[[#This Row],[PWSID]], CW_PWSID_LIST, 0)), "")</f>
        <v>No</v>
      </c>
    </row>
    <row r="2365" spans="1:24" x14ac:dyDescent="0.25">
      <c r="A2365" t="s">
        <v>1405</v>
      </c>
      <c r="B2365" t="s">
        <v>1406</v>
      </c>
      <c r="C2365" t="s">
        <v>1407</v>
      </c>
      <c r="D2365" t="s">
        <v>1408</v>
      </c>
      <c r="E2365" s="9">
        <v>45444</v>
      </c>
      <c r="F2365" s="9">
        <v>45473</v>
      </c>
      <c r="G2365">
        <v>110333930</v>
      </c>
      <c r="H2365">
        <v>9608728</v>
      </c>
      <c r="I2365">
        <v>25709799</v>
      </c>
      <c r="J2365">
        <v>12509674</v>
      </c>
      <c r="K2365">
        <v>229652</v>
      </c>
      <c r="L2365">
        <v>5984</v>
      </c>
      <c r="M2365">
        <v>0</v>
      </c>
      <c r="T2365" s="9">
        <v>45108</v>
      </c>
      <c r="U2365" s="9">
        <v>45473</v>
      </c>
      <c r="V2365">
        <f>SUM(POTABLE_NONPOTABLE_API[[#This Row],[RESIDENTIAL_SINGLEFAMILY_GAL]:[OTHER_GAL]])</f>
        <v>158397767</v>
      </c>
      <c r="W2365">
        <f>SUM(POTABLE_NONPOTABLE_API[[#This Row],[NONPOTABLE_DEMAND_RESIDENTIAL_RECYCLED_WATER_GAL]:[NONPOTABLE_DEMAND_NONRESIDENTIAL_METERED_IRRIGATION_GAL]])</f>
        <v>0</v>
      </c>
      <c r="X2365" t="str">
        <f>IFERROR(INDEX(Crosswalk_API!$H$2:$H$527, MATCH(POTABLE_NONPOTABLE_API[[#This Row],[PWSID]], CW_PWSID_LIST, 0)), "")</f>
        <v>No</v>
      </c>
    </row>
    <row r="2366" spans="1:24" x14ac:dyDescent="0.25">
      <c r="A2366" t="s">
        <v>1409</v>
      </c>
      <c r="B2366" t="s">
        <v>1410</v>
      </c>
      <c r="C2366" t="s">
        <v>1411</v>
      </c>
      <c r="D2366" t="s">
        <v>1412</v>
      </c>
      <c r="E2366" s="9">
        <v>45108</v>
      </c>
      <c r="F2366" s="9">
        <v>45138</v>
      </c>
      <c r="G2366">
        <v>57807962</v>
      </c>
      <c r="H2366">
        <v>8895086</v>
      </c>
      <c r="I2366">
        <v>9460614</v>
      </c>
      <c r="J2366">
        <v>1632249</v>
      </c>
      <c r="K2366">
        <v>195990</v>
      </c>
      <c r="L2366">
        <v>6732</v>
      </c>
      <c r="M2366">
        <v>0</v>
      </c>
      <c r="T2366" s="9">
        <v>45108</v>
      </c>
      <c r="U2366" s="9">
        <v>45473</v>
      </c>
      <c r="V2366">
        <f>SUM(POTABLE_NONPOTABLE_API[[#This Row],[RESIDENTIAL_SINGLEFAMILY_GAL]:[OTHER_GAL]])</f>
        <v>77998633</v>
      </c>
      <c r="W2366">
        <f>SUM(POTABLE_NONPOTABLE_API[[#This Row],[NONPOTABLE_DEMAND_RESIDENTIAL_RECYCLED_WATER_GAL]:[NONPOTABLE_DEMAND_NONRESIDENTIAL_METERED_IRRIGATION_GAL]])</f>
        <v>0</v>
      </c>
      <c r="X2366" t="str">
        <f>IFERROR(INDEX(Crosswalk_API!$H$2:$H$527, MATCH(POTABLE_NONPOTABLE_API[[#This Row],[PWSID]], CW_PWSID_LIST, 0)), "")</f>
        <v>No</v>
      </c>
    </row>
    <row r="2367" spans="1:24" x14ac:dyDescent="0.25">
      <c r="A2367" t="s">
        <v>1409</v>
      </c>
      <c r="B2367" t="s">
        <v>1410</v>
      </c>
      <c r="C2367" t="s">
        <v>1411</v>
      </c>
      <c r="D2367" t="s">
        <v>1412</v>
      </c>
      <c r="E2367" s="9">
        <v>45139</v>
      </c>
      <c r="F2367" s="9">
        <v>45169</v>
      </c>
      <c r="G2367">
        <v>57389053</v>
      </c>
      <c r="H2367">
        <v>8966151</v>
      </c>
      <c r="I2367">
        <v>9733653</v>
      </c>
      <c r="J2367">
        <v>1142275</v>
      </c>
      <c r="K2367">
        <v>121932</v>
      </c>
      <c r="L2367">
        <v>5984</v>
      </c>
      <c r="M2367">
        <v>0</v>
      </c>
      <c r="T2367" s="9">
        <v>45108</v>
      </c>
      <c r="U2367" s="9">
        <v>45473</v>
      </c>
      <c r="V2367">
        <f>SUM(POTABLE_NONPOTABLE_API[[#This Row],[RESIDENTIAL_SINGLEFAMILY_GAL]:[OTHER_GAL]])</f>
        <v>77359048</v>
      </c>
      <c r="W2367">
        <f>SUM(POTABLE_NONPOTABLE_API[[#This Row],[NONPOTABLE_DEMAND_RESIDENTIAL_RECYCLED_WATER_GAL]:[NONPOTABLE_DEMAND_NONRESIDENTIAL_METERED_IRRIGATION_GAL]])</f>
        <v>0</v>
      </c>
      <c r="X2367" t="str">
        <f>IFERROR(INDEX(Crosswalk_API!$H$2:$H$527, MATCH(POTABLE_NONPOTABLE_API[[#This Row],[PWSID]], CW_PWSID_LIST, 0)), "")</f>
        <v>No</v>
      </c>
    </row>
    <row r="2368" spans="1:24" x14ac:dyDescent="0.25">
      <c r="A2368" t="s">
        <v>1409</v>
      </c>
      <c r="B2368" t="s">
        <v>1410</v>
      </c>
      <c r="C2368" t="s">
        <v>1411</v>
      </c>
      <c r="D2368" t="s">
        <v>1412</v>
      </c>
      <c r="E2368" s="9">
        <v>45170</v>
      </c>
      <c r="F2368" s="9">
        <v>45199</v>
      </c>
      <c r="G2368">
        <v>60541344</v>
      </c>
      <c r="H2368">
        <v>9411990</v>
      </c>
      <c r="I2368">
        <v>10347803</v>
      </c>
      <c r="J2368">
        <v>1659927</v>
      </c>
      <c r="K2368">
        <v>206462</v>
      </c>
      <c r="L2368">
        <v>8977</v>
      </c>
      <c r="M2368">
        <v>0</v>
      </c>
      <c r="T2368" s="9">
        <v>45108</v>
      </c>
      <c r="U2368" s="9">
        <v>45473</v>
      </c>
      <c r="V2368">
        <f>SUM(POTABLE_NONPOTABLE_API[[#This Row],[RESIDENTIAL_SINGLEFAMILY_GAL]:[OTHER_GAL]])</f>
        <v>82176503</v>
      </c>
      <c r="W2368">
        <f>SUM(POTABLE_NONPOTABLE_API[[#This Row],[NONPOTABLE_DEMAND_RESIDENTIAL_RECYCLED_WATER_GAL]:[NONPOTABLE_DEMAND_NONRESIDENTIAL_METERED_IRRIGATION_GAL]])</f>
        <v>0</v>
      </c>
      <c r="X2368" t="str">
        <f>IFERROR(INDEX(Crosswalk_API!$H$2:$H$527, MATCH(POTABLE_NONPOTABLE_API[[#This Row],[PWSID]], CW_PWSID_LIST, 0)), "")</f>
        <v>No</v>
      </c>
    </row>
    <row r="2369" spans="1:24" x14ac:dyDescent="0.25">
      <c r="A2369" t="s">
        <v>1409</v>
      </c>
      <c r="B2369" t="s">
        <v>1410</v>
      </c>
      <c r="C2369" t="s">
        <v>1411</v>
      </c>
      <c r="D2369" t="s">
        <v>1412</v>
      </c>
      <c r="E2369" s="9">
        <v>45200</v>
      </c>
      <c r="F2369" s="9">
        <v>45230</v>
      </c>
      <c r="G2369">
        <v>48582237</v>
      </c>
      <c r="H2369">
        <v>8090930</v>
      </c>
      <c r="I2369">
        <v>7948053</v>
      </c>
      <c r="J2369">
        <v>1250743</v>
      </c>
      <c r="K2369">
        <v>166068</v>
      </c>
      <c r="L2369">
        <v>6732</v>
      </c>
      <c r="M2369">
        <v>0</v>
      </c>
      <c r="T2369" s="9">
        <v>45108</v>
      </c>
      <c r="U2369" s="9">
        <v>45473</v>
      </c>
      <c r="V2369">
        <f>SUM(POTABLE_NONPOTABLE_API[[#This Row],[RESIDENTIAL_SINGLEFAMILY_GAL]:[OTHER_GAL]])</f>
        <v>66044763</v>
      </c>
      <c r="W2369">
        <f>SUM(POTABLE_NONPOTABLE_API[[#This Row],[NONPOTABLE_DEMAND_RESIDENTIAL_RECYCLED_WATER_GAL]:[NONPOTABLE_DEMAND_NONRESIDENTIAL_METERED_IRRIGATION_GAL]])</f>
        <v>0</v>
      </c>
      <c r="X2369" t="str">
        <f>IFERROR(INDEX(Crosswalk_API!$H$2:$H$527, MATCH(POTABLE_NONPOTABLE_API[[#This Row],[PWSID]], CW_PWSID_LIST, 0)), "")</f>
        <v>No</v>
      </c>
    </row>
    <row r="2370" spans="1:24" x14ac:dyDescent="0.25">
      <c r="A2370" t="s">
        <v>1409</v>
      </c>
      <c r="B2370" t="s">
        <v>1410</v>
      </c>
      <c r="C2370" t="s">
        <v>1411</v>
      </c>
      <c r="D2370" t="s">
        <v>1412</v>
      </c>
      <c r="E2370" s="9">
        <v>45231</v>
      </c>
      <c r="F2370" s="9">
        <v>45260</v>
      </c>
      <c r="G2370">
        <v>51029115</v>
      </c>
      <c r="H2370">
        <v>8548738</v>
      </c>
      <c r="I2370">
        <v>8126837</v>
      </c>
      <c r="J2370">
        <v>1365195</v>
      </c>
      <c r="K2370">
        <v>184769</v>
      </c>
      <c r="L2370">
        <v>5984</v>
      </c>
      <c r="M2370">
        <v>0</v>
      </c>
      <c r="T2370" s="9">
        <v>45108</v>
      </c>
      <c r="U2370" s="9">
        <v>45473</v>
      </c>
      <c r="V2370">
        <f>SUM(POTABLE_NONPOTABLE_API[[#This Row],[RESIDENTIAL_SINGLEFAMILY_GAL]:[OTHER_GAL]])</f>
        <v>69260638</v>
      </c>
      <c r="W2370">
        <f>SUM(POTABLE_NONPOTABLE_API[[#This Row],[NONPOTABLE_DEMAND_RESIDENTIAL_RECYCLED_WATER_GAL]:[NONPOTABLE_DEMAND_NONRESIDENTIAL_METERED_IRRIGATION_GAL]])</f>
        <v>0</v>
      </c>
      <c r="X2370" t="str">
        <f>IFERROR(INDEX(Crosswalk_API!$H$2:$H$527, MATCH(POTABLE_NONPOTABLE_API[[#This Row],[PWSID]], CW_PWSID_LIST, 0)), "")</f>
        <v>No</v>
      </c>
    </row>
    <row r="2371" spans="1:24" x14ac:dyDescent="0.25">
      <c r="A2371" t="s">
        <v>1409</v>
      </c>
      <c r="B2371" t="s">
        <v>1410</v>
      </c>
      <c r="C2371" t="s">
        <v>1411</v>
      </c>
      <c r="D2371" t="s">
        <v>1412</v>
      </c>
      <c r="E2371" s="9">
        <v>45261</v>
      </c>
      <c r="F2371" s="9">
        <v>45291</v>
      </c>
      <c r="G2371">
        <v>46496668</v>
      </c>
      <c r="H2371">
        <v>8548738</v>
      </c>
      <c r="I2371">
        <v>7280042</v>
      </c>
      <c r="J2371">
        <v>960499</v>
      </c>
      <c r="K2371">
        <v>195242</v>
      </c>
      <c r="L2371">
        <v>2992</v>
      </c>
      <c r="M2371">
        <v>0</v>
      </c>
      <c r="T2371" s="9">
        <v>45108</v>
      </c>
      <c r="U2371" s="9">
        <v>45473</v>
      </c>
      <c r="V2371">
        <f>SUM(POTABLE_NONPOTABLE_API[[#This Row],[RESIDENTIAL_SINGLEFAMILY_GAL]:[OTHER_GAL]])</f>
        <v>63484181</v>
      </c>
      <c r="W2371">
        <f>SUM(POTABLE_NONPOTABLE_API[[#This Row],[NONPOTABLE_DEMAND_RESIDENTIAL_RECYCLED_WATER_GAL]:[NONPOTABLE_DEMAND_NONRESIDENTIAL_METERED_IRRIGATION_GAL]])</f>
        <v>0</v>
      </c>
      <c r="X2371" t="str">
        <f>IFERROR(INDEX(Crosswalk_API!$H$2:$H$527, MATCH(POTABLE_NONPOTABLE_API[[#This Row],[PWSID]], CW_PWSID_LIST, 0)), "")</f>
        <v>No</v>
      </c>
    </row>
    <row r="2372" spans="1:24" x14ac:dyDescent="0.25">
      <c r="A2372" t="s">
        <v>1409</v>
      </c>
      <c r="B2372" t="s">
        <v>1410</v>
      </c>
      <c r="C2372" t="s">
        <v>1411</v>
      </c>
      <c r="D2372" t="s">
        <v>1412</v>
      </c>
      <c r="E2372" s="9">
        <v>45292</v>
      </c>
      <c r="F2372" s="9">
        <v>45322</v>
      </c>
      <c r="G2372">
        <v>44506102</v>
      </c>
      <c r="H2372">
        <v>8582401</v>
      </c>
      <c r="I2372">
        <v>6420530</v>
      </c>
      <c r="J2372">
        <v>697933</v>
      </c>
      <c r="K2372">
        <v>188509</v>
      </c>
      <c r="L2372">
        <v>6732</v>
      </c>
      <c r="M2372">
        <v>0</v>
      </c>
      <c r="T2372" s="9">
        <v>45108</v>
      </c>
      <c r="U2372" s="9">
        <v>45473</v>
      </c>
      <c r="V2372">
        <f>SUM(POTABLE_NONPOTABLE_API[[#This Row],[RESIDENTIAL_SINGLEFAMILY_GAL]:[OTHER_GAL]])</f>
        <v>60402207</v>
      </c>
      <c r="W2372">
        <f>SUM(POTABLE_NONPOTABLE_API[[#This Row],[NONPOTABLE_DEMAND_RESIDENTIAL_RECYCLED_WATER_GAL]:[NONPOTABLE_DEMAND_NONRESIDENTIAL_METERED_IRRIGATION_GAL]])</f>
        <v>0</v>
      </c>
      <c r="X2372" t="str">
        <f>IFERROR(INDEX(Crosswalk_API!$H$2:$H$527, MATCH(POTABLE_NONPOTABLE_API[[#This Row],[PWSID]], CW_PWSID_LIST, 0)), "")</f>
        <v>No</v>
      </c>
    </row>
    <row r="2373" spans="1:24" x14ac:dyDescent="0.25">
      <c r="A2373" t="s">
        <v>1409</v>
      </c>
      <c r="B2373" t="s">
        <v>1410</v>
      </c>
      <c r="C2373" t="s">
        <v>1411</v>
      </c>
      <c r="D2373" t="s">
        <v>1412</v>
      </c>
      <c r="E2373" s="9">
        <v>45323</v>
      </c>
      <c r="F2373" s="9">
        <v>45351</v>
      </c>
      <c r="G2373">
        <v>40082122</v>
      </c>
      <c r="H2373">
        <v>8301881</v>
      </c>
      <c r="I2373">
        <v>6250723</v>
      </c>
      <c r="J2373">
        <v>374774</v>
      </c>
      <c r="K2373">
        <v>50868</v>
      </c>
      <c r="L2373">
        <v>2244</v>
      </c>
      <c r="M2373">
        <v>0</v>
      </c>
      <c r="T2373" s="9">
        <v>45108</v>
      </c>
      <c r="U2373" s="9">
        <v>45473</v>
      </c>
      <c r="V2373">
        <f>SUM(POTABLE_NONPOTABLE_API[[#This Row],[RESIDENTIAL_SINGLEFAMILY_GAL]:[OTHER_GAL]])</f>
        <v>55062612</v>
      </c>
      <c r="W2373">
        <f>SUM(POTABLE_NONPOTABLE_API[[#This Row],[NONPOTABLE_DEMAND_RESIDENTIAL_RECYCLED_WATER_GAL]:[NONPOTABLE_DEMAND_NONRESIDENTIAL_METERED_IRRIGATION_GAL]])</f>
        <v>0</v>
      </c>
      <c r="X2373" t="str">
        <f>IFERROR(INDEX(Crosswalk_API!$H$2:$H$527, MATCH(POTABLE_NONPOTABLE_API[[#This Row],[PWSID]], CW_PWSID_LIST, 0)), "")</f>
        <v>No</v>
      </c>
    </row>
    <row r="2374" spans="1:24" x14ac:dyDescent="0.25">
      <c r="A2374" t="s">
        <v>1409</v>
      </c>
      <c r="B2374" t="s">
        <v>1410</v>
      </c>
      <c r="C2374" t="s">
        <v>1411</v>
      </c>
      <c r="D2374" t="s">
        <v>1412</v>
      </c>
      <c r="E2374" s="9">
        <v>45352</v>
      </c>
      <c r="F2374" s="9">
        <v>45382</v>
      </c>
      <c r="G2374">
        <v>36290247</v>
      </c>
      <c r="H2374">
        <v>8667679</v>
      </c>
      <c r="I2374">
        <v>6145995</v>
      </c>
      <c r="J2374">
        <v>150358</v>
      </c>
      <c r="K2374">
        <v>30670</v>
      </c>
      <c r="L2374">
        <v>10473</v>
      </c>
      <c r="M2374">
        <v>0</v>
      </c>
      <c r="T2374" s="9">
        <v>45108</v>
      </c>
      <c r="U2374" s="9">
        <v>45473</v>
      </c>
      <c r="V2374">
        <f>SUM(POTABLE_NONPOTABLE_API[[#This Row],[RESIDENTIAL_SINGLEFAMILY_GAL]:[OTHER_GAL]])</f>
        <v>51295422</v>
      </c>
      <c r="W2374">
        <f>SUM(POTABLE_NONPOTABLE_API[[#This Row],[NONPOTABLE_DEMAND_RESIDENTIAL_RECYCLED_WATER_GAL]:[NONPOTABLE_DEMAND_NONRESIDENTIAL_METERED_IRRIGATION_GAL]])</f>
        <v>0</v>
      </c>
      <c r="X2374" t="str">
        <f>IFERROR(INDEX(Crosswalk_API!$H$2:$H$527, MATCH(POTABLE_NONPOTABLE_API[[#This Row],[PWSID]], CW_PWSID_LIST, 0)), "")</f>
        <v>No</v>
      </c>
    </row>
    <row r="2375" spans="1:24" x14ac:dyDescent="0.25">
      <c r="A2375" t="s">
        <v>1409</v>
      </c>
      <c r="B2375" t="s">
        <v>1410</v>
      </c>
      <c r="C2375" t="s">
        <v>1411</v>
      </c>
      <c r="D2375" t="s">
        <v>1412</v>
      </c>
      <c r="E2375" s="9">
        <v>45383</v>
      </c>
      <c r="F2375" s="9">
        <v>45412</v>
      </c>
      <c r="G2375">
        <v>37481894</v>
      </c>
      <c r="H2375">
        <v>7655564</v>
      </c>
      <c r="I2375">
        <v>6749673</v>
      </c>
      <c r="J2375">
        <v>594701</v>
      </c>
      <c r="K2375">
        <v>0</v>
      </c>
      <c r="L2375">
        <v>7481</v>
      </c>
      <c r="M2375">
        <v>0</v>
      </c>
      <c r="T2375" s="9">
        <v>45108</v>
      </c>
      <c r="U2375" s="9">
        <v>45473</v>
      </c>
      <c r="V2375">
        <f>SUM(POTABLE_NONPOTABLE_API[[#This Row],[RESIDENTIAL_SINGLEFAMILY_GAL]:[OTHER_GAL]])</f>
        <v>52489313</v>
      </c>
      <c r="W2375">
        <f>SUM(POTABLE_NONPOTABLE_API[[#This Row],[NONPOTABLE_DEMAND_RESIDENTIAL_RECYCLED_WATER_GAL]:[NONPOTABLE_DEMAND_NONRESIDENTIAL_METERED_IRRIGATION_GAL]])</f>
        <v>0</v>
      </c>
      <c r="X2375" t="str">
        <f>IFERROR(INDEX(Crosswalk_API!$H$2:$H$527, MATCH(POTABLE_NONPOTABLE_API[[#This Row],[PWSID]], CW_PWSID_LIST, 0)), "")</f>
        <v>No</v>
      </c>
    </row>
    <row r="2376" spans="1:24" x14ac:dyDescent="0.25">
      <c r="A2376" t="s">
        <v>1409</v>
      </c>
      <c r="B2376" t="s">
        <v>1410</v>
      </c>
      <c r="C2376" t="s">
        <v>1411</v>
      </c>
      <c r="D2376" t="s">
        <v>1412</v>
      </c>
      <c r="E2376" s="9">
        <v>45413</v>
      </c>
      <c r="F2376" s="9">
        <v>45443</v>
      </c>
      <c r="G2376">
        <v>43971993</v>
      </c>
      <c r="H2376">
        <v>8864416</v>
      </c>
      <c r="I2376">
        <v>6736956</v>
      </c>
      <c r="J2376">
        <v>956010</v>
      </c>
      <c r="K2376">
        <v>143626</v>
      </c>
      <c r="L2376">
        <v>29922</v>
      </c>
      <c r="M2376">
        <v>0</v>
      </c>
      <c r="T2376" s="9">
        <v>45108</v>
      </c>
      <c r="U2376" s="9">
        <v>45473</v>
      </c>
      <c r="V2376">
        <f>SUM(POTABLE_NONPOTABLE_API[[#This Row],[RESIDENTIAL_SINGLEFAMILY_GAL]:[OTHER_GAL]])</f>
        <v>60702923</v>
      </c>
      <c r="W2376">
        <f>SUM(POTABLE_NONPOTABLE_API[[#This Row],[NONPOTABLE_DEMAND_RESIDENTIAL_RECYCLED_WATER_GAL]:[NONPOTABLE_DEMAND_NONRESIDENTIAL_METERED_IRRIGATION_GAL]])</f>
        <v>0</v>
      </c>
      <c r="X2376" t="str">
        <f>IFERROR(INDEX(Crosswalk_API!$H$2:$H$527, MATCH(POTABLE_NONPOTABLE_API[[#This Row],[PWSID]], CW_PWSID_LIST, 0)), "")</f>
        <v>No</v>
      </c>
    </row>
    <row r="2377" spans="1:24" x14ac:dyDescent="0.25">
      <c r="A2377" t="s">
        <v>1409</v>
      </c>
      <c r="B2377" t="s">
        <v>1410</v>
      </c>
      <c r="C2377" t="s">
        <v>1411</v>
      </c>
      <c r="D2377" t="s">
        <v>1412</v>
      </c>
      <c r="E2377" s="9">
        <v>45444</v>
      </c>
      <c r="F2377" s="9">
        <v>45473</v>
      </c>
      <c r="G2377">
        <v>53505167.350000001</v>
      </c>
      <c r="H2377">
        <v>8784374.6359999999</v>
      </c>
      <c r="I2377">
        <v>9218992.8479999993</v>
      </c>
      <c r="J2377">
        <v>1021839.032</v>
      </c>
      <c r="K2377">
        <v>273787.03200000001</v>
      </c>
      <c r="L2377">
        <v>-6732.4679999999998</v>
      </c>
      <c r="M2377">
        <v>0</v>
      </c>
      <c r="T2377" s="9">
        <v>45108</v>
      </c>
      <c r="U2377" s="9">
        <v>45473</v>
      </c>
      <c r="V2377">
        <f>SUM(POTABLE_NONPOTABLE_API[[#This Row],[RESIDENTIAL_SINGLEFAMILY_GAL]:[OTHER_GAL]])</f>
        <v>72797428.430000022</v>
      </c>
      <c r="W2377">
        <f>SUM(POTABLE_NONPOTABLE_API[[#This Row],[NONPOTABLE_DEMAND_RESIDENTIAL_RECYCLED_WATER_GAL]:[NONPOTABLE_DEMAND_NONRESIDENTIAL_METERED_IRRIGATION_GAL]])</f>
        <v>0</v>
      </c>
      <c r="X2377" t="str">
        <f>IFERROR(INDEX(Crosswalk_API!$H$2:$H$527, MATCH(POTABLE_NONPOTABLE_API[[#This Row],[PWSID]], CW_PWSID_LIST, 0)), "")</f>
        <v>No</v>
      </c>
    </row>
    <row r="2378" spans="1:24" x14ac:dyDescent="0.25">
      <c r="A2378" t="s">
        <v>1413</v>
      </c>
      <c r="B2378" t="s">
        <v>1414</v>
      </c>
      <c r="C2378" t="s">
        <v>1415</v>
      </c>
      <c r="D2378" t="s">
        <v>1416</v>
      </c>
      <c r="E2378" s="9">
        <v>45108</v>
      </c>
      <c r="F2378" s="9">
        <v>45138</v>
      </c>
      <c r="G2378">
        <v>28138724</v>
      </c>
      <c r="H2378">
        <v>19530142</v>
      </c>
      <c r="I2378">
        <v>10846754</v>
      </c>
      <c r="J2378">
        <v>538597</v>
      </c>
      <c r="K2378">
        <v>650805</v>
      </c>
      <c r="L2378">
        <v>748</v>
      </c>
      <c r="M2378">
        <v>0</v>
      </c>
      <c r="T2378" s="9">
        <v>45108</v>
      </c>
      <c r="U2378" s="9">
        <v>45473</v>
      </c>
      <c r="V2378">
        <f>SUM(POTABLE_NONPOTABLE_API[[#This Row],[RESIDENTIAL_SINGLEFAMILY_GAL]:[OTHER_GAL]])</f>
        <v>59705770</v>
      </c>
      <c r="W2378">
        <f>SUM(POTABLE_NONPOTABLE_API[[#This Row],[NONPOTABLE_DEMAND_RESIDENTIAL_RECYCLED_WATER_GAL]:[NONPOTABLE_DEMAND_NONRESIDENTIAL_METERED_IRRIGATION_GAL]])</f>
        <v>0</v>
      </c>
      <c r="X2378" t="str">
        <f>IFERROR(INDEX(Crosswalk_API!$H$2:$H$527, MATCH(POTABLE_NONPOTABLE_API[[#This Row],[PWSID]], CW_PWSID_LIST, 0)), "")</f>
        <v>No</v>
      </c>
    </row>
    <row r="2379" spans="1:24" x14ac:dyDescent="0.25">
      <c r="A2379" t="s">
        <v>1413</v>
      </c>
      <c r="B2379" t="s">
        <v>1414</v>
      </c>
      <c r="C2379" t="s">
        <v>1415</v>
      </c>
      <c r="D2379" t="s">
        <v>1416</v>
      </c>
      <c r="E2379" s="9">
        <v>45139</v>
      </c>
      <c r="F2379" s="9">
        <v>45169</v>
      </c>
      <c r="G2379">
        <v>25614049</v>
      </c>
      <c r="H2379">
        <v>17510401</v>
      </c>
      <c r="I2379">
        <v>9724676</v>
      </c>
      <c r="J2379">
        <v>427886</v>
      </c>
      <c r="K2379">
        <v>436862</v>
      </c>
      <c r="L2379">
        <v>18701</v>
      </c>
      <c r="M2379">
        <v>0</v>
      </c>
      <c r="T2379" s="9">
        <v>45108</v>
      </c>
      <c r="U2379" s="9">
        <v>45473</v>
      </c>
      <c r="V2379">
        <f>SUM(POTABLE_NONPOTABLE_API[[#This Row],[RESIDENTIAL_SINGLEFAMILY_GAL]:[OTHER_GAL]])</f>
        <v>53732575</v>
      </c>
      <c r="W2379">
        <f>SUM(POTABLE_NONPOTABLE_API[[#This Row],[NONPOTABLE_DEMAND_RESIDENTIAL_RECYCLED_WATER_GAL]:[NONPOTABLE_DEMAND_NONRESIDENTIAL_METERED_IRRIGATION_GAL]])</f>
        <v>0</v>
      </c>
      <c r="X2379" t="str">
        <f>IFERROR(INDEX(Crosswalk_API!$H$2:$H$527, MATCH(POTABLE_NONPOTABLE_API[[#This Row],[PWSID]], CW_PWSID_LIST, 0)), "")</f>
        <v>No</v>
      </c>
    </row>
    <row r="2380" spans="1:24" x14ac:dyDescent="0.25">
      <c r="A2380" t="s">
        <v>1413</v>
      </c>
      <c r="B2380" t="s">
        <v>1414</v>
      </c>
      <c r="C2380" t="s">
        <v>1415</v>
      </c>
      <c r="D2380" t="s">
        <v>1416</v>
      </c>
      <c r="E2380" s="9">
        <v>45170</v>
      </c>
      <c r="F2380" s="9">
        <v>45199</v>
      </c>
      <c r="G2380">
        <v>28073644</v>
      </c>
      <c r="H2380">
        <v>19917633</v>
      </c>
      <c r="I2380">
        <v>11981549</v>
      </c>
      <c r="J2380">
        <v>444343</v>
      </c>
      <c r="K2380">
        <v>517652</v>
      </c>
      <c r="L2380">
        <v>10473</v>
      </c>
      <c r="M2380">
        <v>0</v>
      </c>
      <c r="T2380" s="9">
        <v>45108</v>
      </c>
      <c r="U2380" s="9">
        <v>45473</v>
      </c>
      <c r="V2380">
        <f>SUM(POTABLE_NONPOTABLE_API[[#This Row],[RESIDENTIAL_SINGLEFAMILY_GAL]:[OTHER_GAL]])</f>
        <v>60945294</v>
      </c>
      <c r="W2380">
        <f>SUM(POTABLE_NONPOTABLE_API[[#This Row],[NONPOTABLE_DEMAND_RESIDENTIAL_RECYCLED_WATER_GAL]:[NONPOTABLE_DEMAND_NONRESIDENTIAL_METERED_IRRIGATION_GAL]])</f>
        <v>0</v>
      </c>
      <c r="X2380" t="str">
        <f>IFERROR(INDEX(Crosswalk_API!$H$2:$H$527, MATCH(POTABLE_NONPOTABLE_API[[#This Row],[PWSID]], CW_PWSID_LIST, 0)), "")</f>
        <v>No</v>
      </c>
    </row>
    <row r="2381" spans="1:24" x14ac:dyDescent="0.25">
      <c r="A2381" t="s">
        <v>1413</v>
      </c>
      <c r="B2381" t="s">
        <v>1414</v>
      </c>
      <c r="C2381" t="s">
        <v>1415</v>
      </c>
      <c r="D2381" t="s">
        <v>1416</v>
      </c>
      <c r="E2381" s="9">
        <v>45200</v>
      </c>
      <c r="F2381" s="9">
        <v>45230</v>
      </c>
      <c r="G2381">
        <v>23515015</v>
      </c>
      <c r="H2381">
        <v>16466121</v>
      </c>
      <c r="I2381">
        <v>8809060</v>
      </c>
      <c r="J2381">
        <v>383003</v>
      </c>
      <c r="K2381">
        <v>423397</v>
      </c>
      <c r="L2381">
        <v>8229</v>
      </c>
      <c r="M2381">
        <v>0</v>
      </c>
      <c r="T2381" s="9">
        <v>45108</v>
      </c>
      <c r="U2381" s="9">
        <v>45473</v>
      </c>
      <c r="V2381">
        <f>SUM(POTABLE_NONPOTABLE_API[[#This Row],[RESIDENTIAL_SINGLEFAMILY_GAL]:[OTHER_GAL]])</f>
        <v>49604825</v>
      </c>
      <c r="W2381">
        <f>SUM(POTABLE_NONPOTABLE_API[[#This Row],[NONPOTABLE_DEMAND_RESIDENTIAL_RECYCLED_WATER_GAL]:[NONPOTABLE_DEMAND_NONRESIDENTIAL_METERED_IRRIGATION_GAL]])</f>
        <v>0</v>
      </c>
      <c r="X2381" t="str">
        <f>IFERROR(INDEX(Crosswalk_API!$H$2:$H$527, MATCH(POTABLE_NONPOTABLE_API[[#This Row],[PWSID]], CW_PWSID_LIST, 0)), "")</f>
        <v>No</v>
      </c>
    </row>
    <row r="2382" spans="1:24" x14ac:dyDescent="0.25">
      <c r="A2382" t="s">
        <v>1413</v>
      </c>
      <c r="B2382" t="s">
        <v>1414</v>
      </c>
      <c r="C2382" t="s">
        <v>1415</v>
      </c>
      <c r="D2382" t="s">
        <v>1416</v>
      </c>
      <c r="E2382" s="9">
        <v>45231</v>
      </c>
      <c r="F2382" s="9">
        <v>45260</v>
      </c>
      <c r="G2382">
        <v>25197384</v>
      </c>
      <c r="H2382">
        <v>17648043</v>
      </c>
      <c r="I2382">
        <v>9695502</v>
      </c>
      <c r="J2382">
        <v>428634</v>
      </c>
      <c r="K2382">
        <v>382255</v>
      </c>
      <c r="L2382">
        <v>8977</v>
      </c>
      <c r="M2382">
        <v>0</v>
      </c>
      <c r="T2382" s="9">
        <v>45108</v>
      </c>
      <c r="U2382" s="9">
        <v>45473</v>
      </c>
      <c r="V2382">
        <f>SUM(POTABLE_NONPOTABLE_API[[#This Row],[RESIDENTIAL_SINGLEFAMILY_GAL]:[OTHER_GAL]])</f>
        <v>53360795</v>
      </c>
      <c r="W2382">
        <f>SUM(POTABLE_NONPOTABLE_API[[#This Row],[NONPOTABLE_DEMAND_RESIDENTIAL_RECYCLED_WATER_GAL]:[NONPOTABLE_DEMAND_NONRESIDENTIAL_METERED_IRRIGATION_GAL]])</f>
        <v>0</v>
      </c>
      <c r="X2382" t="str">
        <f>IFERROR(INDEX(Crosswalk_API!$H$2:$H$527, MATCH(POTABLE_NONPOTABLE_API[[#This Row],[PWSID]], CW_PWSID_LIST, 0)), "")</f>
        <v>No</v>
      </c>
    </row>
    <row r="2383" spans="1:24" x14ac:dyDescent="0.25">
      <c r="A2383" t="s">
        <v>1413</v>
      </c>
      <c r="B2383" t="s">
        <v>1414</v>
      </c>
      <c r="C2383" t="s">
        <v>1415</v>
      </c>
      <c r="D2383" t="s">
        <v>1416</v>
      </c>
      <c r="E2383" s="9">
        <v>45261</v>
      </c>
      <c r="F2383" s="9">
        <v>45291</v>
      </c>
      <c r="G2383">
        <v>22965196</v>
      </c>
      <c r="H2383">
        <v>16793767</v>
      </c>
      <c r="I2383">
        <v>9183834</v>
      </c>
      <c r="J2383">
        <v>334379</v>
      </c>
      <c r="K2383">
        <v>249101</v>
      </c>
      <c r="L2383">
        <v>9725</v>
      </c>
      <c r="M2383">
        <v>0</v>
      </c>
      <c r="T2383" s="9">
        <v>45108</v>
      </c>
      <c r="U2383" s="9">
        <v>45473</v>
      </c>
      <c r="V2383">
        <f>SUM(POTABLE_NONPOTABLE_API[[#This Row],[RESIDENTIAL_SINGLEFAMILY_GAL]:[OTHER_GAL]])</f>
        <v>49536002</v>
      </c>
      <c r="W2383">
        <f>SUM(POTABLE_NONPOTABLE_API[[#This Row],[NONPOTABLE_DEMAND_RESIDENTIAL_RECYCLED_WATER_GAL]:[NONPOTABLE_DEMAND_NONRESIDENTIAL_METERED_IRRIGATION_GAL]])</f>
        <v>0</v>
      </c>
      <c r="X2383" t="str">
        <f>IFERROR(INDEX(Crosswalk_API!$H$2:$H$527, MATCH(POTABLE_NONPOTABLE_API[[#This Row],[PWSID]], CW_PWSID_LIST, 0)), "")</f>
        <v>No</v>
      </c>
    </row>
    <row r="2384" spans="1:24" x14ac:dyDescent="0.25">
      <c r="A2384" t="s">
        <v>1413</v>
      </c>
      <c r="B2384" t="s">
        <v>1414</v>
      </c>
      <c r="C2384" t="s">
        <v>1415</v>
      </c>
      <c r="D2384" t="s">
        <v>1416</v>
      </c>
      <c r="E2384" s="9">
        <v>45292</v>
      </c>
      <c r="F2384" s="9">
        <v>45322</v>
      </c>
      <c r="G2384">
        <v>23650412</v>
      </c>
      <c r="H2384">
        <v>17784188</v>
      </c>
      <c r="I2384">
        <v>9204032</v>
      </c>
      <c r="J2384">
        <v>298473</v>
      </c>
      <c r="K2384">
        <v>135397</v>
      </c>
      <c r="L2384">
        <v>10473</v>
      </c>
      <c r="M2384">
        <v>0</v>
      </c>
      <c r="T2384" s="9">
        <v>45108</v>
      </c>
      <c r="U2384" s="9">
        <v>45473</v>
      </c>
      <c r="V2384">
        <f>SUM(POTABLE_NONPOTABLE_API[[#This Row],[RESIDENTIAL_SINGLEFAMILY_GAL]:[OTHER_GAL]])</f>
        <v>51082975</v>
      </c>
      <c r="W2384">
        <f>SUM(POTABLE_NONPOTABLE_API[[#This Row],[NONPOTABLE_DEMAND_RESIDENTIAL_RECYCLED_WATER_GAL]:[NONPOTABLE_DEMAND_NONRESIDENTIAL_METERED_IRRIGATION_GAL]])</f>
        <v>0</v>
      </c>
      <c r="X2384" t="str">
        <f>IFERROR(INDEX(Crosswalk_API!$H$2:$H$527, MATCH(POTABLE_NONPOTABLE_API[[#This Row],[PWSID]], CW_PWSID_LIST, 0)), "")</f>
        <v>No</v>
      </c>
    </row>
    <row r="2385" spans="1:24" x14ac:dyDescent="0.25">
      <c r="A2385" t="s">
        <v>1413</v>
      </c>
      <c r="B2385" t="s">
        <v>1414</v>
      </c>
      <c r="C2385" t="s">
        <v>1415</v>
      </c>
      <c r="D2385" t="s">
        <v>1416</v>
      </c>
      <c r="E2385" s="9">
        <v>45323</v>
      </c>
      <c r="F2385" s="9">
        <v>45351</v>
      </c>
      <c r="G2385">
        <v>24355077</v>
      </c>
      <c r="H2385">
        <v>17508157</v>
      </c>
      <c r="I2385">
        <v>7455086</v>
      </c>
      <c r="J2385">
        <v>312686</v>
      </c>
      <c r="K2385">
        <v>130909</v>
      </c>
      <c r="L2385">
        <v>14213</v>
      </c>
      <c r="M2385">
        <v>0</v>
      </c>
      <c r="T2385" s="9">
        <v>45108</v>
      </c>
      <c r="U2385" s="9">
        <v>45473</v>
      </c>
      <c r="V2385">
        <f>SUM(POTABLE_NONPOTABLE_API[[#This Row],[RESIDENTIAL_SINGLEFAMILY_GAL]:[OTHER_GAL]])</f>
        <v>49776128</v>
      </c>
      <c r="W2385">
        <f>SUM(POTABLE_NONPOTABLE_API[[#This Row],[NONPOTABLE_DEMAND_RESIDENTIAL_RECYCLED_WATER_GAL]:[NONPOTABLE_DEMAND_NONRESIDENTIAL_METERED_IRRIGATION_GAL]])</f>
        <v>0</v>
      </c>
      <c r="X2385" t="str">
        <f>IFERROR(INDEX(Crosswalk_API!$H$2:$H$527, MATCH(POTABLE_NONPOTABLE_API[[#This Row],[PWSID]], CW_PWSID_LIST, 0)), "")</f>
        <v>No</v>
      </c>
    </row>
    <row r="2386" spans="1:24" x14ac:dyDescent="0.25">
      <c r="A2386" t="s">
        <v>1413</v>
      </c>
      <c r="B2386" t="s">
        <v>1414</v>
      </c>
      <c r="C2386" t="s">
        <v>1415</v>
      </c>
      <c r="D2386" t="s">
        <v>1416</v>
      </c>
      <c r="E2386" s="9">
        <v>45352</v>
      </c>
      <c r="F2386" s="9">
        <v>45382</v>
      </c>
      <c r="G2386">
        <v>20212365</v>
      </c>
      <c r="H2386">
        <v>15474204</v>
      </c>
      <c r="I2386">
        <v>6996530</v>
      </c>
      <c r="J2386">
        <v>306701</v>
      </c>
      <c r="K2386">
        <v>184769</v>
      </c>
      <c r="L2386">
        <v>9725</v>
      </c>
      <c r="M2386">
        <v>0</v>
      </c>
      <c r="T2386" s="9">
        <v>45108</v>
      </c>
      <c r="U2386" s="9">
        <v>45473</v>
      </c>
      <c r="V2386">
        <f>SUM(POTABLE_NONPOTABLE_API[[#This Row],[RESIDENTIAL_SINGLEFAMILY_GAL]:[OTHER_GAL]])</f>
        <v>43184294</v>
      </c>
      <c r="W2386">
        <f>SUM(POTABLE_NONPOTABLE_API[[#This Row],[NONPOTABLE_DEMAND_RESIDENTIAL_RECYCLED_WATER_GAL]:[NONPOTABLE_DEMAND_NONRESIDENTIAL_METERED_IRRIGATION_GAL]])</f>
        <v>0</v>
      </c>
      <c r="X2386" t="str">
        <f>IFERROR(INDEX(Crosswalk_API!$H$2:$H$527, MATCH(POTABLE_NONPOTABLE_API[[#This Row],[PWSID]], CW_PWSID_LIST, 0)), "")</f>
        <v>No</v>
      </c>
    </row>
    <row r="2387" spans="1:24" x14ac:dyDescent="0.25">
      <c r="A2387" t="s">
        <v>1413</v>
      </c>
      <c r="B2387" t="s">
        <v>1414</v>
      </c>
      <c r="C2387" t="s">
        <v>1415</v>
      </c>
      <c r="D2387" t="s">
        <v>1416</v>
      </c>
      <c r="E2387" s="9">
        <v>45383</v>
      </c>
      <c r="F2387" s="9">
        <v>45412</v>
      </c>
      <c r="G2387">
        <v>20925259</v>
      </c>
      <c r="H2387">
        <v>15832521</v>
      </c>
      <c r="I2387">
        <v>8058016</v>
      </c>
      <c r="J2387">
        <v>339616</v>
      </c>
      <c r="K2387">
        <v>239377</v>
      </c>
      <c r="L2387">
        <v>8977</v>
      </c>
      <c r="M2387">
        <v>0</v>
      </c>
      <c r="T2387" s="9">
        <v>45108</v>
      </c>
      <c r="U2387" s="9">
        <v>45473</v>
      </c>
      <c r="V2387">
        <f>SUM(POTABLE_NONPOTABLE_API[[#This Row],[RESIDENTIAL_SINGLEFAMILY_GAL]:[OTHER_GAL]])</f>
        <v>45403766</v>
      </c>
      <c r="W2387">
        <f>SUM(POTABLE_NONPOTABLE_API[[#This Row],[NONPOTABLE_DEMAND_RESIDENTIAL_RECYCLED_WATER_GAL]:[NONPOTABLE_DEMAND_NONRESIDENTIAL_METERED_IRRIGATION_GAL]])</f>
        <v>0</v>
      </c>
      <c r="X2387" t="str">
        <f>IFERROR(INDEX(Crosswalk_API!$H$2:$H$527, MATCH(POTABLE_NONPOTABLE_API[[#This Row],[PWSID]], CW_PWSID_LIST, 0)), "")</f>
        <v>No</v>
      </c>
    </row>
    <row r="2388" spans="1:24" x14ac:dyDescent="0.25">
      <c r="A2388" t="s">
        <v>1413</v>
      </c>
      <c r="B2388" t="s">
        <v>1414</v>
      </c>
      <c r="C2388" t="s">
        <v>1415</v>
      </c>
      <c r="D2388" t="s">
        <v>1416</v>
      </c>
      <c r="E2388" s="9">
        <v>45413</v>
      </c>
      <c r="F2388" s="9">
        <v>45443</v>
      </c>
      <c r="G2388">
        <v>23950381</v>
      </c>
      <c r="H2388">
        <v>17273269</v>
      </c>
      <c r="I2388">
        <v>8464956</v>
      </c>
      <c r="J2388">
        <v>299221</v>
      </c>
      <c r="K2388">
        <v>374774</v>
      </c>
      <c r="L2388">
        <v>6732</v>
      </c>
      <c r="M2388">
        <v>0</v>
      </c>
      <c r="T2388" s="9">
        <v>45108</v>
      </c>
      <c r="U2388" s="9">
        <v>45473</v>
      </c>
      <c r="V2388">
        <f>SUM(POTABLE_NONPOTABLE_API[[#This Row],[RESIDENTIAL_SINGLEFAMILY_GAL]:[OTHER_GAL]])</f>
        <v>50369333</v>
      </c>
      <c r="W2388">
        <f>SUM(POTABLE_NONPOTABLE_API[[#This Row],[NONPOTABLE_DEMAND_RESIDENTIAL_RECYCLED_WATER_GAL]:[NONPOTABLE_DEMAND_NONRESIDENTIAL_METERED_IRRIGATION_GAL]])</f>
        <v>0</v>
      </c>
      <c r="X2388" t="str">
        <f>IFERROR(INDEX(Crosswalk_API!$H$2:$H$527, MATCH(POTABLE_NONPOTABLE_API[[#This Row],[PWSID]], CW_PWSID_LIST, 0)), "")</f>
        <v>No</v>
      </c>
    </row>
    <row r="2389" spans="1:24" x14ac:dyDescent="0.25">
      <c r="A2389" t="s">
        <v>1413</v>
      </c>
      <c r="B2389" t="s">
        <v>1414</v>
      </c>
      <c r="C2389" t="s">
        <v>1415</v>
      </c>
      <c r="D2389" t="s">
        <v>1416</v>
      </c>
      <c r="E2389" s="9">
        <v>45444</v>
      </c>
      <c r="F2389" s="9">
        <v>45473</v>
      </c>
      <c r="G2389">
        <v>26463836</v>
      </c>
      <c r="H2389">
        <v>18820240</v>
      </c>
      <c r="I2389">
        <v>9096312</v>
      </c>
      <c r="J2389">
        <v>115948</v>
      </c>
      <c r="K2389">
        <v>482494</v>
      </c>
      <c r="L2389">
        <v>10473</v>
      </c>
      <c r="M2389">
        <v>0</v>
      </c>
      <c r="T2389" s="9">
        <v>45108</v>
      </c>
      <c r="U2389" s="9">
        <v>45473</v>
      </c>
      <c r="V2389">
        <f>SUM(POTABLE_NONPOTABLE_API[[#This Row],[RESIDENTIAL_SINGLEFAMILY_GAL]:[OTHER_GAL]])</f>
        <v>54989303</v>
      </c>
      <c r="W2389">
        <f>SUM(POTABLE_NONPOTABLE_API[[#This Row],[NONPOTABLE_DEMAND_RESIDENTIAL_RECYCLED_WATER_GAL]:[NONPOTABLE_DEMAND_NONRESIDENTIAL_METERED_IRRIGATION_GAL]])</f>
        <v>0</v>
      </c>
      <c r="X2389" t="str">
        <f>IFERROR(INDEX(Crosswalk_API!$H$2:$H$527, MATCH(POTABLE_NONPOTABLE_API[[#This Row],[PWSID]], CW_PWSID_LIST, 0)), "")</f>
        <v>No</v>
      </c>
    </row>
    <row r="2390" spans="1:24" x14ac:dyDescent="0.25">
      <c r="A2390" t="s">
        <v>1417</v>
      </c>
      <c r="B2390" t="s">
        <v>1418</v>
      </c>
      <c r="C2390" t="s">
        <v>1419</v>
      </c>
      <c r="D2390" t="s">
        <v>1420</v>
      </c>
      <c r="E2390" s="9">
        <v>45108</v>
      </c>
      <c r="F2390" s="9">
        <v>45138</v>
      </c>
      <c r="G2390">
        <v>267632808</v>
      </c>
      <c r="H2390">
        <v>244779820</v>
      </c>
      <c r="I2390">
        <v>147773932</v>
      </c>
      <c r="J2390">
        <v>11511772</v>
      </c>
      <c r="K2390">
        <v>7432645</v>
      </c>
      <c r="L2390">
        <v>243865</v>
      </c>
      <c r="M2390">
        <v>0</v>
      </c>
      <c r="T2390" s="9">
        <v>45108</v>
      </c>
      <c r="U2390" s="9">
        <v>45473</v>
      </c>
      <c r="V2390">
        <f>SUM(POTABLE_NONPOTABLE_API[[#This Row],[RESIDENTIAL_SINGLEFAMILY_GAL]:[OTHER_GAL]])</f>
        <v>679374842</v>
      </c>
      <c r="W2390">
        <f>SUM(POTABLE_NONPOTABLE_API[[#This Row],[NONPOTABLE_DEMAND_RESIDENTIAL_RECYCLED_WATER_GAL]:[NONPOTABLE_DEMAND_NONRESIDENTIAL_METERED_IRRIGATION_GAL]])</f>
        <v>0</v>
      </c>
      <c r="X2390" t="str">
        <f>IFERROR(INDEX(Crosswalk_API!$H$2:$H$527, MATCH(POTABLE_NONPOTABLE_API[[#This Row],[PWSID]], CW_PWSID_LIST, 0)), "")</f>
        <v>No</v>
      </c>
    </row>
    <row r="2391" spans="1:24" x14ac:dyDescent="0.25">
      <c r="A2391" t="s">
        <v>1417</v>
      </c>
      <c r="B2391" t="s">
        <v>1418</v>
      </c>
      <c r="C2391" t="s">
        <v>1419</v>
      </c>
      <c r="D2391" t="s">
        <v>1420</v>
      </c>
      <c r="E2391" s="9">
        <v>45139</v>
      </c>
      <c r="F2391" s="9">
        <v>45169</v>
      </c>
      <c r="G2391">
        <v>240426905</v>
      </c>
      <c r="H2391">
        <v>212795360</v>
      </c>
      <c r="I2391">
        <v>204569032</v>
      </c>
      <c r="J2391">
        <v>13808292</v>
      </c>
      <c r="K2391">
        <v>11452676</v>
      </c>
      <c r="L2391">
        <v>200478</v>
      </c>
      <c r="M2391">
        <v>0</v>
      </c>
      <c r="T2391" s="9">
        <v>45108</v>
      </c>
      <c r="U2391" s="9">
        <v>45473</v>
      </c>
      <c r="V2391">
        <f>SUM(POTABLE_NONPOTABLE_API[[#This Row],[RESIDENTIAL_SINGLEFAMILY_GAL]:[OTHER_GAL]])</f>
        <v>683252743</v>
      </c>
      <c r="W2391">
        <f>SUM(POTABLE_NONPOTABLE_API[[#This Row],[NONPOTABLE_DEMAND_RESIDENTIAL_RECYCLED_WATER_GAL]:[NONPOTABLE_DEMAND_NONRESIDENTIAL_METERED_IRRIGATION_GAL]])</f>
        <v>0</v>
      </c>
      <c r="X2391" t="str">
        <f>IFERROR(INDEX(Crosswalk_API!$H$2:$H$527, MATCH(POTABLE_NONPOTABLE_API[[#This Row],[PWSID]], CW_PWSID_LIST, 0)), "")</f>
        <v>No</v>
      </c>
    </row>
    <row r="2392" spans="1:24" x14ac:dyDescent="0.25">
      <c r="A2392" t="s">
        <v>1417</v>
      </c>
      <c r="B2392" t="s">
        <v>1418</v>
      </c>
      <c r="C2392" t="s">
        <v>1419</v>
      </c>
      <c r="D2392" t="s">
        <v>1420</v>
      </c>
      <c r="E2392" s="9">
        <v>45170</v>
      </c>
      <c r="F2392" s="9">
        <v>45199</v>
      </c>
      <c r="G2392">
        <v>252556568</v>
      </c>
      <c r="H2392">
        <v>258186408</v>
      </c>
      <c r="I2392">
        <v>182464844</v>
      </c>
      <c r="J2392">
        <v>14275076</v>
      </c>
      <c r="K2392">
        <v>8791107</v>
      </c>
      <c r="L2392">
        <v>381507</v>
      </c>
      <c r="M2392">
        <v>0</v>
      </c>
      <c r="T2392" s="9">
        <v>45108</v>
      </c>
      <c r="U2392" s="9">
        <v>45473</v>
      </c>
      <c r="V2392">
        <f>SUM(POTABLE_NONPOTABLE_API[[#This Row],[RESIDENTIAL_SINGLEFAMILY_GAL]:[OTHER_GAL]])</f>
        <v>716655510</v>
      </c>
      <c r="W2392">
        <f>SUM(POTABLE_NONPOTABLE_API[[#This Row],[NONPOTABLE_DEMAND_RESIDENTIAL_RECYCLED_WATER_GAL]:[NONPOTABLE_DEMAND_NONRESIDENTIAL_METERED_IRRIGATION_GAL]])</f>
        <v>0</v>
      </c>
      <c r="X2392" t="str">
        <f>IFERROR(INDEX(Crosswalk_API!$H$2:$H$527, MATCH(POTABLE_NONPOTABLE_API[[#This Row],[PWSID]], CW_PWSID_LIST, 0)), "")</f>
        <v>No</v>
      </c>
    </row>
    <row r="2393" spans="1:24" x14ac:dyDescent="0.25">
      <c r="A2393" t="s">
        <v>1417</v>
      </c>
      <c r="B2393" t="s">
        <v>1418</v>
      </c>
      <c r="C2393" t="s">
        <v>1419</v>
      </c>
      <c r="D2393" t="s">
        <v>1420</v>
      </c>
      <c r="E2393" s="9">
        <v>45200</v>
      </c>
      <c r="F2393" s="9">
        <v>45230</v>
      </c>
      <c r="G2393">
        <v>238209679</v>
      </c>
      <c r="H2393">
        <v>231213149</v>
      </c>
      <c r="I2393">
        <v>182547130</v>
      </c>
      <c r="J2393">
        <v>11188614</v>
      </c>
      <c r="K2393">
        <v>10663481</v>
      </c>
      <c r="L2393">
        <v>308197</v>
      </c>
      <c r="M2393">
        <v>0</v>
      </c>
      <c r="T2393" s="9">
        <v>45108</v>
      </c>
      <c r="U2393" s="9">
        <v>45473</v>
      </c>
      <c r="V2393">
        <f>SUM(POTABLE_NONPOTABLE_API[[#This Row],[RESIDENTIAL_SINGLEFAMILY_GAL]:[OTHER_GAL]])</f>
        <v>674130250</v>
      </c>
      <c r="W2393">
        <f>SUM(POTABLE_NONPOTABLE_API[[#This Row],[NONPOTABLE_DEMAND_RESIDENTIAL_RECYCLED_WATER_GAL]:[NONPOTABLE_DEMAND_NONRESIDENTIAL_METERED_IRRIGATION_GAL]])</f>
        <v>0</v>
      </c>
      <c r="X2393" t="str">
        <f>IFERROR(INDEX(Crosswalk_API!$H$2:$H$527, MATCH(POTABLE_NONPOTABLE_API[[#This Row],[PWSID]], CW_PWSID_LIST, 0)), "")</f>
        <v>No</v>
      </c>
    </row>
    <row r="2394" spans="1:24" x14ac:dyDescent="0.25">
      <c r="A2394" t="s">
        <v>1417</v>
      </c>
      <c r="B2394" t="s">
        <v>1418</v>
      </c>
      <c r="C2394" t="s">
        <v>1419</v>
      </c>
      <c r="D2394" t="s">
        <v>1420</v>
      </c>
      <c r="E2394" s="9">
        <v>45231</v>
      </c>
      <c r="F2394" s="9">
        <v>45260</v>
      </c>
      <c r="G2394">
        <v>227992037</v>
      </c>
      <c r="H2394">
        <v>225237709</v>
      </c>
      <c r="I2394">
        <v>160454162</v>
      </c>
      <c r="J2394">
        <v>10226619</v>
      </c>
      <c r="K2394">
        <v>8021362</v>
      </c>
      <c r="L2394">
        <v>341860</v>
      </c>
      <c r="M2394">
        <v>0</v>
      </c>
      <c r="T2394" s="9">
        <v>45108</v>
      </c>
      <c r="U2394" s="9">
        <v>45473</v>
      </c>
      <c r="V2394">
        <f>SUM(POTABLE_NONPOTABLE_API[[#This Row],[RESIDENTIAL_SINGLEFAMILY_GAL]:[OTHER_GAL]])</f>
        <v>632273749</v>
      </c>
      <c r="W2394">
        <f>SUM(POTABLE_NONPOTABLE_API[[#This Row],[NONPOTABLE_DEMAND_RESIDENTIAL_RECYCLED_WATER_GAL]:[NONPOTABLE_DEMAND_NONRESIDENTIAL_METERED_IRRIGATION_GAL]])</f>
        <v>0</v>
      </c>
      <c r="X2394" t="str">
        <f>IFERROR(INDEX(Crosswalk_API!$H$2:$H$527, MATCH(POTABLE_NONPOTABLE_API[[#This Row],[PWSID]], CW_PWSID_LIST, 0)), "")</f>
        <v>No</v>
      </c>
    </row>
    <row r="2395" spans="1:24" x14ac:dyDescent="0.25">
      <c r="A2395" t="s">
        <v>1417</v>
      </c>
      <c r="B2395" t="s">
        <v>1418</v>
      </c>
      <c r="C2395" t="s">
        <v>1419</v>
      </c>
      <c r="D2395" t="s">
        <v>1420</v>
      </c>
      <c r="E2395" s="9">
        <v>45261</v>
      </c>
      <c r="F2395" s="9">
        <v>45291</v>
      </c>
      <c r="G2395">
        <v>224204649</v>
      </c>
      <c r="H2395">
        <v>225328223</v>
      </c>
      <c r="I2395">
        <v>145176696</v>
      </c>
      <c r="J2395">
        <v>9337185</v>
      </c>
      <c r="K2395">
        <v>8703585</v>
      </c>
      <c r="L2395">
        <v>386743</v>
      </c>
      <c r="M2395">
        <v>0</v>
      </c>
      <c r="T2395" s="9">
        <v>45108</v>
      </c>
      <c r="U2395" s="9">
        <v>45473</v>
      </c>
      <c r="V2395">
        <f>SUM(POTABLE_NONPOTABLE_API[[#This Row],[RESIDENTIAL_SINGLEFAMILY_GAL]:[OTHER_GAL]])</f>
        <v>613137081</v>
      </c>
      <c r="W2395">
        <f>SUM(POTABLE_NONPOTABLE_API[[#This Row],[NONPOTABLE_DEMAND_RESIDENTIAL_RECYCLED_WATER_GAL]:[NONPOTABLE_DEMAND_NONRESIDENTIAL_METERED_IRRIGATION_GAL]])</f>
        <v>0</v>
      </c>
      <c r="X2395" t="str">
        <f>IFERROR(INDEX(Crosswalk_API!$H$2:$H$527, MATCH(POTABLE_NONPOTABLE_API[[#This Row],[PWSID]], CW_PWSID_LIST, 0)), "")</f>
        <v>No</v>
      </c>
    </row>
    <row r="2396" spans="1:24" x14ac:dyDescent="0.25">
      <c r="A2396" t="s">
        <v>1417</v>
      </c>
      <c r="B2396" t="s">
        <v>1418</v>
      </c>
      <c r="C2396" t="s">
        <v>1419</v>
      </c>
      <c r="D2396" t="s">
        <v>1420</v>
      </c>
      <c r="E2396" s="9">
        <v>45292</v>
      </c>
      <c r="F2396" s="9">
        <v>45322</v>
      </c>
      <c r="G2396">
        <v>210596087</v>
      </c>
      <c r="H2396">
        <v>225515984</v>
      </c>
      <c r="I2396">
        <v>137818856</v>
      </c>
      <c r="J2396">
        <v>6505808</v>
      </c>
      <c r="K2396">
        <v>7829112</v>
      </c>
      <c r="L2396">
        <v>288000</v>
      </c>
      <c r="M2396">
        <v>0</v>
      </c>
      <c r="T2396" s="9">
        <v>45108</v>
      </c>
      <c r="U2396" s="9">
        <v>45473</v>
      </c>
      <c r="V2396">
        <f>SUM(POTABLE_NONPOTABLE_API[[#This Row],[RESIDENTIAL_SINGLEFAMILY_GAL]:[OTHER_GAL]])</f>
        <v>588553847</v>
      </c>
      <c r="W2396">
        <f>SUM(POTABLE_NONPOTABLE_API[[#This Row],[NONPOTABLE_DEMAND_RESIDENTIAL_RECYCLED_WATER_GAL]:[NONPOTABLE_DEMAND_NONRESIDENTIAL_METERED_IRRIGATION_GAL]])</f>
        <v>0</v>
      </c>
      <c r="X2396" t="str">
        <f>IFERROR(INDEX(Crosswalk_API!$H$2:$H$527, MATCH(POTABLE_NONPOTABLE_API[[#This Row],[PWSID]], CW_PWSID_LIST, 0)), "")</f>
        <v>No</v>
      </c>
    </row>
    <row r="2397" spans="1:24" x14ac:dyDescent="0.25">
      <c r="A2397" t="s">
        <v>1417</v>
      </c>
      <c r="B2397" t="s">
        <v>1418</v>
      </c>
      <c r="C2397" t="s">
        <v>1419</v>
      </c>
      <c r="D2397" t="s">
        <v>1420</v>
      </c>
      <c r="E2397" s="9">
        <v>45323</v>
      </c>
      <c r="F2397" s="9">
        <v>45351</v>
      </c>
      <c r="G2397">
        <v>207965937</v>
      </c>
      <c r="H2397">
        <v>226463766</v>
      </c>
      <c r="I2397">
        <v>131141744</v>
      </c>
      <c r="J2397">
        <v>4073143</v>
      </c>
      <c r="K2397">
        <v>8809808</v>
      </c>
      <c r="L2397">
        <v>227408</v>
      </c>
      <c r="M2397">
        <v>0</v>
      </c>
      <c r="T2397" s="9">
        <v>45108</v>
      </c>
      <c r="U2397" s="9">
        <v>45473</v>
      </c>
      <c r="V2397">
        <f>SUM(POTABLE_NONPOTABLE_API[[#This Row],[RESIDENTIAL_SINGLEFAMILY_GAL]:[OTHER_GAL]])</f>
        <v>578681806</v>
      </c>
      <c r="W2397">
        <f>SUM(POTABLE_NONPOTABLE_API[[#This Row],[NONPOTABLE_DEMAND_RESIDENTIAL_RECYCLED_WATER_GAL]:[NONPOTABLE_DEMAND_NONRESIDENTIAL_METERED_IRRIGATION_GAL]])</f>
        <v>0</v>
      </c>
      <c r="X2397" t="str">
        <f>IFERROR(INDEX(Crosswalk_API!$H$2:$H$527, MATCH(POTABLE_NONPOTABLE_API[[#This Row],[PWSID]], CW_PWSID_LIST, 0)), "")</f>
        <v>No</v>
      </c>
    </row>
    <row r="2398" spans="1:24" x14ac:dyDescent="0.25">
      <c r="A2398" t="s">
        <v>1417</v>
      </c>
      <c r="B2398" t="s">
        <v>1418</v>
      </c>
      <c r="C2398" t="s">
        <v>1419</v>
      </c>
      <c r="D2398" t="s">
        <v>1420</v>
      </c>
      <c r="E2398" s="9">
        <v>45352</v>
      </c>
      <c r="F2398" s="9">
        <v>45382</v>
      </c>
      <c r="G2398">
        <v>180216948</v>
      </c>
      <c r="H2398">
        <v>202533583</v>
      </c>
      <c r="I2398">
        <v>116903322</v>
      </c>
      <c r="J2398">
        <v>3228592</v>
      </c>
      <c r="K2398">
        <v>7827616</v>
      </c>
      <c r="L2398">
        <v>240873</v>
      </c>
      <c r="M2398">
        <v>0</v>
      </c>
      <c r="T2398" s="9">
        <v>45108</v>
      </c>
      <c r="U2398" s="9">
        <v>45473</v>
      </c>
      <c r="V2398">
        <f>SUM(POTABLE_NONPOTABLE_API[[#This Row],[RESIDENTIAL_SINGLEFAMILY_GAL]:[OTHER_GAL]])</f>
        <v>510950934</v>
      </c>
      <c r="W2398">
        <f>SUM(POTABLE_NONPOTABLE_API[[#This Row],[NONPOTABLE_DEMAND_RESIDENTIAL_RECYCLED_WATER_GAL]:[NONPOTABLE_DEMAND_NONRESIDENTIAL_METERED_IRRIGATION_GAL]])</f>
        <v>0</v>
      </c>
      <c r="X2398" t="str">
        <f>IFERROR(INDEX(Crosswalk_API!$H$2:$H$527, MATCH(POTABLE_NONPOTABLE_API[[#This Row],[PWSID]], CW_PWSID_LIST, 0)), "")</f>
        <v>No</v>
      </c>
    </row>
    <row r="2399" spans="1:24" x14ac:dyDescent="0.25">
      <c r="A2399" t="s">
        <v>1417</v>
      </c>
      <c r="B2399" t="s">
        <v>1418</v>
      </c>
      <c r="C2399" t="s">
        <v>1419</v>
      </c>
      <c r="D2399" t="s">
        <v>1420</v>
      </c>
      <c r="E2399" s="9">
        <v>45383</v>
      </c>
      <c r="F2399" s="9">
        <v>45412</v>
      </c>
      <c r="G2399">
        <v>190935037</v>
      </c>
      <c r="H2399">
        <v>208112555</v>
      </c>
      <c r="I2399">
        <v>134811687</v>
      </c>
      <c r="J2399">
        <v>5434598</v>
      </c>
      <c r="K2399">
        <v>8967647</v>
      </c>
      <c r="L2399">
        <v>148114</v>
      </c>
      <c r="M2399">
        <v>0</v>
      </c>
      <c r="T2399" s="9">
        <v>45108</v>
      </c>
      <c r="U2399" s="9">
        <v>45473</v>
      </c>
      <c r="V2399">
        <f>SUM(POTABLE_NONPOTABLE_API[[#This Row],[RESIDENTIAL_SINGLEFAMILY_GAL]:[OTHER_GAL]])</f>
        <v>548409638</v>
      </c>
      <c r="W2399">
        <f>SUM(POTABLE_NONPOTABLE_API[[#This Row],[NONPOTABLE_DEMAND_RESIDENTIAL_RECYCLED_WATER_GAL]:[NONPOTABLE_DEMAND_NONRESIDENTIAL_METERED_IRRIGATION_GAL]])</f>
        <v>0</v>
      </c>
      <c r="X2399" t="str">
        <f>IFERROR(INDEX(Crosswalk_API!$H$2:$H$527, MATCH(POTABLE_NONPOTABLE_API[[#This Row],[PWSID]], CW_PWSID_LIST, 0)), "")</f>
        <v>No</v>
      </c>
    </row>
    <row r="2400" spans="1:24" x14ac:dyDescent="0.25">
      <c r="A2400" t="s">
        <v>1417</v>
      </c>
      <c r="B2400" t="s">
        <v>1418</v>
      </c>
      <c r="C2400" t="s">
        <v>1419</v>
      </c>
      <c r="D2400" t="s">
        <v>1420</v>
      </c>
      <c r="E2400" s="9">
        <v>45413</v>
      </c>
      <c r="F2400" s="9">
        <v>45443</v>
      </c>
      <c r="G2400">
        <v>200921531</v>
      </c>
      <c r="H2400">
        <v>205694103</v>
      </c>
      <c r="I2400">
        <v>142886161</v>
      </c>
      <c r="J2400">
        <v>7998172</v>
      </c>
      <c r="K2400">
        <v>9881019</v>
      </c>
      <c r="L2400">
        <v>163823</v>
      </c>
      <c r="M2400">
        <v>0</v>
      </c>
      <c r="T2400" s="9">
        <v>45108</v>
      </c>
      <c r="U2400" s="9">
        <v>45473</v>
      </c>
      <c r="V2400">
        <f>SUM(POTABLE_NONPOTABLE_API[[#This Row],[RESIDENTIAL_SINGLEFAMILY_GAL]:[OTHER_GAL]])</f>
        <v>567544809</v>
      </c>
      <c r="W2400">
        <f>SUM(POTABLE_NONPOTABLE_API[[#This Row],[NONPOTABLE_DEMAND_RESIDENTIAL_RECYCLED_WATER_GAL]:[NONPOTABLE_DEMAND_NONRESIDENTIAL_METERED_IRRIGATION_GAL]])</f>
        <v>0</v>
      </c>
      <c r="X2400" t="str">
        <f>IFERROR(INDEX(Crosswalk_API!$H$2:$H$527, MATCH(POTABLE_NONPOTABLE_API[[#This Row],[PWSID]], CW_PWSID_LIST, 0)), "")</f>
        <v>No</v>
      </c>
    </row>
    <row r="2401" spans="1:24" x14ac:dyDescent="0.25">
      <c r="A2401" t="s">
        <v>1417</v>
      </c>
      <c r="B2401" t="s">
        <v>1418</v>
      </c>
      <c r="C2401" t="s">
        <v>1419</v>
      </c>
      <c r="D2401" t="s">
        <v>1420</v>
      </c>
      <c r="E2401" s="9">
        <v>45444</v>
      </c>
      <c r="F2401" s="9">
        <v>45473</v>
      </c>
      <c r="G2401">
        <v>258735478</v>
      </c>
      <c r="H2401">
        <v>242380069</v>
      </c>
      <c r="I2401">
        <v>165467606</v>
      </c>
      <c r="J2401">
        <v>11999502</v>
      </c>
      <c r="K2401">
        <v>9716447</v>
      </c>
      <c r="L2401">
        <v>267055</v>
      </c>
      <c r="M2401">
        <v>0</v>
      </c>
      <c r="T2401" s="9">
        <v>45108</v>
      </c>
      <c r="U2401" s="9">
        <v>45473</v>
      </c>
      <c r="V2401">
        <f>SUM(POTABLE_NONPOTABLE_API[[#This Row],[RESIDENTIAL_SINGLEFAMILY_GAL]:[OTHER_GAL]])</f>
        <v>688566157</v>
      </c>
      <c r="W2401">
        <f>SUM(POTABLE_NONPOTABLE_API[[#This Row],[NONPOTABLE_DEMAND_RESIDENTIAL_RECYCLED_WATER_GAL]:[NONPOTABLE_DEMAND_NONRESIDENTIAL_METERED_IRRIGATION_GAL]])</f>
        <v>0</v>
      </c>
      <c r="X2401" t="str">
        <f>IFERROR(INDEX(Crosswalk_API!$H$2:$H$527, MATCH(POTABLE_NONPOTABLE_API[[#This Row],[PWSID]], CW_PWSID_LIST, 0)), "")</f>
        <v>No</v>
      </c>
    </row>
    <row r="2402" spans="1:24" x14ac:dyDescent="0.25">
      <c r="A2402" t="s">
        <v>1421</v>
      </c>
      <c r="B2402" t="s">
        <v>1422</v>
      </c>
      <c r="C2402" t="s">
        <v>1423</v>
      </c>
      <c r="D2402" t="s">
        <v>1424</v>
      </c>
      <c r="E2402" s="9">
        <v>45108</v>
      </c>
      <c r="F2402" s="9">
        <v>45138</v>
      </c>
      <c r="G2402">
        <v>182549374</v>
      </c>
      <c r="H2402">
        <v>65586207</v>
      </c>
      <c r="I2402">
        <v>150049507</v>
      </c>
      <c r="J2402">
        <v>26239420</v>
      </c>
      <c r="K2402">
        <v>987429</v>
      </c>
      <c r="L2402">
        <v>1961392</v>
      </c>
      <c r="M2402">
        <v>0</v>
      </c>
      <c r="T2402" s="9">
        <v>45108</v>
      </c>
      <c r="U2402" s="9">
        <v>45473</v>
      </c>
      <c r="V2402">
        <f>SUM(POTABLE_NONPOTABLE_API[[#This Row],[RESIDENTIAL_SINGLEFAMILY_GAL]:[OTHER_GAL]])</f>
        <v>427373329</v>
      </c>
      <c r="W2402">
        <f>SUM(POTABLE_NONPOTABLE_API[[#This Row],[NONPOTABLE_DEMAND_RESIDENTIAL_RECYCLED_WATER_GAL]:[NONPOTABLE_DEMAND_NONRESIDENTIAL_METERED_IRRIGATION_GAL]])</f>
        <v>0</v>
      </c>
      <c r="X2402" t="str">
        <f>IFERROR(INDEX(Crosswalk_API!$H$2:$H$527, MATCH(POTABLE_NONPOTABLE_API[[#This Row],[PWSID]], CW_PWSID_LIST, 0)), "")</f>
        <v>No</v>
      </c>
    </row>
    <row r="2403" spans="1:24" x14ac:dyDescent="0.25">
      <c r="A2403" t="s">
        <v>1421</v>
      </c>
      <c r="B2403" t="s">
        <v>1422</v>
      </c>
      <c r="C2403" t="s">
        <v>1423</v>
      </c>
      <c r="D2403" t="s">
        <v>1424</v>
      </c>
      <c r="E2403" s="9">
        <v>45139</v>
      </c>
      <c r="F2403" s="9">
        <v>45169</v>
      </c>
      <c r="G2403">
        <v>167193362</v>
      </c>
      <c r="H2403">
        <v>68434041</v>
      </c>
      <c r="I2403">
        <v>102608049</v>
      </c>
      <c r="J2403">
        <v>28509758</v>
      </c>
      <c r="K2403">
        <v>886442</v>
      </c>
      <c r="L2403">
        <v>1699574</v>
      </c>
      <c r="M2403">
        <v>0</v>
      </c>
      <c r="T2403" s="9">
        <v>45108</v>
      </c>
      <c r="U2403" s="9">
        <v>45473</v>
      </c>
      <c r="V2403">
        <f>SUM(POTABLE_NONPOTABLE_API[[#This Row],[RESIDENTIAL_SINGLEFAMILY_GAL]:[OTHER_GAL]])</f>
        <v>369331226</v>
      </c>
      <c r="W2403">
        <f>SUM(POTABLE_NONPOTABLE_API[[#This Row],[NONPOTABLE_DEMAND_RESIDENTIAL_RECYCLED_WATER_GAL]:[NONPOTABLE_DEMAND_NONRESIDENTIAL_METERED_IRRIGATION_GAL]])</f>
        <v>0</v>
      </c>
      <c r="X2403" t="str">
        <f>IFERROR(INDEX(Crosswalk_API!$H$2:$H$527, MATCH(POTABLE_NONPOTABLE_API[[#This Row],[PWSID]], CW_PWSID_LIST, 0)), "")</f>
        <v>No</v>
      </c>
    </row>
    <row r="2404" spans="1:24" x14ac:dyDescent="0.25">
      <c r="A2404" t="s">
        <v>1421</v>
      </c>
      <c r="B2404" t="s">
        <v>1422</v>
      </c>
      <c r="C2404" t="s">
        <v>1423</v>
      </c>
      <c r="D2404" t="s">
        <v>1424</v>
      </c>
      <c r="E2404" s="9">
        <v>45170</v>
      </c>
      <c r="F2404" s="9">
        <v>45199</v>
      </c>
      <c r="G2404">
        <v>184930423.23199999</v>
      </c>
      <c r="H2404">
        <v>75352026.011999995</v>
      </c>
      <c r="I2404">
        <v>94190967.579999998</v>
      </c>
      <c r="J2404">
        <v>29684947.515999999</v>
      </c>
      <c r="K2404">
        <v>1065974.1000000001</v>
      </c>
      <c r="L2404">
        <v>1810285.84</v>
      </c>
      <c r="M2404">
        <v>0</v>
      </c>
      <c r="T2404" s="9">
        <v>45108</v>
      </c>
      <c r="U2404" s="9">
        <v>45473</v>
      </c>
      <c r="V2404">
        <f>SUM(POTABLE_NONPOTABLE_API[[#This Row],[RESIDENTIAL_SINGLEFAMILY_GAL]:[OTHER_GAL]])</f>
        <v>387034624.27999997</v>
      </c>
      <c r="W2404">
        <f>SUM(POTABLE_NONPOTABLE_API[[#This Row],[NONPOTABLE_DEMAND_RESIDENTIAL_RECYCLED_WATER_GAL]:[NONPOTABLE_DEMAND_NONRESIDENTIAL_METERED_IRRIGATION_GAL]])</f>
        <v>0</v>
      </c>
      <c r="X2404" t="str">
        <f>IFERROR(INDEX(Crosswalk_API!$H$2:$H$527, MATCH(POTABLE_NONPOTABLE_API[[#This Row],[PWSID]], CW_PWSID_LIST, 0)), "")</f>
        <v>No</v>
      </c>
    </row>
    <row r="2405" spans="1:24" x14ac:dyDescent="0.25">
      <c r="A2405" t="s">
        <v>1421</v>
      </c>
      <c r="B2405" t="s">
        <v>1422</v>
      </c>
      <c r="C2405" t="s">
        <v>1423</v>
      </c>
      <c r="D2405" t="s">
        <v>1424</v>
      </c>
      <c r="E2405" s="9">
        <v>45200</v>
      </c>
      <c r="F2405" s="9">
        <v>45230</v>
      </c>
      <c r="G2405">
        <v>155757891</v>
      </c>
      <c r="H2405">
        <v>53076534</v>
      </c>
      <c r="I2405">
        <v>80822530</v>
      </c>
      <c r="J2405">
        <v>25895316</v>
      </c>
      <c r="K2405">
        <v>846047</v>
      </c>
      <c r="L2405">
        <v>1181174</v>
      </c>
      <c r="M2405">
        <v>0</v>
      </c>
      <c r="T2405" s="9">
        <v>45108</v>
      </c>
      <c r="U2405" s="9">
        <v>45473</v>
      </c>
      <c r="V2405">
        <f>SUM(POTABLE_NONPOTABLE_API[[#This Row],[RESIDENTIAL_SINGLEFAMILY_GAL]:[OTHER_GAL]])</f>
        <v>317579492</v>
      </c>
      <c r="W2405">
        <f>SUM(POTABLE_NONPOTABLE_API[[#This Row],[NONPOTABLE_DEMAND_RESIDENTIAL_RECYCLED_WATER_GAL]:[NONPOTABLE_DEMAND_NONRESIDENTIAL_METERED_IRRIGATION_GAL]])</f>
        <v>0</v>
      </c>
      <c r="X2405" t="str">
        <f>IFERROR(INDEX(Crosswalk_API!$H$2:$H$527, MATCH(POTABLE_NONPOTABLE_API[[#This Row],[PWSID]], CW_PWSID_LIST, 0)), "")</f>
        <v>No</v>
      </c>
    </row>
    <row r="2406" spans="1:24" x14ac:dyDescent="0.25">
      <c r="A2406" t="s">
        <v>1421</v>
      </c>
      <c r="B2406" t="s">
        <v>1422</v>
      </c>
      <c r="C2406" t="s">
        <v>1423</v>
      </c>
      <c r="D2406" t="s">
        <v>1424</v>
      </c>
      <c r="E2406" s="9">
        <v>45231</v>
      </c>
      <c r="F2406" s="9">
        <v>45260</v>
      </c>
      <c r="G2406">
        <v>169442007</v>
      </c>
      <c r="H2406">
        <v>77292473</v>
      </c>
      <c r="I2406">
        <v>82522852</v>
      </c>
      <c r="J2406">
        <v>23140989</v>
      </c>
      <c r="K2406">
        <v>925340</v>
      </c>
      <c r="L2406">
        <v>1963637</v>
      </c>
      <c r="M2406">
        <v>0</v>
      </c>
      <c r="T2406" s="9">
        <v>45108</v>
      </c>
      <c r="U2406" s="9">
        <v>45473</v>
      </c>
      <c r="V2406">
        <f>SUM(POTABLE_NONPOTABLE_API[[#This Row],[RESIDENTIAL_SINGLEFAMILY_GAL]:[OTHER_GAL]])</f>
        <v>355287298</v>
      </c>
      <c r="W2406">
        <f>SUM(POTABLE_NONPOTABLE_API[[#This Row],[NONPOTABLE_DEMAND_RESIDENTIAL_RECYCLED_WATER_GAL]:[NONPOTABLE_DEMAND_NONRESIDENTIAL_METERED_IRRIGATION_GAL]])</f>
        <v>0</v>
      </c>
      <c r="X2406" t="str">
        <f>IFERROR(INDEX(Crosswalk_API!$H$2:$H$527, MATCH(POTABLE_NONPOTABLE_API[[#This Row],[PWSID]], CW_PWSID_LIST, 0)), "")</f>
        <v>No</v>
      </c>
    </row>
    <row r="2407" spans="1:24" x14ac:dyDescent="0.25">
      <c r="A2407" t="s">
        <v>1421</v>
      </c>
      <c r="B2407" t="s">
        <v>1422</v>
      </c>
      <c r="C2407" t="s">
        <v>1423</v>
      </c>
      <c r="D2407" t="s">
        <v>1424</v>
      </c>
      <c r="E2407" s="9">
        <v>45261</v>
      </c>
      <c r="F2407" s="9">
        <v>45291</v>
      </c>
      <c r="G2407">
        <v>148833922</v>
      </c>
      <c r="H2407">
        <v>60130664</v>
      </c>
      <c r="I2407">
        <v>70662488</v>
      </c>
      <c r="J2407">
        <v>19317695</v>
      </c>
      <c r="K2407">
        <v>664270</v>
      </c>
      <c r="L2407">
        <v>1418307</v>
      </c>
      <c r="M2407">
        <v>0</v>
      </c>
      <c r="T2407" s="9">
        <v>45108</v>
      </c>
      <c r="U2407" s="9">
        <v>45473</v>
      </c>
      <c r="V2407">
        <f>SUM(POTABLE_NONPOTABLE_API[[#This Row],[RESIDENTIAL_SINGLEFAMILY_GAL]:[OTHER_GAL]])</f>
        <v>301027346</v>
      </c>
      <c r="W2407">
        <f>SUM(POTABLE_NONPOTABLE_API[[#This Row],[NONPOTABLE_DEMAND_RESIDENTIAL_RECYCLED_WATER_GAL]:[NONPOTABLE_DEMAND_NONRESIDENTIAL_METERED_IRRIGATION_GAL]])</f>
        <v>0</v>
      </c>
      <c r="X2407" t="str">
        <f>IFERROR(INDEX(Crosswalk_API!$H$2:$H$527, MATCH(POTABLE_NONPOTABLE_API[[#This Row],[PWSID]], CW_PWSID_LIST, 0)), "")</f>
        <v>No</v>
      </c>
    </row>
    <row r="2408" spans="1:24" x14ac:dyDescent="0.25">
      <c r="A2408" t="s">
        <v>1421</v>
      </c>
      <c r="B2408" t="s">
        <v>1422</v>
      </c>
      <c r="C2408" t="s">
        <v>1423</v>
      </c>
      <c r="D2408" t="s">
        <v>1424</v>
      </c>
      <c r="E2408" s="9">
        <v>45292</v>
      </c>
      <c r="F2408" s="9">
        <v>45322</v>
      </c>
      <c r="G2408">
        <v>141478326</v>
      </c>
      <c r="H2408">
        <v>66781594</v>
      </c>
      <c r="I2408">
        <v>61198882</v>
      </c>
      <c r="J2408">
        <v>10495170</v>
      </c>
      <c r="K2408">
        <v>634348</v>
      </c>
      <c r="L2408">
        <v>1573901</v>
      </c>
      <c r="M2408">
        <v>0</v>
      </c>
      <c r="T2408" s="9">
        <v>45108</v>
      </c>
      <c r="U2408" s="9">
        <v>45473</v>
      </c>
      <c r="V2408">
        <f>SUM(POTABLE_NONPOTABLE_API[[#This Row],[RESIDENTIAL_SINGLEFAMILY_GAL]:[OTHER_GAL]])</f>
        <v>282162221</v>
      </c>
      <c r="W2408">
        <f>SUM(POTABLE_NONPOTABLE_API[[#This Row],[NONPOTABLE_DEMAND_RESIDENTIAL_RECYCLED_WATER_GAL]:[NONPOTABLE_DEMAND_NONRESIDENTIAL_METERED_IRRIGATION_GAL]])</f>
        <v>0</v>
      </c>
      <c r="X2408" t="str">
        <f>IFERROR(INDEX(Crosswalk_API!$H$2:$H$527, MATCH(POTABLE_NONPOTABLE_API[[#This Row],[PWSID]], CW_PWSID_LIST, 0)), "")</f>
        <v>No</v>
      </c>
    </row>
    <row r="2409" spans="1:24" x14ac:dyDescent="0.25">
      <c r="A2409" t="s">
        <v>1421</v>
      </c>
      <c r="B2409" t="s">
        <v>1422</v>
      </c>
      <c r="C2409" t="s">
        <v>1423</v>
      </c>
      <c r="D2409" t="s">
        <v>1424</v>
      </c>
      <c r="E2409" s="9">
        <v>45323</v>
      </c>
      <c r="F2409" s="9">
        <v>45351</v>
      </c>
      <c r="G2409">
        <v>131964601</v>
      </c>
      <c r="H2409">
        <v>58066040</v>
      </c>
      <c r="I2409">
        <v>55153126</v>
      </c>
      <c r="J2409">
        <v>7824624</v>
      </c>
      <c r="K2409">
        <v>634348</v>
      </c>
      <c r="L2409">
        <v>1260468</v>
      </c>
      <c r="M2409">
        <v>0</v>
      </c>
      <c r="T2409" s="9">
        <v>45108</v>
      </c>
      <c r="U2409" s="9">
        <v>45473</v>
      </c>
      <c r="V2409">
        <f>SUM(POTABLE_NONPOTABLE_API[[#This Row],[RESIDENTIAL_SINGLEFAMILY_GAL]:[OTHER_GAL]])</f>
        <v>254903207</v>
      </c>
      <c r="W2409">
        <f>SUM(POTABLE_NONPOTABLE_API[[#This Row],[NONPOTABLE_DEMAND_RESIDENTIAL_RECYCLED_WATER_GAL]:[NONPOTABLE_DEMAND_NONRESIDENTIAL_METERED_IRRIGATION_GAL]])</f>
        <v>0</v>
      </c>
      <c r="X2409" t="str">
        <f>IFERROR(INDEX(Crosswalk_API!$H$2:$H$527, MATCH(POTABLE_NONPOTABLE_API[[#This Row],[PWSID]], CW_PWSID_LIST, 0)), "")</f>
        <v>No</v>
      </c>
    </row>
    <row r="2410" spans="1:24" x14ac:dyDescent="0.25">
      <c r="A2410" t="s">
        <v>1421</v>
      </c>
      <c r="B2410" t="s">
        <v>1422</v>
      </c>
      <c r="C2410" t="s">
        <v>1423</v>
      </c>
      <c r="D2410" t="s">
        <v>1424</v>
      </c>
      <c r="E2410" s="9">
        <v>45352</v>
      </c>
      <c r="F2410" s="9">
        <v>45382</v>
      </c>
      <c r="G2410">
        <v>116230824</v>
      </c>
      <c r="H2410">
        <v>61185417</v>
      </c>
      <c r="I2410">
        <v>54573386</v>
      </c>
      <c r="J2410">
        <v>4231730</v>
      </c>
      <c r="K2410">
        <v>433122</v>
      </c>
      <c r="L2410">
        <v>1160229</v>
      </c>
      <c r="M2410">
        <v>0</v>
      </c>
      <c r="T2410" s="9">
        <v>45108</v>
      </c>
      <c r="U2410" s="9">
        <v>45473</v>
      </c>
      <c r="V2410">
        <f>SUM(POTABLE_NONPOTABLE_API[[#This Row],[RESIDENTIAL_SINGLEFAMILY_GAL]:[OTHER_GAL]])</f>
        <v>237814708</v>
      </c>
      <c r="W2410">
        <f>SUM(POTABLE_NONPOTABLE_API[[#This Row],[NONPOTABLE_DEMAND_RESIDENTIAL_RECYCLED_WATER_GAL]:[NONPOTABLE_DEMAND_NONRESIDENTIAL_METERED_IRRIGATION_GAL]])</f>
        <v>0</v>
      </c>
      <c r="X2410" t="str">
        <f>IFERROR(INDEX(Crosswalk_API!$H$2:$H$527, MATCH(POTABLE_NONPOTABLE_API[[#This Row],[PWSID]], CW_PWSID_LIST, 0)), "")</f>
        <v>No</v>
      </c>
    </row>
    <row r="2411" spans="1:24" x14ac:dyDescent="0.25">
      <c r="A2411" t="s">
        <v>1421</v>
      </c>
      <c r="B2411" t="s">
        <v>1422</v>
      </c>
      <c r="C2411" t="s">
        <v>1423</v>
      </c>
      <c r="D2411" t="s">
        <v>1424</v>
      </c>
      <c r="E2411" s="9">
        <v>45383</v>
      </c>
      <c r="F2411" s="9">
        <v>45412</v>
      </c>
      <c r="G2411">
        <v>132102243</v>
      </c>
      <c r="H2411">
        <v>59565137</v>
      </c>
      <c r="I2411">
        <v>59012326</v>
      </c>
      <c r="J2411">
        <v>5926816</v>
      </c>
      <c r="K2411">
        <v>743564</v>
      </c>
      <c r="L2411">
        <v>1392125</v>
      </c>
      <c r="M2411">
        <v>0</v>
      </c>
      <c r="T2411" s="9">
        <v>45108</v>
      </c>
      <c r="U2411" s="9">
        <v>45473</v>
      </c>
      <c r="V2411">
        <f>SUM(POTABLE_NONPOTABLE_API[[#This Row],[RESIDENTIAL_SINGLEFAMILY_GAL]:[OTHER_GAL]])</f>
        <v>258742211</v>
      </c>
      <c r="W2411">
        <f>SUM(POTABLE_NONPOTABLE_API[[#This Row],[NONPOTABLE_DEMAND_RESIDENTIAL_RECYCLED_WATER_GAL]:[NONPOTABLE_DEMAND_NONRESIDENTIAL_METERED_IRRIGATION_GAL]])</f>
        <v>0</v>
      </c>
      <c r="X2411" t="str">
        <f>IFERROR(INDEX(Crosswalk_API!$H$2:$H$527, MATCH(POTABLE_NONPOTABLE_API[[#This Row],[PWSID]], CW_PWSID_LIST, 0)), "")</f>
        <v>No</v>
      </c>
    </row>
    <row r="2412" spans="1:24" x14ac:dyDescent="0.25">
      <c r="A2412" t="s">
        <v>1421</v>
      </c>
      <c r="B2412" t="s">
        <v>1422</v>
      </c>
      <c r="C2412" t="s">
        <v>1423</v>
      </c>
      <c r="D2412" t="s">
        <v>1424</v>
      </c>
      <c r="E2412" s="9">
        <v>45413</v>
      </c>
      <c r="F2412" s="9">
        <v>45443</v>
      </c>
      <c r="G2412">
        <v>148466628</v>
      </c>
      <c r="H2412">
        <v>56070986</v>
      </c>
      <c r="I2412">
        <v>74434166</v>
      </c>
      <c r="J2412">
        <v>14883991</v>
      </c>
      <c r="K2412">
        <v>516156</v>
      </c>
      <c r="L2412">
        <v>1380156</v>
      </c>
      <c r="M2412">
        <v>0</v>
      </c>
      <c r="T2412" s="9">
        <v>45108</v>
      </c>
      <c r="U2412" s="9">
        <v>45473</v>
      </c>
      <c r="V2412">
        <f>SUM(POTABLE_NONPOTABLE_API[[#This Row],[RESIDENTIAL_SINGLEFAMILY_GAL]:[OTHER_GAL]])</f>
        <v>295752083</v>
      </c>
      <c r="W2412">
        <f>SUM(POTABLE_NONPOTABLE_API[[#This Row],[NONPOTABLE_DEMAND_RESIDENTIAL_RECYCLED_WATER_GAL]:[NONPOTABLE_DEMAND_NONRESIDENTIAL_METERED_IRRIGATION_GAL]])</f>
        <v>0</v>
      </c>
      <c r="X2412" t="str">
        <f>IFERROR(INDEX(Crosswalk_API!$H$2:$H$527, MATCH(POTABLE_NONPOTABLE_API[[#This Row],[PWSID]], CW_PWSID_LIST, 0)), "")</f>
        <v>No</v>
      </c>
    </row>
    <row r="2413" spans="1:24" x14ac:dyDescent="0.25">
      <c r="A2413" t="s">
        <v>1421</v>
      </c>
      <c r="B2413" t="s">
        <v>1422</v>
      </c>
      <c r="C2413" t="s">
        <v>1423</v>
      </c>
      <c r="D2413" t="s">
        <v>1424</v>
      </c>
      <c r="E2413" s="9">
        <v>45444</v>
      </c>
      <c r="F2413" s="9">
        <v>45473</v>
      </c>
      <c r="G2413">
        <v>166295700</v>
      </c>
      <c r="H2413">
        <v>71501054</v>
      </c>
      <c r="I2413">
        <v>83484847</v>
      </c>
      <c r="J2413">
        <v>23797778</v>
      </c>
      <c r="K2413">
        <v>856520</v>
      </c>
      <c r="L2413">
        <v>1700322</v>
      </c>
      <c r="M2413">
        <v>0</v>
      </c>
      <c r="T2413" s="9">
        <v>45108</v>
      </c>
      <c r="U2413" s="9">
        <v>45473</v>
      </c>
      <c r="V2413">
        <f>SUM(POTABLE_NONPOTABLE_API[[#This Row],[RESIDENTIAL_SINGLEFAMILY_GAL]:[OTHER_GAL]])</f>
        <v>347636221</v>
      </c>
      <c r="W2413">
        <f>SUM(POTABLE_NONPOTABLE_API[[#This Row],[NONPOTABLE_DEMAND_RESIDENTIAL_RECYCLED_WATER_GAL]:[NONPOTABLE_DEMAND_NONRESIDENTIAL_METERED_IRRIGATION_GAL]])</f>
        <v>0</v>
      </c>
      <c r="X2413" t="str">
        <f>IFERROR(INDEX(Crosswalk_API!$H$2:$H$527, MATCH(POTABLE_NONPOTABLE_API[[#This Row],[PWSID]], CW_PWSID_LIST, 0)), "")</f>
        <v>No</v>
      </c>
    </row>
    <row r="2414" spans="1:24" x14ac:dyDescent="0.25">
      <c r="A2414" t="s">
        <v>1425</v>
      </c>
      <c r="B2414" t="s">
        <v>1426</v>
      </c>
      <c r="C2414" t="s">
        <v>1427</v>
      </c>
      <c r="D2414" t="s">
        <v>1428</v>
      </c>
      <c r="E2414" s="9">
        <v>45108</v>
      </c>
      <c r="F2414" s="9">
        <v>45138</v>
      </c>
      <c r="G2414">
        <v>96540527.472000003</v>
      </c>
      <c r="H2414">
        <v>48050966.012999997</v>
      </c>
      <c r="I2414">
        <v>55642316.759999998</v>
      </c>
      <c r="J2414">
        <v>10430164.659</v>
      </c>
      <c r="K2414">
        <v>0</v>
      </c>
      <c r="L2414">
        <v>3955505.2889999999</v>
      </c>
      <c r="M2414">
        <v>74442941.907000005</v>
      </c>
      <c r="N2414">
        <v>1393664.727</v>
      </c>
      <c r="O2414">
        <v>0</v>
      </c>
      <c r="P2414">
        <v>0</v>
      </c>
      <c r="Q2414">
        <v>26282164.106999997</v>
      </c>
      <c r="R2414">
        <v>0</v>
      </c>
      <c r="S2414">
        <v>0</v>
      </c>
      <c r="T2414" s="9">
        <v>45108</v>
      </c>
      <c r="U2414" s="9">
        <v>45473</v>
      </c>
      <c r="V2414">
        <f>SUM(POTABLE_NONPOTABLE_API[[#This Row],[RESIDENTIAL_SINGLEFAMILY_GAL]:[OTHER_GAL]])</f>
        <v>214619480.19300002</v>
      </c>
      <c r="W2414">
        <f>SUM(POTABLE_NONPOTABLE_API[[#This Row],[NONPOTABLE_DEMAND_RESIDENTIAL_RECYCLED_WATER_GAL]:[NONPOTABLE_DEMAND_NONRESIDENTIAL_METERED_IRRIGATION_GAL]])</f>
        <v>27675828.833999999</v>
      </c>
      <c r="X2414" t="str">
        <f>IFERROR(INDEX(Crosswalk_API!$H$2:$H$527, MATCH(POTABLE_NONPOTABLE_API[[#This Row],[PWSID]], CW_PWSID_LIST, 0)), "")</f>
        <v>No</v>
      </c>
    </row>
    <row r="2415" spans="1:24" x14ac:dyDescent="0.25">
      <c r="A2415" t="s">
        <v>1425</v>
      </c>
      <c r="B2415" t="s">
        <v>1426</v>
      </c>
      <c r="C2415" t="s">
        <v>1427</v>
      </c>
      <c r="D2415" t="s">
        <v>1428</v>
      </c>
      <c r="E2415" s="9">
        <v>45139</v>
      </c>
      <c r="F2415" s="9">
        <v>45169</v>
      </c>
      <c r="G2415">
        <v>103174202.13</v>
      </c>
      <c r="H2415">
        <v>45258422.943000004</v>
      </c>
      <c r="I2415">
        <v>58283664.966000006</v>
      </c>
      <c r="J2415">
        <v>11831323.958999999</v>
      </c>
      <c r="K2415">
        <v>0</v>
      </c>
      <c r="L2415">
        <v>4342290.426</v>
      </c>
      <c r="M2415">
        <v>90303087.629999995</v>
      </c>
      <c r="N2415">
        <v>1779472.311</v>
      </c>
      <c r="O2415">
        <v>0</v>
      </c>
      <c r="P2415">
        <v>0</v>
      </c>
      <c r="Q2415">
        <v>30533867.954999998</v>
      </c>
      <c r="R2415">
        <v>0</v>
      </c>
      <c r="S2415">
        <v>0</v>
      </c>
      <c r="T2415" s="9">
        <v>45108</v>
      </c>
      <c r="U2415" s="9">
        <v>45473</v>
      </c>
      <c r="V2415">
        <f>SUM(POTABLE_NONPOTABLE_API[[#This Row],[RESIDENTIAL_SINGLEFAMILY_GAL]:[OTHER_GAL]])</f>
        <v>222889904.42400002</v>
      </c>
      <c r="W2415">
        <f>SUM(POTABLE_NONPOTABLE_API[[#This Row],[NONPOTABLE_DEMAND_RESIDENTIAL_RECYCLED_WATER_GAL]:[NONPOTABLE_DEMAND_NONRESIDENTIAL_METERED_IRRIGATION_GAL]])</f>
        <v>32313340.265999999</v>
      </c>
      <c r="X2415" t="str">
        <f>IFERROR(INDEX(Crosswalk_API!$H$2:$H$527, MATCH(POTABLE_NONPOTABLE_API[[#This Row],[PWSID]], CW_PWSID_LIST, 0)), "")</f>
        <v>No</v>
      </c>
    </row>
    <row r="2416" spans="1:24" x14ac:dyDescent="0.25">
      <c r="A2416" t="s">
        <v>1425</v>
      </c>
      <c r="B2416" t="s">
        <v>1426</v>
      </c>
      <c r="C2416" t="s">
        <v>1427</v>
      </c>
      <c r="D2416" t="s">
        <v>1428</v>
      </c>
      <c r="E2416" s="9">
        <v>45170</v>
      </c>
      <c r="F2416" s="9">
        <v>45199</v>
      </c>
      <c r="G2416">
        <v>101368335.88800001</v>
      </c>
      <c r="H2416">
        <v>47481704.316</v>
      </c>
      <c r="I2416">
        <v>55571281.241999999</v>
      </c>
      <c r="J2416">
        <v>11261736.411</v>
      </c>
      <c r="K2416">
        <v>0</v>
      </c>
      <c r="L2416">
        <v>4109306.9610000001</v>
      </c>
      <c r="M2416">
        <v>80598593.148000002</v>
      </c>
      <c r="N2416">
        <v>1626322.3409999998</v>
      </c>
      <c r="O2416">
        <v>0</v>
      </c>
      <c r="Q2416">
        <v>26633757.336000003</v>
      </c>
      <c r="R2416">
        <v>0</v>
      </c>
      <c r="T2416" s="9">
        <v>45108</v>
      </c>
      <c r="U2416" s="9">
        <v>45473</v>
      </c>
      <c r="V2416">
        <f>SUM(POTABLE_NONPOTABLE_API[[#This Row],[RESIDENTIAL_SINGLEFAMILY_GAL]:[OTHER_GAL]])</f>
        <v>219792364.81799999</v>
      </c>
      <c r="W2416">
        <f>SUM(POTABLE_NONPOTABLE_API[[#This Row],[NONPOTABLE_DEMAND_RESIDENTIAL_RECYCLED_WATER_GAL]:[NONPOTABLE_DEMAND_NONRESIDENTIAL_METERED_IRRIGATION_GAL]])</f>
        <v>28260079.677000001</v>
      </c>
      <c r="X2416" t="str">
        <f>IFERROR(INDEX(Crosswalk_API!$H$2:$H$527, MATCH(POTABLE_NONPOTABLE_API[[#This Row],[PWSID]], CW_PWSID_LIST, 0)), "")</f>
        <v>No</v>
      </c>
    </row>
    <row r="2417" spans="1:24" x14ac:dyDescent="0.25">
      <c r="A2417" t="s">
        <v>1425</v>
      </c>
      <c r="B2417" t="s">
        <v>1426</v>
      </c>
      <c r="C2417" t="s">
        <v>1427</v>
      </c>
      <c r="D2417" t="s">
        <v>1428</v>
      </c>
      <c r="E2417" s="9">
        <v>45200</v>
      </c>
      <c r="F2417" s="9">
        <v>45230</v>
      </c>
      <c r="G2417">
        <v>97041034.607999995</v>
      </c>
      <c r="H2417">
        <v>54357160.416000001</v>
      </c>
      <c r="I2417">
        <v>60853325.952</v>
      </c>
      <c r="J2417">
        <v>10671620.25</v>
      </c>
      <c r="K2417">
        <v>0</v>
      </c>
      <c r="L2417">
        <v>3768792.6660000002</v>
      </c>
      <c r="M2417">
        <v>80773900.986000001</v>
      </c>
      <c r="N2417">
        <v>1667379.567</v>
      </c>
      <c r="O2417">
        <v>0</v>
      </c>
      <c r="P2417">
        <v>0</v>
      </c>
      <c r="Q2417">
        <v>23487340.079999998</v>
      </c>
      <c r="R2417">
        <v>0</v>
      </c>
      <c r="S2417">
        <v>0</v>
      </c>
      <c r="T2417" s="9">
        <v>45108</v>
      </c>
      <c r="U2417" s="9">
        <v>45473</v>
      </c>
      <c r="V2417">
        <f>SUM(POTABLE_NONPOTABLE_API[[#This Row],[RESIDENTIAL_SINGLEFAMILY_GAL]:[OTHER_GAL]])</f>
        <v>226691933.89199999</v>
      </c>
      <c r="W2417">
        <f>SUM(POTABLE_NONPOTABLE_API[[#This Row],[NONPOTABLE_DEMAND_RESIDENTIAL_RECYCLED_WATER_GAL]:[NONPOTABLE_DEMAND_NONRESIDENTIAL_METERED_IRRIGATION_GAL]])</f>
        <v>25154719.647</v>
      </c>
      <c r="X2417" t="str">
        <f>IFERROR(INDEX(Crosswalk_API!$H$2:$H$527, MATCH(POTABLE_NONPOTABLE_API[[#This Row],[PWSID]], CW_PWSID_LIST, 0)), "")</f>
        <v>No</v>
      </c>
    </row>
    <row r="2418" spans="1:24" x14ac:dyDescent="0.25">
      <c r="A2418" t="s">
        <v>1425</v>
      </c>
      <c r="B2418" t="s">
        <v>1426</v>
      </c>
      <c r="C2418" t="s">
        <v>1427</v>
      </c>
      <c r="D2418" t="s">
        <v>1428</v>
      </c>
      <c r="E2418" s="9">
        <v>45231</v>
      </c>
      <c r="F2418" s="9">
        <v>45260</v>
      </c>
      <c r="G2418">
        <v>93081619.106999993</v>
      </c>
      <c r="H2418">
        <v>52763749.025999993</v>
      </c>
      <c r="I2418">
        <v>55468638.177000001</v>
      </c>
      <c r="J2418">
        <v>9248628.9330000002</v>
      </c>
      <c r="K2418">
        <v>0</v>
      </c>
      <c r="L2418">
        <v>3375490.5090000001</v>
      </c>
      <c r="M2418">
        <v>66494132.612999998</v>
      </c>
      <c r="N2418">
        <v>1545511.2930000001</v>
      </c>
      <c r="O2418">
        <v>0</v>
      </c>
      <c r="P2418">
        <v>0</v>
      </c>
      <c r="Q2418">
        <v>19369235.142000001</v>
      </c>
      <c r="R2418">
        <v>0</v>
      </c>
      <c r="S2418">
        <v>0</v>
      </c>
      <c r="T2418" s="9">
        <v>45108</v>
      </c>
      <c r="U2418" s="9">
        <v>45473</v>
      </c>
      <c r="V2418">
        <f>SUM(POTABLE_NONPOTABLE_API[[#This Row],[RESIDENTIAL_SINGLEFAMILY_GAL]:[OTHER_GAL]])</f>
        <v>213938125.752</v>
      </c>
      <c r="W2418">
        <f>SUM(POTABLE_NONPOTABLE_API[[#This Row],[NONPOTABLE_DEMAND_RESIDENTIAL_RECYCLED_WATER_GAL]:[NONPOTABLE_DEMAND_NONRESIDENTIAL_METERED_IRRIGATION_GAL]])</f>
        <v>20914746.435000002</v>
      </c>
      <c r="X2418" t="str">
        <f>IFERROR(INDEX(Crosswalk_API!$H$2:$H$527, MATCH(POTABLE_NONPOTABLE_API[[#This Row],[PWSID]], CW_PWSID_LIST, 0)), "")</f>
        <v>No</v>
      </c>
    </row>
    <row r="2419" spans="1:24" x14ac:dyDescent="0.25">
      <c r="A2419" t="s">
        <v>1425</v>
      </c>
      <c r="B2419" t="s">
        <v>1426</v>
      </c>
      <c r="C2419" t="s">
        <v>1427</v>
      </c>
      <c r="D2419" t="s">
        <v>1428</v>
      </c>
      <c r="E2419" s="9">
        <v>45261</v>
      </c>
      <c r="F2419" s="9">
        <v>45291</v>
      </c>
      <c r="G2419">
        <v>85857502.437000006</v>
      </c>
      <c r="H2419">
        <v>52140721.914000005</v>
      </c>
      <c r="I2419">
        <v>51667260.411000006</v>
      </c>
      <c r="J2419">
        <v>7387693.8720000004</v>
      </c>
      <c r="K2419">
        <v>0</v>
      </c>
      <c r="L2419">
        <v>2727372.8699999996</v>
      </c>
      <c r="M2419">
        <v>53111757.894000001</v>
      </c>
      <c r="N2419">
        <v>1054127.9849999999</v>
      </c>
      <c r="O2419">
        <v>0</v>
      </c>
      <c r="P2419">
        <v>0</v>
      </c>
      <c r="Q2419">
        <v>13381071.314999999</v>
      </c>
      <c r="R2419">
        <v>0</v>
      </c>
      <c r="S2419">
        <v>0</v>
      </c>
      <c r="T2419" s="9">
        <v>45108</v>
      </c>
      <c r="U2419" s="9">
        <v>45473</v>
      </c>
      <c r="V2419">
        <f>SUM(POTABLE_NONPOTABLE_API[[#This Row],[RESIDENTIAL_SINGLEFAMILY_GAL]:[OTHER_GAL]])</f>
        <v>199780551.50400004</v>
      </c>
      <c r="W2419">
        <f>SUM(POTABLE_NONPOTABLE_API[[#This Row],[NONPOTABLE_DEMAND_RESIDENTIAL_RECYCLED_WATER_GAL]:[NONPOTABLE_DEMAND_NONRESIDENTIAL_METERED_IRRIGATION_GAL]])</f>
        <v>14435199.299999999</v>
      </c>
      <c r="X2419" t="str">
        <f>IFERROR(INDEX(Crosswalk_API!$H$2:$H$527, MATCH(POTABLE_NONPOTABLE_API[[#This Row],[PWSID]], CW_PWSID_LIST, 0)), "")</f>
        <v>No</v>
      </c>
    </row>
    <row r="2420" spans="1:24" x14ac:dyDescent="0.25">
      <c r="A2420" t="s">
        <v>1425</v>
      </c>
      <c r="B2420" t="s">
        <v>1426</v>
      </c>
      <c r="C2420" t="s">
        <v>1427</v>
      </c>
      <c r="D2420" t="s">
        <v>1428</v>
      </c>
      <c r="E2420" s="9">
        <v>45292</v>
      </c>
      <c r="F2420" s="9">
        <v>45322</v>
      </c>
      <c r="G2420">
        <v>68546016.359999999</v>
      </c>
      <c r="H2420">
        <v>41348536.794</v>
      </c>
      <c r="I2420">
        <v>38483328.950999998</v>
      </c>
      <c r="J2420">
        <v>2926793.6819999996</v>
      </c>
      <c r="K2420">
        <v>0</v>
      </c>
      <c r="L2420">
        <v>1150579.8810000001</v>
      </c>
      <c r="M2420">
        <v>18174665.376000002</v>
      </c>
      <c r="N2420">
        <v>281861.11499999999</v>
      </c>
      <c r="O2420">
        <v>0</v>
      </c>
      <c r="P2420">
        <v>0</v>
      </c>
      <c r="Q2420">
        <v>2401196.0189999999</v>
      </c>
      <c r="R2420">
        <v>0</v>
      </c>
      <c r="S2420">
        <v>0</v>
      </c>
      <c r="T2420" s="9">
        <v>45108</v>
      </c>
      <c r="U2420" s="9">
        <v>45473</v>
      </c>
      <c r="V2420">
        <f>SUM(POTABLE_NONPOTABLE_API[[#This Row],[RESIDENTIAL_SINGLEFAMILY_GAL]:[OTHER_GAL]])</f>
        <v>152455255.66800001</v>
      </c>
      <c r="W2420">
        <f>SUM(POTABLE_NONPOTABLE_API[[#This Row],[NONPOTABLE_DEMAND_RESIDENTIAL_RECYCLED_WATER_GAL]:[NONPOTABLE_DEMAND_NONRESIDENTIAL_METERED_IRRIGATION_GAL]])</f>
        <v>2683057.1339999996</v>
      </c>
      <c r="X2420" t="str">
        <f>IFERROR(INDEX(Crosswalk_API!$H$2:$H$527, MATCH(POTABLE_NONPOTABLE_API[[#This Row],[PWSID]], CW_PWSID_LIST, 0)), "")</f>
        <v>No</v>
      </c>
    </row>
    <row r="2421" spans="1:24" x14ac:dyDescent="0.25">
      <c r="A2421" t="s">
        <v>1425</v>
      </c>
      <c r="B2421" t="s">
        <v>1426</v>
      </c>
      <c r="C2421" t="s">
        <v>1427</v>
      </c>
      <c r="D2421" t="s">
        <v>1428</v>
      </c>
      <c r="E2421" s="9">
        <v>45323</v>
      </c>
      <c r="F2421" s="9">
        <v>45351</v>
      </c>
      <c r="G2421">
        <v>57820630.695</v>
      </c>
      <c r="H2421">
        <v>48235723.530000001</v>
      </c>
      <c r="I2421">
        <v>13066299.249</v>
      </c>
      <c r="J2421">
        <v>1527263.6370000001</v>
      </c>
      <c r="K2421">
        <v>0</v>
      </c>
      <c r="L2421">
        <v>723063.36899999995</v>
      </c>
      <c r="M2421">
        <v>10044682.926000001</v>
      </c>
      <c r="N2421">
        <v>60608.286</v>
      </c>
      <c r="O2421">
        <v>0</v>
      </c>
      <c r="P2421">
        <v>0</v>
      </c>
      <c r="Q2421">
        <v>2514918.0180000002</v>
      </c>
      <c r="R2421">
        <v>0</v>
      </c>
      <c r="S2421">
        <v>0</v>
      </c>
      <c r="T2421" s="9">
        <v>45108</v>
      </c>
      <c r="U2421" s="9">
        <v>45473</v>
      </c>
      <c r="V2421">
        <f>SUM(POTABLE_NONPOTABLE_API[[#This Row],[RESIDENTIAL_SINGLEFAMILY_GAL]:[OTHER_GAL]])</f>
        <v>121372980.47999999</v>
      </c>
      <c r="W2421">
        <f>SUM(POTABLE_NONPOTABLE_API[[#This Row],[NONPOTABLE_DEMAND_RESIDENTIAL_RECYCLED_WATER_GAL]:[NONPOTABLE_DEMAND_NONRESIDENTIAL_METERED_IRRIGATION_GAL]])</f>
        <v>2575526.304</v>
      </c>
      <c r="X2421" t="str">
        <f>IFERROR(INDEX(Crosswalk_API!$H$2:$H$527, MATCH(POTABLE_NONPOTABLE_API[[#This Row],[PWSID]], CW_PWSID_LIST, 0)), "")</f>
        <v>No</v>
      </c>
    </row>
    <row r="2422" spans="1:24" x14ac:dyDescent="0.25">
      <c r="A2422" t="s">
        <v>1425</v>
      </c>
      <c r="B2422" t="s">
        <v>1426</v>
      </c>
      <c r="C2422" t="s">
        <v>1427</v>
      </c>
      <c r="D2422" t="s">
        <v>1428</v>
      </c>
      <c r="E2422" s="9">
        <v>45352</v>
      </c>
      <c r="F2422" s="9">
        <v>45382</v>
      </c>
      <c r="G2422">
        <v>53242749.995999999</v>
      </c>
      <c r="H2422">
        <v>47863927.539000005</v>
      </c>
      <c r="I2422">
        <v>41099260.778999999</v>
      </c>
      <c r="J2422">
        <v>1751123.274</v>
      </c>
      <c r="K2422">
        <v>0</v>
      </c>
      <c r="L2422">
        <v>774547.82699999993</v>
      </c>
      <c r="M2422">
        <v>5139973.6739999996</v>
      </c>
      <c r="N2422">
        <v>354525.88800000004</v>
      </c>
      <c r="O2422">
        <v>0</v>
      </c>
      <c r="P2422">
        <v>0</v>
      </c>
      <c r="Q2422">
        <v>3350399.9819999998</v>
      </c>
      <c r="R2422">
        <v>0</v>
      </c>
      <c r="S2422">
        <v>0</v>
      </c>
      <c r="T2422" s="9">
        <v>45108</v>
      </c>
      <c r="U2422" s="9">
        <v>45473</v>
      </c>
      <c r="V2422">
        <f>SUM(POTABLE_NONPOTABLE_API[[#This Row],[RESIDENTIAL_SINGLEFAMILY_GAL]:[OTHER_GAL]])</f>
        <v>144731609.41499999</v>
      </c>
      <c r="W2422">
        <f>SUM(POTABLE_NONPOTABLE_API[[#This Row],[NONPOTABLE_DEMAND_RESIDENTIAL_RECYCLED_WATER_GAL]:[NONPOTABLE_DEMAND_NONRESIDENTIAL_METERED_IRRIGATION_GAL]])</f>
        <v>3704925.87</v>
      </c>
      <c r="X2422" t="str">
        <f>IFERROR(INDEX(Crosswalk_API!$H$2:$H$527, MATCH(POTABLE_NONPOTABLE_API[[#This Row],[PWSID]], CW_PWSID_LIST, 0)), "")</f>
        <v>No</v>
      </c>
    </row>
    <row r="2423" spans="1:24" x14ac:dyDescent="0.25">
      <c r="A2423" t="s">
        <v>1425</v>
      </c>
      <c r="B2423" t="s">
        <v>1426</v>
      </c>
      <c r="C2423" t="s">
        <v>1427</v>
      </c>
      <c r="D2423" t="s">
        <v>1428</v>
      </c>
      <c r="E2423" s="9">
        <v>45383</v>
      </c>
      <c r="F2423" s="9">
        <v>45412</v>
      </c>
      <c r="G2423">
        <v>59424469.316999994</v>
      </c>
      <c r="H2423">
        <v>45014686.395000003</v>
      </c>
      <c r="I2423">
        <v>40863018.803999998</v>
      </c>
      <c r="J2423">
        <v>2806880.5140000004</v>
      </c>
      <c r="K2423">
        <v>0</v>
      </c>
      <c r="L2423">
        <v>1123534.2479999999</v>
      </c>
      <c r="M2423">
        <v>8329403.2620000001</v>
      </c>
      <c r="N2423">
        <v>457494.80399999995</v>
      </c>
      <c r="O2423">
        <v>0</v>
      </c>
      <c r="P2423">
        <v>0</v>
      </c>
      <c r="Q2423">
        <v>3895874.5559999999</v>
      </c>
      <c r="R2423">
        <v>0</v>
      </c>
      <c r="S2423">
        <v>0</v>
      </c>
      <c r="T2423" s="9">
        <v>45108</v>
      </c>
      <c r="U2423" s="9">
        <v>45473</v>
      </c>
      <c r="V2423">
        <f>SUM(POTABLE_NONPOTABLE_API[[#This Row],[RESIDENTIAL_SINGLEFAMILY_GAL]:[OTHER_GAL]])</f>
        <v>149232589.278</v>
      </c>
      <c r="W2423">
        <f>SUM(POTABLE_NONPOTABLE_API[[#This Row],[NONPOTABLE_DEMAND_RESIDENTIAL_RECYCLED_WATER_GAL]:[NONPOTABLE_DEMAND_NONRESIDENTIAL_METERED_IRRIGATION_GAL]])</f>
        <v>4353369.3599999994</v>
      </c>
      <c r="X2423" t="str">
        <f>IFERROR(INDEX(Crosswalk_API!$H$2:$H$527, MATCH(POTABLE_NONPOTABLE_API[[#This Row],[PWSID]], CW_PWSID_LIST, 0)), "")</f>
        <v>No</v>
      </c>
    </row>
    <row r="2424" spans="1:24" x14ac:dyDescent="0.25">
      <c r="A2424" t="s">
        <v>1425</v>
      </c>
      <c r="B2424" t="s">
        <v>1426</v>
      </c>
      <c r="C2424" t="s">
        <v>1427</v>
      </c>
      <c r="D2424" t="s">
        <v>1428</v>
      </c>
      <c r="E2424" s="9">
        <v>45413</v>
      </c>
      <c r="F2424" s="9">
        <v>45443</v>
      </c>
      <c r="G2424">
        <v>72644570.237999991</v>
      </c>
      <c r="H2424">
        <v>53745212.237999998</v>
      </c>
      <c r="I2424">
        <v>49835000.237999998</v>
      </c>
      <c r="J2424">
        <v>5594209.9679999994</v>
      </c>
      <c r="K2424">
        <v>0</v>
      </c>
      <c r="L2424">
        <v>2101087.2480000001</v>
      </c>
      <c r="M2424">
        <v>37907550.233999997</v>
      </c>
      <c r="N2424">
        <v>1620131.172</v>
      </c>
      <c r="O2424">
        <v>0</v>
      </c>
      <c r="P2424">
        <v>0</v>
      </c>
      <c r="Q2424">
        <v>16768618.310999999</v>
      </c>
      <c r="R2424">
        <v>0</v>
      </c>
      <c r="S2424">
        <v>0</v>
      </c>
      <c r="T2424" s="9">
        <v>45108</v>
      </c>
      <c r="U2424" s="9">
        <v>45473</v>
      </c>
      <c r="V2424">
        <f>SUM(POTABLE_NONPOTABLE_API[[#This Row],[RESIDENTIAL_SINGLEFAMILY_GAL]:[OTHER_GAL]])</f>
        <v>183920079.92999998</v>
      </c>
      <c r="W2424">
        <f>SUM(POTABLE_NONPOTABLE_API[[#This Row],[NONPOTABLE_DEMAND_RESIDENTIAL_RECYCLED_WATER_GAL]:[NONPOTABLE_DEMAND_NONRESIDENTIAL_METERED_IRRIGATION_GAL]])</f>
        <v>18388749.482999999</v>
      </c>
      <c r="X2424" t="str">
        <f>IFERROR(INDEX(Crosswalk_API!$H$2:$H$527, MATCH(POTABLE_NONPOTABLE_API[[#This Row],[PWSID]], CW_PWSID_LIST, 0)), "")</f>
        <v>No</v>
      </c>
    </row>
    <row r="2425" spans="1:24" x14ac:dyDescent="0.25">
      <c r="A2425" t="s">
        <v>1425</v>
      </c>
      <c r="B2425" t="s">
        <v>1426</v>
      </c>
      <c r="C2425" t="s">
        <v>1427</v>
      </c>
      <c r="D2425" t="s">
        <v>1428</v>
      </c>
      <c r="E2425" s="9">
        <v>45444</v>
      </c>
      <c r="F2425" s="9">
        <v>45473</v>
      </c>
      <c r="G2425">
        <v>93186868.980000004</v>
      </c>
      <c r="H2425">
        <v>56884134.920999996</v>
      </c>
      <c r="I2425">
        <v>57279718.034999996</v>
      </c>
      <c r="J2425">
        <v>9939433.0529999994</v>
      </c>
      <c r="K2425">
        <v>0</v>
      </c>
      <c r="L2425">
        <v>3695476.1909999996</v>
      </c>
      <c r="M2425">
        <v>64104993.081</v>
      </c>
      <c r="N2425">
        <v>1566365.7570000002</v>
      </c>
      <c r="O2425">
        <v>0</v>
      </c>
      <c r="P2425">
        <v>0</v>
      </c>
      <c r="Q2425">
        <v>24834408.114</v>
      </c>
      <c r="R2425">
        <v>0</v>
      </c>
      <c r="S2425">
        <v>0</v>
      </c>
      <c r="T2425" s="9">
        <v>45108</v>
      </c>
      <c r="U2425" s="9">
        <v>45473</v>
      </c>
      <c r="V2425">
        <f>SUM(POTABLE_NONPOTABLE_API[[#This Row],[RESIDENTIAL_SINGLEFAMILY_GAL]:[OTHER_GAL]])</f>
        <v>220985631.18000001</v>
      </c>
      <c r="W2425">
        <f>SUM(POTABLE_NONPOTABLE_API[[#This Row],[NONPOTABLE_DEMAND_RESIDENTIAL_RECYCLED_WATER_GAL]:[NONPOTABLE_DEMAND_NONRESIDENTIAL_METERED_IRRIGATION_GAL]])</f>
        <v>26400773.870999999</v>
      </c>
      <c r="X2425" t="str">
        <f>IFERROR(INDEX(Crosswalk_API!$H$2:$H$527, MATCH(POTABLE_NONPOTABLE_API[[#This Row],[PWSID]], CW_PWSID_LIST, 0)), "")</f>
        <v>No</v>
      </c>
    </row>
    <row r="2426" spans="1:24" x14ac:dyDescent="0.25">
      <c r="A2426" t="s">
        <v>1429</v>
      </c>
      <c r="B2426" t="s">
        <v>1430</v>
      </c>
      <c r="C2426" t="s">
        <v>1431</v>
      </c>
      <c r="D2426" t="s">
        <v>1432</v>
      </c>
      <c r="E2426" s="9">
        <v>45108</v>
      </c>
      <c r="F2426" s="9">
        <v>45138</v>
      </c>
      <c r="G2426">
        <v>171982391.164</v>
      </c>
      <c r="H2426">
        <v>65684950.016000003</v>
      </c>
      <c r="I2426">
        <v>49990071.004000001</v>
      </c>
      <c r="J2426">
        <v>29007960.456</v>
      </c>
      <c r="K2426">
        <v>6516280.9720000001</v>
      </c>
      <c r="L2426">
        <v>0</v>
      </c>
      <c r="M2426">
        <v>2683262.5240000002</v>
      </c>
      <c r="T2426" s="9">
        <v>45108</v>
      </c>
      <c r="U2426" s="9">
        <v>45473</v>
      </c>
      <c r="V2426">
        <f>SUM(POTABLE_NONPOTABLE_API[[#This Row],[RESIDENTIAL_SINGLEFAMILY_GAL]:[OTHER_GAL]])</f>
        <v>323181653.61199999</v>
      </c>
      <c r="W2426">
        <f>SUM(POTABLE_NONPOTABLE_API[[#This Row],[NONPOTABLE_DEMAND_RESIDENTIAL_RECYCLED_WATER_GAL]:[NONPOTABLE_DEMAND_NONRESIDENTIAL_METERED_IRRIGATION_GAL]])</f>
        <v>0</v>
      </c>
      <c r="X2426" t="str">
        <f>IFERROR(INDEX(Crosswalk_API!$H$2:$H$527, MATCH(POTABLE_NONPOTABLE_API[[#This Row],[PWSID]], CW_PWSID_LIST, 0)), "")</f>
        <v>No</v>
      </c>
    </row>
    <row r="2427" spans="1:24" x14ac:dyDescent="0.25">
      <c r="A2427" t="s">
        <v>1429</v>
      </c>
      <c r="B2427" t="s">
        <v>1430</v>
      </c>
      <c r="C2427" t="s">
        <v>1431</v>
      </c>
      <c r="D2427" t="s">
        <v>1432</v>
      </c>
      <c r="E2427" s="9">
        <v>45139</v>
      </c>
      <c r="F2427" s="9">
        <v>45169</v>
      </c>
      <c r="G2427">
        <v>175270079.704</v>
      </c>
      <c r="H2427">
        <v>55614673.991999999</v>
      </c>
      <c r="I2427">
        <v>73389137.563999996</v>
      </c>
      <c r="J2427">
        <v>25893819.98</v>
      </c>
      <c r="K2427">
        <v>9416478.5759999994</v>
      </c>
      <c r="L2427">
        <v>0</v>
      </c>
      <c r="M2427">
        <v>2980239.1680000001</v>
      </c>
      <c r="T2427" s="9">
        <v>45108</v>
      </c>
      <c r="U2427" s="9">
        <v>45473</v>
      </c>
      <c r="V2427">
        <f>SUM(POTABLE_NONPOTABLE_API[[#This Row],[RESIDENTIAL_SINGLEFAMILY_GAL]:[OTHER_GAL]])</f>
        <v>339584189.81599998</v>
      </c>
      <c r="W2427">
        <f>SUM(POTABLE_NONPOTABLE_API[[#This Row],[NONPOTABLE_DEMAND_RESIDENTIAL_RECYCLED_WATER_GAL]:[NONPOTABLE_DEMAND_NONRESIDENTIAL_METERED_IRRIGATION_GAL]])</f>
        <v>0</v>
      </c>
      <c r="X2427" t="str">
        <f>IFERROR(INDEX(Crosswalk_API!$H$2:$H$527, MATCH(POTABLE_NONPOTABLE_API[[#This Row],[PWSID]], CW_PWSID_LIST, 0)), "")</f>
        <v>No</v>
      </c>
    </row>
    <row r="2428" spans="1:24" x14ac:dyDescent="0.25">
      <c r="A2428" t="s">
        <v>1429</v>
      </c>
      <c r="B2428" t="s">
        <v>1430</v>
      </c>
      <c r="C2428" t="s">
        <v>1431</v>
      </c>
      <c r="D2428" t="s">
        <v>1432</v>
      </c>
      <c r="E2428" s="9">
        <v>45170</v>
      </c>
      <c r="F2428" s="9">
        <v>45199</v>
      </c>
      <c r="G2428">
        <v>149635085.71599999</v>
      </c>
      <c r="H2428">
        <v>60459058.744000003</v>
      </c>
      <c r="I2428">
        <v>53615130.995999999</v>
      </c>
      <c r="J2428">
        <v>23905497.764000002</v>
      </c>
      <c r="K2428">
        <v>6806525.148</v>
      </c>
      <c r="L2428">
        <v>0</v>
      </c>
      <c r="M2428">
        <v>1084675.4000000001</v>
      </c>
      <c r="T2428" s="9">
        <v>45108</v>
      </c>
      <c r="U2428" s="9">
        <v>45473</v>
      </c>
      <c r="V2428">
        <f>SUM(POTABLE_NONPOTABLE_API[[#This Row],[RESIDENTIAL_SINGLEFAMILY_GAL]:[OTHER_GAL]])</f>
        <v>294421298.36799997</v>
      </c>
      <c r="W2428">
        <f>SUM(POTABLE_NONPOTABLE_API[[#This Row],[NONPOTABLE_DEMAND_RESIDENTIAL_RECYCLED_WATER_GAL]:[NONPOTABLE_DEMAND_NONRESIDENTIAL_METERED_IRRIGATION_GAL]])</f>
        <v>0</v>
      </c>
      <c r="X2428" t="str">
        <f>IFERROR(INDEX(Crosswalk_API!$H$2:$H$527, MATCH(POTABLE_NONPOTABLE_API[[#This Row],[PWSID]], CW_PWSID_LIST, 0)), "")</f>
        <v>No</v>
      </c>
    </row>
    <row r="2429" spans="1:24" x14ac:dyDescent="0.25">
      <c r="A2429" t="s">
        <v>1429</v>
      </c>
      <c r="B2429" t="s">
        <v>1430</v>
      </c>
      <c r="C2429" t="s">
        <v>1431</v>
      </c>
      <c r="D2429" t="s">
        <v>1432</v>
      </c>
      <c r="E2429" s="9">
        <v>45200</v>
      </c>
      <c r="F2429" s="9">
        <v>45230</v>
      </c>
      <c r="G2429">
        <v>133630513.176</v>
      </c>
      <c r="H2429">
        <v>41328376.895999998</v>
      </c>
      <c r="I2429">
        <v>47330746.144000001</v>
      </c>
      <c r="J2429">
        <v>19660302.664000001</v>
      </c>
      <c r="K2429">
        <v>6101860.1639999999</v>
      </c>
      <c r="L2429">
        <v>0</v>
      </c>
      <c r="M2429">
        <v>338119.50400000002</v>
      </c>
      <c r="T2429" s="9">
        <v>45108</v>
      </c>
      <c r="U2429" s="9">
        <v>45473</v>
      </c>
      <c r="V2429">
        <f>SUM(POTABLE_NONPOTABLE_API[[#This Row],[RESIDENTIAL_SINGLEFAMILY_GAL]:[OTHER_GAL]])</f>
        <v>248051799.044</v>
      </c>
      <c r="W2429">
        <f>SUM(POTABLE_NONPOTABLE_API[[#This Row],[NONPOTABLE_DEMAND_RESIDENTIAL_RECYCLED_WATER_GAL]:[NONPOTABLE_DEMAND_NONRESIDENTIAL_METERED_IRRIGATION_GAL]])</f>
        <v>0</v>
      </c>
      <c r="X2429" t="str">
        <f>IFERROR(INDEX(Crosswalk_API!$H$2:$H$527, MATCH(POTABLE_NONPOTABLE_API[[#This Row],[PWSID]], CW_PWSID_LIST, 0)), "")</f>
        <v>No</v>
      </c>
    </row>
    <row r="2430" spans="1:24" x14ac:dyDescent="0.25">
      <c r="A2430" t="s">
        <v>1429</v>
      </c>
      <c r="B2430" t="s">
        <v>1430</v>
      </c>
      <c r="C2430" t="s">
        <v>1431</v>
      </c>
      <c r="D2430" t="s">
        <v>1432</v>
      </c>
      <c r="E2430" s="9">
        <v>45231</v>
      </c>
      <c r="F2430" s="9">
        <v>45260</v>
      </c>
      <c r="G2430">
        <v>131705027.32800001</v>
      </c>
      <c r="H2430">
        <v>57433936.456</v>
      </c>
      <c r="I2430">
        <v>37028574</v>
      </c>
      <c r="J2430">
        <v>20935731.324000001</v>
      </c>
      <c r="K2430">
        <v>5348571.8</v>
      </c>
      <c r="L2430">
        <v>0</v>
      </c>
      <c r="M2430">
        <v>212446.76800000001</v>
      </c>
      <c r="T2430" s="9">
        <v>45108</v>
      </c>
      <c r="U2430" s="9">
        <v>45473</v>
      </c>
      <c r="V2430">
        <f>SUM(POTABLE_NONPOTABLE_API[[#This Row],[RESIDENTIAL_SINGLEFAMILY_GAL]:[OTHER_GAL]])</f>
        <v>252451840.90800002</v>
      </c>
      <c r="W2430">
        <f>SUM(POTABLE_NONPOTABLE_API[[#This Row],[NONPOTABLE_DEMAND_RESIDENTIAL_RECYCLED_WATER_GAL]:[NONPOTABLE_DEMAND_NONRESIDENTIAL_METERED_IRRIGATION_GAL]])</f>
        <v>0</v>
      </c>
      <c r="X2430" t="str">
        <f>IFERROR(INDEX(Crosswalk_API!$H$2:$H$527, MATCH(POTABLE_NONPOTABLE_API[[#This Row],[PWSID]], CW_PWSID_LIST, 0)), "")</f>
        <v>No</v>
      </c>
    </row>
    <row r="2431" spans="1:24" x14ac:dyDescent="0.25">
      <c r="A2431" t="s">
        <v>1429</v>
      </c>
      <c r="B2431" t="s">
        <v>1430</v>
      </c>
      <c r="C2431" t="s">
        <v>1431</v>
      </c>
      <c r="D2431" t="s">
        <v>1432</v>
      </c>
      <c r="E2431" s="9">
        <v>45261</v>
      </c>
      <c r="F2431" s="9">
        <v>45291</v>
      </c>
      <c r="G2431">
        <v>25703814.772</v>
      </c>
      <c r="H2431">
        <v>28672833.16</v>
      </c>
      <c r="I2431">
        <v>18545705.184</v>
      </c>
      <c r="J2431">
        <v>4836904.2319999998</v>
      </c>
      <c r="K2431">
        <v>3466472.9679999999</v>
      </c>
      <c r="L2431">
        <v>0</v>
      </c>
      <c r="M2431">
        <v>129412.996</v>
      </c>
      <c r="T2431" s="9">
        <v>45108</v>
      </c>
      <c r="U2431" s="9">
        <v>45473</v>
      </c>
      <c r="V2431">
        <f>SUM(POTABLE_NONPOTABLE_API[[#This Row],[RESIDENTIAL_SINGLEFAMILY_GAL]:[OTHER_GAL]])</f>
        <v>81225730.315999985</v>
      </c>
      <c r="W2431">
        <f>SUM(POTABLE_NONPOTABLE_API[[#This Row],[NONPOTABLE_DEMAND_RESIDENTIAL_RECYCLED_WATER_GAL]:[NONPOTABLE_DEMAND_NONRESIDENTIAL_METERED_IRRIGATION_GAL]])</f>
        <v>0</v>
      </c>
      <c r="X2431" t="str">
        <f>IFERROR(INDEX(Crosswalk_API!$H$2:$H$527, MATCH(POTABLE_NONPOTABLE_API[[#This Row],[PWSID]], CW_PWSID_LIST, 0)), "")</f>
        <v>No</v>
      </c>
    </row>
    <row r="2432" spans="1:24" x14ac:dyDescent="0.25">
      <c r="A2432" t="s">
        <v>1429</v>
      </c>
      <c r="B2432" t="s">
        <v>1430</v>
      </c>
      <c r="C2432" t="s">
        <v>1431</v>
      </c>
      <c r="D2432" t="s">
        <v>1432</v>
      </c>
      <c r="E2432" s="9">
        <v>45292</v>
      </c>
      <c r="F2432" s="9">
        <v>45322</v>
      </c>
      <c r="G2432">
        <v>126060974.98800001</v>
      </c>
      <c r="H2432">
        <v>57309011.772</v>
      </c>
      <c r="I2432">
        <v>20533279.348000001</v>
      </c>
      <c r="J2432">
        <v>6572384.8720000004</v>
      </c>
      <c r="K2432">
        <v>3030358.6520000002</v>
      </c>
      <c r="L2432">
        <v>0</v>
      </c>
      <c r="M2432">
        <v>171303.908</v>
      </c>
      <c r="T2432" s="9">
        <v>45108</v>
      </c>
      <c r="U2432" s="9">
        <v>45473</v>
      </c>
      <c r="V2432">
        <f>SUM(POTABLE_NONPOTABLE_API[[#This Row],[RESIDENTIAL_SINGLEFAMILY_GAL]:[OTHER_GAL]])</f>
        <v>213506009.632</v>
      </c>
      <c r="W2432">
        <f>SUM(POTABLE_NONPOTABLE_API[[#This Row],[NONPOTABLE_DEMAND_RESIDENTIAL_RECYCLED_WATER_GAL]:[NONPOTABLE_DEMAND_NONRESIDENTIAL_METERED_IRRIGATION_GAL]])</f>
        <v>0</v>
      </c>
      <c r="X2432" t="str">
        <f>IFERROR(INDEX(Crosswalk_API!$H$2:$H$527, MATCH(POTABLE_NONPOTABLE_API[[#This Row],[PWSID]], CW_PWSID_LIST, 0)), "")</f>
        <v>No</v>
      </c>
    </row>
    <row r="2433" spans="1:24" x14ac:dyDescent="0.25">
      <c r="A2433" t="s">
        <v>1429</v>
      </c>
      <c r="B2433" t="s">
        <v>1430</v>
      </c>
      <c r="C2433" t="s">
        <v>1431</v>
      </c>
      <c r="D2433" t="s">
        <v>1432</v>
      </c>
      <c r="E2433" s="9">
        <v>45323</v>
      </c>
      <c r="F2433" s="9">
        <v>45351</v>
      </c>
      <c r="G2433">
        <v>108850542.624</v>
      </c>
      <c r="H2433">
        <v>46439068.160000004</v>
      </c>
      <c r="I2433">
        <v>24567523.784000002</v>
      </c>
      <c r="J2433">
        <v>2783501.4920000001</v>
      </c>
      <c r="K2433">
        <v>4193579.5120000001</v>
      </c>
      <c r="L2433">
        <v>0</v>
      </c>
      <c r="M2433">
        <v>128664.944</v>
      </c>
      <c r="T2433" s="9">
        <v>45108</v>
      </c>
      <c r="U2433" s="9">
        <v>45473</v>
      </c>
      <c r="V2433">
        <f>SUM(POTABLE_NONPOTABLE_API[[#This Row],[RESIDENTIAL_SINGLEFAMILY_GAL]:[OTHER_GAL]])</f>
        <v>186834215.57200003</v>
      </c>
      <c r="W2433">
        <f>SUM(POTABLE_NONPOTABLE_API[[#This Row],[NONPOTABLE_DEMAND_RESIDENTIAL_RECYCLED_WATER_GAL]:[NONPOTABLE_DEMAND_NONRESIDENTIAL_METERED_IRRIGATION_GAL]])</f>
        <v>0</v>
      </c>
      <c r="X2433" t="str">
        <f>IFERROR(INDEX(Crosswalk_API!$H$2:$H$527, MATCH(POTABLE_NONPOTABLE_API[[#This Row],[PWSID]], CW_PWSID_LIST, 0)), "")</f>
        <v>No</v>
      </c>
    </row>
    <row r="2434" spans="1:24" x14ac:dyDescent="0.25">
      <c r="A2434" t="s">
        <v>1429</v>
      </c>
      <c r="B2434" t="s">
        <v>1430</v>
      </c>
      <c r="C2434" t="s">
        <v>1431</v>
      </c>
      <c r="D2434" t="s">
        <v>1432</v>
      </c>
      <c r="E2434" s="9">
        <v>45352</v>
      </c>
      <c r="F2434" s="9">
        <v>45382</v>
      </c>
      <c r="G2434">
        <v>89623362.068000004</v>
      </c>
      <c r="H2434">
        <v>52635182.876000002</v>
      </c>
      <c r="I2434">
        <v>21996469.060000002</v>
      </c>
      <c r="J2434">
        <v>2764800.1920000003</v>
      </c>
      <c r="K2434">
        <v>4221257.4359999998</v>
      </c>
      <c r="L2434">
        <v>0</v>
      </c>
      <c r="M2434">
        <v>73309.096000000005</v>
      </c>
      <c r="T2434" s="9">
        <v>45108</v>
      </c>
      <c r="U2434" s="9">
        <v>45473</v>
      </c>
      <c r="V2434">
        <f>SUM(POTABLE_NONPOTABLE_API[[#This Row],[RESIDENTIAL_SINGLEFAMILY_GAL]:[OTHER_GAL]])</f>
        <v>171241071.632</v>
      </c>
      <c r="W2434">
        <f>SUM(POTABLE_NONPOTABLE_API[[#This Row],[NONPOTABLE_DEMAND_RESIDENTIAL_RECYCLED_WATER_GAL]:[NONPOTABLE_DEMAND_NONRESIDENTIAL_METERED_IRRIGATION_GAL]])</f>
        <v>0</v>
      </c>
      <c r="X2434" t="str">
        <f>IFERROR(INDEX(Crosswalk_API!$H$2:$H$527, MATCH(POTABLE_NONPOTABLE_API[[#This Row],[PWSID]], CW_PWSID_LIST, 0)), "")</f>
        <v>No</v>
      </c>
    </row>
    <row r="2435" spans="1:24" x14ac:dyDescent="0.25">
      <c r="A2435" t="s">
        <v>1429</v>
      </c>
      <c r="B2435" t="s">
        <v>1430</v>
      </c>
      <c r="C2435" t="s">
        <v>1431</v>
      </c>
      <c r="D2435" t="s">
        <v>1432</v>
      </c>
      <c r="E2435" s="9">
        <v>45383</v>
      </c>
      <c r="F2435" s="9">
        <v>45412</v>
      </c>
      <c r="G2435">
        <v>85605574.776000008</v>
      </c>
      <c r="H2435">
        <v>38250142.916000001</v>
      </c>
      <c r="I2435">
        <v>24028178.291999999</v>
      </c>
      <c r="J2435">
        <v>2900945.656</v>
      </c>
      <c r="K2435">
        <v>4192831.46</v>
      </c>
      <c r="L2435">
        <v>0</v>
      </c>
      <c r="M2435">
        <v>162327.28400000001</v>
      </c>
      <c r="T2435" s="9">
        <v>45108</v>
      </c>
      <c r="U2435" s="9">
        <v>45473</v>
      </c>
      <c r="V2435">
        <f>SUM(POTABLE_NONPOTABLE_API[[#This Row],[RESIDENTIAL_SINGLEFAMILY_GAL]:[OTHER_GAL]])</f>
        <v>154977673.09999999</v>
      </c>
      <c r="W2435">
        <f>SUM(POTABLE_NONPOTABLE_API[[#This Row],[NONPOTABLE_DEMAND_RESIDENTIAL_RECYCLED_WATER_GAL]:[NONPOTABLE_DEMAND_NONRESIDENTIAL_METERED_IRRIGATION_GAL]])</f>
        <v>0</v>
      </c>
      <c r="X2435" t="str">
        <f>IFERROR(INDEX(Crosswalk_API!$H$2:$H$527, MATCH(POTABLE_NONPOTABLE_API[[#This Row],[PWSID]], CW_PWSID_LIST, 0)), "")</f>
        <v>No</v>
      </c>
    </row>
    <row r="2436" spans="1:24" x14ac:dyDescent="0.25">
      <c r="A2436" t="s">
        <v>1429</v>
      </c>
      <c r="B2436" t="s">
        <v>1430</v>
      </c>
      <c r="C2436" t="s">
        <v>1431</v>
      </c>
      <c r="D2436" t="s">
        <v>1432</v>
      </c>
      <c r="E2436" s="9">
        <v>45413</v>
      </c>
      <c r="F2436" s="9">
        <v>45443</v>
      </c>
      <c r="G2436">
        <v>100779809.596</v>
      </c>
      <c r="H2436">
        <v>62838612.156000003</v>
      </c>
      <c r="I2436">
        <v>42458683.468000002</v>
      </c>
      <c r="J2436">
        <v>11472125.472000001</v>
      </c>
      <c r="K2436">
        <v>5997132.8840000005</v>
      </c>
      <c r="L2436">
        <v>0</v>
      </c>
      <c r="M2436">
        <v>1024831.24</v>
      </c>
      <c r="T2436" s="9">
        <v>45108</v>
      </c>
      <c r="U2436" s="9">
        <v>45473</v>
      </c>
      <c r="V2436">
        <f>SUM(POTABLE_NONPOTABLE_API[[#This Row],[RESIDENTIAL_SINGLEFAMILY_GAL]:[OTHER_GAL]])</f>
        <v>223546363.57600001</v>
      </c>
      <c r="W2436">
        <f>SUM(POTABLE_NONPOTABLE_API[[#This Row],[NONPOTABLE_DEMAND_RESIDENTIAL_RECYCLED_WATER_GAL]:[NONPOTABLE_DEMAND_NONRESIDENTIAL_METERED_IRRIGATION_GAL]])</f>
        <v>0</v>
      </c>
      <c r="X2436" t="str">
        <f>IFERROR(INDEX(Crosswalk_API!$H$2:$H$527, MATCH(POTABLE_NONPOTABLE_API[[#This Row],[PWSID]], CW_PWSID_LIST, 0)), "")</f>
        <v>No</v>
      </c>
    </row>
    <row r="2437" spans="1:24" x14ac:dyDescent="0.25">
      <c r="A2437" t="s">
        <v>1429</v>
      </c>
      <c r="B2437" t="s">
        <v>1430</v>
      </c>
      <c r="C2437" t="s">
        <v>1431</v>
      </c>
      <c r="D2437" t="s">
        <v>1432</v>
      </c>
      <c r="E2437" s="9">
        <v>45444</v>
      </c>
      <c r="F2437" s="9">
        <v>45473</v>
      </c>
      <c r="G2437">
        <v>115293514.5</v>
      </c>
      <c r="H2437">
        <v>47272398.088</v>
      </c>
      <c r="I2437">
        <v>48608418.960000001</v>
      </c>
      <c r="J2437">
        <v>16977788.192000002</v>
      </c>
      <c r="K2437">
        <v>6950151.1320000002</v>
      </c>
      <c r="L2437">
        <v>0</v>
      </c>
      <c r="M2437">
        <v>488477.95600000001</v>
      </c>
      <c r="T2437" s="9">
        <v>45108</v>
      </c>
      <c r="U2437" s="9">
        <v>45473</v>
      </c>
      <c r="V2437">
        <f>SUM(POTABLE_NONPOTABLE_API[[#This Row],[RESIDENTIAL_SINGLEFAMILY_GAL]:[OTHER_GAL]])</f>
        <v>235102270.87200001</v>
      </c>
      <c r="W2437">
        <f>SUM(POTABLE_NONPOTABLE_API[[#This Row],[NONPOTABLE_DEMAND_RESIDENTIAL_RECYCLED_WATER_GAL]:[NONPOTABLE_DEMAND_NONRESIDENTIAL_METERED_IRRIGATION_GAL]])</f>
        <v>0</v>
      </c>
      <c r="X2437" t="str">
        <f>IFERROR(INDEX(Crosswalk_API!$H$2:$H$527, MATCH(POTABLE_NONPOTABLE_API[[#This Row],[PWSID]], CW_PWSID_LIST, 0)), "")</f>
        <v>No</v>
      </c>
    </row>
    <row r="2438" spans="1:24" x14ac:dyDescent="0.25">
      <c r="A2438" t="s">
        <v>1433</v>
      </c>
      <c r="B2438" t="s">
        <v>1434</v>
      </c>
      <c r="C2438" t="s">
        <v>1435</v>
      </c>
      <c r="D2438" t="s">
        <v>1436</v>
      </c>
      <c r="E2438" s="9">
        <v>45108</v>
      </c>
      <c r="F2438" s="9">
        <v>45138</v>
      </c>
      <c r="G2438">
        <v>38518846.710000001</v>
      </c>
      <c r="H2438">
        <v>6487693.4100000001</v>
      </c>
      <c r="I2438">
        <v>5265752.16</v>
      </c>
      <c r="J2438">
        <v>9143379.0599999987</v>
      </c>
      <c r="K2438">
        <v>1098117.8700000001</v>
      </c>
      <c r="L2438">
        <v>550688.18999999994</v>
      </c>
      <c r="M2438">
        <v>0</v>
      </c>
      <c r="T2438" s="9">
        <v>45108</v>
      </c>
      <c r="U2438" s="9">
        <v>45473</v>
      </c>
      <c r="V2438">
        <f>SUM(POTABLE_NONPOTABLE_API[[#This Row],[RESIDENTIAL_SINGLEFAMILY_GAL]:[OTHER_GAL]])</f>
        <v>61064477.399999999</v>
      </c>
      <c r="W2438">
        <f>SUM(POTABLE_NONPOTABLE_API[[#This Row],[NONPOTABLE_DEMAND_RESIDENTIAL_RECYCLED_WATER_GAL]:[NONPOTABLE_DEMAND_NONRESIDENTIAL_METERED_IRRIGATION_GAL]])</f>
        <v>0</v>
      </c>
      <c r="X2438" t="str">
        <f>IFERROR(INDEX(Crosswalk_API!$H$2:$H$527, MATCH(POTABLE_NONPOTABLE_API[[#This Row],[PWSID]], CW_PWSID_LIST, 0)), "")</f>
        <v>No</v>
      </c>
    </row>
    <row r="2439" spans="1:24" x14ac:dyDescent="0.25">
      <c r="A2439" t="s">
        <v>1433</v>
      </c>
      <c r="B2439" t="s">
        <v>1434</v>
      </c>
      <c r="C2439" t="s">
        <v>1435</v>
      </c>
      <c r="D2439" t="s">
        <v>1436</v>
      </c>
      <c r="E2439" s="9">
        <v>45139</v>
      </c>
      <c r="F2439" s="9">
        <v>45169</v>
      </c>
      <c r="G2439">
        <v>39521480</v>
      </c>
      <c r="H2439">
        <v>6579856</v>
      </c>
      <c r="I2439">
        <v>5176460</v>
      </c>
      <c r="J2439">
        <v>11307296</v>
      </c>
      <c r="K2439">
        <v>989414</v>
      </c>
      <c r="L2439">
        <v>376236</v>
      </c>
      <c r="M2439">
        <v>0</v>
      </c>
      <c r="T2439" s="9">
        <v>45108</v>
      </c>
      <c r="U2439" s="9">
        <v>45473</v>
      </c>
      <c r="V2439">
        <f>SUM(POTABLE_NONPOTABLE_API[[#This Row],[RESIDENTIAL_SINGLEFAMILY_GAL]:[OTHER_GAL]])</f>
        <v>63950742</v>
      </c>
      <c r="W2439">
        <f>SUM(POTABLE_NONPOTABLE_API[[#This Row],[NONPOTABLE_DEMAND_RESIDENTIAL_RECYCLED_WATER_GAL]:[NONPOTABLE_DEMAND_NONRESIDENTIAL_METERED_IRRIGATION_GAL]])</f>
        <v>0</v>
      </c>
      <c r="X2439" t="str">
        <f>IFERROR(INDEX(Crosswalk_API!$H$2:$H$527, MATCH(POTABLE_NONPOTABLE_API[[#This Row],[PWSID]], CW_PWSID_LIST, 0)), "")</f>
        <v>No</v>
      </c>
    </row>
    <row r="2440" spans="1:24" x14ac:dyDescent="0.25">
      <c r="A2440" t="s">
        <v>1433</v>
      </c>
      <c r="B2440" t="s">
        <v>1434</v>
      </c>
      <c r="C2440" t="s">
        <v>1435</v>
      </c>
      <c r="D2440" t="s">
        <v>1436</v>
      </c>
      <c r="E2440" s="9">
        <v>45170</v>
      </c>
      <c r="F2440" s="9">
        <v>45199</v>
      </c>
      <c r="G2440">
        <v>35241615</v>
      </c>
      <c r="H2440">
        <v>6542451</v>
      </c>
      <c r="I2440">
        <v>4954072</v>
      </c>
      <c r="J2440">
        <v>7987097</v>
      </c>
      <c r="K2440">
        <v>2039630</v>
      </c>
      <c r="L2440">
        <v>819919</v>
      </c>
      <c r="M2440">
        <v>0</v>
      </c>
      <c r="T2440" s="9">
        <v>45108</v>
      </c>
      <c r="U2440" s="9">
        <v>45473</v>
      </c>
      <c r="V2440">
        <f>SUM(POTABLE_NONPOTABLE_API[[#This Row],[RESIDENTIAL_SINGLEFAMILY_GAL]:[OTHER_GAL]])</f>
        <v>57584784</v>
      </c>
      <c r="W2440">
        <f>SUM(POTABLE_NONPOTABLE_API[[#This Row],[NONPOTABLE_DEMAND_RESIDENTIAL_RECYCLED_WATER_GAL]:[NONPOTABLE_DEMAND_NONRESIDENTIAL_METERED_IRRIGATION_GAL]])</f>
        <v>0</v>
      </c>
      <c r="X2440" t="str">
        <f>IFERROR(INDEX(Crosswalk_API!$H$2:$H$527, MATCH(POTABLE_NONPOTABLE_API[[#This Row],[PWSID]], CW_PWSID_LIST, 0)), "")</f>
        <v>No</v>
      </c>
    </row>
    <row r="2441" spans="1:24" x14ac:dyDescent="0.25">
      <c r="A2441" t="s">
        <v>1433</v>
      </c>
      <c r="B2441" t="s">
        <v>1434</v>
      </c>
      <c r="C2441" t="s">
        <v>1435</v>
      </c>
      <c r="D2441" t="s">
        <v>1436</v>
      </c>
      <c r="E2441" s="9">
        <v>45200</v>
      </c>
      <c r="F2441" s="9">
        <v>45230</v>
      </c>
      <c r="G2441">
        <v>32995672.260000002</v>
      </c>
      <c r="H2441">
        <v>6513761.4899999993</v>
      </c>
      <c r="I2441">
        <v>6396455.1299999999</v>
      </c>
      <c r="J2441">
        <v>8876181.2400000002</v>
      </c>
      <c r="K2441">
        <v>2144099.58</v>
      </c>
      <c r="L2441">
        <v>964518.96</v>
      </c>
      <c r="M2441">
        <v>0</v>
      </c>
      <c r="T2441" s="9">
        <v>45108</v>
      </c>
      <c r="U2441" s="9">
        <v>45473</v>
      </c>
      <c r="V2441">
        <f>SUM(POTABLE_NONPOTABLE_API[[#This Row],[RESIDENTIAL_SINGLEFAMILY_GAL]:[OTHER_GAL]])</f>
        <v>57890688.660000004</v>
      </c>
      <c r="W2441">
        <f>SUM(POTABLE_NONPOTABLE_API[[#This Row],[NONPOTABLE_DEMAND_RESIDENTIAL_RECYCLED_WATER_GAL]:[NONPOTABLE_DEMAND_NONRESIDENTIAL_METERED_IRRIGATION_GAL]])</f>
        <v>0</v>
      </c>
      <c r="X2441" t="str">
        <f>IFERROR(INDEX(Crosswalk_API!$H$2:$H$527, MATCH(POTABLE_NONPOTABLE_API[[#This Row],[PWSID]], CW_PWSID_LIST, 0)), "")</f>
        <v>No</v>
      </c>
    </row>
    <row r="2442" spans="1:24" x14ac:dyDescent="0.25">
      <c r="A2442" t="s">
        <v>1433</v>
      </c>
      <c r="B2442" t="s">
        <v>1434</v>
      </c>
      <c r="C2442" t="s">
        <v>1435</v>
      </c>
      <c r="D2442" t="s">
        <v>1436</v>
      </c>
      <c r="E2442" s="9">
        <v>45231</v>
      </c>
      <c r="F2442" s="9">
        <v>45260</v>
      </c>
      <c r="G2442">
        <v>26896864</v>
      </c>
      <c r="H2442">
        <v>5466380</v>
      </c>
      <c r="I2442">
        <v>4921832</v>
      </c>
      <c r="J2442">
        <v>4642397</v>
      </c>
      <c r="K2442">
        <v>2182834</v>
      </c>
      <c r="L2442">
        <v>530402</v>
      </c>
      <c r="M2442">
        <v>0</v>
      </c>
      <c r="T2442" s="9">
        <v>45108</v>
      </c>
      <c r="U2442" s="9">
        <v>45473</v>
      </c>
      <c r="V2442">
        <f>SUM(POTABLE_NONPOTABLE_API[[#This Row],[RESIDENTIAL_SINGLEFAMILY_GAL]:[OTHER_GAL]])</f>
        <v>44640709</v>
      </c>
      <c r="W2442">
        <f>SUM(POTABLE_NONPOTABLE_API[[#This Row],[NONPOTABLE_DEMAND_RESIDENTIAL_RECYCLED_WATER_GAL]:[NONPOTABLE_DEMAND_NONRESIDENTIAL_METERED_IRRIGATION_GAL]])</f>
        <v>0</v>
      </c>
      <c r="X2442" t="str">
        <f>IFERROR(INDEX(Crosswalk_API!$H$2:$H$527, MATCH(POTABLE_NONPOTABLE_API[[#This Row],[PWSID]], CW_PWSID_LIST, 0)), "")</f>
        <v>No</v>
      </c>
    </row>
    <row r="2443" spans="1:24" x14ac:dyDescent="0.25">
      <c r="A2443" t="s">
        <v>1433</v>
      </c>
      <c r="B2443" t="s">
        <v>1434</v>
      </c>
      <c r="C2443" t="s">
        <v>1435</v>
      </c>
      <c r="D2443" t="s">
        <v>1436</v>
      </c>
      <c r="E2443" s="9">
        <v>45261</v>
      </c>
      <c r="F2443" s="9">
        <v>45291</v>
      </c>
      <c r="G2443">
        <v>26028770</v>
      </c>
      <c r="H2443">
        <v>5279451</v>
      </c>
      <c r="I2443">
        <v>4393651</v>
      </c>
      <c r="J2443">
        <v>4362231</v>
      </c>
      <c r="K2443">
        <v>1313502</v>
      </c>
      <c r="L2443">
        <v>278473</v>
      </c>
      <c r="M2443">
        <v>0</v>
      </c>
      <c r="T2443" s="9">
        <v>45108</v>
      </c>
      <c r="U2443" s="9">
        <v>45473</v>
      </c>
      <c r="V2443">
        <f>SUM(POTABLE_NONPOTABLE_API[[#This Row],[RESIDENTIAL_SINGLEFAMILY_GAL]:[OTHER_GAL]])</f>
        <v>41656078</v>
      </c>
      <c r="W2443">
        <f>SUM(POTABLE_NONPOTABLE_API[[#This Row],[NONPOTABLE_DEMAND_RESIDENTIAL_RECYCLED_WATER_GAL]:[NONPOTABLE_DEMAND_NONRESIDENTIAL_METERED_IRRIGATION_GAL]])</f>
        <v>0</v>
      </c>
      <c r="X2443" t="str">
        <f>IFERROR(INDEX(Crosswalk_API!$H$2:$H$527, MATCH(POTABLE_NONPOTABLE_API[[#This Row],[PWSID]], CW_PWSID_LIST, 0)), "")</f>
        <v>No</v>
      </c>
    </row>
    <row r="2444" spans="1:24" x14ac:dyDescent="0.25">
      <c r="A2444" t="s">
        <v>1433</v>
      </c>
      <c r="B2444" t="s">
        <v>1434</v>
      </c>
      <c r="C2444" t="s">
        <v>1435</v>
      </c>
      <c r="D2444" t="s">
        <v>1436</v>
      </c>
      <c r="E2444" s="9">
        <v>45292</v>
      </c>
      <c r="F2444" s="9">
        <v>45322</v>
      </c>
      <c r="G2444">
        <v>25641889</v>
      </c>
      <c r="H2444">
        <v>5530328</v>
      </c>
      <c r="I2444">
        <v>3575252</v>
      </c>
      <c r="J2444">
        <v>2588733</v>
      </c>
      <c r="K2444">
        <v>1971406</v>
      </c>
      <c r="L2444">
        <v>204570</v>
      </c>
      <c r="M2444">
        <v>0</v>
      </c>
      <c r="T2444" s="9">
        <v>45108</v>
      </c>
      <c r="U2444" s="9">
        <v>45473</v>
      </c>
      <c r="V2444">
        <f>SUM(POTABLE_NONPOTABLE_API[[#This Row],[RESIDENTIAL_SINGLEFAMILY_GAL]:[OTHER_GAL]])</f>
        <v>39512178</v>
      </c>
      <c r="W2444">
        <f>SUM(POTABLE_NONPOTABLE_API[[#This Row],[NONPOTABLE_DEMAND_RESIDENTIAL_RECYCLED_WATER_GAL]:[NONPOTABLE_DEMAND_NONRESIDENTIAL_METERED_IRRIGATION_GAL]])</f>
        <v>0</v>
      </c>
      <c r="X2444" t="str">
        <f>IFERROR(INDEX(Crosswalk_API!$H$2:$H$527, MATCH(POTABLE_NONPOTABLE_API[[#This Row],[PWSID]], CW_PWSID_LIST, 0)), "")</f>
        <v>No</v>
      </c>
    </row>
    <row r="2445" spans="1:24" x14ac:dyDescent="0.25">
      <c r="A2445" t="s">
        <v>1433</v>
      </c>
      <c r="B2445" t="s">
        <v>1434</v>
      </c>
      <c r="C2445" t="s">
        <v>1435</v>
      </c>
      <c r="D2445" t="s">
        <v>1436</v>
      </c>
      <c r="E2445" s="9">
        <v>45323</v>
      </c>
      <c r="F2445" s="9">
        <v>45351</v>
      </c>
      <c r="G2445">
        <v>20319012</v>
      </c>
      <c r="H2445">
        <v>4617530</v>
      </c>
      <c r="I2445">
        <v>3553777</v>
      </c>
      <c r="J2445">
        <v>776764</v>
      </c>
      <c r="K2445">
        <v>1653178</v>
      </c>
      <c r="L2445">
        <v>199921</v>
      </c>
      <c r="M2445">
        <v>0</v>
      </c>
      <c r="T2445" s="9">
        <v>45108</v>
      </c>
      <c r="U2445" s="9">
        <v>45473</v>
      </c>
      <c r="V2445">
        <f>SUM(POTABLE_NONPOTABLE_API[[#This Row],[RESIDENTIAL_SINGLEFAMILY_GAL]:[OTHER_GAL]])</f>
        <v>31120182</v>
      </c>
      <c r="W2445">
        <f>SUM(POTABLE_NONPOTABLE_API[[#This Row],[NONPOTABLE_DEMAND_RESIDENTIAL_RECYCLED_WATER_GAL]:[NONPOTABLE_DEMAND_NONRESIDENTIAL_METERED_IRRIGATION_GAL]])</f>
        <v>0</v>
      </c>
      <c r="X2445" t="str">
        <f>IFERROR(INDEX(Crosswalk_API!$H$2:$H$527, MATCH(POTABLE_NONPOTABLE_API[[#This Row],[PWSID]], CW_PWSID_LIST, 0)), "")</f>
        <v>No</v>
      </c>
    </row>
    <row r="2446" spans="1:24" x14ac:dyDescent="0.25">
      <c r="A2446" t="s">
        <v>1433</v>
      </c>
      <c r="B2446" t="s">
        <v>1434</v>
      </c>
      <c r="C2446" t="s">
        <v>1435</v>
      </c>
      <c r="D2446" t="s">
        <v>1436</v>
      </c>
      <c r="E2446" s="9">
        <v>45352</v>
      </c>
      <c r="F2446" s="9">
        <v>45382</v>
      </c>
      <c r="G2446">
        <v>23418892</v>
      </c>
      <c r="H2446">
        <v>5085978</v>
      </c>
      <c r="I2446">
        <v>3932063</v>
      </c>
      <c r="J2446">
        <v>1924632</v>
      </c>
      <c r="K2446">
        <v>2014424</v>
      </c>
      <c r="L2446">
        <v>292127</v>
      </c>
      <c r="M2446">
        <v>0</v>
      </c>
      <c r="T2446" s="9">
        <v>45108</v>
      </c>
      <c r="U2446" s="9">
        <v>45473</v>
      </c>
      <c r="V2446">
        <f>SUM(POTABLE_NONPOTABLE_API[[#This Row],[RESIDENTIAL_SINGLEFAMILY_GAL]:[OTHER_GAL]])</f>
        <v>36668116</v>
      </c>
      <c r="W2446">
        <f>SUM(POTABLE_NONPOTABLE_API[[#This Row],[NONPOTABLE_DEMAND_RESIDENTIAL_RECYCLED_WATER_GAL]:[NONPOTABLE_DEMAND_NONRESIDENTIAL_METERED_IRRIGATION_GAL]])</f>
        <v>0</v>
      </c>
      <c r="X2446" t="str">
        <f>IFERROR(INDEX(Crosswalk_API!$H$2:$H$527, MATCH(POTABLE_NONPOTABLE_API[[#This Row],[PWSID]], CW_PWSID_LIST, 0)), "")</f>
        <v>No</v>
      </c>
    </row>
    <row r="2447" spans="1:24" x14ac:dyDescent="0.25">
      <c r="A2447" t="s">
        <v>1433</v>
      </c>
      <c r="B2447" t="s">
        <v>1434</v>
      </c>
      <c r="C2447" t="s">
        <v>1435</v>
      </c>
      <c r="D2447" t="s">
        <v>1436</v>
      </c>
      <c r="E2447" s="9">
        <v>45383</v>
      </c>
      <c r="F2447" s="9">
        <v>45412</v>
      </c>
      <c r="G2447">
        <v>24934642</v>
      </c>
      <c r="H2447">
        <v>5840915</v>
      </c>
      <c r="I2447">
        <v>5223162</v>
      </c>
      <c r="J2447">
        <v>4313688</v>
      </c>
      <c r="K2447">
        <v>2108026</v>
      </c>
      <c r="L2447">
        <v>503200</v>
      </c>
      <c r="M2447">
        <v>0</v>
      </c>
      <c r="T2447" s="9">
        <v>45108</v>
      </c>
      <c r="U2447" s="9">
        <v>45473</v>
      </c>
      <c r="V2447">
        <f>SUM(POTABLE_NONPOTABLE_API[[#This Row],[RESIDENTIAL_SINGLEFAMILY_GAL]:[OTHER_GAL]])</f>
        <v>42923633</v>
      </c>
      <c r="W2447">
        <f>SUM(POTABLE_NONPOTABLE_API[[#This Row],[NONPOTABLE_DEMAND_RESIDENTIAL_RECYCLED_WATER_GAL]:[NONPOTABLE_DEMAND_NONRESIDENTIAL_METERED_IRRIGATION_GAL]])</f>
        <v>0</v>
      </c>
      <c r="X2447" t="str">
        <f>IFERROR(INDEX(Crosswalk_API!$H$2:$H$527, MATCH(POTABLE_NONPOTABLE_API[[#This Row],[PWSID]], CW_PWSID_LIST, 0)), "")</f>
        <v>No</v>
      </c>
    </row>
    <row r="2448" spans="1:24" x14ac:dyDescent="0.25">
      <c r="A2448" t="s">
        <v>1433</v>
      </c>
      <c r="B2448" t="s">
        <v>1434</v>
      </c>
      <c r="C2448" t="s">
        <v>1435</v>
      </c>
      <c r="D2448" t="s">
        <v>1436</v>
      </c>
      <c r="E2448" s="9">
        <v>45413</v>
      </c>
      <c r="F2448" s="9">
        <v>45443</v>
      </c>
      <c r="G2448">
        <v>32749546</v>
      </c>
      <c r="H2448">
        <v>6653991</v>
      </c>
      <c r="I2448">
        <v>5845021</v>
      </c>
      <c r="J2448">
        <v>6790887</v>
      </c>
      <c r="K2448">
        <v>2138910</v>
      </c>
      <c r="L2448">
        <v>558103</v>
      </c>
      <c r="M2448">
        <v>0</v>
      </c>
      <c r="T2448" s="9">
        <v>45108</v>
      </c>
      <c r="U2448" s="9">
        <v>45473</v>
      </c>
      <c r="V2448">
        <f>SUM(POTABLE_NONPOTABLE_API[[#This Row],[RESIDENTIAL_SINGLEFAMILY_GAL]:[OTHER_GAL]])</f>
        <v>54736458</v>
      </c>
      <c r="W2448">
        <f>SUM(POTABLE_NONPOTABLE_API[[#This Row],[NONPOTABLE_DEMAND_RESIDENTIAL_RECYCLED_WATER_GAL]:[NONPOTABLE_DEMAND_NONRESIDENTIAL_METERED_IRRIGATION_GAL]])</f>
        <v>0</v>
      </c>
      <c r="X2448" t="str">
        <f>IFERROR(INDEX(Crosswalk_API!$H$2:$H$527, MATCH(POTABLE_NONPOTABLE_API[[#This Row],[PWSID]], CW_PWSID_LIST, 0)), "")</f>
        <v>No</v>
      </c>
    </row>
    <row r="2449" spans="1:24" x14ac:dyDescent="0.25">
      <c r="A2449" t="s">
        <v>1433</v>
      </c>
      <c r="B2449" t="s">
        <v>1434</v>
      </c>
      <c r="C2449" t="s">
        <v>1435</v>
      </c>
      <c r="D2449" t="s">
        <v>1436</v>
      </c>
      <c r="E2449" s="9">
        <v>45444</v>
      </c>
      <c r="F2449" s="9">
        <v>45473</v>
      </c>
      <c r="G2449">
        <v>37437187</v>
      </c>
      <c r="H2449">
        <v>7434559</v>
      </c>
      <c r="I2449">
        <v>6718006</v>
      </c>
      <c r="J2449">
        <v>11822028</v>
      </c>
      <c r="K2449">
        <v>2644343</v>
      </c>
      <c r="L2449">
        <v>564241</v>
      </c>
      <c r="M2449">
        <v>0</v>
      </c>
      <c r="T2449" s="9">
        <v>45108</v>
      </c>
      <c r="U2449" s="9">
        <v>45473</v>
      </c>
      <c r="V2449">
        <f>SUM(POTABLE_NONPOTABLE_API[[#This Row],[RESIDENTIAL_SINGLEFAMILY_GAL]:[OTHER_GAL]])</f>
        <v>66620364</v>
      </c>
      <c r="W2449">
        <f>SUM(POTABLE_NONPOTABLE_API[[#This Row],[NONPOTABLE_DEMAND_RESIDENTIAL_RECYCLED_WATER_GAL]:[NONPOTABLE_DEMAND_NONRESIDENTIAL_METERED_IRRIGATION_GAL]])</f>
        <v>0</v>
      </c>
      <c r="X2449" t="str">
        <f>IFERROR(INDEX(Crosswalk_API!$H$2:$H$527, MATCH(POTABLE_NONPOTABLE_API[[#This Row],[PWSID]], CW_PWSID_LIST, 0)), "")</f>
        <v>No</v>
      </c>
    </row>
    <row r="2450" spans="1:24" x14ac:dyDescent="0.25">
      <c r="A2450" t="s">
        <v>1437</v>
      </c>
      <c r="B2450" t="s">
        <v>1438</v>
      </c>
      <c r="C2450" t="s">
        <v>1439</v>
      </c>
      <c r="D2450" t="s">
        <v>1440</v>
      </c>
      <c r="E2450" s="9">
        <v>45108</v>
      </c>
      <c r="F2450" s="9">
        <v>45138</v>
      </c>
      <c r="G2450">
        <v>69265223</v>
      </c>
      <c r="H2450">
        <v>5121556</v>
      </c>
      <c r="I2450">
        <v>8981984</v>
      </c>
      <c r="J2450">
        <v>1246916</v>
      </c>
      <c r="K2450">
        <v>0</v>
      </c>
      <c r="L2450">
        <v>299600</v>
      </c>
      <c r="M2450">
        <v>0</v>
      </c>
      <c r="T2450" s="9">
        <v>45108</v>
      </c>
      <c r="U2450" s="9">
        <v>45473</v>
      </c>
      <c r="V2450">
        <f>SUM(POTABLE_NONPOTABLE_API[[#This Row],[RESIDENTIAL_SINGLEFAMILY_GAL]:[OTHER_GAL]])</f>
        <v>84915279</v>
      </c>
      <c r="W2450">
        <f>SUM(POTABLE_NONPOTABLE_API[[#This Row],[NONPOTABLE_DEMAND_RESIDENTIAL_RECYCLED_WATER_GAL]:[NONPOTABLE_DEMAND_NONRESIDENTIAL_METERED_IRRIGATION_GAL]])</f>
        <v>0</v>
      </c>
      <c r="X2450" t="str">
        <f>IFERROR(INDEX(Crosswalk_API!$H$2:$H$527, MATCH(POTABLE_NONPOTABLE_API[[#This Row],[PWSID]], CW_PWSID_LIST, 0)), "")</f>
        <v>No</v>
      </c>
    </row>
    <row r="2451" spans="1:24" x14ac:dyDescent="0.25">
      <c r="A2451" t="s">
        <v>1437</v>
      </c>
      <c r="B2451" t="s">
        <v>1438</v>
      </c>
      <c r="C2451" t="s">
        <v>1439</v>
      </c>
      <c r="D2451" t="s">
        <v>1440</v>
      </c>
      <c r="E2451" s="9">
        <v>45139</v>
      </c>
      <c r="F2451" s="9">
        <v>45169</v>
      </c>
      <c r="G2451">
        <v>70609256</v>
      </c>
      <c r="H2451">
        <v>6394652</v>
      </c>
      <c r="I2451">
        <v>12529000</v>
      </c>
      <c r="J2451">
        <v>1237192</v>
      </c>
      <c r="K2451">
        <v>0</v>
      </c>
      <c r="L2451">
        <v>1231208</v>
      </c>
      <c r="M2451">
        <v>0</v>
      </c>
      <c r="T2451" s="9">
        <v>45108</v>
      </c>
      <c r="U2451" s="9">
        <v>45473</v>
      </c>
      <c r="V2451">
        <f>SUM(POTABLE_NONPOTABLE_API[[#This Row],[RESIDENTIAL_SINGLEFAMILY_GAL]:[OTHER_GAL]])</f>
        <v>92001308</v>
      </c>
      <c r="W2451">
        <f>SUM(POTABLE_NONPOTABLE_API[[#This Row],[NONPOTABLE_DEMAND_RESIDENTIAL_RECYCLED_WATER_GAL]:[NONPOTABLE_DEMAND_NONRESIDENTIAL_METERED_IRRIGATION_GAL]])</f>
        <v>0</v>
      </c>
      <c r="X2451" t="str">
        <f>IFERROR(INDEX(Crosswalk_API!$H$2:$H$527, MATCH(POTABLE_NONPOTABLE_API[[#This Row],[PWSID]], CW_PWSID_LIST, 0)), "")</f>
        <v>No</v>
      </c>
    </row>
    <row r="2452" spans="1:24" x14ac:dyDescent="0.25">
      <c r="A2452" t="s">
        <v>1437</v>
      </c>
      <c r="B2452" t="s">
        <v>1438</v>
      </c>
      <c r="C2452" t="s">
        <v>1439</v>
      </c>
      <c r="D2452" t="s">
        <v>1440</v>
      </c>
      <c r="E2452" s="9">
        <v>45170</v>
      </c>
      <c r="F2452" s="9">
        <v>45199</v>
      </c>
      <c r="G2452">
        <v>54979835</v>
      </c>
      <c r="H2452">
        <v>4339896</v>
      </c>
      <c r="I2452">
        <v>12985280</v>
      </c>
      <c r="J2452">
        <v>924528</v>
      </c>
      <c r="K2452">
        <v>0</v>
      </c>
      <c r="L2452">
        <v>273768</v>
      </c>
      <c r="M2452">
        <v>0</v>
      </c>
      <c r="T2452" s="9">
        <v>45108</v>
      </c>
      <c r="U2452" s="9">
        <v>45473</v>
      </c>
      <c r="V2452">
        <f>SUM(POTABLE_NONPOTABLE_API[[#This Row],[RESIDENTIAL_SINGLEFAMILY_GAL]:[OTHER_GAL]])</f>
        <v>73503307</v>
      </c>
      <c r="W2452">
        <f>SUM(POTABLE_NONPOTABLE_API[[#This Row],[NONPOTABLE_DEMAND_RESIDENTIAL_RECYCLED_WATER_GAL]:[NONPOTABLE_DEMAND_NONRESIDENTIAL_METERED_IRRIGATION_GAL]])</f>
        <v>0</v>
      </c>
      <c r="X2452" t="str">
        <f>IFERROR(INDEX(Crosswalk_API!$H$2:$H$527, MATCH(POTABLE_NONPOTABLE_API[[#This Row],[PWSID]], CW_PWSID_LIST, 0)), "")</f>
        <v>No</v>
      </c>
    </row>
    <row r="2453" spans="1:24" x14ac:dyDescent="0.25">
      <c r="A2453" t="s">
        <v>1437</v>
      </c>
      <c r="B2453" t="s">
        <v>1438</v>
      </c>
      <c r="C2453" t="s">
        <v>1439</v>
      </c>
      <c r="D2453" t="s">
        <v>1440</v>
      </c>
      <c r="E2453" s="9">
        <v>45200</v>
      </c>
      <c r="F2453" s="9">
        <v>45230</v>
      </c>
      <c r="G2453">
        <v>53960301</v>
      </c>
      <c r="H2453">
        <v>4423672</v>
      </c>
      <c r="I2453">
        <v>8714200</v>
      </c>
      <c r="J2453">
        <v>980628</v>
      </c>
      <c r="K2453">
        <v>0</v>
      </c>
      <c r="L2453">
        <v>284988</v>
      </c>
      <c r="M2453">
        <v>0</v>
      </c>
      <c r="T2453" s="9">
        <v>45108</v>
      </c>
      <c r="U2453" s="9">
        <v>45473</v>
      </c>
      <c r="V2453">
        <f>SUM(POTABLE_NONPOTABLE_API[[#This Row],[RESIDENTIAL_SINGLEFAMILY_GAL]:[OTHER_GAL]])</f>
        <v>68363789</v>
      </c>
      <c r="W2453">
        <f>SUM(POTABLE_NONPOTABLE_API[[#This Row],[NONPOTABLE_DEMAND_RESIDENTIAL_RECYCLED_WATER_GAL]:[NONPOTABLE_DEMAND_NONRESIDENTIAL_METERED_IRRIGATION_GAL]])</f>
        <v>0</v>
      </c>
      <c r="X2453" t="str">
        <f>IFERROR(INDEX(Crosswalk_API!$H$2:$H$527, MATCH(POTABLE_NONPOTABLE_API[[#This Row],[PWSID]], CW_PWSID_LIST, 0)), "")</f>
        <v>No</v>
      </c>
    </row>
    <row r="2454" spans="1:24" x14ac:dyDescent="0.25">
      <c r="A2454" t="s">
        <v>1437</v>
      </c>
      <c r="B2454" t="s">
        <v>1438</v>
      </c>
      <c r="C2454" t="s">
        <v>1439</v>
      </c>
      <c r="D2454" t="s">
        <v>1440</v>
      </c>
      <c r="E2454" s="9">
        <v>45231</v>
      </c>
      <c r="F2454" s="9">
        <v>45260</v>
      </c>
      <c r="G2454">
        <v>45546831</v>
      </c>
      <c r="H2454">
        <v>2517020</v>
      </c>
      <c r="I2454">
        <v>7825576</v>
      </c>
      <c r="J2454">
        <v>722568</v>
      </c>
      <c r="K2454">
        <v>0</v>
      </c>
      <c r="L2454">
        <v>140624</v>
      </c>
      <c r="M2454">
        <v>0</v>
      </c>
      <c r="T2454" s="9">
        <v>45108</v>
      </c>
      <c r="U2454" s="9">
        <v>45473</v>
      </c>
      <c r="V2454">
        <f>SUM(POTABLE_NONPOTABLE_API[[#This Row],[RESIDENTIAL_SINGLEFAMILY_GAL]:[OTHER_GAL]])</f>
        <v>56752619</v>
      </c>
      <c r="W2454">
        <f>SUM(POTABLE_NONPOTABLE_API[[#This Row],[NONPOTABLE_DEMAND_RESIDENTIAL_RECYCLED_WATER_GAL]:[NONPOTABLE_DEMAND_NONRESIDENTIAL_METERED_IRRIGATION_GAL]])</f>
        <v>0</v>
      </c>
      <c r="X2454" t="str">
        <f>IFERROR(INDEX(Crosswalk_API!$H$2:$H$527, MATCH(POTABLE_NONPOTABLE_API[[#This Row],[PWSID]], CW_PWSID_LIST, 0)), "")</f>
        <v>No</v>
      </c>
    </row>
    <row r="2455" spans="1:24" x14ac:dyDescent="0.25">
      <c r="A2455" t="s">
        <v>1437</v>
      </c>
      <c r="B2455" t="s">
        <v>1438</v>
      </c>
      <c r="C2455" t="s">
        <v>1439</v>
      </c>
      <c r="D2455" t="s">
        <v>1440</v>
      </c>
      <c r="E2455" s="9">
        <v>45261</v>
      </c>
      <c r="F2455" s="9">
        <v>45291</v>
      </c>
      <c r="G2455">
        <v>35018177</v>
      </c>
      <c r="H2455">
        <v>1897676</v>
      </c>
      <c r="I2455">
        <v>4615160</v>
      </c>
      <c r="J2455">
        <v>715836</v>
      </c>
      <c r="K2455">
        <v>0</v>
      </c>
      <c r="L2455">
        <v>136136</v>
      </c>
      <c r="M2455">
        <v>0</v>
      </c>
      <c r="T2455" s="9">
        <v>45108</v>
      </c>
      <c r="U2455" s="9">
        <v>45473</v>
      </c>
      <c r="V2455">
        <f>SUM(POTABLE_NONPOTABLE_API[[#This Row],[RESIDENTIAL_SINGLEFAMILY_GAL]:[OTHER_GAL]])</f>
        <v>42382985</v>
      </c>
      <c r="W2455">
        <f>SUM(POTABLE_NONPOTABLE_API[[#This Row],[NONPOTABLE_DEMAND_RESIDENTIAL_RECYCLED_WATER_GAL]:[NONPOTABLE_DEMAND_NONRESIDENTIAL_METERED_IRRIGATION_GAL]])</f>
        <v>0</v>
      </c>
      <c r="X2455" t="str">
        <f>IFERROR(INDEX(Crosswalk_API!$H$2:$H$527, MATCH(POTABLE_NONPOTABLE_API[[#This Row],[PWSID]], CW_PWSID_LIST, 0)), "")</f>
        <v>No</v>
      </c>
    </row>
    <row r="2456" spans="1:24" x14ac:dyDescent="0.25">
      <c r="A2456" t="s">
        <v>1437</v>
      </c>
      <c r="B2456" t="s">
        <v>1438</v>
      </c>
      <c r="C2456" t="s">
        <v>1439</v>
      </c>
      <c r="D2456" t="s">
        <v>1440</v>
      </c>
      <c r="E2456" s="9">
        <v>45292</v>
      </c>
      <c r="F2456" s="9">
        <v>45322</v>
      </c>
      <c r="G2456">
        <v>30887006</v>
      </c>
      <c r="H2456">
        <v>3481192</v>
      </c>
      <c r="I2456">
        <v>1973972</v>
      </c>
      <c r="J2456">
        <v>684420</v>
      </c>
      <c r="K2456">
        <v>0</v>
      </c>
      <c r="L2456">
        <v>97988</v>
      </c>
      <c r="M2456">
        <v>0</v>
      </c>
      <c r="T2456" s="9">
        <v>45108</v>
      </c>
      <c r="U2456" s="9">
        <v>45473</v>
      </c>
      <c r="V2456">
        <f>SUM(POTABLE_NONPOTABLE_API[[#This Row],[RESIDENTIAL_SINGLEFAMILY_GAL]:[OTHER_GAL]])</f>
        <v>37124578</v>
      </c>
      <c r="W2456">
        <f>SUM(POTABLE_NONPOTABLE_API[[#This Row],[NONPOTABLE_DEMAND_RESIDENTIAL_RECYCLED_WATER_GAL]:[NONPOTABLE_DEMAND_NONRESIDENTIAL_METERED_IRRIGATION_GAL]])</f>
        <v>0</v>
      </c>
      <c r="X2456" t="str">
        <f>IFERROR(INDEX(Crosswalk_API!$H$2:$H$527, MATCH(POTABLE_NONPOTABLE_API[[#This Row],[PWSID]], CW_PWSID_LIST, 0)), "")</f>
        <v>No</v>
      </c>
    </row>
    <row r="2457" spans="1:24" x14ac:dyDescent="0.25">
      <c r="A2457" t="s">
        <v>1437</v>
      </c>
      <c r="B2457" t="s">
        <v>1438</v>
      </c>
      <c r="C2457" t="s">
        <v>1439</v>
      </c>
      <c r="D2457" t="s">
        <v>1440</v>
      </c>
      <c r="E2457" s="9">
        <v>45323</v>
      </c>
      <c r="F2457" s="9">
        <v>45351</v>
      </c>
      <c r="G2457">
        <v>25603795</v>
      </c>
      <c r="H2457">
        <v>3104200</v>
      </c>
      <c r="I2457">
        <v>1849056</v>
      </c>
      <c r="J2457">
        <v>106964</v>
      </c>
      <c r="K2457">
        <v>0</v>
      </c>
      <c r="L2457">
        <v>58344</v>
      </c>
      <c r="M2457">
        <v>0</v>
      </c>
      <c r="T2457" s="9">
        <v>45108</v>
      </c>
      <c r="U2457" s="9">
        <v>45473</v>
      </c>
      <c r="V2457">
        <f>SUM(POTABLE_NONPOTABLE_API[[#This Row],[RESIDENTIAL_SINGLEFAMILY_GAL]:[OTHER_GAL]])</f>
        <v>30722359</v>
      </c>
      <c r="W2457">
        <f>SUM(POTABLE_NONPOTABLE_API[[#This Row],[NONPOTABLE_DEMAND_RESIDENTIAL_RECYCLED_WATER_GAL]:[NONPOTABLE_DEMAND_NONRESIDENTIAL_METERED_IRRIGATION_GAL]])</f>
        <v>0</v>
      </c>
      <c r="X2457" t="str">
        <f>IFERROR(INDEX(Crosswalk_API!$H$2:$H$527, MATCH(POTABLE_NONPOTABLE_API[[#This Row],[PWSID]], CW_PWSID_LIST, 0)), "")</f>
        <v>No</v>
      </c>
    </row>
    <row r="2458" spans="1:24" x14ac:dyDescent="0.25">
      <c r="A2458" t="s">
        <v>1437</v>
      </c>
      <c r="B2458" t="s">
        <v>1438</v>
      </c>
      <c r="C2458" t="s">
        <v>1439</v>
      </c>
      <c r="D2458" t="s">
        <v>1440</v>
      </c>
      <c r="E2458" s="9">
        <v>45352</v>
      </c>
      <c r="F2458" s="9">
        <v>45382</v>
      </c>
      <c r="G2458">
        <v>27877990</v>
      </c>
      <c r="H2458">
        <v>3285216</v>
      </c>
      <c r="I2458">
        <v>3557488</v>
      </c>
      <c r="J2458">
        <v>187000</v>
      </c>
      <c r="K2458">
        <v>0</v>
      </c>
      <c r="L2458">
        <v>154836</v>
      </c>
      <c r="M2458">
        <v>0</v>
      </c>
      <c r="T2458" s="9">
        <v>45108</v>
      </c>
      <c r="U2458" s="9">
        <v>45473</v>
      </c>
      <c r="V2458">
        <f>SUM(POTABLE_NONPOTABLE_API[[#This Row],[RESIDENTIAL_SINGLEFAMILY_GAL]:[OTHER_GAL]])</f>
        <v>35062530</v>
      </c>
      <c r="W2458">
        <f>SUM(POTABLE_NONPOTABLE_API[[#This Row],[NONPOTABLE_DEMAND_RESIDENTIAL_RECYCLED_WATER_GAL]:[NONPOTABLE_DEMAND_NONRESIDENTIAL_METERED_IRRIGATION_GAL]])</f>
        <v>0</v>
      </c>
      <c r="X2458" t="str">
        <f>IFERROR(INDEX(Crosswalk_API!$H$2:$H$527, MATCH(POTABLE_NONPOTABLE_API[[#This Row],[PWSID]], CW_PWSID_LIST, 0)), "")</f>
        <v>No</v>
      </c>
    </row>
    <row r="2459" spans="1:24" x14ac:dyDescent="0.25">
      <c r="A2459" t="s">
        <v>1437</v>
      </c>
      <c r="B2459" t="s">
        <v>1438</v>
      </c>
      <c r="C2459" t="s">
        <v>1439</v>
      </c>
      <c r="D2459" t="s">
        <v>1440</v>
      </c>
      <c r="E2459" s="9">
        <v>45383</v>
      </c>
      <c r="F2459" s="9">
        <v>45412</v>
      </c>
      <c r="G2459">
        <v>34847207</v>
      </c>
      <c r="H2459">
        <v>4173092</v>
      </c>
      <c r="I2459">
        <v>5265172</v>
      </c>
      <c r="J2459">
        <v>366520</v>
      </c>
      <c r="K2459">
        <v>0</v>
      </c>
      <c r="L2459">
        <v>162316</v>
      </c>
      <c r="M2459">
        <v>0</v>
      </c>
      <c r="T2459" s="9">
        <v>45108</v>
      </c>
      <c r="U2459" s="9">
        <v>45473</v>
      </c>
      <c r="V2459">
        <f>SUM(POTABLE_NONPOTABLE_API[[#This Row],[RESIDENTIAL_SINGLEFAMILY_GAL]:[OTHER_GAL]])</f>
        <v>44814307</v>
      </c>
      <c r="W2459">
        <f>SUM(POTABLE_NONPOTABLE_API[[#This Row],[NONPOTABLE_DEMAND_RESIDENTIAL_RECYCLED_WATER_GAL]:[NONPOTABLE_DEMAND_NONRESIDENTIAL_METERED_IRRIGATION_GAL]])</f>
        <v>0</v>
      </c>
      <c r="X2459" t="str">
        <f>IFERROR(INDEX(Crosswalk_API!$H$2:$H$527, MATCH(POTABLE_NONPOTABLE_API[[#This Row],[PWSID]], CW_PWSID_LIST, 0)), "")</f>
        <v>No</v>
      </c>
    </row>
    <row r="2460" spans="1:24" x14ac:dyDescent="0.25">
      <c r="A2460" t="s">
        <v>1437</v>
      </c>
      <c r="B2460" t="s">
        <v>1438</v>
      </c>
      <c r="C2460" t="s">
        <v>1439</v>
      </c>
      <c r="D2460" t="s">
        <v>1440</v>
      </c>
      <c r="E2460" s="9">
        <v>45413</v>
      </c>
      <c r="F2460" s="9">
        <v>45443</v>
      </c>
      <c r="G2460">
        <v>51198695</v>
      </c>
      <c r="H2460">
        <v>4385524</v>
      </c>
      <c r="I2460">
        <v>10924540</v>
      </c>
      <c r="J2460">
        <v>768196</v>
      </c>
      <c r="K2460">
        <v>0</v>
      </c>
      <c r="L2460">
        <v>3659964</v>
      </c>
      <c r="M2460">
        <v>0</v>
      </c>
      <c r="T2460" s="9">
        <v>45108</v>
      </c>
      <c r="U2460" s="9">
        <v>45473</v>
      </c>
      <c r="V2460">
        <f>SUM(POTABLE_NONPOTABLE_API[[#This Row],[RESIDENTIAL_SINGLEFAMILY_GAL]:[OTHER_GAL]])</f>
        <v>70936919</v>
      </c>
      <c r="W2460">
        <f>SUM(POTABLE_NONPOTABLE_API[[#This Row],[NONPOTABLE_DEMAND_RESIDENTIAL_RECYCLED_WATER_GAL]:[NONPOTABLE_DEMAND_NONRESIDENTIAL_METERED_IRRIGATION_GAL]])</f>
        <v>0</v>
      </c>
      <c r="X2460" t="str">
        <f>IFERROR(INDEX(Crosswalk_API!$H$2:$H$527, MATCH(POTABLE_NONPOTABLE_API[[#This Row],[PWSID]], CW_PWSID_LIST, 0)), "")</f>
        <v>No</v>
      </c>
    </row>
    <row r="2461" spans="1:24" x14ac:dyDescent="0.25">
      <c r="A2461" t="s">
        <v>1437</v>
      </c>
      <c r="B2461" t="s">
        <v>1438</v>
      </c>
      <c r="C2461" t="s">
        <v>1439</v>
      </c>
      <c r="D2461" t="s">
        <v>1440</v>
      </c>
      <c r="E2461" s="9">
        <v>45444</v>
      </c>
      <c r="F2461" s="9">
        <v>45473</v>
      </c>
      <c r="G2461">
        <v>71036214</v>
      </c>
      <c r="H2461">
        <v>5319028</v>
      </c>
      <c r="I2461">
        <v>15540448</v>
      </c>
      <c r="J2461">
        <v>179100</v>
      </c>
      <c r="K2461">
        <v>0</v>
      </c>
      <c r="L2461">
        <v>543048</v>
      </c>
      <c r="M2461">
        <v>0</v>
      </c>
      <c r="T2461" s="9">
        <v>45108</v>
      </c>
      <c r="U2461" s="9">
        <v>45473</v>
      </c>
      <c r="V2461">
        <f>SUM(POTABLE_NONPOTABLE_API[[#This Row],[RESIDENTIAL_SINGLEFAMILY_GAL]:[OTHER_GAL]])</f>
        <v>92617838</v>
      </c>
      <c r="W2461">
        <f>SUM(POTABLE_NONPOTABLE_API[[#This Row],[NONPOTABLE_DEMAND_RESIDENTIAL_RECYCLED_WATER_GAL]:[NONPOTABLE_DEMAND_NONRESIDENTIAL_METERED_IRRIGATION_GAL]])</f>
        <v>0</v>
      </c>
      <c r="X2461" t="str">
        <f>IFERROR(INDEX(Crosswalk_API!$H$2:$H$527, MATCH(POTABLE_NONPOTABLE_API[[#This Row],[PWSID]], CW_PWSID_LIST, 0)), "")</f>
        <v>No</v>
      </c>
    </row>
    <row r="2462" spans="1:24" x14ac:dyDescent="0.25">
      <c r="A2462" t="s">
        <v>1441</v>
      </c>
      <c r="B2462" t="s">
        <v>1442</v>
      </c>
      <c r="C2462" t="s">
        <v>1443</v>
      </c>
      <c r="D2462" t="s">
        <v>1444</v>
      </c>
      <c r="E2462" s="9">
        <v>45108</v>
      </c>
      <c r="F2462" s="9">
        <v>45138</v>
      </c>
      <c r="G2462">
        <v>10417641</v>
      </c>
      <c r="H2462">
        <v>0</v>
      </c>
      <c r="I2462">
        <v>690486</v>
      </c>
      <c r="J2462">
        <v>0</v>
      </c>
      <c r="K2462">
        <v>0</v>
      </c>
      <c r="L2462">
        <v>0</v>
      </c>
      <c r="M2462">
        <v>0</v>
      </c>
      <c r="T2462" s="9">
        <v>45108</v>
      </c>
      <c r="U2462" s="9">
        <v>45473</v>
      </c>
      <c r="V2462">
        <f>SUM(POTABLE_NONPOTABLE_API[[#This Row],[RESIDENTIAL_SINGLEFAMILY_GAL]:[OTHER_GAL]])</f>
        <v>11108127</v>
      </c>
      <c r="W2462">
        <f>SUM(POTABLE_NONPOTABLE_API[[#This Row],[NONPOTABLE_DEMAND_RESIDENTIAL_RECYCLED_WATER_GAL]:[NONPOTABLE_DEMAND_NONRESIDENTIAL_METERED_IRRIGATION_GAL]])</f>
        <v>0</v>
      </c>
      <c r="X2462" t="str">
        <f>IFERROR(INDEX(Crosswalk_API!$H$2:$H$527, MATCH(POTABLE_NONPOTABLE_API[[#This Row],[PWSID]], CW_PWSID_LIST, 0)), "")</f>
        <v>No</v>
      </c>
    </row>
    <row r="2463" spans="1:24" x14ac:dyDescent="0.25">
      <c r="A2463" t="s">
        <v>1441</v>
      </c>
      <c r="B2463" t="s">
        <v>1442</v>
      </c>
      <c r="C2463" t="s">
        <v>1443</v>
      </c>
      <c r="D2463" t="s">
        <v>1444</v>
      </c>
      <c r="E2463" s="9">
        <v>45139</v>
      </c>
      <c r="F2463" s="9">
        <v>45169</v>
      </c>
      <c r="G2463">
        <v>9817542</v>
      </c>
      <c r="H2463">
        <v>0</v>
      </c>
      <c r="I2463">
        <v>815038</v>
      </c>
      <c r="J2463">
        <v>0</v>
      </c>
      <c r="K2463">
        <v>0</v>
      </c>
      <c r="L2463">
        <v>0</v>
      </c>
      <c r="M2463">
        <v>0</v>
      </c>
      <c r="T2463" s="9">
        <v>45108</v>
      </c>
      <c r="U2463" s="9">
        <v>45473</v>
      </c>
      <c r="V2463">
        <f>SUM(POTABLE_NONPOTABLE_API[[#This Row],[RESIDENTIAL_SINGLEFAMILY_GAL]:[OTHER_GAL]])</f>
        <v>10632580</v>
      </c>
      <c r="W2463">
        <f>SUM(POTABLE_NONPOTABLE_API[[#This Row],[NONPOTABLE_DEMAND_RESIDENTIAL_RECYCLED_WATER_GAL]:[NONPOTABLE_DEMAND_NONRESIDENTIAL_METERED_IRRIGATION_GAL]])</f>
        <v>0</v>
      </c>
      <c r="X2463" t="str">
        <f>IFERROR(INDEX(Crosswalk_API!$H$2:$H$527, MATCH(POTABLE_NONPOTABLE_API[[#This Row],[PWSID]], CW_PWSID_LIST, 0)), "")</f>
        <v>No</v>
      </c>
    </row>
    <row r="2464" spans="1:24" x14ac:dyDescent="0.25">
      <c r="A2464" t="s">
        <v>1441</v>
      </c>
      <c r="B2464" t="s">
        <v>1442</v>
      </c>
      <c r="C2464" t="s">
        <v>1443</v>
      </c>
      <c r="D2464" t="s">
        <v>1444</v>
      </c>
      <c r="E2464" s="9">
        <v>45170</v>
      </c>
      <c r="F2464" s="9">
        <v>45199</v>
      </c>
      <c r="G2464">
        <v>11173579</v>
      </c>
      <c r="H2464">
        <v>0</v>
      </c>
      <c r="I2464">
        <v>880958</v>
      </c>
      <c r="J2464">
        <v>0</v>
      </c>
      <c r="K2464">
        <v>0</v>
      </c>
      <c r="L2464">
        <v>0</v>
      </c>
      <c r="M2464">
        <v>0</v>
      </c>
      <c r="T2464" s="9">
        <v>45108</v>
      </c>
      <c r="U2464" s="9">
        <v>45473</v>
      </c>
      <c r="V2464">
        <f>SUM(POTABLE_NONPOTABLE_API[[#This Row],[RESIDENTIAL_SINGLEFAMILY_GAL]:[OTHER_GAL]])</f>
        <v>12054537</v>
      </c>
      <c r="W2464">
        <f>SUM(POTABLE_NONPOTABLE_API[[#This Row],[NONPOTABLE_DEMAND_RESIDENTIAL_RECYCLED_WATER_GAL]:[NONPOTABLE_DEMAND_NONRESIDENTIAL_METERED_IRRIGATION_GAL]])</f>
        <v>0</v>
      </c>
      <c r="X2464" t="str">
        <f>IFERROR(INDEX(Crosswalk_API!$H$2:$H$527, MATCH(POTABLE_NONPOTABLE_API[[#This Row],[PWSID]], CW_PWSID_LIST, 0)), "")</f>
        <v>No</v>
      </c>
    </row>
    <row r="2465" spans="1:24" x14ac:dyDescent="0.25">
      <c r="A2465" t="s">
        <v>1441</v>
      </c>
      <c r="B2465" t="s">
        <v>1442</v>
      </c>
      <c r="C2465" t="s">
        <v>1443</v>
      </c>
      <c r="D2465" t="s">
        <v>1444</v>
      </c>
      <c r="E2465" s="9">
        <v>45200</v>
      </c>
      <c r="F2465" s="9">
        <v>45230</v>
      </c>
      <c r="G2465">
        <v>7199137</v>
      </c>
      <c r="H2465">
        <v>0</v>
      </c>
      <c r="I2465">
        <v>554972</v>
      </c>
      <c r="J2465">
        <v>0</v>
      </c>
      <c r="K2465">
        <v>0</v>
      </c>
      <c r="L2465">
        <v>0</v>
      </c>
      <c r="M2465">
        <v>0</v>
      </c>
      <c r="T2465" s="9">
        <v>45108</v>
      </c>
      <c r="U2465" s="9">
        <v>45473</v>
      </c>
      <c r="V2465">
        <f>SUM(POTABLE_NONPOTABLE_API[[#This Row],[RESIDENTIAL_SINGLEFAMILY_GAL]:[OTHER_GAL]])</f>
        <v>7754109</v>
      </c>
      <c r="W2465">
        <f>SUM(POTABLE_NONPOTABLE_API[[#This Row],[NONPOTABLE_DEMAND_RESIDENTIAL_RECYCLED_WATER_GAL]:[NONPOTABLE_DEMAND_NONRESIDENTIAL_METERED_IRRIGATION_GAL]])</f>
        <v>0</v>
      </c>
      <c r="X2465" t="str">
        <f>IFERROR(INDEX(Crosswalk_API!$H$2:$H$527, MATCH(POTABLE_NONPOTABLE_API[[#This Row],[PWSID]], CW_PWSID_LIST, 0)), "")</f>
        <v>No</v>
      </c>
    </row>
    <row r="2466" spans="1:24" x14ac:dyDescent="0.25">
      <c r="A2466" t="s">
        <v>1441</v>
      </c>
      <c r="B2466" t="s">
        <v>1442</v>
      </c>
      <c r="C2466" t="s">
        <v>1443</v>
      </c>
      <c r="D2466" t="s">
        <v>1444</v>
      </c>
      <c r="E2466" s="9">
        <v>45231</v>
      </c>
      <c r="F2466" s="9">
        <v>45260</v>
      </c>
      <c r="G2466">
        <v>7178002</v>
      </c>
      <c r="H2466">
        <v>0</v>
      </c>
      <c r="I2466">
        <v>542007</v>
      </c>
      <c r="J2466">
        <v>0</v>
      </c>
      <c r="K2466">
        <v>0</v>
      </c>
      <c r="L2466">
        <v>0</v>
      </c>
      <c r="M2466">
        <v>0</v>
      </c>
      <c r="T2466" s="9">
        <v>45108</v>
      </c>
      <c r="U2466" s="9">
        <v>45473</v>
      </c>
      <c r="V2466">
        <f>SUM(POTABLE_NONPOTABLE_API[[#This Row],[RESIDENTIAL_SINGLEFAMILY_GAL]:[OTHER_GAL]])</f>
        <v>7720009</v>
      </c>
      <c r="W2466">
        <f>SUM(POTABLE_NONPOTABLE_API[[#This Row],[NONPOTABLE_DEMAND_RESIDENTIAL_RECYCLED_WATER_GAL]:[NONPOTABLE_DEMAND_NONRESIDENTIAL_METERED_IRRIGATION_GAL]])</f>
        <v>0</v>
      </c>
      <c r="X2466" t="str">
        <f>IFERROR(INDEX(Crosswalk_API!$H$2:$H$527, MATCH(POTABLE_NONPOTABLE_API[[#This Row],[PWSID]], CW_PWSID_LIST, 0)), "")</f>
        <v>No</v>
      </c>
    </row>
    <row r="2467" spans="1:24" x14ac:dyDescent="0.25">
      <c r="A2467" t="s">
        <v>1441</v>
      </c>
      <c r="B2467" t="s">
        <v>1442</v>
      </c>
      <c r="C2467" t="s">
        <v>1443</v>
      </c>
      <c r="D2467" t="s">
        <v>1444</v>
      </c>
      <c r="E2467" s="9">
        <v>45261</v>
      </c>
      <c r="F2467" s="9">
        <v>45291</v>
      </c>
      <c r="G2467">
        <v>6014137</v>
      </c>
      <c r="H2467">
        <v>0</v>
      </c>
      <c r="I2467">
        <v>368541</v>
      </c>
      <c r="J2467">
        <v>0</v>
      </c>
      <c r="K2467">
        <v>0</v>
      </c>
      <c r="L2467">
        <v>0</v>
      </c>
      <c r="M2467">
        <v>0</v>
      </c>
      <c r="T2467" s="9">
        <v>45108</v>
      </c>
      <c r="U2467" s="9">
        <v>45473</v>
      </c>
      <c r="V2467">
        <f>SUM(POTABLE_NONPOTABLE_API[[#This Row],[RESIDENTIAL_SINGLEFAMILY_GAL]:[OTHER_GAL]])</f>
        <v>6382678</v>
      </c>
      <c r="W2467">
        <f>SUM(POTABLE_NONPOTABLE_API[[#This Row],[NONPOTABLE_DEMAND_RESIDENTIAL_RECYCLED_WATER_GAL]:[NONPOTABLE_DEMAND_NONRESIDENTIAL_METERED_IRRIGATION_GAL]])</f>
        <v>0</v>
      </c>
      <c r="X2467" t="str">
        <f>IFERROR(INDEX(Crosswalk_API!$H$2:$H$527, MATCH(POTABLE_NONPOTABLE_API[[#This Row],[PWSID]], CW_PWSID_LIST, 0)), "")</f>
        <v>No</v>
      </c>
    </row>
    <row r="2468" spans="1:24" x14ac:dyDescent="0.25">
      <c r="A2468" t="s">
        <v>1441</v>
      </c>
      <c r="B2468" t="s">
        <v>1442</v>
      </c>
      <c r="C2468" t="s">
        <v>1443</v>
      </c>
      <c r="D2468" t="s">
        <v>1444</v>
      </c>
      <c r="E2468" s="9">
        <v>45292</v>
      </c>
      <c r="F2468" s="9">
        <v>45322</v>
      </c>
      <c r="G2468">
        <v>5524739</v>
      </c>
      <c r="H2468">
        <v>0</v>
      </c>
      <c r="I2468">
        <v>276564</v>
      </c>
      <c r="J2468">
        <v>0</v>
      </c>
      <c r="K2468">
        <v>0</v>
      </c>
      <c r="L2468">
        <v>0</v>
      </c>
      <c r="M2468">
        <v>0</v>
      </c>
      <c r="T2468" s="9">
        <v>45108</v>
      </c>
      <c r="U2468" s="9">
        <v>45473</v>
      </c>
      <c r="V2468">
        <f>SUM(POTABLE_NONPOTABLE_API[[#This Row],[RESIDENTIAL_SINGLEFAMILY_GAL]:[OTHER_GAL]])</f>
        <v>5801303</v>
      </c>
      <c r="W2468">
        <f>SUM(POTABLE_NONPOTABLE_API[[#This Row],[NONPOTABLE_DEMAND_RESIDENTIAL_RECYCLED_WATER_GAL]:[NONPOTABLE_DEMAND_NONRESIDENTIAL_METERED_IRRIGATION_GAL]])</f>
        <v>0</v>
      </c>
      <c r="X2468" t="str">
        <f>IFERROR(INDEX(Crosswalk_API!$H$2:$H$527, MATCH(POTABLE_NONPOTABLE_API[[#This Row],[PWSID]], CW_PWSID_LIST, 0)), "")</f>
        <v>No</v>
      </c>
    </row>
    <row r="2469" spans="1:24" x14ac:dyDescent="0.25">
      <c r="A2469" t="s">
        <v>1441</v>
      </c>
      <c r="B2469" t="s">
        <v>1442</v>
      </c>
      <c r="C2469" t="s">
        <v>1443</v>
      </c>
      <c r="D2469" t="s">
        <v>1444</v>
      </c>
      <c r="E2469" s="9">
        <v>45323</v>
      </c>
      <c r="F2469" s="9">
        <v>45351</v>
      </c>
      <c r="G2469">
        <v>5127234</v>
      </c>
      <c r="H2469">
        <v>0</v>
      </c>
      <c r="I2469">
        <v>308649</v>
      </c>
      <c r="J2469">
        <v>0</v>
      </c>
      <c r="K2469">
        <v>0</v>
      </c>
      <c r="L2469">
        <v>0</v>
      </c>
      <c r="M2469">
        <v>0</v>
      </c>
      <c r="T2469" s="9">
        <v>45108</v>
      </c>
      <c r="U2469" s="9">
        <v>45473</v>
      </c>
      <c r="V2469">
        <f>SUM(POTABLE_NONPOTABLE_API[[#This Row],[RESIDENTIAL_SINGLEFAMILY_GAL]:[OTHER_GAL]])</f>
        <v>5435883</v>
      </c>
      <c r="W2469">
        <f>SUM(POTABLE_NONPOTABLE_API[[#This Row],[NONPOTABLE_DEMAND_RESIDENTIAL_RECYCLED_WATER_GAL]:[NONPOTABLE_DEMAND_NONRESIDENTIAL_METERED_IRRIGATION_GAL]])</f>
        <v>0</v>
      </c>
      <c r="X2469" t="str">
        <f>IFERROR(INDEX(Crosswalk_API!$H$2:$H$527, MATCH(POTABLE_NONPOTABLE_API[[#This Row],[PWSID]], CW_PWSID_LIST, 0)), "")</f>
        <v>No</v>
      </c>
    </row>
    <row r="2470" spans="1:24" x14ac:dyDescent="0.25">
      <c r="A2470" t="s">
        <v>1441</v>
      </c>
      <c r="B2470" t="s">
        <v>1442</v>
      </c>
      <c r="C2470" t="s">
        <v>1443</v>
      </c>
      <c r="D2470" t="s">
        <v>1444</v>
      </c>
      <c r="E2470" s="9">
        <v>45352</v>
      </c>
      <c r="F2470" s="9">
        <v>45382</v>
      </c>
      <c r="G2470">
        <v>4737269</v>
      </c>
      <c r="H2470">
        <v>0</v>
      </c>
      <c r="I2470">
        <v>289438</v>
      </c>
      <c r="J2470">
        <v>0</v>
      </c>
      <c r="K2470">
        <v>0</v>
      </c>
      <c r="L2470">
        <v>0</v>
      </c>
      <c r="M2470">
        <v>0</v>
      </c>
      <c r="T2470" s="9">
        <v>45108</v>
      </c>
      <c r="U2470" s="9">
        <v>45473</v>
      </c>
      <c r="V2470">
        <f>SUM(POTABLE_NONPOTABLE_API[[#This Row],[RESIDENTIAL_SINGLEFAMILY_GAL]:[OTHER_GAL]])</f>
        <v>5026707</v>
      </c>
      <c r="W2470">
        <f>SUM(POTABLE_NONPOTABLE_API[[#This Row],[NONPOTABLE_DEMAND_RESIDENTIAL_RECYCLED_WATER_GAL]:[NONPOTABLE_DEMAND_NONRESIDENTIAL_METERED_IRRIGATION_GAL]])</f>
        <v>0</v>
      </c>
      <c r="X2470" t="str">
        <f>IFERROR(INDEX(Crosswalk_API!$H$2:$H$527, MATCH(POTABLE_NONPOTABLE_API[[#This Row],[PWSID]], CW_PWSID_LIST, 0)), "")</f>
        <v>No</v>
      </c>
    </row>
    <row r="2471" spans="1:24" x14ac:dyDescent="0.25">
      <c r="A2471" t="s">
        <v>1441</v>
      </c>
      <c r="B2471" t="s">
        <v>1442</v>
      </c>
      <c r="C2471" t="s">
        <v>1443</v>
      </c>
      <c r="D2471" t="s">
        <v>1444</v>
      </c>
      <c r="E2471" s="9">
        <v>45383</v>
      </c>
      <c r="F2471" s="9">
        <v>45412</v>
      </c>
      <c r="G2471">
        <v>4693971</v>
      </c>
      <c r="H2471">
        <v>0</v>
      </c>
      <c r="I2471">
        <v>321027</v>
      </c>
      <c r="J2471">
        <v>0</v>
      </c>
      <c r="K2471">
        <v>0</v>
      </c>
      <c r="L2471">
        <v>0</v>
      </c>
      <c r="M2471">
        <v>0</v>
      </c>
      <c r="T2471" s="9">
        <v>45108</v>
      </c>
      <c r="U2471" s="9">
        <v>45473</v>
      </c>
      <c r="V2471">
        <f>SUM(POTABLE_NONPOTABLE_API[[#This Row],[RESIDENTIAL_SINGLEFAMILY_GAL]:[OTHER_GAL]])</f>
        <v>5014998</v>
      </c>
      <c r="W2471">
        <f>SUM(POTABLE_NONPOTABLE_API[[#This Row],[NONPOTABLE_DEMAND_RESIDENTIAL_RECYCLED_WATER_GAL]:[NONPOTABLE_DEMAND_NONRESIDENTIAL_METERED_IRRIGATION_GAL]])</f>
        <v>0</v>
      </c>
      <c r="X2471" t="str">
        <f>IFERROR(INDEX(Crosswalk_API!$H$2:$H$527, MATCH(POTABLE_NONPOTABLE_API[[#This Row],[PWSID]], CW_PWSID_LIST, 0)), "")</f>
        <v>No</v>
      </c>
    </row>
    <row r="2472" spans="1:24" x14ac:dyDescent="0.25">
      <c r="A2472" t="s">
        <v>1441</v>
      </c>
      <c r="B2472" t="s">
        <v>1442</v>
      </c>
      <c r="C2472" t="s">
        <v>1443</v>
      </c>
      <c r="D2472" t="s">
        <v>1444</v>
      </c>
      <c r="E2472" s="9">
        <v>45413</v>
      </c>
      <c r="F2472" s="9">
        <v>45443</v>
      </c>
      <c r="G2472">
        <v>5573042</v>
      </c>
      <c r="H2472">
        <v>0</v>
      </c>
      <c r="I2472">
        <v>466821</v>
      </c>
      <c r="J2472">
        <v>0</v>
      </c>
      <c r="K2472">
        <v>0</v>
      </c>
      <c r="L2472">
        <v>0</v>
      </c>
      <c r="M2472">
        <v>0</v>
      </c>
      <c r="T2472" s="9">
        <v>45108</v>
      </c>
      <c r="U2472" s="9">
        <v>45473</v>
      </c>
      <c r="V2472">
        <f>SUM(POTABLE_NONPOTABLE_API[[#This Row],[RESIDENTIAL_SINGLEFAMILY_GAL]:[OTHER_GAL]])</f>
        <v>6039863</v>
      </c>
      <c r="W2472">
        <f>SUM(POTABLE_NONPOTABLE_API[[#This Row],[NONPOTABLE_DEMAND_RESIDENTIAL_RECYCLED_WATER_GAL]:[NONPOTABLE_DEMAND_NONRESIDENTIAL_METERED_IRRIGATION_GAL]])</f>
        <v>0</v>
      </c>
      <c r="X2472" t="str">
        <f>IFERROR(INDEX(Crosswalk_API!$H$2:$H$527, MATCH(POTABLE_NONPOTABLE_API[[#This Row],[PWSID]], CW_PWSID_LIST, 0)), "")</f>
        <v>No</v>
      </c>
    </row>
    <row r="2473" spans="1:24" x14ac:dyDescent="0.25">
      <c r="A2473" t="s">
        <v>1441</v>
      </c>
      <c r="B2473" t="s">
        <v>1442</v>
      </c>
      <c r="C2473" t="s">
        <v>1443</v>
      </c>
      <c r="D2473" t="s">
        <v>1444</v>
      </c>
      <c r="E2473" s="9">
        <v>45444</v>
      </c>
      <c r="F2473" s="9">
        <v>45473</v>
      </c>
      <c r="G2473">
        <v>9202405</v>
      </c>
      <c r="H2473">
        <v>0</v>
      </c>
      <c r="I2473">
        <v>662420</v>
      </c>
      <c r="J2473">
        <v>0</v>
      </c>
      <c r="K2473">
        <v>0</v>
      </c>
      <c r="L2473">
        <v>0</v>
      </c>
      <c r="M2473">
        <v>0</v>
      </c>
      <c r="T2473" s="9">
        <v>45108</v>
      </c>
      <c r="U2473" s="9">
        <v>45473</v>
      </c>
      <c r="V2473">
        <f>SUM(POTABLE_NONPOTABLE_API[[#This Row],[RESIDENTIAL_SINGLEFAMILY_GAL]:[OTHER_GAL]])</f>
        <v>9864825</v>
      </c>
      <c r="W2473">
        <f>SUM(POTABLE_NONPOTABLE_API[[#This Row],[NONPOTABLE_DEMAND_RESIDENTIAL_RECYCLED_WATER_GAL]:[NONPOTABLE_DEMAND_NONRESIDENTIAL_METERED_IRRIGATION_GAL]])</f>
        <v>0</v>
      </c>
      <c r="X2473" t="str">
        <f>IFERROR(INDEX(Crosswalk_API!$H$2:$H$527, MATCH(POTABLE_NONPOTABLE_API[[#This Row],[PWSID]], CW_PWSID_LIST, 0)), "")</f>
        <v>No</v>
      </c>
    </row>
    <row r="2474" spans="1:24" x14ac:dyDescent="0.25">
      <c r="A2474" t="s">
        <v>1446</v>
      </c>
      <c r="B2474" t="s">
        <v>1447</v>
      </c>
      <c r="C2474" t="s">
        <v>1448</v>
      </c>
      <c r="D2474" t="s">
        <v>1449</v>
      </c>
      <c r="E2474" s="9">
        <v>45108</v>
      </c>
      <c r="F2474" s="9">
        <v>45138</v>
      </c>
      <c r="G2474">
        <v>20061258.536000002</v>
      </c>
      <c r="H2474">
        <v>5765236.7640000004</v>
      </c>
      <c r="I2474">
        <v>7288270.6359999999</v>
      </c>
      <c r="J2474">
        <v>2891969.0320000001</v>
      </c>
      <c r="K2474">
        <v>489226.00800000003</v>
      </c>
      <c r="L2474">
        <v>0</v>
      </c>
      <c r="M2474">
        <v>0</v>
      </c>
      <c r="T2474" s="9">
        <v>45108</v>
      </c>
      <c r="U2474" s="9">
        <v>45473</v>
      </c>
      <c r="V2474">
        <f>SUM(POTABLE_NONPOTABLE_API[[#This Row],[RESIDENTIAL_SINGLEFAMILY_GAL]:[OTHER_GAL]])</f>
        <v>36495960.976000004</v>
      </c>
      <c r="W2474">
        <f>SUM(POTABLE_NONPOTABLE_API[[#This Row],[NONPOTABLE_DEMAND_RESIDENTIAL_RECYCLED_WATER_GAL]:[NONPOTABLE_DEMAND_NONRESIDENTIAL_METERED_IRRIGATION_GAL]])</f>
        <v>0</v>
      </c>
      <c r="X2474" t="str">
        <f>IFERROR(INDEX(Crosswalk_API!$H$2:$H$527, MATCH(POTABLE_NONPOTABLE_API[[#This Row],[PWSID]], CW_PWSID_LIST, 0)), "")</f>
        <v>No</v>
      </c>
    </row>
    <row r="2475" spans="1:24" x14ac:dyDescent="0.25">
      <c r="A2475" t="s">
        <v>1446</v>
      </c>
      <c r="B2475" t="s">
        <v>1447</v>
      </c>
      <c r="C2475" t="s">
        <v>1448</v>
      </c>
      <c r="D2475" t="s">
        <v>1449</v>
      </c>
      <c r="E2475" s="9">
        <v>45139</v>
      </c>
      <c r="F2475" s="9">
        <v>45169</v>
      </c>
      <c r="G2475">
        <v>19129185.743999999</v>
      </c>
      <c r="H2475">
        <v>3108156.06</v>
      </c>
      <c r="I2475">
        <v>466036.39600000001</v>
      </c>
      <c r="J2475">
        <v>5558026.3600000003</v>
      </c>
      <c r="K2475">
        <v>63584.42</v>
      </c>
      <c r="L2475">
        <v>0</v>
      </c>
      <c r="M2475">
        <v>0</v>
      </c>
      <c r="T2475" s="9">
        <v>45108</v>
      </c>
      <c r="U2475" s="9">
        <v>45473</v>
      </c>
      <c r="V2475">
        <f>SUM(POTABLE_NONPOTABLE_API[[#This Row],[RESIDENTIAL_SINGLEFAMILY_GAL]:[OTHER_GAL]])</f>
        <v>28324988.98</v>
      </c>
      <c r="W2475">
        <f>SUM(POTABLE_NONPOTABLE_API[[#This Row],[NONPOTABLE_DEMAND_RESIDENTIAL_RECYCLED_WATER_GAL]:[NONPOTABLE_DEMAND_NONRESIDENTIAL_METERED_IRRIGATION_GAL]])</f>
        <v>0</v>
      </c>
      <c r="X2475" t="str">
        <f>IFERROR(INDEX(Crosswalk_API!$H$2:$H$527, MATCH(POTABLE_NONPOTABLE_API[[#This Row],[PWSID]], CW_PWSID_LIST, 0)), "")</f>
        <v>No</v>
      </c>
    </row>
    <row r="2476" spans="1:24" x14ac:dyDescent="0.25">
      <c r="A2476" t="s">
        <v>1446</v>
      </c>
      <c r="B2476" t="s">
        <v>1447</v>
      </c>
      <c r="C2476" t="s">
        <v>1448</v>
      </c>
      <c r="D2476" t="s">
        <v>1449</v>
      </c>
      <c r="E2476" s="9">
        <v>45170</v>
      </c>
      <c r="F2476" s="9">
        <v>45199</v>
      </c>
      <c r="G2476">
        <v>22218640.504000001</v>
      </c>
      <c r="H2476">
        <v>6407813.432</v>
      </c>
      <c r="I2476">
        <v>8105891.4720000001</v>
      </c>
      <c r="J2476">
        <v>351584.44</v>
      </c>
      <c r="K2476">
        <v>3001184.6240000003</v>
      </c>
      <c r="L2476">
        <v>0</v>
      </c>
      <c r="M2476">
        <v>0</v>
      </c>
      <c r="T2476" s="9">
        <v>45108</v>
      </c>
      <c r="U2476" s="9">
        <v>45473</v>
      </c>
      <c r="V2476">
        <f>SUM(POTABLE_NONPOTABLE_API[[#This Row],[RESIDENTIAL_SINGLEFAMILY_GAL]:[OTHER_GAL]])</f>
        <v>40085114.471999995</v>
      </c>
      <c r="W2476">
        <f>SUM(POTABLE_NONPOTABLE_API[[#This Row],[NONPOTABLE_DEMAND_RESIDENTIAL_RECYCLED_WATER_GAL]:[NONPOTABLE_DEMAND_NONRESIDENTIAL_METERED_IRRIGATION_GAL]])</f>
        <v>0</v>
      </c>
      <c r="X2476" t="str">
        <f>IFERROR(INDEX(Crosswalk_API!$H$2:$H$527, MATCH(POTABLE_NONPOTABLE_API[[#This Row],[PWSID]], CW_PWSID_LIST, 0)), "")</f>
        <v>No</v>
      </c>
    </row>
    <row r="2477" spans="1:24" x14ac:dyDescent="0.25">
      <c r="A2477" t="s">
        <v>1446</v>
      </c>
      <c r="B2477" t="s">
        <v>1447</v>
      </c>
      <c r="C2477" t="s">
        <v>1448</v>
      </c>
      <c r="D2477" t="s">
        <v>1449</v>
      </c>
      <c r="E2477" s="9">
        <v>45200</v>
      </c>
      <c r="F2477" s="9">
        <v>45230</v>
      </c>
      <c r="G2477">
        <v>19210723.412</v>
      </c>
      <c r="H2477">
        <v>3093195.02</v>
      </c>
      <c r="I2477">
        <v>799667.58799999999</v>
      </c>
      <c r="J2477">
        <v>1978597.54</v>
      </c>
      <c r="K2477">
        <v>78545.460000000006</v>
      </c>
      <c r="L2477">
        <v>0</v>
      </c>
      <c r="M2477">
        <v>0</v>
      </c>
      <c r="T2477" s="9">
        <v>45108</v>
      </c>
      <c r="U2477" s="9">
        <v>45473</v>
      </c>
      <c r="V2477">
        <f>SUM(POTABLE_NONPOTABLE_API[[#This Row],[RESIDENTIAL_SINGLEFAMILY_GAL]:[OTHER_GAL]])</f>
        <v>25160729.02</v>
      </c>
      <c r="W2477">
        <f>SUM(POTABLE_NONPOTABLE_API[[#This Row],[NONPOTABLE_DEMAND_RESIDENTIAL_RECYCLED_WATER_GAL]:[NONPOTABLE_DEMAND_NONRESIDENTIAL_METERED_IRRIGATION_GAL]])</f>
        <v>0</v>
      </c>
      <c r="X2477" t="str">
        <f>IFERROR(INDEX(Crosswalk_API!$H$2:$H$527, MATCH(POTABLE_NONPOTABLE_API[[#This Row],[PWSID]], CW_PWSID_LIST, 0)), "")</f>
        <v>No</v>
      </c>
    </row>
    <row r="2478" spans="1:24" x14ac:dyDescent="0.25">
      <c r="A2478" t="s">
        <v>1446</v>
      </c>
      <c r="B2478" t="s">
        <v>1447</v>
      </c>
      <c r="C2478" t="s">
        <v>1448</v>
      </c>
      <c r="D2478" t="s">
        <v>1449</v>
      </c>
      <c r="E2478" s="9">
        <v>45231</v>
      </c>
      <c r="F2478" s="9">
        <v>45260</v>
      </c>
      <c r="G2478">
        <v>21226723.552000001</v>
      </c>
      <c r="H2478">
        <v>6203595.2360000005</v>
      </c>
      <c r="I2478">
        <v>7457330.3880000003</v>
      </c>
      <c r="J2478">
        <v>3129101.5160000003</v>
      </c>
      <c r="K2478">
        <v>300716.90399999998</v>
      </c>
      <c r="L2478">
        <v>0</v>
      </c>
      <c r="M2478">
        <v>0</v>
      </c>
      <c r="T2478" s="9">
        <v>45108</v>
      </c>
      <c r="U2478" s="9">
        <v>45473</v>
      </c>
      <c r="V2478">
        <f>SUM(POTABLE_NONPOTABLE_API[[#This Row],[RESIDENTIAL_SINGLEFAMILY_GAL]:[OTHER_GAL]])</f>
        <v>38317467.596000001</v>
      </c>
      <c r="W2478">
        <f>SUM(POTABLE_NONPOTABLE_API[[#This Row],[NONPOTABLE_DEMAND_RESIDENTIAL_RECYCLED_WATER_GAL]:[NONPOTABLE_DEMAND_NONRESIDENTIAL_METERED_IRRIGATION_GAL]])</f>
        <v>0</v>
      </c>
      <c r="X2478" t="str">
        <f>IFERROR(INDEX(Crosswalk_API!$H$2:$H$527, MATCH(POTABLE_NONPOTABLE_API[[#This Row],[PWSID]], CW_PWSID_LIST, 0)), "")</f>
        <v>No</v>
      </c>
    </row>
    <row r="2479" spans="1:24" x14ac:dyDescent="0.25">
      <c r="A2479" t="s">
        <v>1446</v>
      </c>
      <c r="B2479" t="s">
        <v>1447</v>
      </c>
      <c r="C2479" t="s">
        <v>1448</v>
      </c>
      <c r="D2479" t="s">
        <v>1449</v>
      </c>
      <c r="E2479" s="9">
        <v>45261</v>
      </c>
      <c r="F2479" s="9">
        <v>45291</v>
      </c>
      <c r="G2479">
        <v>19785975.400000002</v>
      </c>
      <c r="H2479">
        <v>3128353.4640000002</v>
      </c>
      <c r="I2479">
        <v>1278420.868</v>
      </c>
      <c r="J2479">
        <v>1617288.4240000001</v>
      </c>
      <c r="K2479">
        <v>62088.315999999999</v>
      </c>
      <c r="L2479">
        <v>0</v>
      </c>
      <c r="M2479">
        <v>0</v>
      </c>
      <c r="T2479" s="9">
        <v>45108</v>
      </c>
      <c r="U2479" s="9">
        <v>45473</v>
      </c>
      <c r="V2479">
        <f>SUM(POTABLE_NONPOTABLE_API[[#This Row],[RESIDENTIAL_SINGLEFAMILY_GAL]:[OTHER_GAL]])</f>
        <v>25872126.472000003</v>
      </c>
      <c r="W2479">
        <f>SUM(POTABLE_NONPOTABLE_API[[#This Row],[NONPOTABLE_DEMAND_RESIDENTIAL_RECYCLED_WATER_GAL]:[NONPOTABLE_DEMAND_NONRESIDENTIAL_METERED_IRRIGATION_GAL]])</f>
        <v>0</v>
      </c>
      <c r="X2479" t="str">
        <f>IFERROR(INDEX(Crosswalk_API!$H$2:$H$527, MATCH(POTABLE_NONPOTABLE_API[[#This Row],[PWSID]], CW_PWSID_LIST, 0)), "")</f>
        <v>No</v>
      </c>
    </row>
    <row r="2480" spans="1:24" x14ac:dyDescent="0.25">
      <c r="A2480" t="s">
        <v>1446</v>
      </c>
      <c r="B2480" t="s">
        <v>1447</v>
      </c>
      <c r="C2480" t="s">
        <v>1448</v>
      </c>
      <c r="D2480" t="s">
        <v>1449</v>
      </c>
      <c r="E2480" s="9">
        <v>45292</v>
      </c>
      <c r="F2480" s="9">
        <v>45322</v>
      </c>
      <c r="G2480">
        <v>22685424.952</v>
      </c>
      <c r="H2480">
        <v>7012239.4479999999</v>
      </c>
      <c r="I2480">
        <v>8339283.6960000005</v>
      </c>
      <c r="J2480">
        <v>1986826.112</v>
      </c>
      <c r="K2480">
        <v>302213.00800000003</v>
      </c>
      <c r="L2480">
        <v>0</v>
      </c>
      <c r="M2480">
        <v>0</v>
      </c>
      <c r="T2480" s="9">
        <v>45108</v>
      </c>
      <c r="U2480" s="9">
        <v>45473</v>
      </c>
      <c r="V2480">
        <f>SUM(POTABLE_NONPOTABLE_API[[#This Row],[RESIDENTIAL_SINGLEFAMILY_GAL]:[OTHER_GAL]])</f>
        <v>40325987.216000006</v>
      </c>
      <c r="W2480">
        <f>SUM(POTABLE_NONPOTABLE_API[[#This Row],[NONPOTABLE_DEMAND_RESIDENTIAL_RECYCLED_WATER_GAL]:[NONPOTABLE_DEMAND_NONRESIDENTIAL_METERED_IRRIGATION_GAL]])</f>
        <v>0</v>
      </c>
      <c r="X2480" t="str">
        <f>IFERROR(INDEX(Crosswalk_API!$H$2:$H$527, MATCH(POTABLE_NONPOTABLE_API[[#This Row],[PWSID]], CW_PWSID_LIST, 0)), "")</f>
        <v>No</v>
      </c>
    </row>
    <row r="2481" spans="1:24" x14ac:dyDescent="0.25">
      <c r="A2481" t="s">
        <v>1446</v>
      </c>
      <c r="B2481" t="s">
        <v>1447</v>
      </c>
      <c r="C2481" t="s">
        <v>1448</v>
      </c>
      <c r="D2481" t="s">
        <v>1449</v>
      </c>
      <c r="E2481" s="9">
        <v>45323</v>
      </c>
      <c r="F2481" s="9">
        <v>45351</v>
      </c>
      <c r="G2481">
        <v>12877715.18</v>
      </c>
      <c r="H2481">
        <v>2510462.5120000001</v>
      </c>
      <c r="I2481">
        <v>496706.52799999999</v>
      </c>
      <c r="J2481">
        <v>299220.8</v>
      </c>
      <c r="K2481">
        <v>37402.6</v>
      </c>
      <c r="L2481">
        <v>0</v>
      </c>
      <c r="M2481">
        <v>0</v>
      </c>
      <c r="T2481" s="9">
        <v>45108</v>
      </c>
      <c r="U2481" s="9">
        <v>45473</v>
      </c>
      <c r="V2481">
        <f>SUM(POTABLE_NONPOTABLE_API[[#This Row],[RESIDENTIAL_SINGLEFAMILY_GAL]:[OTHER_GAL]])</f>
        <v>16221507.620000001</v>
      </c>
      <c r="W2481">
        <f>SUM(POTABLE_NONPOTABLE_API[[#This Row],[NONPOTABLE_DEMAND_RESIDENTIAL_RECYCLED_WATER_GAL]:[NONPOTABLE_DEMAND_NONRESIDENTIAL_METERED_IRRIGATION_GAL]])</f>
        <v>0</v>
      </c>
      <c r="X2481" t="str">
        <f>IFERROR(INDEX(Crosswalk_API!$H$2:$H$527, MATCH(POTABLE_NONPOTABLE_API[[#This Row],[PWSID]], CW_PWSID_LIST, 0)), "")</f>
        <v>No</v>
      </c>
    </row>
    <row r="2482" spans="1:24" x14ac:dyDescent="0.25">
      <c r="A2482" t="s">
        <v>1446</v>
      </c>
      <c r="B2482" t="s">
        <v>1447</v>
      </c>
      <c r="C2482" t="s">
        <v>1448</v>
      </c>
      <c r="D2482" t="s">
        <v>1449</v>
      </c>
      <c r="E2482" s="9">
        <v>45352</v>
      </c>
      <c r="F2482" s="9">
        <v>45382</v>
      </c>
      <c r="G2482">
        <v>11917216.412</v>
      </c>
      <c r="H2482">
        <v>3984873.0040000002</v>
      </c>
      <c r="I2482">
        <v>4523470.4440000001</v>
      </c>
      <c r="J2482">
        <v>462296.136</v>
      </c>
      <c r="K2482">
        <v>215438.976</v>
      </c>
      <c r="L2482">
        <v>0</v>
      </c>
      <c r="M2482">
        <v>0</v>
      </c>
      <c r="T2482" s="9">
        <v>45108</v>
      </c>
      <c r="U2482" s="9">
        <v>45473</v>
      </c>
      <c r="V2482">
        <f>SUM(POTABLE_NONPOTABLE_API[[#This Row],[RESIDENTIAL_SINGLEFAMILY_GAL]:[OTHER_GAL]])</f>
        <v>21103294.971999999</v>
      </c>
      <c r="W2482">
        <f>SUM(POTABLE_NONPOTABLE_API[[#This Row],[NONPOTABLE_DEMAND_RESIDENTIAL_RECYCLED_WATER_GAL]:[NONPOTABLE_DEMAND_NONRESIDENTIAL_METERED_IRRIGATION_GAL]])</f>
        <v>0</v>
      </c>
      <c r="X2482" t="str">
        <f>IFERROR(INDEX(Crosswalk_API!$H$2:$H$527, MATCH(POTABLE_NONPOTABLE_API[[#This Row],[PWSID]], CW_PWSID_LIST, 0)), "")</f>
        <v>No</v>
      </c>
    </row>
    <row r="2483" spans="1:24" x14ac:dyDescent="0.25">
      <c r="A2483" t="s">
        <v>1446</v>
      </c>
      <c r="B2483" t="s">
        <v>1447</v>
      </c>
      <c r="C2483" t="s">
        <v>1448</v>
      </c>
      <c r="D2483" t="s">
        <v>1449</v>
      </c>
      <c r="E2483" s="9">
        <v>45383</v>
      </c>
      <c r="F2483" s="9">
        <v>45412</v>
      </c>
      <c r="G2483">
        <v>13406587.944</v>
      </c>
      <c r="H2483">
        <v>2725901.4879999999</v>
      </c>
      <c r="I2483">
        <v>577496.14399999997</v>
      </c>
      <c r="J2483">
        <v>395719.50800000003</v>
      </c>
      <c r="K2483">
        <v>41142.86</v>
      </c>
      <c r="L2483">
        <v>0</v>
      </c>
      <c r="M2483">
        <v>0</v>
      </c>
      <c r="T2483" s="9">
        <v>45108</v>
      </c>
      <c r="U2483" s="9">
        <v>45473</v>
      </c>
      <c r="V2483">
        <f>SUM(POTABLE_NONPOTABLE_API[[#This Row],[RESIDENTIAL_SINGLEFAMILY_GAL]:[OTHER_GAL]])</f>
        <v>17146847.943999998</v>
      </c>
      <c r="W2483">
        <f>SUM(POTABLE_NONPOTABLE_API[[#This Row],[NONPOTABLE_DEMAND_RESIDENTIAL_RECYCLED_WATER_GAL]:[NONPOTABLE_DEMAND_NONRESIDENTIAL_METERED_IRRIGATION_GAL]])</f>
        <v>0</v>
      </c>
      <c r="X2483" t="str">
        <f>IFERROR(INDEX(Crosswalk_API!$H$2:$H$527, MATCH(POTABLE_NONPOTABLE_API[[#This Row],[PWSID]], CW_PWSID_LIST, 0)), "")</f>
        <v>No</v>
      </c>
    </row>
    <row r="2484" spans="1:24" x14ac:dyDescent="0.25">
      <c r="A2484" t="s">
        <v>1446</v>
      </c>
      <c r="B2484" t="s">
        <v>1447</v>
      </c>
      <c r="C2484" t="s">
        <v>1448</v>
      </c>
      <c r="D2484" t="s">
        <v>1449</v>
      </c>
      <c r="E2484" s="9">
        <v>45413</v>
      </c>
      <c r="F2484" s="9">
        <v>45443</v>
      </c>
      <c r="G2484">
        <v>17499928.488000002</v>
      </c>
      <c r="H2484">
        <v>5545309.4759999998</v>
      </c>
      <c r="I2484">
        <v>5720353.6440000003</v>
      </c>
      <c r="J2484">
        <v>1688353.3640000001</v>
      </c>
      <c r="K2484">
        <v>280519.5</v>
      </c>
      <c r="L2484">
        <v>0</v>
      </c>
      <c r="M2484">
        <v>0</v>
      </c>
      <c r="T2484" s="9">
        <v>45108</v>
      </c>
      <c r="U2484" s="9">
        <v>45473</v>
      </c>
      <c r="V2484">
        <f>SUM(POTABLE_NONPOTABLE_API[[#This Row],[RESIDENTIAL_SINGLEFAMILY_GAL]:[OTHER_GAL]])</f>
        <v>30734464.472000003</v>
      </c>
      <c r="W2484">
        <f>SUM(POTABLE_NONPOTABLE_API[[#This Row],[NONPOTABLE_DEMAND_RESIDENTIAL_RECYCLED_WATER_GAL]:[NONPOTABLE_DEMAND_NONRESIDENTIAL_METERED_IRRIGATION_GAL]])</f>
        <v>0</v>
      </c>
      <c r="X2484" t="str">
        <f>IFERROR(INDEX(Crosswalk_API!$H$2:$H$527, MATCH(POTABLE_NONPOTABLE_API[[#This Row],[PWSID]], CW_PWSID_LIST, 0)), "")</f>
        <v>No</v>
      </c>
    </row>
    <row r="2485" spans="1:24" x14ac:dyDescent="0.25">
      <c r="A2485" t="s">
        <v>1446</v>
      </c>
      <c r="B2485" t="s">
        <v>1447</v>
      </c>
      <c r="C2485" t="s">
        <v>1448</v>
      </c>
      <c r="D2485" t="s">
        <v>1449</v>
      </c>
      <c r="E2485" s="9">
        <v>45444</v>
      </c>
      <c r="F2485" s="9">
        <v>45473</v>
      </c>
      <c r="G2485">
        <v>21956074.252</v>
      </c>
      <c r="H2485">
        <v>6137018.608</v>
      </c>
      <c r="I2485">
        <v>7694462.8720000004</v>
      </c>
      <c r="J2485">
        <v>2919646.9560000002</v>
      </c>
      <c r="K2485">
        <v>277527.29200000002</v>
      </c>
      <c r="L2485">
        <v>0</v>
      </c>
      <c r="M2485">
        <v>0</v>
      </c>
      <c r="T2485" s="9">
        <v>45108</v>
      </c>
      <c r="U2485" s="9">
        <v>45473</v>
      </c>
      <c r="V2485">
        <f>SUM(POTABLE_NONPOTABLE_API[[#This Row],[RESIDENTIAL_SINGLEFAMILY_GAL]:[OTHER_GAL]])</f>
        <v>38984729.980000004</v>
      </c>
      <c r="W2485">
        <f>SUM(POTABLE_NONPOTABLE_API[[#This Row],[NONPOTABLE_DEMAND_RESIDENTIAL_RECYCLED_WATER_GAL]:[NONPOTABLE_DEMAND_NONRESIDENTIAL_METERED_IRRIGATION_GAL]])</f>
        <v>0</v>
      </c>
      <c r="X2485" t="str">
        <f>IFERROR(INDEX(Crosswalk_API!$H$2:$H$527, MATCH(POTABLE_NONPOTABLE_API[[#This Row],[PWSID]], CW_PWSID_LIST, 0)), "")</f>
        <v>No</v>
      </c>
    </row>
    <row r="2486" spans="1:24" x14ac:dyDescent="0.25">
      <c r="A2486" t="s">
        <v>1450</v>
      </c>
      <c r="B2486" t="s">
        <v>1451</v>
      </c>
      <c r="C2486" t="s">
        <v>1452</v>
      </c>
      <c r="D2486" t="s">
        <v>1453</v>
      </c>
      <c r="E2486" s="9">
        <v>45108</v>
      </c>
      <c r="F2486" s="9">
        <v>45138</v>
      </c>
      <c r="G2486">
        <v>242881263.62</v>
      </c>
      <c r="H2486">
        <v>29543565.688000001</v>
      </c>
      <c r="I2486">
        <v>26487025.216000002</v>
      </c>
      <c r="J2486">
        <v>24815128.995999999</v>
      </c>
      <c r="K2486">
        <v>9743377.3000000007</v>
      </c>
      <c r="L2486">
        <v>33651119.219999999</v>
      </c>
      <c r="M2486">
        <v>0</v>
      </c>
      <c r="T2486" s="9">
        <v>45108</v>
      </c>
      <c r="U2486" s="9">
        <v>45473</v>
      </c>
      <c r="V2486">
        <f>SUM(POTABLE_NONPOTABLE_API[[#This Row],[RESIDENTIAL_SINGLEFAMILY_GAL]:[OTHER_GAL]])</f>
        <v>367121480.04000008</v>
      </c>
      <c r="W2486">
        <f>SUM(POTABLE_NONPOTABLE_API[[#This Row],[NONPOTABLE_DEMAND_RESIDENTIAL_RECYCLED_WATER_GAL]:[NONPOTABLE_DEMAND_NONRESIDENTIAL_METERED_IRRIGATION_GAL]])</f>
        <v>0</v>
      </c>
      <c r="X2486" t="str">
        <f>IFERROR(INDEX(Crosswalk_API!$H$2:$H$527, MATCH(POTABLE_NONPOTABLE_API[[#This Row],[PWSID]], CW_PWSID_LIST, 0)), "")</f>
        <v>No</v>
      </c>
    </row>
    <row r="2487" spans="1:24" x14ac:dyDescent="0.25">
      <c r="A2487" t="s">
        <v>1450</v>
      </c>
      <c r="B2487" t="s">
        <v>1451</v>
      </c>
      <c r="C2487" t="s">
        <v>1452</v>
      </c>
      <c r="D2487" t="s">
        <v>1453</v>
      </c>
      <c r="E2487" s="9">
        <v>45139</v>
      </c>
      <c r="F2487" s="9">
        <v>45169</v>
      </c>
      <c r="G2487">
        <v>239889055.62</v>
      </c>
      <c r="H2487">
        <v>25360458.903999999</v>
      </c>
      <c r="I2487">
        <v>39462735.208000004</v>
      </c>
      <c r="J2487">
        <v>27113892.791999999</v>
      </c>
      <c r="K2487">
        <v>8212862.9079999998</v>
      </c>
      <c r="L2487">
        <v>45146434.303999998</v>
      </c>
      <c r="M2487">
        <v>0</v>
      </c>
      <c r="T2487" s="9">
        <v>45108</v>
      </c>
      <c r="U2487" s="9">
        <v>45473</v>
      </c>
      <c r="V2487">
        <f>SUM(POTABLE_NONPOTABLE_API[[#This Row],[RESIDENTIAL_SINGLEFAMILY_GAL]:[OTHER_GAL]])</f>
        <v>385185439.736</v>
      </c>
      <c r="W2487">
        <f>SUM(POTABLE_NONPOTABLE_API[[#This Row],[NONPOTABLE_DEMAND_RESIDENTIAL_RECYCLED_WATER_GAL]:[NONPOTABLE_DEMAND_NONRESIDENTIAL_METERED_IRRIGATION_GAL]])</f>
        <v>0</v>
      </c>
      <c r="X2487" t="str">
        <f>IFERROR(INDEX(Crosswalk_API!$H$2:$H$527, MATCH(POTABLE_NONPOTABLE_API[[#This Row],[PWSID]], CW_PWSID_LIST, 0)), "")</f>
        <v>No</v>
      </c>
    </row>
    <row r="2488" spans="1:24" x14ac:dyDescent="0.25">
      <c r="A2488" t="s">
        <v>1450</v>
      </c>
      <c r="B2488" t="s">
        <v>1451</v>
      </c>
      <c r="C2488" t="s">
        <v>1452</v>
      </c>
      <c r="D2488" t="s">
        <v>1453</v>
      </c>
      <c r="E2488" s="9">
        <v>45170</v>
      </c>
      <c r="F2488" s="9">
        <v>45199</v>
      </c>
      <c r="G2488">
        <v>249318999.132</v>
      </c>
      <c r="H2488">
        <v>28053446.104000002</v>
      </c>
      <c r="I2488">
        <v>35174901.144000001</v>
      </c>
      <c r="J2488">
        <v>31656064.536000002</v>
      </c>
      <c r="K2488">
        <v>8325818.7599999998</v>
      </c>
      <c r="L2488">
        <v>42600065.296000004</v>
      </c>
      <c r="M2488">
        <v>0</v>
      </c>
      <c r="T2488" s="9">
        <v>45108</v>
      </c>
      <c r="U2488" s="9">
        <v>45473</v>
      </c>
      <c r="V2488">
        <f>SUM(POTABLE_NONPOTABLE_API[[#This Row],[RESIDENTIAL_SINGLEFAMILY_GAL]:[OTHER_GAL]])</f>
        <v>395129294.972</v>
      </c>
      <c r="W2488">
        <f>SUM(POTABLE_NONPOTABLE_API[[#This Row],[NONPOTABLE_DEMAND_RESIDENTIAL_RECYCLED_WATER_GAL]:[NONPOTABLE_DEMAND_NONRESIDENTIAL_METERED_IRRIGATION_GAL]])</f>
        <v>0</v>
      </c>
      <c r="X2488" t="str">
        <f>IFERROR(INDEX(Crosswalk_API!$H$2:$H$527, MATCH(POTABLE_NONPOTABLE_API[[#This Row],[PWSID]], CW_PWSID_LIST, 0)), "")</f>
        <v>No</v>
      </c>
    </row>
    <row r="2489" spans="1:24" x14ac:dyDescent="0.25">
      <c r="A2489" t="s">
        <v>1450</v>
      </c>
      <c r="B2489" t="s">
        <v>1451</v>
      </c>
      <c r="C2489" t="s">
        <v>1452</v>
      </c>
      <c r="D2489" t="s">
        <v>1453</v>
      </c>
      <c r="E2489" s="9">
        <v>45200</v>
      </c>
      <c r="F2489" s="9">
        <v>45230</v>
      </c>
      <c r="G2489">
        <v>196967327.96400002</v>
      </c>
      <c r="H2489">
        <v>38425935.136</v>
      </c>
      <c r="I2489">
        <v>32378682.767999999</v>
      </c>
      <c r="J2489">
        <v>21537913.184</v>
      </c>
      <c r="K2489">
        <v>7259096.608</v>
      </c>
      <c r="L2489">
        <v>49251743.68</v>
      </c>
      <c r="M2489">
        <v>0</v>
      </c>
      <c r="T2489" s="9">
        <v>45108</v>
      </c>
      <c r="U2489" s="9">
        <v>45473</v>
      </c>
      <c r="V2489">
        <f>SUM(POTABLE_NONPOTABLE_API[[#This Row],[RESIDENTIAL_SINGLEFAMILY_GAL]:[OTHER_GAL]])</f>
        <v>345820699.34000003</v>
      </c>
      <c r="W2489">
        <f>SUM(POTABLE_NONPOTABLE_API[[#This Row],[NONPOTABLE_DEMAND_RESIDENTIAL_RECYCLED_WATER_GAL]:[NONPOTABLE_DEMAND_NONRESIDENTIAL_METERED_IRRIGATION_GAL]])</f>
        <v>0</v>
      </c>
      <c r="X2489" t="str">
        <f>IFERROR(INDEX(Crosswalk_API!$H$2:$H$527, MATCH(POTABLE_NONPOTABLE_API[[#This Row],[PWSID]], CW_PWSID_LIST, 0)), "")</f>
        <v>No</v>
      </c>
    </row>
    <row r="2490" spans="1:24" x14ac:dyDescent="0.25">
      <c r="A2490" t="s">
        <v>1450</v>
      </c>
      <c r="B2490" t="s">
        <v>1451</v>
      </c>
      <c r="C2490" t="s">
        <v>1452</v>
      </c>
      <c r="D2490" t="s">
        <v>1453</v>
      </c>
      <c r="E2490" s="9">
        <v>45231</v>
      </c>
      <c r="F2490" s="9">
        <v>45260</v>
      </c>
      <c r="G2490">
        <v>193507587.46400002</v>
      </c>
      <c r="H2490">
        <v>30527254.068</v>
      </c>
      <c r="I2490">
        <v>32548490.572000001</v>
      </c>
      <c r="J2490">
        <v>53450559.556000002</v>
      </c>
      <c r="K2490">
        <v>8346764.216</v>
      </c>
      <c r="L2490">
        <v>27962931.811999999</v>
      </c>
      <c r="M2490">
        <v>0</v>
      </c>
      <c r="T2490" s="9">
        <v>45108</v>
      </c>
      <c r="U2490" s="9">
        <v>45473</v>
      </c>
      <c r="V2490">
        <f>SUM(POTABLE_NONPOTABLE_API[[#This Row],[RESIDENTIAL_SINGLEFAMILY_GAL]:[OTHER_GAL]])</f>
        <v>346343587.68800002</v>
      </c>
      <c r="W2490">
        <f>SUM(POTABLE_NONPOTABLE_API[[#This Row],[NONPOTABLE_DEMAND_RESIDENTIAL_RECYCLED_WATER_GAL]:[NONPOTABLE_DEMAND_NONRESIDENTIAL_METERED_IRRIGATION_GAL]])</f>
        <v>0</v>
      </c>
      <c r="X2490" t="str">
        <f>IFERROR(INDEX(Crosswalk_API!$H$2:$H$527, MATCH(POTABLE_NONPOTABLE_API[[#This Row],[PWSID]], CW_PWSID_LIST, 0)), "")</f>
        <v>No</v>
      </c>
    </row>
    <row r="2491" spans="1:24" x14ac:dyDescent="0.25">
      <c r="A2491" t="s">
        <v>1450</v>
      </c>
      <c r="B2491" t="s">
        <v>1451</v>
      </c>
      <c r="C2491" t="s">
        <v>1452</v>
      </c>
      <c r="D2491" t="s">
        <v>1453</v>
      </c>
      <c r="E2491" s="9">
        <v>45261</v>
      </c>
      <c r="F2491" s="9">
        <v>45291</v>
      </c>
      <c r="G2491">
        <v>167937674</v>
      </c>
      <c r="H2491">
        <v>26295523.903999999</v>
      </c>
      <c r="I2491">
        <v>32032334.692000002</v>
      </c>
      <c r="J2491">
        <v>17324136.267999999</v>
      </c>
      <c r="K2491">
        <v>8271210.9640000006</v>
      </c>
      <c r="L2491">
        <v>16545414.136</v>
      </c>
      <c r="M2491">
        <v>0</v>
      </c>
      <c r="T2491" s="9">
        <v>45108</v>
      </c>
      <c r="U2491" s="9">
        <v>45473</v>
      </c>
      <c r="V2491">
        <f>SUM(POTABLE_NONPOTABLE_API[[#This Row],[RESIDENTIAL_SINGLEFAMILY_GAL]:[OTHER_GAL]])</f>
        <v>268406293.96399999</v>
      </c>
      <c r="W2491">
        <f>SUM(POTABLE_NONPOTABLE_API[[#This Row],[NONPOTABLE_DEMAND_RESIDENTIAL_RECYCLED_WATER_GAL]:[NONPOTABLE_DEMAND_NONRESIDENTIAL_METERED_IRRIGATION_GAL]])</f>
        <v>0</v>
      </c>
      <c r="X2491" t="str">
        <f>IFERROR(INDEX(Crosswalk_API!$H$2:$H$527, MATCH(POTABLE_NONPOTABLE_API[[#This Row],[PWSID]], CW_PWSID_LIST, 0)), "")</f>
        <v>No</v>
      </c>
    </row>
    <row r="2492" spans="1:24" x14ac:dyDescent="0.25">
      <c r="A2492" t="s">
        <v>1450</v>
      </c>
      <c r="B2492" t="s">
        <v>1451</v>
      </c>
      <c r="C2492" t="s">
        <v>1452</v>
      </c>
      <c r="D2492" t="s">
        <v>1453</v>
      </c>
      <c r="E2492" s="9">
        <v>45292</v>
      </c>
      <c r="F2492" s="9">
        <v>45322</v>
      </c>
      <c r="G2492">
        <v>128643250.492</v>
      </c>
      <c r="H2492">
        <v>33570329.604000002</v>
      </c>
      <c r="I2492">
        <v>25019347.192000002</v>
      </c>
      <c r="J2492">
        <v>13772385.372</v>
      </c>
      <c r="K2492">
        <v>7872499.2480000006</v>
      </c>
      <c r="L2492">
        <v>12648063.216</v>
      </c>
      <c r="M2492">
        <v>0</v>
      </c>
      <c r="T2492" s="9">
        <v>45108</v>
      </c>
      <c r="U2492" s="9">
        <v>45473</v>
      </c>
      <c r="V2492">
        <f>SUM(POTABLE_NONPOTABLE_API[[#This Row],[RESIDENTIAL_SINGLEFAMILY_GAL]:[OTHER_GAL]])</f>
        <v>221525875.12400001</v>
      </c>
      <c r="W2492">
        <f>SUM(POTABLE_NONPOTABLE_API[[#This Row],[NONPOTABLE_DEMAND_RESIDENTIAL_RECYCLED_WATER_GAL]:[NONPOTABLE_DEMAND_NONRESIDENTIAL_METERED_IRRIGATION_GAL]])</f>
        <v>0</v>
      </c>
      <c r="X2492" t="str">
        <f>IFERROR(INDEX(Crosswalk_API!$H$2:$H$527, MATCH(POTABLE_NONPOTABLE_API[[#This Row],[PWSID]], CW_PWSID_LIST, 0)), "")</f>
        <v>No</v>
      </c>
    </row>
    <row r="2493" spans="1:24" x14ac:dyDescent="0.25">
      <c r="A2493" t="s">
        <v>1450</v>
      </c>
      <c r="B2493" t="s">
        <v>1451</v>
      </c>
      <c r="C2493" t="s">
        <v>1452</v>
      </c>
      <c r="D2493" t="s">
        <v>1453</v>
      </c>
      <c r="E2493" s="9">
        <v>45323</v>
      </c>
      <c r="F2493" s="9">
        <v>45351</v>
      </c>
      <c r="G2493">
        <v>121957909.76800001</v>
      </c>
      <c r="H2493">
        <v>21424957.332000002</v>
      </c>
      <c r="I2493">
        <v>30698557.976</v>
      </c>
      <c r="J2493">
        <v>11874577.448000001</v>
      </c>
      <c r="K2493">
        <v>7809662.8799999999</v>
      </c>
      <c r="L2493">
        <v>11865600.824000001</v>
      </c>
      <c r="M2493">
        <v>0</v>
      </c>
      <c r="T2493" s="9">
        <v>45108</v>
      </c>
      <c r="U2493" s="9">
        <v>45473</v>
      </c>
      <c r="V2493">
        <f>SUM(POTABLE_NONPOTABLE_API[[#This Row],[RESIDENTIAL_SINGLEFAMILY_GAL]:[OTHER_GAL]])</f>
        <v>205631266.22800004</v>
      </c>
      <c r="W2493">
        <f>SUM(POTABLE_NONPOTABLE_API[[#This Row],[NONPOTABLE_DEMAND_RESIDENTIAL_RECYCLED_WATER_GAL]:[NONPOTABLE_DEMAND_NONRESIDENTIAL_METERED_IRRIGATION_GAL]])</f>
        <v>0</v>
      </c>
      <c r="X2493" t="str">
        <f>IFERROR(INDEX(Crosswalk_API!$H$2:$H$527, MATCH(POTABLE_NONPOTABLE_API[[#This Row],[PWSID]], CW_PWSID_LIST, 0)), "")</f>
        <v>No</v>
      </c>
    </row>
    <row r="2494" spans="1:24" x14ac:dyDescent="0.25">
      <c r="A2494" t="s">
        <v>1450</v>
      </c>
      <c r="B2494" t="s">
        <v>1451</v>
      </c>
      <c r="C2494" t="s">
        <v>1452</v>
      </c>
      <c r="D2494" t="s">
        <v>1453</v>
      </c>
      <c r="E2494" s="9">
        <v>45352</v>
      </c>
      <c r="F2494" s="9">
        <v>45382</v>
      </c>
      <c r="G2494">
        <v>110351134.936</v>
      </c>
      <c r="H2494">
        <v>26323949.879999999</v>
      </c>
      <c r="I2494">
        <v>26146661.556000002</v>
      </c>
      <c r="J2494">
        <v>15706847.844000001</v>
      </c>
      <c r="K2494">
        <v>7686234.2999999998</v>
      </c>
      <c r="L2494">
        <v>16035990.724000001</v>
      </c>
      <c r="M2494">
        <v>0</v>
      </c>
      <c r="T2494" s="9">
        <v>45108</v>
      </c>
      <c r="U2494" s="9">
        <v>45473</v>
      </c>
      <c r="V2494">
        <f>SUM(POTABLE_NONPOTABLE_API[[#This Row],[RESIDENTIAL_SINGLEFAMILY_GAL]:[OTHER_GAL]])</f>
        <v>202250819.24000004</v>
      </c>
      <c r="W2494">
        <f>SUM(POTABLE_NONPOTABLE_API[[#This Row],[NONPOTABLE_DEMAND_RESIDENTIAL_RECYCLED_WATER_GAL]:[NONPOTABLE_DEMAND_NONRESIDENTIAL_METERED_IRRIGATION_GAL]])</f>
        <v>0</v>
      </c>
      <c r="X2494" t="str">
        <f>IFERROR(INDEX(Crosswalk_API!$H$2:$H$527, MATCH(POTABLE_NONPOTABLE_API[[#This Row],[PWSID]], CW_PWSID_LIST, 0)), "")</f>
        <v>No</v>
      </c>
    </row>
    <row r="2495" spans="1:24" x14ac:dyDescent="0.25">
      <c r="A2495" t="s">
        <v>1450</v>
      </c>
      <c r="B2495" t="s">
        <v>1451</v>
      </c>
      <c r="C2495" t="s">
        <v>1452</v>
      </c>
      <c r="D2495" t="s">
        <v>1453</v>
      </c>
      <c r="E2495" s="9">
        <v>45383</v>
      </c>
      <c r="F2495" s="9">
        <v>45412</v>
      </c>
      <c r="G2495">
        <v>122206263.03200001</v>
      </c>
      <c r="H2495">
        <v>27037591.488000002</v>
      </c>
      <c r="I2495">
        <v>27594142.175999999</v>
      </c>
      <c r="J2495">
        <v>14827886.744000001</v>
      </c>
      <c r="K2495">
        <v>7779740.7999999998</v>
      </c>
      <c r="L2495">
        <v>17661507.719999999</v>
      </c>
      <c r="M2495">
        <v>0</v>
      </c>
      <c r="T2495" s="9">
        <v>45108</v>
      </c>
      <c r="U2495" s="9">
        <v>45473</v>
      </c>
      <c r="V2495">
        <f>SUM(POTABLE_NONPOTABLE_API[[#This Row],[RESIDENTIAL_SINGLEFAMILY_GAL]:[OTHER_GAL]])</f>
        <v>217107131.96000001</v>
      </c>
      <c r="W2495">
        <f>SUM(POTABLE_NONPOTABLE_API[[#This Row],[NONPOTABLE_DEMAND_RESIDENTIAL_RECYCLED_WATER_GAL]:[NONPOTABLE_DEMAND_NONRESIDENTIAL_METERED_IRRIGATION_GAL]])</f>
        <v>0</v>
      </c>
      <c r="X2495" t="str">
        <f>IFERROR(INDEX(Crosswalk_API!$H$2:$H$527, MATCH(POTABLE_NONPOTABLE_API[[#This Row],[PWSID]], CW_PWSID_LIST, 0)), "")</f>
        <v>No</v>
      </c>
    </row>
    <row r="2496" spans="1:24" x14ac:dyDescent="0.25">
      <c r="A2496" t="s">
        <v>1450</v>
      </c>
      <c r="B2496" t="s">
        <v>1451</v>
      </c>
      <c r="C2496" t="s">
        <v>1452</v>
      </c>
      <c r="D2496" t="s">
        <v>1453</v>
      </c>
      <c r="E2496" s="9">
        <v>45413</v>
      </c>
      <c r="F2496" s="9">
        <v>45443</v>
      </c>
      <c r="G2496">
        <v>141678804.64399999</v>
      </c>
      <c r="H2496">
        <v>26680022.631999999</v>
      </c>
      <c r="I2496">
        <v>29499430.620000001</v>
      </c>
      <c r="J2496">
        <v>15758463.432</v>
      </c>
      <c r="K2496">
        <v>8283927.8480000002</v>
      </c>
      <c r="L2496">
        <v>20252011.796</v>
      </c>
      <c r="M2496">
        <v>0</v>
      </c>
      <c r="T2496" s="9">
        <v>45108</v>
      </c>
      <c r="U2496" s="9">
        <v>45473</v>
      </c>
      <c r="V2496">
        <f>SUM(POTABLE_NONPOTABLE_API[[#This Row],[RESIDENTIAL_SINGLEFAMILY_GAL]:[OTHER_GAL]])</f>
        <v>242152660.972</v>
      </c>
      <c r="W2496">
        <f>SUM(POTABLE_NONPOTABLE_API[[#This Row],[NONPOTABLE_DEMAND_RESIDENTIAL_RECYCLED_WATER_GAL]:[NONPOTABLE_DEMAND_NONRESIDENTIAL_METERED_IRRIGATION_GAL]])</f>
        <v>0</v>
      </c>
      <c r="X2496" t="str">
        <f>IFERROR(INDEX(Crosswalk_API!$H$2:$H$527, MATCH(POTABLE_NONPOTABLE_API[[#This Row],[PWSID]], CW_PWSID_LIST, 0)), "")</f>
        <v>No</v>
      </c>
    </row>
    <row r="2497" spans="1:24" x14ac:dyDescent="0.25">
      <c r="A2497" t="s">
        <v>1450</v>
      </c>
      <c r="B2497" t="s">
        <v>1451</v>
      </c>
      <c r="C2497" t="s">
        <v>1452</v>
      </c>
      <c r="D2497" t="s">
        <v>1453</v>
      </c>
      <c r="E2497" s="9">
        <v>45444</v>
      </c>
      <c r="F2497" s="9">
        <v>45473</v>
      </c>
      <c r="G2497">
        <v>189632678.104</v>
      </c>
      <c r="H2497">
        <v>18822484.423999999</v>
      </c>
      <c r="I2497">
        <v>34055815.351999998</v>
      </c>
      <c r="J2497">
        <v>21073372.892000001</v>
      </c>
      <c r="K2497">
        <v>7755803.1359999999</v>
      </c>
      <c r="L2497">
        <v>26458599.240000002</v>
      </c>
      <c r="M2497">
        <v>0</v>
      </c>
      <c r="T2497" s="9">
        <v>45108</v>
      </c>
      <c r="U2497" s="9">
        <v>45473</v>
      </c>
      <c r="V2497">
        <f>SUM(POTABLE_NONPOTABLE_API[[#This Row],[RESIDENTIAL_SINGLEFAMILY_GAL]:[OTHER_GAL]])</f>
        <v>297798753.148</v>
      </c>
      <c r="W2497">
        <f>SUM(POTABLE_NONPOTABLE_API[[#This Row],[NONPOTABLE_DEMAND_RESIDENTIAL_RECYCLED_WATER_GAL]:[NONPOTABLE_DEMAND_NONRESIDENTIAL_METERED_IRRIGATION_GAL]])</f>
        <v>0</v>
      </c>
      <c r="X2497" t="str">
        <f>IFERROR(INDEX(Crosswalk_API!$H$2:$H$527, MATCH(POTABLE_NONPOTABLE_API[[#This Row],[PWSID]], CW_PWSID_LIST, 0)), "")</f>
        <v>No</v>
      </c>
    </row>
    <row r="2498" spans="1:24" x14ac:dyDescent="0.25">
      <c r="A2498" t="s">
        <v>1454</v>
      </c>
      <c r="B2498" t="s">
        <v>1455</v>
      </c>
      <c r="C2498" t="s">
        <v>1456</v>
      </c>
      <c r="D2498" t="s">
        <v>1457</v>
      </c>
      <c r="E2498" s="9">
        <v>45108</v>
      </c>
      <c r="F2498" s="9">
        <v>45138</v>
      </c>
      <c r="G2498">
        <v>44588387.512000002</v>
      </c>
      <c r="H2498">
        <v>34322869.916000001</v>
      </c>
      <c r="I2498">
        <v>20993331.328000002</v>
      </c>
      <c r="J2498">
        <v>0</v>
      </c>
      <c r="K2498">
        <v>760768.88400000008</v>
      </c>
      <c r="L2498">
        <v>16457.144</v>
      </c>
      <c r="M2498">
        <v>0</v>
      </c>
      <c r="N2498">
        <v>3165008012</v>
      </c>
      <c r="O2498">
        <v>0</v>
      </c>
      <c r="P2498">
        <v>0</v>
      </c>
      <c r="Q2498">
        <v>0</v>
      </c>
      <c r="R2498">
        <v>0</v>
      </c>
      <c r="S2498">
        <v>0</v>
      </c>
      <c r="T2498" s="9">
        <v>45108</v>
      </c>
      <c r="U2498" s="9">
        <v>45473</v>
      </c>
      <c r="V2498">
        <f>SUM(POTABLE_NONPOTABLE_API[[#This Row],[RESIDENTIAL_SINGLEFAMILY_GAL]:[OTHER_GAL]])</f>
        <v>100681814.78400001</v>
      </c>
      <c r="W2498">
        <f>SUM(POTABLE_NONPOTABLE_API[[#This Row],[NONPOTABLE_DEMAND_RESIDENTIAL_RECYCLED_WATER_GAL]:[NONPOTABLE_DEMAND_NONRESIDENTIAL_METERED_IRRIGATION_GAL]])</f>
        <v>3165008012</v>
      </c>
      <c r="X2498" t="str">
        <f>IFERROR(INDEX(Crosswalk_API!$H$2:$H$527, MATCH(POTABLE_NONPOTABLE_API[[#This Row],[PWSID]], CW_PWSID_LIST, 0)), "")</f>
        <v>No</v>
      </c>
    </row>
    <row r="2499" spans="1:24" x14ac:dyDescent="0.25">
      <c r="A2499" t="s">
        <v>1454</v>
      </c>
      <c r="B2499" t="s">
        <v>1455</v>
      </c>
      <c r="C2499" t="s">
        <v>1456</v>
      </c>
      <c r="D2499" t="s">
        <v>1457</v>
      </c>
      <c r="E2499" s="9">
        <v>45139</v>
      </c>
      <c r="F2499" s="9">
        <v>45169</v>
      </c>
      <c r="G2499">
        <v>40145706.684</v>
      </c>
      <c r="H2499">
        <v>30584854.072000001</v>
      </c>
      <c r="I2499">
        <v>19126193.536000002</v>
      </c>
      <c r="J2499">
        <v>0</v>
      </c>
      <c r="K2499">
        <v>733839.01199999999</v>
      </c>
      <c r="L2499">
        <v>23937.664000000001</v>
      </c>
      <c r="M2499">
        <v>0</v>
      </c>
      <c r="N2499">
        <v>0</v>
      </c>
      <c r="O2499">
        <v>0</v>
      </c>
      <c r="P2499">
        <v>0</v>
      </c>
      <c r="Q2499">
        <v>3577932716</v>
      </c>
      <c r="R2499">
        <v>0</v>
      </c>
      <c r="S2499">
        <v>0</v>
      </c>
      <c r="T2499" s="9">
        <v>45108</v>
      </c>
      <c r="U2499" s="9">
        <v>45473</v>
      </c>
      <c r="V2499">
        <f>SUM(POTABLE_NONPOTABLE_API[[#This Row],[RESIDENTIAL_SINGLEFAMILY_GAL]:[OTHER_GAL]])</f>
        <v>90614530.967999995</v>
      </c>
      <c r="W2499">
        <f>SUM(POTABLE_NONPOTABLE_API[[#This Row],[NONPOTABLE_DEMAND_RESIDENTIAL_RECYCLED_WATER_GAL]:[NONPOTABLE_DEMAND_NONRESIDENTIAL_METERED_IRRIGATION_GAL]])</f>
        <v>3577932716</v>
      </c>
      <c r="X2499" t="str">
        <f>IFERROR(INDEX(Crosswalk_API!$H$2:$H$527, MATCH(POTABLE_NONPOTABLE_API[[#This Row],[PWSID]], CW_PWSID_LIST, 0)), "")</f>
        <v>No</v>
      </c>
    </row>
    <row r="2500" spans="1:24" x14ac:dyDescent="0.25">
      <c r="A2500" t="s">
        <v>1454</v>
      </c>
      <c r="B2500" t="s">
        <v>1455</v>
      </c>
      <c r="C2500" t="s">
        <v>1456</v>
      </c>
      <c r="D2500" t="s">
        <v>1457</v>
      </c>
      <c r="E2500" s="9">
        <v>45170</v>
      </c>
      <c r="F2500" s="9">
        <v>45199</v>
      </c>
      <c r="G2500">
        <v>42926215.968000002</v>
      </c>
      <c r="H2500">
        <v>34182984.192000002</v>
      </c>
      <c r="I2500">
        <v>19932593.592</v>
      </c>
      <c r="J2500">
        <v>0</v>
      </c>
      <c r="K2500">
        <v>820613.04399999999</v>
      </c>
      <c r="L2500">
        <v>20945.456000000002</v>
      </c>
      <c r="M2500">
        <v>0</v>
      </c>
      <c r="N2500">
        <v>0</v>
      </c>
      <c r="O2500">
        <v>0</v>
      </c>
      <c r="P2500">
        <v>0</v>
      </c>
      <c r="Q2500">
        <v>2134940.4080000003</v>
      </c>
      <c r="R2500">
        <v>0</v>
      </c>
      <c r="S2500">
        <v>0</v>
      </c>
      <c r="T2500" s="9">
        <v>45108</v>
      </c>
      <c r="U2500" s="9">
        <v>45473</v>
      </c>
      <c r="V2500">
        <f>SUM(POTABLE_NONPOTABLE_API[[#This Row],[RESIDENTIAL_SINGLEFAMILY_GAL]:[OTHER_GAL]])</f>
        <v>97883352.252000004</v>
      </c>
      <c r="W2500">
        <f>SUM(POTABLE_NONPOTABLE_API[[#This Row],[NONPOTABLE_DEMAND_RESIDENTIAL_RECYCLED_WATER_GAL]:[NONPOTABLE_DEMAND_NONRESIDENTIAL_METERED_IRRIGATION_GAL]])</f>
        <v>2134940.4080000003</v>
      </c>
      <c r="X2500" t="str">
        <f>IFERROR(INDEX(Crosswalk_API!$H$2:$H$527, MATCH(POTABLE_NONPOTABLE_API[[#This Row],[PWSID]], CW_PWSID_LIST, 0)), "")</f>
        <v>No</v>
      </c>
    </row>
    <row r="2501" spans="1:24" x14ac:dyDescent="0.25">
      <c r="A2501" t="s">
        <v>1454</v>
      </c>
      <c r="B2501" t="s">
        <v>1455</v>
      </c>
      <c r="C2501" t="s">
        <v>1456</v>
      </c>
      <c r="D2501" t="s">
        <v>1457</v>
      </c>
      <c r="E2501" s="9">
        <v>45200</v>
      </c>
      <c r="F2501" s="9">
        <v>45230</v>
      </c>
      <c r="G2501">
        <v>39453010.531999998</v>
      </c>
      <c r="H2501">
        <v>31677758.044</v>
      </c>
      <c r="I2501">
        <v>18819492.216000002</v>
      </c>
      <c r="J2501">
        <v>0</v>
      </c>
      <c r="K2501">
        <v>715137.71200000006</v>
      </c>
      <c r="L2501">
        <v>15709.092000000001</v>
      </c>
      <c r="M2501">
        <v>0</v>
      </c>
      <c r="N2501">
        <v>0</v>
      </c>
      <c r="O2501">
        <v>0</v>
      </c>
      <c r="P2501">
        <v>0</v>
      </c>
      <c r="Q2501">
        <v>2259117.04</v>
      </c>
      <c r="R2501">
        <v>0</v>
      </c>
      <c r="S2501">
        <v>0</v>
      </c>
      <c r="T2501" s="9">
        <v>45108</v>
      </c>
      <c r="U2501" s="9">
        <v>45473</v>
      </c>
      <c r="V2501">
        <f>SUM(POTABLE_NONPOTABLE_API[[#This Row],[RESIDENTIAL_SINGLEFAMILY_GAL]:[OTHER_GAL]])</f>
        <v>90681107.596000001</v>
      </c>
      <c r="W2501">
        <f>SUM(POTABLE_NONPOTABLE_API[[#This Row],[NONPOTABLE_DEMAND_RESIDENTIAL_RECYCLED_WATER_GAL]:[NONPOTABLE_DEMAND_NONRESIDENTIAL_METERED_IRRIGATION_GAL]])</f>
        <v>2259117.04</v>
      </c>
      <c r="X2501" t="str">
        <f>IFERROR(INDEX(Crosswalk_API!$H$2:$H$527, MATCH(POTABLE_NONPOTABLE_API[[#This Row],[PWSID]], CW_PWSID_LIST, 0)), "")</f>
        <v>No</v>
      </c>
    </row>
    <row r="2502" spans="1:24" x14ac:dyDescent="0.25">
      <c r="A2502" t="s">
        <v>1454</v>
      </c>
      <c r="B2502" t="s">
        <v>1455</v>
      </c>
      <c r="C2502" t="s">
        <v>1456</v>
      </c>
      <c r="D2502" t="s">
        <v>1457</v>
      </c>
      <c r="E2502" s="9">
        <v>45231</v>
      </c>
      <c r="F2502" s="9">
        <v>45260</v>
      </c>
      <c r="G2502">
        <v>38278568.892000005</v>
      </c>
      <c r="H2502">
        <v>30370163.148000002</v>
      </c>
      <c r="I2502">
        <v>18909258.456</v>
      </c>
      <c r="J2502">
        <v>0</v>
      </c>
      <c r="K2502">
        <v>749548.10400000005</v>
      </c>
      <c r="L2502">
        <v>17205.196</v>
      </c>
      <c r="M2502">
        <v>0</v>
      </c>
      <c r="N2502">
        <v>0</v>
      </c>
      <c r="O2502">
        <v>0</v>
      </c>
      <c r="P2502">
        <v>0</v>
      </c>
      <c r="Q2502">
        <v>2146161.1880000001</v>
      </c>
      <c r="R2502">
        <v>0</v>
      </c>
      <c r="S2502">
        <v>0</v>
      </c>
      <c r="T2502" s="9">
        <v>45108</v>
      </c>
      <c r="U2502" s="9">
        <v>45473</v>
      </c>
      <c r="V2502">
        <f>SUM(POTABLE_NONPOTABLE_API[[#This Row],[RESIDENTIAL_SINGLEFAMILY_GAL]:[OTHER_GAL]])</f>
        <v>88324743.796000004</v>
      </c>
      <c r="W2502">
        <f>SUM(POTABLE_NONPOTABLE_API[[#This Row],[NONPOTABLE_DEMAND_RESIDENTIAL_RECYCLED_WATER_GAL]:[NONPOTABLE_DEMAND_NONRESIDENTIAL_METERED_IRRIGATION_GAL]])</f>
        <v>2146161.1880000001</v>
      </c>
      <c r="X2502" t="str">
        <f>IFERROR(INDEX(Crosswalk_API!$H$2:$H$527, MATCH(POTABLE_NONPOTABLE_API[[#This Row],[PWSID]], CW_PWSID_LIST, 0)), "")</f>
        <v>No</v>
      </c>
    </row>
    <row r="2503" spans="1:24" x14ac:dyDescent="0.25">
      <c r="A2503" t="s">
        <v>1454</v>
      </c>
      <c r="B2503" t="s">
        <v>1455</v>
      </c>
      <c r="C2503" t="s">
        <v>1456</v>
      </c>
      <c r="D2503" t="s">
        <v>1457</v>
      </c>
      <c r="E2503" s="9">
        <v>45261</v>
      </c>
      <c r="F2503" s="9">
        <v>45291</v>
      </c>
      <c r="G2503">
        <v>40132989.800000004</v>
      </c>
      <c r="H2503">
        <v>32858932.152000003</v>
      </c>
      <c r="I2503">
        <v>18800042.864</v>
      </c>
      <c r="J2503">
        <v>0</v>
      </c>
      <c r="K2503">
        <v>730846.804</v>
      </c>
      <c r="L2503">
        <v>15709.092000000001</v>
      </c>
      <c r="M2503">
        <v>0</v>
      </c>
      <c r="N2503">
        <v>0</v>
      </c>
      <c r="O2503">
        <v>0</v>
      </c>
      <c r="P2503">
        <v>0</v>
      </c>
      <c r="Q2503">
        <v>1823002.7240000002</v>
      </c>
      <c r="R2503">
        <v>0</v>
      </c>
      <c r="S2503">
        <v>0</v>
      </c>
      <c r="T2503" s="9">
        <v>45108</v>
      </c>
      <c r="U2503" s="9">
        <v>45473</v>
      </c>
      <c r="V2503">
        <f>SUM(POTABLE_NONPOTABLE_API[[#This Row],[RESIDENTIAL_SINGLEFAMILY_GAL]:[OTHER_GAL]])</f>
        <v>92538520.712000012</v>
      </c>
      <c r="W2503">
        <f>SUM(POTABLE_NONPOTABLE_API[[#This Row],[NONPOTABLE_DEMAND_RESIDENTIAL_RECYCLED_WATER_GAL]:[NONPOTABLE_DEMAND_NONRESIDENTIAL_METERED_IRRIGATION_GAL]])</f>
        <v>1823002.7240000002</v>
      </c>
      <c r="X2503" t="str">
        <f>IFERROR(INDEX(Crosswalk_API!$H$2:$H$527, MATCH(POTABLE_NONPOTABLE_API[[#This Row],[PWSID]], CW_PWSID_LIST, 0)), "")</f>
        <v>No</v>
      </c>
    </row>
    <row r="2504" spans="1:24" x14ac:dyDescent="0.25">
      <c r="A2504" t="s">
        <v>1454</v>
      </c>
      <c r="B2504" t="s">
        <v>1455</v>
      </c>
      <c r="C2504" t="s">
        <v>1456</v>
      </c>
      <c r="D2504" t="s">
        <v>1457</v>
      </c>
      <c r="E2504" s="9">
        <v>45292</v>
      </c>
      <c r="F2504" s="9">
        <v>45322</v>
      </c>
      <c r="G2504">
        <v>38818662.436000004</v>
      </c>
      <c r="H2504">
        <v>34372989.399999999</v>
      </c>
      <c r="I2504">
        <v>18356448.028000001</v>
      </c>
      <c r="J2504">
        <v>0</v>
      </c>
      <c r="K2504">
        <v>708405.24400000006</v>
      </c>
      <c r="L2504">
        <v>15709.092000000001</v>
      </c>
      <c r="M2504">
        <v>0</v>
      </c>
      <c r="N2504">
        <v>0</v>
      </c>
      <c r="O2504">
        <v>0</v>
      </c>
      <c r="P2504">
        <v>0</v>
      </c>
      <c r="Q2504">
        <v>1152000.08</v>
      </c>
      <c r="R2504">
        <v>0</v>
      </c>
      <c r="S2504">
        <v>0</v>
      </c>
      <c r="T2504" s="9">
        <v>45108</v>
      </c>
      <c r="U2504" s="9">
        <v>45473</v>
      </c>
      <c r="V2504">
        <f>SUM(POTABLE_NONPOTABLE_API[[#This Row],[RESIDENTIAL_SINGLEFAMILY_GAL]:[OTHER_GAL]])</f>
        <v>92272214.199999988</v>
      </c>
      <c r="W2504">
        <f>SUM(POTABLE_NONPOTABLE_API[[#This Row],[NONPOTABLE_DEMAND_RESIDENTIAL_RECYCLED_WATER_GAL]:[NONPOTABLE_DEMAND_NONRESIDENTIAL_METERED_IRRIGATION_GAL]])</f>
        <v>1152000.08</v>
      </c>
      <c r="X2504" t="str">
        <f>IFERROR(INDEX(Crosswalk_API!$H$2:$H$527, MATCH(POTABLE_NONPOTABLE_API[[#This Row],[PWSID]], CW_PWSID_LIST, 0)), "")</f>
        <v>No</v>
      </c>
    </row>
    <row r="2505" spans="1:24" x14ac:dyDescent="0.25">
      <c r="A2505" t="s">
        <v>1454</v>
      </c>
      <c r="B2505" t="s">
        <v>1455</v>
      </c>
      <c r="C2505" t="s">
        <v>1456</v>
      </c>
      <c r="D2505" t="s">
        <v>1457</v>
      </c>
      <c r="E2505" s="9">
        <v>45323</v>
      </c>
      <c r="F2505" s="9">
        <v>45351</v>
      </c>
      <c r="G2505">
        <v>35442703.759999998</v>
      </c>
      <c r="H2505">
        <v>31898433.384</v>
      </c>
      <c r="I2505">
        <v>16767585.58</v>
      </c>
      <c r="J2505">
        <v>0</v>
      </c>
      <c r="K2505">
        <v>643324.72</v>
      </c>
      <c r="L2505">
        <v>15709.092000000001</v>
      </c>
      <c r="M2505">
        <v>0</v>
      </c>
      <c r="N2505">
        <v>0</v>
      </c>
      <c r="O2505">
        <v>0</v>
      </c>
      <c r="P2505">
        <v>0</v>
      </c>
      <c r="Q2505">
        <v>751044.20799999998</v>
      </c>
      <c r="R2505">
        <v>0</v>
      </c>
      <c r="S2505">
        <v>0</v>
      </c>
      <c r="T2505" s="9">
        <v>45108</v>
      </c>
      <c r="U2505" s="9">
        <v>45473</v>
      </c>
      <c r="V2505">
        <f>SUM(POTABLE_NONPOTABLE_API[[#This Row],[RESIDENTIAL_SINGLEFAMILY_GAL]:[OTHER_GAL]])</f>
        <v>84767756.535999984</v>
      </c>
      <c r="W2505">
        <f>SUM(POTABLE_NONPOTABLE_API[[#This Row],[NONPOTABLE_DEMAND_RESIDENTIAL_RECYCLED_WATER_GAL]:[NONPOTABLE_DEMAND_NONRESIDENTIAL_METERED_IRRIGATION_GAL]])</f>
        <v>751044.20799999998</v>
      </c>
      <c r="X2505" t="str">
        <f>IFERROR(INDEX(Crosswalk_API!$H$2:$H$527, MATCH(POTABLE_NONPOTABLE_API[[#This Row],[PWSID]], CW_PWSID_LIST, 0)), "")</f>
        <v>No</v>
      </c>
    </row>
    <row r="2506" spans="1:24" x14ac:dyDescent="0.25">
      <c r="A2506" t="s">
        <v>1454</v>
      </c>
      <c r="B2506" t="s">
        <v>1455</v>
      </c>
      <c r="C2506" t="s">
        <v>1456</v>
      </c>
      <c r="D2506" t="s">
        <v>1457</v>
      </c>
      <c r="E2506" s="9">
        <v>45352</v>
      </c>
      <c r="F2506" s="9">
        <v>45382</v>
      </c>
      <c r="G2506">
        <v>34830049.171999998</v>
      </c>
      <c r="H2506">
        <v>32160999.636</v>
      </c>
      <c r="I2506">
        <v>17096728.460000001</v>
      </c>
      <c r="J2506">
        <v>0</v>
      </c>
      <c r="K2506">
        <v>586472.76800000004</v>
      </c>
      <c r="L2506">
        <v>20197.404000000002</v>
      </c>
      <c r="M2506">
        <v>0</v>
      </c>
      <c r="N2506">
        <v>0</v>
      </c>
      <c r="O2506">
        <v>0</v>
      </c>
      <c r="P2506">
        <v>0</v>
      </c>
      <c r="Q2506">
        <v>480997.43599999999</v>
      </c>
      <c r="R2506">
        <v>0</v>
      </c>
      <c r="S2506">
        <v>0</v>
      </c>
      <c r="T2506" s="9">
        <v>45108</v>
      </c>
      <c r="U2506" s="9">
        <v>45473</v>
      </c>
      <c r="V2506">
        <f>SUM(POTABLE_NONPOTABLE_API[[#This Row],[RESIDENTIAL_SINGLEFAMILY_GAL]:[OTHER_GAL]])</f>
        <v>84694447.440000013</v>
      </c>
      <c r="W2506">
        <f>SUM(POTABLE_NONPOTABLE_API[[#This Row],[NONPOTABLE_DEMAND_RESIDENTIAL_RECYCLED_WATER_GAL]:[NONPOTABLE_DEMAND_NONRESIDENTIAL_METERED_IRRIGATION_GAL]])</f>
        <v>480997.43599999999</v>
      </c>
      <c r="X2506" t="str">
        <f>IFERROR(INDEX(Crosswalk_API!$H$2:$H$527, MATCH(POTABLE_NONPOTABLE_API[[#This Row],[PWSID]], CW_PWSID_LIST, 0)), "")</f>
        <v>No</v>
      </c>
    </row>
    <row r="2507" spans="1:24" x14ac:dyDescent="0.25">
      <c r="A2507" t="s">
        <v>1454</v>
      </c>
      <c r="B2507" t="s">
        <v>1455</v>
      </c>
      <c r="C2507" t="s">
        <v>1456</v>
      </c>
      <c r="D2507" t="s">
        <v>1457</v>
      </c>
      <c r="E2507" s="9">
        <v>45383</v>
      </c>
      <c r="F2507" s="9">
        <v>45412</v>
      </c>
      <c r="G2507">
        <v>34841269.952</v>
      </c>
      <c r="H2507">
        <v>30639461.868000001</v>
      </c>
      <c r="I2507">
        <v>17124406.384</v>
      </c>
      <c r="J2507">
        <v>0</v>
      </c>
      <c r="K2507">
        <v>617890.95200000005</v>
      </c>
      <c r="L2507">
        <v>19449.351999999999</v>
      </c>
      <c r="M2507">
        <v>0</v>
      </c>
      <c r="N2507">
        <v>0</v>
      </c>
      <c r="O2507">
        <v>0</v>
      </c>
      <c r="P2507">
        <v>0</v>
      </c>
      <c r="Q2507">
        <v>442846.78399999999</v>
      </c>
      <c r="R2507">
        <v>0</v>
      </c>
      <c r="S2507">
        <v>0</v>
      </c>
      <c r="T2507" s="9">
        <v>45108</v>
      </c>
      <c r="U2507" s="9">
        <v>45473</v>
      </c>
      <c r="V2507">
        <f>SUM(POTABLE_NONPOTABLE_API[[#This Row],[RESIDENTIAL_SINGLEFAMILY_GAL]:[OTHER_GAL]])</f>
        <v>83242478.508000001</v>
      </c>
      <c r="W2507">
        <f>SUM(POTABLE_NONPOTABLE_API[[#This Row],[NONPOTABLE_DEMAND_RESIDENTIAL_RECYCLED_WATER_GAL]:[NONPOTABLE_DEMAND_NONRESIDENTIAL_METERED_IRRIGATION_GAL]])</f>
        <v>442846.78399999999</v>
      </c>
      <c r="X2507" t="str">
        <f>IFERROR(INDEX(Crosswalk_API!$H$2:$H$527, MATCH(POTABLE_NONPOTABLE_API[[#This Row],[PWSID]], CW_PWSID_LIST, 0)), "")</f>
        <v>No</v>
      </c>
    </row>
    <row r="2508" spans="1:24" x14ac:dyDescent="0.25">
      <c r="A2508" t="s">
        <v>1454</v>
      </c>
      <c r="B2508" t="s">
        <v>1455</v>
      </c>
      <c r="C2508" t="s">
        <v>1456</v>
      </c>
      <c r="D2508" t="s">
        <v>1457</v>
      </c>
      <c r="E2508" s="9">
        <v>45413</v>
      </c>
      <c r="F2508" s="9">
        <v>45443</v>
      </c>
      <c r="G2508">
        <v>36880459.704000004</v>
      </c>
      <c r="H2508">
        <v>30761394.344000001</v>
      </c>
      <c r="I2508">
        <v>17277757.044</v>
      </c>
      <c r="J2508">
        <v>0</v>
      </c>
      <c r="K2508">
        <v>614898.74400000006</v>
      </c>
      <c r="L2508">
        <v>35906.495999999999</v>
      </c>
      <c r="M2508">
        <v>0</v>
      </c>
      <c r="N2508">
        <v>0</v>
      </c>
      <c r="O2508">
        <v>0</v>
      </c>
      <c r="P2508">
        <v>0</v>
      </c>
      <c r="Q2508">
        <v>1281000</v>
      </c>
      <c r="R2508">
        <v>0</v>
      </c>
      <c r="S2508">
        <v>0</v>
      </c>
      <c r="T2508" s="9">
        <v>45108</v>
      </c>
      <c r="U2508" s="9">
        <v>45473</v>
      </c>
      <c r="V2508">
        <f>SUM(POTABLE_NONPOTABLE_API[[#This Row],[RESIDENTIAL_SINGLEFAMILY_GAL]:[OTHER_GAL]])</f>
        <v>85570416.332000017</v>
      </c>
      <c r="W2508">
        <f>SUM(POTABLE_NONPOTABLE_API[[#This Row],[NONPOTABLE_DEMAND_RESIDENTIAL_RECYCLED_WATER_GAL]:[NONPOTABLE_DEMAND_NONRESIDENTIAL_METERED_IRRIGATION_GAL]])</f>
        <v>1281000</v>
      </c>
      <c r="X2508" t="str">
        <f>IFERROR(INDEX(Crosswalk_API!$H$2:$H$527, MATCH(POTABLE_NONPOTABLE_API[[#This Row],[PWSID]], CW_PWSID_LIST, 0)), "")</f>
        <v>No</v>
      </c>
    </row>
    <row r="2509" spans="1:24" x14ac:dyDescent="0.25">
      <c r="A2509" t="s">
        <v>1454</v>
      </c>
      <c r="B2509" t="s">
        <v>1455</v>
      </c>
      <c r="C2509" t="s">
        <v>1456</v>
      </c>
      <c r="D2509" t="s">
        <v>1457</v>
      </c>
      <c r="E2509" s="9">
        <v>45444</v>
      </c>
      <c r="F2509" s="9">
        <v>45473</v>
      </c>
      <c r="G2509">
        <v>40407524.884000003</v>
      </c>
      <c r="H2509">
        <v>32684636.036000002</v>
      </c>
      <c r="I2509">
        <v>17455793.420000002</v>
      </c>
      <c r="J2509">
        <v>0</v>
      </c>
      <c r="K2509">
        <v>653797.44799999997</v>
      </c>
      <c r="L2509">
        <v>23937.664000000001</v>
      </c>
      <c r="M2509">
        <v>0</v>
      </c>
      <c r="N2509">
        <v>0</v>
      </c>
      <c r="O2509">
        <v>0</v>
      </c>
      <c r="P2509">
        <v>0</v>
      </c>
      <c r="Q2509">
        <v>1281413.0760000001</v>
      </c>
      <c r="R2509">
        <v>0</v>
      </c>
      <c r="S2509">
        <v>0</v>
      </c>
      <c r="T2509" s="9">
        <v>45108</v>
      </c>
      <c r="U2509" s="9">
        <v>45473</v>
      </c>
      <c r="V2509">
        <f>SUM(POTABLE_NONPOTABLE_API[[#This Row],[RESIDENTIAL_SINGLEFAMILY_GAL]:[OTHER_GAL]])</f>
        <v>91225689.452000007</v>
      </c>
      <c r="W2509">
        <f>SUM(POTABLE_NONPOTABLE_API[[#This Row],[NONPOTABLE_DEMAND_RESIDENTIAL_RECYCLED_WATER_GAL]:[NONPOTABLE_DEMAND_NONRESIDENTIAL_METERED_IRRIGATION_GAL]])</f>
        <v>1281413.0760000001</v>
      </c>
      <c r="X2509" t="str">
        <f>IFERROR(INDEX(Crosswalk_API!$H$2:$H$527, MATCH(POTABLE_NONPOTABLE_API[[#This Row],[PWSID]], CW_PWSID_LIST, 0)), "")</f>
        <v>No</v>
      </c>
    </row>
    <row r="2510" spans="1:24" x14ac:dyDescent="0.25">
      <c r="A2510" t="s">
        <v>1458</v>
      </c>
      <c r="B2510" t="s">
        <v>1459</v>
      </c>
      <c r="C2510" t="s">
        <v>1460</v>
      </c>
      <c r="D2510" t="s">
        <v>1461</v>
      </c>
      <c r="E2510" s="9">
        <v>45108</v>
      </c>
      <c r="F2510" s="9">
        <v>45138</v>
      </c>
      <c r="G2510">
        <v>149180372</v>
      </c>
      <c r="H2510">
        <v>110149732</v>
      </c>
      <c r="I2510">
        <v>85172516</v>
      </c>
      <c r="J2510">
        <v>46571228</v>
      </c>
      <c r="K2510">
        <v>59180264</v>
      </c>
      <c r="L2510">
        <v>5559884</v>
      </c>
      <c r="M2510">
        <v>0</v>
      </c>
      <c r="N2510">
        <v>0</v>
      </c>
      <c r="O2510">
        <v>0</v>
      </c>
      <c r="P2510">
        <v>0</v>
      </c>
      <c r="Q2510">
        <v>0</v>
      </c>
      <c r="R2510">
        <v>0</v>
      </c>
      <c r="S2510">
        <v>10228000</v>
      </c>
      <c r="T2510" s="9">
        <v>45108</v>
      </c>
      <c r="U2510" s="9">
        <v>45473</v>
      </c>
      <c r="V2510">
        <f>SUM(POTABLE_NONPOTABLE_API[[#This Row],[RESIDENTIAL_SINGLEFAMILY_GAL]:[OTHER_GAL]])</f>
        <v>455813996</v>
      </c>
      <c r="W2510">
        <f>SUM(POTABLE_NONPOTABLE_API[[#This Row],[NONPOTABLE_DEMAND_RESIDENTIAL_RECYCLED_WATER_GAL]:[NONPOTABLE_DEMAND_NONRESIDENTIAL_METERED_IRRIGATION_GAL]])</f>
        <v>10228000</v>
      </c>
      <c r="X2510" t="str">
        <f>IFERROR(INDEX(Crosswalk_API!$H$2:$H$527, MATCH(POTABLE_NONPOTABLE_API[[#This Row],[PWSID]], CW_PWSID_LIST, 0)), "")</f>
        <v>No</v>
      </c>
    </row>
    <row r="2511" spans="1:24" x14ac:dyDescent="0.25">
      <c r="A2511" t="s">
        <v>1458</v>
      </c>
      <c r="B2511" t="s">
        <v>1459</v>
      </c>
      <c r="C2511" t="s">
        <v>1460</v>
      </c>
      <c r="D2511" t="s">
        <v>1461</v>
      </c>
      <c r="E2511" s="9">
        <v>45139</v>
      </c>
      <c r="F2511" s="9">
        <v>45169</v>
      </c>
      <c r="G2511">
        <v>175408244</v>
      </c>
      <c r="H2511">
        <v>74545680</v>
      </c>
      <c r="I2511">
        <v>79721092</v>
      </c>
      <c r="J2511">
        <v>93723652</v>
      </c>
      <c r="K2511">
        <v>61861844</v>
      </c>
      <c r="L2511">
        <v>1225224</v>
      </c>
      <c r="M2511">
        <v>0</v>
      </c>
      <c r="N2511">
        <v>0</v>
      </c>
      <c r="O2511">
        <v>0</v>
      </c>
      <c r="P2511">
        <v>0</v>
      </c>
      <c r="Q2511">
        <v>0</v>
      </c>
      <c r="R2511">
        <v>0</v>
      </c>
      <c r="S2511">
        <v>11038000</v>
      </c>
      <c r="T2511" s="9">
        <v>45108</v>
      </c>
      <c r="U2511" s="9">
        <v>45473</v>
      </c>
      <c r="V2511">
        <f>SUM(POTABLE_NONPOTABLE_API[[#This Row],[RESIDENTIAL_SINGLEFAMILY_GAL]:[OTHER_GAL]])</f>
        <v>486485736</v>
      </c>
      <c r="W2511">
        <f>SUM(POTABLE_NONPOTABLE_API[[#This Row],[NONPOTABLE_DEMAND_RESIDENTIAL_RECYCLED_WATER_GAL]:[NONPOTABLE_DEMAND_NONRESIDENTIAL_METERED_IRRIGATION_GAL]])</f>
        <v>11038000</v>
      </c>
      <c r="X2511" t="str">
        <f>IFERROR(INDEX(Crosswalk_API!$H$2:$H$527, MATCH(POTABLE_NONPOTABLE_API[[#This Row],[PWSID]], CW_PWSID_LIST, 0)), "")</f>
        <v>No</v>
      </c>
    </row>
    <row r="2512" spans="1:24" x14ac:dyDescent="0.25">
      <c r="A2512" t="s">
        <v>1458</v>
      </c>
      <c r="B2512" t="s">
        <v>1459</v>
      </c>
      <c r="C2512" t="s">
        <v>1460</v>
      </c>
      <c r="D2512" t="s">
        <v>1461</v>
      </c>
      <c r="E2512" s="9">
        <v>45170</v>
      </c>
      <c r="F2512" s="9">
        <v>45199</v>
      </c>
      <c r="G2512">
        <v>161228408</v>
      </c>
      <c r="H2512">
        <v>88663432</v>
      </c>
      <c r="I2512">
        <v>62424340</v>
      </c>
      <c r="J2512">
        <v>70540888</v>
      </c>
      <c r="K2512">
        <v>60795944</v>
      </c>
      <c r="L2512">
        <v>5858336</v>
      </c>
      <c r="M2512">
        <v>0</v>
      </c>
      <c r="N2512">
        <v>0</v>
      </c>
      <c r="O2512">
        <v>0</v>
      </c>
      <c r="P2512">
        <v>0</v>
      </c>
      <c r="Q2512">
        <v>0</v>
      </c>
      <c r="R2512">
        <v>0</v>
      </c>
      <c r="S2512">
        <v>8112000</v>
      </c>
      <c r="T2512" s="9">
        <v>45108</v>
      </c>
      <c r="U2512" s="9">
        <v>45473</v>
      </c>
      <c r="V2512">
        <f>SUM(POTABLE_NONPOTABLE_API[[#This Row],[RESIDENTIAL_SINGLEFAMILY_GAL]:[OTHER_GAL]])</f>
        <v>449511348</v>
      </c>
      <c r="W2512">
        <f>SUM(POTABLE_NONPOTABLE_API[[#This Row],[NONPOTABLE_DEMAND_RESIDENTIAL_RECYCLED_WATER_GAL]:[NONPOTABLE_DEMAND_NONRESIDENTIAL_METERED_IRRIGATION_GAL]])</f>
        <v>8112000</v>
      </c>
      <c r="X2512" t="str">
        <f>IFERROR(INDEX(Crosswalk_API!$H$2:$H$527, MATCH(POTABLE_NONPOTABLE_API[[#This Row],[PWSID]], CW_PWSID_LIST, 0)), "")</f>
        <v>No</v>
      </c>
    </row>
    <row r="2513" spans="1:24" x14ac:dyDescent="0.25">
      <c r="A2513" t="s">
        <v>1458</v>
      </c>
      <c r="B2513" t="s">
        <v>1459</v>
      </c>
      <c r="C2513" t="s">
        <v>1460</v>
      </c>
      <c r="D2513" t="s">
        <v>1461</v>
      </c>
      <c r="E2513" s="9">
        <v>45200</v>
      </c>
      <c r="F2513" s="9">
        <v>45230</v>
      </c>
      <c r="G2513">
        <v>155450108</v>
      </c>
      <c r="H2513">
        <v>86734340</v>
      </c>
      <c r="I2513">
        <v>98851192</v>
      </c>
      <c r="J2513">
        <v>79388980</v>
      </c>
      <c r="K2513">
        <v>42307628</v>
      </c>
      <c r="L2513">
        <v>589424</v>
      </c>
      <c r="M2513">
        <v>0</v>
      </c>
      <c r="N2513">
        <v>0</v>
      </c>
      <c r="O2513">
        <v>0</v>
      </c>
      <c r="P2513">
        <v>0</v>
      </c>
      <c r="Q2513">
        <v>0</v>
      </c>
      <c r="R2513">
        <v>0</v>
      </c>
      <c r="S2513">
        <v>6478000</v>
      </c>
      <c r="T2513" s="9">
        <v>45108</v>
      </c>
      <c r="U2513" s="9">
        <v>45473</v>
      </c>
      <c r="V2513">
        <f>SUM(POTABLE_NONPOTABLE_API[[#This Row],[RESIDENTIAL_SINGLEFAMILY_GAL]:[OTHER_GAL]])</f>
        <v>463321672</v>
      </c>
      <c r="W2513">
        <f>SUM(POTABLE_NONPOTABLE_API[[#This Row],[NONPOTABLE_DEMAND_RESIDENTIAL_RECYCLED_WATER_GAL]:[NONPOTABLE_DEMAND_NONRESIDENTIAL_METERED_IRRIGATION_GAL]])</f>
        <v>6478000</v>
      </c>
      <c r="X2513" t="str">
        <f>IFERROR(INDEX(Crosswalk_API!$H$2:$H$527, MATCH(POTABLE_NONPOTABLE_API[[#This Row],[PWSID]], CW_PWSID_LIST, 0)), "")</f>
        <v>No</v>
      </c>
    </row>
    <row r="2514" spans="1:24" x14ac:dyDescent="0.25">
      <c r="A2514" t="s">
        <v>1458</v>
      </c>
      <c r="B2514" t="s">
        <v>1459</v>
      </c>
      <c r="C2514" t="s">
        <v>1460</v>
      </c>
      <c r="D2514" t="s">
        <v>1461</v>
      </c>
      <c r="E2514" s="9">
        <v>45231</v>
      </c>
      <c r="F2514" s="9">
        <v>45260</v>
      </c>
      <c r="G2514">
        <v>154135124</v>
      </c>
      <c r="H2514">
        <v>87171920</v>
      </c>
      <c r="I2514">
        <v>60013536</v>
      </c>
      <c r="J2514">
        <v>55616792</v>
      </c>
      <c r="K2514">
        <v>62511856</v>
      </c>
      <c r="L2514">
        <v>860200</v>
      </c>
      <c r="M2514">
        <v>0</v>
      </c>
      <c r="N2514">
        <v>0</v>
      </c>
      <c r="O2514">
        <v>0</v>
      </c>
      <c r="P2514">
        <v>0</v>
      </c>
      <c r="Q2514">
        <v>0</v>
      </c>
      <c r="R2514">
        <v>0</v>
      </c>
      <c r="S2514">
        <v>2936000</v>
      </c>
      <c r="T2514" s="9">
        <v>45108</v>
      </c>
      <c r="U2514" s="9">
        <v>45473</v>
      </c>
      <c r="V2514">
        <f>SUM(POTABLE_NONPOTABLE_API[[#This Row],[RESIDENTIAL_SINGLEFAMILY_GAL]:[OTHER_GAL]])</f>
        <v>420309428</v>
      </c>
      <c r="W2514">
        <f>SUM(POTABLE_NONPOTABLE_API[[#This Row],[NONPOTABLE_DEMAND_RESIDENTIAL_RECYCLED_WATER_GAL]:[NONPOTABLE_DEMAND_NONRESIDENTIAL_METERED_IRRIGATION_GAL]])</f>
        <v>2936000</v>
      </c>
      <c r="X2514" t="str">
        <f>IFERROR(INDEX(Crosswalk_API!$H$2:$H$527, MATCH(POTABLE_NONPOTABLE_API[[#This Row],[PWSID]], CW_PWSID_LIST, 0)), "")</f>
        <v>No</v>
      </c>
    </row>
    <row r="2515" spans="1:24" x14ac:dyDescent="0.25">
      <c r="A2515" t="s">
        <v>1458</v>
      </c>
      <c r="B2515" t="s">
        <v>1459</v>
      </c>
      <c r="C2515" t="s">
        <v>1460</v>
      </c>
      <c r="D2515" t="s">
        <v>1461</v>
      </c>
      <c r="E2515" s="9">
        <v>45261</v>
      </c>
      <c r="F2515" s="9">
        <v>45291</v>
      </c>
      <c r="G2515">
        <v>132890428</v>
      </c>
      <c r="H2515">
        <v>63489492</v>
      </c>
      <c r="I2515">
        <v>52104932</v>
      </c>
      <c r="J2515">
        <v>37189064</v>
      </c>
      <c r="K2515">
        <v>33344344</v>
      </c>
      <c r="L2515">
        <v>8448660</v>
      </c>
      <c r="M2515">
        <v>0</v>
      </c>
      <c r="N2515">
        <v>0</v>
      </c>
      <c r="O2515">
        <v>0</v>
      </c>
      <c r="P2515">
        <v>0</v>
      </c>
      <c r="Q2515">
        <v>0</v>
      </c>
      <c r="R2515">
        <v>0</v>
      </c>
      <c r="S2515">
        <v>1648000</v>
      </c>
      <c r="T2515" s="9">
        <v>45108</v>
      </c>
      <c r="U2515" s="9">
        <v>45473</v>
      </c>
      <c r="V2515">
        <f>SUM(POTABLE_NONPOTABLE_API[[#This Row],[RESIDENTIAL_SINGLEFAMILY_GAL]:[OTHER_GAL]])</f>
        <v>327466920</v>
      </c>
      <c r="W2515">
        <f>SUM(POTABLE_NONPOTABLE_API[[#This Row],[NONPOTABLE_DEMAND_RESIDENTIAL_RECYCLED_WATER_GAL]:[NONPOTABLE_DEMAND_NONRESIDENTIAL_METERED_IRRIGATION_GAL]])</f>
        <v>1648000</v>
      </c>
      <c r="X2515" t="str">
        <f>IFERROR(INDEX(Crosswalk_API!$H$2:$H$527, MATCH(POTABLE_NONPOTABLE_API[[#This Row],[PWSID]], CW_PWSID_LIST, 0)), "")</f>
        <v>No</v>
      </c>
    </row>
    <row r="2516" spans="1:24" x14ac:dyDescent="0.25">
      <c r="A2516" t="s">
        <v>1458</v>
      </c>
      <c r="B2516" t="s">
        <v>1459</v>
      </c>
      <c r="C2516" t="s">
        <v>1460</v>
      </c>
      <c r="D2516" t="s">
        <v>1461</v>
      </c>
      <c r="E2516" s="9">
        <v>45292</v>
      </c>
      <c r="F2516" s="9">
        <v>45322</v>
      </c>
      <c r="G2516">
        <v>140413064</v>
      </c>
      <c r="H2516">
        <v>120131044</v>
      </c>
      <c r="I2516">
        <v>61719724</v>
      </c>
      <c r="J2516">
        <v>13792372</v>
      </c>
      <c r="K2516">
        <v>73726620</v>
      </c>
      <c r="L2516">
        <v>845240</v>
      </c>
      <c r="M2516">
        <v>0</v>
      </c>
      <c r="N2516">
        <v>0</v>
      </c>
      <c r="O2516">
        <v>0</v>
      </c>
      <c r="P2516">
        <v>0</v>
      </c>
      <c r="Q2516">
        <v>0</v>
      </c>
      <c r="R2516">
        <v>0</v>
      </c>
      <c r="S2516">
        <v>690000</v>
      </c>
      <c r="T2516" s="9">
        <v>45108</v>
      </c>
      <c r="U2516" s="9">
        <v>45473</v>
      </c>
      <c r="V2516">
        <f>SUM(POTABLE_NONPOTABLE_API[[#This Row],[RESIDENTIAL_SINGLEFAMILY_GAL]:[OTHER_GAL]])</f>
        <v>410628064</v>
      </c>
      <c r="W2516">
        <f>SUM(POTABLE_NONPOTABLE_API[[#This Row],[NONPOTABLE_DEMAND_RESIDENTIAL_RECYCLED_WATER_GAL]:[NONPOTABLE_DEMAND_NONRESIDENTIAL_METERED_IRRIGATION_GAL]])</f>
        <v>690000</v>
      </c>
      <c r="X2516" t="str">
        <f>IFERROR(INDEX(Crosswalk_API!$H$2:$H$527, MATCH(POTABLE_NONPOTABLE_API[[#This Row],[PWSID]], CW_PWSID_LIST, 0)), "")</f>
        <v>No</v>
      </c>
    </row>
    <row r="2517" spans="1:24" x14ac:dyDescent="0.25">
      <c r="A2517" t="s">
        <v>1458</v>
      </c>
      <c r="B2517" t="s">
        <v>1459</v>
      </c>
      <c r="C2517" t="s">
        <v>1460</v>
      </c>
      <c r="D2517" t="s">
        <v>1461</v>
      </c>
      <c r="E2517" s="9">
        <v>45323</v>
      </c>
      <c r="F2517" s="9">
        <v>45351</v>
      </c>
      <c r="G2517">
        <v>122156628</v>
      </c>
      <c r="H2517">
        <v>61205100</v>
      </c>
      <c r="I2517">
        <v>45155264</v>
      </c>
      <c r="J2517">
        <v>10335116</v>
      </c>
      <c r="K2517">
        <v>29878860</v>
      </c>
      <c r="L2517">
        <v>208692</v>
      </c>
      <c r="M2517">
        <v>0</v>
      </c>
      <c r="N2517">
        <v>0</v>
      </c>
      <c r="O2517">
        <v>0</v>
      </c>
      <c r="P2517">
        <v>0</v>
      </c>
      <c r="Q2517">
        <v>0</v>
      </c>
      <c r="R2517">
        <v>0</v>
      </c>
      <c r="S2517">
        <v>582000</v>
      </c>
      <c r="T2517" s="9">
        <v>45108</v>
      </c>
      <c r="U2517" s="9">
        <v>45473</v>
      </c>
      <c r="V2517">
        <f>SUM(POTABLE_NONPOTABLE_API[[#This Row],[RESIDENTIAL_SINGLEFAMILY_GAL]:[OTHER_GAL]])</f>
        <v>268939660</v>
      </c>
      <c r="W2517">
        <f>SUM(POTABLE_NONPOTABLE_API[[#This Row],[NONPOTABLE_DEMAND_RESIDENTIAL_RECYCLED_WATER_GAL]:[NONPOTABLE_DEMAND_NONRESIDENTIAL_METERED_IRRIGATION_GAL]])</f>
        <v>582000</v>
      </c>
      <c r="X2517" t="str">
        <f>IFERROR(INDEX(Crosswalk_API!$H$2:$H$527, MATCH(POTABLE_NONPOTABLE_API[[#This Row],[PWSID]], CW_PWSID_LIST, 0)), "")</f>
        <v>No</v>
      </c>
    </row>
    <row r="2518" spans="1:24" x14ac:dyDescent="0.25">
      <c r="A2518" t="s">
        <v>1458</v>
      </c>
      <c r="B2518" t="s">
        <v>1459</v>
      </c>
      <c r="C2518" t="s">
        <v>1460</v>
      </c>
      <c r="D2518" t="s">
        <v>1461</v>
      </c>
      <c r="E2518" s="9">
        <v>45352</v>
      </c>
      <c r="F2518" s="9">
        <v>45382</v>
      </c>
      <c r="G2518">
        <v>114714776</v>
      </c>
      <c r="H2518">
        <v>78103168</v>
      </c>
      <c r="I2518">
        <v>39177248</v>
      </c>
      <c r="J2518">
        <v>5740152</v>
      </c>
      <c r="K2518">
        <v>33238128</v>
      </c>
      <c r="L2518">
        <v>715836</v>
      </c>
      <c r="M2518">
        <v>0</v>
      </c>
      <c r="N2518">
        <v>0</v>
      </c>
      <c r="O2518">
        <v>0</v>
      </c>
      <c r="P2518">
        <v>0</v>
      </c>
      <c r="Q2518">
        <v>0</v>
      </c>
      <c r="R2518">
        <v>0</v>
      </c>
      <c r="S2518">
        <v>894000</v>
      </c>
      <c r="T2518" s="9">
        <v>45108</v>
      </c>
      <c r="U2518" s="9">
        <v>45473</v>
      </c>
      <c r="V2518">
        <f>SUM(POTABLE_NONPOTABLE_API[[#This Row],[RESIDENTIAL_SINGLEFAMILY_GAL]:[OTHER_GAL]])</f>
        <v>271689308</v>
      </c>
      <c r="W2518">
        <f>SUM(POTABLE_NONPOTABLE_API[[#This Row],[NONPOTABLE_DEMAND_RESIDENTIAL_RECYCLED_WATER_GAL]:[NONPOTABLE_DEMAND_NONRESIDENTIAL_METERED_IRRIGATION_GAL]])</f>
        <v>894000</v>
      </c>
      <c r="X2518" t="str">
        <f>IFERROR(INDEX(Crosswalk_API!$H$2:$H$527, MATCH(POTABLE_NONPOTABLE_API[[#This Row],[PWSID]], CW_PWSID_LIST, 0)), "")</f>
        <v>No</v>
      </c>
    </row>
    <row r="2519" spans="1:24" x14ac:dyDescent="0.25">
      <c r="A2519" t="s">
        <v>1458</v>
      </c>
      <c r="B2519" t="s">
        <v>1459</v>
      </c>
      <c r="C2519" t="s">
        <v>1460</v>
      </c>
      <c r="D2519" t="s">
        <v>1461</v>
      </c>
      <c r="E2519" s="9">
        <v>45383</v>
      </c>
      <c r="F2519" s="9">
        <v>45412</v>
      </c>
      <c r="G2519">
        <v>140186420</v>
      </c>
      <c r="H2519">
        <v>88642488</v>
      </c>
      <c r="I2519">
        <v>75297420</v>
      </c>
      <c r="J2519">
        <v>9516804</v>
      </c>
      <c r="K2519">
        <v>67605736</v>
      </c>
      <c r="L2519">
        <v>136884</v>
      </c>
      <c r="M2519">
        <v>0</v>
      </c>
      <c r="N2519">
        <v>0</v>
      </c>
      <c r="O2519">
        <v>0</v>
      </c>
      <c r="Q2519">
        <v>0</v>
      </c>
      <c r="R2519">
        <v>0</v>
      </c>
      <c r="S2519">
        <v>2105000</v>
      </c>
      <c r="T2519" s="9">
        <v>45108</v>
      </c>
      <c r="U2519" s="9">
        <v>45473</v>
      </c>
      <c r="V2519">
        <f>SUM(POTABLE_NONPOTABLE_API[[#This Row],[RESIDENTIAL_SINGLEFAMILY_GAL]:[OTHER_GAL]])</f>
        <v>381385752</v>
      </c>
      <c r="W2519">
        <f>SUM(POTABLE_NONPOTABLE_API[[#This Row],[NONPOTABLE_DEMAND_RESIDENTIAL_RECYCLED_WATER_GAL]:[NONPOTABLE_DEMAND_NONRESIDENTIAL_METERED_IRRIGATION_GAL]])</f>
        <v>2105000</v>
      </c>
      <c r="X2519" t="str">
        <f>IFERROR(INDEX(Crosswalk_API!$H$2:$H$527, MATCH(POTABLE_NONPOTABLE_API[[#This Row],[PWSID]], CW_PWSID_LIST, 0)), "")</f>
        <v>No</v>
      </c>
    </row>
    <row r="2520" spans="1:24" x14ac:dyDescent="0.25">
      <c r="A2520" t="s">
        <v>1458</v>
      </c>
      <c r="B2520" t="s">
        <v>1459</v>
      </c>
      <c r="C2520" t="s">
        <v>1460</v>
      </c>
      <c r="D2520" t="s">
        <v>1461</v>
      </c>
      <c r="E2520" s="9">
        <v>45413</v>
      </c>
      <c r="F2520" s="9">
        <v>45443</v>
      </c>
      <c r="G2520">
        <v>145946020</v>
      </c>
      <c r="H2520">
        <v>119326196</v>
      </c>
      <c r="I2520">
        <v>64413272</v>
      </c>
      <c r="J2520">
        <v>16530800</v>
      </c>
      <c r="K2520">
        <v>84314560</v>
      </c>
      <c r="L2520">
        <v>546788</v>
      </c>
      <c r="M2520">
        <v>0</v>
      </c>
      <c r="N2520">
        <v>0</v>
      </c>
      <c r="O2520">
        <v>0</v>
      </c>
      <c r="P2520">
        <v>0</v>
      </c>
      <c r="Q2520">
        <v>0</v>
      </c>
      <c r="R2520">
        <v>0</v>
      </c>
      <c r="S2520">
        <v>6383000</v>
      </c>
      <c r="T2520" s="9">
        <v>45108</v>
      </c>
      <c r="U2520" s="9">
        <v>45473</v>
      </c>
      <c r="V2520">
        <f>SUM(POTABLE_NONPOTABLE_API[[#This Row],[RESIDENTIAL_SINGLEFAMILY_GAL]:[OTHER_GAL]])</f>
        <v>431077636</v>
      </c>
      <c r="W2520">
        <f>SUM(POTABLE_NONPOTABLE_API[[#This Row],[NONPOTABLE_DEMAND_RESIDENTIAL_RECYCLED_WATER_GAL]:[NONPOTABLE_DEMAND_NONRESIDENTIAL_METERED_IRRIGATION_GAL]])</f>
        <v>6383000</v>
      </c>
      <c r="X2520" t="str">
        <f>IFERROR(INDEX(Crosswalk_API!$H$2:$H$527, MATCH(POTABLE_NONPOTABLE_API[[#This Row],[PWSID]], CW_PWSID_LIST, 0)), "")</f>
        <v>No</v>
      </c>
    </row>
    <row r="2521" spans="1:24" x14ac:dyDescent="0.25">
      <c r="A2521" t="s">
        <v>1458</v>
      </c>
      <c r="B2521" t="s">
        <v>1459</v>
      </c>
      <c r="C2521" t="s">
        <v>1460</v>
      </c>
      <c r="D2521" t="s">
        <v>1461</v>
      </c>
      <c r="E2521" s="9">
        <v>45444</v>
      </c>
      <c r="F2521" s="9">
        <v>45473</v>
      </c>
      <c r="G2521">
        <v>108525824</v>
      </c>
      <c r="H2521">
        <v>106723144</v>
      </c>
      <c r="I2521">
        <v>49558740</v>
      </c>
      <c r="J2521">
        <v>9783840</v>
      </c>
      <c r="K2521">
        <v>1770516</v>
      </c>
      <c r="L2521">
        <v>2792284</v>
      </c>
      <c r="M2521">
        <v>0</v>
      </c>
      <c r="N2521">
        <v>0</v>
      </c>
      <c r="O2521">
        <v>0</v>
      </c>
      <c r="P2521">
        <v>0</v>
      </c>
      <c r="Q2521">
        <v>0</v>
      </c>
      <c r="R2521">
        <v>0</v>
      </c>
      <c r="S2521">
        <v>9589000</v>
      </c>
      <c r="T2521" s="9">
        <v>45108</v>
      </c>
      <c r="U2521" s="9">
        <v>45473</v>
      </c>
      <c r="V2521">
        <f>SUM(POTABLE_NONPOTABLE_API[[#This Row],[RESIDENTIAL_SINGLEFAMILY_GAL]:[OTHER_GAL]])</f>
        <v>279154348</v>
      </c>
      <c r="W2521">
        <f>SUM(POTABLE_NONPOTABLE_API[[#This Row],[NONPOTABLE_DEMAND_RESIDENTIAL_RECYCLED_WATER_GAL]:[NONPOTABLE_DEMAND_NONRESIDENTIAL_METERED_IRRIGATION_GAL]])</f>
        <v>9589000</v>
      </c>
      <c r="X2521" t="str">
        <f>IFERROR(INDEX(Crosswalk_API!$H$2:$H$527, MATCH(POTABLE_NONPOTABLE_API[[#This Row],[PWSID]], CW_PWSID_LIST, 0)), "")</f>
        <v>No</v>
      </c>
    </row>
    <row r="2522" spans="1:24" x14ac:dyDescent="0.25">
      <c r="A2522" t="s">
        <v>1462</v>
      </c>
      <c r="B2522" t="s">
        <v>1463</v>
      </c>
      <c r="C2522" t="s">
        <v>1464</v>
      </c>
      <c r="D2522" t="s">
        <v>1465</v>
      </c>
      <c r="E2522" s="9">
        <v>45108</v>
      </c>
      <c r="F2522" s="9">
        <v>45138</v>
      </c>
      <c r="G2522">
        <v>25225061.492000002</v>
      </c>
      <c r="H2522">
        <v>5555782.2039999999</v>
      </c>
      <c r="I2522">
        <v>9373839.6119999997</v>
      </c>
      <c r="J2522">
        <v>6891803.0760000004</v>
      </c>
      <c r="K2522">
        <v>1109361.1159999999</v>
      </c>
      <c r="L2522">
        <v>590961.08000000007</v>
      </c>
      <c r="M2522">
        <v>0</v>
      </c>
      <c r="N2522">
        <v>523112</v>
      </c>
      <c r="O2522">
        <v>0</v>
      </c>
      <c r="P2522">
        <v>0</v>
      </c>
      <c r="Q2522">
        <v>19699266</v>
      </c>
      <c r="R2522">
        <v>0</v>
      </c>
      <c r="S2522">
        <v>0</v>
      </c>
      <c r="T2522" s="9">
        <v>45108</v>
      </c>
      <c r="U2522" s="9">
        <v>45473</v>
      </c>
      <c r="V2522">
        <f>SUM(POTABLE_NONPOTABLE_API[[#This Row],[RESIDENTIAL_SINGLEFAMILY_GAL]:[OTHER_GAL]])</f>
        <v>48746808.579999991</v>
      </c>
      <c r="W2522">
        <f>SUM(POTABLE_NONPOTABLE_API[[#This Row],[NONPOTABLE_DEMAND_RESIDENTIAL_RECYCLED_WATER_GAL]:[NONPOTABLE_DEMAND_NONRESIDENTIAL_METERED_IRRIGATION_GAL]])</f>
        <v>20222378</v>
      </c>
      <c r="X2522" t="str">
        <f>IFERROR(INDEX(Crosswalk_API!$H$2:$H$527, MATCH(POTABLE_NONPOTABLE_API[[#This Row],[PWSID]], CW_PWSID_LIST, 0)), "")</f>
        <v>No</v>
      </c>
    </row>
    <row r="2523" spans="1:24" x14ac:dyDescent="0.25">
      <c r="A2523" t="s">
        <v>1462</v>
      </c>
      <c r="B2523" t="s">
        <v>1463</v>
      </c>
      <c r="C2523" t="s">
        <v>1464</v>
      </c>
      <c r="D2523" t="s">
        <v>1465</v>
      </c>
      <c r="E2523" s="9">
        <v>45139</v>
      </c>
      <c r="F2523" s="9">
        <v>45169</v>
      </c>
      <c r="G2523">
        <v>30331264.444000002</v>
      </c>
      <c r="H2523">
        <v>5868467.9400000004</v>
      </c>
      <c r="I2523">
        <v>10864707.248</v>
      </c>
      <c r="J2523">
        <v>8783626.5840000007</v>
      </c>
      <c r="K2523">
        <v>1130306.5719999999</v>
      </c>
      <c r="L2523">
        <v>742067.58400000003</v>
      </c>
      <c r="M2523">
        <v>0</v>
      </c>
      <c r="N2523">
        <v>304721</v>
      </c>
      <c r="O2523">
        <v>0</v>
      </c>
      <c r="Q2523">
        <v>18889906</v>
      </c>
      <c r="R2523">
        <v>0</v>
      </c>
      <c r="T2523" s="9">
        <v>45108</v>
      </c>
      <c r="U2523" s="9">
        <v>45473</v>
      </c>
      <c r="V2523">
        <f>SUM(POTABLE_NONPOTABLE_API[[#This Row],[RESIDENTIAL_SINGLEFAMILY_GAL]:[OTHER_GAL]])</f>
        <v>57720440.371999994</v>
      </c>
      <c r="W2523">
        <f>SUM(POTABLE_NONPOTABLE_API[[#This Row],[NONPOTABLE_DEMAND_RESIDENTIAL_RECYCLED_WATER_GAL]:[NONPOTABLE_DEMAND_NONRESIDENTIAL_METERED_IRRIGATION_GAL]])</f>
        <v>19194627</v>
      </c>
      <c r="X2523" t="str">
        <f>IFERROR(INDEX(Crosswalk_API!$H$2:$H$527, MATCH(POTABLE_NONPOTABLE_API[[#This Row],[PWSID]], CW_PWSID_LIST, 0)), "")</f>
        <v>No</v>
      </c>
    </row>
    <row r="2524" spans="1:24" x14ac:dyDescent="0.25">
      <c r="A2524" t="s">
        <v>1462</v>
      </c>
      <c r="B2524" t="s">
        <v>1463</v>
      </c>
      <c r="C2524" t="s">
        <v>1464</v>
      </c>
      <c r="D2524" t="s">
        <v>1465</v>
      </c>
      <c r="E2524" s="9">
        <v>45170</v>
      </c>
      <c r="F2524" s="9">
        <v>45199</v>
      </c>
      <c r="G2524">
        <v>27327835.664000001</v>
      </c>
      <c r="H2524">
        <v>5389714.6600000001</v>
      </c>
      <c r="I2524">
        <v>10955221.540000001</v>
      </c>
      <c r="J2524">
        <v>8839730.4840000011</v>
      </c>
      <c r="K2524">
        <v>1110857.22</v>
      </c>
      <c r="L2524">
        <v>798919.53600000008</v>
      </c>
      <c r="M2524">
        <v>0</v>
      </c>
      <c r="N2524">
        <v>570659</v>
      </c>
      <c r="O2524">
        <v>0</v>
      </c>
      <c r="P2524">
        <v>0</v>
      </c>
      <c r="Q2524">
        <v>16319508</v>
      </c>
      <c r="R2524">
        <v>0</v>
      </c>
      <c r="S2524">
        <v>0</v>
      </c>
      <c r="T2524" s="9">
        <v>45108</v>
      </c>
      <c r="U2524" s="9">
        <v>45473</v>
      </c>
      <c r="V2524">
        <f>SUM(POTABLE_NONPOTABLE_API[[#This Row],[RESIDENTIAL_SINGLEFAMILY_GAL]:[OTHER_GAL]])</f>
        <v>54422279.104000002</v>
      </c>
      <c r="W2524">
        <f>SUM(POTABLE_NONPOTABLE_API[[#This Row],[NONPOTABLE_DEMAND_RESIDENTIAL_RECYCLED_WATER_GAL]:[NONPOTABLE_DEMAND_NONRESIDENTIAL_METERED_IRRIGATION_GAL]])</f>
        <v>16890167</v>
      </c>
      <c r="X2524" t="str">
        <f>IFERROR(INDEX(Crosswalk_API!$H$2:$H$527, MATCH(POTABLE_NONPOTABLE_API[[#This Row],[PWSID]], CW_PWSID_LIST, 0)), "")</f>
        <v>No</v>
      </c>
    </row>
    <row r="2525" spans="1:24" x14ac:dyDescent="0.25">
      <c r="A2525" t="s">
        <v>1462</v>
      </c>
      <c r="B2525" t="s">
        <v>1463</v>
      </c>
      <c r="C2525" t="s">
        <v>1464</v>
      </c>
      <c r="D2525" t="s">
        <v>1465</v>
      </c>
      <c r="E2525" s="9">
        <v>45200</v>
      </c>
      <c r="F2525" s="9">
        <v>45230</v>
      </c>
      <c r="G2525">
        <v>25038048.492000002</v>
      </c>
      <c r="H2525">
        <v>5184748.4120000005</v>
      </c>
      <c r="I2525">
        <v>9521205.8560000006</v>
      </c>
      <c r="J2525">
        <v>7533631.6919999998</v>
      </c>
      <c r="K2525">
        <v>1420550.7480000001</v>
      </c>
      <c r="L2525">
        <v>693444.20400000003</v>
      </c>
      <c r="M2525">
        <v>0</v>
      </c>
      <c r="N2525">
        <v>439675</v>
      </c>
      <c r="O2525">
        <v>0</v>
      </c>
      <c r="Q2525">
        <v>10753870</v>
      </c>
      <c r="R2525">
        <v>0</v>
      </c>
      <c r="T2525" s="9">
        <v>45108</v>
      </c>
      <c r="U2525" s="9">
        <v>45473</v>
      </c>
      <c r="V2525">
        <f>SUM(POTABLE_NONPOTABLE_API[[#This Row],[RESIDENTIAL_SINGLEFAMILY_GAL]:[OTHER_GAL]])</f>
        <v>49391629.404000014</v>
      </c>
      <c r="W2525">
        <f>SUM(POTABLE_NONPOTABLE_API[[#This Row],[NONPOTABLE_DEMAND_RESIDENTIAL_RECYCLED_WATER_GAL]:[NONPOTABLE_DEMAND_NONRESIDENTIAL_METERED_IRRIGATION_GAL]])</f>
        <v>11193545</v>
      </c>
      <c r="X2525" t="str">
        <f>IFERROR(INDEX(Crosswalk_API!$H$2:$H$527, MATCH(POTABLE_NONPOTABLE_API[[#This Row],[PWSID]], CW_PWSID_LIST, 0)), "")</f>
        <v>No</v>
      </c>
    </row>
    <row r="2526" spans="1:24" x14ac:dyDescent="0.25">
      <c r="A2526" t="s">
        <v>1462</v>
      </c>
      <c r="B2526" t="s">
        <v>1463</v>
      </c>
      <c r="C2526" t="s">
        <v>1464</v>
      </c>
      <c r="D2526" t="s">
        <v>1465</v>
      </c>
      <c r="E2526" s="9">
        <v>45231</v>
      </c>
      <c r="F2526" s="9">
        <v>45260</v>
      </c>
      <c r="G2526">
        <v>22767710.672000002</v>
      </c>
      <c r="H2526">
        <v>5083013.34</v>
      </c>
      <c r="I2526">
        <v>10240083.828</v>
      </c>
      <c r="J2526">
        <v>5354556.216</v>
      </c>
      <c r="K2526">
        <v>1746701.4200000002</v>
      </c>
      <c r="L2526">
        <v>733090.96</v>
      </c>
      <c r="M2526">
        <v>0</v>
      </c>
      <c r="N2526">
        <v>93216</v>
      </c>
      <c r="O2526">
        <v>0</v>
      </c>
      <c r="Q2526">
        <v>2790687</v>
      </c>
      <c r="R2526">
        <v>0</v>
      </c>
      <c r="T2526" s="9">
        <v>45108</v>
      </c>
      <c r="U2526" s="9">
        <v>45473</v>
      </c>
      <c r="V2526">
        <f>SUM(POTABLE_NONPOTABLE_API[[#This Row],[RESIDENTIAL_SINGLEFAMILY_GAL]:[OTHER_GAL]])</f>
        <v>45925156.436000004</v>
      </c>
      <c r="W2526">
        <f>SUM(POTABLE_NONPOTABLE_API[[#This Row],[NONPOTABLE_DEMAND_RESIDENTIAL_RECYCLED_WATER_GAL]:[NONPOTABLE_DEMAND_NONRESIDENTIAL_METERED_IRRIGATION_GAL]])</f>
        <v>2883903</v>
      </c>
      <c r="X2526" t="str">
        <f>IFERROR(INDEX(Crosswalk_API!$H$2:$H$527, MATCH(POTABLE_NONPOTABLE_API[[#This Row],[PWSID]], CW_PWSID_LIST, 0)), "")</f>
        <v>No</v>
      </c>
    </row>
    <row r="2527" spans="1:24" x14ac:dyDescent="0.25">
      <c r="A2527" t="s">
        <v>1462</v>
      </c>
      <c r="B2527" t="s">
        <v>1463</v>
      </c>
      <c r="C2527" t="s">
        <v>1464</v>
      </c>
      <c r="D2527" t="s">
        <v>1465</v>
      </c>
      <c r="E2527" s="9">
        <v>45261</v>
      </c>
      <c r="F2527" s="9">
        <v>45291</v>
      </c>
      <c r="G2527">
        <v>16162411.512</v>
      </c>
      <c r="H2527">
        <v>4354410.6919999998</v>
      </c>
      <c r="I2527">
        <v>7612925.2039999999</v>
      </c>
      <c r="J2527">
        <v>2505226.148</v>
      </c>
      <c r="K2527">
        <v>983688.38</v>
      </c>
      <c r="L2527">
        <v>399459.76800000004</v>
      </c>
      <c r="M2527">
        <v>0</v>
      </c>
      <c r="N2527">
        <v>18193</v>
      </c>
      <c r="O2527">
        <v>0</v>
      </c>
      <c r="Q2527">
        <v>256400</v>
      </c>
      <c r="R2527">
        <v>0</v>
      </c>
      <c r="T2527" s="9">
        <v>45108</v>
      </c>
      <c r="U2527" s="9">
        <v>45473</v>
      </c>
      <c r="V2527">
        <f>SUM(POTABLE_NONPOTABLE_API[[#This Row],[RESIDENTIAL_SINGLEFAMILY_GAL]:[OTHER_GAL]])</f>
        <v>32018121.704</v>
      </c>
      <c r="W2527">
        <f>SUM(POTABLE_NONPOTABLE_API[[#This Row],[NONPOTABLE_DEMAND_RESIDENTIAL_RECYCLED_WATER_GAL]:[NONPOTABLE_DEMAND_NONRESIDENTIAL_METERED_IRRIGATION_GAL]])</f>
        <v>274593</v>
      </c>
      <c r="X2527" t="str">
        <f>IFERROR(INDEX(Crosswalk_API!$H$2:$H$527, MATCH(POTABLE_NONPOTABLE_API[[#This Row],[PWSID]], CW_PWSID_LIST, 0)), "")</f>
        <v>No</v>
      </c>
    </row>
    <row r="2528" spans="1:24" x14ac:dyDescent="0.25">
      <c r="A2528" t="s">
        <v>1462</v>
      </c>
      <c r="B2528" t="s">
        <v>1463</v>
      </c>
      <c r="C2528" t="s">
        <v>1464</v>
      </c>
      <c r="D2528" t="s">
        <v>1465</v>
      </c>
      <c r="E2528" s="9">
        <v>45292</v>
      </c>
      <c r="F2528" s="9">
        <v>45322</v>
      </c>
      <c r="G2528">
        <v>13084925.584000001</v>
      </c>
      <c r="H2528">
        <v>3768685.9760000003</v>
      </c>
      <c r="I2528">
        <v>6401829.0159999998</v>
      </c>
      <c r="J2528">
        <v>976207.86</v>
      </c>
      <c r="K2528">
        <v>688955.89199999999</v>
      </c>
      <c r="L2528">
        <v>192997.416</v>
      </c>
      <c r="M2528">
        <v>0</v>
      </c>
      <c r="N2528">
        <v>1533</v>
      </c>
      <c r="O2528">
        <v>0</v>
      </c>
      <c r="P2528">
        <v>0</v>
      </c>
      <c r="Q2528">
        <v>8684</v>
      </c>
      <c r="R2528">
        <v>0</v>
      </c>
      <c r="S2528">
        <v>748</v>
      </c>
      <c r="T2528" s="9">
        <v>45108</v>
      </c>
      <c r="U2528" s="9">
        <v>45473</v>
      </c>
      <c r="V2528">
        <f>SUM(POTABLE_NONPOTABLE_API[[#This Row],[RESIDENTIAL_SINGLEFAMILY_GAL]:[OTHER_GAL]])</f>
        <v>25113601.744000003</v>
      </c>
      <c r="W2528">
        <f>SUM(POTABLE_NONPOTABLE_API[[#This Row],[NONPOTABLE_DEMAND_RESIDENTIAL_RECYCLED_WATER_GAL]:[NONPOTABLE_DEMAND_NONRESIDENTIAL_METERED_IRRIGATION_GAL]])</f>
        <v>10965</v>
      </c>
      <c r="X2528" t="str">
        <f>IFERROR(INDEX(Crosswalk_API!$H$2:$H$527, MATCH(POTABLE_NONPOTABLE_API[[#This Row],[PWSID]], CW_PWSID_LIST, 0)), "")</f>
        <v>No</v>
      </c>
    </row>
    <row r="2529" spans="1:24" x14ac:dyDescent="0.25">
      <c r="A2529" t="s">
        <v>1462</v>
      </c>
      <c r="B2529" t="s">
        <v>1463</v>
      </c>
      <c r="C2529" t="s">
        <v>1464</v>
      </c>
      <c r="D2529" t="s">
        <v>1465</v>
      </c>
      <c r="E2529" s="9">
        <v>45323</v>
      </c>
      <c r="F2529" s="9">
        <v>45351</v>
      </c>
      <c r="G2529">
        <v>12995907.396</v>
      </c>
      <c r="H2529">
        <v>3929517.156</v>
      </c>
      <c r="I2529">
        <v>6618016.0439999998</v>
      </c>
      <c r="J2529">
        <v>827345.51199999999</v>
      </c>
      <c r="K2529">
        <v>954514.35200000007</v>
      </c>
      <c r="L2529">
        <v>98742.864000000001</v>
      </c>
      <c r="M2529">
        <v>0</v>
      </c>
      <c r="N2529">
        <v>1142</v>
      </c>
      <c r="O2529">
        <v>0</v>
      </c>
      <c r="P2529">
        <v>0</v>
      </c>
      <c r="Q2529">
        <v>6471</v>
      </c>
      <c r="R2529">
        <v>0</v>
      </c>
      <c r="S2529">
        <v>0</v>
      </c>
      <c r="T2529" s="9">
        <v>45108</v>
      </c>
      <c r="U2529" s="9">
        <v>45473</v>
      </c>
      <c r="V2529">
        <f>SUM(POTABLE_NONPOTABLE_API[[#This Row],[RESIDENTIAL_SINGLEFAMILY_GAL]:[OTHER_GAL]])</f>
        <v>25424043.324000001</v>
      </c>
      <c r="W2529">
        <f>SUM(POTABLE_NONPOTABLE_API[[#This Row],[NONPOTABLE_DEMAND_RESIDENTIAL_RECYCLED_WATER_GAL]:[NONPOTABLE_DEMAND_NONRESIDENTIAL_METERED_IRRIGATION_GAL]])</f>
        <v>7613</v>
      </c>
      <c r="X2529" t="str">
        <f>IFERROR(INDEX(Crosswalk_API!$H$2:$H$527, MATCH(POTABLE_NONPOTABLE_API[[#This Row],[PWSID]], CW_PWSID_LIST, 0)), "")</f>
        <v>No</v>
      </c>
    </row>
    <row r="2530" spans="1:24" x14ac:dyDescent="0.25">
      <c r="A2530" t="s">
        <v>1462</v>
      </c>
      <c r="B2530" t="s">
        <v>1463</v>
      </c>
      <c r="C2530" t="s">
        <v>1464</v>
      </c>
      <c r="D2530" t="s">
        <v>1465</v>
      </c>
      <c r="E2530" s="9">
        <v>45352</v>
      </c>
      <c r="F2530" s="9">
        <v>45382</v>
      </c>
      <c r="G2530">
        <v>11884302.124</v>
      </c>
      <c r="H2530">
        <v>3618327.5240000002</v>
      </c>
      <c r="I2530">
        <v>6595574.4840000002</v>
      </c>
      <c r="J2530">
        <v>276779.24</v>
      </c>
      <c r="K2530">
        <v>916363.70000000007</v>
      </c>
      <c r="L2530">
        <v>220675.34</v>
      </c>
      <c r="M2530">
        <v>0</v>
      </c>
      <c r="N2530">
        <v>1409</v>
      </c>
      <c r="O2530">
        <v>0</v>
      </c>
      <c r="P2530">
        <v>0</v>
      </c>
      <c r="Q2530">
        <v>7987</v>
      </c>
      <c r="R2530">
        <v>0</v>
      </c>
      <c r="S2530">
        <v>0</v>
      </c>
      <c r="T2530" s="9">
        <v>45108</v>
      </c>
      <c r="U2530" s="9">
        <v>45473</v>
      </c>
      <c r="V2530">
        <f>SUM(POTABLE_NONPOTABLE_API[[#This Row],[RESIDENTIAL_SINGLEFAMILY_GAL]:[OTHER_GAL]])</f>
        <v>23512022.411999997</v>
      </c>
      <c r="W2530">
        <f>SUM(POTABLE_NONPOTABLE_API[[#This Row],[NONPOTABLE_DEMAND_RESIDENTIAL_RECYCLED_WATER_GAL]:[NONPOTABLE_DEMAND_NONRESIDENTIAL_METERED_IRRIGATION_GAL]])</f>
        <v>9396</v>
      </c>
      <c r="X2530" t="str">
        <f>IFERROR(INDEX(Crosswalk_API!$H$2:$H$527, MATCH(POTABLE_NONPOTABLE_API[[#This Row],[PWSID]], CW_PWSID_LIST, 0)), "")</f>
        <v>No</v>
      </c>
    </row>
    <row r="2531" spans="1:24" x14ac:dyDescent="0.25">
      <c r="A2531" t="s">
        <v>1462</v>
      </c>
      <c r="B2531" t="s">
        <v>1463</v>
      </c>
      <c r="C2531" t="s">
        <v>1464</v>
      </c>
      <c r="D2531" t="s">
        <v>1465</v>
      </c>
      <c r="E2531" s="9">
        <v>45383</v>
      </c>
      <c r="F2531" s="9">
        <v>45412</v>
      </c>
      <c r="G2531">
        <v>12238878.772</v>
      </c>
      <c r="H2531">
        <v>3694628.8280000002</v>
      </c>
      <c r="I2531">
        <v>6638213.4479999999</v>
      </c>
      <c r="J2531">
        <v>587968.87199999997</v>
      </c>
      <c r="K2531">
        <v>867740.32000000007</v>
      </c>
      <c r="L2531">
        <v>296228.592</v>
      </c>
      <c r="M2531">
        <v>0</v>
      </c>
      <c r="N2531">
        <v>5365</v>
      </c>
      <c r="O2531">
        <v>0</v>
      </c>
      <c r="P2531">
        <v>0</v>
      </c>
      <c r="Q2531">
        <v>48288</v>
      </c>
      <c r="R2531">
        <v>0</v>
      </c>
      <c r="S2531">
        <v>0</v>
      </c>
      <c r="T2531" s="9">
        <v>45108</v>
      </c>
      <c r="U2531" s="9">
        <v>45473</v>
      </c>
      <c r="V2531">
        <f>SUM(POTABLE_NONPOTABLE_API[[#This Row],[RESIDENTIAL_SINGLEFAMILY_GAL]:[OTHER_GAL]])</f>
        <v>24323658.832000002</v>
      </c>
      <c r="W2531">
        <f>SUM(POTABLE_NONPOTABLE_API[[#This Row],[NONPOTABLE_DEMAND_RESIDENTIAL_RECYCLED_WATER_GAL]:[NONPOTABLE_DEMAND_NONRESIDENTIAL_METERED_IRRIGATION_GAL]])</f>
        <v>53653</v>
      </c>
      <c r="X2531" t="str">
        <f>IFERROR(INDEX(Crosswalk_API!$H$2:$H$527, MATCH(POTABLE_NONPOTABLE_API[[#This Row],[PWSID]], CW_PWSID_LIST, 0)), "")</f>
        <v>No</v>
      </c>
    </row>
    <row r="2532" spans="1:24" x14ac:dyDescent="0.25">
      <c r="A2532" t="s">
        <v>1462</v>
      </c>
      <c r="B2532" t="s">
        <v>1463</v>
      </c>
      <c r="C2532" t="s">
        <v>1464</v>
      </c>
      <c r="D2532" t="s">
        <v>1465</v>
      </c>
      <c r="E2532" s="9">
        <v>45413</v>
      </c>
      <c r="F2532" s="9">
        <v>45443</v>
      </c>
      <c r="G2532">
        <v>15397902.368000001</v>
      </c>
      <c r="H2532">
        <v>4103065.22</v>
      </c>
      <c r="I2532">
        <v>7505953.7680000002</v>
      </c>
      <c r="J2532">
        <v>2227698.8560000001</v>
      </c>
      <c r="K2532">
        <v>857267.59200000006</v>
      </c>
      <c r="L2532">
        <v>222171.44400000002</v>
      </c>
      <c r="M2532">
        <v>0</v>
      </c>
      <c r="N2532">
        <v>39009</v>
      </c>
      <c r="O2532">
        <v>0</v>
      </c>
      <c r="P2532">
        <v>0</v>
      </c>
      <c r="Q2532">
        <v>221052</v>
      </c>
      <c r="R2532">
        <v>0</v>
      </c>
      <c r="S2532">
        <v>9725</v>
      </c>
      <c r="T2532" s="9">
        <v>45108</v>
      </c>
      <c r="U2532" s="9">
        <v>45473</v>
      </c>
      <c r="V2532">
        <f>SUM(POTABLE_NONPOTABLE_API[[#This Row],[RESIDENTIAL_SINGLEFAMILY_GAL]:[OTHER_GAL]])</f>
        <v>30314059.247999996</v>
      </c>
      <c r="W2532">
        <f>SUM(POTABLE_NONPOTABLE_API[[#This Row],[NONPOTABLE_DEMAND_RESIDENTIAL_RECYCLED_WATER_GAL]:[NONPOTABLE_DEMAND_NONRESIDENTIAL_METERED_IRRIGATION_GAL]])</f>
        <v>269786</v>
      </c>
      <c r="X2532" t="str">
        <f>IFERROR(INDEX(Crosswalk_API!$H$2:$H$527, MATCH(POTABLE_NONPOTABLE_API[[#This Row],[PWSID]], CW_PWSID_LIST, 0)), "")</f>
        <v>No</v>
      </c>
    </row>
    <row r="2533" spans="1:24" x14ac:dyDescent="0.25">
      <c r="A2533" t="s">
        <v>1462</v>
      </c>
      <c r="B2533" t="s">
        <v>1463</v>
      </c>
      <c r="C2533" t="s">
        <v>1464</v>
      </c>
      <c r="D2533" t="s">
        <v>1465</v>
      </c>
      <c r="E2533" s="9">
        <v>45444</v>
      </c>
      <c r="F2533" s="9">
        <v>45473</v>
      </c>
      <c r="G2533">
        <v>26394266.767999999</v>
      </c>
      <c r="H2533">
        <v>5594680.9079999998</v>
      </c>
      <c r="I2533">
        <v>9025995.432</v>
      </c>
      <c r="J2533">
        <v>6684592.6720000003</v>
      </c>
      <c r="K2533">
        <v>1147511.7679999999</v>
      </c>
      <c r="L2533">
        <v>436114.31599999999</v>
      </c>
      <c r="M2533">
        <v>0</v>
      </c>
      <c r="N2533">
        <v>176354</v>
      </c>
      <c r="O2533">
        <v>0</v>
      </c>
      <c r="P2533">
        <v>0</v>
      </c>
      <c r="Q2533">
        <v>411492</v>
      </c>
      <c r="R2533">
        <v>0</v>
      </c>
      <c r="S2533">
        <v>65829</v>
      </c>
      <c r="T2533" s="9">
        <v>45108</v>
      </c>
      <c r="U2533" s="9">
        <v>45473</v>
      </c>
      <c r="V2533">
        <f>SUM(POTABLE_NONPOTABLE_API[[#This Row],[RESIDENTIAL_SINGLEFAMILY_GAL]:[OTHER_GAL]])</f>
        <v>49283161.863999993</v>
      </c>
      <c r="W2533">
        <f>SUM(POTABLE_NONPOTABLE_API[[#This Row],[NONPOTABLE_DEMAND_RESIDENTIAL_RECYCLED_WATER_GAL]:[NONPOTABLE_DEMAND_NONRESIDENTIAL_METERED_IRRIGATION_GAL]])</f>
        <v>653675</v>
      </c>
      <c r="X2533" t="str">
        <f>IFERROR(INDEX(Crosswalk_API!$H$2:$H$527, MATCH(POTABLE_NONPOTABLE_API[[#This Row],[PWSID]], CW_PWSID_LIST, 0)), "")</f>
        <v>No</v>
      </c>
    </row>
    <row r="2534" spans="1:24" x14ac:dyDescent="0.25">
      <c r="A2534" t="s">
        <v>1466</v>
      </c>
      <c r="B2534" t="s">
        <v>1467</v>
      </c>
      <c r="C2534" t="s">
        <v>1468</v>
      </c>
      <c r="D2534" t="s">
        <v>1469</v>
      </c>
      <c r="E2534" s="9">
        <v>45108</v>
      </c>
      <c r="F2534" s="9">
        <v>45138</v>
      </c>
      <c r="G2534">
        <v>401966535.08999997</v>
      </c>
      <c r="H2534">
        <v>300004498.68000001</v>
      </c>
      <c r="I2534">
        <v>115950819.83999999</v>
      </c>
      <c r="J2534">
        <v>29065909.199999999</v>
      </c>
      <c r="K2534">
        <v>0</v>
      </c>
      <c r="L2534">
        <v>1094859.3599999999</v>
      </c>
      <c r="M2534">
        <v>0</v>
      </c>
      <c r="T2534" s="9">
        <v>45108</v>
      </c>
      <c r="U2534" s="9">
        <v>45473</v>
      </c>
      <c r="V2534">
        <f>SUM(POTABLE_NONPOTABLE_API[[#This Row],[RESIDENTIAL_SINGLEFAMILY_GAL]:[OTHER_GAL]])</f>
        <v>848082622.17000008</v>
      </c>
      <c r="W2534">
        <f>SUM(POTABLE_NONPOTABLE_API[[#This Row],[NONPOTABLE_DEMAND_RESIDENTIAL_RECYCLED_WATER_GAL]:[NONPOTABLE_DEMAND_NONRESIDENTIAL_METERED_IRRIGATION_GAL]])</f>
        <v>0</v>
      </c>
      <c r="X2534" t="str">
        <f>IFERROR(INDEX(Crosswalk_API!$H$2:$H$527, MATCH(POTABLE_NONPOTABLE_API[[#This Row],[PWSID]], CW_PWSID_LIST, 0)), "")</f>
        <v>No</v>
      </c>
    </row>
    <row r="2535" spans="1:24" x14ac:dyDescent="0.25">
      <c r="A2535" t="s">
        <v>1466</v>
      </c>
      <c r="B2535" t="s">
        <v>1467</v>
      </c>
      <c r="C2535" t="s">
        <v>1468</v>
      </c>
      <c r="D2535" t="s">
        <v>1469</v>
      </c>
      <c r="E2535" s="9">
        <v>45139</v>
      </c>
      <c r="F2535" s="9">
        <v>45169</v>
      </c>
      <c r="G2535">
        <v>393569354.81999999</v>
      </c>
      <c r="H2535">
        <v>304211235.09000003</v>
      </c>
      <c r="I2535">
        <v>117413890.83</v>
      </c>
      <c r="J2535">
        <v>30388864.260000002</v>
      </c>
      <c r="K2535">
        <v>0</v>
      </c>
      <c r="L2535">
        <v>990587.04</v>
      </c>
      <c r="M2535">
        <v>0</v>
      </c>
      <c r="T2535" s="9">
        <v>45108</v>
      </c>
      <c r="U2535" s="9">
        <v>45473</v>
      </c>
      <c r="V2535">
        <f>SUM(POTABLE_NONPOTABLE_API[[#This Row],[RESIDENTIAL_SINGLEFAMILY_GAL]:[OTHER_GAL]])</f>
        <v>846573932.04000008</v>
      </c>
      <c r="W2535">
        <f>SUM(POTABLE_NONPOTABLE_API[[#This Row],[NONPOTABLE_DEMAND_RESIDENTIAL_RECYCLED_WATER_GAL]:[NONPOTABLE_DEMAND_NONRESIDENTIAL_METERED_IRRIGATION_GAL]])</f>
        <v>0</v>
      </c>
      <c r="X2535" t="str">
        <f>IFERROR(INDEX(Crosswalk_API!$H$2:$H$527, MATCH(POTABLE_NONPOTABLE_API[[#This Row],[PWSID]], CW_PWSID_LIST, 0)), "")</f>
        <v>No</v>
      </c>
    </row>
    <row r="2536" spans="1:24" x14ac:dyDescent="0.25">
      <c r="A2536" t="s">
        <v>1466</v>
      </c>
      <c r="B2536" t="s">
        <v>1467</v>
      </c>
      <c r="C2536" t="s">
        <v>1468</v>
      </c>
      <c r="D2536" t="s">
        <v>1469</v>
      </c>
      <c r="E2536" s="9">
        <v>45170</v>
      </c>
      <c r="F2536" s="9">
        <v>45199</v>
      </c>
      <c r="G2536">
        <v>362910034.23000002</v>
      </c>
      <c r="H2536">
        <v>289323102.89999998</v>
      </c>
      <c r="I2536">
        <v>110359216.68000001</v>
      </c>
      <c r="J2536">
        <v>26566632.030000001</v>
      </c>
      <c r="K2536">
        <v>0</v>
      </c>
      <c r="L2536">
        <v>824403.02999999991</v>
      </c>
      <c r="M2536">
        <v>0</v>
      </c>
      <c r="T2536" s="9">
        <v>45108</v>
      </c>
      <c r="U2536" s="9">
        <v>45473</v>
      </c>
      <c r="V2536">
        <f>SUM(POTABLE_NONPOTABLE_API[[#This Row],[RESIDENTIAL_SINGLEFAMILY_GAL]:[OTHER_GAL]])</f>
        <v>789983388.86999989</v>
      </c>
      <c r="W2536">
        <f>SUM(POTABLE_NONPOTABLE_API[[#This Row],[NONPOTABLE_DEMAND_RESIDENTIAL_RECYCLED_WATER_GAL]:[NONPOTABLE_DEMAND_NONRESIDENTIAL_METERED_IRRIGATION_GAL]])</f>
        <v>0</v>
      </c>
      <c r="X2536" t="str">
        <f>IFERROR(INDEX(Crosswalk_API!$H$2:$H$527, MATCH(POTABLE_NONPOTABLE_API[[#This Row],[PWSID]], CW_PWSID_LIST, 0)), "")</f>
        <v>No</v>
      </c>
    </row>
    <row r="2537" spans="1:24" x14ac:dyDescent="0.25">
      <c r="A2537" t="s">
        <v>1466</v>
      </c>
      <c r="B2537" t="s">
        <v>1467</v>
      </c>
      <c r="C2537" t="s">
        <v>1468</v>
      </c>
      <c r="D2537" t="s">
        <v>1469</v>
      </c>
      <c r="E2537" s="9">
        <v>45200</v>
      </c>
      <c r="F2537" s="9">
        <v>45230</v>
      </c>
      <c r="G2537">
        <v>352082005.5</v>
      </c>
      <c r="H2537">
        <v>288723537.06</v>
      </c>
      <c r="I2537">
        <v>107967470.33999999</v>
      </c>
      <c r="J2537">
        <v>24497478.180000003</v>
      </c>
      <c r="K2537">
        <v>0</v>
      </c>
      <c r="L2537">
        <v>977553</v>
      </c>
      <c r="M2537">
        <v>0</v>
      </c>
      <c r="T2537" s="9">
        <v>45108</v>
      </c>
      <c r="U2537" s="9">
        <v>45473</v>
      </c>
      <c r="V2537">
        <f>SUM(POTABLE_NONPOTABLE_API[[#This Row],[RESIDENTIAL_SINGLEFAMILY_GAL]:[OTHER_GAL]])</f>
        <v>774248044.07999992</v>
      </c>
      <c r="W2537">
        <f>SUM(POTABLE_NONPOTABLE_API[[#This Row],[NONPOTABLE_DEMAND_RESIDENTIAL_RECYCLED_WATER_GAL]:[NONPOTABLE_DEMAND_NONRESIDENTIAL_METERED_IRRIGATION_GAL]])</f>
        <v>0</v>
      </c>
      <c r="X2537" t="str">
        <f>IFERROR(INDEX(Crosswalk_API!$H$2:$H$527, MATCH(POTABLE_NONPOTABLE_API[[#This Row],[PWSID]], CW_PWSID_LIST, 0)), "")</f>
        <v>No</v>
      </c>
    </row>
    <row r="2538" spans="1:24" x14ac:dyDescent="0.25">
      <c r="A2538" t="s">
        <v>1466</v>
      </c>
      <c r="B2538" t="s">
        <v>1467</v>
      </c>
      <c r="C2538" t="s">
        <v>1468</v>
      </c>
      <c r="D2538" t="s">
        <v>1469</v>
      </c>
      <c r="E2538" s="9">
        <v>45231</v>
      </c>
      <c r="F2538" s="9">
        <v>45260</v>
      </c>
      <c r="G2538">
        <v>319858600.11000001</v>
      </c>
      <c r="H2538">
        <v>269270232.36000001</v>
      </c>
      <c r="I2538">
        <v>97739007.450000003</v>
      </c>
      <c r="J2538">
        <v>19156780.289999999</v>
      </c>
      <c r="K2538">
        <v>0</v>
      </c>
      <c r="L2538">
        <v>690804.12</v>
      </c>
      <c r="M2538">
        <v>0</v>
      </c>
      <c r="T2538" s="9">
        <v>45108</v>
      </c>
      <c r="U2538" s="9">
        <v>45473</v>
      </c>
      <c r="V2538">
        <f>SUM(POTABLE_NONPOTABLE_API[[#This Row],[RESIDENTIAL_SINGLEFAMILY_GAL]:[OTHER_GAL]])</f>
        <v>706715424.33000004</v>
      </c>
      <c r="W2538">
        <f>SUM(POTABLE_NONPOTABLE_API[[#This Row],[NONPOTABLE_DEMAND_RESIDENTIAL_RECYCLED_WATER_GAL]:[NONPOTABLE_DEMAND_NONRESIDENTIAL_METERED_IRRIGATION_GAL]])</f>
        <v>0</v>
      </c>
      <c r="X2538" t="str">
        <f>IFERROR(INDEX(Crosswalk_API!$H$2:$H$527, MATCH(POTABLE_NONPOTABLE_API[[#This Row],[PWSID]], CW_PWSID_LIST, 0)), "")</f>
        <v>No</v>
      </c>
    </row>
    <row r="2539" spans="1:24" x14ac:dyDescent="0.25">
      <c r="A2539" t="s">
        <v>1466</v>
      </c>
      <c r="B2539" t="s">
        <v>1467</v>
      </c>
      <c r="C2539" t="s">
        <v>1468</v>
      </c>
      <c r="D2539" t="s">
        <v>1469</v>
      </c>
      <c r="E2539" s="9">
        <v>45261</v>
      </c>
      <c r="F2539" s="9">
        <v>45291</v>
      </c>
      <c r="G2539">
        <v>287631936.21000004</v>
      </c>
      <c r="H2539">
        <v>261775659.36000001</v>
      </c>
      <c r="I2539">
        <v>93988462.439999998</v>
      </c>
      <c r="J2539">
        <v>15513766.109999999</v>
      </c>
      <c r="K2539">
        <v>0</v>
      </c>
      <c r="L2539">
        <v>681028.59</v>
      </c>
      <c r="M2539">
        <v>0</v>
      </c>
      <c r="T2539" s="9">
        <v>45108</v>
      </c>
      <c r="U2539" s="9">
        <v>45473</v>
      </c>
      <c r="V2539">
        <f>SUM(POTABLE_NONPOTABLE_API[[#This Row],[RESIDENTIAL_SINGLEFAMILY_GAL]:[OTHER_GAL]])</f>
        <v>659590852.71000004</v>
      </c>
      <c r="W2539">
        <f>SUM(POTABLE_NONPOTABLE_API[[#This Row],[NONPOTABLE_DEMAND_RESIDENTIAL_RECYCLED_WATER_GAL]:[NONPOTABLE_DEMAND_NONRESIDENTIAL_METERED_IRRIGATION_GAL]])</f>
        <v>0</v>
      </c>
      <c r="X2539" t="str">
        <f>IFERROR(INDEX(Crosswalk_API!$H$2:$H$527, MATCH(POTABLE_NONPOTABLE_API[[#This Row],[PWSID]], CW_PWSID_LIST, 0)), "")</f>
        <v>No</v>
      </c>
    </row>
    <row r="2540" spans="1:24" x14ac:dyDescent="0.25">
      <c r="A2540" t="s">
        <v>1466</v>
      </c>
      <c r="B2540" t="s">
        <v>1467</v>
      </c>
      <c r="C2540" t="s">
        <v>1468</v>
      </c>
      <c r="D2540" t="s">
        <v>1469</v>
      </c>
      <c r="E2540" s="9">
        <v>45292</v>
      </c>
      <c r="F2540" s="9">
        <v>45322</v>
      </c>
      <c r="G2540">
        <v>259537062.99000001</v>
      </c>
      <c r="H2540">
        <v>247451249.40000001</v>
      </c>
      <c r="I2540">
        <v>88608662.430000007</v>
      </c>
      <c r="J2540">
        <v>9215066.2800000012</v>
      </c>
      <c r="K2540">
        <v>0</v>
      </c>
      <c r="L2540">
        <v>0</v>
      </c>
      <c r="M2540">
        <v>0</v>
      </c>
      <c r="T2540" s="9">
        <v>45108</v>
      </c>
      <c r="U2540" s="9">
        <v>45473</v>
      </c>
      <c r="V2540">
        <f>SUM(POTABLE_NONPOTABLE_API[[#This Row],[RESIDENTIAL_SINGLEFAMILY_GAL]:[OTHER_GAL]])</f>
        <v>604812041.0999999</v>
      </c>
      <c r="W2540">
        <f>SUM(POTABLE_NONPOTABLE_API[[#This Row],[NONPOTABLE_DEMAND_RESIDENTIAL_RECYCLED_WATER_GAL]:[NONPOTABLE_DEMAND_NONRESIDENTIAL_METERED_IRRIGATION_GAL]])</f>
        <v>0</v>
      </c>
      <c r="X2540" t="str">
        <f>IFERROR(INDEX(Crosswalk_API!$H$2:$H$527, MATCH(POTABLE_NONPOTABLE_API[[#This Row],[PWSID]], CW_PWSID_LIST, 0)), "")</f>
        <v>No</v>
      </c>
    </row>
    <row r="2541" spans="1:24" x14ac:dyDescent="0.25">
      <c r="A2541" t="s">
        <v>1466</v>
      </c>
      <c r="B2541" t="s">
        <v>1467</v>
      </c>
      <c r="C2541" t="s">
        <v>1468</v>
      </c>
      <c r="D2541" t="s">
        <v>1469</v>
      </c>
      <c r="E2541" s="9">
        <v>45323</v>
      </c>
      <c r="F2541" s="9">
        <v>45351</v>
      </c>
      <c r="G2541">
        <v>224429876.25</v>
      </c>
      <c r="H2541">
        <v>222135885.21000001</v>
      </c>
      <c r="I2541">
        <v>80182155.569999993</v>
      </c>
      <c r="J2541">
        <v>6412747.6799999997</v>
      </c>
      <c r="K2541">
        <v>0</v>
      </c>
      <c r="L2541">
        <v>0</v>
      </c>
      <c r="M2541">
        <v>0</v>
      </c>
      <c r="T2541" s="9">
        <v>45108</v>
      </c>
      <c r="U2541" s="9">
        <v>45473</v>
      </c>
      <c r="V2541">
        <f>SUM(POTABLE_NONPOTABLE_API[[#This Row],[RESIDENTIAL_SINGLEFAMILY_GAL]:[OTHER_GAL]])</f>
        <v>533160664.71000004</v>
      </c>
      <c r="W2541">
        <f>SUM(POTABLE_NONPOTABLE_API[[#This Row],[NONPOTABLE_DEMAND_RESIDENTIAL_RECYCLED_WATER_GAL]:[NONPOTABLE_DEMAND_NONRESIDENTIAL_METERED_IRRIGATION_GAL]])</f>
        <v>0</v>
      </c>
      <c r="X2541" t="str">
        <f>IFERROR(INDEX(Crosswalk_API!$H$2:$H$527, MATCH(POTABLE_NONPOTABLE_API[[#This Row],[PWSID]], CW_PWSID_LIST, 0)), "")</f>
        <v>No</v>
      </c>
    </row>
    <row r="2542" spans="1:24" x14ac:dyDescent="0.25">
      <c r="A2542" t="s">
        <v>1466</v>
      </c>
      <c r="B2542" t="s">
        <v>1467</v>
      </c>
      <c r="C2542" t="s">
        <v>1468</v>
      </c>
      <c r="D2542" t="s">
        <v>1469</v>
      </c>
      <c r="E2542" s="9">
        <v>45352</v>
      </c>
      <c r="F2542" s="9">
        <v>45382</v>
      </c>
      <c r="G2542">
        <v>246216274.11000001</v>
      </c>
      <c r="H2542">
        <v>241830319.65000001</v>
      </c>
      <c r="I2542">
        <v>88804173.029999986</v>
      </c>
      <c r="J2542">
        <v>8912024.8499999996</v>
      </c>
      <c r="K2542">
        <v>0</v>
      </c>
      <c r="L2542">
        <v>0</v>
      </c>
      <c r="M2542">
        <v>0</v>
      </c>
      <c r="T2542" s="9">
        <v>45108</v>
      </c>
      <c r="U2542" s="9">
        <v>45473</v>
      </c>
      <c r="V2542">
        <f>SUM(POTABLE_NONPOTABLE_API[[#This Row],[RESIDENTIAL_SINGLEFAMILY_GAL]:[OTHER_GAL]])</f>
        <v>585762791.63999999</v>
      </c>
      <c r="W2542">
        <f>SUM(POTABLE_NONPOTABLE_API[[#This Row],[NONPOTABLE_DEMAND_RESIDENTIAL_RECYCLED_WATER_GAL]:[NONPOTABLE_DEMAND_NONRESIDENTIAL_METERED_IRRIGATION_GAL]])</f>
        <v>0</v>
      </c>
      <c r="X2542" t="str">
        <f>IFERROR(INDEX(Crosswalk_API!$H$2:$H$527, MATCH(POTABLE_NONPOTABLE_API[[#This Row],[PWSID]], CW_PWSID_LIST, 0)), "")</f>
        <v>No</v>
      </c>
    </row>
    <row r="2543" spans="1:24" x14ac:dyDescent="0.25">
      <c r="A2543" t="s">
        <v>1466</v>
      </c>
      <c r="B2543" t="s">
        <v>1467</v>
      </c>
      <c r="C2543" t="s">
        <v>1468</v>
      </c>
      <c r="D2543" t="s">
        <v>1469</v>
      </c>
      <c r="E2543" s="9">
        <v>45383</v>
      </c>
      <c r="F2543" s="9">
        <v>45412</v>
      </c>
      <c r="G2543">
        <v>283115641.35000002</v>
      </c>
      <c r="H2543">
        <v>244358923.41</v>
      </c>
      <c r="I2543">
        <v>91984478.790000007</v>
      </c>
      <c r="J2543">
        <v>11926146.6</v>
      </c>
      <c r="K2543">
        <v>0</v>
      </c>
      <c r="L2543">
        <v>0</v>
      </c>
      <c r="M2543">
        <v>0</v>
      </c>
      <c r="T2543" s="9">
        <v>45108</v>
      </c>
      <c r="U2543" s="9">
        <v>45473</v>
      </c>
      <c r="V2543">
        <f>SUM(POTABLE_NONPOTABLE_API[[#This Row],[RESIDENTIAL_SINGLEFAMILY_GAL]:[OTHER_GAL]])</f>
        <v>631385190.14999998</v>
      </c>
      <c r="W2543">
        <f>SUM(POTABLE_NONPOTABLE_API[[#This Row],[NONPOTABLE_DEMAND_RESIDENTIAL_RECYCLED_WATER_GAL]:[NONPOTABLE_DEMAND_NONRESIDENTIAL_METERED_IRRIGATION_GAL]])</f>
        <v>0</v>
      </c>
      <c r="X2543" t="str">
        <f>IFERROR(INDEX(Crosswalk_API!$H$2:$H$527, MATCH(POTABLE_NONPOTABLE_API[[#This Row],[PWSID]], CW_PWSID_LIST, 0)), "")</f>
        <v>No</v>
      </c>
    </row>
    <row r="2544" spans="1:24" x14ac:dyDescent="0.25">
      <c r="A2544" t="s">
        <v>1466</v>
      </c>
      <c r="B2544" t="s">
        <v>1467</v>
      </c>
      <c r="C2544" t="s">
        <v>1468</v>
      </c>
      <c r="D2544" t="s">
        <v>1469</v>
      </c>
      <c r="E2544" s="9">
        <v>45413</v>
      </c>
      <c r="F2544" s="9">
        <v>45443</v>
      </c>
      <c r="G2544">
        <v>341690617.10999995</v>
      </c>
      <c r="H2544">
        <v>270915779.90999997</v>
      </c>
      <c r="I2544">
        <v>106393610.00999999</v>
      </c>
      <c r="J2544">
        <v>21320430.930000003</v>
      </c>
      <c r="K2544">
        <v>0</v>
      </c>
      <c r="L2544">
        <v>0</v>
      </c>
      <c r="M2544">
        <v>0</v>
      </c>
      <c r="T2544" s="9">
        <v>45108</v>
      </c>
      <c r="U2544" s="9">
        <v>45473</v>
      </c>
      <c r="V2544">
        <f>SUM(POTABLE_NONPOTABLE_API[[#This Row],[RESIDENTIAL_SINGLEFAMILY_GAL]:[OTHER_GAL]])</f>
        <v>740320437.95999992</v>
      </c>
      <c r="W2544">
        <f>SUM(POTABLE_NONPOTABLE_API[[#This Row],[NONPOTABLE_DEMAND_RESIDENTIAL_RECYCLED_WATER_GAL]:[NONPOTABLE_DEMAND_NONRESIDENTIAL_METERED_IRRIGATION_GAL]])</f>
        <v>0</v>
      </c>
      <c r="X2544" t="str">
        <f>IFERROR(INDEX(Crosswalk_API!$H$2:$H$527, MATCH(POTABLE_NONPOTABLE_API[[#This Row],[PWSID]], CW_PWSID_LIST, 0)), "")</f>
        <v>No</v>
      </c>
    </row>
    <row r="2545" spans="1:24" x14ac:dyDescent="0.25">
      <c r="A2545" t="s">
        <v>1466</v>
      </c>
      <c r="B2545" t="s">
        <v>1467</v>
      </c>
      <c r="C2545" t="s">
        <v>1468</v>
      </c>
      <c r="D2545" t="s">
        <v>1469</v>
      </c>
      <c r="E2545" s="9">
        <v>45444</v>
      </c>
      <c r="F2545" s="9">
        <v>45473</v>
      </c>
      <c r="G2545">
        <v>385778257.41000003</v>
      </c>
      <c r="H2545">
        <v>280642432.25999999</v>
      </c>
      <c r="I2545">
        <v>111809253.63</v>
      </c>
      <c r="J2545">
        <v>26025719.370000001</v>
      </c>
      <c r="K2545">
        <v>0</v>
      </c>
      <c r="L2545">
        <v>0</v>
      </c>
      <c r="M2545">
        <v>0</v>
      </c>
      <c r="T2545" s="9">
        <v>45108</v>
      </c>
      <c r="U2545" s="9">
        <v>45473</v>
      </c>
      <c r="V2545">
        <f>SUM(POTABLE_NONPOTABLE_API[[#This Row],[RESIDENTIAL_SINGLEFAMILY_GAL]:[OTHER_GAL]])</f>
        <v>804255662.67000008</v>
      </c>
      <c r="W2545">
        <f>SUM(POTABLE_NONPOTABLE_API[[#This Row],[NONPOTABLE_DEMAND_RESIDENTIAL_RECYCLED_WATER_GAL]:[NONPOTABLE_DEMAND_NONRESIDENTIAL_METERED_IRRIGATION_GAL]])</f>
        <v>0</v>
      </c>
      <c r="X2545" t="str">
        <f>IFERROR(INDEX(Crosswalk_API!$H$2:$H$527, MATCH(POTABLE_NONPOTABLE_API[[#This Row],[PWSID]], CW_PWSID_LIST, 0)), "")</f>
        <v>No</v>
      </c>
    </row>
    <row r="2546" spans="1:24" x14ac:dyDescent="0.25">
      <c r="A2546" t="s">
        <v>1470</v>
      </c>
      <c r="B2546" t="s">
        <v>1471</v>
      </c>
      <c r="C2546" t="s">
        <v>1472</v>
      </c>
      <c r="D2546" t="s">
        <v>1473</v>
      </c>
      <c r="E2546" s="9">
        <v>45108</v>
      </c>
      <c r="F2546" s="9">
        <v>45138</v>
      </c>
      <c r="G2546">
        <v>36037353</v>
      </c>
      <c r="H2546">
        <v>33123414</v>
      </c>
      <c r="I2546">
        <v>27625839</v>
      </c>
      <c r="J2546">
        <v>11231751</v>
      </c>
      <c r="K2546">
        <v>0</v>
      </c>
      <c r="L2546">
        <v>338936</v>
      </c>
      <c r="M2546">
        <v>0</v>
      </c>
      <c r="T2546" s="9">
        <v>45108</v>
      </c>
      <c r="U2546" s="9">
        <v>45473</v>
      </c>
      <c r="V2546">
        <f>SUM(POTABLE_NONPOTABLE_API[[#This Row],[RESIDENTIAL_SINGLEFAMILY_GAL]:[OTHER_GAL]])</f>
        <v>108357293</v>
      </c>
      <c r="W2546">
        <f>SUM(POTABLE_NONPOTABLE_API[[#This Row],[NONPOTABLE_DEMAND_RESIDENTIAL_RECYCLED_WATER_GAL]:[NONPOTABLE_DEMAND_NONRESIDENTIAL_METERED_IRRIGATION_GAL]])</f>
        <v>0</v>
      </c>
      <c r="X2546" t="str">
        <f>IFERROR(INDEX(Crosswalk_API!$H$2:$H$527, MATCH(POTABLE_NONPOTABLE_API[[#This Row],[PWSID]], CW_PWSID_LIST, 0)), "")</f>
        <v>No</v>
      </c>
    </row>
    <row r="2547" spans="1:24" x14ac:dyDescent="0.25">
      <c r="A2547" t="s">
        <v>1470</v>
      </c>
      <c r="B2547" t="s">
        <v>1471</v>
      </c>
      <c r="C2547" t="s">
        <v>1472</v>
      </c>
      <c r="D2547" t="s">
        <v>1473</v>
      </c>
      <c r="E2547" s="9">
        <v>45139</v>
      </c>
      <c r="F2547" s="9">
        <v>45169</v>
      </c>
      <c r="G2547">
        <v>64894183</v>
      </c>
      <c r="H2547">
        <v>39866058</v>
      </c>
      <c r="I2547">
        <v>33215284</v>
      </c>
      <c r="J2547">
        <v>16088552</v>
      </c>
      <c r="K2547">
        <v>0</v>
      </c>
      <c r="L2547">
        <v>335677</v>
      </c>
      <c r="M2547">
        <v>0</v>
      </c>
      <c r="T2547" s="9">
        <v>45108</v>
      </c>
      <c r="U2547" s="9">
        <v>45473</v>
      </c>
      <c r="V2547">
        <f>SUM(POTABLE_NONPOTABLE_API[[#This Row],[RESIDENTIAL_SINGLEFAMILY_GAL]:[OTHER_GAL]])</f>
        <v>154399754</v>
      </c>
      <c r="W2547">
        <f>SUM(POTABLE_NONPOTABLE_API[[#This Row],[NONPOTABLE_DEMAND_RESIDENTIAL_RECYCLED_WATER_GAL]:[NONPOTABLE_DEMAND_NONRESIDENTIAL_METERED_IRRIGATION_GAL]])</f>
        <v>0</v>
      </c>
      <c r="X2547" t="str">
        <f>IFERROR(INDEX(Crosswalk_API!$H$2:$H$527, MATCH(POTABLE_NONPOTABLE_API[[#This Row],[PWSID]], CW_PWSID_LIST, 0)), "")</f>
        <v>No</v>
      </c>
    </row>
    <row r="2548" spans="1:24" x14ac:dyDescent="0.25">
      <c r="A2548" t="s">
        <v>1470</v>
      </c>
      <c r="B2548" t="s">
        <v>1471</v>
      </c>
      <c r="C2548" t="s">
        <v>1472</v>
      </c>
      <c r="D2548" t="s">
        <v>1473</v>
      </c>
      <c r="E2548" s="9">
        <v>45170</v>
      </c>
      <c r="F2548" s="9">
        <v>45199</v>
      </c>
      <c r="G2548">
        <v>36963482.200000003</v>
      </c>
      <c r="H2548">
        <v>24268351</v>
      </c>
      <c r="I2548">
        <v>21710311</v>
      </c>
      <c r="J2548">
        <v>11207815</v>
      </c>
      <c r="K2548">
        <v>0</v>
      </c>
      <c r="L2548">
        <v>482332</v>
      </c>
      <c r="M2548">
        <v>0</v>
      </c>
      <c r="T2548" s="9">
        <v>45108</v>
      </c>
      <c r="U2548" s="9">
        <v>45473</v>
      </c>
      <c r="V2548">
        <f>SUM(POTABLE_NONPOTABLE_API[[#This Row],[RESIDENTIAL_SINGLEFAMILY_GAL]:[OTHER_GAL]])</f>
        <v>94632291.200000003</v>
      </c>
      <c r="W2548">
        <f>SUM(POTABLE_NONPOTABLE_API[[#This Row],[NONPOTABLE_DEMAND_RESIDENTIAL_RECYCLED_WATER_GAL]:[NONPOTABLE_DEMAND_NONRESIDENTIAL_METERED_IRRIGATION_GAL]])</f>
        <v>0</v>
      </c>
      <c r="X2548" t="str">
        <f>IFERROR(INDEX(Crosswalk_API!$H$2:$H$527, MATCH(POTABLE_NONPOTABLE_API[[#This Row],[PWSID]], CW_PWSID_LIST, 0)), "")</f>
        <v>No</v>
      </c>
    </row>
    <row r="2549" spans="1:24" x14ac:dyDescent="0.25">
      <c r="A2549" t="s">
        <v>1470</v>
      </c>
      <c r="B2549" t="s">
        <v>1471</v>
      </c>
      <c r="C2549" t="s">
        <v>1472</v>
      </c>
      <c r="D2549" t="s">
        <v>1473</v>
      </c>
      <c r="E2549" s="9">
        <v>45200</v>
      </c>
      <c r="F2549" s="9">
        <v>45230</v>
      </c>
      <c r="G2549">
        <v>33665961.600000001</v>
      </c>
      <c r="H2549">
        <v>31723413</v>
      </c>
      <c r="I2549">
        <v>28002674</v>
      </c>
      <c r="J2549">
        <v>10121419.880000001</v>
      </c>
      <c r="K2549">
        <v>0</v>
      </c>
      <c r="L2549">
        <v>247684</v>
      </c>
      <c r="M2549">
        <v>0</v>
      </c>
      <c r="T2549" s="9">
        <v>45108</v>
      </c>
      <c r="U2549" s="9">
        <v>45473</v>
      </c>
      <c r="V2549">
        <f>SUM(POTABLE_NONPOTABLE_API[[#This Row],[RESIDENTIAL_SINGLEFAMILY_GAL]:[OTHER_GAL]])</f>
        <v>103761152.47999999</v>
      </c>
      <c r="W2549">
        <f>SUM(POTABLE_NONPOTABLE_API[[#This Row],[NONPOTABLE_DEMAND_RESIDENTIAL_RECYCLED_WATER_GAL]:[NONPOTABLE_DEMAND_NONRESIDENTIAL_METERED_IRRIGATION_GAL]])</f>
        <v>0</v>
      </c>
      <c r="X2549" t="str">
        <f>IFERROR(INDEX(Crosswalk_API!$H$2:$H$527, MATCH(POTABLE_NONPOTABLE_API[[#This Row],[PWSID]], CW_PWSID_LIST, 0)), "")</f>
        <v>No</v>
      </c>
    </row>
    <row r="2550" spans="1:24" x14ac:dyDescent="0.25">
      <c r="A2550" t="s">
        <v>1470</v>
      </c>
      <c r="B2550" t="s">
        <v>1471</v>
      </c>
      <c r="C2550" t="s">
        <v>1472</v>
      </c>
      <c r="D2550" t="s">
        <v>1473</v>
      </c>
      <c r="E2550" s="9">
        <v>45231</v>
      </c>
      <c r="F2550" s="9">
        <v>45260</v>
      </c>
      <c r="G2550">
        <v>54129266.840000004</v>
      </c>
      <c r="H2550">
        <v>36870962.039999999</v>
      </c>
      <c r="I2550">
        <v>29622019</v>
      </c>
      <c r="J2550">
        <v>11135528</v>
      </c>
      <c r="K2550">
        <v>0</v>
      </c>
      <c r="L2550">
        <v>1316636</v>
      </c>
      <c r="M2550">
        <v>0</v>
      </c>
      <c r="T2550" s="9">
        <v>45108</v>
      </c>
      <c r="U2550" s="9">
        <v>45473</v>
      </c>
      <c r="V2550">
        <f>SUM(POTABLE_NONPOTABLE_API[[#This Row],[RESIDENTIAL_SINGLEFAMILY_GAL]:[OTHER_GAL]])</f>
        <v>133074411.88</v>
      </c>
      <c r="W2550">
        <f>SUM(POTABLE_NONPOTABLE_API[[#This Row],[NONPOTABLE_DEMAND_RESIDENTIAL_RECYCLED_WATER_GAL]:[NONPOTABLE_DEMAND_NONRESIDENTIAL_METERED_IRRIGATION_GAL]])</f>
        <v>0</v>
      </c>
      <c r="X2550" t="str">
        <f>IFERROR(INDEX(Crosswalk_API!$H$2:$H$527, MATCH(POTABLE_NONPOTABLE_API[[#This Row],[PWSID]], CW_PWSID_LIST, 0)), "")</f>
        <v>No</v>
      </c>
    </row>
    <row r="2551" spans="1:24" x14ac:dyDescent="0.25">
      <c r="A2551" t="s">
        <v>1470</v>
      </c>
      <c r="B2551" t="s">
        <v>1471</v>
      </c>
      <c r="C2551" t="s">
        <v>1472</v>
      </c>
      <c r="D2551" t="s">
        <v>1473</v>
      </c>
      <c r="E2551" s="9">
        <v>45261</v>
      </c>
      <c r="F2551" s="9">
        <v>45291</v>
      </c>
      <c r="G2551">
        <v>29722116</v>
      </c>
      <c r="H2551">
        <v>19712619</v>
      </c>
      <c r="I2551">
        <v>15275678</v>
      </c>
      <c r="J2551">
        <v>4718608</v>
      </c>
      <c r="K2551">
        <v>0</v>
      </c>
      <c r="L2551">
        <v>2691934</v>
      </c>
      <c r="M2551">
        <v>0</v>
      </c>
      <c r="T2551" s="9">
        <v>45108</v>
      </c>
      <c r="U2551" s="9">
        <v>45473</v>
      </c>
      <c r="V2551">
        <f>SUM(POTABLE_NONPOTABLE_API[[#This Row],[RESIDENTIAL_SINGLEFAMILY_GAL]:[OTHER_GAL]])</f>
        <v>72120955</v>
      </c>
      <c r="W2551">
        <f>SUM(POTABLE_NONPOTABLE_API[[#This Row],[NONPOTABLE_DEMAND_RESIDENTIAL_RECYCLED_WATER_GAL]:[NONPOTABLE_DEMAND_NONRESIDENTIAL_METERED_IRRIGATION_GAL]])</f>
        <v>0</v>
      </c>
      <c r="X2551" t="str">
        <f>IFERROR(INDEX(Crosswalk_API!$H$2:$H$527, MATCH(POTABLE_NONPOTABLE_API[[#This Row],[PWSID]], CW_PWSID_LIST, 0)), "")</f>
        <v>No</v>
      </c>
    </row>
    <row r="2552" spans="1:24" x14ac:dyDescent="0.25">
      <c r="A2552" t="s">
        <v>1470</v>
      </c>
      <c r="B2552" t="s">
        <v>1471</v>
      </c>
      <c r="C2552" t="s">
        <v>1472</v>
      </c>
      <c r="D2552" t="s">
        <v>1473</v>
      </c>
      <c r="E2552" s="9">
        <v>45292</v>
      </c>
      <c r="F2552" s="9">
        <v>45322</v>
      </c>
      <c r="G2552">
        <v>27310004</v>
      </c>
      <c r="H2552">
        <v>26547440</v>
      </c>
      <c r="I2552">
        <v>17978554</v>
      </c>
      <c r="J2552">
        <v>3994140</v>
      </c>
      <c r="K2552">
        <v>0</v>
      </c>
      <c r="L2552">
        <v>52144</v>
      </c>
      <c r="M2552">
        <v>0</v>
      </c>
      <c r="T2552" s="9">
        <v>45108</v>
      </c>
      <c r="U2552" s="9">
        <v>45473</v>
      </c>
      <c r="V2552">
        <f>SUM(POTABLE_NONPOTABLE_API[[#This Row],[RESIDENTIAL_SINGLEFAMILY_GAL]:[OTHER_GAL]])</f>
        <v>75882282</v>
      </c>
      <c r="W2552">
        <f>SUM(POTABLE_NONPOTABLE_API[[#This Row],[NONPOTABLE_DEMAND_RESIDENTIAL_RECYCLED_WATER_GAL]:[NONPOTABLE_DEMAND_NONRESIDENTIAL_METERED_IRRIGATION_GAL]])</f>
        <v>0</v>
      </c>
      <c r="X2552" t="str">
        <f>IFERROR(INDEX(Crosswalk_API!$H$2:$H$527, MATCH(POTABLE_NONPOTABLE_API[[#This Row],[PWSID]], CW_PWSID_LIST, 0)), "")</f>
        <v>No</v>
      </c>
    </row>
    <row r="2553" spans="1:24" x14ac:dyDescent="0.25">
      <c r="A2553" t="s">
        <v>1470</v>
      </c>
      <c r="B2553" t="s">
        <v>1471</v>
      </c>
      <c r="C2553" t="s">
        <v>1472</v>
      </c>
      <c r="D2553" t="s">
        <v>1473</v>
      </c>
      <c r="E2553" s="9">
        <v>45323</v>
      </c>
      <c r="F2553" s="9">
        <v>45351</v>
      </c>
      <c r="G2553">
        <v>43661597.799999997</v>
      </c>
      <c r="H2553">
        <v>31704765.399999999</v>
      </c>
      <c r="I2553">
        <v>16463308</v>
      </c>
      <c r="J2553">
        <v>2269005.64</v>
      </c>
      <c r="K2553">
        <v>0</v>
      </c>
      <c r="L2553">
        <v>303087</v>
      </c>
      <c r="M2553">
        <v>0</v>
      </c>
      <c r="T2553" s="9">
        <v>45108</v>
      </c>
      <c r="U2553" s="9">
        <v>45473</v>
      </c>
      <c r="V2553">
        <f>SUM(POTABLE_NONPOTABLE_API[[#This Row],[RESIDENTIAL_SINGLEFAMILY_GAL]:[OTHER_GAL]])</f>
        <v>94401763.839999989</v>
      </c>
      <c r="W2553">
        <f>SUM(POTABLE_NONPOTABLE_API[[#This Row],[NONPOTABLE_DEMAND_RESIDENTIAL_RECYCLED_WATER_GAL]:[NONPOTABLE_DEMAND_NONRESIDENTIAL_METERED_IRRIGATION_GAL]])</f>
        <v>0</v>
      </c>
      <c r="X2553" t="str">
        <f>IFERROR(INDEX(Crosswalk_API!$H$2:$H$527, MATCH(POTABLE_NONPOTABLE_API[[#This Row],[PWSID]], CW_PWSID_LIST, 0)), "")</f>
        <v>No</v>
      </c>
    </row>
    <row r="2554" spans="1:24" x14ac:dyDescent="0.25">
      <c r="A2554" t="s">
        <v>1470</v>
      </c>
      <c r="B2554" t="s">
        <v>1471</v>
      </c>
      <c r="C2554" t="s">
        <v>1472</v>
      </c>
      <c r="D2554" t="s">
        <v>1473</v>
      </c>
      <c r="E2554" s="9">
        <v>45352</v>
      </c>
      <c r="F2554" s="9">
        <v>45382</v>
      </c>
      <c r="G2554">
        <v>27861294.559999999</v>
      </c>
      <c r="H2554">
        <v>23027598.879999999</v>
      </c>
      <c r="I2554">
        <v>11616230.560000001</v>
      </c>
      <c r="J2554">
        <v>1187277.96</v>
      </c>
      <c r="K2554">
        <v>0</v>
      </c>
      <c r="L2554">
        <v>68439</v>
      </c>
      <c r="M2554">
        <v>0</v>
      </c>
      <c r="T2554" s="9">
        <v>45108</v>
      </c>
      <c r="U2554" s="9">
        <v>45473</v>
      </c>
      <c r="V2554">
        <f>SUM(POTABLE_NONPOTABLE_API[[#This Row],[RESIDENTIAL_SINGLEFAMILY_GAL]:[OTHER_GAL]])</f>
        <v>63760840.960000001</v>
      </c>
      <c r="W2554">
        <f>SUM(POTABLE_NONPOTABLE_API[[#This Row],[NONPOTABLE_DEMAND_RESIDENTIAL_RECYCLED_WATER_GAL]:[NONPOTABLE_DEMAND_NONRESIDENTIAL_METERED_IRRIGATION_GAL]])</f>
        <v>0</v>
      </c>
      <c r="X2554" t="str">
        <f>IFERROR(INDEX(Crosswalk_API!$H$2:$H$527, MATCH(POTABLE_NONPOTABLE_API[[#This Row],[PWSID]], CW_PWSID_LIST, 0)), "")</f>
        <v>No</v>
      </c>
    </row>
    <row r="2555" spans="1:24" x14ac:dyDescent="0.25">
      <c r="A2555" t="s">
        <v>1470</v>
      </c>
      <c r="B2555" t="s">
        <v>1471</v>
      </c>
      <c r="C2555" t="s">
        <v>1472</v>
      </c>
      <c r="D2555" t="s">
        <v>1473</v>
      </c>
      <c r="E2555" s="9">
        <v>45383</v>
      </c>
      <c r="F2555" s="9">
        <v>45412</v>
      </c>
      <c r="G2555">
        <v>27030790</v>
      </c>
      <c r="H2555">
        <v>27478954</v>
      </c>
      <c r="I2555">
        <v>17027890</v>
      </c>
      <c r="J2555">
        <v>2246124</v>
      </c>
      <c r="K2555">
        <v>0</v>
      </c>
      <c r="L2555">
        <v>241166</v>
      </c>
      <c r="M2555">
        <v>0</v>
      </c>
      <c r="T2555" s="9">
        <v>45108</v>
      </c>
      <c r="U2555" s="9">
        <v>45473</v>
      </c>
      <c r="V2555">
        <f>SUM(POTABLE_NONPOTABLE_API[[#This Row],[RESIDENTIAL_SINGLEFAMILY_GAL]:[OTHER_GAL]])</f>
        <v>74024924</v>
      </c>
      <c r="W2555">
        <f>SUM(POTABLE_NONPOTABLE_API[[#This Row],[NONPOTABLE_DEMAND_RESIDENTIAL_RECYCLED_WATER_GAL]:[NONPOTABLE_DEMAND_NONRESIDENTIAL_METERED_IRRIGATION_GAL]])</f>
        <v>0</v>
      </c>
      <c r="X2555" t="str">
        <f>IFERROR(INDEX(Crosswalk_API!$H$2:$H$527, MATCH(POTABLE_NONPOTABLE_API[[#This Row],[PWSID]], CW_PWSID_LIST, 0)), "")</f>
        <v>No</v>
      </c>
    </row>
    <row r="2556" spans="1:24" x14ac:dyDescent="0.25">
      <c r="A2556" t="s">
        <v>1470</v>
      </c>
      <c r="B2556" t="s">
        <v>1471</v>
      </c>
      <c r="C2556" t="s">
        <v>1472</v>
      </c>
      <c r="D2556" t="s">
        <v>1473</v>
      </c>
      <c r="E2556" s="9">
        <v>45413</v>
      </c>
      <c r="F2556" s="9">
        <v>45443</v>
      </c>
      <c r="G2556">
        <v>50956452</v>
      </c>
      <c r="H2556">
        <v>38197285</v>
      </c>
      <c r="I2556">
        <v>25757178</v>
      </c>
      <c r="J2556">
        <v>7721080</v>
      </c>
      <c r="K2556">
        <v>0</v>
      </c>
      <c r="L2556">
        <v>32590</v>
      </c>
      <c r="M2556">
        <v>0</v>
      </c>
      <c r="T2556" s="9">
        <v>45108</v>
      </c>
      <c r="U2556" s="9">
        <v>45473</v>
      </c>
      <c r="V2556">
        <f>SUM(POTABLE_NONPOTABLE_API[[#This Row],[RESIDENTIAL_SINGLEFAMILY_GAL]:[OTHER_GAL]])</f>
        <v>122664585</v>
      </c>
      <c r="W2556">
        <f>SUM(POTABLE_NONPOTABLE_API[[#This Row],[NONPOTABLE_DEMAND_RESIDENTIAL_RECYCLED_WATER_GAL]:[NONPOTABLE_DEMAND_NONRESIDENTIAL_METERED_IRRIGATION_GAL]])</f>
        <v>0</v>
      </c>
      <c r="X2556" t="str">
        <f>IFERROR(INDEX(Crosswalk_API!$H$2:$H$527, MATCH(POTABLE_NONPOTABLE_API[[#This Row],[PWSID]], CW_PWSID_LIST, 0)), "")</f>
        <v>No</v>
      </c>
    </row>
    <row r="2557" spans="1:24" x14ac:dyDescent="0.25">
      <c r="A2557" t="s">
        <v>1470</v>
      </c>
      <c r="B2557" t="s">
        <v>1471</v>
      </c>
      <c r="C2557" t="s">
        <v>1472</v>
      </c>
      <c r="D2557" t="s">
        <v>1473</v>
      </c>
      <c r="E2557" s="9">
        <v>45444</v>
      </c>
      <c r="F2557" s="9">
        <v>45473</v>
      </c>
      <c r="G2557">
        <v>36595226</v>
      </c>
      <c r="H2557">
        <v>18291300</v>
      </c>
      <c r="I2557">
        <v>17837398</v>
      </c>
      <c r="J2557">
        <v>8611469</v>
      </c>
      <c r="K2557">
        <v>0</v>
      </c>
      <c r="L2557">
        <v>906002</v>
      </c>
      <c r="M2557">
        <v>0</v>
      </c>
      <c r="T2557" s="9">
        <v>45108</v>
      </c>
      <c r="U2557" s="9">
        <v>45473</v>
      </c>
      <c r="V2557">
        <f>SUM(POTABLE_NONPOTABLE_API[[#This Row],[RESIDENTIAL_SINGLEFAMILY_GAL]:[OTHER_GAL]])</f>
        <v>82241395</v>
      </c>
      <c r="W2557">
        <f>SUM(POTABLE_NONPOTABLE_API[[#This Row],[NONPOTABLE_DEMAND_RESIDENTIAL_RECYCLED_WATER_GAL]:[NONPOTABLE_DEMAND_NONRESIDENTIAL_METERED_IRRIGATION_GAL]])</f>
        <v>0</v>
      </c>
      <c r="X2557" t="str">
        <f>IFERROR(INDEX(Crosswalk_API!$H$2:$H$527, MATCH(POTABLE_NONPOTABLE_API[[#This Row],[PWSID]], CW_PWSID_LIST, 0)), "")</f>
        <v>No</v>
      </c>
    </row>
    <row r="2558" spans="1:24" x14ac:dyDescent="0.25">
      <c r="A2558" t="s">
        <v>1474</v>
      </c>
      <c r="B2558" t="s">
        <v>1475</v>
      </c>
      <c r="C2558" t="s">
        <v>1476</v>
      </c>
      <c r="D2558" t="s">
        <v>1477</v>
      </c>
      <c r="E2558" s="9">
        <v>45108</v>
      </c>
      <c r="F2558" s="9">
        <v>45138</v>
      </c>
      <c r="G2558">
        <v>242389520</v>
      </c>
      <c r="H2558">
        <v>48358</v>
      </c>
      <c r="I2558">
        <v>74232268</v>
      </c>
      <c r="J2558">
        <v>0</v>
      </c>
      <c r="K2558">
        <v>0</v>
      </c>
      <c r="L2558">
        <v>0</v>
      </c>
      <c r="M2558">
        <v>0</v>
      </c>
      <c r="N2558">
        <v>0</v>
      </c>
      <c r="O2558">
        <v>0</v>
      </c>
      <c r="P2558">
        <v>0</v>
      </c>
      <c r="Q2558">
        <v>0</v>
      </c>
      <c r="R2558">
        <v>0</v>
      </c>
      <c r="S2558">
        <v>11177416</v>
      </c>
      <c r="T2558" s="9">
        <v>45108</v>
      </c>
      <c r="U2558" s="9">
        <v>45473</v>
      </c>
      <c r="V2558">
        <f>SUM(POTABLE_NONPOTABLE_API[[#This Row],[RESIDENTIAL_SINGLEFAMILY_GAL]:[OTHER_GAL]])</f>
        <v>316670146</v>
      </c>
      <c r="W2558">
        <f>SUM(POTABLE_NONPOTABLE_API[[#This Row],[NONPOTABLE_DEMAND_RESIDENTIAL_RECYCLED_WATER_GAL]:[NONPOTABLE_DEMAND_NONRESIDENTIAL_METERED_IRRIGATION_GAL]])</f>
        <v>11177416</v>
      </c>
      <c r="X2558" t="str">
        <f>IFERROR(INDEX(Crosswalk_API!$H$2:$H$527, MATCH(POTABLE_NONPOTABLE_API[[#This Row],[PWSID]], CW_PWSID_LIST, 0)), "")</f>
        <v>No</v>
      </c>
    </row>
    <row r="2559" spans="1:24" x14ac:dyDescent="0.25">
      <c r="A2559" t="s">
        <v>1474</v>
      </c>
      <c r="B2559" t="s">
        <v>1475</v>
      </c>
      <c r="C2559" t="s">
        <v>1476</v>
      </c>
      <c r="D2559" t="s">
        <v>1477</v>
      </c>
      <c r="E2559" s="9">
        <v>45139</v>
      </c>
      <c r="F2559" s="9">
        <v>45169</v>
      </c>
      <c r="G2559">
        <v>278057780</v>
      </c>
      <c r="H2559">
        <v>29685128</v>
      </c>
      <c r="I2559">
        <v>44902440</v>
      </c>
      <c r="J2559">
        <v>0</v>
      </c>
      <c r="K2559">
        <v>0</v>
      </c>
      <c r="L2559">
        <v>0</v>
      </c>
      <c r="M2559">
        <v>0</v>
      </c>
      <c r="N2559">
        <v>0</v>
      </c>
      <c r="O2559">
        <v>0</v>
      </c>
      <c r="P2559">
        <v>0</v>
      </c>
      <c r="Q2559">
        <v>0</v>
      </c>
      <c r="R2559">
        <v>0</v>
      </c>
      <c r="S2559">
        <v>7901843</v>
      </c>
      <c r="T2559" s="9">
        <v>45108</v>
      </c>
      <c r="U2559" s="9">
        <v>45473</v>
      </c>
      <c r="V2559">
        <f>SUM(POTABLE_NONPOTABLE_API[[#This Row],[RESIDENTIAL_SINGLEFAMILY_GAL]:[OTHER_GAL]])</f>
        <v>352645348</v>
      </c>
      <c r="W2559">
        <f>SUM(POTABLE_NONPOTABLE_API[[#This Row],[NONPOTABLE_DEMAND_RESIDENTIAL_RECYCLED_WATER_GAL]:[NONPOTABLE_DEMAND_NONRESIDENTIAL_METERED_IRRIGATION_GAL]])</f>
        <v>7901843</v>
      </c>
      <c r="X2559" t="str">
        <f>IFERROR(INDEX(Crosswalk_API!$H$2:$H$527, MATCH(POTABLE_NONPOTABLE_API[[#This Row],[PWSID]], CW_PWSID_LIST, 0)), "")</f>
        <v>No</v>
      </c>
    </row>
    <row r="2560" spans="1:24" x14ac:dyDescent="0.25">
      <c r="A2560" t="s">
        <v>1474</v>
      </c>
      <c r="B2560" t="s">
        <v>1475</v>
      </c>
      <c r="C2560" t="s">
        <v>1476</v>
      </c>
      <c r="D2560" t="s">
        <v>1477</v>
      </c>
      <c r="E2560" s="9">
        <v>45170</v>
      </c>
      <c r="F2560" s="9">
        <v>45199</v>
      </c>
      <c r="G2560">
        <v>364041876</v>
      </c>
      <c r="H2560">
        <v>39013436</v>
      </c>
      <c r="I2560">
        <v>76888416</v>
      </c>
      <c r="J2560">
        <v>0</v>
      </c>
      <c r="K2560">
        <v>0</v>
      </c>
      <c r="L2560">
        <v>0</v>
      </c>
      <c r="M2560">
        <v>0</v>
      </c>
      <c r="N2560">
        <v>0</v>
      </c>
      <c r="O2560">
        <v>0</v>
      </c>
      <c r="P2560">
        <v>0</v>
      </c>
      <c r="Q2560">
        <v>9639276</v>
      </c>
      <c r="R2560">
        <v>0</v>
      </c>
      <c r="S2560">
        <v>0</v>
      </c>
      <c r="T2560" s="9">
        <v>45108</v>
      </c>
      <c r="U2560" s="9">
        <v>45473</v>
      </c>
      <c r="V2560">
        <f>SUM(POTABLE_NONPOTABLE_API[[#This Row],[RESIDENTIAL_SINGLEFAMILY_GAL]:[OTHER_GAL]])</f>
        <v>479943728</v>
      </c>
      <c r="W2560">
        <f>SUM(POTABLE_NONPOTABLE_API[[#This Row],[NONPOTABLE_DEMAND_RESIDENTIAL_RECYCLED_WATER_GAL]:[NONPOTABLE_DEMAND_NONRESIDENTIAL_METERED_IRRIGATION_GAL]])</f>
        <v>9639276</v>
      </c>
      <c r="X2560" t="str">
        <f>IFERROR(INDEX(Crosswalk_API!$H$2:$H$527, MATCH(POTABLE_NONPOTABLE_API[[#This Row],[PWSID]], CW_PWSID_LIST, 0)), "")</f>
        <v>No</v>
      </c>
    </row>
    <row r="2561" spans="1:24" x14ac:dyDescent="0.25">
      <c r="A2561" t="s">
        <v>1474</v>
      </c>
      <c r="B2561" t="s">
        <v>1475</v>
      </c>
      <c r="C2561" t="s">
        <v>1476</v>
      </c>
      <c r="D2561" t="s">
        <v>1477</v>
      </c>
      <c r="E2561" s="9">
        <v>45200</v>
      </c>
      <c r="F2561" s="9">
        <v>45230</v>
      </c>
      <c r="G2561">
        <v>254803956</v>
      </c>
      <c r="H2561">
        <v>8219482</v>
      </c>
      <c r="I2561">
        <v>41969532</v>
      </c>
      <c r="J2561">
        <v>0</v>
      </c>
      <c r="K2561">
        <v>0</v>
      </c>
      <c r="L2561">
        <v>0</v>
      </c>
      <c r="M2561">
        <v>0</v>
      </c>
      <c r="N2561">
        <v>0</v>
      </c>
      <c r="O2561">
        <v>0</v>
      </c>
      <c r="P2561">
        <v>0</v>
      </c>
      <c r="Q2561">
        <v>13125825</v>
      </c>
      <c r="R2561">
        <v>0</v>
      </c>
      <c r="S2561">
        <v>0</v>
      </c>
      <c r="T2561" s="9">
        <v>45108</v>
      </c>
      <c r="U2561" s="9">
        <v>45473</v>
      </c>
      <c r="V2561">
        <f>SUM(POTABLE_NONPOTABLE_API[[#This Row],[RESIDENTIAL_SINGLEFAMILY_GAL]:[OTHER_GAL]])</f>
        <v>304992970</v>
      </c>
      <c r="W2561">
        <f>SUM(POTABLE_NONPOTABLE_API[[#This Row],[NONPOTABLE_DEMAND_RESIDENTIAL_RECYCLED_WATER_GAL]:[NONPOTABLE_DEMAND_NONRESIDENTIAL_METERED_IRRIGATION_GAL]])</f>
        <v>13125825</v>
      </c>
      <c r="X2561" t="str">
        <f>IFERROR(INDEX(Crosswalk_API!$H$2:$H$527, MATCH(POTABLE_NONPOTABLE_API[[#This Row],[PWSID]], CW_PWSID_LIST, 0)), "")</f>
        <v>No</v>
      </c>
    </row>
    <row r="2562" spans="1:24" x14ac:dyDescent="0.25">
      <c r="A2562" t="s">
        <v>1474</v>
      </c>
      <c r="B2562" t="s">
        <v>1475</v>
      </c>
      <c r="C2562" t="s">
        <v>1476</v>
      </c>
      <c r="D2562" t="s">
        <v>1477</v>
      </c>
      <c r="E2562" s="9">
        <v>45231</v>
      </c>
      <c r="F2562" s="9">
        <v>45260</v>
      </c>
      <c r="G2562">
        <v>275974332</v>
      </c>
      <c r="H2562">
        <v>31283604</v>
      </c>
      <c r="I2562">
        <v>52134104</v>
      </c>
      <c r="J2562">
        <v>0</v>
      </c>
      <c r="K2562">
        <v>0</v>
      </c>
      <c r="L2562">
        <v>0</v>
      </c>
      <c r="M2562">
        <v>0</v>
      </c>
      <c r="N2562">
        <v>0</v>
      </c>
      <c r="O2562">
        <v>0</v>
      </c>
      <c r="P2562">
        <v>0</v>
      </c>
      <c r="Q2562">
        <v>0</v>
      </c>
      <c r="R2562">
        <v>0</v>
      </c>
      <c r="S2562">
        <v>10868996</v>
      </c>
      <c r="T2562" s="9">
        <v>45108</v>
      </c>
      <c r="U2562" s="9">
        <v>45473</v>
      </c>
      <c r="V2562">
        <f>SUM(POTABLE_NONPOTABLE_API[[#This Row],[RESIDENTIAL_SINGLEFAMILY_GAL]:[OTHER_GAL]])</f>
        <v>359392040</v>
      </c>
      <c r="W2562">
        <f>SUM(POTABLE_NONPOTABLE_API[[#This Row],[NONPOTABLE_DEMAND_RESIDENTIAL_RECYCLED_WATER_GAL]:[NONPOTABLE_DEMAND_NONRESIDENTIAL_METERED_IRRIGATION_GAL]])</f>
        <v>10868996</v>
      </c>
      <c r="X2562" t="str">
        <f>IFERROR(INDEX(Crosswalk_API!$H$2:$H$527, MATCH(POTABLE_NONPOTABLE_API[[#This Row],[PWSID]], CW_PWSID_LIST, 0)), "")</f>
        <v>No</v>
      </c>
    </row>
    <row r="2563" spans="1:24" x14ac:dyDescent="0.25">
      <c r="A2563" t="s">
        <v>1474</v>
      </c>
      <c r="B2563" t="s">
        <v>1475</v>
      </c>
      <c r="C2563" t="s">
        <v>1476</v>
      </c>
      <c r="D2563" t="s">
        <v>1477</v>
      </c>
      <c r="E2563" s="9">
        <v>45261</v>
      </c>
      <c r="F2563" s="9">
        <v>45291</v>
      </c>
      <c r="G2563">
        <v>199633720</v>
      </c>
      <c r="H2563">
        <v>6439797</v>
      </c>
      <c r="I2563">
        <v>28340972</v>
      </c>
      <c r="J2563">
        <v>0</v>
      </c>
      <c r="K2563">
        <v>0</v>
      </c>
      <c r="L2563">
        <v>0</v>
      </c>
      <c r="M2563">
        <v>0</v>
      </c>
      <c r="N2563">
        <v>0</v>
      </c>
      <c r="O2563">
        <v>0</v>
      </c>
      <c r="P2563">
        <v>0</v>
      </c>
      <c r="Q2563">
        <v>3322078</v>
      </c>
      <c r="R2563">
        <v>0</v>
      </c>
      <c r="T2563" s="9">
        <v>45108</v>
      </c>
      <c r="U2563" s="9">
        <v>45473</v>
      </c>
      <c r="V2563">
        <f>SUM(POTABLE_NONPOTABLE_API[[#This Row],[RESIDENTIAL_SINGLEFAMILY_GAL]:[OTHER_GAL]])</f>
        <v>234414489</v>
      </c>
      <c r="W2563">
        <f>SUM(POTABLE_NONPOTABLE_API[[#This Row],[NONPOTABLE_DEMAND_RESIDENTIAL_RECYCLED_WATER_GAL]:[NONPOTABLE_DEMAND_NONRESIDENTIAL_METERED_IRRIGATION_GAL]])</f>
        <v>3322078</v>
      </c>
      <c r="X2563" t="str">
        <f>IFERROR(INDEX(Crosswalk_API!$H$2:$H$527, MATCH(POTABLE_NONPOTABLE_API[[#This Row],[PWSID]], CW_PWSID_LIST, 0)), "")</f>
        <v>No</v>
      </c>
    </row>
    <row r="2564" spans="1:24" x14ac:dyDescent="0.25">
      <c r="A2564" t="s">
        <v>1474</v>
      </c>
      <c r="B2564" t="s">
        <v>1475</v>
      </c>
      <c r="C2564" t="s">
        <v>1476</v>
      </c>
      <c r="D2564" t="s">
        <v>1477</v>
      </c>
      <c r="E2564" s="9">
        <v>45292</v>
      </c>
      <c r="F2564" s="9">
        <v>45322</v>
      </c>
      <c r="G2564">
        <v>236065808</v>
      </c>
      <c r="H2564">
        <v>31008340</v>
      </c>
      <c r="I2564">
        <v>41816940</v>
      </c>
      <c r="J2564">
        <v>0</v>
      </c>
      <c r="K2564">
        <v>0</v>
      </c>
      <c r="L2564">
        <v>0</v>
      </c>
      <c r="M2564">
        <v>0</v>
      </c>
      <c r="N2564">
        <v>0</v>
      </c>
      <c r="O2564">
        <v>0</v>
      </c>
      <c r="P2564">
        <v>0</v>
      </c>
      <c r="Q2564">
        <v>0</v>
      </c>
      <c r="R2564">
        <v>0</v>
      </c>
      <c r="S2564">
        <v>1874320</v>
      </c>
      <c r="T2564" s="9">
        <v>45108</v>
      </c>
      <c r="U2564" s="9">
        <v>45473</v>
      </c>
      <c r="V2564">
        <f>SUM(POTABLE_NONPOTABLE_API[[#This Row],[RESIDENTIAL_SINGLEFAMILY_GAL]:[OTHER_GAL]])</f>
        <v>308891088</v>
      </c>
      <c r="W2564">
        <f>SUM(POTABLE_NONPOTABLE_API[[#This Row],[NONPOTABLE_DEMAND_RESIDENTIAL_RECYCLED_WATER_GAL]:[NONPOTABLE_DEMAND_NONRESIDENTIAL_METERED_IRRIGATION_GAL]])</f>
        <v>1874320</v>
      </c>
      <c r="X2564" t="str">
        <f>IFERROR(INDEX(Crosswalk_API!$H$2:$H$527, MATCH(POTABLE_NONPOTABLE_API[[#This Row],[PWSID]], CW_PWSID_LIST, 0)), "")</f>
        <v>No</v>
      </c>
    </row>
    <row r="2565" spans="1:24" x14ac:dyDescent="0.25">
      <c r="A2565" t="s">
        <v>1474</v>
      </c>
      <c r="B2565" t="s">
        <v>1475</v>
      </c>
      <c r="C2565" t="s">
        <v>1476</v>
      </c>
      <c r="D2565" t="s">
        <v>1477</v>
      </c>
      <c r="E2565" s="9">
        <v>45323</v>
      </c>
      <c r="F2565" s="9">
        <v>45351</v>
      </c>
      <c r="G2565">
        <v>149074156</v>
      </c>
      <c r="H2565">
        <v>19373200</v>
      </c>
      <c r="I2565">
        <v>18506268</v>
      </c>
      <c r="J2565">
        <v>0</v>
      </c>
      <c r="K2565">
        <v>0</v>
      </c>
      <c r="L2565">
        <v>0</v>
      </c>
      <c r="M2565">
        <v>0</v>
      </c>
      <c r="N2565">
        <v>0</v>
      </c>
      <c r="O2565">
        <v>0</v>
      </c>
      <c r="P2565">
        <v>0</v>
      </c>
      <c r="Q2565">
        <v>0</v>
      </c>
      <c r="R2565">
        <v>0</v>
      </c>
      <c r="S2565">
        <v>12480928</v>
      </c>
      <c r="T2565" s="9">
        <v>45108</v>
      </c>
      <c r="U2565" s="9">
        <v>45473</v>
      </c>
      <c r="V2565">
        <f>SUM(POTABLE_NONPOTABLE_API[[#This Row],[RESIDENTIAL_SINGLEFAMILY_GAL]:[OTHER_GAL]])</f>
        <v>186953624</v>
      </c>
      <c r="W2565">
        <f>SUM(POTABLE_NONPOTABLE_API[[#This Row],[NONPOTABLE_DEMAND_RESIDENTIAL_RECYCLED_WATER_GAL]:[NONPOTABLE_DEMAND_NONRESIDENTIAL_METERED_IRRIGATION_GAL]])</f>
        <v>12480928</v>
      </c>
      <c r="X2565" t="str">
        <f>IFERROR(INDEX(Crosswalk_API!$H$2:$H$527, MATCH(POTABLE_NONPOTABLE_API[[#This Row],[PWSID]], CW_PWSID_LIST, 0)), "")</f>
        <v>No</v>
      </c>
    </row>
    <row r="2566" spans="1:24" x14ac:dyDescent="0.25">
      <c r="A2566" t="s">
        <v>1474</v>
      </c>
      <c r="B2566" t="s">
        <v>1475</v>
      </c>
      <c r="C2566" t="s">
        <v>1476</v>
      </c>
      <c r="D2566" t="s">
        <v>1477</v>
      </c>
      <c r="E2566" s="9">
        <v>45352</v>
      </c>
      <c r="F2566" s="9">
        <v>45382</v>
      </c>
      <c r="G2566">
        <v>159526008</v>
      </c>
      <c r="H2566">
        <v>64336322</v>
      </c>
      <c r="I2566">
        <v>35035572</v>
      </c>
      <c r="J2566">
        <v>0</v>
      </c>
      <c r="K2566">
        <v>0</v>
      </c>
      <c r="L2566">
        <v>0</v>
      </c>
      <c r="M2566">
        <v>0</v>
      </c>
      <c r="N2566">
        <v>0</v>
      </c>
      <c r="O2566">
        <v>0</v>
      </c>
      <c r="P2566">
        <v>0</v>
      </c>
      <c r="Q2566">
        <v>0</v>
      </c>
      <c r="R2566">
        <v>0</v>
      </c>
      <c r="S2566">
        <v>12976439</v>
      </c>
      <c r="T2566" s="9">
        <v>45108</v>
      </c>
      <c r="U2566" s="9">
        <v>45473</v>
      </c>
      <c r="V2566">
        <f>SUM(POTABLE_NONPOTABLE_API[[#This Row],[RESIDENTIAL_SINGLEFAMILY_GAL]:[OTHER_GAL]])</f>
        <v>258897902</v>
      </c>
      <c r="W2566">
        <f>SUM(POTABLE_NONPOTABLE_API[[#This Row],[NONPOTABLE_DEMAND_RESIDENTIAL_RECYCLED_WATER_GAL]:[NONPOTABLE_DEMAND_NONRESIDENTIAL_METERED_IRRIGATION_GAL]])</f>
        <v>12976439</v>
      </c>
      <c r="X2566" t="str">
        <f>IFERROR(INDEX(Crosswalk_API!$H$2:$H$527, MATCH(POTABLE_NONPOTABLE_API[[#This Row],[PWSID]], CW_PWSID_LIST, 0)), "")</f>
        <v>No</v>
      </c>
    </row>
    <row r="2567" spans="1:24" x14ac:dyDescent="0.25">
      <c r="A2567" t="s">
        <v>1474</v>
      </c>
      <c r="B2567" t="s">
        <v>1475</v>
      </c>
      <c r="C2567" t="s">
        <v>1476</v>
      </c>
      <c r="D2567" t="s">
        <v>1477</v>
      </c>
      <c r="E2567" s="9">
        <v>45383</v>
      </c>
      <c r="F2567" s="9">
        <v>45412</v>
      </c>
      <c r="G2567">
        <v>139861788</v>
      </c>
      <c r="H2567">
        <v>18075420</v>
      </c>
      <c r="I2567">
        <v>20430872</v>
      </c>
      <c r="J2567">
        <v>0</v>
      </c>
      <c r="K2567">
        <v>0</v>
      </c>
      <c r="L2567">
        <v>0</v>
      </c>
      <c r="M2567">
        <v>0</v>
      </c>
      <c r="N2567">
        <v>0</v>
      </c>
      <c r="O2567">
        <v>0</v>
      </c>
      <c r="P2567">
        <v>0</v>
      </c>
      <c r="Q2567">
        <v>0</v>
      </c>
      <c r="R2567">
        <v>0</v>
      </c>
      <c r="S2567">
        <v>11513308</v>
      </c>
      <c r="T2567" s="9">
        <v>45108</v>
      </c>
      <c r="U2567" s="9">
        <v>45473</v>
      </c>
      <c r="V2567">
        <f>SUM(POTABLE_NONPOTABLE_API[[#This Row],[RESIDENTIAL_SINGLEFAMILY_GAL]:[OTHER_GAL]])</f>
        <v>178368080</v>
      </c>
      <c r="W2567">
        <f>SUM(POTABLE_NONPOTABLE_API[[#This Row],[NONPOTABLE_DEMAND_RESIDENTIAL_RECYCLED_WATER_GAL]:[NONPOTABLE_DEMAND_NONRESIDENTIAL_METERED_IRRIGATION_GAL]])</f>
        <v>11513308</v>
      </c>
      <c r="X2567" t="str">
        <f>IFERROR(INDEX(Crosswalk_API!$H$2:$H$527, MATCH(POTABLE_NONPOTABLE_API[[#This Row],[PWSID]], CW_PWSID_LIST, 0)), "")</f>
        <v>No</v>
      </c>
    </row>
    <row r="2568" spans="1:24" x14ac:dyDescent="0.25">
      <c r="A2568" t="s">
        <v>1474</v>
      </c>
      <c r="B2568" t="s">
        <v>1475</v>
      </c>
      <c r="C2568" t="s">
        <v>1476</v>
      </c>
      <c r="D2568" t="s">
        <v>1477</v>
      </c>
      <c r="E2568" s="9">
        <v>45413</v>
      </c>
      <c r="F2568" s="9">
        <v>45443</v>
      </c>
      <c r="G2568">
        <v>233666972</v>
      </c>
      <c r="H2568">
        <v>27901896</v>
      </c>
      <c r="I2568">
        <v>43465532</v>
      </c>
      <c r="J2568">
        <v>0</v>
      </c>
      <c r="K2568">
        <v>0</v>
      </c>
      <c r="L2568">
        <v>0</v>
      </c>
      <c r="M2568">
        <v>0</v>
      </c>
      <c r="N2568">
        <v>0</v>
      </c>
      <c r="O2568">
        <v>0</v>
      </c>
      <c r="P2568">
        <v>0</v>
      </c>
      <c r="Q2568">
        <v>0</v>
      </c>
      <c r="R2568">
        <v>0</v>
      </c>
      <c r="S2568">
        <v>11479123</v>
      </c>
      <c r="T2568" s="9">
        <v>45108</v>
      </c>
      <c r="U2568" s="9">
        <v>45473</v>
      </c>
      <c r="V2568">
        <f>SUM(POTABLE_NONPOTABLE_API[[#This Row],[RESIDENTIAL_SINGLEFAMILY_GAL]:[OTHER_GAL]])</f>
        <v>305034400</v>
      </c>
      <c r="W2568">
        <f>SUM(POTABLE_NONPOTABLE_API[[#This Row],[NONPOTABLE_DEMAND_RESIDENTIAL_RECYCLED_WATER_GAL]:[NONPOTABLE_DEMAND_NONRESIDENTIAL_METERED_IRRIGATION_GAL]])</f>
        <v>11479123</v>
      </c>
      <c r="X2568" t="str">
        <f>IFERROR(INDEX(Crosswalk_API!$H$2:$H$527, MATCH(POTABLE_NONPOTABLE_API[[#This Row],[PWSID]], CW_PWSID_LIST, 0)), "")</f>
        <v>No</v>
      </c>
    </row>
    <row r="2569" spans="1:24" x14ac:dyDescent="0.25">
      <c r="A2569" t="s">
        <v>1474</v>
      </c>
      <c r="B2569" t="s">
        <v>1475</v>
      </c>
      <c r="C2569" t="s">
        <v>1476</v>
      </c>
      <c r="D2569" t="s">
        <v>1477</v>
      </c>
      <c r="E2569" s="9">
        <v>45444</v>
      </c>
      <c r="F2569" s="9">
        <v>45473</v>
      </c>
      <c r="G2569">
        <v>231523952</v>
      </c>
      <c r="H2569">
        <v>26647500</v>
      </c>
      <c r="I2569">
        <v>36419372</v>
      </c>
      <c r="J2569">
        <v>0</v>
      </c>
      <c r="K2569">
        <v>0</v>
      </c>
      <c r="L2569">
        <v>0</v>
      </c>
      <c r="M2569">
        <v>0</v>
      </c>
      <c r="N2569">
        <v>0</v>
      </c>
      <c r="O2569">
        <v>0</v>
      </c>
      <c r="P2569">
        <v>0</v>
      </c>
      <c r="Q2569">
        <v>0</v>
      </c>
      <c r="R2569">
        <v>0</v>
      </c>
      <c r="S2569">
        <v>10702238</v>
      </c>
      <c r="T2569" s="9">
        <v>45108</v>
      </c>
      <c r="U2569" s="9">
        <v>45473</v>
      </c>
      <c r="V2569">
        <f>SUM(POTABLE_NONPOTABLE_API[[#This Row],[RESIDENTIAL_SINGLEFAMILY_GAL]:[OTHER_GAL]])</f>
        <v>294590824</v>
      </c>
      <c r="W2569">
        <f>SUM(POTABLE_NONPOTABLE_API[[#This Row],[NONPOTABLE_DEMAND_RESIDENTIAL_RECYCLED_WATER_GAL]:[NONPOTABLE_DEMAND_NONRESIDENTIAL_METERED_IRRIGATION_GAL]])</f>
        <v>10702238</v>
      </c>
      <c r="X2569" t="str">
        <f>IFERROR(INDEX(Crosswalk_API!$H$2:$H$527, MATCH(POTABLE_NONPOTABLE_API[[#This Row],[PWSID]], CW_PWSID_LIST, 0)), "")</f>
        <v>No</v>
      </c>
    </row>
    <row r="2570" spans="1:24" x14ac:dyDescent="0.25">
      <c r="A2570" t="s">
        <v>1478</v>
      </c>
      <c r="B2570" t="s">
        <v>1479</v>
      </c>
      <c r="C2570" t="s">
        <v>1480</v>
      </c>
      <c r="D2570" t="s">
        <v>1481</v>
      </c>
      <c r="E2570" s="9">
        <v>45108</v>
      </c>
      <c r="F2570" s="9">
        <v>45138</v>
      </c>
      <c r="G2570">
        <v>63827693.879999995</v>
      </c>
      <c r="H2570">
        <v>7256701.7699999996</v>
      </c>
      <c r="I2570">
        <v>9045623.7599999998</v>
      </c>
      <c r="J2570">
        <v>7644464.46</v>
      </c>
      <c r="K2570">
        <v>0</v>
      </c>
      <c r="L2570">
        <v>0</v>
      </c>
      <c r="M2570">
        <v>0</v>
      </c>
      <c r="T2570" s="9">
        <v>45108</v>
      </c>
      <c r="U2570" s="9">
        <v>45473</v>
      </c>
      <c r="V2570">
        <f>SUM(POTABLE_NONPOTABLE_API[[#This Row],[RESIDENTIAL_SINGLEFAMILY_GAL]:[OTHER_GAL]])</f>
        <v>87774483.86999999</v>
      </c>
      <c r="W2570">
        <f>SUM(POTABLE_NONPOTABLE_API[[#This Row],[NONPOTABLE_DEMAND_RESIDENTIAL_RECYCLED_WATER_GAL]:[NONPOTABLE_DEMAND_NONRESIDENTIAL_METERED_IRRIGATION_GAL]])</f>
        <v>0</v>
      </c>
      <c r="X2570" t="str">
        <f>IFERROR(INDEX(Crosswalk_API!$H$2:$H$527, MATCH(POTABLE_NONPOTABLE_API[[#This Row],[PWSID]], CW_PWSID_LIST, 0)), "")</f>
        <v>No</v>
      </c>
    </row>
    <row r="2571" spans="1:24" x14ac:dyDescent="0.25">
      <c r="A2571" t="s">
        <v>1478</v>
      </c>
      <c r="B2571" t="s">
        <v>1479</v>
      </c>
      <c r="C2571" t="s">
        <v>1480</v>
      </c>
      <c r="D2571" t="s">
        <v>1481</v>
      </c>
      <c r="E2571" s="9">
        <v>45139</v>
      </c>
      <c r="F2571" s="9">
        <v>45169</v>
      </c>
      <c r="G2571">
        <v>60461653.050000004</v>
      </c>
      <c r="H2571">
        <v>6976469.9100000001</v>
      </c>
      <c r="I2571">
        <v>9094501.4100000001</v>
      </c>
      <c r="J2571">
        <v>8152792.0199999996</v>
      </c>
      <c r="K2571">
        <v>0</v>
      </c>
      <c r="L2571">
        <v>0</v>
      </c>
      <c r="M2571">
        <v>0</v>
      </c>
      <c r="T2571" s="9">
        <v>45108</v>
      </c>
      <c r="U2571" s="9">
        <v>45473</v>
      </c>
      <c r="V2571">
        <f>SUM(POTABLE_NONPOTABLE_API[[#This Row],[RESIDENTIAL_SINGLEFAMILY_GAL]:[OTHER_GAL]])</f>
        <v>84685416.390000001</v>
      </c>
      <c r="W2571">
        <f>SUM(POTABLE_NONPOTABLE_API[[#This Row],[NONPOTABLE_DEMAND_RESIDENTIAL_RECYCLED_WATER_GAL]:[NONPOTABLE_DEMAND_NONRESIDENTIAL_METERED_IRRIGATION_GAL]])</f>
        <v>0</v>
      </c>
      <c r="X2571" t="str">
        <f>IFERROR(INDEX(Crosswalk_API!$H$2:$H$527, MATCH(POTABLE_NONPOTABLE_API[[#This Row],[PWSID]], CW_PWSID_LIST, 0)), "")</f>
        <v>No</v>
      </c>
    </row>
    <row r="2572" spans="1:24" x14ac:dyDescent="0.25">
      <c r="A2572" t="s">
        <v>1478</v>
      </c>
      <c r="B2572" t="s">
        <v>1479</v>
      </c>
      <c r="C2572" t="s">
        <v>1480</v>
      </c>
      <c r="D2572" t="s">
        <v>1481</v>
      </c>
      <c r="E2572" s="9">
        <v>45170</v>
      </c>
      <c r="F2572" s="9">
        <v>45199</v>
      </c>
      <c r="G2572">
        <v>54032612.82</v>
      </c>
      <c r="H2572">
        <v>6810285.8999999994</v>
      </c>
      <c r="I2572">
        <v>8312459.0100000007</v>
      </c>
      <c r="J2572">
        <v>7406593.2300000004</v>
      </c>
      <c r="K2572">
        <v>0</v>
      </c>
      <c r="L2572">
        <v>0</v>
      </c>
      <c r="M2572">
        <v>0</v>
      </c>
      <c r="T2572" s="9">
        <v>45108</v>
      </c>
      <c r="U2572" s="9">
        <v>45473</v>
      </c>
      <c r="V2572">
        <f>SUM(POTABLE_NONPOTABLE_API[[#This Row],[RESIDENTIAL_SINGLEFAMILY_GAL]:[OTHER_GAL]])</f>
        <v>76561950.960000008</v>
      </c>
      <c r="W2572">
        <f>SUM(POTABLE_NONPOTABLE_API[[#This Row],[NONPOTABLE_DEMAND_RESIDENTIAL_RECYCLED_WATER_GAL]:[NONPOTABLE_DEMAND_NONRESIDENTIAL_METERED_IRRIGATION_GAL]])</f>
        <v>0</v>
      </c>
      <c r="X2572" t="str">
        <f>IFERROR(INDEX(Crosswalk_API!$H$2:$H$527, MATCH(POTABLE_NONPOTABLE_API[[#This Row],[PWSID]], CW_PWSID_LIST, 0)), "")</f>
        <v>No</v>
      </c>
    </row>
    <row r="2573" spans="1:24" x14ac:dyDescent="0.25">
      <c r="A2573" t="s">
        <v>1478</v>
      </c>
      <c r="B2573" t="s">
        <v>1479</v>
      </c>
      <c r="C2573" t="s">
        <v>1480</v>
      </c>
      <c r="D2573" t="s">
        <v>1481</v>
      </c>
      <c r="E2573" s="9">
        <v>45200</v>
      </c>
      <c r="F2573" s="9">
        <v>45230</v>
      </c>
      <c r="G2573">
        <v>49953610.001999997</v>
      </c>
      <c r="H2573">
        <v>6036063.9240000006</v>
      </c>
      <c r="I2573">
        <v>8432046.3269999996</v>
      </c>
      <c r="J2573">
        <v>4615679.415</v>
      </c>
      <c r="K2573">
        <v>0</v>
      </c>
      <c r="L2573">
        <v>0</v>
      </c>
      <c r="M2573">
        <v>0</v>
      </c>
      <c r="T2573" s="9">
        <v>45108</v>
      </c>
      <c r="U2573" s="9">
        <v>45473</v>
      </c>
      <c r="V2573">
        <f>SUM(POTABLE_NONPOTABLE_API[[#This Row],[RESIDENTIAL_SINGLEFAMILY_GAL]:[OTHER_GAL]])</f>
        <v>69037399.667999998</v>
      </c>
      <c r="W2573">
        <f>SUM(POTABLE_NONPOTABLE_API[[#This Row],[NONPOTABLE_DEMAND_RESIDENTIAL_RECYCLED_WATER_GAL]:[NONPOTABLE_DEMAND_NONRESIDENTIAL_METERED_IRRIGATION_GAL]])</f>
        <v>0</v>
      </c>
      <c r="X2573" t="str">
        <f>IFERROR(INDEX(Crosswalk_API!$H$2:$H$527, MATCH(POTABLE_NONPOTABLE_API[[#This Row],[PWSID]], CW_PWSID_LIST, 0)), "")</f>
        <v>No</v>
      </c>
    </row>
    <row r="2574" spans="1:24" x14ac:dyDescent="0.25">
      <c r="A2574" t="s">
        <v>1478</v>
      </c>
      <c r="B2574" t="s">
        <v>1479</v>
      </c>
      <c r="C2574" t="s">
        <v>1480</v>
      </c>
      <c r="D2574" t="s">
        <v>1481</v>
      </c>
      <c r="E2574" s="9">
        <v>45231</v>
      </c>
      <c r="F2574" s="9">
        <v>45260</v>
      </c>
      <c r="G2574">
        <v>45123846.479999997</v>
      </c>
      <c r="H2574">
        <v>5603007.9450000003</v>
      </c>
      <c r="I2574">
        <v>7574732.3459999999</v>
      </c>
      <c r="J2574">
        <v>4292761.074</v>
      </c>
      <c r="K2574">
        <v>0</v>
      </c>
      <c r="L2574">
        <v>0</v>
      </c>
      <c r="M2574">
        <v>0</v>
      </c>
      <c r="T2574" s="9">
        <v>45108</v>
      </c>
      <c r="U2574" s="9">
        <v>45473</v>
      </c>
      <c r="V2574">
        <f>SUM(POTABLE_NONPOTABLE_API[[#This Row],[RESIDENTIAL_SINGLEFAMILY_GAL]:[OTHER_GAL]])</f>
        <v>62594347.844999999</v>
      </c>
      <c r="W2574">
        <f>SUM(POTABLE_NONPOTABLE_API[[#This Row],[NONPOTABLE_DEMAND_RESIDENTIAL_RECYCLED_WATER_GAL]:[NONPOTABLE_DEMAND_NONRESIDENTIAL_METERED_IRRIGATION_GAL]])</f>
        <v>0</v>
      </c>
      <c r="X2574" t="str">
        <f>IFERROR(INDEX(Crosswalk_API!$H$2:$H$527, MATCH(POTABLE_NONPOTABLE_API[[#This Row],[PWSID]], CW_PWSID_LIST, 0)), "")</f>
        <v>No</v>
      </c>
    </row>
    <row r="2575" spans="1:24" x14ac:dyDescent="0.25">
      <c r="A2575" t="s">
        <v>1478</v>
      </c>
      <c r="B2575" t="s">
        <v>1479</v>
      </c>
      <c r="C2575" t="s">
        <v>1480</v>
      </c>
      <c r="D2575" t="s">
        <v>1481</v>
      </c>
      <c r="E2575" s="9">
        <v>45261</v>
      </c>
      <c r="F2575" s="9">
        <v>45291</v>
      </c>
      <c r="G2575">
        <v>42109398.879000001</v>
      </c>
      <c r="H2575">
        <v>5788743.0150000006</v>
      </c>
      <c r="I2575">
        <v>7304927.7179999994</v>
      </c>
      <c r="J2575">
        <v>2958336.0587999998</v>
      </c>
      <c r="K2575">
        <v>0</v>
      </c>
      <c r="L2575">
        <v>0</v>
      </c>
      <c r="M2575">
        <v>0</v>
      </c>
      <c r="T2575" s="9">
        <v>45108</v>
      </c>
      <c r="U2575" s="9">
        <v>45473</v>
      </c>
      <c r="V2575">
        <f>SUM(POTABLE_NONPOTABLE_API[[#This Row],[RESIDENTIAL_SINGLEFAMILY_GAL]:[OTHER_GAL]])</f>
        <v>58161405.6708</v>
      </c>
      <c r="W2575">
        <f>SUM(POTABLE_NONPOTABLE_API[[#This Row],[NONPOTABLE_DEMAND_RESIDENTIAL_RECYCLED_WATER_GAL]:[NONPOTABLE_DEMAND_NONRESIDENTIAL_METERED_IRRIGATION_GAL]])</f>
        <v>0</v>
      </c>
      <c r="X2575" t="str">
        <f>IFERROR(INDEX(Crosswalk_API!$H$2:$H$527, MATCH(POTABLE_NONPOTABLE_API[[#This Row],[PWSID]], CW_PWSID_LIST, 0)), "")</f>
        <v>No</v>
      </c>
    </row>
    <row r="2576" spans="1:24" x14ac:dyDescent="0.25">
      <c r="A2576" t="s">
        <v>1478</v>
      </c>
      <c r="B2576" t="s">
        <v>1479</v>
      </c>
      <c r="C2576" t="s">
        <v>1480</v>
      </c>
      <c r="D2576" t="s">
        <v>1481</v>
      </c>
      <c r="E2576" s="9">
        <v>45292</v>
      </c>
      <c r="F2576" s="9">
        <v>45322</v>
      </c>
      <c r="G2576">
        <v>40409108.361000001</v>
      </c>
      <c r="H2576">
        <v>5556737.1030000001</v>
      </c>
      <c r="I2576">
        <v>7444717.7970000003</v>
      </c>
      <c r="J2576">
        <v>1404743.6610000001</v>
      </c>
      <c r="K2576">
        <v>0</v>
      </c>
      <c r="L2576">
        <v>0</v>
      </c>
      <c r="M2576">
        <v>0</v>
      </c>
      <c r="T2576" s="9">
        <v>45108</v>
      </c>
      <c r="U2576" s="9">
        <v>45473</v>
      </c>
      <c r="V2576">
        <f>SUM(POTABLE_NONPOTABLE_API[[#This Row],[RESIDENTIAL_SINGLEFAMILY_GAL]:[OTHER_GAL]])</f>
        <v>54815306.921999998</v>
      </c>
      <c r="W2576">
        <f>SUM(POTABLE_NONPOTABLE_API[[#This Row],[NONPOTABLE_DEMAND_RESIDENTIAL_RECYCLED_WATER_GAL]:[NONPOTABLE_DEMAND_NONRESIDENTIAL_METERED_IRRIGATION_GAL]])</f>
        <v>0</v>
      </c>
      <c r="X2576" t="str">
        <f>IFERROR(INDEX(Crosswalk_API!$H$2:$H$527, MATCH(POTABLE_NONPOTABLE_API[[#This Row],[PWSID]], CW_PWSID_LIST, 0)), "")</f>
        <v>No</v>
      </c>
    </row>
    <row r="2577" spans="1:24" x14ac:dyDescent="0.25">
      <c r="A2577" t="s">
        <v>1478</v>
      </c>
      <c r="B2577" t="s">
        <v>1479</v>
      </c>
      <c r="C2577" t="s">
        <v>1480</v>
      </c>
      <c r="D2577" t="s">
        <v>1481</v>
      </c>
      <c r="E2577" s="9">
        <v>45323</v>
      </c>
      <c r="F2577" s="9">
        <v>45351</v>
      </c>
      <c r="G2577">
        <v>37837492.269000001</v>
      </c>
      <c r="H2577">
        <v>5638199.8530000001</v>
      </c>
      <c r="I2577">
        <v>6999279.4800000004</v>
      </c>
      <c r="J2577">
        <v>1176322.1099999999</v>
      </c>
      <c r="K2577">
        <v>0</v>
      </c>
      <c r="L2577">
        <v>0</v>
      </c>
      <c r="M2577">
        <v>0</v>
      </c>
      <c r="T2577" s="9">
        <v>45108</v>
      </c>
      <c r="U2577" s="9">
        <v>45473</v>
      </c>
      <c r="V2577">
        <f>SUM(POTABLE_NONPOTABLE_API[[#This Row],[RESIDENTIAL_SINGLEFAMILY_GAL]:[OTHER_GAL]])</f>
        <v>51651293.711999997</v>
      </c>
      <c r="W2577">
        <f>SUM(POTABLE_NONPOTABLE_API[[#This Row],[NONPOTABLE_DEMAND_RESIDENTIAL_RECYCLED_WATER_GAL]:[NONPOTABLE_DEMAND_NONRESIDENTIAL_METERED_IRRIGATION_GAL]])</f>
        <v>0</v>
      </c>
      <c r="X2577" t="str">
        <f>IFERROR(INDEX(Crosswalk_API!$H$2:$H$527, MATCH(POTABLE_NONPOTABLE_API[[#This Row],[PWSID]], CW_PWSID_LIST, 0)), "")</f>
        <v>No</v>
      </c>
    </row>
    <row r="2578" spans="1:24" x14ac:dyDescent="0.25">
      <c r="A2578" t="s">
        <v>1478</v>
      </c>
      <c r="B2578" t="s">
        <v>1479</v>
      </c>
      <c r="C2578" t="s">
        <v>1480</v>
      </c>
      <c r="D2578" t="s">
        <v>1481</v>
      </c>
      <c r="E2578" s="9">
        <v>45352</v>
      </c>
      <c r="F2578" s="9">
        <v>45382</v>
      </c>
      <c r="G2578">
        <v>39216167.850000001</v>
      </c>
      <c r="H2578">
        <v>5653514.8500000006</v>
      </c>
      <c r="I2578">
        <v>7608620.8500000006</v>
      </c>
      <c r="J2578">
        <v>961260.45000000007</v>
      </c>
      <c r="K2578">
        <v>0</v>
      </c>
      <c r="L2578">
        <v>0</v>
      </c>
      <c r="M2578">
        <v>0</v>
      </c>
      <c r="T2578" s="9">
        <v>45108</v>
      </c>
      <c r="U2578" s="9">
        <v>45473</v>
      </c>
      <c r="V2578">
        <f>SUM(POTABLE_NONPOTABLE_API[[#This Row],[RESIDENTIAL_SINGLEFAMILY_GAL]:[OTHER_GAL]])</f>
        <v>53439564.000000007</v>
      </c>
      <c r="W2578">
        <f>SUM(POTABLE_NONPOTABLE_API[[#This Row],[NONPOTABLE_DEMAND_RESIDENTIAL_RECYCLED_WATER_GAL]:[NONPOTABLE_DEMAND_NONRESIDENTIAL_METERED_IRRIGATION_GAL]])</f>
        <v>0</v>
      </c>
      <c r="X2578" t="str">
        <f>IFERROR(INDEX(Crosswalk_API!$H$2:$H$527, MATCH(POTABLE_NONPOTABLE_API[[#This Row],[PWSID]], CW_PWSID_LIST, 0)), "")</f>
        <v>No</v>
      </c>
    </row>
    <row r="2579" spans="1:24" x14ac:dyDescent="0.25">
      <c r="A2579" t="s">
        <v>1478</v>
      </c>
      <c r="B2579" t="s">
        <v>1479</v>
      </c>
      <c r="C2579" t="s">
        <v>1480</v>
      </c>
      <c r="D2579" t="s">
        <v>1481</v>
      </c>
      <c r="E2579" s="9">
        <v>45383</v>
      </c>
      <c r="F2579" s="9">
        <v>45412</v>
      </c>
      <c r="G2579">
        <v>40620585.659999996</v>
      </c>
      <c r="H2579">
        <v>5321146.8299999991</v>
      </c>
      <c r="I2579">
        <v>6885231.6299999999</v>
      </c>
      <c r="J2579">
        <v>1603186.92</v>
      </c>
      <c r="K2579">
        <v>0</v>
      </c>
      <c r="L2579">
        <v>0</v>
      </c>
      <c r="M2579">
        <v>0</v>
      </c>
      <c r="T2579" s="9">
        <v>45108</v>
      </c>
      <c r="U2579" s="9">
        <v>45473</v>
      </c>
      <c r="V2579">
        <f>SUM(POTABLE_NONPOTABLE_API[[#This Row],[RESIDENTIAL_SINGLEFAMILY_GAL]:[OTHER_GAL]])</f>
        <v>54430151.039999999</v>
      </c>
      <c r="W2579">
        <f>SUM(POTABLE_NONPOTABLE_API[[#This Row],[NONPOTABLE_DEMAND_RESIDENTIAL_RECYCLED_WATER_GAL]:[NONPOTABLE_DEMAND_NONRESIDENTIAL_METERED_IRRIGATION_GAL]])</f>
        <v>0</v>
      </c>
      <c r="X2579" t="str">
        <f>IFERROR(INDEX(Crosswalk_API!$H$2:$H$527, MATCH(POTABLE_NONPOTABLE_API[[#This Row],[PWSID]], CW_PWSID_LIST, 0)), "")</f>
        <v>No</v>
      </c>
    </row>
    <row r="2580" spans="1:24" x14ac:dyDescent="0.25">
      <c r="A2580" t="s">
        <v>1478</v>
      </c>
      <c r="B2580" t="s">
        <v>1479</v>
      </c>
      <c r="C2580" t="s">
        <v>1480</v>
      </c>
      <c r="D2580" t="s">
        <v>1481</v>
      </c>
      <c r="E2580" s="9">
        <v>45413</v>
      </c>
      <c r="F2580" s="9">
        <v>45443</v>
      </c>
      <c r="G2580">
        <v>47771711.706</v>
      </c>
      <c r="H2580">
        <v>5677301.9729999993</v>
      </c>
      <c r="I2580">
        <v>7300365.8039999995</v>
      </c>
      <c r="J2580">
        <v>4607533.1400000006</v>
      </c>
      <c r="K2580">
        <v>0</v>
      </c>
      <c r="L2580">
        <v>0</v>
      </c>
      <c r="M2580">
        <v>0</v>
      </c>
      <c r="T2580" s="9">
        <v>45108</v>
      </c>
      <c r="U2580" s="9">
        <v>45473</v>
      </c>
      <c r="V2580">
        <f>SUM(POTABLE_NONPOTABLE_API[[#This Row],[RESIDENTIAL_SINGLEFAMILY_GAL]:[OTHER_GAL]])</f>
        <v>65356912.622999996</v>
      </c>
      <c r="W2580">
        <f>SUM(POTABLE_NONPOTABLE_API[[#This Row],[NONPOTABLE_DEMAND_RESIDENTIAL_RECYCLED_WATER_GAL]:[NONPOTABLE_DEMAND_NONRESIDENTIAL_METERED_IRRIGATION_GAL]])</f>
        <v>0</v>
      </c>
      <c r="X2580" t="str">
        <f>IFERROR(INDEX(Crosswalk_API!$H$2:$H$527, MATCH(POTABLE_NONPOTABLE_API[[#This Row],[PWSID]], CW_PWSID_LIST, 0)), "")</f>
        <v>No</v>
      </c>
    </row>
    <row r="2581" spans="1:24" x14ac:dyDescent="0.25">
      <c r="A2581" t="s">
        <v>1478</v>
      </c>
      <c r="B2581" t="s">
        <v>1479</v>
      </c>
      <c r="C2581" t="s">
        <v>1480</v>
      </c>
      <c r="D2581" t="s">
        <v>1481</v>
      </c>
      <c r="E2581" s="9">
        <v>45444</v>
      </c>
      <c r="F2581" s="9">
        <v>45473</v>
      </c>
      <c r="G2581">
        <v>60370414.770000003</v>
      </c>
      <c r="H2581">
        <v>6777700.7999999998</v>
      </c>
      <c r="I2581">
        <v>8670895.1099999994</v>
      </c>
      <c r="J2581">
        <v>7057932.6600000001</v>
      </c>
      <c r="K2581">
        <v>0</v>
      </c>
      <c r="L2581">
        <v>0</v>
      </c>
      <c r="M2581">
        <v>0</v>
      </c>
      <c r="T2581" s="9">
        <v>45108</v>
      </c>
      <c r="U2581" s="9">
        <v>45473</v>
      </c>
      <c r="V2581">
        <f>SUM(POTABLE_NONPOTABLE_API[[#This Row],[RESIDENTIAL_SINGLEFAMILY_GAL]:[OTHER_GAL]])</f>
        <v>82876943.340000004</v>
      </c>
      <c r="W2581">
        <f>SUM(POTABLE_NONPOTABLE_API[[#This Row],[NONPOTABLE_DEMAND_RESIDENTIAL_RECYCLED_WATER_GAL]:[NONPOTABLE_DEMAND_NONRESIDENTIAL_METERED_IRRIGATION_GAL]])</f>
        <v>0</v>
      </c>
      <c r="X2581" t="str">
        <f>IFERROR(INDEX(Crosswalk_API!$H$2:$H$527, MATCH(POTABLE_NONPOTABLE_API[[#This Row],[PWSID]], CW_PWSID_LIST, 0)), "")</f>
        <v>No</v>
      </c>
    </row>
    <row r="2582" spans="1:24" x14ac:dyDescent="0.25">
      <c r="A2582" t="s">
        <v>1482</v>
      </c>
      <c r="B2582" t="s">
        <v>1483</v>
      </c>
      <c r="C2582" t="s">
        <v>1484</v>
      </c>
      <c r="D2582" t="s">
        <v>1485</v>
      </c>
      <c r="E2582" s="9">
        <v>45108</v>
      </c>
      <c r="F2582" s="9">
        <v>45138</v>
      </c>
      <c r="G2582">
        <v>88344193.148000002</v>
      </c>
      <c r="H2582">
        <v>0</v>
      </c>
      <c r="I2582">
        <v>2266597.56</v>
      </c>
      <c r="J2582">
        <v>6961371.9120000005</v>
      </c>
      <c r="K2582">
        <v>0</v>
      </c>
      <c r="L2582">
        <v>0</v>
      </c>
      <c r="M2582">
        <v>0</v>
      </c>
      <c r="T2582" s="9">
        <v>45108</v>
      </c>
      <c r="U2582" s="9">
        <v>45473</v>
      </c>
      <c r="V2582">
        <f>SUM(POTABLE_NONPOTABLE_API[[#This Row],[RESIDENTIAL_SINGLEFAMILY_GAL]:[OTHER_GAL]])</f>
        <v>97572162.620000005</v>
      </c>
      <c r="W2582">
        <f>SUM(POTABLE_NONPOTABLE_API[[#This Row],[NONPOTABLE_DEMAND_RESIDENTIAL_RECYCLED_WATER_GAL]:[NONPOTABLE_DEMAND_NONRESIDENTIAL_METERED_IRRIGATION_GAL]])</f>
        <v>0</v>
      </c>
      <c r="X2582" t="str">
        <f>IFERROR(INDEX(Crosswalk_API!$H$2:$H$527, MATCH(POTABLE_NONPOTABLE_API[[#This Row],[PWSID]], CW_PWSID_LIST, 0)), "")</f>
        <v>No</v>
      </c>
    </row>
    <row r="2583" spans="1:24" x14ac:dyDescent="0.25">
      <c r="A2583" t="s">
        <v>1482</v>
      </c>
      <c r="B2583" t="s">
        <v>1483</v>
      </c>
      <c r="C2583" t="s">
        <v>1484</v>
      </c>
      <c r="D2583" t="s">
        <v>1485</v>
      </c>
      <c r="E2583" s="9">
        <v>45139</v>
      </c>
      <c r="F2583" s="9">
        <v>45169</v>
      </c>
      <c r="G2583">
        <v>110651103.788</v>
      </c>
      <c r="H2583">
        <v>0</v>
      </c>
      <c r="I2583">
        <v>1933714.4200000002</v>
      </c>
      <c r="J2583">
        <v>1754181.94</v>
      </c>
      <c r="K2583">
        <v>0</v>
      </c>
      <c r="L2583">
        <v>0</v>
      </c>
      <c r="M2583">
        <v>0</v>
      </c>
      <c r="T2583" s="9">
        <v>45108</v>
      </c>
      <c r="U2583" s="9">
        <v>45473</v>
      </c>
      <c r="V2583">
        <f>SUM(POTABLE_NONPOTABLE_API[[#This Row],[RESIDENTIAL_SINGLEFAMILY_GAL]:[OTHER_GAL]])</f>
        <v>114339000.148</v>
      </c>
      <c r="W2583">
        <f>SUM(POTABLE_NONPOTABLE_API[[#This Row],[NONPOTABLE_DEMAND_RESIDENTIAL_RECYCLED_WATER_GAL]:[NONPOTABLE_DEMAND_NONRESIDENTIAL_METERED_IRRIGATION_GAL]])</f>
        <v>0</v>
      </c>
      <c r="X2583" t="str">
        <f>IFERROR(INDEX(Crosswalk_API!$H$2:$H$527, MATCH(POTABLE_NONPOTABLE_API[[#This Row],[PWSID]], CW_PWSID_LIST, 0)), "")</f>
        <v>No</v>
      </c>
    </row>
    <row r="2584" spans="1:24" x14ac:dyDescent="0.25">
      <c r="A2584" t="s">
        <v>1482</v>
      </c>
      <c r="B2584" t="s">
        <v>1483</v>
      </c>
      <c r="C2584" t="s">
        <v>1484</v>
      </c>
      <c r="D2584" t="s">
        <v>1485</v>
      </c>
      <c r="E2584" s="9">
        <v>45170</v>
      </c>
      <c r="F2584" s="9">
        <v>45199</v>
      </c>
      <c r="G2584">
        <v>81818187.5</v>
      </c>
      <c r="H2584">
        <v>0</v>
      </c>
      <c r="I2584">
        <v>1558940.368</v>
      </c>
      <c r="J2584">
        <v>1340509.1840000001</v>
      </c>
      <c r="K2584">
        <v>0</v>
      </c>
      <c r="L2584">
        <v>0</v>
      </c>
      <c r="M2584">
        <v>0</v>
      </c>
      <c r="T2584" s="9">
        <v>45108</v>
      </c>
      <c r="U2584" s="9">
        <v>45473</v>
      </c>
      <c r="V2584">
        <f>SUM(POTABLE_NONPOTABLE_API[[#This Row],[RESIDENTIAL_SINGLEFAMILY_GAL]:[OTHER_GAL]])</f>
        <v>84717637.052000001</v>
      </c>
      <c r="W2584">
        <f>SUM(POTABLE_NONPOTABLE_API[[#This Row],[NONPOTABLE_DEMAND_RESIDENTIAL_RECYCLED_WATER_GAL]:[NONPOTABLE_DEMAND_NONRESIDENTIAL_METERED_IRRIGATION_GAL]])</f>
        <v>0</v>
      </c>
      <c r="X2584" t="str">
        <f>IFERROR(INDEX(Crosswalk_API!$H$2:$H$527, MATCH(POTABLE_NONPOTABLE_API[[#This Row],[PWSID]], CW_PWSID_LIST, 0)), "")</f>
        <v>No</v>
      </c>
    </row>
    <row r="2585" spans="1:24" x14ac:dyDescent="0.25">
      <c r="A2585" t="s">
        <v>1482</v>
      </c>
      <c r="B2585" t="s">
        <v>1483</v>
      </c>
      <c r="C2585" t="s">
        <v>1484</v>
      </c>
      <c r="D2585" t="s">
        <v>1485</v>
      </c>
      <c r="E2585" s="9">
        <v>45200</v>
      </c>
      <c r="F2585" s="9">
        <v>45230</v>
      </c>
      <c r="G2585">
        <v>78013595.027999997</v>
      </c>
      <c r="H2585">
        <v>0</v>
      </c>
      <c r="I2585">
        <v>857267.59200000006</v>
      </c>
      <c r="J2585">
        <v>739075.37600000005</v>
      </c>
      <c r="K2585">
        <v>0</v>
      </c>
      <c r="L2585">
        <v>0</v>
      </c>
      <c r="M2585">
        <v>0</v>
      </c>
      <c r="T2585" s="9">
        <v>45108</v>
      </c>
      <c r="U2585" s="9">
        <v>45473</v>
      </c>
      <c r="V2585">
        <f>SUM(POTABLE_NONPOTABLE_API[[#This Row],[RESIDENTIAL_SINGLEFAMILY_GAL]:[OTHER_GAL]])</f>
        <v>79609937.995999992</v>
      </c>
      <c r="W2585">
        <f>SUM(POTABLE_NONPOTABLE_API[[#This Row],[NONPOTABLE_DEMAND_RESIDENTIAL_RECYCLED_WATER_GAL]:[NONPOTABLE_DEMAND_NONRESIDENTIAL_METERED_IRRIGATION_GAL]])</f>
        <v>0</v>
      </c>
      <c r="X2585" t="str">
        <f>IFERROR(INDEX(Crosswalk_API!$H$2:$H$527, MATCH(POTABLE_NONPOTABLE_API[[#This Row],[PWSID]], CW_PWSID_LIST, 0)), "")</f>
        <v>No</v>
      </c>
    </row>
    <row r="2586" spans="1:24" x14ac:dyDescent="0.25">
      <c r="A2586" t="s">
        <v>1482</v>
      </c>
      <c r="B2586" t="s">
        <v>1483</v>
      </c>
      <c r="C2586" t="s">
        <v>1484</v>
      </c>
      <c r="D2586" t="s">
        <v>1485</v>
      </c>
      <c r="E2586" s="9">
        <v>45231</v>
      </c>
      <c r="F2586" s="9">
        <v>45260</v>
      </c>
      <c r="G2586">
        <v>41130891.167999998</v>
      </c>
      <c r="H2586">
        <v>0</v>
      </c>
      <c r="I2586">
        <v>616394.848</v>
      </c>
      <c r="J2586">
        <v>204966.24799999999</v>
      </c>
      <c r="K2586">
        <v>0</v>
      </c>
      <c r="L2586">
        <v>0</v>
      </c>
      <c r="M2586">
        <v>0</v>
      </c>
      <c r="T2586" s="9">
        <v>45108</v>
      </c>
      <c r="U2586" s="9">
        <v>45473</v>
      </c>
      <c r="V2586">
        <f>SUM(POTABLE_NONPOTABLE_API[[#This Row],[RESIDENTIAL_SINGLEFAMILY_GAL]:[OTHER_GAL]])</f>
        <v>41952252.263999999</v>
      </c>
      <c r="W2586">
        <f>SUM(POTABLE_NONPOTABLE_API[[#This Row],[NONPOTABLE_DEMAND_RESIDENTIAL_RECYCLED_WATER_GAL]:[NONPOTABLE_DEMAND_NONRESIDENTIAL_METERED_IRRIGATION_GAL]])</f>
        <v>0</v>
      </c>
      <c r="X2586" t="str">
        <f>IFERROR(INDEX(Crosswalk_API!$H$2:$H$527, MATCH(POTABLE_NONPOTABLE_API[[#This Row],[PWSID]], CW_PWSID_LIST, 0)), "")</f>
        <v>No</v>
      </c>
    </row>
    <row r="2587" spans="1:24" x14ac:dyDescent="0.25">
      <c r="A2587" t="s">
        <v>1482</v>
      </c>
      <c r="B2587" t="s">
        <v>1483</v>
      </c>
      <c r="C2587" t="s">
        <v>1484</v>
      </c>
      <c r="D2587" t="s">
        <v>1485</v>
      </c>
      <c r="E2587" s="9">
        <v>45261</v>
      </c>
      <c r="F2587" s="9">
        <v>45291</v>
      </c>
      <c r="G2587">
        <v>29215918.912</v>
      </c>
      <c r="H2587">
        <v>0</v>
      </c>
      <c r="I2587">
        <v>401703.924</v>
      </c>
      <c r="J2587">
        <v>116696.11200000001</v>
      </c>
      <c r="K2587">
        <v>0</v>
      </c>
      <c r="L2587">
        <v>0</v>
      </c>
      <c r="M2587">
        <v>0</v>
      </c>
      <c r="T2587" s="9">
        <v>45108</v>
      </c>
      <c r="U2587" s="9">
        <v>45473</v>
      </c>
      <c r="V2587">
        <f>SUM(POTABLE_NONPOTABLE_API[[#This Row],[RESIDENTIAL_SINGLEFAMILY_GAL]:[OTHER_GAL]])</f>
        <v>29734318.947999999</v>
      </c>
      <c r="W2587">
        <f>SUM(POTABLE_NONPOTABLE_API[[#This Row],[NONPOTABLE_DEMAND_RESIDENTIAL_RECYCLED_WATER_GAL]:[NONPOTABLE_DEMAND_NONRESIDENTIAL_METERED_IRRIGATION_GAL]])</f>
        <v>0</v>
      </c>
      <c r="X2587" t="str">
        <f>IFERROR(INDEX(Crosswalk_API!$H$2:$H$527, MATCH(POTABLE_NONPOTABLE_API[[#This Row],[PWSID]], CW_PWSID_LIST, 0)), "")</f>
        <v>No</v>
      </c>
    </row>
    <row r="2588" spans="1:24" x14ac:dyDescent="0.25">
      <c r="A2588" t="s">
        <v>1482</v>
      </c>
      <c r="B2588" t="s">
        <v>1483</v>
      </c>
      <c r="C2588" t="s">
        <v>1484</v>
      </c>
      <c r="D2588" t="s">
        <v>1485</v>
      </c>
      <c r="E2588" s="9">
        <v>45292</v>
      </c>
      <c r="F2588" s="9">
        <v>45322</v>
      </c>
      <c r="G2588">
        <v>29215918.912</v>
      </c>
      <c r="H2588">
        <v>0</v>
      </c>
      <c r="I2588">
        <v>401703.924</v>
      </c>
      <c r="J2588">
        <v>173548.06400000001</v>
      </c>
      <c r="K2588">
        <v>0</v>
      </c>
      <c r="L2588">
        <v>0</v>
      </c>
      <c r="M2588">
        <v>0</v>
      </c>
      <c r="T2588" s="9">
        <v>45108</v>
      </c>
      <c r="U2588" s="9">
        <v>45473</v>
      </c>
      <c r="V2588">
        <f>SUM(POTABLE_NONPOTABLE_API[[#This Row],[RESIDENTIAL_SINGLEFAMILY_GAL]:[OTHER_GAL]])</f>
        <v>29791170.899999999</v>
      </c>
      <c r="W2588">
        <f>SUM(POTABLE_NONPOTABLE_API[[#This Row],[NONPOTABLE_DEMAND_RESIDENTIAL_RECYCLED_WATER_GAL]:[NONPOTABLE_DEMAND_NONRESIDENTIAL_METERED_IRRIGATION_GAL]])</f>
        <v>0</v>
      </c>
      <c r="X2588" t="str">
        <f>IFERROR(INDEX(Crosswalk_API!$H$2:$H$527, MATCH(POTABLE_NONPOTABLE_API[[#This Row],[PWSID]], CW_PWSID_LIST, 0)), "")</f>
        <v>No</v>
      </c>
    </row>
    <row r="2589" spans="1:24" x14ac:dyDescent="0.25">
      <c r="A2589" t="s">
        <v>1482</v>
      </c>
      <c r="B2589" t="s">
        <v>1483</v>
      </c>
      <c r="C2589" t="s">
        <v>1484</v>
      </c>
      <c r="D2589" t="s">
        <v>1485</v>
      </c>
      <c r="E2589" s="9">
        <v>45323</v>
      </c>
      <c r="F2589" s="9">
        <v>45351</v>
      </c>
      <c r="G2589">
        <v>19049144.18</v>
      </c>
      <c r="H2589">
        <v>0</v>
      </c>
      <c r="I2589">
        <v>477257.17600000004</v>
      </c>
      <c r="J2589">
        <v>173548.06400000001</v>
      </c>
      <c r="K2589">
        <v>0</v>
      </c>
      <c r="L2589">
        <v>0</v>
      </c>
      <c r="M2589">
        <v>0</v>
      </c>
      <c r="T2589" s="9">
        <v>45108</v>
      </c>
      <c r="U2589" s="9">
        <v>45473</v>
      </c>
      <c r="V2589">
        <f>SUM(POTABLE_NONPOTABLE_API[[#This Row],[RESIDENTIAL_SINGLEFAMILY_GAL]:[OTHER_GAL]])</f>
        <v>19699949.419999998</v>
      </c>
      <c r="W2589">
        <f>SUM(POTABLE_NONPOTABLE_API[[#This Row],[NONPOTABLE_DEMAND_RESIDENTIAL_RECYCLED_WATER_GAL]:[NONPOTABLE_DEMAND_NONRESIDENTIAL_METERED_IRRIGATION_GAL]])</f>
        <v>0</v>
      </c>
      <c r="X2589" t="str">
        <f>IFERROR(INDEX(Crosswalk_API!$H$2:$H$527, MATCH(POTABLE_NONPOTABLE_API[[#This Row],[PWSID]], CW_PWSID_LIST, 0)), "")</f>
        <v>No</v>
      </c>
    </row>
    <row r="2590" spans="1:24" x14ac:dyDescent="0.25">
      <c r="A2590" t="s">
        <v>1482</v>
      </c>
      <c r="B2590" t="s">
        <v>1483</v>
      </c>
      <c r="C2590" t="s">
        <v>1484</v>
      </c>
      <c r="D2590" t="s">
        <v>1485</v>
      </c>
      <c r="E2590" s="9">
        <v>45352</v>
      </c>
      <c r="F2590" s="9">
        <v>45382</v>
      </c>
      <c r="G2590">
        <v>23197840.572000001</v>
      </c>
      <c r="H2590">
        <v>0</v>
      </c>
      <c r="I2590">
        <v>201974.04</v>
      </c>
      <c r="J2590">
        <v>515407.82800000004</v>
      </c>
      <c r="K2590">
        <v>0</v>
      </c>
      <c r="L2590">
        <v>0</v>
      </c>
      <c r="M2590">
        <v>0</v>
      </c>
      <c r="T2590" s="9">
        <v>45108</v>
      </c>
      <c r="U2590" s="9">
        <v>45473</v>
      </c>
      <c r="V2590">
        <f>SUM(POTABLE_NONPOTABLE_API[[#This Row],[RESIDENTIAL_SINGLEFAMILY_GAL]:[OTHER_GAL]])</f>
        <v>23915222.440000001</v>
      </c>
      <c r="W2590">
        <f>SUM(POTABLE_NONPOTABLE_API[[#This Row],[NONPOTABLE_DEMAND_RESIDENTIAL_RECYCLED_WATER_GAL]:[NONPOTABLE_DEMAND_NONRESIDENTIAL_METERED_IRRIGATION_GAL]])</f>
        <v>0</v>
      </c>
      <c r="X2590" t="str">
        <f>IFERROR(INDEX(Crosswalk_API!$H$2:$H$527, MATCH(POTABLE_NONPOTABLE_API[[#This Row],[PWSID]], CW_PWSID_LIST, 0)), "")</f>
        <v>No</v>
      </c>
    </row>
    <row r="2591" spans="1:24" x14ac:dyDescent="0.25">
      <c r="A2591" t="s">
        <v>1482</v>
      </c>
      <c r="B2591" t="s">
        <v>1483</v>
      </c>
      <c r="C2591" t="s">
        <v>1484</v>
      </c>
      <c r="D2591" t="s">
        <v>1485</v>
      </c>
      <c r="E2591" s="9">
        <v>45383</v>
      </c>
      <c r="F2591" s="9">
        <v>45412</v>
      </c>
      <c r="G2591">
        <v>23197840.572000001</v>
      </c>
      <c r="H2591">
        <v>0</v>
      </c>
      <c r="I2591">
        <v>515407.82800000004</v>
      </c>
      <c r="J2591">
        <v>201974.04</v>
      </c>
      <c r="K2591">
        <v>0</v>
      </c>
      <c r="L2591">
        <v>0</v>
      </c>
      <c r="M2591">
        <v>0</v>
      </c>
      <c r="T2591" s="9">
        <v>45108</v>
      </c>
      <c r="U2591" s="9">
        <v>45473</v>
      </c>
      <c r="V2591">
        <f>SUM(POTABLE_NONPOTABLE_API[[#This Row],[RESIDENTIAL_SINGLEFAMILY_GAL]:[OTHER_GAL]])</f>
        <v>23915222.440000001</v>
      </c>
      <c r="W2591">
        <f>SUM(POTABLE_NONPOTABLE_API[[#This Row],[NONPOTABLE_DEMAND_RESIDENTIAL_RECYCLED_WATER_GAL]:[NONPOTABLE_DEMAND_NONRESIDENTIAL_METERED_IRRIGATION_GAL]])</f>
        <v>0</v>
      </c>
      <c r="X2591" t="str">
        <f>IFERROR(INDEX(Crosswalk_API!$H$2:$H$527, MATCH(POTABLE_NONPOTABLE_API[[#This Row],[PWSID]], CW_PWSID_LIST, 0)), "")</f>
        <v>No</v>
      </c>
    </row>
    <row r="2592" spans="1:24" x14ac:dyDescent="0.25">
      <c r="A2592" t="s">
        <v>1482</v>
      </c>
      <c r="B2592" t="s">
        <v>1483</v>
      </c>
      <c r="C2592" t="s">
        <v>1484</v>
      </c>
      <c r="D2592" t="s">
        <v>1485</v>
      </c>
      <c r="E2592" s="9">
        <v>45413</v>
      </c>
      <c r="F2592" s="9">
        <v>45443</v>
      </c>
      <c r="G2592">
        <v>48170808.539999999</v>
      </c>
      <c r="H2592">
        <v>0</v>
      </c>
      <c r="I2592">
        <v>1388384.5120000001</v>
      </c>
      <c r="J2592">
        <v>2272581.9760000003</v>
      </c>
      <c r="K2592">
        <v>0</v>
      </c>
      <c r="L2592">
        <v>0</v>
      </c>
      <c r="M2592">
        <v>0</v>
      </c>
      <c r="T2592" s="9">
        <v>45108</v>
      </c>
      <c r="U2592" s="9">
        <v>45473</v>
      </c>
      <c r="V2592">
        <f>SUM(POTABLE_NONPOTABLE_API[[#This Row],[RESIDENTIAL_SINGLEFAMILY_GAL]:[OTHER_GAL]])</f>
        <v>51831775.028000005</v>
      </c>
      <c r="W2592">
        <f>SUM(POTABLE_NONPOTABLE_API[[#This Row],[NONPOTABLE_DEMAND_RESIDENTIAL_RECYCLED_WATER_GAL]:[NONPOTABLE_DEMAND_NONRESIDENTIAL_METERED_IRRIGATION_GAL]])</f>
        <v>0</v>
      </c>
      <c r="X2592" t="str">
        <f>IFERROR(INDEX(Crosswalk_API!$H$2:$H$527, MATCH(POTABLE_NONPOTABLE_API[[#This Row],[PWSID]], CW_PWSID_LIST, 0)), "")</f>
        <v>No</v>
      </c>
    </row>
    <row r="2593" spans="1:24" x14ac:dyDescent="0.25">
      <c r="A2593" t="s">
        <v>1482</v>
      </c>
      <c r="B2593" t="s">
        <v>1483</v>
      </c>
      <c r="C2593" t="s">
        <v>1484</v>
      </c>
      <c r="D2593" t="s">
        <v>1485</v>
      </c>
      <c r="E2593" s="9">
        <v>45444</v>
      </c>
      <c r="F2593" s="9">
        <v>45473</v>
      </c>
      <c r="G2593">
        <v>107311051.60800001</v>
      </c>
      <c r="H2593">
        <v>0</v>
      </c>
      <c r="I2593">
        <v>2283054.7039999999</v>
      </c>
      <c r="J2593">
        <v>4211532.76</v>
      </c>
      <c r="K2593">
        <v>0</v>
      </c>
      <c r="L2593">
        <v>0</v>
      </c>
      <c r="M2593">
        <v>0</v>
      </c>
      <c r="T2593" s="9">
        <v>45108</v>
      </c>
      <c r="U2593" s="9">
        <v>45473</v>
      </c>
      <c r="V2593">
        <f>SUM(POTABLE_NONPOTABLE_API[[#This Row],[RESIDENTIAL_SINGLEFAMILY_GAL]:[OTHER_GAL]])</f>
        <v>113805639.07200001</v>
      </c>
      <c r="W2593">
        <f>SUM(POTABLE_NONPOTABLE_API[[#This Row],[NONPOTABLE_DEMAND_RESIDENTIAL_RECYCLED_WATER_GAL]:[NONPOTABLE_DEMAND_NONRESIDENTIAL_METERED_IRRIGATION_GAL]])</f>
        <v>0</v>
      </c>
      <c r="X2593" t="str">
        <f>IFERROR(INDEX(Crosswalk_API!$H$2:$H$527, MATCH(POTABLE_NONPOTABLE_API[[#This Row],[PWSID]], CW_PWSID_LIST, 0)), "")</f>
        <v>No</v>
      </c>
    </row>
    <row r="2594" spans="1:24" x14ac:dyDescent="0.25">
      <c r="A2594" t="s">
        <v>1486</v>
      </c>
      <c r="B2594" t="s">
        <v>1487</v>
      </c>
      <c r="C2594" t="s">
        <v>1488</v>
      </c>
      <c r="D2594" t="s">
        <v>1489</v>
      </c>
      <c r="E2594" s="9">
        <v>45108</v>
      </c>
      <c r="F2594" s="9">
        <v>45138</v>
      </c>
      <c r="G2594">
        <v>61474450</v>
      </c>
      <c r="H2594">
        <v>8918276</v>
      </c>
      <c r="I2594">
        <v>14112764</v>
      </c>
      <c r="J2594">
        <v>14103952</v>
      </c>
      <c r="K2594">
        <v>7195048</v>
      </c>
      <c r="L2594">
        <v>355325</v>
      </c>
      <c r="M2594">
        <v>0</v>
      </c>
      <c r="T2594" s="9">
        <v>45108</v>
      </c>
      <c r="U2594" s="9">
        <v>45473</v>
      </c>
      <c r="V2594">
        <f>SUM(POTABLE_NONPOTABLE_API[[#This Row],[RESIDENTIAL_SINGLEFAMILY_GAL]:[OTHER_GAL]])</f>
        <v>106159815</v>
      </c>
      <c r="W2594">
        <f>SUM(POTABLE_NONPOTABLE_API[[#This Row],[NONPOTABLE_DEMAND_RESIDENTIAL_RECYCLED_WATER_GAL]:[NONPOTABLE_DEMAND_NONRESIDENTIAL_METERED_IRRIGATION_GAL]])</f>
        <v>0</v>
      </c>
      <c r="X2594" t="str">
        <f>IFERROR(INDEX(Crosswalk_API!$H$2:$H$527, MATCH(POTABLE_NONPOTABLE_API[[#This Row],[PWSID]], CW_PWSID_LIST, 0)), "")</f>
        <v>No</v>
      </c>
    </row>
    <row r="2595" spans="1:24" x14ac:dyDescent="0.25">
      <c r="A2595" t="s">
        <v>1486</v>
      </c>
      <c r="B2595" t="s">
        <v>1487</v>
      </c>
      <c r="C2595" t="s">
        <v>1488</v>
      </c>
      <c r="D2595" t="s">
        <v>1489</v>
      </c>
      <c r="E2595" s="9">
        <v>45139</v>
      </c>
      <c r="F2595" s="9">
        <v>45169</v>
      </c>
      <c r="G2595">
        <v>55204734</v>
      </c>
      <c r="H2595">
        <v>8275699</v>
      </c>
      <c r="I2595">
        <v>13519836</v>
      </c>
      <c r="J2595">
        <v>13568571</v>
      </c>
      <c r="K2595">
        <v>6380786</v>
      </c>
      <c r="L2595">
        <v>501195</v>
      </c>
      <c r="M2595">
        <v>0</v>
      </c>
      <c r="T2595" s="9">
        <v>45108</v>
      </c>
      <c r="U2595" s="9">
        <v>45473</v>
      </c>
      <c r="V2595">
        <f>SUM(POTABLE_NONPOTABLE_API[[#This Row],[RESIDENTIAL_SINGLEFAMILY_GAL]:[OTHER_GAL]])</f>
        <v>97450821</v>
      </c>
      <c r="W2595">
        <f>SUM(POTABLE_NONPOTABLE_API[[#This Row],[NONPOTABLE_DEMAND_RESIDENTIAL_RECYCLED_WATER_GAL]:[NONPOTABLE_DEMAND_NONRESIDENTIAL_METERED_IRRIGATION_GAL]])</f>
        <v>0</v>
      </c>
      <c r="X2595" t="str">
        <f>IFERROR(INDEX(Crosswalk_API!$H$2:$H$527, MATCH(POTABLE_NONPOTABLE_API[[#This Row],[PWSID]], CW_PWSID_LIST, 0)), "")</f>
        <v>No</v>
      </c>
    </row>
    <row r="2596" spans="1:24" x14ac:dyDescent="0.25">
      <c r="A2596" t="s">
        <v>1486</v>
      </c>
      <c r="B2596" t="s">
        <v>1487</v>
      </c>
      <c r="C2596" t="s">
        <v>1488</v>
      </c>
      <c r="D2596" t="s">
        <v>1489</v>
      </c>
      <c r="E2596" s="9">
        <v>45170</v>
      </c>
      <c r="F2596" s="9">
        <v>45199</v>
      </c>
      <c r="G2596">
        <v>50703555</v>
      </c>
      <c r="H2596">
        <v>7852302</v>
      </c>
      <c r="I2596">
        <v>13573905</v>
      </c>
      <c r="J2596">
        <v>11464256</v>
      </c>
      <c r="K2596">
        <v>6494475</v>
      </c>
      <c r="L2596">
        <v>662774</v>
      </c>
      <c r="M2596">
        <v>0</v>
      </c>
      <c r="T2596" s="9">
        <v>45108</v>
      </c>
      <c r="U2596" s="9">
        <v>45473</v>
      </c>
      <c r="V2596">
        <f>SUM(POTABLE_NONPOTABLE_API[[#This Row],[RESIDENTIAL_SINGLEFAMILY_GAL]:[OTHER_GAL]])</f>
        <v>90751267</v>
      </c>
      <c r="W2596">
        <f>SUM(POTABLE_NONPOTABLE_API[[#This Row],[NONPOTABLE_DEMAND_RESIDENTIAL_RECYCLED_WATER_GAL]:[NONPOTABLE_DEMAND_NONRESIDENTIAL_METERED_IRRIGATION_GAL]])</f>
        <v>0</v>
      </c>
      <c r="X2596" t="str">
        <f>IFERROR(INDEX(Crosswalk_API!$H$2:$H$527, MATCH(POTABLE_NONPOTABLE_API[[#This Row],[PWSID]], CW_PWSID_LIST, 0)), "")</f>
        <v>No</v>
      </c>
    </row>
    <row r="2597" spans="1:24" x14ac:dyDescent="0.25">
      <c r="A2597" t="s">
        <v>1486</v>
      </c>
      <c r="B2597" t="s">
        <v>1487</v>
      </c>
      <c r="C2597" t="s">
        <v>1488</v>
      </c>
      <c r="D2597" t="s">
        <v>1489</v>
      </c>
      <c r="E2597" s="9">
        <v>45200</v>
      </c>
      <c r="F2597" s="9">
        <v>45230</v>
      </c>
      <c r="G2597">
        <v>53119472</v>
      </c>
      <c r="H2597">
        <v>9077641</v>
      </c>
      <c r="I2597">
        <v>14149336</v>
      </c>
      <c r="J2597">
        <v>11041928</v>
      </c>
      <c r="K2597">
        <v>6867955</v>
      </c>
      <c r="L2597">
        <v>893922</v>
      </c>
      <c r="M2597">
        <v>0</v>
      </c>
      <c r="T2597" s="9">
        <v>45108</v>
      </c>
      <c r="U2597" s="9">
        <v>45473</v>
      </c>
      <c r="V2597">
        <f>SUM(POTABLE_NONPOTABLE_API[[#This Row],[RESIDENTIAL_SINGLEFAMILY_GAL]:[OTHER_GAL]])</f>
        <v>95150254</v>
      </c>
      <c r="W2597">
        <f>SUM(POTABLE_NONPOTABLE_API[[#This Row],[NONPOTABLE_DEMAND_RESIDENTIAL_RECYCLED_WATER_GAL]:[NONPOTABLE_DEMAND_NONRESIDENTIAL_METERED_IRRIGATION_GAL]])</f>
        <v>0</v>
      </c>
      <c r="X2597" t="str">
        <f>IFERROR(INDEX(Crosswalk_API!$H$2:$H$527, MATCH(POTABLE_NONPOTABLE_API[[#This Row],[PWSID]], CW_PWSID_LIST, 0)), "")</f>
        <v>No</v>
      </c>
    </row>
    <row r="2598" spans="1:24" x14ac:dyDescent="0.25">
      <c r="A2598" t="s">
        <v>1486</v>
      </c>
      <c r="B2598" t="s">
        <v>1487</v>
      </c>
      <c r="C2598" t="s">
        <v>1488</v>
      </c>
      <c r="D2598" t="s">
        <v>1489</v>
      </c>
      <c r="E2598" s="9">
        <v>45231</v>
      </c>
      <c r="F2598" s="9">
        <v>45260</v>
      </c>
      <c r="G2598">
        <v>42850513</v>
      </c>
      <c r="H2598">
        <v>7533639</v>
      </c>
      <c r="I2598">
        <v>12396531</v>
      </c>
      <c r="J2598">
        <v>6858732</v>
      </c>
      <c r="K2598">
        <v>4088134</v>
      </c>
      <c r="L2598">
        <v>385995</v>
      </c>
      <c r="M2598">
        <v>0</v>
      </c>
      <c r="T2598" s="9">
        <v>45108</v>
      </c>
      <c r="U2598" s="9">
        <v>45473</v>
      </c>
      <c r="V2598">
        <f>SUM(POTABLE_NONPOTABLE_API[[#This Row],[RESIDENTIAL_SINGLEFAMILY_GAL]:[OTHER_GAL]])</f>
        <v>74113544</v>
      </c>
      <c r="W2598">
        <f>SUM(POTABLE_NONPOTABLE_API[[#This Row],[NONPOTABLE_DEMAND_RESIDENTIAL_RECYCLED_WATER_GAL]:[NONPOTABLE_DEMAND_NONRESIDENTIAL_METERED_IRRIGATION_GAL]])</f>
        <v>0</v>
      </c>
      <c r="X2598" t="str">
        <f>IFERROR(INDEX(Crosswalk_API!$H$2:$H$527, MATCH(POTABLE_NONPOTABLE_API[[#This Row],[PWSID]], CW_PWSID_LIST, 0)), "")</f>
        <v>No</v>
      </c>
    </row>
    <row r="2599" spans="1:24" x14ac:dyDescent="0.25">
      <c r="A2599" t="s">
        <v>1486</v>
      </c>
      <c r="B2599" t="s">
        <v>1487</v>
      </c>
      <c r="C2599" t="s">
        <v>1488</v>
      </c>
      <c r="D2599" t="s">
        <v>1489</v>
      </c>
      <c r="E2599" s="9">
        <v>45261</v>
      </c>
      <c r="F2599" s="9">
        <v>45291</v>
      </c>
      <c r="G2599">
        <v>44306073</v>
      </c>
      <c r="H2599">
        <v>7974982</v>
      </c>
      <c r="I2599">
        <v>11718743</v>
      </c>
      <c r="J2599">
        <v>4343616</v>
      </c>
      <c r="K2599">
        <v>1691540</v>
      </c>
      <c r="L2599">
        <v>42639</v>
      </c>
      <c r="M2599">
        <v>0</v>
      </c>
      <c r="T2599" s="9">
        <v>45108</v>
      </c>
      <c r="U2599" s="9">
        <v>45473</v>
      </c>
      <c r="V2599">
        <f>SUM(POTABLE_NONPOTABLE_API[[#This Row],[RESIDENTIAL_SINGLEFAMILY_GAL]:[OTHER_GAL]])</f>
        <v>70077593</v>
      </c>
      <c r="W2599">
        <f>SUM(POTABLE_NONPOTABLE_API[[#This Row],[NONPOTABLE_DEMAND_RESIDENTIAL_RECYCLED_WATER_GAL]:[NONPOTABLE_DEMAND_NONRESIDENTIAL_METERED_IRRIGATION_GAL]])</f>
        <v>0</v>
      </c>
      <c r="X2599" t="str">
        <f>IFERROR(INDEX(Crosswalk_API!$H$2:$H$527, MATCH(POTABLE_NONPOTABLE_API[[#This Row],[PWSID]], CW_PWSID_LIST, 0)), "")</f>
        <v>No</v>
      </c>
    </row>
    <row r="2600" spans="1:24" x14ac:dyDescent="0.25">
      <c r="A2600" t="s">
        <v>1486</v>
      </c>
      <c r="B2600" t="s">
        <v>1487</v>
      </c>
      <c r="C2600" t="s">
        <v>1488</v>
      </c>
      <c r="D2600" t="s">
        <v>1489</v>
      </c>
      <c r="E2600" s="9">
        <v>45292</v>
      </c>
      <c r="F2600" s="9">
        <v>45322</v>
      </c>
      <c r="G2600">
        <v>34318987</v>
      </c>
      <c r="H2600">
        <v>5982172</v>
      </c>
      <c r="I2600">
        <v>9387664</v>
      </c>
      <c r="J2600">
        <v>1958004</v>
      </c>
      <c r="K2600">
        <v>1736199</v>
      </c>
      <c r="L2600">
        <v>476800</v>
      </c>
      <c r="M2600">
        <v>0</v>
      </c>
      <c r="T2600" s="9">
        <v>45108</v>
      </c>
      <c r="U2600" s="9">
        <v>45473</v>
      </c>
      <c r="V2600">
        <f>SUM(POTABLE_NONPOTABLE_API[[#This Row],[RESIDENTIAL_SINGLEFAMILY_GAL]:[OTHER_GAL]])</f>
        <v>53859826</v>
      </c>
      <c r="W2600">
        <f>SUM(POTABLE_NONPOTABLE_API[[#This Row],[NONPOTABLE_DEMAND_RESIDENTIAL_RECYCLED_WATER_GAL]:[NONPOTABLE_DEMAND_NONRESIDENTIAL_METERED_IRRIGATION_GAL]])</f>
        <v>0</v>
      </c>
      <c r="X2600" t="str">
        <f>IFERROR(INDEX(Crosswalk_API!$H$2:$H$527, MATCH(POTABLE_NONPOTABLE_API[[#This Row],[PWSID]], CW_PWSID_LIST, 0)), "")</f>
        <v>No</v>
      </c>
    </row>
    <row r="2601" spans="1:24" x14ac:dyDescent="0.25">
      <c r="A2601" t="s">
        <v>1486</v>
      </c>
      <c r="B2601" t="s">
        <v>1487</v>
      </c>
      <c r="C2601" t="s">
        <v>1488</v>
      </c>
      <c r="D2601" t="s">
        <v>1489</v>
      </c>
      <c r="E2601" s="9">
        <v>45323</v>
      </c>
      <c r="F2601" s="9">
        <v>45351</v>
      </c>
      <c r="G2601">
        <v>38549790</v>
      </c>
      <c r="H2601">
        <v>6391356</v>
      </c>
      <c r="I2601">
        <v>10767086</v>
      </c>
      <c r="J2601">
        <v>1575357</v>
      </c>
      <c r="K2601">
        <v>2667673</v>
      </c>
      <c r="L2601">
        <v>111235</v>
      </c>
      <c r="M2601">
        <v>0</v>
      </c>
      <c r="T2601" s="9">
        <v>45108</v>
      </c>
      <c r="U2601" s="9">
        <v>45473</v>
      </c>
      <c r="V2601">
        <f>SUM(POTABLE_NONPOTABLE_API[[#This Row],[RESIDENTIAL_SINGLEFAMILY_GAL]:[OTHER_GAL]])</f>
        <v>60062497</v>
      </c>
      <c r="W2601">
        <f>SUM(POTABLE_NONPOTABLE_API[[#This Row],[NONPOTABLE_DEMAND_RESIDENTIAL_RECYCLED_WATER_GAL]:[NONPOTABLE_DEMAND_NONRESIDENTIAL_METERED_IRRIGATION_GAL]])</f>
        <v>0</v>
      </c>
      <c r="X2601" t="str">
        <f>IFERROR(INDEX(Crosswalk_API!$H$2:$H$527, MATCH(POTABLE_NONPOTABLE_API[[#This Row],[PWSID]], CW_PWSID_LIST, 0)), "")</f>
        <v>No</v>
      </c>
    </row>
    <row r="2602" spans="1:24" x14ac:dyDescent="0.25">
      <c r="A2602" t="s">
        <v>1486</v>
      </c>
      <c r="B2602" t="s">
        <v>1487</v>
      </c>
      <c r="C2602" t="s">
        <v>1488</v>
      </c>
      <c r="D2602" t="s">
        <v>1489</v>
      </c>
      <c r="E2602" s="9">
        <v>45352</v>
      </c>
      <c r="F2602" s="9">
        <v>45382</v>
      </c>
      <c r="G2602">
        <v>35381490</v>
      </c>
      <c r="H2602">
        <v>5831814</v>
      </c>
      <c r="I2602">
        <v>11940054</v>
      </c>
      <c r="J2602">
        <v>1693679</v>
      </c>
      <c r="K2602">
        <v>2443220</v>
      </c>
      <c r="L2602">
        <v>1157408</v>
      </c>
      <c r="M2602">
        <v>0</v>
      </c>
      <c r="T2602" s="9">
        <v>45108</v>
      </c>
      <c r="U2602" s="9">
        <v>45473</v>
      </c>
      <c r="V2602">
        <f>SUM(POTABLE_NONPOTABLE_API[[#This Row],[RESIDENTIAL_SINGLEFAMILY_GAL]:[OTHER_GAL]])</f>
        <v>58447665</v>
      </c>
      <c r="W2602">
        <f>SUM(POTABLE_NONPOTABLE_API[[#This Row],[NONPOTABLE_DEMAND_RESIDENTIAL_RECYCLED_WATER_GAL]:[NONPOTABLE_DEMAND_NONRESIDENTIAL_METERED_IRRIGATION_GAL]])</f>
        <v>0</v>
      </c>
      <c r="X2602" t="str">
        <f>IFERROR(INDEX(Crosswalk_API!$H$2:$H$527, MATCH(POTABLE_NONPOTABLE_API[[#This Row],[PWSID]], CW_PWSID_LIST, 0)), "")</f>
        <v>No</v>
      </c>
    </row>
    <row r="2603" spans="1:24" x14ac:dyDescent="0.25">
      <c r="A2603" t="s">
        <v>1486</v>
      </c>
      <c r="B2603" t="s">
        <v>1487</v>
      </c>
      <c r="C2603" t="s">
        <v>1488</v>
      </c>
      <c r="D2603" t="s">
        <v>1489</v>
      </c>
      <c r="E2603" s="9">
        <v>45383</v>
      </c>
      <c r="F2603" s="9">
        <v>45412</v>
      </c>
      <c r="G2603">
        <v>39690143</v>
      </c>
      <c r="H2603">
        <v>6890307</v>
      </c>
      <c r="I2603">
        <v>10825898</v>
      </c>
      <c r="J2603">
        <v>3825486</v>
      </c>
      <c r="K2603">
        <v>4632798</v>
      </c>
      <c r="L2603">
        <v>1732025</v>
      </c>
      <c r="M2603">
        <v>0</v>
      </c>
      <c r="T2603" s="9">
        <v>45108</v>
      </c>
      <c r="U2603" s="9">
        <v>45473</v>
      </c>
      <c r="V2603">
        <f>SUM(POTABLE_NONPOTABLE_API[[#This Row],[RESIDENTIAL_SINGLEFAMILY_GAL]:[OTHER_GAL]])</f>
        <v>67596657</v>
      </c>
      <c r="W2603">
        <f>SUM(POTABLE_NONPOTABLE_API[[#This Row],[NONPOTABLE_DEMAND_RESIDENTIAL_RECYCLED_WATER_GAL]:[NONPOTABLE_DEMAND_NONRESIDENTIAL_METERED_IRRIGATION_GAL]])</f>
        <v>0</v>
      </c>
      <c r="X2603" t="str">
        <f>IFERROR(INDEX(Crosswalk_API!$H$2:$H$527, MATCH(POTABLE_NONPOTABLE_API[[#This Row],[PWSID]], CW_PWSID_LIST, 0)), "")</f>
        <v>No</v>
      </c>
    </row>
    <row r="2604" spans="1:24" x14ac:dyDescent="0.25">
      <c r="A2604" t="s">
        <v>1486</v>
      </c>
      <c r="B2604" t="s">
        <v>1487</v>
      </c>
      <c r="C2604" t="s">
        <v>1488</v>
      </c>
      <c r="D2604" t="s">
        <v>1489</v>
      </c>
      <c r="E2604" s="9">
        <v>45413</v>
      </c>
      <c r="F2604" s="9">
        <v>45443</v>
      </c>
      <c r="G2604">
        <v>50459451</v>
      </c>
      <c r="H2604">
        <v>8556989</v>
      </c>
      <c r="I2604">
        <v>12414963</v>
      </c>
      <c r="J2604">
        <v>6906839</v>
      </c>
      <c r="K2604">
        <v>4619992</v>
      </c>
      <c r="L2604">
        <v>492143</v>
      </c>
      <c r="M2604">
        <v>0</v>
      </c>
      <c r="T2604" s="9">
        <v>45108</v>
      </c>
      <c r="U2604" s="9">
        <v>45473</v>
      </c>
      <c r="V2604">
        <f>SUM(POTABLE_NONPOTABLE_API[[#This Row],[RESIDENTIAL_SINGLEFAMILY_GAL]:[OTHER_GAL]])</f>
        <v>83450377</v>
      </c>
      <c r="W2604">
        <f>SUM(POTABLE_NONPOTABLE_API[[#This Row],[NONPOTABLE_DEMAND_RESIDENTIAL_RECYCLED_WATER_GAL]:[NONPOTABLE_DEMAND_NONRESIDENTIAL_METERED_IRRIGATION_GAL]])</f>
        <v>0</v>
      </c>
      <c r="X2604" t="str">
        <f>IFERROR(INDEX(Crosswalk_API!$H$2:$H$527, MATCH(POTABLE_NONPOTABLE_API[[#This Row],[PWSID]], CW_PWSID_LIST, 0)), "")</f>
        <v>No</v>
      </c>
    </row>
    <row r="2605" spans="1:24" x14ac:dyDescent="0.25">
      <c r="A2605" t="s">
        <v>1486</v>
      </c>
      <c r="B2605" t="s">
        <v>1487</v>
      </c>
      <c r="C2605" t="s">
        <v>1488</v>
      </c>
      <c r="D2605" t="s">
        <v>1489</v>
      </c>
      <c r="E2605" s="9">
        <v>45444</v>
      </c>
      <c r="F2605" s="9">
        <v>45473</v>
      </c>
      <c r="G2605">
        <v>46134843</v>
      </c>
      <c r="H2605">
        <v>7378344</v>
      </c>
      <c r="I2605">
        <v>12620161</v>
      </c>
      <c r="J2605">
        <v>8516086</v>
      </c>
      <c r="K2605">
        <v>4015386</v>
      </c>
      <c r="L2605">
        <v>0</v>
      </c>
      <c r="M2605">
        <v>0</v>
      </c>
      <c r="T2605" s="9">
        <v>45108</v>
      </c>
      <c r="U2605" s="9">
        <v>45473</v>
      </c>
      <c r="V2605">
        <f>SUM(POTABLE_NONPOTABLE_API[[#This Row],[RESIDENTIAL_SINGLEFAMILY_GAL]:[OTHER_GAL]])</f>
        <v>78664820</v>
      </c>
      <c r="W2605">
        <f>SUM(POTABLE_NONPOTABLE_API[[#This Row],[NONPOTABLE_DEMAND_RESIDENTIAL_RECYCLED_WATER_GAL]:[NONPOTABLE_DEMAND_NONRESIDENTIAL_METERED_IRRIGATION_GAL]])</f>
        <v>0</v>
      </c>
      <c r="X2605" t="str">
        <f>IFERROR(INDEX(Crosswalk_API!$H$2:$H$527, MATCH(POTABLE_NONPOTABLE_API[[#This Row],[PWSID]], CW_PWSID_LIST, 0)), "")</f>
        <v>No</v>
      </c>
    </row>
    <row r="2606" spans="1:24" x14ac:dyDescent="0.25">
      <c r="A2606" t="s">
        <v>1491</v>
      </c>
      <c r="B2606" t="s">
        <v>1492</v>
      </c>
      <c r="C2606" t="s">
        <v>1493</v>
      </c>
      <c r="D2606" t="s">
        <v>1494</v>
      </c>
      <c r="E2606" s="9">
        <v>45108</v>
      </c>
      <c r="F2606" s="9">
        <v>45138</v>
      </c>
      <c r="G2606">
        <v>32111628.204</v>
      </c>
      <c r="H2606">
        <v>4220509.3840000005</v>
      </c>
      <c r="I2606">
        <v>5516883.5</v>
      </c>
      <c r="J2606">
        <v>0</v>
      </c>
      <c r="K2606">
        <v>0</v>
      </c>
      <c r="L2606">
        <v>748.05200000000002</v>
      </c>
      <c r="M2606">
        <v>396467.56</v>
      </c>
      <c r="T2606" s="9">
        <v>45108</v>
      </c>
      <c r="U2606" s="9">
        <v>45473</v>
      </c>
      <c r="V2606">
        <f>SUM(POTABLE_NONPOTABLE_API[[#This Row],[RESIDENTIAL_SINGLEFAMILY_GAL]:[OTHER_GAL]])</f>
        <v>41849769.140000001</v>
      </c>
      <c r="W2606">
        <f>SUM(POTABLE_NONPOTABLE_API[[#This Row],[NONPOTABLE_DEMAND_RESIDENTIAL_RECYCLED_WATER_GAL]:[NONPOTABLE_DEMAND_NONRESIDENTIAL_METERED_IRRIGATION_GAL]])</f>
        <v>0</v>
      </c>
      <c r="X2606" t="str">
        <f>IFERROR(INDEX(Crosswalk_API!$H$2:$H$527, MATCH(POTABLE_NONPOTABLE_API[[#This Row],[PWSID]], CW_PWSID_LIST, 0)), "")</f>
        <v>No</v>
      </c>
    </row>
    <row r="2607" spans="1:24" x14ac:dyDescent="0.25">
      <c r="A2607" t="s">
        <v>1491</v>
      </c>
      <c r="B2607" t="s">
        <v>1492</v>
      </c>
      <c r="C2607" t="s">
        <v>1493</v>
      </c>
      <c r="D2607" t="s">
        <v>1494</v>
      </c>
      <c r="E2607" s="9">
        <v>45139</v>
      </c>
      <c r="F2607" s="9">
        <v>45169</v>
      </c>
      <c r="G2607">
        <v>39257768.960000001</v>
      </c>
      <c r="H2607">
        <v>4798005.5279999999</v>
      </c>
      <c r="I2607">
        <v>7265081.0240000002</v>
      </c>
      <c r="J2607">
        <v>0</v>
      </c>
      <c r="K2607">
        <v>0</v>
      </c>
      <c r="L2607">
        <v>0</v>
      </c>
      <c r="M2607">
        <v>1054005.2679999999</v>
      </c>
      <c r="T2607" s="9">
        <v>45108</v>
      </c>
      <c r="U2607" s="9">
        <v>45473</v>
      </c>
      <c r="V2607">
        <f>SUM(POTABLE_NONPOTABLE_API[[#This Row],[RESIDENTIAL_SINGLEFAMILY_GAL]:[OTHER_GAL]])</f>
        <v>51320855.511999995</v>
      </c>
      <c r="W2607">
        <f>SUM(POTABLE_NONPOTABLE_API[[#This Row],[NONPOTABLE_DEMAND_RESIDENTIAL_RECYCLED_WATER_GAL]:[NONPOTABLE_DEMAND_NONRESIDENTIAL_METERED_IRRIGATION_GAL]])</f>
        <v>0</v>
      </c>
      <c r="X2607" t="str">
        <f>IFERROR(INDEX(Crosswalk_API!$H$2:$H$527, MATCH(POTABLE_NONPOTABLE_API[[#This Row],[PWSID]], CW_PWSID_LIST, 0)), "")</f>
        <v>No</v>
      </c>
    </row>
    <row r="2608" spans="1:24" x14ac:dyDescent="0.25">
      <c r="A2608" t="s">
        <v>1491</v>
      </c>
      <c r="B2608" t="s">
        <v>1492</v>
      </c>
      <c r="C2608" t="s">
        <v>1493</v>
      </c>
      <c r="D2608" t="s">
        <v>1494</v>
      </c>
      <c r="E2608" s="9">
        <v>45170</v>
      </c>
      <c r="F2608" s="9">
        <v>45199</v>
      </c>
      <c r="G2608">
        <v>32422069.784000002</v>
      </c>
      <c r="H2608">
        <v>3936997.676</v>
      </c>
      <c r="I2608">
        <v>5718109.4879999999</v>
      </c>
      <c r="J2608">
        <v>0</v>
      </c>
      <c r="K2608">
        <v>0</v>
      </c>
      <c r="L2608">
        <v>0</v>
      </c>
      <c r="M2608">
        <v>394971.45600000001</v>
      </c>
      <c r="T2608" s="9">
        <v>45108</v>
      </c>
      <c r="U2608" s="9">
        <v>45473</v>
      </c>
      <c r="V2608">
        <f>SUM(POTABLE_NONPOTABLE_API[[#This Row],[RESIDENTIAL_SINGLEFAMILY_GAL]:[OTHER_GAL]])</f>
        <v>42077176.947999999</v>
      </c>
      <c r="W2608">
        <f>SUM(POTABLE_NONPOTABLE_API[[#This Row],[NONPOTABLE_DEMAND_RESIDENTIAL_RECYCLED_WATER_GAL]:[NONPOTABLE_DEMAND_NONRESIDENTIAL_METERED_IRRIGATION_GAL]])</f>
        <v>0</v>
      </c>
      <c r="X2608" t="str">
        <f>IFERROR(INDEX(Crosswalk_API!$H$2:$H$527, MATCH(POTABLE_NONPOTABLE_API[[#This Row],[PWSID]], CW_PWSID_LIST, 0)), "")</f>
        <v>No</v>
      </c>
    </row>
    <row r="2609" spans="1:24" x14ac:dyDescent="0.25">
      <c r="A2609" t="s">
        <v>1491</v>
      </c>
      <c r="B2609" t="s">
        <v>1492</v>
      </c>
      <c r="C2609" t="s">
        <v>1493</v>
      </c>
      <c r="D2609" t="s">
        <v>1494</v>
      </c>
      <c r="E2609" s="9">
        <v>45200</v>
      </c>
      <c r="F2609" s="9">
        <v>45230</v>
      </c>
      <c r="G2609">
        <v>25889331.668000001</v>
      </c>
      <c r="H2609">
        <v>3901839.2320000003</v>
      </c>
      <c r="I2609">
        <v>5302940.6280000005</v>
      </c>
      <c r="J2609">
        <v>0</v>
      </c>
      <c r="K2609">
        <v>0</v>
      </c>
      <c r="L2609">
        <v>0</v>
      </c>
      <c r="M2609">
        <v>213942.872</v>
      </c>
      <c r="T2609" s="9">
        <v>45108</v>
      </c>
      <c r="U2609" s="9">
        <v>45473</v>
      </c>
      <c r="V2609">
        <f>SUM(POTABLE_NONPOTABLE_API[[#This Row],[RESIDENTIAL_SINGLEFAMILY_GAL]:[OTHER_GAL]])</f>
        <v>35094111.528000005</v>
      </c>
      <c r="W2609">
        <f>SUM(POTABLE_NONPOTABLE_API[[#This Row],[NONPOTABLE_DEMAND_RESIDENTIAL_RECYCLED_WATER_GAL]:[NONPOTABLE_DEMAND_NONRESIDENTIAL_METERED_IRRIGATION_GAL]])</f>
        <v>0</v>
      </c>
      <c r="X2609" t="str">
        <f>IFERROR(INDEX(Crosswalk_API!$H$2:$H$527, MATCH(POTABLE_NONPOTABLE_API[[#This Row],[PWSID]], CW_PWSID_LIST, 0)), "")</f>
        <v>No</v>
      </c>
    </row>
    <row r="2610" spans="1:24" x14ac:dyDescent="0.25">
      <c r="A2610" t="s">
        <v>1491</v>
      </c>
      <c r="B2610" t="s">
        <v>1492</v>
      </c>
      <c r="C2610" t="s">
        <v>1493</v>
      </c>
      <c r="D2610" t="s">
        <v>1494</v>
      </c>
      <c r="E2610" s="9">
        <v>45231</v>
      </c>
      <c r="F2610" s="9">
        <v>45260</v>
      </c>
      <c r="G2610">
        <v>24315430.260000002</v>
      </c>
      <c r="H2610">
        <v>3853215.852</v>
      </c>
      <c r="I2610">
        <v>4622961.3600000003</v>
      </c>
      <c r="J2610">
        <v>0</v>
      </c>
      <c r="K2610">
        <v>0</v>
      </c>
      <c r="L2610">
        <v>0</v>
      </c>
      <c r="M2610">
        <v>115948.06</v>
      </c>
      <c r="T2610" s="9">
        <v>45108</v>
      </c>
      <c r="U2610" s="9">
        <v>45473</v>
      </c>
      <c r="V2610">
        <f>SUM(POTABLE_NONPOTABLE_API[[#This Row],[RESIDENTIAL_SINGLEFAMILY_GAL]:[OTHER_GAL]])</f>
        <v>32791607.472000003</v>
      </c>
      <c r="W2610">
        <f>SUM(POTABLE_NONPOTABLE_API[[#This Row],[NONPOTABLE_DEMAND_RESIDENTIAL_RECYCLED_WATER_GAL]:[NONPOTABLE_DEMAND_NONRESIDENTIAL_METERED_IRRIGATION_GAL]])</f>
        <v>0</v>
      </c>
      <c r="X2610" t="str">
        <f>IFERROR(INDEX(Crosswalk_API!$H$2:$H$527, MATCH(POTABLE_NONPOTABLE_API[[#This Row],[PWSID]], CW_PWSID_LIST, 0)), "")</f>
        <v>No</v>
      </c>
    </row>
    <row r="2611" spans="1:24" x14ac:dyDescent="0.25">
      <c r="A2611" t="s">
        <v>1491</v>
      </c>
      <c r="B2611" t="s">
        <v>1492</v>
      </c>
      <c r="C2611" t="s">
        <v>1493</v>
      </c>
      <c r="D2611" t="s">
        <v>1494</v>
      </c>
      <c r="E2611" s="9">
        <v>45261</v>
      </c>
      <c r="F2611" s="9">
        <v>45291</v>
      </c>
      <c r="G2611">
        <v>28947368.243999999</v>
      </c>
      <c r="H2611">
        <v>4536187.3279999997</v>
      </c>
      <c r="I2611">
        <v>6062213.4079999998</v>
      </c>
      <c r="J2611">
        <v>0</v>
      </c>
      <c r="K2611">
        <v>0</v>
      </c>
      <c r="L2611">
        <v>0</v>
      </c>
      <c r="M2611">
        <v>86774.032000000007</v>
      </c>
      <c r="T2611" s="9">
        <v>45108</v>
      </c>
      <c r="U2611" s="9">
        <v>45473</v>
      </c>
      <c r="V2611">
        <f>SUM(POTABLE_NONPOTABLE_API[[#This Row],[RESIDENTIAL_SINGLEFAMILY_GAL]:[OTHER_GAL]])</f>
        <v>39545768.979999997</v>
      </c>
      <c r="W2611">
        <f>SUM(POTABLE_NONPOTABLE_API[[#This Row],[NONPOTABLE_DEMAND_RESIDENTIAL_RECYCLED_WATER_GAL]:[NONPOTABLE_DEMAND_NONRESIDENTIAL_METERED_IRRIGATION_GAL]])</f>
        <v>0</v>
      </c>
      <c r="X2611" t="str">
        <f>IFERROR(INDEX(Crosswalk_API!$H$2:$H$527, MATCH(POTABLE_NONPOTABLE_API[[#This Row],[PWSID]], CW_PWSID_LIST, 0)), "")</f>
        <v>No</v>
      </c>
    </row>
    <row r="2612" spans="1:24" x14ac:dyDescent="0.25">
      <c r="A2612" t="s">
        <v>1491</v>
      </c>
      <c r="B2612" t="s">
        <v>1492</v>
      </c>
      <c r="C2612" t="s">
        <v>1493</v>
      </c>
      <c r="D2612" t="s">
        <v>1494</v>
      </c>
      <c r="E2612" s="9">
        <v>45292</v>
      </c>
      <c r="F2612" s="9">
        <v>45322</v>
      </c>
      <c r="G2612">
        <v>22719835.344000001</v>
      </c>
      <c r="H2612">
        <v>3660966.4879999999</v>
      </c>
      <c r="I2612">
        <v>3536789.8560000001</v>
      </c>
      <c r="J2612">
        <v>0</v>
      </c>
      <c r="K2612">
        <v>0</v>
      </c>
      <c r="L2612">
        <v>0</v>
      </c>
      <c r="M2612">
        <v>45631.171999999999</v>
      </c>
      <c r="T2612" s="9">
        <v>45108</v>
      </c>
      <c r="U2612" s="9">
        <v>45473</v>
      </c>
      <c r="V2612">
        <f>SUM(POTABLE_NONPOTABLE_API[[#This Row],[RESIDENTIAL_SINGLEFAMILY_GAL]:[OTHER_GAL]])</f>
        <v>29917591.688000001</v>
      </c>
      <c r="W2612">
        <f>SUM(POTABLE_NONPOTABLE_API[[#This Row],[NONPOTABLE_DEMAND_RESIDENTIAL_RECYCLED_WATER_GAL]:[NONPOTABLE_DEMAND_NONRESIDENTIAL_METERED_IRRIGATION_GAL]])</f>
        <v>0</v>
      </c>
      <c r="X2612" t="str">
        <f>IFERROR(INDEX(Crosswalk_API!$H$2:$H$527, MATCH(POTABLE_NONPOTABLE_API[[#This Row],[PWSID]], CW_PWSID_LIST, 0)), "")</f>
        <v>No</v>
      </c>
    </row>
    <row r="2613" spans="1:24" x14ac:dyDescent="0.25">
      <c r="A2613" t="s">
        <v>1491</v>
      </c>
      <c r="B2613" t="s">
        <v>1492</v>
      </c>
      <c r="C2613" t="s">
        <v>1493</v>
      </c>
      <c r="D2613" t="s">
        <v>1494</v>
      </c>
      <c r="E2613" s="9">
        <v>45323</v>
      </c>
      <c r="F2613" s="9">
        <v>45351</v>
      </c>
      <c r="G2613">
        <v>23992271.796</v>
      </c>
      <c r="H2613">
        <v>3553995.0520000001</v>
      </c>
      <c r="I2613">
        <v>3666950.9040000001</v>
      </c>
      <c r="J2613">
        <v>0</v>
      </c>
      <c r="K2613">
        <v>0</v>
      </c>
      <c r="L2613">
        <v>0</v>
      </c>
      <c r="M2613">
        <v>58348.056000000004</v>
      </c>
      <c r="T2613" s="9">
        <v>45108</v>
      </c>
      <c r="U2613" s="9">
        <v>45473</v>
      </c>
      <c r="V2613">
        <f>SUM(POTABLE_NONPOTABLE_API[[#This Row],[RESIDENTIAL_SINGLEFAMILY_GAL]:[OTHER_GAL]])</f>
        <v>31213217.752</v>
      </c>
      <c r="W2613">
        <f>SUM(POTABLE_NONPOTABLE_API[[#This Row],[NONPOTABLE_DEMAND_RESIDENTIAL_RECYCLED_WATER_GAL]:[NONPOTABLE_DEMAND_NONRESIDENTIAL_METERED_IRRIGATION_GAL]])</f>
        <v>0</v>
      </c>
      <c r="X2613" t="str">
        <f>IFERROR(INDEX(Crosswalk_API!$H$2:$H$527, MATCH(POTABLE_NONPOTABLE_API[[#This Row],[PWSID]], CW_PWSID_LIST, 0)), "")</f>
        <v>No</v>
      </c>
    </row>
    <row r="2614" spans="1:24" x14ac:dyDescent="0.25">
      <c r="A2614" t="s">
        <v>1491</v>
      </c>
      <c r="B2614" t="s">
        <v>1492</v>
      </c>
      <c r="C2614" t="s">
        <v>1493</v>
      </c>
      <c r="D2614" t="s">
        <v>1494</v>
      </c>
      <c r="E2614" s="9">
        <v>45352</v>
      </c>
      <c r="F2614" s="9">
        <v>45382</v>
      </c>
      <c r="G2614">
        <v>26155638.18</v>
      </c>
      <c r="H2614">
        <v>4251179.5159999998</v>
      </c>
      <c r="I2614">
        <v>4438940.568</v>
      </c>
      <c r="J2614">
        <v>0</v>
      </c>
      <c r="K2614">
        <v>0</v>
      </c>
      <c r="L2614">
        <v>0</v>
      </c>
      <c r="M2614">
        <v>66576.627999999997</v>
      </c>
      <c r="T2614" s="9">
        <v>45108</v>
      </c>
      <c r="U2614" s="9">
        <v>45473</v>
      </c>
      <c r="V2614">
        <f>SUM(POTABLE_NONPOTABLE_API[[#This Row],[RESIDENTIAL_SINGLEFAMILY_GAL]:[OTHER_GAL]])</f>
        <v>34845758.263999999</v>
      </c>
      <c r="W2614">
        <f>SUM(POTABLE_NONPOTABLE_API[[#This Row],[NONPOTABLE_DEMAND_RESIDENTIAL_RECYCLED_WATER_GAL]:[NONPOTABLE_DEMAND_NONRESIDENTIAL_METERED_IRRIGATION_GAL]])</f>
        <v>0</v>
      </c>
      <c r="X2614" t="str">
        <f>IFERROR(INDEX(Crosswalk_API!$H$2:$H$527, MATCH(POTABLE_NONPOTABLE_API[[#This Row],[PWSID]], CW_PWSID_LIST, 0)), "")</f>
        <v>No</v>
      </c>
    </row>
    <row r="2615" spans="1:24" x14ac:dyDescent="0.25">
      <c r="A2615" t="s">
        <v>1491</v>
      </c>
      <c r="B2615" t="s">
        <v>1492</v>
      </c>
      <c r="C2615" t="s">
        <v>1493</v>
      </c>
      <c r="D2615" t="s">
        <v>1494</v>
      </c>
      <c r="E2615" s="9">
        <v>45383</v>
      </c>
      <c r="F2615" s="9">
        <v>45412</v>
      </c>
      <c r="G2615">
        <v>23618993.848000001</v>
      </c>
      <c r="H2615">
        <v>3321350.88</v>
      </c>
      <c r="I2615">
        <v>3626556.0959999999</v>
      </c>
      <c r="J2615">
        <v>0</v>
      </c>
      <c r="K2615">
        <v>0</v>
      </c>
      <c r="L2615">
        <v>0</v>
      </c>
      <c r="M2615">
        <v>56103.9</v>
      </c>
      <c r="T2615" s="9">
        <v>45108</v>
      </c>
      <c r="U2615" s="9">
        <v>45473</v>
      </c>
      <c r="V2615">
        <f>SUM(POTABLE_NONPOTABLE_API[[#This Row],[RESIDENTIAL_SINGLEFAMILY_GAL]:[OTHER_GAL]])</f>
        <v>30566900.824000001</v>
      </c>
      <c r="W2615">
        <f>SUM(POTABLE_NONPOTABLE_API[[#This Row],[NONPOTABLE_DEMAND_RESIDENTIAL_RECYCLED_WATER_GAL]:[NONPOTABLE_DEMAND_NONRESIDENTIAL_METERED_IRRIGATION_GAL]])</f>
        <v>0</v>
      </c>
      <c r="X2615" t="str">
        <f>IFERROR(INDEX(Crosswalk_API!$H$2:$H$527, MATCH(POTABLE_NONPOTABLE_API[[#This Row],[PWSID]], CW_PWSID_LIST, 0)), "")</f>
        <v>No</v>
      </c>
    </row>
    <row r="2616" spans="1:24" x14ac:dyDescent="0.25">
      <c r="A2616" t="s">
        <v>1491</v>
      </c>
      <c r="B2616" t="s">
        <v>1492</v>
      </c>
      <c r="C2616" t="s">
        <v>1493</v>
      </c>
      <c r="D2616" t="s">
        <v>1494</v>
      </c>
      <c r="E2616" s="9">
        <v>45413</v>
      </c>
      <c r="F2616" s="9">
        <v>45443</v>
      </c>
      <c r="G2616">
        <v>23930931.532000002</v>
      </c>
      <c r="H2616">
        <v>3660218.4360000002</v>
      </c>
      <c r="I2616">
        <v>4073143.14</v>
      </c>
      <c r="J2616">
        <v>0</v>
      </c>
      <c r="K2616">
        <v>0</v>
      </c>
      <c r="L2616">
        <v>0</v>
      </c>
      <c r="M2616">
        <v>59096.108</v>
      </c>
      <c r="T2616" s="9">
        <v>45108</v>
      </c>
      <c r="U2616" s="9">
        <v>45473</v>
      </c>
      <c r="V2616">
        <f>SUM(POTABLE_NONPOTABLE_API[[#This Row],[RESIDENTIAL_SINGLEFAMILY_GAL]:[OTHER_GAL]])</f>
        <v>31664293.108000003</v>
      </c>
      <c r="W2616">
        <f>SUM(POTABLE_NONPOTABLE_API[[#This Row],[NONPOTABLE_DEMAND_RESIDENTIAL_RECYCLED_WATER_GAL]:[NONPOTABLE_DEMAND_NONRESIDENTIAL_METERED_IRRIGATION_GAL]])</f>
        <v>0</v>
      </c>
      <c r="X2616" t="str">
        <f>IFERROR(INDEX(Crosswalk_API!$H$2:$H$527, MATCH(POTABLE_NONPOTABLE_API[[#This Row],[PWSID]], CW_PWSID_LIST, 0)), "")</f>
        <v>No</v>
      </c>
    </row>
    <row r="2617" spans="1:24" x14ac:dyDescent="0.25">
      <c r="A2617" t="s">
        <v>1491</v>
      </c>
      <c r="B2617" t="s">
        <v>1492</v>
      </c>
      <c r="C2617" t="s">
        <v>1493</v>
      </c>
      <c r="D2617" t="s">
        <v>1494</v>
      </c>
      <c r="E2617" s="9">
        <v>45444</v>
      </c>
      <c r="F2617" s="9">
        <v>45473</v>
      </c>
      <c r="G2617">
        <v>40429218.392000005</v>
      </c>
      <c r="H2617">
        <v>4068654.8280000002</v>
      </c>
      <c r="I2617">
        <v>4976041.9040000001</v>
      </c>
      <c r="J2617">
        <v>0</v>
      </c>
      <c r="K2617">
        <v>0</v>
      </c>
      <c r="L2617">
        <v>0</v>
      </c>
      <c r="M2617">
        <v>428633.79600000003</v>
      </c>
      <c r="T2617" s="9">
        <v>45108</v>
      </c>
      <c r="U2617" s="9">
        <v>45473</v>
      </c>
      <c r="V2617">
        <f>SUM(POTABLE_NONPOTABLE_API[[#This Row],[RESIDENTIAL_SINGLEFAMILY_GAL]:[OTHER_GAL]])</f>
        <v>49473915.124000005</v>
      </c>
      <c r="W2617">
        <f>SUM(POTABLE_NONPOTABLE_API[[#This Row],[NONPOTABLE_DEMAND_RESIDENTIAL_RECYCLED_WATER_GAL]:[NONPOTABLE_DEMAND_NONRESIDENTIAL_METERED_IRRIGATION_GAL]])</f>
        <v>0</v>
      </c>
      <c r="X2617" t="str">
        <f>IFERROR(INDEX(Crosswalk_API!$H$2:$H$527, MATCH(POTABLE_NONPOTABLE_API[[#This Row],[PWSID]], CW_PWSID_LIST, 0)), "")</f>
        <v>No</v>
      </c>
    </row>
    <row r="2618" spans="1:24" x14ac:dyDescent="0.25">
      <c r="A2618" t="s">
        <v>1495</v>
      </c>
      <c r="B2618" t="s">
        <v>1496</v>
      </c>
      <c r="C2618" t="s">
        <v>1497</v>
      </c>
      <c r="D2618" t="s">
        <v>1498</v>
      </c>
      <c r="E2618" s="9">
        <v>45108</v>
      </c>
      <c r="F2618" s="9">
        <v>45138</v>
      </c>
      <c r="G2618">
        <v>294945682.81999999</v>
      </c>
      <c r="H2618">
        <v>131476871.46800001</v>
      </c>
      <c r="I2618">
        <v>76562800.537640005</v>
      </c>
      <c r="J2618">
        <v>43356981.712200001</v>
      </c>
      <c r="K2618">
        <v>10738278.97948</v>
      </c>
      <c r="L2618">
        <v>0</v>
      </c>
      <c r="M2618">
        <v>0</v>
      </c>
      <c r="T2618" s="9">
        <v>45108</v>
      </c>
      <c r="U2618" s="9">
        <v>45473</v>
      </c>
      <c r="V2618">
        <f>SUM(POTABLE_NONPOTABLE_API[[#This Row],[RESIDENTIAL_SINGLEFAMILY_GAL]:[OTHER_GAL]])</f>
        <v>557080615.51732004</v>
      </c>
      <c r="W2618">
        <f>SUM(POTABLE_NONPOTABLE_API[[#This Row],[NONPOTABLE_DEMAND_RESIDENTIAL_RECYCLED_WATER_GAL]:[NONPOTABLE_DEMAND_NONRESIDENTIAL_METERED_IRRIGATION_GAL]])</f>
        <v>0</v>
      </c>
      <c r="X2618" t="str">
        <f>IFERROR(INDEX(Crosswalk_API!$H$2:$H$527, MATCH(POTABLE_NONPOTABLE_API[[#This Row],[PWSID]], CW_PWSID_LIST, 0)), "")</f>
        <v>No</v>
      </c>
    </row>
    <row r="2619" spans="1:24" x14ac:dyDescent="0.25">
      <c r="A2619" t="s">
        <v>1495</v>
      </c>
      <c r="B2619" t="s">
        <v>1496</v>
      </c>
      <c r="C2619" t="s">
        <v>1497</v>
      </c>
      <c r="D2619" t="s">
        <v>1498</v>
      </c>
      <c r="E2619" s="9">
        <v>45139</v>
      </c>
      <c r="F2619" s="9">
        <v>45169</v>
      </c>
      <c r="G2619">
        <v>340026288.54800004</v>
      </c>
      <c r="H2619">
        <v>148317766.14399999</v>
      </c>
      <c r="I2619">
        <v>96106444.492239997</v>
      </c>
      <c r="J2619">
        <v>80791291.636480004</v>
      </c>
      <c r="K2619">
        <v>7019719.9680000003</v>
      </c>
      <c r="L2619">
        <v>0</v>
      </c>
      <c r="M2619">
        <v>0</v>
      </c>
      <c r="T2619" s="9">
        <v>45108</v>
      </c>
      <c r="U2619" s="9">
        <v>45473</v>
      </c>
      <c r="V2619">
        <f>SUM(POTABLE_NONPOTABLE_API[[#This Row],[RESIDENTIAL_SINGLEFAMILY_GAL]:[OTHER_GAL]])</f>
        <v>672261510.78872001</v>
      </c>
      <c r="W2619">
        <f>SUM(POTABLE_NONPOTABLE_API[[#This Row],[NONPOTABLE_DEMAND_RESIDENTIAL_RECYCLED_WATER_GAL]:[NONPOTABLE_DEMAND_NONRESIDENTIAL_METERED_IRRIGATION_GAL]])</f>
        <v>0</v>
      </c>
      <c r="X2619" t="str">
        <f>IFERROR(INDEX(Crosswalk_API!$H$2:$H$527, MATCH(POTABLE_NONPOTABLE_API[[#This Row],[PWSID]], CW_PWSID_LIST, 0)), "")</f>
        <v>No</v>
      </c>
    </row>
    <row r="2620" spans="1:24" x14ac:dyDescent="0.25">
      <c r="A2620" t="s">
        <v>1495</v>
      </c>
      <c r="B2620" t="s">
        <v>1496</v>
      </c>
      <c r="C2620" t="s">
        <v>1497</v>
      </c>
      <c r="D2620" t="s">
        <v>1498</v>
      </c>
      <c r="E2620" s="9">
        <v>45170</v>
      </c>
      <c r="F2620" s="9">
        <v>45199</v>
      </c>
      <c r="G2620">
        <v>350750362.01999998</v>
      </c>
      <c r="H2620">
        <v>154771958.80000001</v>
      </c>
      <c r="I2620">
        <v>107667221.60676001</v>
      </c>
      <c r="J2620">
        <v>91898068.511680007</v>
      </c>
      <c r="K2620">
        <v>10789572.90512</v>
      </c>
      <c r="L2620">
        <v>0</v>
      </c>
      <c r="M2620">
        <v>0</v>
      </c>
      <c r="T2620" s="9">
        <v>45108</v>
      </c>
      <c r="U2620" s="9">
        <v>45473</v>
      </c>
      <c r="V2620">
        <f>SUM(POTABLE_NONPOTABLE_API[[#This Row],[RESIDENTIAL_SINGLEFAMILY_GAL]:[OTHER_GAL]])</f>
        <v>715877183.84355998</v>
      </c>
      <c r="W2620">
        <f>SUM(POTABLE_NONPOTABLE_API[[#This Row],[NONPOTABLE_DEMAND_RESIDENTIAL_RECYCLED_WATER_GAL]:[NONPOTABLE_DEMAND_NONRESIDENTIAL_METERED_IRRIGATION_GAL]])</f>
        <v>0</v>
      </c>
      <c r="X2620" t="str">
        <f>IFERROR(INDEX(Crosswalk_API!$H$2:$H$527, MATCH(POTABLE_NONPOTABLE_API[[#This Row],[PWSID]], CW_PWSID_LIST, 0)), "")</f>
        <v>No</v>
      </c>
    </row>
    <row r="2621" spans="1:24" x14ac:dyDescent="0.25">
      <c r="A2621" t="s">
        <v>1495</v>
      </c>
      <c r="B2621" t="s">
        <v>1496</v>
      </c>
      <c r="C2621" t="s">
        <v>1497</v>
      </c>
      <c r="D2621" t="s">
        <v>1498</v>
      </c>
      <c r="E2621" s="9">
        <v>45200</v>
      </c>
      <c r="F2621" s="9">
        <v>45230</v>
      </c>
      <c r="G2621">
        <v>325065996.60000002</v>
      </c>
      <c r="H2621">
        <v>139665048.66</v>
      </c>
      <c r="I2621">
        <v>81641385.409799993</v>
      </c>
      <c r="J2621">
        <v>43096023.772</v>
      </c>
      <c r="K2621">
        <v>11386608.16736</v>
      </c>
      <c r="L2621">
        <v>0</v>
      </c>
      <c r="M2621">
        <v>0</v>
      </c>
      <c r="T2621" s="9">
        <v>45108</v>
      </c>
      <c r="U2621" s="9">
        <v>45473</v>
      </c>
      <c r="V2621">
        <f>SUM(POTABLE_NONPOTABLE_API[[#This Row],[RESIDENTIAL_SINGLEFAMILY_GAL]:[OTHER_GAL]])</f>
        <v>600855062.60915995</v>
      </c>
      <c r="W2621">
        <f>SUM(POTABLE_NONPOTABLE_API[[#This Row],[NONPOTABLE_DEMAND_RESIDENTIAL_RECYCLED_WATER_GAL]:[NONPOTABLE_DEMAND_NONRESIDENTIAL_METERED_IRRIGATION_GAL]])</f>
        <v>0</v>
      </c>
      <c r="X2621" t="str">
        <f>IFERROR(INDEX(Crosswalk_API!$H$2:$H$527, MATCH(POTABLE_NONPOTABLE_API[[#This Row],[PWSID]], CW_PWSID_LIST, 0)), "")</f>
        <v>No</v>
      </c>
    </row>
    <row r="2622" spans="1:24" x14ac:dyDescent="0.25">
      <c r="A2622" t="s">
        <v>1495</v>
      </c>
      <c r="B2622" t="s">
        <v>1496</v>
      </c>
      <c r="C2622" t="s">
        <v>1497</v>
      </c>
      <c r="D2622" t="s">
        <v>1498</v>
      </c>
      <c r="E2622" s="9">
        <v>45231</v>
      </c>
      <c r="F2622" s="9">
        <v>45260</v>
      </c>
      <c r="G2622">
        <v>311285382.65600002</v>
      </c>
      <c r="H2622">
        <v>136884539.37600002</v>
      </c>
      <c r="I2622">
        <v>81226134.264080003</v>
      </c>
      <c r="J2622">
        <v>64601568.745959997</v>
      </c>
      <c r="K2622">
        <v>20817449.341760002</v>
      </c>
      <c r="L2622">
        <v>0</v>
      </c>
      <c r="M2622">
        <v>0</v>
      </c>
      <c r="T2622" s="9">
        <v>45108</v>
      </c>
      <c r="U2622" s="9">
        <v>45473</v>
      </c>
      <c r="V2622">
        <f>SUM(POTABLE_NONPOTABLE_API[[#This Row],[RESIDENTIAL_SINGLEFAMILY_GAL]:[OTHER_GAL]])</f>
        <v>614815074.38380015</v>
      </c>
      <c r="W2622">
        <f>SUM(POTABLE_NONPOTABLE_API[[#This Row],[NONPOTABLE_DEMAND_RESIDENTIAL_RECYCLED_WATER_GAL]:[NONPOTABLE_DEMAND_NONRESIDENTIAL_METERED_IRRIGATION_GAL]])</f>
        <v>0</v>
      </c>
      <c r="X2622" t="str">
        <f>IFERROR(INDEX(Crosswalk_API!$H$2:$H$527, MATCH(POTABLE_NONPOTABLE_API[[#This Row],[PWSID]], CW_PWSID_LIST, 0)), "")</f>
        <v>No</v>
      </c>
    </row>
    <row r="2623" spans="1:24" x14ac:dyDescent="0.25">
      <c r="A2623" t="s">
        <v>1495</v>
      </c>
      <c r="B2623" t="s">
        <v>1496</v>
      </c>
      <c r="C2623" t="s">
        <v>1497</v>
      </c>
      <c r="D2623" t="s">
        <v>1498</v>
      </c>
      <c r="E2623" s="9">
        <v>45261</v>
      </c>
      <c r="F2623" s="9">
        <v>45291</v>
      </c>
      <c r="G2623">
        <v>307265351.208</v>
      </c>
      <c r="H2623">
        <v>146368342.632</v>
      </c>
      <c r="I2623">
        <v>81660348.527999997</v>
      </c>
      <c r="J2623">
        <v>38246402.656000003</v>
      </c>
      <c r="K2623">
        <v>12019699.536</v>
      </c>
      <c r="L2623">
        <v>0</v>
      </c>
      <c r="M2623">
        <v>0</v>
      </c>
      <c r="T2623" s="9">
        <v>45108</v>
      </c>
      <c r="U2623" s="9">
        <v>45473</v>
      </c>
      <c r="V2623">
        <f>SUM(POTABLE_NONPOTABLE_API[[#This Row],[RESIDENTIAL_SINGLEFAMILY_GAL]:[OTHER_GAL]])</f>
        <v>585560144.56000006</v>
      </c>
      <c r="W2623">
        <f>SUM(POTABLE_NONPOTABLE_API[[#This Row],[NONPOTABLE_DEMAND_RESIDENTIAL_RECYCLED_WATER_GAL]:[NONPOTABLE_DEMAND_NONRESIDENTIAL_METERED_IRRIGATION_GAL]])</f>
        <v>0</v>
      </c>
      <c r="X2623" t="str">
        <f>IFERROR(INDEX(Crosswalk_API!$H$2:$H$527, MATCH(POTABLE_NONPOTABLE_API[[#This Row],[PWSID]], CW_PWSID_LIST, 0)), "")</f>
        <v>No</v>
      </c>
    </row>
    <row r="2624" spans="1:24" x14ac:dyDescent="0.25">
      <c r="A2624" t="s">
        <v>1495</v>
      </c>
      <c r="B2624" t="s">
        <v>1496</v>
      </c>
      <c r="C2624" t="s">
        <v>1497</v>
      </c>
      <c r="D2624" t="s">
        <v>1498</v>
      </c>
      <c r="E2624" s="9">
        <v>45292</v>
      </c>
      <c r="F2624" s="9">
        <v>45322</v>
      </c>
      <c r="G2624">
        <v>297069402.44800001</v>
      </c>
      <c r="H2624">
        <v>146509724.46000001</v>
      </c>
      <c r="I2624">
        <v>77701657.343999997</v>
      </c>
      <c r="J2624">
        <v>49789593.068000004</v>
      </c>
      <c r="K2624">
        <v>10970489.28132</v>
      </c>
      <c r="L2624">
        <v>0</v>
      </c>
      <c r="M2624">
        <v>0</v>
      </c>
      <c r="T2624" s="9">
        <v>45108</v>
      </c>
      <c r="U2624" s="9">
        <v>45473</v>
      </c>
      <c r="V2624">
        <f>SUM(POTABLE_NONPOTABLE_API[[#This Row],[RESIDENTIAL_SINGLEFAMILY_GAL]:[OTHER_GAL]])</f>
        <v>582040866.60131991</v>
      </c>
      <c r="W2624">
        <f>SUM(POTABLE_NONPOTABLE_API[[#This Row],[NONPOTABLE_DEMAND_RESIDENTIAL_RECYCLED_WATER_GAL]:[NONPOTABLE_DEMAND_NONRESIDENTIAL_METERED_IRRIGATION_GAL]])</f>
        <v>0</v>
      </c>
      <c r="X2624" t="str">
        <f>IFERROR(INDEX(Crosswalk_API!$H$2:$H$527, MATCH(POTABLE_NONPOTABLE_API[[#This Row],[PWSID]], CW_PWSID_LIST, 0)), "")</f>
        <v>No</v>
      </c>
    </row>
    <row r="2625" spans="1:24" x14ac:dyDescent="0.25">
      <c r="A2625" t="s">
        <v>1495</v>
      </c>
      <c r="B2625" t="s">
        <v>1496</v>
      </c>
      <c r="C2625" t="s">
        <v>1497</v>
      </c>
      <c r="D2625" t="s">
        <v>1498</v>
      </c>
      <c r="E2625" s="9">
        <v>45323</v>
      </c>
      <c r="F2625" s="9">
        <v>45351</v>
      </c>
      <c r="G2625">
        <v>253077960.43200001</v>
      </c>
      <c r="H2625">
        <v>133025339.10800001</v>
      </c>
      <c r="I2625">
        <v>61874373.127999999</v>
      </c>
      <c r="J2625">
        <v>19592229.932</v>
      </c>
      <c r="K2625">
        <v>9700738.3360000011</v>
      </c>
      <c r="L2625">
        <v>0</v>
      </c>
      <c r="M2625">
        <v>0</v>
      </c>
      <c r="T2625" s="9">
        <v>45108</v>
      </c>
      <c r="U2625" s="9">
        <v>45473</v>
      </c>
      <c r="V2625">
        <f>SUM(POTABLE_NONPOTABLE_API[[#This Row],[RESIDENTIAL_SINGLEFAMILY_GAL]:[OTHER_GAL]])</f>
        <v>477270640.93600005</v>
      </c>
      <c r="W2625">
        <f>SUM(POTABLE_NONPOTABLE_API[[#This Row],[NONPOTABLE_DEMAND_RESIDENTIAL_RECYCLED_WATER_GAL]:[NONPOTABLE_DEMAND_NONRESIDENTIAL_METERED_IRRIGATION_GAL]])</f>
        <v>0</v>
      </c>
      <c r="X2625" t="str">
        <f>IFERROR(INDEX(Crosswalk_API!$H$2:$H$527, MATCH(POTABLE_NONPOTABLE_API[[#This Row],[PWSID]], CW_PWSID_LIST, 0)), "")</f>
        <v>No</v>
      </c>
    </row>
    <row r="2626" spans="1:24" x14ac:dyDescent="0.25">
      <c r="A2626" t="s">
        <v>1495</v>
      </c>
      <c r="B2626" t="s">
        <v>1496</v>
      </c>
      <c r="C2626" t="s">
        <v>1497</v>
      </c>
      <c r="D2626" t="s">
        <v>1498</v>
      </c>
      <c r="E2626" s="9">
        <v>45352</v>
      </c>
      <c r="F2626" s="9">
        <v>45382</v>
      </c>
      <c r="G2626">
        <v>232251444.70000002</v>
      </c>
      <c r="H2626">
        <v>138123313.48800001</v>
      </c>
      <c r="I2626">
        <v>62899952.420000002</v>
      </c>
      <c r="J2626">
        <v>22185726.216000002</v>
      </c>
      <c r="K2626">
        <v>9058909.7200000007</v>
      </c>
      <c r="L2626">
        <v>0</v>
      </c>
      <c r="M2626">
        <v>0</v>
      </c>
      <c r="T2626" s="9">
        <v>45108</v>
      </c>
      <c r="U2626" s="9">
        <v>45473</v>
      </c>
      <c r="V2626">
        <f>SUM(POTABLE_NONPOTABLE_API[[#This Row],[RESIDENTIAL_SINGLEFAMILY_GAL]:[OTHER_GAL]])</f>
        <v>464519346.54400009</v>
      </c>
      <c r="W2626">
        <f>SUM(POTABLE_NONPOTABLE_API[[#This Row],[NONPOTABLE_DEMAND_RESIDENTIAL_RECYCLED_WATER_GAL]:[NONPOTABLE_DEMAND_NONRESIDENTIAL_METERED_IRRIGATION_GAL]])</f>
        <v>0</v>
      </c>
      <c r="X2626" t="str">
        <f>IFERROR(INDEX(Crosswalk_API!$H$2:$H$527, MATCH(POTABLE_NONPOTABLE_API[[#This Row],[PWSID]], CW_PWSID_LIST, 0)), "")</f>
        <v>No</v>
      </c>
    </row>
    <row r="2627" spans="1:24" x14ac:dyDescent="0.25">
      <c r="A2627" t="s">
        <v>1495</v>
      </c>
      <c r="B2627" t="s">
        <v>1496</v>
      </c>
      <c r="C2627" t="s">
        <v>1497</v>
      </c>
      <c r="D2627" t="s">
        <v>1498</v>
      </c>
      <c r="E2627" s="9">
        <v>45383</v>
      </c>
      <c r="F2627" s="9">
        <v>45412</v>
      </c>
      <c r="G2627">
        <v>234849429.296</v>
      </c>
      <c r="H2627">
        <v>129575323.28400001</v>
      </c>
      <c r="I2627">
        <v>57430196.196000002</v>
      </c>
      <c r="J2627">
        <v>14581777.636</v>
      </c>
      <c r="K2627">
        <v>5846026.3799999999</v>
      </c>
      <c r="L2627">
        <v>0</v>
      </c>
      <c r="M2627">
        <v>0</v>
      </c>
      <c r="T2627" s="9">
        <v>45108</v>
      </c>
      <c r="U2627" s="9">
        <v>45473</v>
      </c>
      <c r="V2627">
        <f>SUM(POTABLE_NONPOTABLE_API[[#This Row],[RESIDENTIAL_SINGLEFAMILY_GAL]:[OTHER_GAL]])</f>
        <v>442282752.792</v>
      </c>
      <c r="W2627">
        <f>SUM(POTABLE_NONPOTABLE_API[[#This Row],[NONPOTABLE_DEMAND_RESIDENTIAL_RECYCLED_WATER_GAL]:[NONPOTABLE_DEMAND_NONRESIDENTIAL_METERED_IRRIGATION_GAL]])</f>
        <v>0</v>
      </c>
      <c r="X2627" t="str">
        <f>IFERROR(INDEX(Crosswalk_API!$H$2:$H$527, MATCH(POTABLE_NONPOTABLE_API[[#This Row],[PWSID]], CW_PWSID_LIST, 0)), "")</f>
        <v>No</v>
      </c>
    </row>
    <row r="2628" spans="1:24" x14ac:dyDescent="0.25">
      <c r="A2628" t="s">
        <v>1495</v>
      </c>
      <c r="B2628" t="s">
        <v>1496</v>
      </c>
      <c r="C2628" t="s">
        <v>1497</v>
      </c>
      <c r="D2628" t="s">
        <v>1498</v>
      </c>
      <c r="E2628" s="9">
        <v>45413</v>
      </c>
      <c r="F2628" s="9">
        <v>45443</v>
      </c>
      <c r="G2628">
        <v>286065689.70878839</v>
      </c>
      <c r="H2628">
        <v>135050480.44343999</v>
      </c>
      <c r="I2628">
        <v>72662075.903119996</v>
      </c>
      <c r="J2628">
        <v>51263255.508000001</v>
      </c>
      <c r="K2628">
        <v>11296333.252</v>
      </c>
      <c r="L2628">
        <v>0</v>
      </c>
      <c r="M2628">
        <v>0</v>
      </c>
      <c r="T2628" s="9">
        <v>45108</v>
      </c>
      <c r="U2628" s="9">
        <v>45473</v>
      </c>
      <c r="V2628">
        <f>SUM(POTABLE_NONPOTABLE_API[[#This Row],[RESIDENTIAL_SINGLEFAMILY_GAL]:[OTHER_GAL]])</f>
        <v>556337834.81534827</v>
      </c>
      <c r="W2628">
        <f>SUM(POTABLE_NONPOTABLE_API[[#This Row],[NONPOTABLE_DEMAND_RESIDENTIAL_RECYCLED_WATER_GAL]:[NONPOTABLE_DEMAND_NONRESIDENTIAL_METERED_IRRIGATION_GAL]])</f>
        <v>0</v>
      </c>
      <c r="X2628" t="str">
        <f>IFERROR(INDEX(Crosswalk_API!$H$2:$H$527, MATCH(POTABLE_NONPOTABLE_API[[#This Row],[PWSID]], CW_PWSID_LIST, 0)), "")</f>
        <v>No</v>
      </c>
    </row>
    <row r="2629" spans="1:24" x14ac:dyDescent="0.25">
      <c r="A2629" t="s">
        <v>1495</v>
      </c>
      <c r="B2629" t="s">
        <v>1496</v>
      </c>
      <c r="C2629" t="s">
        <v>1497</v>
      </c>
      <c r="D2629" t="s">
        <v>1498</v>
      </c>
      <c r="E2629" s="9">
        <v>45444</v>
      </c>
      <c r="F2629" s="9">
        <v>45473</v>
      </c>
      <c r="G2629">
        <v>301319085.86000001</v>
      </c>
      <c r="H2629">
        <v>133988830.08400001</v>
      </c>
      <c r="I2629">
        <v>86816670.964000002</v>
      </c>
      <c r="J2629">
        <v>60099245.732000001</v>
      </c>
      <c r="K2629">
        <v>6773610.8600000003</v>
      </c>
      <c r="L2629">
        <v>0</v>
      </c>
      <c r="M2629">
        <v>0</v>
      </c>
      <c r="T2629" s="9">
        <v>45108</v>
      </c>
      <c r="U2629" s="9">
        <v>45473</v>
      </c>
      <c r="V2629">
        <f>SUM(POTABLE_NONPOTABLE_API[[#This Row],[RESIDENTIAL_SINGLEFAMILY_GAL]:[OTHER_GAL]])</f>
        <v>588997443.5</v>
      </c>
      <c r="W2629">
        <f>SUM(POTABLE_NONPOTABLE_API[[#This Row],[NONPOTABLE_DEMAND_RESIDENTIAL_RECYCLED_WATER_GAL]:[NONPOTABLE_DEMAND_NONRESIDENTIAL_METERED_IRRIGATION_GAL]])</f>
        <v>0</v>
      </c>
      <c r="X2629" t="str">
        <f>IFERROR(INDEX(Crosswalk_API!$H$2:$H$527, MATCH(POTABLE_NONPOTABLE_API[[#This Row],[PWSID]], CW_PWSID_LIST, 0)), "")</f>
        <v>No</v>
      </c>
    </row>
    <row r="2630" spans="1:24" x14ac:dyDescent="0.25">
      <c r="A2630" t="s">
        <v>1499</v>
      </c>
      <c r="B2630" t="s">
        <v>1500</v>
      </c>
      <c r="C2630" t="s">
        <v>1501</v>
      </c>
      <c r="D2630" t="s">
        <v>1502</v>
      </c>
      <c r="E2630" s="9">
        <v>45108</v>
      </c>
      <c r="F2630" s="9">
        <v>45138</v>
      </c>
      <c r="G2630">
        <v>24015461.408</v>
      </c>
      <c r="H2630">
        <v>60681230.188000001</v>
      </c>
      <c r="I2630">
        <v>25026827.712000001</v>
      </c>
      <c r="J2630">
        <v>0</v>
      </c>
      <c r="K2630">
        <v>0</v>
      </c>
      <c r="L2630">
        <v>0</v>
      </c>
      <c r="M2630">
        <v>0</v>
      </c>
      <c r="T2630" s="9">
        <v>45108</v>
      </c>
      <c r="U2630" s="9">
        <v>45473</v>
      </c>
      <c r="V2630">
        <f>SUM(POTABLE_NONPOTABLE_API[[#This Row],[RESIDENTIAL_SINGLEFAMILY_GAL]:[OTHER_GAL]])</f>
        <v>109723519.308</v>
      </c>
      <c r="W2630">
        <f>SUM(POTABLE_NONPOTABLE_API[[#This Row],[NONPOTABLE_DEMAND_RESIDENTIAL_RECYCLED_WATER_GAL]:[NONPOTABLE_DEMAND_NONRESIDENTIAL_METERED_IRRIGATION_GAL]])</f>
        <v>0</v>
      </c>
      <c r="X2630" t="str">
        <f>IFERROR(INDEX(Crosswalk_API!$H$2:$H$527, MATCH(POTABLE_NONPOTABLE_API[[#This Row],[PWSID]], CW_PWSID_LIST, 0)), "")</f>
        <v>No</v>
      </c>
    </row>
    <row r="2631" spans="1:24" x14ac:dyDescent="0.25">
      <c r="A2631" t="s">
        <v>1499</v>
      </c>
      <c r="B2631" t="s">
        <v>1500</v>
      </c>
      <c r="C2631" t="s">
        <v>1501</v>
      </c>
      <c r="D2631" t="s">
        <v>1502</v>
      </c>
      <c r="E2631" s="9">
        <v>45139</v>
      </c>
      <c r="F2631" s="9">
        <v>45169</v>
      </c>
      <c r="G2631">
        <v>21983752.175999999</v>
      </c>
      <c r="H2631">
        <v>41890912</v>
      </c>
      <c r="I2631">
        <v>38090059.788000003</v>
      </c>
      <c r="J2631">
        <v>0</v>
      </c>
      <c r="K2631">
        <v>0</v>
      </c>
      <c r="L2631">
        <v>0</v>
      </c>
      <c r="M2631">
        <v>0</v>
      </c>
      <c r="T2631" s="9">
        <v>45108</v>
      </c>
      <c r="U2631" s="9">
        <v>45473</v>
      </c>
      <c r="V2631">
        <f>SUM(POTABLE_NONPOTABLE_API[[#This Row],[RESIDENTIAL_SINGLEFAMILY_GAL]:[OTHER_GAL]])</f>
        <v>101964723.964</v>
      </c>
      <c r="W2631">
        <f>SUM(POTABLE_NONPOTABLE_API[[#This Row],[NONPOTABLE_DEMAND_RESIDENTIAL_RECYCLED_WATER_GAL]:[NONPOTABLE_DEMAND_NONRESIDENTIAL_METERED_IRRIGATION_GAL]])</f>
        <v>0</v>
      </c>
      <c r="X2631" t="str">
        <f>IFERROR(INDEX(Crosswalk_API!$H$2:$H$527, MATCH(POTABLE_NONPOTABLE_API[[#This Row],[PWSID]], CW_PWSID_LIST, 0)), "")</f>
        <v>No</v>
      </c>
    </row>
    <row r="2632" spans="1:24" x14ac:dyDescent="0.25">
      <c r="A2632" t="s">
        <v>1499</v>
      </c>
      <c r="B2632" t="s">
        <v>1500</v>
      </c>
      <c r="C2632" t="s">
        <v>1501</v>
      </c>
      <c r="D2632" t="s">
        <v>1502</v>
      </c>
      <c r="E2632" s="9">
        <v>45170</v>
      </c>
      <c r="F2632" s="9">
        <v>45199</v>
      </c>
      <c r="G2632">
        <v>25489123.848000001</v>
      </c>
      <c r="H2632">
        <v>63864191.447999999</v>
      </c>
      <c r="I2632">
        <v>25402349.816</v>
      </c>
      <c r="J2632">
        <v>0</v>
      </c>
      <c r="K2632">
        <v>0</v>
      </c>
      <c r="L2632">
        <v>0</v>
      </c>
      <c r="M2632">
        <v>0</v>
      </c>
      <c r="T2632" s="9">
        <v>45108</v>
      </c>
      <c r="U2632" s="9">
        <v>45473</v>
      </c>
      <c r="V2632">
        <f>SUM(POTABLE_NONPOTABLE_API[[#This Row],[RESIDENTIAL_SINGLEFAMILY_GAL]:[OTHER_GAL]])</f>
        <v>114755665.112</v>
      </c>
      <c r="W2632">
        <f>SUM(POTABLE_NONPOTABLE_API[[#This Row],[NONPOTABLE_DEMAND_RESIDENTIAL_RECYCLED_WATER_GAL]:[NONPOTABLE_DEMAND_NONRESIDENTIAL_METERED_IRRIGATION_GAL]])</f>
        <v>0</v>
      </c>
      <c r="X2632" t="str">
        <f>IFERROR(INDEX(Crosswalk_API!$H$2:$H$527, MATCH(POTABLE_NONPOTABLE_API[[#This Row],[PWSID]], CW_PWSID_LIST, 0)), "")</f>
        <v>No</v>
      </c>
    </row>
    <row r="2633" spans="1:24" x14ac:dyDescent="0.25">
      <c r="A2633" t="s">
        <v>1499</v>
      </c>
      <c r="B2633" t="s">
        <v>1500</v>
      </c>
      <c r="C2633" t="s">
        <v>1501</v>
      </c>
      <c r="D2633" t="s">
        <v>1502</v>
      </c>
      <c r="E2633" s="9">
        <v>45200</v>
      </c>
      <c r="F2633" s="9">
        <v>45230</v>
      </c>
      <c r="G2633">
        <v>21029985.876000002</v>
      </c>
      <c r="H2633">
        <v>41697914.583999999</v>
      </c>
      <c r="I2633">
        <v>35761373.912</v>
      </c>
      <c r="J2633">
        <v>0</v>
      </c>
      <c r="K2633">
        <v>0</v>
      </c>
      <c r="L2633">
        <v>0</v>
      </c>
      <c r="M2633">
        <v>0</v>
      </c>
      <c r="T2633" s="9">
        <v>45108</v>
      </c>
      <c r="U2633" s="9">
        <v>45473</v>
      </c>
      <c r="V2633">
        <f>SUM(POTABLE_NONPOTABLE_API[[#This Row],[RESIDENTIAL_SINGLEFAMILY_GAL]:[OTHER_GAL]])</f>
        <v>98489274.372000009</v>
      </c>
      <c r="W2633">
        <f>SUM(POTABLE_NONPOTABLE_API[[#This Row],[NONPOTABLE_DEMAND_RESIDENTIAL_RECYCLED_WATER_GAL]:[NONPOTABLE_DEMAND_NONRESIDENTIAL_METERED_IRRIGATION_GAL]])</f>
        <v>0</v>
      </c>
      <c r="X2633" t="str">
        <f>IFERROR(INDEX(Crosswalk_API!$H$2:$H$527, MATCH(POTABLE_NONPOTABLE_API[[#This Row],[PWSID]], CW_PWSID_LIST, 0)), "")</f>
        <v>No</v>
      </c>
    </row>
    <row r="2634" spans="1:24" x14ac:dyDescent="0.25">
      <c r="A2634" t="s">
        <v>1499</v>
      </c>
      <c r="B2634" t="s">
        <v>1500</v>
      </c>
      <c r="C2634" t="s">
        <v>1501</v>
      </c>
      <c r="D2634" t="s">
        <v>1502</v>
      </c>
      <c r="E2634" s="9">
        <v>45231</v>
      </c>
      <c r="F2634" s="9">
        <v>45260</v>
      </c>
      <c r="G2634">
        <v>22917321.072000001</v>
      </c>
      <c r="H2634">
        <v>62030715.995999999</v>
      </c>
      <c r="I2634">
        <v>24285508.18</v>
      </c>
      <c r="J2634">
        <v>0</v>
      </c>
      <c r="K2634">
        <v>0</v>
      </c>
      <c r="L2634">
        <v>0</v>
      </c>
      <c r="M2634">
        <v>0</v>
      </c>
      <c r="T2634" s="9">
        <v>45108</v>
      </c>
      <c r="U2634" s="9">
        <v>45473</v>
      </c>
      <c r="V2634">
        <f>SUM(POTABLE_NONPOTABLE_API[[#This Row],[RESIDENTIAL_SINGLEFAMILY_GAL]:[OTHER_GAL]])</f>
        <v>109233545.248</v>
      </c>
      <c r="W2634">
        <f>SUM(POTABLE_NONPOTABLE_API[[#This Row],[NONPOTABLE_DEMAND_RESIDENTIAL_RECYCLED_WATER_GAL]:[NONPOTABLE_DEMAND_NONRESIDENTIAL_METERED_IRRIGATION_GAL]])</f>
        <v>0</v>
      </c>
      <c r="X2634" t="str">
        <f>IFERROR(INDEX(Crosswalk_API!$H$2:$H$527, MATCH(POTABLE_NONPOTABLE_API[[#This Row],[PWSID]], CW_PWSID_LIST, 0)), "")</f>
        <v>No</v>
      </c>
    </row>
    <row r="2635" spans="1:24" x14ac:dyDescent="0.25">
      <c r="A2635" t="s">
        <v>1499</v>
      </c>
      <c r="B2635" t="s">
        <v>1500</v>
      </c>
      <c r="C2635" t="s">
        <v>1501</v>
      </c>
      <c r="D2635" t="s">
        <v>1502</v>
      </c>
      <c r="E2635" s="9">
        <v>45261</v>
      </c>
      <c r="F2635" s="9">
        <v>45291</v>
      </c>
      <c r="G2635">
        <v>19153123.408</v>
      </c>
      <c r="H2635">
        <v>39175483.240000002</v>
      </c>
      <c r="I2635">
        <v>32573176.288000003</v>
      </c>
      <c r="J2635">
        <v>0</v>
      </c>
      <c r="K2635">
        <v>0</v>
      </c>
      <c r="L2635">
        <v>0</v>
      </c>
      <c r="M2635">
        <v>0</v>
      </c>
      <c r="T2635" s="9">
        <v>45108</v>
      </c>
      <c r="U2635" s="9">
        <v>45473</v>
      </c>
      <c r="V2635">
        <f>SUM(POTABLE_NONPOTABLE_API[[#This Row],[RESIDENTIAL_SINGLEFAMILY_GAL]:[OTHER_GAL]])</f>
        <v>90901782.936000004</v>
      </c>
      <c r="W2635">
        <f>SUM(POTABLE_NONPOTABLE_API[[#This Row],[NONPOTABLE_DEMAND_RESIDENTIAL_RECYCLED_WATER_GAL]:[NONPOTABLE_DEMAND_NONRESIDENTIAL_METERED_IRRIGATION_GAL]])</f>
        <v>0</v>
      </c>
      <c r="X2635" t="str">
        <f>IFERROR(INDEX(Crosswalk_API!$H$2:$H$527, MATCH(POTABLE_NONPOTABLE_API[[#This Row],[PWSID]], CW_PWSID_LIST, 0)), "")</f>
        <v>No</v>
      </c>
    </row>
    <row r="2636" spans="1:24" x14ac:dyDescent="0.25">
      <c r="A2636" t="s">
        <v>1499</v>
      </c>
      <c r="B2636" t="s">
        <v>1500</v>
      </c>
      <c r="C2636" t="s">
        <v>1501</v>
      </c>
      <c r="D2636" t="s">
        <v>1502</v>
      </c>
      <c r="E2636" s="9">
        <v>45292</v>
      </c>
      <c r="F2636" s="9">
        <v>45322</v>
      </c>
      <c r="G2636">
        <v>21159398.872000001</v>
      </c>
      <c r="H2636">
        <v>58010684.548</v>
      </c>
      <c r="I2636">
        <v>22300926.223999999</v>
      </c>
      <c r="J2636">
        <v>0</v>
      </c>
      <c r="K2636">
        <v>0</v>
      </c>
      <c r="L2636">
        <v>0</v>
      </c>
      <c r="M2636">
        <v>0</v>
      </c>
      <c r="N2636">
        <v>0</v>
      </c>
      <c r="O2636">
        <v>0</v>
      </c>
      <c r="P2636">
        <v>0</v>
      </c>
      <c r="Q2636">
        <v>0</v>
      </c>
      <c r="R2636">
        <v>0</v>
      </c>
      <c r="S2636">
        <v>263200</v>
      </c>
      <c r="T2636" s="9">
        <v>45108</v>
      </c>
      <c r="U2636" s="9">
        <v>45473</v>
      </c>
      <c r="V2636">
        <f>SUM(POTABLE_NONPOTABLE_API[[#This Row],[RESIDENTIAL_SINGLEFAMILY_GAL]:[OTHER_GAL]])</f>
        <v>101471009.64399999</v>
      </c>
      <c r="W2636">
        <f>SUM(POTABLE_NONPOTABLE_API[[#This Row],[NONPOTABLE_DEMAND_RESIDENTIAL_RECYCLED_WATER_GAL]:[NONPOTABLE_DEMAND_NONRESIDENTIAL_METERED_IRRIGATION_GAL]])</f>
        <v>263200</v>
      </c>
      <c r="X2636" t="str">
        <f>IFERROR(INDEX(Crosswalk_API!$H$2:$H$527, MATCH(POTABLE_NONPOTABLE_API[[#This Row],[PWSID]], CW_PWSID_LIST, 0)), "")</f>
        <v>No</v>
      </c>
    </row>
    <row r="2637" spans="1:24" x14ac:dyDescent="0.25">
      <c r="A2637" t="s">
        <v>1499</v>
      </c>
      <c r="B2637" t="s">
        <v>1500</v>
      </c>
      <c r="C2637" t="s">
        <v>1501</v>
      </c>
      <c r="D2637" t="s">
        <v>1502</v>
      </c>
      <c r="E2637" s="9">
        <v>45323</v>
      </c>
      <c r="F2637" s="9">
        <v>45351</v>
      </c>
      <c r="G2637">
        <v>17861237.604000002</v>
      </c>
      <c r="H2637">
        <v>37438506.495999999</v>
      </c>
      <c r="I2637">
        <v>28422235.740000002</v>
      </c>
      <c r="J2637">
        <v>0</v>
      </c>
      <c r="K2637">
        <v>0</v>
      </c>
      <c r="L2637">
        <v>0</v>
      </c>
      <c r="M2637">
        <v>0</v>
      </c>
      <c r="N2637">
        <v>0</v>
      </c>
      <c r="O2637">
        <v>0</v>
      </c>
      <c r="P2637">
        <v>0</v>
      </c>
      <c r="Q2637">
        <v>0</v>
      </c>
      <c r="R2637">
        <v>0</v>
      </c>
      <c r="S2637">
        <v>8300</v>
      </c>
      <c r="T2637" s="9">
        <v>45108</v>
      </c>
      <c r="U2637" s="9">
        <v>45473</v>
      </c>
      <c r="V2637">
        <f>SUM(POTABLE_NONPOTABLE_API[[#This Row],[RESIDENTIAL_SINGLEFAMILY_GAL]:[OTHER_GAL]])</f>
        <v>83721979.840000004</v>
      </c>
      <c r="W2637">
        <f>SUM(POTABLE_NONPOTABLE_API[[#This Row],[NONPOTABLE_DEMAND_RESIDENTIAL_RECYCLED_WATER_GAL]:[NONPOTABLE_DEMAND_NONRESIDENTIAL_METERED_IRRIGATION_GAL]])</f>
        <v>8300</v>
      </c>
      <c r="X2637" t="str">
        <f>IFERROR(INDEX(Crosswalk_API!$H$2:$H$527, MATCH(POTABLE_NONPOTABLE_API[[#This Row],[PWSID]], CW_PWSID_LIST, 0)), "")</f>
        <v>No</v>
      </c>
    </row>
    <row r="2638" spans="1:24" x14ac:dyDescent="0.25">
      <c r="A2638" t="s">
        <v>1499</v>
      </c>
      <c r="B2638" t="s">
        <v>1500</v>
      </c>
      <c r="C2638" t="s">
        <v>1501</v>
      </c>
      <c r="D2638" t="s">
        <v>1502</v>
      </c>
      <c r="E2638" s="9">
        <v>45352</v>
      </c>
      <c r="F2638" s="9">
        <v>45382</v>
      </c>
      <c r="G2638">
        <v>19480770.184</v>
      </c>
      <c r="H2638">
        <v>57750362.452</v>
      </c>
      <c r="I2638">
        <v>25771887.504000001</v>
      </c>
      <c r="J2638">
        <v>0</v>
      </c>
      <c r="K2638">
        <v>0</v>
      </c>
      <c r="L2638">
        <v>0</v>
      </c>
      <c r="M2638">
        <v>0</v>
      </c>
      <c r="N2638">
        <v>0</v>
      </c>
      <c r="O2638">
        <v>0</v>
      </c>
      <c r="P2638">
        <v>0</v>
      </c>
      <c r="Q2638">
        <v>0</v>
      </c>
      <c r="R2638">
        <v>0</v>
      </c>
      <c r="S2638">
        <v>119700</v>
      </c>
      <c r="T2638" s="9">
        <v>45108</v>
      </c>
      <c r="U2638" s="9">
        <v>45473</v>
      </c>
      <c r="V2638">
        <f>SUM(POTABLE_NONPOTABLE_API[[#This Row],[RESIDENTIAL_SINGLEFAMILY_GAL]:[OTHER_GAL]])</f>
        <v>103003020.14000002</v>
      </c>
      <c r="W2638">
        <f>SUM(POTABLE_NONPOTABLE_API[[#This Row],[NONPOTABLE_DEMAND_RESIDENTIAL_RECYCLED_WATER_GAL]:[NONPOTABLE_DEMAND_NONRESIDENTIAL_METERED_IRRIGATION_GAL]])</f>
        <v>119700</v>
      </c>
      <c r="X2638" t="str">
        <f>IFERROR(INDEX(Crosswalk_API!$H$2:$H$527, MATCH(POTABLE_NONPOTABLE_API[[#This Row],[PWSID]], CW_PWSID_LIST, 0)), "")</f>
        <v>No</v>
      </c>
    </row>
    <row r="2639" spans="1:24" x14ac:dyDescent="0.25">
      <c r="A2639" t="s">
        <v>1499</v>
      </c>
      <c r="B2639" t="s">
        <v>1500</v>
      </c>
      <c r="C2639" t="s">
        <v>1501</v>
      </c>
      <c r="D2639" t="s">
        <v>1502</v>
      </c>
      <c r="E2639" s="9">
        <v>45383</v>
      </c>
      <c r="F2639" s="9">
        <v>45412</v>
      </c>
      <c r="G2639">
        <v>16271627.104</v>
      </c>
      <c r="H2639">
        <v>70821823.100000009</v>
      </c>
      <c r="I2639">
        <v>18454442.84</v>
      </c>
      <c r="J2639">
        <v>0</v>
      </c>
      <c r="K2639">
        <v>0</v>
      </c>
      <c r="L2639">
        <v>0</v>
      </c>
      <c r="M2639">
        <v>0</v>
      </c>
      <c r="N2639">
        <v>0</v>
      </c>
      <c r="O2639">
        <v>0</v>
      </c>
      <c r="P2639">
        <v>0</v>
      </c>
      <c r="Q2639">
        <v>0</v>
      </c>
      <c r="R2639">
        <v>0</v>
      </c>
      <c r="S2639">
        <v>612000</v>
      </c>
      <c r="T2639" s="9">
        <v>45108</v>
      </c>
      <c r="U2639" s="9">
        <v>45473</v>
      </c>
      <c r="V2639">
        <f>SUM(POTABLE_NONPOTABLE_API[[#This Row],[RESIDENTIAL_SINGLEFAMILY_GAL]:[OTHER_GAL]])</f>
        <v>105547893.04400001</v>
      </c>
      <c r="W2639">
        <f>SUM(POTABLE_NONPOTABLE_API[[#This Row],[NONPOTABLE_DEMAND_RESIDENTIAL_RECYCLED_WATER_GAL]:[NONPOTABLE_DEMAND_NONRESIDENTIAL_METERED_IRRIGATION_GAL]])</f>
        <v>612000</v>
      </c>
      <c r="X2639" t="str">
        <f>IFERROR(INDEX(Crosswalk_API!$H$2:$H$527, MATCH(POTABLE_NONPOTABLE_API[[#This Row],[PWSID]], CW_PWSID_LIST, 0)), "")</f>
        <v>No</v>
      </c>
    </row>
    <row r="2640" spans="1:24" x14ac:dyDescent="0.25">
      <c r="A2640" t="s">
        <v>1499</v>
      </c>
      <c r="B2640" t="s">
        <v>1500</v>
      </c>
      <c r="C2640" t="s">
        <v>1501</v>
      </c>
      <c r="D2640" t="s">
        <v>1502</v>
      </c>
      <c r="E2640" s="9">
        <v>45413</v>
      </c>
      <c r="F2640" s="9">
        <v>45443</v>
      </c>
      <c r="G2640">
        <v>20432292.328000002</v>
      </c>
      <c r="H2640">
        <v>56524305.223999999</v>
      </c>
      <c r="I2640">
        <v>24654297.816</v>
      </c>
      <c r="J2640">
        <v>0</v>
      </c>
      <c r="K2640">
        <v>0</v>
      </c>
      <c r="L2640">
        <v>0</v>
      </c>
      <c r="M2640">
        <v>0</v>
      </c>
      <c r="N2640">
        <v>0</v>
      </c>
      <c r="O2640">
        <v>0</v>
      </c>
      <c r="P2640">
        <v>0</v>
      </c>
      <c r="Q2640">
        <v>0</v>
      </c>
      <c r="R2640">
        <v>0</v>
      </c>
      <c r="S2640">
        <v>2073300</v>
      </c>
      <c r="T2640" s="9">
        <v>45108</v>
      </c>
      <c r="U2640" s="9">
        <v>45473</v>
      </c>
      <c r="V2640">
        <f>SUM(POTABLE_NONPOTABLE_API[[#This Row],[RESIDENTIAL_SINGLEFAMILY_GAL]:[OTHER_GAL]])</f>
        <v>101610895.368</v>
      </c>
      <c r="W2640">
        <f>SUM(POTABLE_NONPOTABLE_API[[#This Row],[NONPOTABLE_DEMAND_RESIDENTIAL_RECYCLED_WATER_GAL]:[NONPOTABLE_DEMAND_NONRESIDENTIAL_METERED_IRRIGATION_GAL]])</f>
        <v>2073300</v>
      </c>
      <c r="X2640" t="str">
        <f>IFERROR(INDEX(Crosswalk_API!$H$2:$H$527, MATCH(POTABLE_NONPOTABLE_API[[#This Row],[PWSID]], CW_PWSID_LIST, 0)), "")</f>
        <v>No</v>
      </c>
    </row>
    <row r="2641" spans="1:24" x14ac:dyDescent="0.25">
      <c r="A2641" t="s">
        <v>1499</v>
      </c>
      <c r="B2641" t="s">
        <v>1500</v>
      </c>
      <c r="C2641" t="s">
        <v>1501</v>
      </c>
      <c r="D2641" t="s">
        <v>1502</v>
      </c>
      <c r="E2641" s="9">
        <v>45444</v>
      </c>
      <c r="F2641" s="9">
        <v>45473</v>
      </c>
      <c r="G2641">
        <v>18096873.984000001</v>
      </c>
      <c r="H2641">
        <v>38490267.608000003</v>
      </c>
      <c r="I2641">
        <v>31982215.208000001</v>
      </c>
      <c r="J2641">
        <v>0</v>
      </c>
      <c r="K2641">
        <v>0</v>
      </c>
      <c r="L2641">
        <v>0</v>
      </c>
      <c r="M2641">
        <v>0</v>
      </c>
      <c r="N2641">
        <v>0</v>
      </c>
      <c r="O2641">
        <v>0</v>
      </c>
      <c r="P2641">
        <v>0</v>
      </c>
      <c r="Q2641">
        <v>0</v>
      </c>
      <c r="R2641">
        <v>0</v>
      </c>
      <c r="S2641">
        <v>1569600</v>
      </c>
      <c r="T2641" s="9">
        <v>45108</v>
      </c>
      <c r="U2641" s="9">
        <v>45473</v>
      </c>
      <c r="V2641">
        <f>SUM(POTABLE_NONPOTABLE_API[[#This Row],[RESIDENTIAL_SINGLEFAMILY_GAL]:[OTHER_GAL]])</f>
        <v>88569356.800000012</v>
      </c>
      <c r="W2641">
        <f>SUM(POTABLE_NONPOTABLE_API[[#This Row],[NONPOTABLE_DEMAND_RESIDENTIAL_RECYCLED_WATER_GAL]:[NONPOTABLE_DEMAND_NONRESIDENTIAL_METERED_IRRIGATION_GAL]])</f>
        <v>1569600</v>
      </c>
      <c r="X2641" t="str">
        <f>IFERROR(INDEX(Crosswalk_API!$H$2:$H$527, MATCH(POTABLE_NONPOTABLE_API[[#This Row],[PWSID]], CW_PWSID_LIST, 0)), "")</f>
        <v>No</v>
      </c>
    </row>
    <row r="2642" spans="1:24" x14ac:dyDescent="0.25">
      <c r="A2642" t="s">
        <v>1503</v>
      </c>
      <c r="B2642" t="s">
        <v>1504</v>
      </c>
      <c r="C2642" t="s">
        <v>1505</v>
      </c>
      <c r="D2642" t="s">
        <v>1506</v>
      </c>
      <c r="E2642" s="9">
        <v>45108</v>
      </c>
      <c r="F2642" s="9">
        <v>45138</v>
      </c>
      <c r="G2642">
        <v>93459372.724000007</v>
      </c>
      <c r="H2642">
        <v>3803844.42</v>
      </c>
      <c r="I2642">
        <v>4238462.6320000002</v>
      </c>
      <c r="J2642">
        <v>4455397.7120000003</v>
      </c>
      <c r="K2642">
        <v>0</v>
      </c>
      <c r="L2642">
        <v>2716924.8640000001</v>
      </c>
      <c r="M2642">
        <v>0</v>
      </c>
      <c r="T2642" s="9">
        <v>45108</v>
      </c>
      <c r="U2642" s="9">
        <v>45473</v>
      </c>
      <c r="V2642">
        <f>SUM(POTABLE_NONPOTABLE_API[[#This Row],[RESIDENTIAL_SINGLEFAMILY_GAL]:[OTHER_GAL]])</f>
        <v>108674002.352</v>
      </c>
      <c r="W2642">
        <f>SUM(POTABLE_NONPOTABLE_API[[#This Row],[NONPOTABLE_DEMAND_RESIDENTIAL_RECYCLED_WATER_GAL]:[NONPOTABLE_DEMAND_NONRESIDENTIAL_METERED_IRRIGATION_GAL]])</f>
        <v>0</v>
      </c>
      <c r="X2642" t="str">
        <f>IFERROR(INDEX(Crosswalk_API!$H$2:$H$527, MATCH(POTABLE_NONPOTABLE_API[[#This Row],[PWSID]], CW_PWSID_LIST, 0)), "")</f>
        <v>No</v>
      </c>
    </row>
    <row r="2643" spans="1:24" x14ac:dyDescent="0.25">
      <c r="A2643" t="s">
        <v>1503</v>
      </c>
      <c r="B2643" t="s">
        <v>1504</v>
      </c>
      <c r="C2643" t="s">
        <v>1505</v>
      </c>
      <c r="D2643" t="s">
        <v>1506</v>
      </c>
      <c r="E2643" s="9">
        <v>45139</v>
      </c>
      <c r="F2643" s="9">
        <v>45169</v>
      </c>
      <c r="G2643">
        <v>83092120.056000009</v>
      </c>
      <c r="H2643">
        <v>3381943.0920000002</v>
      </c>
      <c r="I2643">
        <v>3767937.9240000001</v>
      </c>
      <c r="J2643">
        <v>3961683.392</v>
      </c>
      <c r="K2643">
        <v>0</v>
      </c>
      <c r="L2643">
        <v>2415459.9080000003</v>
      </c>
      <c r="M2643">
        <v>0</v>
      </c>
      <c r="T2643" s="9">
        <v>45108</v>
      </c>
      <c r="U2643" s="9">
        <v>45473</v>
      </c>
      <c r="V2643">
        <f>SUM(POTABLE_NONPOTABLE_API[[#This Row],[RESIDENTIAL_SINGLEFAMILY_GAL]:[OTHER_GAL]])</f>
        <v>96619144.372000009</v>
      </c>
      <c r="W2643">
        <f>SUM(POTABLE_NONPOTABLE_API[[#This Row],[NONPOTABLE_DEMAND_RESIDENTIAL_RECYCLED_WATER_GAL]:[NONPOTABLE_DEMAND_NONRESIDENTIAL_METERED_IRRIGATION_GAL]])</f>
        <v>0</v>
      </c>
      <c r="X2643" t="str">
        <f>IFERROR(INDEX(Crosswalk_API!$H$2:$H$527, MATCH(POTABLE_NONPOTABLE_API[[#This Row],[PWSID]], CW_PWSID_LIST, 0)), "")</f>
        <v>No</v>
      </c>
    </row>
    <row r="2644" spans="1:24" x14ac:dyDescent="0.25">
      <c r="A2644" t="s">
        <v>1503</v>
      </c>
      <c r="B2644" t="s">
        <v>1504</v>
      </c>
      <c r="C2644" t="s">
        <v>1505</v>
      </c>
      <c r="D2644" t="s">
        <v>1506</v>
      </c>
      <c r="E2644" s="9">
        <v>45170</v>
      </c>
      <c r="F2644" s="9">
        <v>45199</v>
      </c>
      <c r="G2644">
        <v>77768233.972000003</v>
      </c>
      <c r="H2644">
        <v>3165008.0120000001</v>
      </c>
      <c r="I2644">
        <v>3527065.18</v>
      </c>
      <c r="J2644">
        <v>3707345.7120000003</v>
      </c>
      <c r="K2644">
        <v>0</v>
      </c>
      <c r="L2644">
        <v>2260613.1439999999</v>
      </c>
      <c r="M2644">
        <v>0</v>
      </c>
      <c r="T2644" s="9">
        <v>45108</v>
      </c>
      <c r="U2644" s="9">
        <v>45473</v>
      </c>
      <c r="V2644">
        <f>SUM(POTABLE_NONPOTABLE_API[[#This Row],[RESIDENTIAL_SINGLEFAMILY_GAL]:[OTHER_GAL]])</f>
        <v>90428266.019999996</v>
      </c>
      <c r="W2644">
        <f>SUM(POTABLE_NONPOTABLE_API[[#This Row],[NONPOTABLE_DEMAND_RESIDENTIAL_RECYCLED_WATER_GAL]:[NONPOTABLE_DEMAND_NONRESIDENTIAL_METERED_IRRIGATION_GAL]])</f>
        <v>0</v>
      </c>
      <c r="X2644" t="str">
        <f>IFERROR(INDEX(Crosswalk_API!$H$2:$H$527, MATCH(POTABLE_NONPOTABLE_API[[#This Row],[PWSID]], CW_PWSID_LIST, 0)), "")</f>
        <v>No</v>
      </c>
    </row>
    <row r="2645" spans="1:24" x14ac:dyDescent="0.25">
      <c r="A2645" t="s">
        <v>1503</v>
      </c>
      <c r="B2645" t="s">
        <v>1504</v>
      </c>
      <c r="C2645" t="s">
        <v>1505</v>
      </c>
      <c r="D2645" t="s">
        <v>1506</v>
      </c>
      <c r="E2645" s="9">
        <v>45200</v>
      </c>
      <c r="F2645" s="9">
        <v>45230</v>
      </c>
      <c r="G2645">
        <v>75886135.140000001</v>
      </c>
      <c r="H2645">
        <v>3123117.1</v>
      </c>
      <c r="I2645">
        <v>4368623.68</v>
      </c>
      <c r="J2645">
        <v>3482930.1120000002</v>
      </c>
      <c r="K2645">
        <v>0</v>
      </c>
      <c r="L2645">
        <v>2382545.62</v>
      </c>
      <c r="M2645">
        <v>0</v>
      </c>
      <c r="T2645" s="9">
        <v>45108</v>
      </c>
      <c r="U2645" s="9">
        <v>45473</v>
      </c>
      <c r="V2645">
        <f>SUM(POTABLE_NONPOTABLE_API[[#This Row],[RESIDENTIAL_SINGLEFAMILY_GAL]:[OTHER_GAL]])</f>
        <v>89243351.651999995</v>
      </c>
      <c r="W2645">
        <f>SUM(POTABLE_NONPOTABLE_API[[#This Row],[NONPOTABLE_DEMAND_RESIDENTIAL_RECYCLED_WATER_GAL]:[NONPOTABLE_DEMAND_NONRESIDENTIAL_METERED_IRRIGATION_GAL]])</f>
        <v>0</v>
      </c>
      <c r="X2645" t="str">
        <f>IFERROR(INDEX(Crosswalk_API!$H$2:$H$527, MATCH(POTABLE_NONPOTABLE_API[[#This Row],[PWSID]], CW_PWSID_LIST, 0)), "")</f>
        <v>No</v>
      </c>
    </row>
    <row r="2646" spans="1:24" x14ac:dyDescent="0.25">
      <c r="A2646" t="s">
        <v>1503</v>
      </c>
      <c r="B2646" t="s">
        <v>1504</v>
      </c>
      <c r="C2646" t="s">
        <v>1505</v>
      </c>
      <c r="D2646" t="s">
        <v>1506</v>
      </c>
      <c r="E2646" s="9">
        <v>45231</v>
      </c>
      <c r="F2646" s="9">
        <v>45260</v>
      </c>
      <c r="G2646">
        <v>63026373.208000004</v>
      </c>
      <c r="H2646">
        <v>2565070.3080000002</v>
      </c>
      <c r="I2646">
        <v>2858306.6920000003</v>
      </c>
      <c r="J2646">
        <v>3004924.8840000001</v>
      </c>
      <c r="K2646">
        <v>0</v>
      </c>
      <c r="L2646">
        <v>1831979.348</v>
      </c>
      <c r="M2646">
        <v>0</v>
      </c>
      <c r="T2646" s="9">
        <v>45108</v>
      </c>
      <c r="U2646" s="9">
        <v>45473</v>
      </c>
      <c r="V2646">
        <f>SUM(POTABLE_NONPOTABLE_API[[#This Row],[RESIDENTIAL_SINGLEFAMILY_GAL]:[OTHER_GAL]])</f>
        <v>73286654.440000013</v>
      </c>
      <c r="W2646">
        <f>SUM(POTABLE_NONPOTABLE_API[[#This Row],[NONPOTABLE_DEMAND_RESIDENTIAL_RECYCLED_WATER_GAL]:[NONPOTABLE_DEMAND_NONRESIDENTIAL_METERED_IRRIGATION_GAL]])</f>
        <v>0</v>
      </c>
      <c r="X2646" t="str">
        <f>IFERROR(INDEX(Crosswalk_API!$H$2:$H$527, MATCH(POTABLE_NONPOTABLE_API[[#This Row],[PWSID]], CW_PWSID_LIST, 0)), "")</f>
        <v>No</v>
      </c>
    </row>
    <row r="2647" spans="1:24" x14ac:dyDescent="0.25">
      <c r="A2647" t="s">
        <v>1503</v>
      </c>
      <c r="B2647" t="s">
        <v>1504</v>
      </c>
      <c r="C2647" t="s">
        <v>1505</v>
      </c>
      <c r="D2647" t="s">
        <v>1506</v>
      </c>
      <c r="E2647" s="9">
        <v>45261</v>
      </c>
      <c r="F2647" s="9">
        <v>45291</v>
      </c>
      <c r="G2647">
        <v>55527899.960000001</v>
      </c>
      <c r="H2647">
        <v>2259865.0920000002</v>
      </c>
      <c r="I2647">
        <v>2517943.0320000001</v>
      </c>
      <c r="J2647">
        <v>2648852.1320000002</v>
      </c>
      <c r="K2647">
        <v>0</v>
      </c>
      <c r="L2647">
        <v>1613548.1640000001</v>
      </c>
      <c r="M2647">
        <v>0</v>
      </c>
      <c r="T2647" s="9">
        <v>45108</v>
      </c>
      <c r="U2647" s="9">
        <v>45473</v>
      </c>
      <c r="V2647">
        <f>SUM(POTABLE_NONPOTABLE_API[[#This Row],[RESIDENTIAL_SINGLEFAMILY_GAL]:[OTHER_GAL]])</f>
        <v>64568108.379999995</v>
      </c>
      <c r="W2647">
        <f>SUM(POTABLE_NONPOTABLE_API[[#This Row],[NONPOTABLE_DEMAND_RESIDENTIAL_RECYCLED_WATER_GAL]:[NONPOTABLE_DEMAND_NONRESIDENTIAL_METERED_IRRIGATION_GAL]])</f>
        <v>0</v>
      </c>
      <c r="X2647" t="str">
        <f>IFERROR(INDEX(Crosswalk_API!$H$2:$H$527, MATCH(POTABLE_NONPOTABLE_API[[#This Row],[PWSID]], CW_PWSID_LIST, 0)), "")</f>
        <v>No</v>
      </c>
    </row>
    <row r="2648" spans="1:24" x14ac:dyDescent="0.25">
      <c r="A2648" t="s">
        <v>1503</v>
      </c>
      <c r="B2648" t="s">
        <v>1504</v>
      </c>
      <c r="C2648" t="s">
        <v>1505</v>
      </c>
      <c r="D2648" t="s">
        <v>1506</v>
      </c>
      <c r="E2648" s="9">
        <v>45292</v>
      </c>
      <c r="F2648" s="9">
        <v>45322</v>
      </c>
      <c r="G2648">
        <v>51219120.440000005</v>
      </c>
      <c r="H2648">
        <v>2085568.976</v>
      </c>
      <c r="I2648">
        <v>2322701.46</v>
      </c>
      <c r="J2648">
        <v>2441641.7280000001</v>
      </c>
      <c r="K2648">
        <v>0</v>
      </c>
      <c r="L2648">
        <v>1488623.48</v>
      </c>
      <c r="M2648">
        <v>0</v>
      </c>
      <c r="T2648" s="9">
        <v>45108</v>
      </c>
      <c r="U2648" s="9">
        <v>45473</v>
      </c>
      <c r="V2648">
        <f>SUM(POTABLE_NONPOTABLE_API[[#This Row],[RESIDENTIAL_SINGLEFAMILY_GAL]:[OTHER_GAL]])</f>
        <v>59557656.084000006</v>
      </c>
      <c r="W2648">
        <f>SUM(POTABLE_NONPOTABLE_API[[#This Row],[NONPOTABLE_DEMAND_RESIDENTIAL_RECYCLED_WATER_GAL]:[NONPOTABLE_DEMAND_NONRESIDENTIAL_METERED_IRRIGATION_GAL]])</f>
        <v>0</v>
      </c>
      <c r="X2648" t="str">
        <f>IFERROR(INDEX(Crosswalk_API!$H$2:$H$527, MATCH(POTABLE_NONPOTABLE_API[[#This Row],[PWSID]], CW_PWSID_LIST, 0)), "")</f>
        <v>No</v>
      </c>
    </row>
    <row r="2649" spans="1:24" x14ac:dyDescent="0.25">
      <c r="A2649" t="s">
        <v>1503</v>
      </c>
      <c r="B2649" t="s">
        <v>1504</v>
      </c>
      <c r="C2649" t="s">
        <v>1505</v>
      </c>
      <c r="D2649" t="s">
        <v>1506</v>
      </c>
      <c r="E2649" s="9">
        <v>45323</v>
      </c>
      <c r="F2649" s="9">
        <v>45351</v>
      </c>
      <c r="G2649">
        <v>47700283.832000002</v>
      </c>
      <c r="H2649">
        <v>1941194.94</v>
      </c>
      <c r="I2649">
        <v>2162618.3319999999</v>
      </c>
      <c r="J2649">
        <v>2274078.08</v>
      </c>
      <c r="K2649">
        <v>0</v>
      </c>
      <c r="L2649">
        <v>1387636.46</v>
      </c>
      <c r="M2649">
        <v>0</v>
      </c>
      <c r="T2649" s="9">
        <v>45108</v>
      </c>
      <c r="U2649" s="9">
        <v>45473</v>
      </c>
      <c r="V2649">
        <f>SUM(POTABLE_NONPOTABLE_API[[#This Row],[RESIDENTIAL_SINGLEFAMILY_GAL]:[OTHER_GAL]])</f>
        <v>55465811.644000001</v>
      </c>
      <c r="W2649">
        <f>SUM(POTABLE_NONPOTABLE_API[[#This Row],[NONPOTABLE_DEMAND_RESIDENTIAL_RECYCLED_WATER_GAL]:[NONPOTABLE_DEMAND_NONRESIDENTIAL_METERED_IRRIGATION_GAL]])</f>
        <v>0</v>
      </c>
      <c r="X2649" t="str">
        <f>IFERROR(INDEX(Crosswalk_API!$H$2:$H$527, MATCH(POTABLE_NONPOTABLE_API[[#This Row],[PWSID]], CW_PWSID_LIST, 0)), "")</f>
        <v>No</v>
      </c>
    </row>
    <row r="2650" spans="1:24" x14ac:dyDescent="0.25">
      <c r="A2650" t="s">
        <v>1503</v>
      </c>
      <c r="B2650" t="s">
        <v>1504</v>
      </c>
      <c r="C2650" t="s">
        <v>1505</v>
      </c>
      <c r="D2650" t="s">
        <v>1506</v>
      </c>
      <c r="E2650" s="9">
        <v>45352</v>
      </c>
      <c r="F2650" s="9">
        <v>45382</v>
      </c>
      <c r="G2650">
        <v>60135900.280000001</v>
      </c>
      <c r="H2650">
        <v>2446878.0920000002</v>
      </c>
      <c r="I2650">
        <v>2726649.54</v>
      </c>
      <c r="J2650">
        <v>2874015.784</v>
      </c>
      <c r="K2650">
        <v>0</v>
      </c>
      <c r="L2650">
        <v>1740717.004</v>
      </c>
      <c r="M2650">
        <v>0</v>
      </c>
      <c r="T2650" s="9">
        <v>45108</v>
      </c>
      <c r="U2650" s="9">
        <v>45473</v>
      </c>
      <c r="V2650">
        <f>SUM(POTABLE_NONPOTABLE_API[[#This Row],[RESIDENTIAL_SINGLEFAMILY_GAL]:[OTHER_GAL]])</f>
        <v>69924160.699999988</v>
      </c>
      <c r="W2650">
        <f>SUM(POTABLE_NONPOTABLE_API[[#This Row],[NONPOTABLE_DEMAND_RESIDENTIAL_RECYCLED_WATER_GAL]:[NONPOTABLE_DEMAND_NONRESIDENTIAL_METERED_IRRIGATION_GAL]])</f>
        <v>0</v>
      </c>
      <c r="X2650" t="str">
        <f>IFERROR(INDEX(Crosswalk_API!$H$2:$H$527, MATCH(POTABLE_NONPOTABLE_API[[#This Row],[PWSID]], CW_PWSID_LIST, 0)), "")</f>
        <v>No</v>
      </c>
    </row>
    <row r="2651" spans="1:24" x14ac:dyDescent="0.25">
      <c r="A2651" t="s">
        <v>1503</v>
      </c>
      <c r="B2651" t="s">
        <v>1504</v>
      </c>
      <c r="C2651" t="s">
        <v>1505</v>
      </c>
      <c r="D2651" t="s">
        <v>1506</v>
      </c>
      <c r="E2651" s="9">
        <v>45383</v>
      </c>
      <c r="F2651" s="9">
        <v>45412</v>
      </c>
      <c r="G2651">
        <v>67777999.511999995</v>
      </c>
      <c r="H2651">
        <v>2758067.7239999999</v>
      </c>
      <c r="I2651">
        <v>3072997.6159999999</v>
      </c>
      <c r="J2651">
        <v>3230836.588</v>
      </c>
      <c r="K2651">
        <v>0</v>
      </c>
      <c r="L2651">
        <v>1971865.0720000002</v>
      </c>
      <c r="M2651">
        <v>0</v>
      </c>
      <c r="T2651" s="9">
        <v>45108</v>
      </c>
      <c r="U2651" s="9">
        <v>45473</v>
      </c>
      <c r="V2651">
        <f>SUM(POTABLE_NONPOTABLE_API[[#This Row],[RESIDENTIAL_SINGLEFAMILY_GAL]:[OTHER_GAL]])</f>
        <v>78811766.511999995</v>
      </c>
      <c r="W2651">
        <f>SUM(POTABLE_NONPOTABLE_API[[#This Row],[NONPOTABLE_DEMAND_RESIDENTIAL_RECYCLED_WATER_GAL]:[NONPOTABLE_DEMAND_NONRESIDENTIAL_METERED_IRRIGATION_GAL]])</f>
        <v>0</v>
      </c>
      <c r="X2651" t="str">
        <f>IFERROR(INDEX(Crosswalk_API!$H$2:$H$527, MATCH(POTABLE_NONPOTABLE_API[[#This Row],[PWSID]], CW_PWSID_LIST, 0)), "")</f>
        <v>No</v>
      </c>
    </row>
    <row r="2652" spans="1:24" x14ac:dyDescent="0.25">
      <c r="A2652" t="s">
        <v>1503</v>
      </c>
      <c r="B2652" t="s">
        <v>1504</v>
      </c>
      <c r="C2652" t="s">
        <v>1505</v>
      </c>
      <c r="D2652" t="s">
        <v>1506</v>
      </c>
      <c r="E2652" s="9">
        <v>45413</v>
      </c>
      <c r="F2652" s="9">
        <v>45443</v>
      </c>
      <c r="G2652">
        <v>82303673.247999996</v>
      </c>
      <c r="H2652">
        <v>3349028.804</v>
      </c>
      <c r="I2652">
        <v>3731283.3760000002</v>
      </c>
      <c r="J2652">
        <v>3923532.74</v>
      </c>
      <c r="K2652">
        <v>0</v>
      </c>
      <c r="L2652">
        <v>2394514.452</v>
      </c>
      <c r="M2652">
        <v>0</v>
      </c>
      <c r="T2652" s="9">
        <v>45108</v>
      </c>
      <c r="U2652" s="9">
        <v>45473</v>
      </c>
      <c r="V2652">
        <f>SUM(POTABLE_NONPOTABLE_API[[#This Row],[RESIDENTIAL_SINGLEFAMILY_GAL]:[OTHER_GAL]])</f>
        <v>95702032.620000005</v>
      </c>
      <c r="W2652">
        <f>SUM(POTABLE_NONPOTABLE_API[[#This Row],[NONPOTABLE_DEMAND_RESIDENTIAL_RECYCLED_WATER_GAL]:[NONPOTABLE_DEMAND_NONRESIDENTIAL_METERED_IRRIGATION_GAL]])</f>
        <v>0</v>
      </c>
      <c r="X2652" t="str">
        <f>IFERROR(INDEX(Crosswalk_API!$H$2:$H$527, MATCH(POTABLE_NONPOTABLE_API[[#This Row],[PWSID]], CW_PWSID_LIST, 0)), "")</f>
        <v>No</v>
      </c>
    </row>
    <row r="2653" spans="1:24" x14ac:dyDescent="0.25">
      <c r="A2653" t="s">
        <v>1503</v>
      </c>
      <c r="B2653" t="s">
        <v>1504</v>
      </c>
      <c r="C2653" t="s">
        <v>1505</v>
      </c>
      <c r="D2653" t="s">
        <v>1506</v>
      </c>
      <c r="E2653" s="9">
        <v>45444</v>
      </c>
      <c r="F2653" s="9">
        <v>45473</v>
      </c>
      <c r="G2653">
        <v>87881148.960000008</v>
      </c>
      <c r="H2653">
        <v>3576436.6120000002</v>
      </c>
      <c r="I2653">
        <v>3984873.0040000002</v>
      </c>
      <c r="J2653">
        <v>4189839.2520000003</v>
      </c>
      <c r="K2653">
        <v>0</v>
      </c>
      <c r="L2653">
        <v>2554597.58</v>
      </c>
      <c r="M2653">
        <v>0</v>
      </c>
      <c r="T2653" s="9">
        <v>45108</v>
      </c>
      <c r="U2653" s="9">
        <v>45473</v>
      </c>
      <c r="V2653">
        <f>SUM(POTABLE_NONPOTABLE_API[[#This Row],[RESIDENTIAL_SINGLEFAMILY_GAL]:[OTHER_GAL]])</f>
        <v>102186895.40800001</v>
      </c>
      <c r="W2653">
        <f>SUM(POTABLE_NONPOTABLE_API[[#This Row],[NONPOTABLE_DEMAND_RESIDENTIAL_RECYCLED_WATER_GAL]:[NONPOTABLE_DEMAND_NONRESIDENTIAL_METERED_IRRIGATION_GAL]])</f>
        <v>0</v>
      </c>
      <c r="X2653" t="str">
        <f>IFERROR(INDEX(Crosswalk_API!$H$2:$H$527, MATCH(POTABLE_NONPOTABLE_API[[#This Row],[PWSID]], CW_PWSID_LIST, 0)), "")</f>
        <v>No</v>
      </c>
    </row>
    <row r="2654" spans="1:24" x14ac:dyDescent="0.25">
      <c r="A2654" t="s">
        <v>1507</v>
      </c>
      <c r="B2654" t="s">
        <v>1508</v>
      </c>
      <c r="C2654" t="s">
        <v>1509</v>
      </c>
      <c r="D2654" t="s">
        <v>1510</v>
      </c>
      <c r="E2654" s="9">
        <v>45108</v>
      </c>
      <c r="F2654" s="9">
        <v>45138</v>
      </c>
      <c r="G2654">
        <v>132715000</v>
      </c>
      <c r="H2654">
        <v>17071000</v>
      </c>
      <c r="I2654">
        <v>19197000</v>
      </c>
      <c r="J2654">
        <v>0</v>
      </c>
      <c r="K2654">
        <v>0</v>
      </c>
      <c r="L2654">
        <v>12457000</v>
      </c>
      <c r="M2654">
        <v>0</v>
      </c>
      <c r="T2654" s="9">
        <v>45108</v>
      </c>
      <c r="U2654" s="9">
        <v>45473</v>
      </c>
      <c r="V2654">
        <f>SUM(POTABLE_NONPOTABLE_API[[#This Row],[RESIDENTIAL_SINGLEFAMILY_GAL]:[OTHER_GAL]])</f>
        <v>181440000</v>
      </c>
      <c r="W2654">
        <f>SUM(POTABLE_NONPOTABLE_API[[#This Row],[NONPOTABLE_DEMAND_RESIDENTIAL_RECYCLED_WATER_GAL]:[NONPOTABLE_DEMAND_NONRESIDENTIAL_METERED_IRRIGATION_GAL]])</f>
        <v>0</v>
      </c>
      <c r="X2654" t="str">
        <f>IFERROR(INDEX(Crosswalk_API!$H$2:$H$527, MATCH(POTABLE_NONPOTABLE_API[[#This Row],[PWSID]], CW_PWSID_LIST, 0)), "")</f>
        <v>No</v>
      </c>
    </row>
    <row r="2655" spans="1:24" x14ac:dyDescent="0.25">
      <c r="A2655" t="s">
        <v>1507</v>
      </c>
      <c r="B2655" t="s">
        <v>1508</v>
      </c>
      <c r="C2655" t="s">
        <v>1509</v>
      </c>
      <c r="D2655" t="s">
        <v>1510</v>
      </c>
      <c r="E2655" s="9">
        <v>45139</v>
      </c>
      <c r="F2655" s="9">
        <v>45169</v>
      </c>
      <c r="G2655">
        <v>139091000</v>
      </c>
      <c r="H2655">
        <v>16947000</v>
      </c>
      <c r="I2655">
        <v>19186000</v>
      </c>
      <c r="J2655">
        <v>0</v>
      </c>
      <c r="K2655">
        <v>0</v>
      </c>
      <c r="L2655">
        <v>18336000</v>
      </c>
      <c r="M2655">
        <v>0</v>
      </c>
      <c r="T2655" s="9">
        <v>45108</v>
      </c>
      <c r="U2655" s="9">
        <v>45473</v>
      </c>
      <c r="V2655">
        <f>SUM(POTABLE_NONPOTABLE_API[[#This Row],[RESIDENTIAL_SINGLEFAMILY_GAL]:[OTHER_GAL]])</f>
        <v>193560000</v>
      </c>
      <c r="W2655">
        <f>SUM(POTABLE_NONPOTABLE_API[[#This Row],[NONPOTABLE_DEMAND_RESIDENTIAL_RECYCLED_WATER_GAL]:[NONPOTABLE_DEMAND_NONRESIDENTIAL_METERED_IRRIGATION_GAL]])</f>
        <v>0</v>
      </c>
      <c r="X2655" t="str">
        <f>IFERROR(INDEX(Crosswalk_API!$H$2:$H$527, MATCH(POTABLE_NONPOTABLE_API[[#This Row],[PWSID]], CW_PWSID_LIST, 0)), "")</f>
        <v>No</v>
      </c>
    </row>
    <row r="2656" spans="1:24" x14ac:dyDescent="0.25">
      <c r="A2656" t="s">
        <v>1507</v>
      </c>
      <c r="B2656" t="s">
        <v>1508</v>
      </c>
      <c r="C2656" t="s">
        <v>1509</v>
      </c>
      <c r="D2656" t="s">
        <v>1510</v>
      </c>
      <c r="E2656" s="9">
        <v>45170</v>
      </c>
      <c r="F2656" s="9">
        <v>45199</v>
      </c>
      <c r="G2656">
        <v>139093000</v>
      </c>
      <c r="H2656">
        <v>19187000</v>
      </c>
      <c r="I2656">
        <v>21017000</v>
      </c>
      <c r="J2656">
        <v>0</v>
      </c>
      <c r="K2656">
        <v>0</v>
      </c>
      <c r="L2656">
        <v>15721000</v>
      </c>
      <c r="M2656">
        <v>0</v>
      </c>
      <c r="T2656" s="9">
        <v>45108</v>
      </c>
      <c r="U2656" s="9">
        <v>45473</v>
      </c>
      <c r="V2656">
        <f>SUM(POTABLE_NONPOTABLE_API[[#This Row],[RESIDENTIAL_SINGLEFAMILY_GAL]:[OTHER_GAL]])</f>
        <v>195018000</v>
      </c>
      <c r="W2656">
        <f>SUM(POTABLE_NONPOTABLE_API[[#This Row],[NONPOTABLE_DEMAND_RESIDENTIAL_RECYCLED_WATER_GAL]:[NONPOTABLE_DEMAND_NONRESIDENTIAL_METERED_IRRIGATION_GAL]])</f>
        <v>0</v>
      </c>
      <c r="X2656" t="str">
        <f>IFERROR(INDEX(Crosswalk_API!$H$2:$H$527, MATCH(POTABLE_NONPOTABLE_API[[#This Row],[PWSID]], CW_PWSID_LIST, 0)), "")</f>
        <v>No</v>
      </c>
    </row>
    <row r="2657" spans="1:24" x14ac:dyDescent="0.25">
      <c r="A2657" t="s">
        <v>1507</v>
      </c>
      <c r="B2657" t="s">
        <v>1508</v>
      </c>
      <c r="C2657" t="s">
        <v>1509</v>
      </c>
      <c r="D2657" t="s">
        <v>1510</v>
      </c>
      <c r="E2657" s="9">
        <v>45200</v>
      </c>
      <c r="F2657" s="9">
        <v>45230</v>
      </c>
      <c r="G2657">
        <v>105944000</v>
      </c>
      <c r="H2657">
        <v>14725000</v>
      </c>
      <c r="I2657">
        <v>17928000</v>
      </c>
      <c r="J2657">
        <v>0</v>
      </c>
      <c r="K2657">
        <v>0</v>
      </c>
      <c r="L2657">
        <v>12254000</v>
      </c>
      <c r="M2657">
        <v>0</v>
      </c>
      <c r="T2657" s="9">
        <v>45108</v>
      </c>
      <c r="U2657" s="9">
        <v>45473</v>
      </c>
      <c r="V2657">
        <f>SUM(POTABLE_NONPOTABLE_API[[#This Row],[RESIDENTIAL_SINGLEFAMILY_GAL]:[OTHER_GAL]])</f>
        <v>150851000</v>
      </c>
      <c r="W2657">
        <f>SUM(POTABLE_NONPOTABLE_API[[#This Row],[NONPOTABLE_DEMAND_RESIDENTIAL_RECYCLED_WATER_GAL]:[NONPOTABLE_DEMAND_NONRESIDENTIAL_METERED_IRRIGATION_GAL]])</f>
        <v>0</v>
      </c>
      <c r="X2657" t="str">
        <f>IFERROR(INDEX(Crosswalk_API!$H$2:$H$527, MATCH(POTABLE_NONPOTABLE_API[[#This Row],[PWSID]], CW_PWSID_LIST, 0)), "")</f>
        <v>No</v>
      </c>
    </row>
    <row r="2658" spans="1:24" x14ac:dyDescent="0.25">
      <c r="A2658" t="s">
        <v>1507</v>
      </c>
      <c r="B2658" t="s">
        <v>1508</v>
      </c>
      <c r="C2658" t="s">
        <v>1509</v>
      </c>
      <c r="D2658" t="s">
        <v>1510</v>
      </c>
      <c r="E2658" s="9">
        <v>45231</v>
      </c>
      <c r="F2658" s="9">
        <v>45260</v>
      </c>
      <c r="G2658">
        <v>88417000</v>
      </c>
      <c r="H2658">
        <v>12436000</v>
      </c>
      <c r="I2658">
        <v>14730000</v>
      </c>
      <c r="J2658">
        <v>0</v>
      </c>
      <c r="K2658">
        <v>0</v>
      </c>
      <c r="L2658">
        <v>9343000</v>
      </c>
      <c r="M2658">
        <v>0</v>
      </c>
      <c r="T2658" s="9">
        <v>45108</v>
      </c>
      <c r="U2658" s="9">
        <v>45473</v>
      </c>
      <c r="V2658">
        <f>SUM(POTABLE_NONPOTABLE_API[[#This Row],[RESIDENTIAL_SINGLEFAMILY_GAL]:[OTHER_GAL]])</f>
        <v>124926000</v>
      </c>
      <c r="W2658">
        <f>SUM(POTABLE_NONPOTABLE_API[[#This Row],[NONPOTABLE_DEMAND_RESIDENTIAL_RECYCLED_WATER_GAL]:[NONPOTABLE_DEMAND_NONRESIDENTIAL_METERED_IRRIGATION_GAL]])</f>
        <v>0</v>
      </c>
      <c r="X2658" t="str">
        <f>IFERROR(INDEX(Crosswalk_API!$H$2:$H$527, MATCH(POTABLE_NONPOTABLE_API[[#This Row],[PWSID]], CW_PWSID_LIST, 0)), "")</f>
        <v>No</v>
      </c>
    </row>
    <row r="2659" spans="1:24" x14ac:dyDescent="0.25">
      <c r="A2659" t="s">
        <v>1507</v>
      </c>
      <c r="B2659" t="s">
        <v>1508</v>
      </c>
      <c r="C2659" t="s">
        <v>1509</v>
      </c>
      <c r="D2659" t="s">
        <v>1510</v>
      </c>
      <c r="E2659" s="9">
        <v>45261</v>
      </c>
      <c r="F2659" s="9">
        <v>45291</v>
      </c>
      <c r="G2659">
        <v>81963000</v>
      </c>
      <c r="H2659">
        <v>12988000</v>
      </c>
      <c r="I2659">
        <v>13153000</v>
      </c>
      <c r="J2659">
        <v>0</v>
      </c>
      <c r="K2659">
        <v>0</v>
      </c>
      <c r="L2659">
        <v>6870000</v>
      </c>
      <c r="M2659">
        <v>0</v>
      </c>
      <c r="T2659" s="9">
        <v>45108</v>
      </c>
      <c r="U2659" s="9">
        <v>45473</v>
      </c>
      <c r="V2659">
        <f>SUM(POTABLE_NONPOTABLE_API[[#This Row],[RESIDENTIAL_SINGLEFAMILY_GAL]:[OTHER_GAL]])</f>
        <v>114974000</v>
      </c>
      <c r="W2659">
        <f>SUM(POTABLE_NONPOTABLE_API[[#This Row],[NONPOTABLE_DEMAND_RESIDENTIAL_RECYCLED_WATER_GAL]:[NONPOTABLE_DEMAND_NONRESIDENTIAL_METERED_IRRIGATION_GAL]])</f>
        <v>0</v>
      </c>
      <c r="X2659" t="str">
        <f>IFERROR(INDEX(Crosswalk_API!$H$2:$H$527, MATCH(POTABLE_NONPOTABLE_API[[#This Row],[PWSID]], CW_PWSID_LIST, 0)), "")</f>
        <v>No</v>
      </c>
    </row>
    <row r="2660" spans="1:24" x14ac:dyDescent="0.25">
      <c r="A2660" t="s">
        <v>1507</v>
      </c>
      <c r="B2660" t="s">
        <v>1508</v>
      </c>
      <c r="C2660" t="s">
        <v>1509</v>
      </c>
      <c r="D2660" t="s">
        <v>1510</v>
      </c>
      <c r="E2660" s="9">
        <v>45292</v>
      </c>
      <c r="F2660" s="9">
        <v>45322</v>
      </c>
      <c r="G2660">
        <v>67299000</v>
      </c>
      <c r="H2660">
        <v>11287000</v>
      </c>
      <c r="I2660">
        <v>10940000</v>
      </c>
      <c r="J2660">
        <v>0</v>
      </c>
      <c r="K2660">
        <v>0</v>
      </c>
      <c r="L2660">
        <v>3875000</v>
      </c>
      <c r="M2660">
        <v>0</v>
      </c>
      <c r="T2660" s="9">
        <v>45108</v>
      </c>
      <c r="U2660" s="9">
        <v>45473</v>
      </c>
      <c r="V2660">
        <f>SUM(POTABLE_NONPOTABLE_API[[#This Row],[RESIDENTIAL_SINGLEFAMILY_GAL]:[OTHER_GAL]])</f>
        <v>93401000</v>
      </c>
      <c r="W2660">
        <f>SUM(POTABLE_NONPOTABLE_API[[#This Row],[NONPOTABLE_DEMAND_RESIDENTIAL_RECYCLED_WATER_GAL]:[NONPOTABLE_DEMAND_NONRESIDENTIAL_METERED_IRRIGATION_GAL]])</f>
        <v>0</v>
      </c>
      <c r="X2660" t="str">
        <f>IFERROR(INDEX(Crosswalk_API!$H$2:$H$527, MATCH(POTABLE_NONPOTABLE_API[[#This Row],[PWSID]], CW_PWSID_LIST, 0)), "")</f>
        <v>No</v>
      </c>
    </row>
    <row r="2661" spans="1:24" x14ac:dyDescent="0.25">
      <c r="A2661" t="s">
        <v>1507</v>
      </c>
      <c r="B2661" t="s">
        <v>1508</v>
      </c>
      <c r="C2661" t="s">
        <v>1509</v>
      </c>
      <c r="D2661" t="s">
        <v>1510</v>
      </c>
      <c r="E2661" s="9">
        <v>45323</v>
      </c>
      <c r="F2661" s="9">
        <v>45351</v>
      </c>
      <c r="G2661">
        <v>59790000</v>
      </c>
      <c r="H2661">
        <v>10432000</v>
      </c>
      <c r="I2661">
        <v>9771000</v>
      </c>
      <c r="J2661">
        <v>0</v>
      </c>
      <c r="K2661">
        <v>0</v>
      </c>
      <c r="L2661">
        <v>2925000</v>
      </c>
      <c r="M2661">
        <v>0</v>
      </c>
      <c r="T2661" s="9">
        <v>45108</v>
      </c>
      <c r="U2661" s="9">
        <v>45473</v>
      </c>
      <c r="V2661">
        <f>SUM(POTABLE_NONPOTABLE_API[[#This Row],[RESIDENTIAL_SINGLEFAMILY_GAL]:[OTHER_GAL]])</f>
        <v>82918000</v>
      </c>
      <c r="W2661">
        <f>SUM(POTABLE_NONPOTABLE_API[[#This Row],[NONPOTABLE_DEMAND_RESIDENTIAL_RECYCLED_WATER_GAL]:[NONPOTABLE_DEMAND_NONRESIDENTIAL_METERED_IRRIGATION_GAL]])</f>
        <v>0</v>
      </c>
      <c r="X2661" t="str">
        <f>IFERROR(INDEX(Crosswalk_API!$H$2:$H$527, MATCH(POTABLE_NONPOTABLE_API[[#This Row],[PWSID]], CW_PWSID_LIST, 0)), "")</f>
        <v>No</v>
      </c>
    </row>
    <row r="2662" spans="1:24" x14ac:dyDescent="0.25">
      <c r="A2662" t="s">
        <v>1507</v>
      </c>
      <c r="B2662" t="s">
        <v>1508</v>
      </c>
      <c r="C2662" t="s">
        <v>1509</v>
      </c>
      <c r="D2662" t="s">
        <v>1510</v>
      </c>
      <c r="E2662" s="9">
        <v>45352</v>
      </c>
      <c r="F2662" s="9">
        <v>45382</v>
      </c>
      <c r="G2662">
        <v>59139000</v>
      </c>
      <c r="H2662">
        <v>10714000</v>
      </c>
      <c r="I2662">
        <v>10135000</v>
      </c>
      <c r="J2662">
        <v>0</v>
      </c>
      <c r="K2662">
        <v>0</v>
      </c>
      <c r="L2662">
        <v>3186000</v>
      </c>
      <c r="M2662">
        <v>0</v>
      </c>
      <c r="T2662" s="9">
        <v>45108</v>
      </c>
      <c r="U2662" s="9">
        <v>45473</v>
      </c>
      <c r="V2662">
        <f>SUM(POTABLE_NONPOTABLE_API[[#This Row],[RESIDENTIAL_SINGLEFAMILY_GAL]:[OTHER_GAL]])</f>
        <v>83174000</v>
      </c>
      <c r="W2662">
        <f>SUM(POTABLE_NONPOTABLE_API[[#This Row],[NONPOTABLE_DEMAND_RESIDENTIAL_RECYCLED_WATER_GAL]:[NONPOTABLE_DEMAND_NONRESIDENTIAL_METERED_IRRIGATION_GAL]])</f>
        <v>0</v>
      </c>
      <c r="X2662" t="str">
        <f>IFERROR(INDEX(Crosswalk_API!$H$2:$H$527, MATCH(POTABLE_NONPOTABLE_API[[#This Row],[PWSID]], CW_PWSID_LIST, 0)), "")</f>
        <v>No</v>
      </c>
    </row>
    <row r="2663" spans="1:24" x14ac:dyDescent="0.25">
      <c r="A2663" t="s">
        <v>1507</v>
      </c>
      <c r="B2663" t="s">
        <v>1508</v>
      </c>
      <c r="C2663" t="s">
        <v>1509</v>
      </c>
      <c r="D2663" t="s">
        <v>1510</v>
      </c>
      <c r="E2663" s="9">
        <v>45383</v>
      </c>
      <c r="F2663" s="9">
        <v>45412</v>
      </c>
      <c r="G2663">
        <v>76803000</v>
      </c>
      <c r="H2663">
        <v>12214000</v>
      </c>
      <c r="I2663">
        <v>12918000</v>
      </c>
      <c r="J2663">
        <v>0</v>
      </c>
      <c r="K2663">
        <v>0</v>
      </c>
      <c r="L2663">
        <v>6306000</v>
      </c>
      <c r="M2663">
        <v>0</v>
      </c>
      <c r="T2663" s="9">
        <v>45108</v>
      </c>
      <c r="U2663" s="9">
        <v>45473</v>
      </c>
      <c r="V2663">
        <f>SUM(POTABLE_NONPOTABLE_API[[#This Row],[RESIDENTIAL_SINGLEFAMILY_GAL]:[OTHER_GAL]])</f>
        <v>108241000</v>
      </c>
      <c r="W2663">
        <f>SUM(POTABLE_NONPOTABLE_API[[#This Row],[NONPOTABLE_DEMAND_RESIDENTIAL_RECYCLED_WATER_GAL]:[NONPOTABLE_DEMAND_NONRESIDENTIAL_METERED_IRRIGATION_GAL]])</f>
        <v>0</v>
      </c>
      <c r="X2663" t="str">
        <f>IFERROR(INDEX(Crosswalk_API!$H$2:$H$527, MATCH(POTABLE_NONPOTABLE_API[[#This Row],[PWSID]], CW_PWSID_LIST, 0)), "")</f>
        <v>No</v>
      </c>
    </row>
    <row r="2664" spans="1:24" x14ac:dyDescent="0.25">
      <c r="A2664" t="s">
        <v>1507</v>
      </c>
      <c r="B2664" t="s">
        <v>1508</v>
      </c>
      <c r="C2664" t="s">
        <v>1509</v>
      </c>
      <c r="D2664" t="s">
        <v>1510</v>
      </c>
      <c r="E2664" s="9">
        <v>45413</v>
      </c>
      <c r="F2664" s="9">
        <v>45443</v>
      </c>
      <c r="G2664">
        <v>91686000</v>
      </c>
      <c r="H2664">
        <v>13858000</v>
      </c>
      <c r="I2664">
        <v>14351000</v>
      </c>
      <c r="J2664">
        <v>0</v>
      </c>
      <c r="K2664">
        <v>0</v>
      </c>
      <c r="L2664">
        <v>10843000</v>
      </c>
      <c r="M2664">
        <v>0</v>
      </c>
      <c r="T2664" s="9">
        <v>45108</v>
      </c>
      <c r="U2664" s="9">
        <v>45473</v>
      </c>
      <c r="V2664">
        <f>SUM(POTABLE_NONPOTABLE_API[[#This Row],[RESIDENTIAL_SINGLEFAMILY_GAL]:[OTHER_GAL]])</f>
        <v>130738000</v>
      </c>
      <c r="W2664">
        <f>SUM(POTABLE_NONPOTABLE_API[[#This Row],[NONPOTABLE_DEMAND_RESIDENTIAL_RECYCLED_WATER_GAL]:[NONPOTABLE_DEMAND_NONRESIDENTIAL_METERED_IRRIGATION_GAL]])</f>
        <v>0</v>
      </c>
      <c r="X2664" t="str">
        <f>IFERROR(INDEX(Crosswalk_API!$H$2:$H$527, MATCH(POTABLE_NONPOTABLE_API[[#This Row],[PWSID]], CW_PWSID_LIST, 0)), "")</f>
        <v>No</v>
      </c>
    </row>
    <row r="2665" spans="1:24" x14ac:dyDescent="0.25">
      <c r="A2665" t="s">
        <v>1507</v>
      </c>
      <c r="B2665" t="s">
        <v>1508</v>
      </c>
      <c r="C2665" t="s">
        <v>1509</v>
      </c>
      <c r="D2665" t="s">
        <v>1510</v>
      </c>
      <c r="E2665" s="9">
        <v>45444</v>
      </c>
      <c r="F2665" s="9">
        <v>45473</v>
      </c>
      <c r="G2665">
        <v>118993000</v>
      </c>
      <c r="H2665">
        <v>16093000</v>
      </c>
      <c r="I2665">
        <v>17299000</v>
      </c>
      <c r="J2665">
        <v>0</v>
      </c>
      <c r="K2665">
        <v>0</v>
      </c>
      <c r="L2665">
        <v>14851000</v>
      </c>
      <c r="M2665">
        <v>0</v>
      </c>
      <c r="T2665" s="9">
        <v>45108</v>
      </c>
      <c r="U2665" s="9">
        <v>45473</v>
      </c>
      <c r="V2665">
        <f>SUM(POTABLE_NONPOTABLE_API[[#This Row],[RESIDENTIAL_SINGLEFAMILY_GAL]:[OTHER_GAL]])</f>
        <v>167236000</v>
      </c>
      <c r="W2665">
        <f>SUM(POTABLE_NONPOTABLE_API[[#This Row],[NONPOTABLE_DEMAND_RESIDENTIAL_RECYCLED_WATER_GAL]:[NONPOTABLE_DEMAND_NONRESIDENTIAL_METERED_IRRIGATION_GAL]])</f>
        <v>0</v>
      </c>
      <c r="X2665" t="str">
        <f>IFERROR(INDEX(Crosswalk_API!$H$2:$H$527, MATCH(POTABLE_NONPOTABLE_API[[#This Row],[PWSID]], CW_PWSID_LIST, 0)), "")</f>
        <v>No</v>
      </c>
    </row>
    <row r="2666" spans="1:24" x14ac:dyDescent="0.25">
      <c r="A2666" t="s">
        <v>1511</v>
      </c>
      <c r="B2666" t="s">
        <v>1512</v>
      </c>
      <c r="C2666" t="s">
        <v>1513</v>
      </c>
      <c r="D2666" t="s">
        <v>1514</v>
      </c>
      <c r="E2666" s="9">
        <v>45108</v>
      </c>
      <c r="F2666" s="9">
        <v>45138</v>
      </c>
      <c r="G2666">
        <v>394141118.28000003</v>
      </c>
      <c r="H2666">
        <v>48737083.903999999</v>
      </c>
      <c r="I2666">
        <v>82840774.584000006</v>
      </c>
      <c r="J2666">
        <v>91924370.019999996</v>
      </c>
      <c r="K2666">
        <v>4662608.1160000004</v>
      </c>
      <c r="L2666">
        <v>4551896.42</v>
      </c>
      <c r="M2666">
        <v>0</v>
      </c>
      <c r="T2666" s="9">
        <v>45108</v>
      </c>
      <c r="U2666" s="9">
        <v>45473</v>
      </c>
      <c r="V2666">
        <f>SUM(POTABLE_NONPOTABLE_API[[#This Row],[RESIDENTIAL_SINGLEFAMILY_GAL]:[OTHER_GAL]])</f>
        <v>626857851.324</v>
      </c>
      <c r="W2666">
        <f>SUM(POTABLE_NONPOTABLE_API[[#This Row],[NONPOTABLE_DEMAND_RESIDENTIAL_RECYCLED_WATER_GAL]:[NONPOTABLE_DEMAND_NONRESIDENTIAL_METERED_IRRIGATION_GAL]])</f>
        <v>0</v>
      </c>
      <c r="X2666" t="str">
        <f>IFERROR(INDEX(Crosswalk_API!$H$2:$H$527, MATCH(POTABLE_NONPOTABLE_API[[#This Row],[PWSID]], CW_PWSID_LIST, 0)), "")</f>
        <v>No</v>
      </c>
    </row>
    <row r="2667" spans="1:24" x14ac:dyDescent="0.25">
      <c r="A2667" t="s">
        <v>1511</v>
      </c>
      <c r="B2667" t="s">
        <v>1512</v>
      </c>
      <c r="C2667" t="s">
        <v>1513</v>
      </c>
      <c r="D2667" t="s">
        <v>1514</v>
      </c>
      <c r="E2667" s="9">
        <v>45139</v>
      </c>
      <c r="F2667" s="9">
        <v>45169</v>
      </c>
      <c r="G2667">
        <v>421727779.93599999</v>
      </c>
      <c r="H2667">
        <v>61127817.232000001</v>
      </c>
      <c r="I2667">
        <v>88914208.772</v>
      </c>
      <c r="J2667">
        <v>100292827.744</v>
      </c>
      <c r="K2667">
        <v>5138369.1880000001</v>
      </c>
      <c r="L2667">
        <v>5598421.1680000005</v>
      </c>
      <c r="M2667">
        <v>0</v>
      </c>
      <c r="T2667" s="9">
        <v>45108</v>
      </c>
      <c r="U2667" s="9">
        <v>45473</v>
      </c>
      <c r="V2667">
        <f>SUM(POTABLE_NONPOTABLE_API[[#This Row],[RESIDENTIAL_SINGLEFAMILY_GAL]:[OTHER_GAL]])</f>
        <v>682799424.03999984</v>
      </c>
      <c r="W2667">
        <f>SUM(POTABLE_NONPOTABLE_API[[#This Row],[NONPOTABLE_DEMAND_RESIDENTIAL_RECYCLED_WATER_GAL]:[NONPOTABLE_DEMAND_NONRESIDENTIAL_METERED_IRRIGATION_GAL]])</f>
        <v>0</v>
      </c>
      <c r="X2667" t="str">
        <f>IFERROR(INDEX(Crosswalk_API!$H$2:$H$527, MATCH(POTABLE_NONPOTABLE_API[[#This Row],[PWSID]], CW_PWSID_LIST, 0)), "")</f>
        <v>No</v>
      </c>
    </row>
    <row r="2668" spans="1:24" x14ac:dyDescent="0.25">
      <c r="A2668" t="s">
        <v>1511</v>
      </c>
      <c r="B2668" t="s">
        <v>1512</v>
      </c>
      <c r="C2668" t="s">
        <v>1513</v>
      </c>
      <c r="D2668" t="s">
        <v>1514</v>
      </c>
      <c r="E2668" s="9">
        <v>45170</v>
      </c>
      <c r="F2668" s="9">
        <v>45199</v>
      </c>
      <c r="G2668">
        <v>373386415.54000002</v>
      </c>
      <c r="H2668">
        <v>52254424.408</v>
      </c>
      <c r="I2668">
        <v>80512088.708000004</v>
      </c>
      <c r="J2668">
        <v>79675018.519999996</v>
      </c>
      <c r="K2668">
        <v>5343335.4359999998</v>
      </c>
      <c r="L2668">
        <v>1631501.412</v>
      </c>
      <c r="M2668">
        <v>0</v>
      </c>
      <c r="T2668" s="9">
        <v>45108</v>
      </c>
      <c r="U2668" s="9">
        <v>45473</v>
      </c>
      <c r="V2668">
        <f>SUM(POTABLE_NONPOTABLE_API[[#This Row],[RESIDENTIAL_SINGLEFAMILY_GAL]:[OTHER_GAL]])</f>
        <v>592802784.02399993</v>
      </c>
      <c r="W2668">
        <f>SUM(POTABLE_NONPOTABLE_API[[#This Row],[NONPOTABLE_DEMAND_RESIDENTIAL_RECYCLED_WATER_GAL]:[NONPOTABLE_DEMAND_NONRESIDENTIAL_METERED_IRRIGATION_GAL]])</f>
        <v>0</v>
      </c>
      <c r="X2668" t="str">
        <f>IFERROR(INDEX(Crosswalk_API!$H$2:$H$527, MATCH(POTABLE_NONPOTABLE_API[[#This Row],[PWSID]], CW_PWSID_LIST, 0)), "")</f>
        <v>No</v>
      </c>
    </row>
    <row r="2669" spans="1:24" x14ac:dyDescent="0.25">
      <c r="A2669" t="s">
        <v>1511</v>
      </c>
      <c r="B2669" t="s">
        <v>1512</v>
      </c>
      <c r="C2669" t="s">
        <v>1513</v>
      </c>
      <c r="D2669" t="s">
        <v>1514</v>
      </c>
      <c r="E2669" s="9">
        <v>45200</v>
      </c>
      <c r="F2669" s="9">
        <v>45230</v>
      </c>
      <c r="G2669">
        <v>317925840.25999999</v>
      </c>
      <c r="H2669">
        <v>49052761.848000005</v>
      </c>
      <c r="I2669">
        <v>71334238.719999999</v>
      </c>
      <c r="J2669">
        <v>57794497.520000003</v>
      </c>
      <c r="K2669">
        <v>4500280.8320000004</v>
      </c>
      <c r="L2669">
        <v>2909922.2800000003</v>
      </c>
      <c r="M2669">
        <v>0</v>
      </c>
      <c r="T2669" s="9">
        <v>45108</v>
      </c>
      <c r="U2669" s="9">
        <v>45473</v>
      </c>
      <c r="V2669">
        <f>SUM(POTABLE_NONPOTABLE_API[[#This Row],[RESIDENTIAL_SINGLEFAMILY_GAL]:[OTHER_GAL]])</f>
        <v>503517541.45999992</v>
      </c>
      <c r="W2669">
        <f>SUM(POTABLE_NONPOTABLE_API[[#This Row],[NONPOTABLE_DEMAND_RESIDENTIAL_RECYCLED_WATER_GAL]:[NONPOTABLE_DEMAND_NONRESIDENTIAL_METERED_IRRIGATION_GAL]])</f>
        <v>0</v>
      </c>
      <c r="X2669" t="str">
        <f>IFERROR(INDEX(Crosswalk_API!$H$2:$H$527, MATCH(POTABLE_NONPOTABLE_API[[#This Row],[PWSID]], CW_PWSID_LIST, 0)), "")</f>
        <v>No</v>
      </c>
    </row>
    <row r="2670" spans="1:24" x14ac:dyDescent="0.25">
      <c r="A2670" t="s">
        <v>1511</v>
      </c>
      <c r="B2670" t="s">
        <v>1512</v>
      </c>
      <c r="C2670" t="s">
        <v>1513</v>
      </c>
      <c r="D2670" t="s">
        <v>1514</v>
      </c>
      <c r="E2670" s="9">
        <v>45231</v>
      </c>
      <c r="F2670" s="9">
        <v>45260</v>
      </c>
      <c r="G2670">
        <v>328376126.69999999</v>
      </c>
      <c r="H2670">
        <v>49641478.772</v>
      </c>
      <c r="I2670">
        <v>64396056.420000002</v>
      </c>
      <c r="J2670">
        <v>64129001.855999999</v>
      </c>
      <c r="K2670">
        <v>4223501.5920000002</v>
      </c>
      <c r="L2670">
        <v>3616083.3680000002</v>
      </c>
      <c r="M2670">
        <v>0</v>
      </c>
      <c r="T2670" s="9">
        <v>45108</v>
      </c>
      <c r="U2670" s="9">
        <v>45473</v>
      </c>
      <c r="V2670">
        <f>SUM(POTABLE_NONPOTABLE_API[[#This Row],[RESIDENTIAL_SINGLEFAMILY_GAL]:[OTHER_GAL]])</f>
        <v>514382248.708</v>
      </c>
      <c r="W2670">
        <f>SUM(POTABLE_NONPOTABLE_API[[#This Row],[NONPOTABLE_DEMAND_RESIDENTIAL_RECYCLED_WATER_GAL]:[NONPOTABLE_DEMAND_NONRESIDENTIAL_METERED_IRRIGATION_GAL]])</f>
        <v>0</v>
      </c>
      <c r="X2670" t="str">
        <f>IFERROR(INDEX(Crosswalk_API!$H$2:$H$527, MATCH(POTABLE_NONPOTABLE_API[[#This Row],[PWSID]], CW_PWSID_LIST, 0)), "")</f>
        <v>No</v>
      </c>
    </row>
    <row r="2671" spans="1:24" x14ac:dyDescent="0.25">
      <c r="A2671" t="s">
        <v>1511</v>
      </c>
      <c r="B2671" t="s">
        <v>1512</v>
      </c>
      <c r="C2671" t="s">
        <v>1513</v>
      </c>
      <c r="D2671" t="s">
        <v>1514</v>
      </c>
      <c r="E2671" s="9">
        <v>45261</v>
      </c>
      <c r="F2671" s="9">
        <v>45291</v>
      </c>
      <c r="G2671">
        <v>279613609.028</v>
      </c>
      <c r="H2671">
        <v>46465998.031999998</v>
      </c>
      <c r="I2671">
        <v>58228367.68</v>
      </c>
      <c r="J2671">
        <v>58418372.888000004</v>
      </c>
      <c r="K2671">
        <v>3755969.0920000002</v>
      </c>
      <c r="L2671">
        <v>2155137.8119999999</v>
      </c>
      <c r="M2671">
        <v>0</v>
      </c>
      <c r="T2671" s="9">
        <v>45108</v>
      </c>
      <c r="U2671" s="9">
        <v>45473</v>
      </c>
      <c r="V2671">
        <f>SUM(POTABLE_NONPOTABLE_API[[#This Row],[RESIDENTIAL_SINGLEFAMILY_GAL]:[OTHER_GAL]])</f>
        <v>448637454.53200001</v>
      </c>
      <c r="W2671">
        <f>SUM(POTABLE_NONPOTABLE_API[[#This Row],[NONPOTABLE_DEMAND_RESIDENTIAL_RECYCLED_WATER_GAL]:[NONPOTABLE_DEMAND_NONRESIDENTIAL_METERED_IRRIGATION_GAL]])</f>
        <v>0</v>
      </c>
      <c r="X2671" t="str">
        <f>IFERROR(INDEX(Crosswalk_API!$H$2:$H$527, MATCH(POTABLE_NONPOTABLE_API[[#This Row],[PWSID]], CW_PWSID_LIST, 0)), "")</f>
        <v>No</v>
      </c>
    </row>
    <row r="2672" spans="1:24" x14ac:dyDescent="0.25">
      <c r="A2672" t="s">
        <v>1511</v>
      </c>
      <c r="B2672" t="s">
        <v>1512</v>
      </c>
      <c r="C2672" t="s">
        <v>1513</v>
      </c>
      <c r="D2672" t="s">
        <v>1514</v>
      </c>
      <c r="E2672" s="9">
        <v>45292</v>
      </c>
      <c r="F2672" s="9">
        <v>45322</v>
      </c>
      <c r="G2672">
        <v>249833658.90799999</v>
      </c>
      <c r="H2672">
        <v>46716595.452</v>
      </c>
      <c r="I2672">
        <v>51891619.188000001</v>
      </c>
      <c r="J2672">
        <v>40831670.368000001</v>
      </c>
      <c r="K2672">
        <v>3867428.8400000003</v>
      </c>
      <c r="L2672">
        <v>1545475.432</v>
      </c>
      <c r="M2672">
        <v>0</v>
      </c>
      <c r="T2672" s="9">
        <v>45108</v>
      </c>
      <c r="U2672" s="9">
        <v>45473</v>
      </c>
      <c r="V2672">
        <f>SUM(POTABLE_NONPOTABLE_API[[#This Row],[RESIDENTIAL_SINGLEFAMILY_GAL]:[OTHER_GAL]])</f>
        <v>394686448.18799996</v>
      </c>
      <c r="W2672">
        <f>SUM(POTABLE_NONPOTABLE_API[[#This Row],[NONPOTABLE_DEMAND_RESIDENTIAL_RECYCLED_WATER_GAL]:[NONPOTABLE_DEMAND_NONRESIDENTIAL_METERED_IRRIGATION_GAL]])</f>
        <v>0</v>
      </c>
      <c r="X2672" t="str">
        <f>IFERROR(INDEX(Crosswalk_API!$H$2:$H$527, MATCH(POTABLE_NONPOTABLE_API[[#This Row],[PWSID]], CW_PWSID_LIST, 0)), "")</f>
        <v>No</v>
      </c>
    </row>
    <row r="2673" spans="1:24" x14ac:dyDescent="0.25">
      <c r="A2673" t="s">
        <v>1511</v>
      </c>
      <c r="B2673" t="s">
        <v>1512</v>
      </c>
      <c r="C2673" t="s">
        <v>1513</v>
      </c>
      <c r="D2673" t="s">
        <v>1514</v>
      </c>
      <c r="E2673" s="9">
        <v>45323</v>
      </c>
      <c r="F2673" s="9">
        <v>45351</v>
      </c>
      <c r="G2673">
        <v>206292544.19600001</v>
      </c>
      <c r="H2673">
        <v>41399441.836000003</v>
      </c>
      <c r="I2673">
        <v>46640294.148000002</v>
      </c>
      <c r="J2673">
        <v>24732095.223999999</v>
      </c>
      <c r="K2673">
        <v>3773174.2880000002</v>
      </c>
      <c r="L2673">
        <v>1264207.8800000001</v>
      </c>
      <c r="M2673">
        <v>0</v>
      </c>
      <c r="T2673" s="9">
        <v>45108</v>
      </c>
      <c r="U2673" s="9">
        <v>45473</v>
      </c>
      <c r="V2673">
        <f>SUM(POTABLE_NONPOTABLE_API[[#This Row],[RESIDENTIAL_SINGLEFAMILY_GAL]:[OTHER_GAL]])</f>
        <v>324101757.57199997</v>
      </c>
      <c r="W2673">
        <f>SUM(POTABLE_NONPOTABLE_API[[#This Row],[NONPOTABLE_DEMAND_RESIDENTIAL_RECYCLED_WATER_GAL]:[NONPOTABLE_DEMAND_NONRESIDENTIAL_METERED_IRRIGATION_GAL]])</f>
        <v>0</v>
      </c>
      <c r="X2673" t="str">
        <f>IFERROR(INDEX(Crosswalk_API!$H$2:$H$527, MATCH(POTABLE_NONPOTABLE_API[[#This Row],[PWSID]], CW_PWSID_LIST, 0)), "")</f>
        <v>No</v>
      </c>
    </row>
    <row r="2674" spans="1:24" x14ac:dyDescent="0.25">
      <c r="A2674" t="s">
        <v>1511</v>
      </c>
      <c r="B2674" t="s">
        <v>1512</v>
      </c>
      <c r="C2674" t="s">
        <v>1513</v>
      </c>
      <c r="D2674" t="s">
        <v>1514</v>
      </c>
      <c r="E2674" s="9">
        <v>45352</v>
      </c>
      <c r="F2674" s="9">
        <v>45382</v>
      </c>
      <c r="G2674">
        <v>216034425.39200002</v>
      </c>
      <c r="H2674">
        <v>40795763.872000001</v>
      </c>
      <c r="I2674">
        <v>49574902.144000001</v>
      </c>
      <c r="J2674">
        <v>27413861.644000001</v>
      </c>
      <c r="K2674">
        <v>3535293.7520000003</v>
      </c>
      <c r="L2674">
        <v>5801143.2599999998</v>
      </c>
      <c r="M2674">
        <v>0</v>
      </c>
      <c r="T2674" s="9">
        <v>45108</v>
      </c>
      <c r="U2674" s="9">
        <v>45473</v>
      </c>
      <c r="V2674">
        <f>SUM(POTABLE_NONPOTABLE_API[[#This Row],[RESIDENTIAL_SINGLEFAMILY_GAL]:[OTHER_GAL]])</f>
        <v>343155390.06400001</v>
      </c>
      <c r="W2674">
        <f>SUM(POTABLE_NONPOTABLE_API[[#This Row],[NONPOTABLE_DEMAND_RESIDENTIAL_RECYCLED_WATER_GAL]:[NONPOTABLE_DEMAND_NONRESIDENTIAL_METERED_IRRIGATION_GAL]])</f>
        <v>0</v>
      </c>
      <c r="X2674" t="str">
        <f>IFERROR(INDEX(Crosswalk_API!$H$2:$H$527, MATCH(POTABLE_NONPOTABLE_API[[#This Row],[PWSID]], CW_PWSID_LIST, 0)), "")</f>
        <v>No</v>
      </c>
    </row>
    <row r="2675" spans="1:24" x14ac:dyDescent="0.25">
      <c r="A2675" t="s">
        <v>1511</v>
      </c>
      <c r="B2675" t="s">
        <v>1512</v>
      </c>
      <c r="C2675" t="s">
        <v>1513</v>
      </c>
      <c r="D2675" t="s">
        <v>1514</v>
      </c>
      <c r="E2675" s="9">
        <v>45383</v>
      </c>
      <c r="F2675" s="9">
        <v>45412</v>
      </c>
      <c r="G2675">
        <v>247440640.56</v>
      </c>
      <c r="H2675">
        <v>41154080.780000001</v>
      </c>
      <c r="I2675">
        <v>49472419.020000003</v>
      </c>
      <c r="J2675">
        <v>37608314.300000004</v>
      </c>
      <c r="K2675">
        <v>3809080.784</v>
      </c>
      <c r="L2675">
        <v>7778992.7480000006</v>
      </c>
      <c r="M2675">
        <v>0</v>
      </c>
      <c r="T2675" s="9">
        <v>45108</v>
      </c>
      <c r="U2675" s="9">
        <v>45473</v>
      </c>
      <c r="V2675">
        <f>SUM(POTABLE_NONPOTABLE_API[[#This Row],[RESIDENTIAL_SINGLEFAMILY_GAL]:[OTHER_GAL]])</f>
        <v>387263528.19200003</v>
      </c>
      <c r="W2675">
        <f>SUM(POTABLE_NONPOTABLE_API[[#This Row],[NONPOTABLE_DEMAND_RESIDENTIAL_RECYCLED_WATER_GAL]:[NONPOTABLE_DEMAND_NONRESIDENTIAL_METERED_IRRIGATION_GAL]])</f>
        <v>0</v>
      </c>
      <c r="X2675" t="str">
        <f>IFERROR(INDEX(Crosswalk_API!$H$2:$H$527, MATCH(POTABLE_NONPOTABLE_API[[#This Row],[PWSID]], CW_PWSID_LIST, 0)), "")</f>
        <v>No</v>
      </c>
    </row>
    <row r="2676" spans="1:24" x14ac:dyDescent="0.25">
      <c r="A2676" t="s">
        <v>1511</v>
      </c>
      <c r="B2676" t="s">
        <v>1512</v>
      </c>
      <c r="C2676" t="s">
        <v>1513</v>
      </c>
      <c r="D2676" t="s">
        <v>1514</v>
      </c>
      <c r="E2676" s="9">
        <v>45413</v>
      </c>
      <c r="F2676" s="9">
        <v>45443</v>
      </c>
      <c r="G2676">
        <v>332665456.86800003</v>
      </c>
      <c r="H2676">
        <v>47090621.452</v>
      </c>
      <c r="I2676">
        <v>68437033.324000001</v>
      </c>
      <c r="J2676">
        <v>65427620.127999999</v>
      </c>
      <c r="K2676">
        <v>4121018.4680000003</v>
      </c>
      <c r="L2676">
        <v>5480228.9520000005</v>
      </c>
      <c r="M2676">
        <v>0</v>
      </c>
      <c r="T2676" s="9">
        <v>45108</v>
      </c>
      <c r="U2676" s="9">
        <v>45473</v>
      </c>
      <c r="V2676">
        <f>SUM(POTABLE_NONPOTABLE_API[[#This Row],[RESIDENTIAL_SINGLEFAMILY_GAL]:[OTHER_GAL]])</f>
        <v>523221979.19200009</v>
      </c>
      <c r="W2676">
        <f>SUM(POTABLE_NONPOTABLE_API[[#This Row],[NONPOTABLE_DEMAND_RESIDENTIAL_RECYCLED_WATER_GAL]:[NONPOTABLE_DEMAND_NONRESIDENTIAL_METERED_IRRIGATION_GAL]])</f>
        <v>0</v>
      </c>
      <c r="X2676" t="str">
        <f>IFERROR(INDEX(Crosswalk_API!$H$2:$H$527, MATCH(POTABLE_NONPOTABLE_API[[#This Row],[PWSID]], CW_PWSID_LIST, 0)), "")</f>
        <v>No</v>
      </c>
    </row>
    <row r="2677" spans="1:24" x14ac:dyDescent="0.25">
      <c r="A2677" t="s">
        <v>1511</v>
      </c>
      <c r="B2677" t="s">
        <v>1512</v>
      </c>
      <c r="C2677" t="s">
        <v>1513</v>
      </c>
      <c r="D2677" t="s">
        <v>1514</v>
      </c>
      <c r="E2677" s="9">
        <v>45444</v>
      </c>
      <c r="F2677" s="9">
        <v>45473</v>
      </c>
      <c r="G2677">
        <v>362456627.76800001</v>
      </c>
      <c r="H2677">
        <v>49493364.476000004</v>
      </c>
      <c r="I2677">
        <v>74464088.288000003</v>
      </c>
      <c r="J2677">
        <v>80966156.272</v>
      </c>
      <c r="K2677">
        <v>3984873.0040000002</v>
      </c>
      <c r="L2677">
        <v>5827325.0800000001</v>
      </c>
      <c r="M2677">
        <v>0</v>
      </c>
      <c r="T2677" s="9">
        <v>45108</v>
      </c>
      <c r="U2677" s="9">
        <v>45473</v>
      </c>
      <c r="V2677">
        <f>SUM(POTABLE_NONPOTABLE_API[[#This Row],[RESIDENTIAL_SINGLEFAMILY_GAL]:[OTHER_GAL]])</f>
        <v>577192434.88800001</v>
      </c>
      <c r="W2677">
        <f>SUM(POTABLE_NONPOTABLE_API[[#This Row],[NONPOTABLE_DEMAND_RESIDENTIAL_RECYCLED_WATER_GAL]:[NONPOTABLE_DEMAND_NONRESIDENTIAL_METERED_IRRIGATION_GAL]])</f>
        <v>0</v>
      </c>
      <c r="X2677" t="str">
        <f>IFERROR(INDEX(Crosswalk_API!$H$2:$H$527, MATCH(POTABLE_NONPOTABLE_API[[#This Row],[PWSID]], CW_PWSID_LIST, 0)), "")</f>
        <v>No</v>
      </c>
    </row>
    <row r="2678" spans="1:24" x14ac:dyDescent="0.25">
      <c r="A2678" t="s">
        <v>1515</v>
      </c>
      <c r="B2678" t="s">
        <v>1516</v>
      </c>
      <c r="C2678" t="s">
        <v>1517</v>
      </c>
      <c r="D2678" t="s">
        <v>1518</v>
      </c>
      <c r="E2678" s="9">
        <v>45108</v>
      </c>
      <c r="F2678" s="9">
        <v>45138</v>
      </c>
      <c r="G2678">
        <v>100300848.01200001</v>
      </c>
      <c r="H2678">
        <v>62139459.849000007</v>
      </c>
      <c r="I2678">
        <v>54504445.068000004</v>
      </c>
      <c r="J2678">
        <v>0</v>
      </c>
      <c r="K2678">
        <v>2217741.906</v>
      </c>
      <c r="L2678">
        <v>0</v>
      </c>
      <c r="M2678">
        <v>0</v>
      </c>
      <c r="N2678">
        <v>0</v>
      </c>
      <c r="O2678">
        <v>0</v>
      </c>
      <c r="P2678">
        <v>0</v>
      </c>
      <c r="Q2678">
        <v>30890675</v>
      </c>
      <c r="R2678">
        <v>0</v>
      </c>
      <c r="S2678">
        <v>0</v>
      </c>
      <c r="T2678" s="9">
        <v>45108</v>
      </c>
      <c r="U2678" s="9">
        <v>45473</v>
      </c>
      <c r="V2678">
        <f>SUM(POTABLE_NONPOTABLE_API[[#This Row],[RESIDENTIAL_SINGLEFAMILY_GAL]:[OTHER_GAL]])</f>
        <v>219162494.83500001</v>
      </c>
      <c r="W2678">
        <f>SUM(POTABLE_NONPOTABLE_API[[#This Row],[NONPOTABLE_DEMAND_RESIDENTIAL_RECYCLED_WATER_GAL]:[NONPOTABLE_DEMAND_NONRESIDENTIAL_METERED_IRRIGATION_GAL]])</f>
        <v>30890675</v>
      </c>
      <c r="X2678" t="str">
        <f>IFERROR(INDEX(Crosswalk_API!$H$2:$H$527, MATCH(POTABLE_NONPOTABLE_API[[#This Row],[PWSID]], CW_PWSID_LIST, 0)), "")</f>
        <v>No</v>
      </c>
    </row>
    <row r="2679" spans="1:24" x14ac:dyDescent="0.25">
      <c r="A2679" t="s">
        <v>1515</v>
      </c>
      <c r="B2679" t="s">
        <v>1516</v>
      </c>
      <c r="C2679" t="s">
        <v>1517</v>
      </c>
      <c r="D2679" t="s">
        <v>1518</v>
      </c>
      <c r="E2679" s="9">
        <v>45139</v>
      </c>
      <c r="F2679" s="9">
        <v>45169</v>
      </c>
      <c r="G2679">
        <v>101212579.11</v>
      </c>
      <c r="H2679">
        <v>54463387.842</v>
      </c>
      <c r="I2679">
        <v>57190434.861000001</v>
      </c>
      <c r="J2679">
        <v>0</v>
      </c>
      <c r="K2679">
        <v>2046670.1309999998</v>
      </c>
      <c r="L2679">
        <v>0</v>
      </c>
      <c r="M2679">
        <v>0</v>
      </c>
      <c r="N2679">
        <v>0</v>
      </c>
      <c r="O2679">
        <v>0</v>
      </c>
      <c r="P2679">
        <v>0</v>
      </c>
      <c r="Q2679">
        <v>29342883</v>
      </c>
      <c r="R2679">
        <v>0</v>
      </c>
      <c r="S2679">
        <v>0</v>
      </c>
      <c r="T2679" s="9">
        <v>45108</v>
      </c>
      <c r="U2679" s="9">
        <v>45473</v>
      </c>
      <c r="V2679">
        <f>SUM(POTABLE_NONPOTABLE_API[[#This Row],[RESIDENTIAL_SINGLEFAMILY_GAL]:[OTHER_GAL]])</f>
        <v>214913071.94400001</v>
      </c>
      <c r="W2679">
        <f>SUM(POTABLE_NONPOTABLE_API[[#This Row],[NONPOTABLE_DEMAND_RESIDENTIAL_RECYCLED_WATER_GAL]:[NONPOTABLE_DEMAND_NONRESIDENTIAL_METERED_IRRIGATION_GAL]])</f>
        <v>29342883</v>
      </c>
      <c r="X2679" t="str">
        <f>IFERROR(INDEX(Crosswalk_API!$H$2:$H$527, MATCH(POTABLE_NONPOTABLE_API[[#This Row],[PWSID]], CW_PWSID_LIST, 0)), "")</f>
        <v>No</v>
      </c>
    </row>
    <row r="2680" spans="1:24" x14ac:dyDescent="0.25">
      <c r="A2680" t="s">
        <v>1515</v>
      </c>
      <c r="B2680" t="s">
        <v>1516</v>
      </c>
      <c r="C2680" t="s">
        <v>1517</v>
      </c>
      <c r="D2680" t="s">
        <v>1518</v>
      </c>
      <c r="E2680" s="9">
        <v>45170</v>
      </c>
      <c r="F2680" s="9">
        <v>45199</v>
      </c>
      <c r="G2680">
        <v>95019780.855000004</v>
      </c>
      <c r="H2680">
        <v>56258501.001000002</v>
      </c>
      <c r="I2680">
        <v>55313207.25</v>
      </c>
      <c r="J2680">
        <v>0</v>
      </c>
      <c r="K2680">
        <v>2199820.1010000003</v>
      </c>
      <c r="L2680">
        <v>0</v>
      </c>
      <c r="M2680">
        <v>0</v>
      </c>
      <c r="N2680">
        <v>0</v>
      </c>
      <c r="O2680">
        <v>0</v>
      </c>
      <c r="P2680">
        <v>0</v>
      </c>
      <c r="Q2680">
        <v>15187915</v>
      </c>
      <c r="R2680">
        <v>0</v>
      </c>
      <c r="S2680">
        <v>0</v>
      </c>
      <c r="T2680" s="9">
        <v>45108</v>
      </c>
      <c r="U2680" s="9">
        <v>45473</v>
      </c>
      <c r="V2680">
        <f>SUM(POTABLE_NONPOTABLE_API[[#This Row],[RESIDENTIAL_SINGLEFAMILY_GAL]:[OTHER_GAL]])</f>
        <v>208791309.20700002</v>
      </c>
      <c r="W2680">
        <f>SUM(POTABLE_NONPOTABLE_API[[#This Row],[NONPOTABLE_DEMAND_RESIDENTIAL_RECYCLED_WATER_GAL]:[NONPOTABLE_DEMAND_NONRESIDENTIAL_METERED_IRRIGATION_GAL]])</f>
        <v>15187915</v>
      </c>
      <c r="X2680" t="str">
        <f>IFERROR(INDEX(Crosswalk_API!$H$2:$H$527, MATCH(POTABLE_NONPOTABLE_API[[#This Row],[PWSID]], CW_PWSID_LIST, 0)), "")</f>
        <v>No</v>
      </c>
    </row>
    <row r="2681" spans="1:24" x14ac:dyDescent="0.25">
      <c r="A2681" t="s">
        <v>1515</v>
      </c>
      <c r="B2681" t="s">
        <v>1516</v>
      </c>
      <c r="C2681" t="s">
        <v>1517</v>
      </c>
      <c r="D2681" t="s">
        <v>1518</v>
      </c>
      <c r="E2681" s="9">
        <v>45200</v>
      </c>
      <c r="F2681" s="9">
        <v>45230</v>
      </c>
      <c r="G2681">
        <v>84491209.193999991</v>
      </c>
      <c r="H2681">
        <v>48382030.629000001</v>
      </c>
      <c r="I2681">
        <v>51572437.770000003</v>
      </c>
      <c r="J2681">
        <v>0</v>
      </c>
      <c r="K2681">
        <v>1855721.4450000001</v>
      </c>
      <c r="L2681">
        <v>0</v>
      </c>
      <c r="M2681">
        <v>0</v>
      </c>
      <c r="N2681">
        <v>0</v>
      </c>
      <c r="O2681">
        <v>0</v>
      </c>
      <c r="P2681">
        <v>0</v>
      </c>
      <c r="Q2681">
        <v>17400443</v>
      </c>
      <c r="R2681">
        <v>0</v>
      </c>
      <c r="S2681">
        <v>0</v>
      </c>
      <c r="T2681" s="9">
        <v>45108</v>
      </c>
      <c r="U2681" s="9">
        <v>45473</v>
      </c>
      <c r="V2681">
        <f>SUM(POTABLE_NONPOTABLE_API[[#This Row],[RESIDENTIAL_SINGLEFAMILY_GAL]:[OTHER_GAL]])</f>
        <v>186301399.03799999</v>
      </c>
      <c r="W2681">
        <f>SUM(POTABLE_NONPOTABLE_API[[#This Row],[NONPOTABLE_DEMAND_RESIDENTIAL_RECYCLED_WATER_GAL]:[NONPOTABLE_DEMAND_NONRESIDENTIAL_METERED_IRRIGATION_GAL]])</f>
        <v>17400443</v>
      </c>
      <c r="X2681" t="str">
        <f>IFERROR(INDEX(Crosswalk_API!$H$2:$H$527, MATCH(POTABLE_NONPOTABLE_API[[#This Row],[PWSID]], CW_PWSID_LIST, 0)), "")</f>
        <v>No</v>
      </c>
    </row>
    <row r="2682" spans="1:24" x14ac:dyDescent="0.25">
      <c r="A2682" t="s">
        <v>1515</v>
      </c>
      <c r="B2682" t="s">
        <v>1516</v>
      </c>
      <c r="C2682" t="s">
        <v>1517</v>
      </c>
      <c r="D2682" t="s">
        <v>1518</v>
      </c>
      <c r="E2682" s="9">
        <v>45231</v>
      </c>
      <c r="F2682" s="9">
        <v>45260</v>
      </c>
      <c r="G2682">
        <v>83676581.693999991</v>
      </c>
      <c r="H2682">
        <v>51176528.805</v>
      </c>
      <c r="I2682">
        <v>53178231.498000003</v>
      </c>
      <c r="J2682">
        <v>0</v>
      </c>
      <c r="K2682">
        <v>2057097.3629999999</v>
      </c>
      <c r="L2682">
        <v>0</v>
      </c>
      <c r="M2682">
        <v>0</v>
      </c>
      <c r="N2682">
        <v>0</v>
      </c>
      <c r="O2682">
        <v>0</v>
      </c>
      <c r="P2682">
        <v>0</v>
      </c>
      <c r="Q2682">
        <v>13900804</v>
      </c>
      <c r="R2682">
        <v>0</v>
      </c>
      <c r="S2682">
        <v>0</v>
      </c>
      <c r="T2682" s="9">
        <v>45108</v>
      </c>
      <c r="U2682" s="9">
        <v>45473</v>
      </c>
      <c r="V2682">
        <f>SUM(POTABLE_NONPOTABLE_API[[#This Row],[RESIDENTIAL_SINGLEFAMILY_GAL]:[OTHER_GAL]])</f>
        <v>190088439.35999998</v>
      </c>
      <c r="W2682">
        <f>SUM(POTABLE_NONPOTABLE_API[[#This Row],[NONPOTABLE_DEMAND_RESIDENTIAL_RECYCLED_WATER_GAL]:[NONPOTABLE_DEMAND_NONRESIDENTIAL_METERED_IRRIGATION_GAL]])</f>
        <v>13900804</v>
      </c>
      <c r="X2682" t="str">
        <f>IFERROR(INDEX(Crosswalk_API!$H$2:$H$527, MATCH(POTABLE_NONPOTABLE_API[[#This Row],[PWSID]], CW_PWSID_LIST, 0)), "")</f>
        <v>No</v>
      </c>
    </row>
    <row r="2683" spans="1:24" x14ac:dyDescent="0.25">
      <c r="A2683" t="s">
        <v>1515</v>
      </c>
      <c r="B2683" t="s">
        <v>1516</v>
      </c>
      <c r="C2683" t="s">
        <v>1517</v>
      </c>
      <c r="D2683" t="s">
        <v>1518</v>
      </c>
      <c r="E2683" s="9">
        <v>45261</v>
      </c>
      <c r="F2683" s="9">
        <v>45291</v>
      </c>
      <c r="G2683">
        <v>72091601.091000006</v>
      </c>
      <c r="H2683">
        <v>41783222.028000005</v>
      </c>
      <c r="I2683">
        <v>42570152.193000004</v>
      </c>
      <c r="J2683">
        <v>0</v>
      </c>
      <c r="K2683">
        <v>1467632.9039999999</v>
      </c>
      <c r="L2683">
        <v>0</v>
      </c>
      <c r="M2683">
        <v>0</v>
      </c>
      <c r="N2683">
        <v>0</v>
      </c>
      <c r="O2683">
        <v>0</v>
      </c>
      <c r="P2683">
        <v>0</v>
      </c>
      <c r="Q2683">
        <v>9048882</v>
      </c>
      <c r="R2683">
        <v>0</v>
      </c>
      <c r="S2683">
        <v>0</v>
      </c>
      <c r="T2683" s="9">
        <v>45108</v>
      </c>
      <c r="U2683" s="9">
        <v>45473</v>
      </c>
      <c r="V2683">
        <f>SUM(POTABLE_NONPOTABLE_API[[#This Row],[RESIDENTIAL_SINGLEFAMILY_GAL]:[OTHER_GAL]])</f>
        <v>157912608.21600005</v>
      </c>
      <c r="W2683">
        <f>SUM(POTABLE_NONPOTABLE_API[[#This Row],[NONPOTABLE_DEMAND_RESIDENTIAL_RECYCLED_WATER_GAL]:[NONPOTABLE_DEMAND_NONRESIDENTIAL_METERED_IRRIGATION_GAL]])</f>
        <v>9048882</v>
      </c>
      <c r="X2683" t="str">
        <f>IFERROR(INDEX(Crosswalk_API!$H$2:$H$527, MATCH(POTABLE_NONPOTABLE_API[[#This Row],[PWSID]], CW_PWSID_LIST, 0)), "")</f>
        <v>No</v>
      </c>
    </row>
    <row r="2684" spans="1:24" x14ac:dyDescent="0.25">
      <c r="A2684" t="s">
        <v>1515</v>
      </c>
      <c r="B2684" t="s">
        <v>1516</v>
      </c>
      <c r="C2684" t="s">
        <v>1517</v>
      </c>
      <c r="D2684" t="s">
        <v>1518</v>
      </c>
      <c r="E2684" s="9">
        <v>45292</v>
      </c>
      <c r="F2684" s="9">
        <v>45322</v>
      </c>
      <c r="G2684">
        <v>110323373.06999999</v>
      </c>
      <c r="H2684">
        <v>81715936.226999998</v>
      </c>
      <c r="I2684">
        <v>64220344.335000001</v>
      </c>
      <c r="J2684">
        <v>0</v>
      </c>
      <c r="K2684">
        <v>3348119.0249999999</v>
      </c>
      <c r="L2684">
        <v>0</v>
      </c>
      <c r="M2684">
        <v>0</v>
      </c>
      <c r="N2684">
        <v>0</v>
      </c>
      <c r="O2684">
        <v>0</v>
      </c>
      <c r="P2684">
        <v>0</v>
      </c>
      <c r="Q2684">
        <v>3991674.75</v>
      </c>
      <c r="R2684">
        <v>0</v>
      </c>
      <c r="S2684">
        <v>0</v>
      </c>
      <c r="T2684" s="9">
        <v>45108</v>
      </c>
      <c r="U2684" s="9">
        <v>45473</v>
      </c>
      <c r="V2684">
        <f>SUM(POTABLE_NONPOTABLE_API[[#This Row],[RESIDENTIAL_SINGLEFAMILY_GAL]:[OTHER_GAL]])</f>
        <v>259607772.65700001</v>
      </c>
      <c r="W2684">
        <f>SUM(POTABLE_NONPOTABLE_API[[#This Row],[NONPOTABLE_DEMAND_RESIDENTIAL_RECYCLED_WATER_GAL]:[NONPOTABLE_DEMAND_NONRESIDENTIAL_METERED_IRRIGATION_GAL]])</f>
        <v>3991674.75</v>
      </c>
      <c r="X2684" t="str">
        <f>IFERROR(INDEX(Crosswalk_API!$H$2:$H$527, MATCH(POTABLE_NONPOTABLE_API[[#This Row],[PWSID]], CW_PWSID_LIST, 0)), "")</f>
        <v>No</v>
      </c>
    </row>
    <row r="2685" spans="1:24" x14ac:dyDescent="0.25">
      <c r="A2685" t="s">
        <v>1515</v>
      </c>
      <c r="B2685" t="s">
        <v>1516</v>
      </c>
      <c r="C2685" t="s">
        <v>1517</v>
      </c>
      <c r="D2685" t="s">
        <v>1518</v>
      </c>
      <c r="E2685" s="9">
        <v>45323</v>
      </c>
      <c r="F2685" s="9">
        <v>45351</v>
      </c>
      <c r="G2685">
        <v>83800079.223000005</v>
      </c>
      <c r="H2685">
        <v>60844527.975000001</v>
      </c>
      <c r="I2685">
        <v>48719612.264999993</v>
      </c>
      <c r="J2685">
        <v>0</v>
      </c>
      <c r="K2685">
        <v>2932007.298</v>
      </c>
      <c r="L2685">
        <v>0</v>
      </c>
      <c r="M2685">
        <v>0</v>
      </c>
      <c r="N2685">
        <v>0</v>
      </c>
      <c r="O2685">
        <v>0</v>
      </c>
      <c r="P2685">
        <v>0</v>
      </c>
      <c r="Q2685">
        <v>247646.76</v>
      </c>
      <c r="R2685">
        <v>0</v>
      </c>
      <c r="S2685">
        <v>0</v>
      </c>
      <c r="T2685" s="9">
        <v>45108</v>
      </c>
      <c r="U2685" s="9">
        <v>45473</v>
      </c>
      <c r="V2685">
        <f>SUM(POTABLE_NONPOTABLE_API[[#This Row],[RESIDENTIAL_SINGLEFAMILY_GAL]:[OTHER_GAL]])</f>
        <v>196296226.76100001</v>
      </c>
      <c r="W2685">
        <f>SUM(POTABLE_NONPOTABLE_API[[#This Row],[NONPOTABLE_DEMAND_RESIDENTIAL_RECYCLED_WATER_GAL]:[NONPOTABLE_DEMAND_NONRESIDENTIAL_METERED_IRRIGATION_GAL]])</f>
        <v>247646.76</v>
      </c>
      <c r="X2685" t="str">
        <f>IFERROR(INDEX(Crosswalk_API!$H$2:$H$527, MATCH(POTABLE_NONPOTABLE_API[[#This Row],[PWSID]], CW_PWSID_LIST, 0)), "")</f>
        <v>No</v>
      </c>
    </row>
    <row r="2686" spans="1:24" x14ac:dyDescent="0.25">
      <c r="A2686" t="s">
        <v>1515</v>
      </c>
      <c r="B2686" t="s">
        <v>1516</v>
      </c>
      <c r="C2686" t="s">
        <v>1517</v>
      </c>
      <c r="D2686" t="s">
        <v>1518</v>
      </c>
      <c r="E2686" s="9">
        <v>45352</v>
      </c>
      <c r="F2686" s="9">
        <v>45382</v>
      </c>
      <c r="G2686">
        <v>68310426.086999997</v>
      </c>
      <c r="H2686">
        <v>45025765.329000004</v>
      </c>
      <c r="I2686">
        <v>43031557.208999999</v>
      </c>
      <c r="J2686">
        <v>0</v>
      </c>
      <c r="K2686">
        <v>2065243.638</v>
      </c>
      <c r="L2686">
        <v>0</v>
      </c>
      <c r="M2686">
        <v>0</v>
      </c>
      <c r="N2686">
        <v>0</v>
      </c>
      <c r="O2686">
        <v>0</v>
      </c>
      <c r="P2686">
        <v>0</v>
      </c>
      <c r="Q2686">
        <v>2528603.7599999998</v>
      </c>
      <c r="R2686">
        <v>0</v>
      </c>
      <c r="S2686">
        <v>0</v>
      </c>
      <c r="T2686" s="9">
        <v>45108</v>
      </c>
      <c r="U2686" s="9">
        <v>45473</v>
      </c>
      <c r="V2686">
        <f>SUM(POTABLE_NONPOTABLE_API[[#This Row],[RESIDENTIAL_SINGLEFAMILY_GAL]:[OTHER_GAL]])</f>
        <v>158432992.26300001</v>
      </c>
      <c r="W2686">
        <f>SUM(POTABLE_NONPOTABLE_API[[#This Row],[NONPOTABLE_DEMAND_RESIDENTIAL_RECYCLED_WATER_GAL]:[NONPOTABLE_DEMAND_NONRESIDENTIAL_METERED_IRRIGATION_GAL]])</f>
        <v>2528603.7599999998</v>
      </c>
      <c r="X2686" t="str">
        <f>IFERROR(INDEX(Crosswalk_API!$H$2:$H$527, MATCH(POTABLE_NONPOTABLE_API[[#This Row],[PWSID]], CW_PWSID_LIST, 0)), "")</f>
        <v>No</v>
      </c>
    </row>
    <row r="2687" spans="1:24" x14ac:dyDescent="0.25">
      <c r="A2687" t="s">
        <v>1515</v>
      </c>
      <c r="B2687" t="s">
        <v>1516</v>
      </c>
      <c r="C2687" t="s">
        <v>1517</v>
      </c>
      <c r="D2687" t="s">
        <v>1518</v>
      </c>
      <c r="E2687" s="9">
        <v>45383</v>
      </c>
      <c r="F2687" s="9">
        <v>45412</v>
      </c>
      <c r="G2687">
        <v>70065785.423999995</v>
      </c>
      <c r="H2687">
        <v>45765772.949999996</v>
      </c>
      <c r="I2687">
        <v>50972546.079000004</v>
      </c>
      <c r="J2687">
        <v>0</v>
      </c>
      <c r="K2687">
        <v>2071108.956</v>
      </c>
      <c r="L2687">
        <v>0</v>
      </c>
      <c r="M2687">
        <v>0</v>
      </c>
      <c r="N2687">
        <v>0</v>
      </c>
      <c r="O2687">
        <v>0</v>
      </c>
      <c r="P2687">
        <v>0</v>
      </c>
      <c r="Q2687">
        <v>2759957.97</v>
      </c>
      <c r="R2687">
        <v>0</v>
      </c>
      <c r="S2687">
        <v>0</v>
      </c>
      <c r="T2687" s="9">
        <v>45108</v>
      </c>
      <c r="U2687" s="9">
        <v>45473</v>
      </c>
      <c r="V2687">
        <f>SUM(POTABLE_NONPOTABLE_API[[#This Row],[RESIDENTIAL_SINGLEFAMILY_GAL]:[OTHER_GAL]])</f>
        <v>168875213.40899998</v>
      </c>
      <c r="W2687">
        <f>SUM(POTABLE_NONPOTABLE_API[[#This Row],[NONPOTABLE_DEMAND_RESIDENTIAL_RECYCLED_WATER_GAL]:[NONPOTABLE_DEMAND_NONRESIDENTIAL_METERED_IRRIGATION_GAL]])</f>
        <v>2759957.97</v>
      </c>
      <c r="X2687" t="str">
        <f>IFERROR(INDEX(Crosswalk_API!$H$2:$H$527, MATCH(POTABLE_NONPOTABLE_API[[#This Row],[PWSID]], CW_PWSID_LIST, 0)), "")</f>
        <v>No</v>
      </c>
    </row>
    <row r="2688" spans="1:24" x14ac:dyDescent="0.25">
      <c r="A2688" t="s">
        <v>1515</v>
      </c>
      <c r="B2688" t="s">
        <v>1516</v>
      </c>
      <c r="C2688" t="s">
        <v>1517</v>
      </c>
      <c r="D2688" t="s">
        <v>1518</v>
      </c>
      <c r="E2688" s="9">
        <v>45413</v>
      </c>
      <c r="F2688" s="9">
        <v>45443</v>
      </c>
      <c r="G2688">
        <v>88847511.213</v>
      </c>
      <c r="H2688">
        <v>55705857.705000006</v>
      </c>
      <c r="I2688">
        <v>49126274.313000001</v>
      </c>
      <c r="J2688">
        <v>0</v>
      </c>
      <c r="K2688">
        <v>2629943.4210000001</v>
      </c>
      <c r="L2688">
        <v>0</v>
      </c>
      <c r="M2688">
        <v>0</v>
      </c>
      <c r="N2688">
        <v>0</v>
      </c>
      <c r="O2688">
        <v>0</v>
      </c>
      <c r="P2688">
        <v>0</v>
      </c>
      <c r="Q2688">
        <v>21616955.34</v>
      </c>
      <c r="R2688">
        <v>0</v>
      </c>
      <c r="S2688">
        <v>0</v>
      </c>
      <c r="T2688" s="9">
        <v>45108</v>
      </c>
      <c r="U2688" s="9">
        <v>45473</v>
      </c>
      <c r="V2688">
        <f>SUM(POTABLE_NONPOTABLE_API[[#This Row],[RESIDENTIAL_SINGLEFAMILY_GAL]:[OTHER_GAL]])</f>
        <v>196309586.65200001</v>
      </c>
      <c r="W2688">
        <f>SUM(POTABLE_NONPOTABLE_API[[#This Row],[NONPOTABLE_DEMAND_RESIDENTIAL_RECYCLED_WATER_GAL]:[NONPOTABLE_DEMAND_NONRESIDENTIAL_METERED_IRRIGATION_GAL]])</f>
        <v>21616955.34</v>
      </c>
      <c r="X2688" t="str">
        <f>IFERROR(INDEX(Crosswalk_API!$H$2:$H$527, MATCH(POTABLE_NONPOTABLE_API[[#This Row],[PWSID]], CW_PWSID_LIST, 0)), "")</f>
        <v>No</v>
      </c>
    </row>
    <row r="2689" spans="1:24" x14ac:dyDescent="0.25">
      <c r="A2689" t="s">
        <v>1515</v>
      </c>
      <c r="B2689" t="s">
        <v>1516</v>
      </c>
      <c r="C2689" t="s">
        <v>1517</v>
      </c>
      <c r="D2689" t="s">
        <v>1518</v>
      </c>
      <c r="E2689" s="9">
        <v>45444</v>
      </c>
      <c r="F2689" s="9">
        <v>45473</v>
      </c>
      <c r="G2689">
        <v>76318540.262999997</v>
      </c>
      <c r="H2689">
        <v>52149194.039999999</v>
      </c>
      <c r="I2689">
        <v>51372691.107000001</v>
      </c>
      <c r="J2689">
        <v>0</v>
      </c>
      <c r="K2689">
        <v>2008219.713</v>
      </c>
      <c r="L2689">
        <v>0</v>
      </c>
      <c r="M2689">
        <v>0</v>
      </c>
      <c r="N2689">
        <v>0</v>
      </c>
      <c r="O2689">
        <v>0</v>
      </c>
      <c r="P2689">
        <v>0</v>
      </c>
      <c r="Q2689">
        <v>28176335.969999999</v>
      </c>
      <c r="R2689">
        <v>0</v>
      </c>
      <c r="S2689">
        <v>0</v>
      </c>
      <c r="T2689" s="9">
        <v>45108</v>
      </c>
      <c r="U2689" s="9">
        <v>45473</v>
      </c>
      <c r="V2689">
        <f>SUM(POTABLE_NONPOTABLE_API[[#This Row],[RESIDENTIAL_SINGLEFAMILY_GAL]:[OTHER_GAL]])</f>
        <v>181848645.123</v>
      </c>
      <c r="W2689">
        <f>SUM(POTABLE_NONPOTABLE_API[[#This Row],[NONPOTABLE_DEMAND_RESIDENTIAL_RECYCLED_WATER_GAL]:[NONPOTABLE_DEMAND_NONRESIDENTIAL_METERED_IRRIGATION_GAL]])</f>
        <v>28176335.969999999</v>
      </c>
      <c r="X2689" t="str">
        <f>IFERROR(INDEX(Crosswalk_API!$H$2:$H$527, MATCH(POTABLE_NONPOTABLE_API[[#This Row],[PWSID]], CW_PWSID_LIST, 0)), "")</f>
        <v>No</v>
      </c>
    </row>
    <row r="2690" spans="1:24" x14ac:dyDescent="0.25">
      <c r="A2690" t="s">
        <v>1519</v>
      </c>
      <c r="B2690" t="s">
        <v>1520</v>
      </c>
      <c r="C2690" t="s">
        <v>1521</v>
      </c>
      <c r="D2690" t="s">
        <v>1522</v>
      </c>
      <c r="E2690" s="9">
        <v>45108</v>
      </c>
      <c r="F2690" s="9">
        <v>45138</v>
      </c>
      <c r="G2690">
        <v>716872200</v>
      </c>
      <c r="H2690">
        <v>201375918</v>
      </c>
      <c r="I2690">
        <v>272867627.39999998</v>
      </c>
      <c r="J2690">
        <v>150217311</v>
      </c>
      <c r="K2690">
        <v>120173848.8</v>
      </c>
      <c r="L2690">
        <v>6549605.1000000006</v>
      </c>
      <c r="M2690">
        <v>1694425.2</v>
      </c>
      <c r="N2690">
        <v>0</v>
      </c>
      <c r="O2690">
        <v>0</v>
      </c>
      <c r="P2690">
        <v>0</v>
      </c>
      <c r="Q2690">
        <v>115546764.60000001</v>
      </c>
      <c r="R2690">
        <v>16520645.700000001</v>
      </c>
      <c r="S2690">
        <v>882111242.10000002</v>
      </c>
      <c r="T2690" s="9">
        <v>45108</v>
      </c>
      <c r="U2690" s="9">
        <v>45473</v>
      </c>
      <c r="V2690">
        <f>SUM(POTABLE_NONPOTABLE_API[[#This Row],[RESIDENTIAL_SINGLEFAMILY_GAL]:[OTHER_GAL]])</f>
        <v>1468056510.3</v>
      </c>
      <c r="W2690">
        <f>SUM(POTABLE_NONPOTABLE_API[[#This Row],[NONPOTABLE_DEMAND_RESIDENTIAL_RECYCLED_WATER_GAL]:[NONPOTABLE_DEMAND_NONRESIDENTIAL_METERED_IRRIGATION_GAL]])</f>
        <v>1014178652.4000001</v>
      </c>
      <c r="X2690" t="str">
        <f>IFERROR(INDEX(Crosswalk_API!$H$2:$H$527, MATCH(POTABLE_NONPOTABLE_API[[#This Row],[PWSID]], CW_PWSID_LIST, 0)), "")</f>
        <v>No</v>
      </c>
    </row>
    <row r="2691" spans="1:24" x14ac:dyDescent="0.25">
      <c r="A2691" t="s">
        <v>1519</v>
      </c>
      <c r="B2691" t="s">
        <v>1520</v>
      </c>
      <c r="C2691" t="s">
        <v>1521</v>
      </c>
      <c r="D2691" t="s">
        <v>1522</v>
      </c>
      <c r="E2691" s="9">
        <v>45139</v>
      </c>
      <c r="F2691" s="9">
        <v>45169</v>
      </c>
      <c r="G2691">
        <v>753400097.10000002</v>
      </c>
      <c r="H2691">
        <v>207208650.90000001</v>
      </c>
      <c r="I2691">
        <v>284793774</v>
      </c>
      <c r="J2691">
        <v>163381691.40000001</v>
      </c>
      <c r="K2691">
        <v>122910997.2</v>
      </c>
      <c r="L2691">
        <v>9645189.5999999996</v>
      </c>
      <c r="M2691">
        <v>1629255</v>
      </c>
      <c r="N2691">
        <v>0</v>
      </c>
      <c r="O2691">
        <v>0</v>
      </c>
      <c r="P2691">
        <v>0</v>
      </c>
      <c r="Q2691">
        <v>115546764.60000001</v>
      </c>
      <c r="R2691">
        <v>17074592.399999999</v>
      </c>
      <c r="S2691">
        <v>1081662394.5</v>
      </c>
      <c r="T2691" s="9">
        <v>45108</v>
      </c>
      <c r="U2691" s="9">
        <v>45473</v>
      </c>
      <c r="V2691">
        <f>SUM(POTABLE_NONPOTABLE_API[[#This Row],[RESIDENTIAL_SINGLEFAMILY_GAL]:[OTHER_GAL]])</f>
        <v>1541340400.2</v>
      </c>
      <c r="W2691">
        <f>SUM(POTABLE_NONPOTABLE_API[[#This Row],[NONPOTABLE_DEMAND_RESIDENTIAL_RECYCLED_WATER_GAL]:[NONPOTABLE_DEMAND_NONRESIDENTIAL_METERED_IRRIGATION_GAL]])</f>
        <v>1214283751.5</v>
      </c>
      <c r="X2691" t="str">
        <f>IFERROR(INDEX(Crosswalk_API!$H$2:$H$527, MATCH(POTABLE_NONPOTABLE_API[[#This Row],[PWSID]], CW_PWSID_LIST, 0)), "")</f>
        <v>No</v>
      </c>
    </row>
    <row r="2692" spans="1:24" x14ac:dyDescent="0.25">
      <c r="A2692" t="s">
        <v>1519</v>
      </c>
      <c r="B2692" t="s">
        <v>1520</v>
      </c>
      <c r="C2692" t="s">
        <v>1521</v>
      </c>
      <c r="D2692" t="s">
        <v>1522</v>
      </c>
      <c r="E2692" s="9">
        <v>45170</v>
      </c>
      <c r="F2692" s="9">
        <v>45199</v>
      </c>
      <c r="G2692">
        <v>784746963.30000007</v>
      </c>
      <c r="H2692">
        <v>216430234.20000002</v>
      </c>
      <c r="I2692">
        <v>297795228.89999998</v>
      </c>
      <c r="J2692">
        <v>153703916.69999999</v>
      </c>
      <c r="K2692">
        <v>121021061.39999999</v>
      </c>
      <c r="L2692">
        <v>7657498.5</v>
      </c>
      <c r="M2692">
        <v>1303404</v>
      </c>
      <c r="N2692">
        <v>0</v>
      </c>
      <c r="O2692">
        <v>0</v>
      </c>
      <c r="P2692">
        <v>0</v>
      </c>
      <c r="Q2692">
        <v>91987737.299999997</v>
      </c>
      <c r="R2692">
        <v>14076763.200000001</v>
      </c>
      <c r="S2692">
        <v>887357443.19999993</v>
      </c>
      <c r="T2692" s="9">
        <v>45108</v>
      </c>
      <c r="U2692" s="9">
        <v>45473</v>
      </c>
      <c r="V2692">
        <f>SUM(POTABLE_NONPOTABLE_API[[#This Row],[RESIDENTIAL_SINGLEFAMILY_GAL]:[OTHER_GAL]])</f>
        <v>1581354903.0000002</v>
      </c>
      <c r="W2692">
        <f>SUM(POTABLE_NONPOTABLE_API[[#This Row],[NONPOTABLE_DEMAND_RESIDENTIAL_RECYCLED_WATER_GAL]:[NONPOTABLE_DEMAND_NONRESIDENTIAL_METERED_IRRIGATION_GAL]])</f>
        <v>993421943.69999993</v>
      </c>
      <c r="X2692" t="str">
        <f>IFERROR(INDEX(Crosswalk_API!$H$2:$H$527, MATCH(POTABLE_NONPOTABLE_API[[#This Row],[PWSID]], CW_PWSID_LIST, 0)), "")</f>
        <v>No</v>
      </c>
    </row>
    <row r="2693" spans="1:24" x14ac:dyDescent="0.25">
      <c r="A2693" t="s">
        <v>1519</v>
      </c>
      <c r="B2693" t="s">
        <v>1520</v>
      </c>
      <c r="C2693" t="s">
        <v>1521</v>
      </c>
      <c r="D2693" t="s">
        <v>1522</v>
      </c>
      <c r="E2693" s="9">
        <v>45200</v>
      </c>
      <c r="F2693" s="9">
        <v>45230</v>
      </c>
      <c r="G2693">
        <v>687154588.80000007</v>
      </c>
      <c r="H2693">
        <v>203298438.90000001</v>
      </c>
      <c r="I2693">
        <v>256346981.70000002</v>
      </c>
      <c r="J2693">
        <v>131741559.3</v>
      </c>
      <c r="K2693">
        <v>122813241.89999999</v>
      </c>
      <c r="L2693">
        <v>9938455.5</v>
      </c>
      <c r="M2693">
        <v>977553</v>
      </c>
      <c r="N2693">
        <v>0</v>
      </c>
      <c r="O2693">
        <v>0</v>
      </c>
      <c r="Q2693">
        <v>126104337</v>
      </c>
      <c r="R2693">
        <v>12480093.299999999</v>
      </c>
      <c r="S2693">
        <v>710648445.89999998</v>
      </c>
      <c r="T2693" s="9">
        <v>45108</v>
      </c>
      <c r="U2693" s="9">
        <v>45473</v>
      </c>
      <c r="V2693">
        <f>SUM(POTABLE_NONPOTABLE_API[[#This Row],[RESIDENTIAL_SINGLEFAMILY_GAL]:[OTHER_GAL]])</f>
        <v>1411293266.1000001</v>
      </c>
      <c r="W2693">
        <f>SUM(POTABLE_NONPOTABLE_API[[#This Row],[NONPOTABLE_DEMAND_RESIDENTIAL_RECYCLED_WATER_GAL]:[NONPOTABLE_DEMAND_NONRESIDENTIAL_METERED_IRRIGATION_GAL]])</f>
        <v>849232876.20000005</v>
      </c>
      <c r="X2693" t="str">
        <f>IFERROR(INDEX(Crosswalk_API!$H$2:$H$527, MATCH(POTABLE_NONPOTABLE_API[[#This Row],[PWSID]], CW_PWSID_LIST, 0)), "")</f>
        <v>No</v>
      </c>
    </row>
    <row r="2694" spans="1:24" x14ac:dyDescent="0.25">
      <c r="A2694" t="s">
        <v>1519</v>
      </c>
      <c r="B2694" t="s">
        <v>1520</v>
      </c>
      <c r="C2694" t="s">
        <v>1521</v>
      </c>
      <c r="D2694" t="s">
        <v>1522</v>
      </c>
      <c r="E2694" s="9">
        <v>45231</v>
      </c>
      <c r="F2694" s="9">
        <v>45260</v>
      </c>
      <c r="G2694">
        <v>675065516.69999993</v>
      </c>
      <c r="H2694">
        <v>204536672.70000002</v>
      </c>
      <c r="I2694">
        <v>275963211.89999998</v>
      </c>
      <c r="J2694">
        <v>117632211</v>
      </c>
      <c r="K2694">
        <v>122780656.8</v>
      </c>
      <c r="L2694">
        <v>9612604.5</v>
      </c>
      <c r="M2694">
        <v>1042723.2000000001</v>
      </c>
      <c r="N2694">
        <v>0</v>
      </c>
      <c r="O2694">
        <v>0</v>
      </c>
      <c r="P2694">
        <v>0</v>
      </c>
      <c r="Q2694">
        <v>97364278.799999997</v>
      </c>
      <c r="R2694">
        <v>10492402.200000001</v>
      </c>
      <c r="S2694">
        <v>642904023</v>
      </c>
      <c r="T2694" s="9">
        <v>45108</v>
      </c>
      <c r="U2694" s="9">
        <v>45473</v>
      </c>
      <c r="V2694">
        <f>SUM(POTABLE_NONPOTABLE_API[[#This Row],[RESIDENTIAL_SINGLEFAMILY_GAL]:[OTHER_GAL]])</f>
        <v>1405590873.5999999</v>
      </c>
      <c r="W2694">
        <f>SUM(POTABLE_NONPOTABLE_API[[#This Row],[NONPOTABLE_DEMAND_RESIDENTIAL_RECYCLED_WATER_GAL]:[NONPOTABLE_DEMAND_NONRESIDENTIAL_METERED_IRRIGATION_GAL]])</f>
        <v>750760704</v>
      </c>
      <c r="X2694" t="str">
        <f>IFERROR(INDEX(Crosswalk_API!$H$2:$H$527, MATCH(POTABLE_NONPOTABLE_API[[#This Row],[PWSID]], CW_PWSID_LIST, 0)), "")</f>
        <v>No</v>
      </c>
    </row>
    <row r="2695" spans="1:24" x14ac:dyDescent="0.25">
      <c r="A2695" t="s">
        <v>1519</v>
      </c>
      <c r="B2695" t="s">
        <v>1520</v>
      </c>
      <c r="C2695" t="s">
        <v>1521</v>
      </c>
      <c r="D2695" t="s">
        <v>1522</v>
      </c>
      <c r="E2695" s="9">
        <v>45261</v>
      </c>
      <c r="F2695" s="9">
        <v>45291</v>
      </c>
      <c r="G2695">
        <v>662943859.5</v>
      </c>
      <c r="H2695">
        <v>207567087</v>
      </c>
      <c r="I2695">
        <v>237252113.09999999</v>
      </c>
      <c r="J2695">
        <v>91987737.299999997</v>
      </c>
      <c r="K2695">
        <v>119489561.7</v>
      </c>
      <c r="L2695">
        <v>8504711.0999999996</v>
      </c>
      <c r="M2695">
        <v>814627.5</v>
      </c>
      <c r="N2695">
        <v>0</v>
      </c>
      <c r="O2695">
        <v>0</v>
      </c>
      <c r="P2695">
        <v>0</v>
      </c>
      <c r="Q2695">
        <v>56535148.5</v>
      </c>
      <c r="R2695">
        <v>6614775.2999999998</v>
      </c>
      <c r="S2695">
        <v>514616484.30000001</v>
      </c>
      <c r="T2695" s="9">
        <v>45108</v>
      </c>
      <c r="U2695" s="9">
        <v>45473</v>
      </c>
      <c r="V2695">
        <f>SUM(POTABLE_NONPOTABLE_API[[#This Row],[RESIDENTIAL_SINGLEFAMILY_GAL]:[OTHER_GAL]])</f>
        <v>1327745069.6999998</v>
      </c>
      <c r="W2695">
        <f>SUM(POTABLE_NONPOTABLE_API[[#This Row],[NONPOTABLE_DEMAND_RESIDENTIAL_RECYCLED_WATER_GAL]:[NONPOTABLE_DEMAND_NONRESIDENTIAL_METERED_IRRIGATION_GAL]])</f>
        <v>577766408.10000002</v>
      </c>
      <c r="X2695" t="str">
        <f>IFERROR(INDEX(Crosswalk_API!$H$2:$H$527, MATCH(POTABLE_NONPOTABLE_API[[#This Row],[PWSID]], CW_PWSID_LIST, 0)), "")</f>
        <v>No</v>
      </c>
    </row>
    <row r="2696" spans="1:24" x14ac:dyDescent="0.25">
      <c r="A2696" t="s">
        <v>1519</v>
      </c>
      <c r="B2696" t="s">
        <v>1520</v>
      </c>
      <c r="C2696" t="s">
        <v>1521</v>
      </c>
      <c r="D2696" t="s">
        <v>1522</v>
      </c>
      <c r="E2696" s="9">
        <v>45292</v>
      </c>
      <c r="F2696" s="9">
        <v>45322</v>
      </c>
      <c r="G2696">
        <v>599305159.20000005</v>
      </c>
      <c r="H2696">
        <v>215354925.90000001</v>
      </c>
      <c r="I2696">
        <v>221774190.59999999</v>
      </c>
      <c r="J2696">
        <v>39818992.200000003</v>
      </c>
      <c r="K2696">
        <v>115546764.60000001</v>
      </c>
      <c r="L2696">
        <v>7266477.2999999998</v>
      </c>
      <c r="M2696">
        <v>358436.10000000003</v>
      </c>
      <c r="N2696">
        <v>0</v>
      </c>
      <c r="O2696">
        <v>0</v>
      </c>
      <c r="P2696">
        <v>0</v>
      </c>
      <c r="Q2696">
        <v>28577132.699999999</v>
      </c>
      <c r="R2696">
        <v>3812456.6999999997</v>
      </c>
      <c r="S2696">
        <v>203852385.59999999</v>
      </c>
      <c r="T2696" s="9">
        <v>45108</v>
      </c>
      <c r="U2696" s="9">
        <v>45473</v>
      </c>
      <c r="V2696">
        <f>SUM(POTABLE_NONPOTABLE_API[[#This Row],[RESIDENTIAL_SINGLEFAMILY_GAL]:[OTHER_GAL]])</f>
        <v>1199066509.8</v>
      </c>
      <c r="W2696">
        <f>SUM(POTABLE_NONPOTABLE_API[[#This Row],[NONPOTABLE_DEMAND_RESIDENTIAL_RECYCLED_WATER_GAL]:[NONPOTABLE_DEMAND_NONRESIDENTIAL_METERED_IRRIGATION_GAL]])</f>
        <v>236241975</v>
      </c>
      <c r="X2696" t="str">
        <f>IFERROR(INDEX(Crosswalk_API!$H$2:$H$527, MATCH(POTABLE_NONPOTABLE_API[[#This Row],[PWSID]], CW_PWSID_LIST, 0)), "")</f>
        <v>No</v>
      </c>
    </row>
    <row r="2697" spans="1:24" x14ac:dyDescent="0.25">
      <c r="A2697" t="s">
        <v>1519</v>
      </c>
      <c r="B2697" t="s">
        <v>1520</v>
      </c>
      <c r="C2697" t="s">
        <v>1521</v>
      </c>
      <c r="D2697" t="s">
        <v>1522</v>
      </c>
      <c r="E2697" s="9">
        <v>45323</v>
      </c>
      <c r="F2697" s="9">
        <v>45351</v>
      </c>
      <c r="G2697">
        <v>527813449.80000001</v>
      </c>
      <c r="H2697">
        <v>202483811.40000001</v>
      </c>
      <c r="I2697">
        <v>210760426.79999998</v>
      </c>
      <c r="J2697">
        <v>21147729.900000002</v>
      </c>
      <c r="K2697">
        <v>110724169.8</v>
      </c>
      <c r="L2697">
        <v>7690083.6000000006</v>
      </c>
      <c r="M2697">
        <v>195510.6</v>
      </c>
      <c r="N2697">
        <v>0</v>
      </c>
      <c r="O2697">
        <v>0</v>
      </c>
      <c r="P2697">
        <v>0</v>
      </c>
      <c r="Q2697">
        <v>16227379.799999999</v>
      </c>
      <c r="R2697">
        <v>2639393.1</v>
      </c>
      <c r="S2697">
        <v>102056533.2</v>
      </c>
      <c r="T2697" s="9">
        <v>45108</v>
      </c>
      <c r="U2697" s="9">
        <v>45473</v>
      </c>
      <c r="V2697">
        <f>SUM(POTABLE_NONPOTABLE_API[[#This Row],[RESIDENTIAL_SINGLEFAMILY_GAL]:[OTHER_GAL]])</f>
        <v>1080619671.3</v>
      </c>
      <c r="W2697">
        <f>SUM(POTABLE_NONPOTABLE_API[[#This Row],[NONPOTABLE_DEMAND_RESIDENTIAL_RECYCLED_WATER_GAL]:[NONPOTABLE_DEMAND_NONRESIDENTIAL_METERED_IRRIGATION_GAL]])</f>
        <v>120923306.09999999</v>
      </c>
      <c r="X2697" t="str">
        <f>IFERROR(INDEX(Crosswalk_API!$H$2:$H$527, MATCH(POTABLE_NONPOTABLE_API[[#This Row],[PWSID]], CW_PWSID_LIST, 0)), "")</f>
        <v>No</v>
      </c>
    </row>
    <row r="2698" spans="1:24" x14ac:dyDescent="0.25">
      <c r="A2698" t="s">
        <v>1519</v>
      </c>
      <c r="B2698" t="s">
        <v>1520</v>
      </c>
      <c r="C2698" t="s">
        <v>1521</v>
      </c>
      <c r="D2698" t="s">
        <v>1522</v>
      </c>
      <c r="E2698" s="9">
        <v>45352</v>
      </c>
      <c r="F2698" s="9">
        <v>45382</v>
      </c>
      <c r="G2698">
        <v>492979977.90000004</v>
      </c>
      <c r="H2698">
        <v>190459909.5</v>
      </c>
      <c r="I2698">
        <v>204178236.59999999</v>
      </c>
      <c r="J2698">
        <v>16227379.799999999</v>
      </c>
      <c r="K2698">
        <v>107563415.10000001</v>
      </c>
      <c r="L2698">
        <v>3519190.8000000003</v>
      </c>
      <c r="M2698">
        <v>325851</v>
      </c>
      <c r="N2698">
        <v>0</v>
      </c>
      <c r="O2698">
        <v>0</v>
      </c>
      <c r="P2698">
        <v>0</v>
      </c>
      <c r="Q2698">
        <v>20496027.899999999</v>
      </c>
      <c r="R2698">
        <v>2020276.2</v>
      </c>
      <c r="S2698">
        <v>67646667.599999994</v>
      </c>
      <c r="T2698" s="9">
        <v>45108</v>
      </c>
      <c r="U2698" s="9">
        <v>45473</v>
      </c>
      <c r="V2698">
        <f>SUM(POTABLE_NONPOTABLE_API[[#This Row],[RESIDENTIAL_SINGLEFAMILY_GAL]:[OTHER_GAL]])</f>
        <v>1014928109.7</v>
      </c>
      <c r="W2698">
        <f>SUM(POTABLE_NONPOTABLE_API[[#This Row],[NONPOTABLE_DEMAND_RESIDENTIAL_RECYCLED_WATER_GAL]:[NONPOTABLE_DEMAND_NONRESIDENTIAL_METERED_IRRIGATION_GAL]])</f>
        <v>90162971.699999988</v>
      </c>
      <c r="X2698" t="str">
        <f>IFERROR(INDEX(Crosswalk_API!$H$2:$H$527, MATCH(POTABLE_NONPOTABLE_API[[#This Row],[PWSID]], CW_PWSID_LIST, 0)), "")</f>
        <v>No</v>
      </c>
    </row>
    <row r="2699" spans="1:24" x14ac:dyDescent="0.25">
      <c r="A2699" t="s">
        <v>1519</v>
      </c>
      <c r="B2699" t="s">
        <v>1520</v>
      </c>
      <c r="C2699" t="s">
        <v>1521</v>
      </c>
      <c r="D2699" t="s">
        <v>1522</v>
      </c>
      <c r="E2699" s="9">
        <v>45383</v>
      </c>
      <c r="F2699" s="9">
        <v>45412</v>
      </c>
      <c r="G2699">
        <v>556651263.29999995</v>
      </c>
      <c r="H2699">
        <v>203526534.59999999</v>
      </c>
      <c r="I2699">
        <v>226922636.40000001</v>
      </c>
      <c r="J2699">
        <v>35257078.200000003</v>
      </c>
      <c r="K2699">
        <v>116556902.7</v>
      </c>
      <c r="L2699">
        <v>7233892.2000000002</v>
      </c>
      <c r="M2699">
        <v>586531.80000000005</v>
      </c>
      <c r="N2699">
        <v>0</v>
      </c>
      <c r="O2699">
        <v>0</v>
      </c>
      <c r="P2699">
        <v>0</v>
      </c>
      <c r="Q2699">
        <v>27892845.599999998</v>
      </c>
      <c r="R2699">
        <v>6386679.6000000006</v>
      </c>
      <c r="S2699">
        <v>237480208.79999998</v>
      </c>
      <c r="T2699" s="9">
        <v>45108</v>
      </c>
      <c r="U2699" s="9">
        <v>45473</v>
      </c>
      <c r="V2699">
        <f>SUM(POTABLE_NONPOTABLE_API[[#This Row],[RESIDENTIAL_SINGLEFAMILY_GAL]:[OTHER_GAL]])</f>
        <v>1146148307.4000001</v>
      </c>
      <c r="W2699">
        <f>SUM(POTABLE_NONPOTABLE_API[[#This Row],[NONPOTABLE_DEMAND_RESIDENTIAL_RECYCLED_WATER_GAL]:[NONPOTABLE_DEMAND_NONRESIDENTIAL_METERED_IRRIGATION_GAL]])</f>
        <v>271759734</v>
      </c>
      <c r="X2699" t="str">
        <f>IFERROR(INDEX(Crosswalk_API!$H$2:$H$527, MATCH(POTABLE_NONPOTABLE_API[[#This Row],[PWSID]], CW_PWSID_LIST, 0)), "")</f>
        <v>No</v>
      </c>
    </row>
    <row r="2700" spans="1:24" x14ac:dyDescent="0.25">
      <c r="A2700" t="s">
        <v>1519</v>
      </c>
      <c r="B2700" t="s">
        <v>1520</v>
      </c>
      <c r="C2700" t="s">
        <v>1521</v>
      </c>
      <c r="D2700" t="s">
        <v>1522</v>
      </c>
      <c r="E2700" s="9">
        <v>45413</v>
      </c>
      <c r="F2700" s="9">
        <v>45443</v>
      </c>
      <c r="G2700">
        <v>668776592.39999998</v>
      </c>
      <c r="H2700">
        <v>214377372.90000001</v>
      </c>
      <c r="I2700">
        <v>266350607.40000001</v>
      </c>
      <c r="J2700">
        <v>90716918.399999991</v>
      </c>
      <c r="K2700">
        <v>122748071.7</v>
      </c>
      <c r="L2700">
        <v>8993487.5999999996</v>
      </c>
      <c r="M2700">
        <v>1270818.8999999999</v>
      </c>
      <c r="N2700">
        <v>0</v>
      </c>
      <c r="O2700">
        <v>0</v>
      </c>
      <c r="P2700">
        <v>0</v>
      </c>
      <c r="Q2700">
        <v>52331670.600000001</v>
      </c>
      <c r="R2700">
        <v>13457646.299999999</v>
      </c>
      <c r="S2700">
        <v>586205949</v>
      </c>
      <c r="T2700" s="9">
        <v>45108</v>
      </c>
      <c r="U2700" s="9">
        <v>45473</v>
      </c>
      <c r="V2700">
        <f>SUM(POTABLE_NONPOTABLE_API[[#This Row],[RESIDENTIAL_SINGLEFAMILY_GAL]:[OTHER_GAL]])</f>
        <v>1371963050.4000001</v>
      </c>
      <c r="W2700">
        <f>SUM(POTABLE_NONPOTABLE_API[[#This Row],[NONPOTABLE_DEMAND_RESIDENTIAL_RECYCLED_WATER_GAL]:[NONPOTABLE_DEMAND_NONRESIDENTIAL_METERED_IRRIGATION_GAL]])</f>
        <v>651995265.89999998</v>
      </c>
      <c r="X2700" t="str">
        <f>IFERROR(INDEX(Crosswalk_API!$H$2:$H$527, MATCH(POTABLE_NONPOTABLE_API[[#This Row],[PWSID]], CW_PWSID_LIST, 0)), "")</f>
        <v>No</v>
      </c>
    </row>
    <row r="2701" spans="1:24" x14ac:dyDescent="0.25">
      <c r="A2701" t="s">
        <v>1519</v>
      </c>
      <c r="B2701" t="s">
        <v>1520</v>
      </c>
      <c r="C2701" t="s">
        <v>1521</v>
      </c>
      <c r="D2701" t="s">
        <v>1522</v>
      </c>
      <c r="E2701" s="9">
        <v>45444</v>
      </c>
      <c r="F2701" s="9">
        <v>45473</v>
      </c>
      <c r="G2701">
        <v>686730982.5</v>
      </c>
      <c r="H2701">
        <v>208055863.5</v>
      </c>
      <c r="I2701">
        <v>263124682.5</v>
      </c>
      <c r="J2701">
        <v>119294051.10000001</v>
      </c>
      <c r="K2701">
        <v>121346912.39999999</v>
      </c>
      <c r="L2701">
        <v>23233176.300000001</v>
      </c>
      <c r="M2701">
        <v>1335989.0999999999</v>
      </c>
      <c r="N2701">
        <v>0</v>
      </c>
      <c r="O2701">
        <v>0</v>
      </c>
      <c r="P2701">
        <v>0</v>
      </c>
      <c r="Q2701">
        <v>79149207.900000006</v>
      </c>
      <c r="R2701">
        <v>14858805.6</v>
      </c>
      <c r="S2701">
        <v>760666574.39999998</v>
      </c>
      <c r="T2701" s="9">
        <v>45108</v>
      </c>
      <c r="U2701" s="9">
        <v>45473</v>
      </c>
      <c r="V2701">
        <f>SUM(POTABLE_NONPOTABLE_API[[#This Row],[RESIDENTIAL_SINGLEFAMILY_GAL]:[OTHER_GAL]])</f>
        <v>1421785668.3</v>
      </c>
      <c r="W2701">
        <f>SUM(POTABLE_NONPOTABLE_API[[#This Row],[NONPOTABLE_DEMAND_RESIDENTIAL_RECYCLED_WATER_GAL]:[NONPOTABLE_DEMAND_NONRESIDENTIAL_METERED_IRRIGATION_GAL]])</f>
        <v>854674587.89999998</v>
      </c>
      <c r="X2701" t="str">
        <f>IFERROR(INDEX(Crosswalk_API!$H$2:$H$527, MATCH(POTABLE_NONPOTABLE_API[[#This Row],[PWSID]], CW_PWSID_LIST, 0)), "")</f>
        <v>No</v>
      </c>
    </row>
    <row r="2702" spans="1:24" x14ac:dyDescent="0.25">
      <c r="A2702" t="s">
        <v>1523</v>
      </c>
      <c r="B2702" t="s">
        <v>1524</v>
      </c>
      <c r="C2702" t="s">
        <v>1525</v>
      </c>
      <c r="D2702" t="s">
        <v>1526</v>
      </c>
      <c r="E2702" s="9">
        <v>45108</v>
      </c>
      <c r="F2702" s="9">
        <v>45138</v>
      </c>
      <c r="G2702">
        <v>24843554.971999999</v>
      </c>
      <c r="H2702">
        <v>2736374.216</v>
      </c>
      <c r="I2702">
        <v>12006234.6</v>
      </c>
      <c r="J2702">
        <v>70316.888000000006</v>
      </c>
      <c r="K2702">
        <v>0</v>
      </c>
      <c r="L2702">
        <v>0</v>
      </c>
      <c r="M2702">
        <v>0</v>
      </c>
      <c r="T2702" s="9">
        <v>45108</v>
      </c>
      <c r="U2702" s="9">
        <v>45473</v>
      </c>
      <c r="V2702">
        <f>SUM(POTABLE_NONPOTABLE_API[[#This Row],[RESIDENTIAL_SINGLEFAMILY_GAL]:[OTHER_GAL]])</f>
        <v>39656480.675999999</v>
      </c>
      <c r="W2702">
        <f>SUM(POTABLE_NONPOTABLE_API[[#This Row],[NONPOTABLE_DEMAND_RESIDENTIAL_RECYCLED_WATER_GAL]:[NONPOTABLE_DEMAND_NONRESIDENTIAL_METERED_IRRIGATION_GAL]])</f>
        <v>0</v>
      </c>
      <c r="X2702" t="str">
        <f>IFERROR(INDEX(Crosswalk_API!$H$2:$H$527, MATCH(POTABLE_NONPOTABLE_API[[#This Row],[PWSID]], CW_PWSID_LIST, 0)), "")</f>
        <v>No</v>
      </c>
    </row>
    <row r="2703" spans="1:24" x14ac:dyDescent="0.25">
      <c r="A2703" t="s">
        <v>1523</v>
      </c>
      <c r="B2703" t="s">
        <v>1524</v>
      </c>
      <c r="C2703" t="s">
        <v>1525</v>
      </c>
      <c r="D2703" t="s">
        <v>1526</v>
      </c>
      <c r="E2703" s="9">
        <v>45139</v>
      </c>
      <c r="F2703" s="9">
        <v>45169</v>
      </c>
      <c r="G2703">
        <v>23725965.284000002</v>
      </c>
      <c r="H2703">
        <v>2829132.6639999999</v>
      </c>
      <c r="I2703">
        <v>12719876.208000001</v>
      </c>
      <c r="J2703">
        <v>83781.824000000008</v>
      </c>
      <c r="K2703">
        <v>748.05200000000002</v>
      </c>
      <c r="L2703">
        <v>0</v>
      </c>
      <c r="M2703">
        <v>0</v>
      </c>
      <c r="T2703" s="9">
        <v>45108</v>
      </c>
      <c r="U2703" s="9">
        <v>45473</v>
      </c>
      <c r="V2703">
        <f>SUM(POTABLE_NONPOTABLE_API[[#This Row],[RESIDENTIAL_SINGLEFAMILY_GAL]:[OTHER_GAL]])</f>
        <v>39359504.032000005</v>
      </c>
      <c r="W2703">
        <f>SUM(POTABLE_NONPOTABLE_API[[#This Row],[NONPOTABLE_DEMAND_RESIDENTIAL_RECYCLED_WATER_GAL]:[NONPOTABLE_DEMAND_NONRESIDENTIAL_METERED_IRRIGATION_GAL]])</f>
        <v>0</v>
      </c>
      <c r="X2703" t="str">
        <f>IFERROR(INDEX(Crosswalk_API!$H$2:$H$527, MATCH(POTABLE_NONPOTABLE_API[[#This Row],[PWSID]], CW_PWSID_LIST, 0)), "")</f>
        <v>No</v>
      </c>
    </row>
    <row r="2704" spans="1:24" x14ac:dyDescent="0.25">
      <c r="A2704" t="s">
        <v>1523</v>
      </c>
      <c r="B2704" t="s">
        <v>1524</v>
      </c>
      <c r="C2704" t="s">
        <v>1525</v>
      </c>
      <c r="D2704" t="s">
        <v>1526</v>
      </c>
      <c r="E2704" s="9">
        <v>45170</v>
      </c>
      <c r="F2704" s="9">
        <v>45199</v>
      </c>
      <c r="G2704">
        <v>17762494.740000002</v>
      </c>
      <c r="H2704">
        <v>2042181.96</v>
      </c>
      <c r="I2704">
        <v>9879522.7640000004</v>
      </c>
      <c r="J2704">
        <v>77797.407999999996</v>
      </c>
      <c r="K2704">
        <v>748.05200000000002</v>
      </c>
      <c r="L2704">
        <v>0</v>
      </c>
      <c r="M2704">
        <v>0</v>
      </c>
      <c r="T2704" s="9">
        <v>45108</v>
      </c>
      <c r="U2704" s="9">
        <v>45473</v>
      </c>
      <c r="V2704">
        <f>SUM(POTABLE_NONPOTABLE_API[[#This Row],[RESIDENTIAL_SINGLEFAMILY_GAL]:[OTHER_GAL]])</f>
        <v>29762744.924000002</v>
      </c>
      <c r="W2704">
        <f>SUM(POTABLE_NONPOTABLE_API[[#This Row],[NONPOTABLE_DEMAND_RESIDENTIAL_RECYCLED_WATER_GAL]:[NONPOTABLE_DEMAND_NONRESIDENTIAL_METERED_IRRIGATION_GAL]])</f>
        <v>0</v>
      </c>
      <c r="X2704" t="str">
        <f>IFERROR(INDEX(Crosswalk_API!$H$2:$H$527, MATCH(POTABLE_NONPOTABLE_API[[#This Row],[PWSID]], CW_PWSID_LIST, 0)), "")</f>
        <v>No</v>
      </c>
    </row>
    <row r="2705" spans="1:24" x14ac:dyDescent="0.25">
      <c r="A2705" t="s">
        <v>1523</v>
      </c>
      <c r="B2705" t="s">
        <v>1524</v>
      </c>
      <c r="C2705" t="s">
        <v>1525</v>
      </c>
      <c r="D2705" t="s">
        <v>1526</v>
      </c>
      <c r="E2705" s="9">
        <v>45200</v>
      </c>
      <c r="F2705" s="9">
        <v>45230</v>
      </c>
      <c r="G2705">
        <v>16989008.971999999</v>
      </c>
      <c r="H2705">
        <v>1932218.3160000001</v>
      </c>
      <c r="I2705">
        <v>9352894.1559999995</v>
      </c>
      <c r="J2705">
        <v>54607.796000000002</v>
      </c>
      <c r="K2705">
        <v>1496.104</v>
      </c>
      <c r="L2705">
        <v>0</v>
      </c>
      <c r="M2705">
        <v>0</v>
      </c>
      <c r="T2705" s="9">
        <v>45108</v>
      </c>
      <c r="U2705" s="9">
        <v>45473</v>
      </c>
      <c r="V2705">
        <f>SUM(POTABLE_NONPOTABLE_API[[#This Row],[RESIDENTIAL_SINGLEFAMILY_GAL]:[OTHER_GAL]])</f>
        <v>28330225.343999997</v>
      </c>
      <c r="W2705">
        <f>SUM(POTABLE_NONPOTABLE_API[[#This Row],[NONPOTABLE_DEMAND_RESIDENTIAL_RECYCLED_WATER_GAL]:[NONPOTABLE_DEMAND_NONRESIDENTIAL_METERED_IRRIGATION_GAL]])</f>
        <v>0</v>
      </c>
      <c r="X2705" t="str">
        <f>IFERROR(INDEX(Crosswalk_API!$H$2:$H$527, MATCH(POTABLE_NONPOTABLE_API[[#This Row],[PWSID]], CW_PWSID_LIST, 0)), "")</f>
        <v>No</v>
      </c>
    </row>
    <row r="2706" spans="1:24" x14ac:dyDescent="0.25">
      <c r="A2706" t="s">
        <v>1523</v>
      </c>
      <c r="B2706" t="s">
        <v>1524</v>
      </c>
      <c r="C2706" t="s">
        <v>1525</v>
      </c>
      <c r="D2706" t="s">
        <v>1526</v>
      </c>
      <c r="E2706" s="9">
        <v>45231</v>
      </c>
      <c r="F2706" s="9">
        <v>45260</v>
      </c>
      <c r="G2706">
        <v>15332821.844000001</v>
      </c>
      <c r="H2706">
        <v>1730244.2760000001</v>
      </c>
      <c r="I2706">
        <v>8901070.7479999997</v>
      </c>
      <c r="J2706">
        <v>44883.12</v>
      </c>
      <c r="K2706">
        <v>4488.3119999999999</v>
      </c>
      <c r="L2706">
        <v>0</v>
      </c>
      <c r="M2706">
        <v>0</v>
      </c>
      <c r="T2706" s="9">
        <v>45108</v>
      </c>
      <c r="U2706" s="9">
        <v>45473</v>
      </c>
      <c r="V2706">
        <f>SUM(POTABLE_NONPOTABLE_API[[#This Row],[RESIDENTIAL_SINGLEFAMILY_GAL]:[OTHER_GAL]])</f>
        <v>26013508.300000001</v>
      </c>
      <c r="W2706">
        <f>SUM(POTABLE_NONPOTABLE_API[[#This Row],[NONPOTABLE_DEMAND_RESIDENTIAL_RECYCLED_WATER_GAL]:[NONPOTABLE_DEMAND_NONRESIDENTIAL_METERED_IRRIGATION_GAL]])</f>
        <v>0</v>
      </c>
      <c r="X2706" t="str">
        <f>IFERROR(INDEX(Crosswalk_API!$H$2:$H$527, MATCH(POTABLE_NONPOTABLE_API[[#This Row],[PWSID]], CW_PWSID_LIST, 0)), "")</f>
        <v>No</v>
      </c>
    </row>
    <row r="2707" spans="1:24" x14ac:dyDescent="0.25">
      <c r="A2707" t="s">
        <v>1523</v>
      </c>
      <c r="B2707" t="s">
        <v>1524</v>
      </c>
      <c r="C2707" t="s">
        <v>1525</v>
      </c>
      <c r="D2707" t="s">
        <v>1526</v>
      </c>
      <c r="E2707" s="9">
        <v>45261</v>
      </c>
      <c r="F2707" s="9">
        <v>45291</v>
      </c>
      <c r="G2707">
        <v>13774629.528000001</v>
      </c>
      <c r="H2707">
        <v>1834971.5560000001</v>
      </c>
      <c r="I2707">
        <v>7876239.5080000004</v>
      </c>
      <c r="J2707">
        <v>22441.56</v>
      </c>
      <c r="K2707">
        <v>748.05200000000002</v>
      </c>
      <c r="L2707">
        <v>0</v>
      </c>
      <c r="M2707">
        <v>0</v>
      </c>
      <c r="T2707" s="9">
        <v>45108</v>
      </c>
      <c r="U2707" s="9">
        <v>45473</v>
      </c>
      <c r="V2707">
        <f>SUM(POTABLE_NONPOTABLE_API[[#This Row],[RESIDENTIAL_SINGLEFAMILY_GAL]:[OTHER_GAL]])</f>
        <v>23509030.204</v>
      </c>
      <c r="W2707">
        <f>SUM(POTABLE_NONPOTABLE_API[[#This Row],[NONPOTABLE_DEMAND_RESIDENTIAL_RECYCLED_WATER_GAL]:[NONPOTABLE_DEMAND_NONRESIDENTIAL_METERED_IRRIGATION_GAL]])</f>
        <v>0</v>
      </c>
      <c r="X2707" t="str">
        <f>IFERROR(INDEX(Crosswalk_API!$H$2:$H$527, MATCH(POTABLE_NONPOTABLE_API[[#This Row],[PWSID]], CW_PWSID_LIST, 0)), "")</f>
        <v>No</v>
      </c>
    </row>
    <row r="2708" spans="1:24" x14ac:dyDescent="0.25">
      <c r="A2708" t="s">
        <v>1523</v>
      </c>
      <c r="B2708" t="s">
        <v>1524</v>
      </c>
      <c r="C2708" t="s">
        <v>1525</v>
      </c>
      <c r="D2708" t="s">
        <v>1526</v>
      </c>
      <c r="E2708" s="9">
        <v>45292</v>
      </c>
      <c r="F2708" s="9">
        <v>45322</v>
      </c>
      <c r="G2708">
        <v>11973320.312000001</v>
      </c>
      <c r="H2708">
        <v>1869381.9480000001</v>
      </c>
      <c r="I2708">
        <v>6474390.0600000005</v>
      </c>
      <c r="J2708">
        <v>24685.716</v>
      </c>
      <c r="K2708">
        <v>748.05200000000002</v>
      </c>
      <c r="L2708">
        <v>0</v>
      </c>
      <c r="M2708">
        <v>0</v>
      </c>
      <c r="T2708" s="9">
        <v>45108</v>
      </c>
      <c r="U2708" s="9">
        <v>45473</v>
      </c>
      <c r="V2708">
        <f>SUM(POTABLE_NONPOTABLE_API[[#This Row],[RESIDENTIAL_SINGLEFAMILY_GAL]:[OTHER_GAL]])</f>
        <v>20342526.088</v>
      </c>
      <c r="W2708">
        <f>SUM(POTABLE_NONPOTABLE_API[[#This Row],[NONPOTABLE_DEMAND_RESIDENTIAL_RECYCLED_WATER_GAL]:[NONPOTABLE_DEMAND_NONRESIDENTIAL_METERED_IRRIGATION_GAL]])</f>
        <v>0</v>
      </c>
      <c r="X2708" t="str">
        <f>IFERROR(INDEX(Crosswalk_API!$H$2:$H$527, MATCH(POTABLE_NONPOTABLE_API[[#This Row],[PWSID]], CW_PWSID_LIST, 0)), "")</f>
        <v>No</v>
      </c>
    </row>
    <row r="2709" spans="1:24" x14ac:dyDescent="0.25">
      <c r="A2709" t="s">
        <v>1523</v>
      </c>
      <c r="B2709" t="s">
        <v>1524</v>
      </c>
      <c r="C2709" t="s">
        <v>1525</v>
      </c>
      <c r="D2709" t="s">
        <v>1526</v>
      </c>
      <c r="E2709" s="9">
        <v>45323</v>
      </c>
      <c r="F2709" s="9">
        <v>45351</v>
      </c>
      <c r="G2709">
        <v>12939055.444</v>
      </c>
      <c r="H2709">
        <v>2102774.1720000003</v>
      </c>
      <c r="I2709">
        <v>7418431.6840000004</v>
      </c>
      <c r="J2709">
        <v>30670.132000000001</v>
      </c>
      <c r="K2709">
        <v>0</v>
      </c>
      <c r="L2709">
        <v>0</v>
      </c>
      <c r="M2709">
        <v>0</v>
      </c>
      <c r="T2709" s="9">
        <v>45108</v>
      </c>
      <c r="U2709" s="9">
        <v>45473</v>
      </c>
      <c r="V2709">
        <f>SUM(POTABLE_NONPOTABLE_API[[#This Row],[RESIDENTIAL_SINGLEFAMILY_GAL]:[OTHER_GAL]])</f>
        <v>22490931.432</v>
      </c>
      <c r="W2709">
        <f>SUM(POTABLE_NONPOTABLE_API[[#This Row],[NONPOTABLE_DEMAND_RESIDENTIAL_RECYCLED_WATER_GAL]:[NONPOTABLE_DEMAND_NONRESIDENTIAL_METERED_IRRIGATION_GAL]])</f>
        <v>0</v>
      </c>
      <c r="X2709" t="str">
        <f>IFERROR(INDEX(Crosswalk_API!$H$2:$H$527, MATCH(POTABLE_NONPOTABLE_API[[#This Row],[PWSID]], CW_PWSID_LIST, 0)), "")</f>
        <v>No</v>
      </c>
    </row>
    <row r="2710" spans="1:24" x14ac:dyDescent="0.25">
      <c r="A2710" t="s">
        <v>1523</v>
      </c>
      <c r="B2710" t="s">
        <v>1524</v>
      </c>
      <c r="C2710" t="s">
        <v>1525</v>
      </c>
      <c r="D2710" t="s">
        <v>1526</v>
      </c>
      <c r="E2710" s="9">
        <v>45352</v>
      </c>
      <c r="F2710" s="9">
        <v>45382</v>
      </c>
      <c r="G2710">
        <v>12511917.752</v>
      </c>
      <c r="H2710">
        <v>1799813.112</v>
      </c>
      <c r="I2710">
        <v>7369060.2520000003</v>
      </c>
      <c r="J2710">
        <v>30670.132000000001</v>
      </c>
      <c r="K2710">
        <v>0</v>
      </c>
      <c r="L2710">
        <v>0</v>
      </c>
      <c r="M2710">
        <v>0</v>
      </c>
      <c r="T2710" s="9">
        <v>45108</v>
      </c>
      <c r="U2710" s="9">
        <v>45473</v>
      </c>
      <c r="V2710">
        <f>SUM(POTABLE_NONPOTABLE_API[[#This Row],[RESIDENTIAL_SINGLEFAMILY_GAL]:[OTHER_GAL]])</f>
        <v>21711461.248</v>
      </c>
      <c r="W2710">
        <f>SUM(POTABLE_NONPOTABLE_API[[#This Row],[NONPOTABLE_DEMAND_RESIDENTIAL_RECYCLED_WATER_GAL]:[NONPOTABLE_DEMAND_NONRESIDENTIAL_METERED_IRRIGATION_GAL]])</f>
        <v>0</v>
      </c>
      <c r="X2710" t="str">
        <f>IFERROR(INDEX(Crosswalk_API!$H$2:$H$527, MATCH(POTABLE_NONPOTABLE_API[[#This Row],[PWSID]], CW_PWSID_LIST, 0)), "")</f>
        <v>No</v>
      </c>
    </row>
    <row r="2711" spans="1:24" x14ac:dyDescent="0.25">
      <c r="A2711" t="s">
        <v>1523</v>
      </c>
      <c r="B2711" t="s">
        <v>1524</v>
      </c>
      <c r="C2711" t="s">
        <v>1525</v>
      </c>
      <c r="D2711" t="s">
        <v>1526</v>
      </c>
      <c r="E2711" s="9">
        <v>45383</v>
      </c>
      <c r="F2711" s="9">
        <v>45412</v>
      </c>
      <c r="G2711">
        <v>15976894.616</v>
      </c>
      <c r="H2711">
        <v>2014504.0360000001</v>
      </c>
      <c r="I2711">
        <v>8875636.9800000004</v>
      </c>
      <c r="J2711">
        <v>73309.096000000005</v>
      </c>
      <c r="K2711">
        <v>0</v>
      </c>
      <c r="L2711">
        <v>0</v>
      </c>
      <c r="M2711">
        <v>0</v>
      </c>
      <c r="T2711" s="9">
        <v>45108</v>
      </c>
      <c r="U2711" s="9">
        <v>45473</v>
      </c>
      <c r="V2711">
        <f>SUM(POTABLE_NONPOTABLE_API[[#This Row],[RESIDENTIAL_SINGLEFAMILY_GAL]:[OTHER_GAL]])</f>
        <v>26940344.728</v>
      </c>
      <c r="W2711">
        <f>SUM(POTABLE_NONPOTABLE_API[[#This Row],[NONPOTABLE_DEMAND_RESIDENTIAL_RECYCLED_WATER_GAL]:[NONPOTABLE_DEMAND_NONRESIDENTIAL_METERED_IRRIGATION_GAL]])</f>
        <v>0</v>
      </c>
      <c r="X2711" t="str">
        <f>IFERROR(INDEX(Crosswalk_API!$H$2:$H$527, MATCH(POTABLE_NONPOTABLE_API[[#This Row],[PWSID]], CW_PWSID_LIST, 0)), "")</f>
        <v>No</v>
      </c>
    </row>
    <row r="2712" spans="1:24" x14ac:dyDescent="0.25">
      <c r="A2712" t="s">
        <v>1523</v>
      </c>
      <c r="B2712" t="s">
        <v>1524</v>
      </c>
      <c r="C2712" t="s">
        <v>1525</v>
      </c>
      <c r="D2712" t="s">
        <v>1526</v>
      </c>
      <c r="E2712" s="9">
        <v>45413</v>
      </c>
      <c r="F2712" s="9">
        <v>45443</v>
      </c>
      <c r="G2712">
        <v>20589383.248</v>
      </c>
      <c r="H2712">
        <v>2535148.2280000001</v>
      </c>
      <c r="I2712">
        <v>10988135.828</v>
      </c>
      <c r="J2712">
        <v>101735.072</v>
      </c>
      <c r="K2712">
        <v>0</v>
      </c>
      <c r="L2712">
        <v>0</v>
      </c>
      <c r="M2712">
        <v>0</v>
      </c>
      <c r="T2712" s="9">
        <v>45108</v>
      </c>
      <c r="U2712" s="9">
        <v>45473</v>
      </c>
      <c r="V2712">
        <f>SUM(POTABLE_NONPOTABLE_API[[#This Row],[RESIDENTIAL_SINGLEFAMILY_GAL]:[OTHER_GAL]])</f>
        <v>34214402.375999995</v>
      </c>
      <c r="W2712">
        <f>SUM(POTABLE_NONPOTABLE_API[[#This Row],[NONPOTABLE_DEMAND_RESIDENTIAL_RECYCLED_WATER_GAL]:[NONPOTABLE_DEMAND_NONRESIDENTIAL_METERED_IRRIGATION_GAL]])</f>
        <v>0</v>
      </c>
      <c r="X2712" t="str">
        <f>IFERROR(INDEX(Crosswalk_API!$H$2:$H$527, MATCH(POTABLE_NONPOTABLE_API[[#This Row],[PWSID]], CW_PWSID_LIST, 0)), "")</f>
        <v>No</v>
      </c>
    </row>
    <row r="2713" spans="1:24" x14ac:dyDescent="0.25">
      <c r="A2713" t="s">
        <v>1523</v>
      </c>
      <c r="B2713" t="s">
        <v>1524</v>
      </c>
      <c r="C2713" t="s">
        <v>1525</v>
      </c>
      <c r="D2713" t="s">
        <v>1526</v>
      </c>
      <c r="E2713" s="9">
        <v>45444</v>
      </c>
      <c r="F2713" s="9">
        <v>45473</v>
      </c>
      <c r="G2713">
        <v>22775939.243999999</v>
      </c>
      <c r="H2713">
        <v>2400498.8680000002</v>
      </c>
      <c r="I2713">
        <v>11264167.016000001</v>
      </c>
      <c r="J2713">
        <v>61340.264000000003</v>
      </c>
      <c r="K2713">
        <v>0</v>
      </c>
      <c r="L2713">
        <v>0</v>
      </c>
      <c r="M2713">
        <v>0</v>
      </c>
      <c r="T2713" s="9">
        <v>45108</v>
      </c>
      <c r="U2713" s="9">
        <v>45473</v>
      </c>
      <c r="V2713">
        <f>SUM(POTABLE_NONPOTABLE_API[[#This Row],[RESIDENTIAL_SINGLEFAMILY_GAL]:[OTHER_GAL]])</f>
        <v>36501945.391999997</v>
      </c>
      <c r="W2713">
        <f>SUM(POTABLE_NONPOTABLE_API[[#This Row],[NONPOTABLE_DEMAND_RESIDENTIAL_RECYCLED_WATER_GAL]:[NONPOTABLE_DEMAND_NONRESIDENTIAL_METERED_IRRIGATION_GAL]])</f>
        <v>0</v>
      </c>
      <c r="X2713" t="str">
        <f>IFERROR(INDEX(Crosswalk_API!$H$2:$H$527, MATCH(POTABLE_NONPOTABLE_API[[#This Row],[PWSID]], CW_PWSID_LIST, 0)), "")</f>
        <v>No</v>
      </c>
    </row>
    <row r="2714" spans="1:24" x14ac:dyDescent="0.25">
      <c r="A2714" t="s">
        <v>1527</v>
      </c>
      <c r="B2714" t="s">
        <v>1528</v>
      </c>
      <c r="C2714" t="s">
        <v>1529</v>
      </c>
      <c r="D2714" t="s">
        <v>1530</v>
      </c>
      <c r="E2714" s="9">
        <v>45108</v>
      </c>
      <c r="F2714" s="9">
        <v>45138</v>
      </c>
      <c r="G2714">
        <v>541137497.19000006</v>
      </c>
      <c r="H2714">
        <v>49623848.789999999</v>
      </c>
      <c r="I2714">
        <v>70983381.840000004</v>
      </c>
      <c r="J2714">
        <v>124136196.95999999</v>
      </c>
      <c r="K2714">
        <v>16797619.050000001</v>
      </c>
      <c r="L2714">
        <v>4594499.0999999996</v>
      </c>
      <c r="M2714">
        <v>20443891.740000002</v>
      </c>
      <c r="T2714" s="9">
        <v>45108</v>
      </c>
      <c r="U2714" s="9">
        <v>45473</v>
      </c>
      <c r="V2714">
        <f>SUM(POTABLE_NONPOTABLE_API[[#This Row],[RESIDENTIAL_SINGLEFAMILY_GAL]:[OTHER_GAL]])</f>
        <v>807273042.93000007</v>
      </c>
      <c r="W2714">
        <f>SUM(POTABLE_NONPOTABLE_API[[#This Row],[NONPOTABLE_DEMAND_RESIDENTIAL_RECYCLED_WATER_GAL]:[NONPOTABLE_DEMAND_NONRESIDENTIAL_METERED_IRRIGATION_GAL]])</f>
        <v>0</v>
      </c>
      <c r="X2714" t="str">
        <f>IFERROR(INDEX(Crosswalk_API!$H$2:$H$527, MATCH(POTABLE_NONPOTABLE_API[[#This Row],[PWSID]], CW_PWSID_LIST, 0)), "")</f>
        <v>No</v>
      </c>
    </row>
    <row r="2715" spans="1:24" x14ac:dyDescent="0.25">
      <c r="A2715" t="s">
        <v>1527</v>
      </c>
      <c r="B2715" t="s">
        <v>1528</v>
      </c>
      <c r="C2715" t="s">
        <v>1529</v>
      </c>
      <c r="D2715" t="s">
        <v>1530</v>
      </c>
      <c r="E2715" s="9">
        <v>45139</v>
      </c>
      <c r="F2715" s="9">
        <v>45169</v>
      </c>
      <c r="G2715">
        <v>389603748.15000004</v>
      </c>
      <c r="H2715">
        <v>41477573.789999999</v>
      </c>
      <c r="I2715">
        <v>64261075.710000001</v>
      </c>
      <c r="J2715">
        <v>100642339.86</v>
      </c>
      <c r="K2715">
        <v>21023906.52</v>
      </c>
      <c r="L2715">
        <v>2825128.17</v>
      </c>
      <c r="M2715">
        <v>19404427.050000001</v>
      </c>
      <c r="T2715" s="9">
        <v>45108</v>
      </c>
      <c r="U2715" s="9">
        <v>45473</v>
      </c>
      <c r="V2715">
        <f>SUM(POTABLE_NONPOTABLE_API[[#This Row],[RESIDENTIAL_SINGLEFAMILY_GAL]:[OTHER_GAL]])</f>
        <v>619833772.19999993</v>
      </c>
      <c r="W2715">
        <f>SUM(POTABLE_NONPOTABLE_API[[#This Row],[NONPOTABLE_DEMAND_RESIDENTIAL_RECYCLED_WATER_GAL]:[NONPOTABLE_DEMAND_NONRESIDENTIAL_METERED_IRRIGATION_GAL]])</f>
        <v>0</v>
      </c>
      <c r="X2715" t="str">
        <f>IFERROR(INDEX(Crosswalk_API!$H$2:$H$527, MATCH(POTABLE_NONPOTABLE_API[[#This Row],[PWSID]], CW_PWSID_LIST, 0)), "")</f>
        <v>No</v>
      </c>
    </row>
    <row r="2716" spans="1:24" x14ac:dyDescent="0.25">
      <c r="A2716" t="s">
        <v>1527</v>
      </c>
      <c r="B2716" t="s">
        <v>1528</v>
      </c>
      <c r="C2716" t="s">
        <v>1529</v>
      </c>
      <c r="D2716" t="s">
        <v>1530</v>
      </c>
      <c r="E2716" s="9">
        <v>45170</v>
      </c>
      <c r="F2716" s="9">
        <v>45199</v>
      </c>
      <c r="G2716">
        <v>348865856.13000005</v>
      </c>
      <c r="H2716">
        <v>37515225.629999995</v>
      </c>
      <c r="I2716">
        <v>43585829.759999998</v>
      </c>
      <c r="J2716">
        <v>61488083.699999996</v>
      </c>
      <c r="K2716">
        <v>9045623.7599999998</v>
      </c>
      <c r="L2716">
        <v>120564.87</v>
      </c>
      <c r="M2716">
        <v>8687187.6600000001</v>
      </c>
      <c r="T2716" s="9">
        <v>45108</v>
      </c>
      <c r="U2716" s="9">
        <v>45473</v>
      </c>
      <c r="V2716">
        <f>SUM(POTABLE_NONPOTABLE_API[[#This Row],[RESIDENTIAL_SINGLEFAMILY_GAL]:[OTHER_GAL]])</f>
        <v>500621183.85000002</v>
      </c>
      <c r="W2716">
        <f>SUM(POTABLE_NONPOTABLE_API[[#This Row],[NONPOTABLE_DEMAND_RESIDENTIAL_RECYCLED_WATER_GAL]:[NONPOTABLE_DEMAND_NONRESIDENTIAL_METERED_IRRIGATION_GAL]])</f>
        <v>0</v>
      </c>
      <c r="X2716" t="str">
        <f>IFERROR(INDEX(Crosswalk_API!$H$2:$H$527, MATCH(POTABLE_NONPOTABLE_API[[#This Row],[PWSID]], CW_PWSID_LIST, 0)), "")</f>
        <v>No</v>
      </c>
    </row>
    <row r="2717" spans="1:24" x14ac:dyDescent="0.25">
      <c r="A2717" t="s">
        <v>1527</v>
      </c>
      <c r="B2717" t="s">
        <v>1528</v>
      </c>
      <c r="C2717" t="s">
        <v>1529</v>
      </c>
      <c r="D2717" t="s">
        <v>1530</v>
      </c>
      <c r="E2717" s="9">
        <v>45200</v>
      </c>
      <c r="F2717" s="9">
        <v>45230</v>
      </c>
      <c r="G2717">
        <v>537774714.87</v>
      </c>
      <c r="H2717">
        <v>58004736.509999998</v>
      </c>
      <c r="I2717">
        <v>87337843.529999986</v>
      </c>
      <c r="J2717">
        <v>87008734.019999996</v>
      </c>
      <c r="K2717">
        <v>27221592.540000003</v>
      </c>
      <c r="L2717">
        <v>4245838.5299999993</v>
      </c>
      <c r="M2717">
        <v>22174160.550000001</v>
      </c>
      <c r="T2717" s="9">
        <v>45108</v>
      </c>
      <c r="U2717" s="9">
        <v>45473</v>
      </c>
      <c r="V2717">
        <f>SUM(POTABLE_NONPOTABLE_API[[#This Row],[RESIDENTIAL_SINGLEFAMILY_GAL]:[OTHER_GAL]])</f>
        <v>801593459.99999988</v>
      </c>
      <c r="W2717">
        <f>SUM(POTABLE_NONPOTABLE_API[[#This Row],[NONPOTABLE_DEMAND_RESIDENTIAL_RECYCLED_WATER_GAL]:[NONPOTABLE_DEMAND_NONRESIDENTIAL_METERED_IRRIGATION_GAL]])</f>
        <v>0</v>
      </c>
      <c r="X2717" t="str">
        <f>IFERROR(INDEX(Crosswalk_API!$H$2:$H$527, MATCH(POTABLE_NONPOTABLE_API[[#This Row],[PWSID]], CW_PWSID_LIST, 0)), "")</f>
        <v>No</v>
      </c>
    </row>
    <row r="2718" spans="1:24" x14ac:dyDescent="0.25">
      <c r="A2718" t="s">
        <v>1527</v>
      </c>
      <c r="B2718" t="s">
        <v>1528</v>
      </c>
      <c r="C2718" t="s">
        <v>1529</v>
      </c>
      <c r="D2718" t="s">
        <v>1530</v>
      </c>
      <c r="E2718" s="9">
        <v>45231</v>
      </c>
      <c r="F2718" s="9">
        <v>45260</v>
      </c>
      <c r="G2718">
        <v>374578758.53999996</v>
      </c>
      <c r="H2718">
        <v>26178869.34</v>
      </c>
      <c r="I2718">
        <v>44729566.770000003</v>
      </c>
      <c r="J2718">
        <v>56033337.960000001</v>
      </c>
      <c r="K2718">
        <v>16461992.520000001</v>
      </c>
      <c r="L2718">
        <v>7559743.2000000002</v>
      </c>
      <c r="M2718">
        <v>11691533.880000001</v>
      </c>
      <c r="T2718" s="9">
        <v>45108</v>
      </c>
      <c r="U2718" s="9">
        <v>45473</v>
      </c>
      <c r="V2718">
        <f>SUM(POTABLE_NONPOTABLE_API[[#This Row],[RESIDENTIAL_SINGLEFAMILY_GAL]:[OTHER_GAL]])</f>
        <v>525542268.32999986</v>
      </c>
      <c r="W2718">
        <f>SUM(POTABLE_NONPOTABLE_API[[#This Row],[NONPOTABLE_DEMAND_RESIDENTIAL_RECYCLED_WATER_GAL]:[NONPOTABLE_DEMAND_NONRESIDENTIAL_METERED_IRRIGATION_GAL]])</f>
        <v>0</v>
      </c>
      <c r="X2718" t="str">
        <f>IFERROR(INDEX(Crosswalk_API!$H$2:$H$527, MATCH(POTABLE_NONPOTABLE_API[[#This Row],[PWSID]], CW_PWSID_LIST, 0)), "")</f>
        <v>No</v>
      </c>
    </row>
    <row r="2719" spans="1:24" x14ac:dyDescent="0.25">
      <c r="A2719" t="s">
        <v>1527</v>
      </c>
      <c r="B2719" t="s">
        <v>1528</v>
      </c>
      <c r="C2719" t="s">
        <v>1529</v>
      </c>
      <c r="D2719" t="s">
        <v>1530</v>
      </c>
      <c r="E2719" s="9">
        <v>45261</v>
      </c>
      <c r="F2719" s="9">
        <v>45291</v>
      </c>
      <c r="G2719">
        <v>497574477</v>
      </c>
      <c r="H2719">
        <v>47896838.490000002</v>
      </c>
      <c r="I2719">
        <v>78624587.789999992</v>
      </c>
      <c r="J2719">
        <v>69657168.270000011</v>
      </c>
      <c r="K2719">
        <v>18296533.649999999</v>
      </c>
      <c r="L2719">
        <v>6908041.2000000002</v>
      </c>
      <c r="M2719">
        <v>15073867.26</v>
      </c>
      <c r="T2719" s="9">
        <v>45108</v>
      </c>
      <c r="U2719" s="9">
        <v>45473</v>
      </c>
      <c r="V2719">
        <f>SUM(POTABLE_NONPOTABLE_API[[#This Row],[RESIDENTIAL_SINGLEFAMILY_GAL]:[OTHER_GAL]])</f>
        <v>718957646.39999998</v>
      </c>
      <c r="W2719">
        <f>SUM(POTABLE_NONPOTABLE_API[[#This Row],[NONPOTABLE_DEMAND_RESIDENTIAL_RECYCLED_WATER_GAL]:[NONPOTABLE_DEMAND_NONRESIDENTIAL_METERED_IRRIGATION_GAL]])</f>
        <v>0</v>
      </c>
      <c r="X2719" t="str">
        <f>IFERROR(INDEX(Crosswalk_API!$H$2:$H$527, MATCH(POTABLE_NONPOTABLE_API[[#This Row],[PWSID]], CW_PWSID_LIST, 0)), "")</f>
        <v>No</v>
      </c>
    </row>
    <row r="2720" spans="1:24" x14ac:dyDescent="0.25">
      <c r="A2720" t="s">
        <v>1527</v>
      </c>
      <c r="B2720" t="s">
        <v>1528</v>
      </c>
      <c r="C2720" t="s">
        <v>1529</v>
      </c>
      <c r="D2720" t="s">
        <v>1530</v>
      </c>
      <c r="E2720" s="9">
        <v>45292</v>
      </c>
      <c r="F2720" s="9">
        <v>45322</v>
      </c>
      <c r="G2720">
        <v>208544640</v>
      </c>
      <c r="H2720">
        <v>28697697.569999997</v>
      </c>
      <c r="I2720">
        <v>53941374.539999999</v>
      </c>
      <c r="J2720">
        <v>26289658.680000003</v>
      </c>
      <c r="K2720">
        <v>9557209.8300000001</v>
      </c>
      <c r="L2720">
        <v>5539467</v>
      </c>
      <c r="M2720">
        <v>8501452.5899999999</v>
      </c>
      <c r="T2720" s="9">
        <v>45108</v>
      </c>
      <c r="U2720" s="9">
        <v>45473</v>
      </c>
      <c r="V2720">
        <f>SUM(POTABLE_NONPOTABLE_API[[#This Row],[RESIDENTIAL_SINGLEFAMILY_GAL]:[OTHER_GAL]])</f>
        <v>332570047.62</v>
      </c>
      <c r="W2720">
        <f>SUM(POTABLE_NONPOTABLE_API[[#This Row],[NONPOTABLE_DEMAND_RESIDENTIAL_RECYCLED_WATER_GAL]:[NONPOTABLE_DEMAND_NONRESIDENTIAL_METERED_IRRIGATION_GAL]])</f>
        <v>0</v>
      </c>
      <c r="X2720" t="str">
        <f>IFERROR(INDEX(Crosswalk_API!$H$2:$H$527, MATCH(POTABLE_NONPOTABLE_API[[#This Row],[PWSID]], CW_PWSID_LIST, 0)), "")</f>
        <v>No</v>
      </c>
    </row>
    <row r="2721" spans="1:24" x14ac:dyDescent="0.25">
      <c r="A2721" t="s">
        <v>1527</v>
      </c>
      <c r="B2721" t="s">
        <v>1528</v>
      </c>
      <c r="C2721" t="s">
        <v>1529</v>
      </c>
      <c r="D2721" t="s">
        <v>1530</v>
      </c>
      <c r="E2721" s="9">
        <v>45323</v>
      </c>
      <c r="F2721" s="9">
        <v>45351</v>
      </c>
      <c r="G2721">
        <v>306857145.21000004</v>
      </c>
      <c r="H2721">
        <v>26371121.430000003</v>
      </c>
      <c r="I2721">
        <v>44788219.949999996</v>
      </c>
      <c r="J2721">
        <v>14989146</v>
      </c>
      <c r="K2721">
        <v>14585090.76</v>
      </c>
      <c r="L2721">
        <v>2616583.5299999998</v>
      </c>
      <c r="M2721">
        <v>6732081.6600000001</v>
      </c>
      <c r="T2721" s="9">
        <v>45108</v>
      </c>
      <c r="U2721" s="9">
        <v>45473</v>
      </c>
      <c r="V2721">
        <f>SUM(POTABLE_NONPOTABLE_API[[#This Row],[RESIDENTIAL_SINGLEFAMILY_GAL]:[OTHER_GAL]])</f>
        <v>410207306.88</v>
      </c>
      <c r="W2721">
        <f>SUM(POTABLE_NONPOTABLE_API[[#This Row],[NONPOTABLE_DEMAND_RESIDENTIAL_RECYCLED_WATER_GAL]:[NONPOTABLE_DEMAND_NONRESIDENTIAL_METERED_IRRIGATION_GAL]])</f>
        <v>0</v>
      </c>
      <c r="X2721" t="str">
        <f>IFERROR(INDEX(Crosswalk_API!$H$2:$H$527, MATCH(POTABLE_NONPOTABLE_API[[#This Row],[PWSID]], CW_PWSID_LIST, 0)), "")</f>
        <v>No</v>
      </c>
    </row>
    <row r="2722" spans="1:24" x14ac:dyDescent="0.25">
      <c r="A2722" t="s">
        <v>1527</v>
      </c>
      <c r="B2722" t="s">
        <v>1528</v>
      </c>
      <c r="C2722" t="s">
        <v>1529</v>
      </c>
      <c r="D2722" t="s">
        <v>1530</v>
      </c>
      <c r="E2722" s="9">
        <v>45352</v>
      </c>
      <c r="F2722" s="9">
        <v>45382</v>
      </c>
      <c r="G2722">
        <v>224908877.22</v>
      </c>
      <c r="H2722">
        <v>22689005.129999999</v>
      </c>
      <c r="I2722">
        <v>38557948.829999998</v>
      </c>
      <c r="J2722">
        <v>8488418.5500000007</v>
      </c>
      <c r="K2722">
        <v>12414923.1</v>
      </c>
      <c r="L2722">
        <v>915641.31</v>
      </c>
      <c r="M2722">
        <v>5262493.6499999994</v>
      </c>
      <c r="T2722" s="9">
        <v>45108</v>
      </c>
      <c r="U2722" s="9">
        <v>45473</v>
      </c>
      <c r="V2722">
        <f>SUM(POTABLE_NONPOTABLE_API[[#This Row],[RESIDENTIAL_SINGLEFAMILY_GAL]:[OTHER_GAL]])</f>
        <v>307974814.14000005</v>
      </c>
      <c r="W2722">
        <f>SUM(POTABLE_NONPOTABLE_API[[#This Row],[NONPOTABLE_DEMAND_RESIDENTIAL_RECYCLED_WATER_GAL]:[NONPOTABLE_DEMAND_NONRESIDENTIAL_METERED_IRRIGATION_GAL]])</f>
        <v>0</v>
      </c>
      <c r="X2722" t="str">
        <f>IFERROR(INDEX(Crosswalk_API!$H$2:$H$527, MATCH(POTABLE_NONPOTABLE_API[[#This Row],[PWSID]], CW_PWSID_LIST, 0)), "")</f>
        <v>No</v>
      </c>
    </row>
    <row r="2723" spans="1:24" x14ac:dyDescent="0.25">
      <c r="A2723" t="s">
        <v>1527</v>
      </c>
      <c r="B2723" t="s">
        <v>1528</v>
      </c>
      <c r="C2723" t="s">
        <v>1529</v>
      </c>
      <c r="D2723" t="s">
        <v>1530</v>
      </c>
      <c r="E2723" s="9">
        <v>45383</v>
      </c>
      <c r="F2723" s="9">
        <v>45412</v>
      </c>
      <c r="G2723">
        <v>335470121.51999998</v>
      </c>
      <c r="H2723">
        <v>34598859.18</v>
      </c>
      <c r="I2723">
        <v>48151002.270000003</v>
      </c>
      <c r="J2723">
        <v>26729557.530000001</v>
      </c>
      <c r="K2723">
        <v>12089072.1</v>
      </c>
      <c r="L2723">
        <v>3059740.89</v>
      </c>
      <c r="M2723">
        <v>9723393.8399999999</v>
      </c>
      <c r="T2723" s="9">
        <v>45108</v>
      </c>
      <c r="U2723" s="9">
        <v>45473</v>
      </c>
      <c r="V2723">
        <f>SUM(POTABLE_NONPOTABLE_API[[#This Row],[RESIDENTIAL_SINGLEFAMILY_GAL]:[OTHER_GAL]])</f>
        <v>460098353.49000001</v>
      </c>
      <c r="W2723">
        <f>SUM(POTABLE_NONPOTABLE_API[[#This Row],[NONPOTABLE_DEMAND_RESIDENTIAL_RECYCLED_WATER_GAL]:[NONPOTABLE_DEMAND_NONRESIDENTIAL_METERED_IRRIGATION_GAL]])</f>
        <v>0</v>
      </c>
      <c r="X2723" t="str">
        <f>IFERROR(INDEX(Crosswalk_API!$H$2:$H$527, MATCH(POTABLE_NONPOTABLE_API[[#This Row],[PWSID]], CW_PWSID_LIST, 0)), "")</f>
        <v>No</v>
      </c>
    </row>
    <row r="2724" spans="1:24" x14ac:dyDescent="0.25">
      <c r="A2724" t="s">
        <v>1527</v>
      </c>
      <c r="B2724" t="s">
        <v>1528</v>
      </c>
      <c r="C2724" t="s">
        <v>1529</v>
      </c>
      <c r="D2724" t="s">
        <v>1530</v>
      </c>
      <c r="E2724" s="9">
        <v>45413</v>
      </c>
      <c r="F2724" s="9">
        <v>45443</v>
      </c>
      <c r="G2724">
        <v>263655819.63</v>
      </c>
      <c r="H2724">
        <v>25784589.629999999</v>
      </c>
      <c r="I2724">
        <v>54231381.93</v>
      </c>
      <c r="J2724">
        <v>47616606.629999995</v>
      </c>
      <c r="K2724">
        <v>15197690.640000001</v>
      </c>
      <c r="L2724">
        <v>6503985.96</v>
      </c>
      <c r="M2724">
        <v>12235705.049999999</v>
      </c>
      <c r="T2724" s="9">
        <v>45108</v>
      </c>
      <c r="U2724" s="9">
        <v>45473</v>
      </c>
      <c r="V2724">
        <f>SUM(POTABLE_NONPOTABLE_API[[#This Row],[RESIDENTIAL_SINGLEFAMILY_GAL]:[OTHER_GAL]])</f>
        <v>412990074.41999996</v>
      </c>
      <c r="W2724">
        <f>SUM(POTABLE_NONPOTABLE_API[[#This Row],[NONPOTABLE_DEMAND_RESIDENTIAL_RECYCLED_WATER_GAL]:[NONPOTABLE_DEMAND_NONRESIDENTIAL_METERED_IRRIGATION_GAL]])</f>
        <v>0</v>
      </c>
      <c r="X2724" t="str">
        <f>IFERROR(INDEX(Crosswalk_API!$H$2:$H$527, MATCH(POTABLE_NONPOTABLE_API[[#This Row],[PWSID]], CW_PWSID_LIST, 0)), "")</f>
        <v>No</v>
      </c>
    </row>
    <row r="2725" spans="1:24" x14ac:dyDescent="0.25">
      <c r="A2725" t="s">
        <v>1527</v>
      </c>
      <c r="B2725" t="s">
        <v>1528</v>
      </c>
      <c r="C2725" t="s">
        <v>1529</v>
      </c>
      <c r="D2725" t="s">
        <v>1530</v>
      </c>
      <c r="E2725" s="9">
        <v>45444</v>
      </c>
      <c r="F2725" s="9">
        <v>45473</v>
      </c>
      <c r="G2725">
        <v>577789217.67000008</v>
      </c>
      <c r="H2725">
        <v>33135788.189999998</v>
      </c>
      <c r="I2725">
        <v>83274481.560000002</v>
      </c>
      <c r="J2725">
        <v>96673474.680000007</v>
      </c>
      <c r="K2725">
        <v>27508341.420000002</v>
      </c>
      <c r="L2725">
        <v>7171980.5100000007</v>
      </c>
      <c r="M2725">
        <v>23679592.170000002</v>
      </c>
      <c r="T2725" s="9">
        <v>45108</v>
      </c>
      <c r="U2725" s="9">
        <v>45473</v>
      </c>
      <c r="V2725">
        <f>SUM(POTABLE_NONPOTABLE_API[[#This Row],[RESIDENTIAL_SINGLEFAMILY_GAL]:[OTHER_GAL]])</f>
        <v>825553284.03000009</v>
      </c>
      <c r="W2725">
        <f>SUM(POTABLE_NONPOTABLE_API[[#This Row],[NONPOTABLE_DEMAND_RESIDENTIAL_RECYCLED_WATER_GAL]:[NONPOTABLE_DEMAND_NONRESIDENTIAL_METERED_IRRIGATION_GAL]])</f>
        <v>0</v>
      </c>
      <c r="X2725" t="str">
        <f>IFERROR(INDEX(Crosswalk_API!$H$2:$H$527, MATCH(POTABLE_NONPOTABLE_API[[#This Row],[PWSID]], CW_PWSID_LIST, 0)), "")</f>
        <v>No</v>
      </c>
    </row>
    <row r="2726" spans="1:24" x14ac:dyDescent="0.25">
      <c r="A2726" t="s">
        <v>1531</v>
      </c>
      <c r="B2726" t="s">
        <v>1532</v>
      </c>
      <c r="C2726" t="s">
        <v>1533</v>
      </c>
      <c r="D2726" t="s">
        <v>1534</v>
      </c>
      <c r="E2726" s="9">
        <v>45108</v>
      </c>
      <c r="F2726" s="9">
        <v>45138</v>
      </c>
      <c r="G2726">
        <v>68348430</v>
      </c>
      <c r="H2726">
        <v>9097160</v>
      </c>
      <c r="I2726">
        <v>6123578</v>
      </c>
      <c r="J2726">
        <v>11524000</v>
      </c>
      <c r="K2726">
        <v>1151000</v>
      </c>
      <c r="L2726">
        <v>1384311</v>
      </c>
      <c r="M2726">
        <v>0</v>
      </c>
      <c r="T2726" s="9">
        <v>45108</v>
      </c>
      <c r="U2726" s="9">
        <v>45473</v>
      </c>
      <c r="V2726">
        <f>SUM(POTABLE_NONPOTABLE_API[[#This Row],[RESIDENTIAL_SINGLEFAMILY_GAL]:[OTHER_GAL]])</f>
        <v>97628479</v>
      </c>
      <c r="W2726">
        <f>SUM(POTABLE_NONPOTABLE_API[[#This Row],[NONPOTABLE_DEMAND_RESIDENTIAL_RECYCLED_WATER_GAL]:[NONPOTABLE_DEMAND_NONRESIDENTIAL_METERED_IRRIGATION_GAL]])</f>
        <v>0</v>
      </c>
      <c r="X2726" t="str">
        <f>IFERROR(INDEX(Crosswalk_API!$H$2:$H$527, MATCH(POTABLE_NONPOTABLE_API[[#This Row],[PWSID]], CW_PWSID_LIST, 0)), "")</f>
        <v>No</v>
      </c>
    </row>
    <row r="2727" spans="1:24" x14ac:dyDescent="0.25">
      <c r="A2727" t="s">
        <v>1531</v>
      </c>
      <c r="B2727" t="s">
        <v>1532</v>
      </c>
      <c r="C2727" t="s">
        <v>1533</v>
      </c>
      <c r="D2727" t="s">
        <v>1534</v>
      </c>
      <c r="E2727" s="9">
        <v>45139</v>
      </c>
      <c r="F2727" s="9">
        <v>45169</v>
      </c>
      <c r="G2727">
        <v>76433560</v>
      </c>
      <c r="H2727">
        <v>11192060</v>
      </c>
      <c r="I2727">
        <v>6469061</v>
      </c>
      <c r="J2727">
        <v>11094000</v>
      </c>
      <c r="K2727">
        <v>728000</v>
      </c>
      <c r="L2727">
        <v>2454689</v>
      </c>
      <c r="M2727">
        <v>0</v>
      </c>
      <c r="T2727" s="9">
        <v>45108</v>
      </c>
      <c r="U2727" s="9">
        <v>45473</v>
      </c>
      <c r="V2727">
        <f>SUM(POTABLE_NONPOTABLE_API[[#This Row],[RESIDENTIAL_SINGLEFAMILY_GAL]:[OTHER_GAL]])</f>
        <v>108371370</v>
      </c>
      <c r="W2727">
        <f>SUM(POTABLE_NONPOTABLE_API[[#This Row],[NONPOTABLE_DEMAND_RESIDENTIAL_RECYCLED_WATER_GAL]:[NONPOTABLE_DEMAND_NONRESIDENTIAL_METERED_IRRIGATION_GAL]])</f>
        <v>0</v>
      </c>
      <c r="X2727" t="str">
        <f>IFERROR(INDEX(Crosswalk_API!$H$2:$H$527, MATCH(POTABLE_NONPOTABLE_API[[#This Row],[PWSID]], CW_PWSID_LIST, 0)), "")</f>
        <v>No</v>
      </c>
    </row>
    <row r="2728" spans="1:24" x14ac:dyDescent="0.25">
      <c r="A2728" t="s">
        <v>1531</v>
      </c>
      <c r="B2728" t="s">
        <v>1532</v>
      </c>
      <c r="C2728" t="s">
        <v>1533</v>
      </c>
      <c r="D2728" t="s">
        <v>1534</v>
      </c>
      <c r="E2728" s="9">
        <v>45170</v>
      </c>
      <c r="F2728" s="9">
        <v>45199</v>
      </c>
      <c r="G2728">
        <v>64831600</v>
      </c>
      <c r="H2728">
        <v>8873000</v>
      </c>
      <c r="I2728">
        <v>7602161</v>
      </c>
      <c r="J2728">
        <v>9448000</v>
      </c>
      <c r="K2728">
        <v>1417000</v>
      </c>
      <c r="L2728">
        <v>1654000</v>
      </c>
      <c r="M2728">
        <v>0</v>
      </c>
      <c r="T2728" s="9">
        <v>45108</v>
      </c>
      <c r="U2728" s="9">
        <v>45473</v>
      </c>
      <c r="V2728">
        <f>SUM(POTABLE_NONPOTABLE_API[[#This Row],[RESIDENTIAL_SINGLEFAMILY_GAL]:[OTHER_GAL]])</f>
        <v>93825761</v>
      </c>
      <c r="W2728">
        <f>SUM(POTABLE_NONPOTABLE_API[[#This Row],[NONPOTABLE_DEMAND_RESIDENTIAL_RECYCLED_WATER_GAL]:[NONPOTABLE_DEMAND_NONRESIDENTIAL_METERED_IRRIGATION_GAL]])</f>
        <v>0</v>
      </c>
      <c r="X2728" t="str">
        <f>IFERROR(INDEX(Crosswalk_API!$H$2:$H$527, MATCH(POTABLE_NONPOTABLE_API[[#This Row],[PWSID]], CW_PWSID_LIST, 0)), "")</f>
        <v>No</v>
      </c>
    </row>
    <row r="2729" spans="1:24" x14ac:dyDescent="0.25">
      <c r="A2729" t="s">
        <v>1531</v>
      </c>
      <c r="B2729" t="s">
        <v>1532</v>
      </c>
      <c r="C2729" t="s">
        <v>1533</v>
      </c>
      <c r="D2729" t="s">
        <v>1534</v>
      </c>
      <c r="E2729" s="9">
        <v>45200</v>
      </c>
      <c r="F2729" s="9">
        <v>45230</v>
      </c>
      <c r="G2729">
        <v>50293140</v>
      </c>
      <c r="H2729">
        <v>7101000</v>
      </c>
      <c r="I2729">
        <v>5185920</v>
      </c>
      <c r="J2729">
        <v>6138000</v>
      </c>
      <c r="K2729">
        <v>524000</v>
      </c>
      <c r="L2729">
        <v>1032000</v>
      </c>
      <c r="M2729">
        <v>0</v>
      </c>
      <c r="T2729" s="9">
        <v>45108</v>
      </c>
      <c r="U2729" s="9">
        <v>45473</v>
      </c>
      <c r="V2729">
        <f>SUM(POTABLE_NONPOTABLE_API[[#This Row],[RESIDENTIAL_SINGLEFAMILY_GAL]:[OTHER_GAL]])</f>
        <v>70274060</v>
      </c>
      <c r="W2729">
        <f>SUM(POTABLE_NONPOTABLE_API[[#This Row],[NONPOTABLE_DEMAND_RESIDENTIAL_RECYCLED_WATER_GAL]:[NONPOTABLE_DEMAND_NONRESIDENTIAL_METERED_IRRIGATION_GAL]])</f>
        <v>0</v>
      </c>
      <c r="X2729" t="str">
        <f>IFERROR(INDEX(Crosswalk_API!$H$2:$H$527, MATCH(POTABLE_NONPOTABLE_API[[#This Row],[PWSID]], CW_PWSID_LIST, 0)), "")</f>
        <v>No</v>
      </c>
    </row>
    <row r="2730" spans="1:24" x14ac:dyDescent="0.25">
      <c r="A2730" t="s">
        <v>1531</v>
      </c>
      <c r="B2730" t="s">
        <v>1532</v>
      </c>
      <c r="C2730" t="s">
        <v>1533</v>
      </c>
      <c r="D2730" t="s">
        <v>1534</v>
      </c>
      <c r="E2730" s="9">
        <v>45231</v>
      </c>
      <c r="F2730" s="9">
        <v>45260</v>
      </c>
      <c r="G2730">
        <v>41852360</v>
      </c>
      <c r="H2730">
        <v>7392000</v>
      </c>
      <c r="I2730">
        <v>4873100</v>
      </c>
      <c r="J2730">
        <v>4191000</v>
      </c>
      <c r="K2730">
        <v>497000</v>
      </c>
      <c r="L2730">
        <v>849000</v>
      </c>
      <c r="M2730">
        <v>0</v>
      </c>
      <c r="T2730" s="9">
        <v>45108</v>
      </c>
      <c r="U2730" s="9">
        <v>45473</v>
      </c>
      <c r="V2730">
        <f>SUM(POTABLE_NONPOTABLE_API[[#This Row],[RESIDENTIAL_SINGLEFAMILY_GAL]:[OTHER_GAL]])</f>
        <v>59654460</v>
      </c>
      <c r="W2730">
        <f>SUM(POTABLE_NONPOTABLE_API[[#This Row],[NONPOTABLE_DEMAND_RESIDENTIAL_RECYCLED_WATER_GAL]:[NONPOTABLE_DEMAND_NONRESIDENTIAL_METERED_IRRIGATION_GAL]])</f>
        <v>0</v>
      </c>
      <c r="X2730" t="str">
        <f>IFERROR(INDEX(Crosswalk_API!$H$2:$H$527, MATCH(POTABLE_NONPOTABLE_API[[#This Row],[PWSID]], CW_PWSID_LIST, 0)), "")</f>
        <v>No</v>
      </c>
    </row>
    <row r="2731" spans="1:24" x14ac:dyDescent="0.25">
      <c r="A2731" t="s">
        <v>1531</v>
      </c>
      <c r="B2731" t="s">
        <v>1532</v>
      </c>
      <c r="C2731" t="s">
        <v>1533</v>
      </c>
      <c r="D2731" t="s">
        <v>1534</v>
      </c>
      <c r="E2731" s="9">
        <v>45261</v>
      </c>
      <c r="F2731" s="9">
        <v>45291</v>
      </c>
      <c r="G2731">
        <v>34600057</v>
      </c>
      <c r="H2731">
        <v>7753000</v>
      </c>
      <c r="I2731">
        <v>4541700</v>
      </c>
      <c r="J2731">
        <v>2853000</v>
      </c>
      <c r="K2731">
        <v>384000</v>
      </c>
      <c r="L2731">
        <v>797000</v>
      </c>
      <c r="M2731">
        <v>0</v>
      </c>
      <c r="T2731" s="9">
        <v>45108</v>
      </c>
      <c r="U2731" s="9">
        <v>45473</v>
      </c>
      <c r="V2731">
        <f>SUM(POTABLE_NONPOTABLE_API[[#This Row],[RESIDENTIAL_SINGLEFAMILY_GAL]:[OTHER_GAL]])</f>
        <v>50928757</v>
      </c>
      <c r="W2731">
        <f>SUM(POTABLE_NONPOTABLE_API[[#This Row],[NONPOTABLE_DEMAND_RESIDENTIAL_RECYCLED_WATER_GAL]:[NONPOTABLE_DEMAND_NONRESIDENTIAL_METERED_IRRIGATION_GAL]])</f>
        <v>0</v>
      </c>
      <c r="X2731" t="str">
        <f>IFERROR(INDEX(Crosswalk_API!$H$2:$H$527, MATCH(POTABLE_NONPOTABLE_API[[#This Row],[PWSID]], CW_PWSID_LIST, 0)), "")</f>
        <v>No</v>
      </c>
    </row>
    <row r="2732" spans="1:24" x14ac:dyDescent="0.25">
      <c r="A2732" t="s">
        <v>1531</v>
      </c>
      <c r="B2732" t="s">
        <v>1532</v>
      </c>
      <c r="C2732" t="s">
        <v>1533</v>
      </c>
      <c r="D2732" t="s">
        <v>1534</v>
      </c>
      <c r="E2732" s="9">
        <v>45292</v>
      </c>
      <c r="F2732" s="9">
        <v>45322</v>
      </c>
      <c r="G2732">
        <v>31128800</v>
      </c>
      <c r="H2732">
        <v>7376000</v>
      </c>
      <c r="I2732">
        <v>3818400</v>
      </c>
      <c r="J2732">
        <v>1089000</v>
      </c>
      <c r="K2732">
        <v>448000</v>
      </c>
      <c r="L2732">
        <v>429000</v>
      </c>
      <c r="M2732">
        <v>0</v>
      </c>
      <c r="T2732" s="9">
        <v>45108</v>
      </c>
      <c r="U2732" s="9">
        <v>45473</v>
      </c>
      <c r="V2732">
        <f>SUM(POTABLE_NONPOTABLE_API[[#This Row],[RESIDENTIAL_SINGLEFAMILY_GAL]:[OTHER_GAL]])</f>
        <v>44289200</v>
      </c>
      <c r="W2732">
        <f>SUM(POTABLE_NONPOTABLE_API[[#This Row],[NONPOTABLE_DEMAND_RESIDENTIAL_RECYCLED_WATER_GAL]:[NONPOTABLE_DEMAND_NONRESIDENTIAL_METERED_IRRIGATION_GAL]])</f>
        <v>0</v>
      </c>
      <c r="X2732" t="str">
        <f>IFERROR(INDEX(Crosswalk_API!$H$2:$H$527, MATCH(POTABLE_NONPOTABLE_API[[#This Row],[PWSID]], CW_PWSID_LIST, 0)), "")</f>
        <v>No</v>
      </c>
    </row>
    <row r="2733" spans="1:24" x14ac:dyDescent="0.25">
      <c r="A2733" t="s">
        <v>1531</v>
      </c>
      <c r="B2733" t="s">
        <v>1532</v>
      </c>
      <c r="C2733" t="s">
        <v>1533</v>
      </c>
      <c r="D2733" t="s">
        <v>1534</v>
      </c>
      <c r="E2733" s="9">
        <v>45323</v>
      </c>
      <c r="F2733" s="9">
        <v>45351</v>
      </c>
      <c r="G2733">
        <v>23861000</v>
      </c>
      <c r="H2733">
        <v>6660000</v>
      </c>
      <c r="I2733">
        <v>3683000</v>
      </c>
      <c r="J2733">
        <v>613000</v>
      </c>
      <c r="K2733">
        <v>442000</v>
      </c>
      <c r="L2733">
        <v>354000</v>
      </c>
      <c r="M2733">
        <v>0</v>
      </c>
      <c r="T2733" s="9">
        <v>45108</v>
      </c>
      <c r="U2733" s="9">
        <v>45473</v>
      </c>
      <c r="V2733">
        <f>SUM(POTABLE_NONPOTABLE_API[[#This Row],[RESIDENTIAL_SINGLEFAMILY_GAL]:[OTHER_GAL]])</f>
        <v>35613000</v>
      </c>
      <c r="W2733">
        <f>SUM(POTABLE_NONPOTABLE_API[[#This Row],[NONPOTABLE_DEMAND_RESIDENTIAL_RECYCLED_WATER_GAL]:[NONPOTABLE_DEMAND_NONRESIDENTIAL_METERED_IRRIGATION_GAL]])</f>
        <v>0</v>
      </c>
      <c r="X2733" t="str">
        <f>IFERROR(INDEX(Crosswalk_API!$H$2:$H$527, MATCH(POTABLE_NONPOTABLE_API[[#This Row],[PWSID]], CW_PWSID_LIST, 0)), "")</f>
        <v>No</v>
      </c>
    </row>
    <row r="2734" spans="1:24" x14ac:dyDescent="0.25">
      <c r="A2734" t="s">
        <v>1531</v>
      </c>
      <c r="B2734" t="s">
        <v>1532</v>
      </c>
      <c r="C2734" t="s">
        <v>1533</v>
      </c>
      <c r="D2734" t="s">
        <v>1534</v>
      </c>
      <c r="E2734" s="9">
        <v>45352</v>
      </c>
      <c r="F2734" s="9">
        <v>45382</v>
      </c>
      <c r="G2734">
        <v>29199600</v>
      </c>
      <c r="H2734">
        <v>6896000</v>
      </c>
      <c r="I2734">
        <v>3535000</v>
      </c>
      <c r="J2734">
        <v>1446000</v>
      </c>
      <c r="K2734">
        <v>401000</v>
      </c>
      <c r="L2734">
        <v>388000</v>
      </c>
      <c r="M2734">
        <v>0</v>
      </c>
      <c r="T2734" s="9">
        <v>45108</v>
      </c>
      <c r="U2734" s="9">
        <v>45473</v>
      </c>
      <c r="V2734">
        <f>SUM(POTABLE_NONPOTABLE_API[[#This Row],[RESIDENTIAL_SINGLEFAMILY_GAL]:[OTHER_GAL]])</f>
        <v>41865600</v>
      </c>
      <c r="W2734">
        <f>SUM(POTABLE_NONPOTABLE_API[[#This Row],[NONPOTABLE_DEMAND_RESIDENTIAL_RECYCLED_WATER_GAL]:[NONPOTABLE_DEMAND_NONRESIDENTIAL_METERED_IRRIGATION_GAL]])</f>
        <v>0</v>
      </c>
      <c r="X2734" t="str">
        <f>IFERROR(INDEX(Crosswalk_API!$H$2:$H$527, MATCH(POTABLE_NONPOTABLE_API[[#This Row],[PWSID]], CW_PWSID_LIST, 0)), "")</f>
        <v>No</v>
      </c>
    </row>
    <row r="2735" spans="1:24" x14ac:dyDescent="0.25">
      <c r="A2735" t="s">
        <v>1531</v>
      </c>
      <c r="B2735" t="s">
        <v>1532</v>
      </c>
      <c r="C2735" t="s">
        <v>1533</v>
      </c>
      <c r="D2735" t="s">
        <v>1534</v>
      </c>
      <c r="E2735" s="9">
        <v>45383</v>
      </c>
      <c r="F2735" s="9">
        <v>45412</v>
      </c>
      <c r="G2735">
        <v>37316150</v>
      </c>
      <c r="H2735">
        <v>7391000</v>
      </c>
      <c r="I2735">
        <v>5146000</v>
      </c>
      <c r="J2735">
        <v>2966000</v>
      </c>
      <c r="K2735">
        <v>543000</v>
      </c>
      <c r="L2735">
        <v>850000</v>
      </c>
      <c r="M2735">
        <v>0</v>
      </c>
      <c r="T2735" s="9">
        <v>45108</v>
      </c>
      <c r="U2735" s="9">
        <v>45473</v>
      </c>
      <c r="V2735">
        <f>SUM(POTABLE_NONPOTABLE_API[[#This Row],[RESIDENTIAL_SINGLEFAMILY_GAL]:[OTHER_GAL]])</f>
        <v>54212150</v>
      </c>
      <c r="W2735">
        <f>SUM(POTABLE_NONPOTABLE_API[[#This Row],[NONPOTABLE_DEMAND_RESIDENTIAL_RECYCLED_WATER_GAL]:[NONPOTABLE_DEMAND_NONRESIDENTIAL_METERED_IRRIGATION_GAL]])</f>
        <v>0</v>
      </c>
      <c r="X2735" t="str">
        <f>IFERROR(INDEX(Crosswalk_API!$H$2:$H$527, MATCH(POTABLE_NONPOTABLE_API[[#This Row],[PWSID]], CW_PWSID_LIST, 0)), "")</f>
        <v>No</v>
      </c>
    </row>
    <row r="2736" spans="1:24" x14ac:dyDescent="0.25">
      <c r="A2736" t="s">
        <v>1531</v>
      </c>
      <c r="B2736" t="s">
        <v>1532</v>
      </c>
      <c r="C2736" t="s">
        <v>1533</v>
      </c>
      <c r="D2736" t="s">
        <v>1534</v>
      </c>
      <c r="E2736" s="9">
        <v>45413</v>
      </c>
      <c r="F2736" s="9">
        <v>45443</v>
      </c>
      <c r="G2736">
        <v>58084000</v>
      </c>
      <c r="H2736">
        <v>8772000</v>
      </c>
      <c r="I2736">
        <v>4450000</v>
      </c>
      <c r="J2736">
        <v>6283000</v>
      </c>
      <c r="K2736">
        <v>709000</v>
      </c>
      <c r="L2736">
        <v>1327000</v>
      </c>
      <c r="M2736">
        <v>0</v>
      </c>
      <c r="T2736" s="9">
        <v>45108</v>
      </c>
      <c r="U2736" s="9">
        <v>45473</v>
      </c>
      <c r="V2736">
        <f>SUM(POTABLE_NONPOTABLE_API[[#This Row],[RESIDENTIAL_SINGLEFAMILY_GAL]:[OTHER_GAL]])</f>
        <v>79625000</v>
      </c>
      <c r="W2736">
        <f>SUM(POTABLE_NONPOTABLE_API[[#This Row],[NONPOTABLE_DEMAND_RESIDENTIAL_RECYCLED_WATER_GAL]:[NONPOTABLE_DEMAND_NONRESIDENTIAL_METERED_IRRIGATION_GAL]])</f>
        <v>0</v>
      </c>
      <c r="X2736" t="str">
        <f>IFERROR(INDEX(Crosswalk_API!$H$2:$H$527, MATCH(POTABLE_NONPOTABLE_API[[#This Row],[PWSID]], CW_PWSID_LIST, 0)), "")</f>
        <v>No</v>
      </c>
    </row>
    <row r="2737" spans="1:24" x14ac:dyDescent="0.25">
      <c r="A2737" t="s">
        <v>1531</v>
      </c>
      <c r="B2737" t="s">
        <v>1532</v>
      </c>
      <c r="C2737" t="s">
        <v>1533</v>
      </c>
      <c r="D2737" t="s">
        <v>1534</v>
      </c>
      <c r="E2737" s="9">
        <v>45444</v>
      </c>
      <c r="F2737" s="9">
        <v>45473</v>
      </c>
      <c r="G2737">
        <v>75052550</v>
      </c>
      <c r="H2737">
        <v>10228000</v>
      </c>
      <c r="I2737">
        <v>7508000</v>
      </c>
      <c r="J2737">
        <v>9558000</v>
      </c>
      <c r="K2737">
        <v>1045000</v>
      </c>
      <c r="L2737">
        <v>2457350</v>
      </c>
      <c r="M2737">
        <v>0</v>
      </c>
      <c r="T2737" s="9">
        <v>45108</v>
      </c>
      <c r="U2737" s="9">
        <v>45473</v>
      </c>
      <c r="V2737">
        <f>SUM(POTABLE_NONPOTABLE_API[[#This Row],[RESIDENTIAL_SINGLEFAMILY_GAL]:[OTHER_GAL]])</f>
        <v>105848900</v>
      </c>
      <c r="W2737">
        <f>SUM(POTABLE_NONPOTABLE_API[[#This Row],[NONPOTABLE_DEMAND_RESIDENTIAL_RECYCLED_WATER_GAL]:[NONPOTABLE_DEMAND_NONRESIDENTIAL_METERED_IRRIGATION_GAL]])</f>
        <v>0</v>
      </c>
      <c r="X2737" t="str">
        <f>IFERROR(INDEX(Crosswalk_API!$H$2:$H$527, MATCH(POTABLE_NONPOTABLE_API[[#This Row],[PWSID]], CW_PWSID_LIST, 0)), "")</f>
        <v>No</v>
      </c>
    </row>
    <row r="2738" spans="1:24" x14ac:dyDescent="0.25">
      <c r="A2738" t="s">
        <v>1535</v>
      </c>
      <c r="B2738" t="s">
        <v>1536</v>
      </c>
      <c r="C2738" t="s">
        <v>1537</v>
      </c>
      <c r="D2738" t="s">
        <v>1538</v>
      </c>
      <c r="E2738" s="9">
        <v>45108</v>
      </c>
      <c r="F2738" s="9">
        <v>45138</v>
      </c>
      <c r="G2738">
        <v>81528000</v>
      </c>
      <c r="H2738">
        <v>2651000</v>
      </c>
      <c r="I2738">
        <v>18046000</v>
      </c>
      <c r="J2738">
        <v>0</v>
      </c>
      <c r="K2738">
        <v>0</v>
      </c>
      <c r="L2738">
        <v>0</v>
      </c>
      <c r="M2738">
        <v>0</v>
      </c>
      <c r="T2738" s="9">
        <v>45108</v>
      </c>
      <c r="U2738" s="9">
        <v>45473</v>
      </c>
      <c r="V2738">
        <f>SUM(POTABLE_NONPOTABLE_API[[#This Row],[RESIDENTIAL_SINGLEFAMILY_GAL]:[OTHER_GAL]])</f>
        <v>102225000</v>
      </c>
      <c r="W2738">
        <f>SUM(POTABLE_NONPOTABLE_API[[#This Row],[NONPOTABLE_DEMAND_RESIDENTIAL_RECYCLED_WATER_GAL]:[NONPOTABLE_DEMAND_NONRESIDENTIAL_METERED_IRRIGATION_GAL]])</f>
        <v>0</v>
      </c>
      <c r="X2738" t="str">
        <f>IFERROR(INDEX(Crosswalk_API!$H$2:$H$527, MATCH(POTABLE_NONPOTABLE_API[[#This Row],[PWSID]], CW_PWSID_LIST, 0)), "")</f>
        <v>No</v>
      </c>
    </row>
    <row r="2739" spans="1:24" x14ac:dyDescent="0.25">
      <c r="A2739" t="s">
        <v>1535</v>
      </c>
      <c r="B2739" t="s">
        <v>1536</v>
      </c>
      <c r="C2739" t="s">
        <v>1537</v>
      </c>
      <c r="D2739" t="s">
        <v>1538</v>
      </c>
      <c r="E2739" s="9">
        <v>45139</v>
      </c>
      <c r="F2739" s="9">
        <v>45169</v>
      </c>
      <c r="G2739">
        <v>80376000</v>
      </c>
      <c r="H2739">
        <v>2579000</v>
      </c>
      <c r="I2739">
        <v>16257000.000000002</v>
      </c>
      <c r="J2739">
        <v>0</v>
      </c>
      <c r="K2739">
        <v>0</v>
      </c>
      <c r="L2739">
        <v>0</v>
      </c>
      <c r="M2739">
        <v>0</v>
      </c>
      <c r="T2739" s="9">
        <v>45108</v>
      </c>
      <c r="U2739" s="9">
        <v>45473</v>
      </c>
      <c r="V2739">
        <f>SUM(POTABLE_NONPOTABLE_API[[#This Row],[RESIDENTIAL_SINGLEFAMILY_GAL]:[OTHER_GAL]])</f>
        <v>99212000</v>
      </c>
      <c r="W2739">
        <f>SUM(POTABLE_NONPOTABLE_API[[#This Row],[NONPOTABLE_DEMAND_RESIDENTIAL_RECYCLED_WATER_GAL]:[NONPOTABLE_DEMAND_NONRESIDENTIAL_METERED_IRRIGATION_GAL]])</f>
        <v>0</v>
      </c>
      <c r="X2739" t="str">
        <f>IFERROR(INDEX(Crosswalk_API!$H$2:$H$527, MATCH(POTABLE_NONPOTABLE_API[[#This Row],[PWSID]], CW_PWSID_LIST, 0)), "")</f>
        <v>No</v>
      </c>
    </row>
    <row r="2740" spans="1:24" x14ac:dyDescent="0.25">
      <c r="A2740" t="s">
        <v>1535</v>
      </c>
      <c r="B2740" t="s">
        <v>1536</v>
      </c>
      <c r="C2740" t="s">
        <v>1537</v>
      </c>
      <c r="D2740" t="s">
        <v>1538</v>
      </c>
      <c r="E2740" s="9">
        <v>45170</v>
      </c>
      <c r="F2740" s="9">
        <v>45199</v>
      </c>
      <c r="G2740">
        <v>80888000</v>
      </c>
      <c r="H2740">
        <v>2678000</v>
      </c>
      <c r="I2740">
        <v>17308000</v>
      </c>
      <c r="J2740">
        <v>0</v>
      </c>
      <c r="K2740">
        <v>0</v>
      </c>
      <c r="L2740">
        <v>0</v>
      </c>
      <c r="M2740">
        <v>0</v>
      </c>
      <c r="T2740" s="9">
        <v>45108</v>
      </c>
      <c r="U2740" s="9">
        <v>45473</v>
      </c>
      <c r="V2740">
        <f>SUM(POTABLE_NONPOTABLE_API[[#This Row],[RESIDENTIAL_SINGLEFAMILY_GAL]:[OTHER_GAL]])</f>
        <v>100874000</v>
      </c>
      <c r="W2740">
        <f>SUM(POTABLE_NONPOTABLE_API[[#This Row],[NONPOTABLE_DEMAND_RESIDENTIAL_RECYCLED_WATER_GAL]:[NONPOTABLE_DEMAND_NONRESIDENTIAL_METERED_IRRIGATION_GAL]])</f>
        <v>0</v>
      </c>
      <c r="X2740" t="str">
        <f>IFERROR(INDEX(Crosswalk_API!$H$2:$H$527, MATCH(POTABLE_NONPOTABLE_API[[#This Row],[PWSID]], CW_PWSID_LIST, 0)), "")</f>
        <v>No</v>
      </c>
    </row>
    <row r="2741" spans="1:24" x14ac:dyDescent="0.25">
      <c r="A2741" t="s">
        <v>1535</v>
      </c>
      <c r="B2741" t="s">
        <v>1536</v>
      </c>
      <c r="C2741" t="s">
        <v>1537</v>
      </c>
      <c r="D2741" t="s">
        <v>1538</v>
      </c>
      <c r="E2741" s="9">
        <v>45200</v>
      </c>
      <c r="F2741" s="9">
        <v>45230</v>
      </c>
      <c r="G2741">
        <v>73755000</v>
      </c>
      <c r="H2741">
        <v>2363000</v>
      </c>
      <c r="I2741">
        <v>15378000</v>
      </c>
      <c r="J2741">
        <v>0</v>
      </c>
      <c r="K2741">
        <v>0</v>
      </c>
      <c r="L2741">
        <v>0</v>
      </c>
      <c r="M2741">
        <v>0</v>
      </c>
      <c r="T2741" s="9">
        <v>45108</v>
      </c>
      <c r="U2741" s="9">
        <v>45473</v>
      </c>
      <c r="V2741">
        <f>SUM(POTABLE_NONPOTABLE_API[[#This Row],[RESIDENTIAL_SINGLEFAMILY_GAL]:[OTHER_GAL]])</f>
        <v>91496000</v>
      </c>
      <c r="W2741">
        <f>SUM(POTABLE_NONPOTABLE_API[[#This Row],[NONPOTABLE_DEMAND_RESIDENTIAL_RECYCLED_WATER_GAL]:[NONPOTABLE_DEMAND_NONRESIDENTIAL_METERED_IRRIGATION_GAL]])</f>
        <v>0</v>
      </c>
      <c r="X2741" t="str">
        <f>IFERROR(INDEX(Crosswalk_API!$H$2:$H$527, MATCH(POTABLE_NONPOTABLE_API[[#This Row],[PWSID]], CW_PWSID_LIST, 0)), "")</f>
        <v>No</v>
      </c>
    </row>
    <row r="2742" spans="1:24" x14ac:dyDescent="0.25">
      <c r="A2742" t="s">
        <v>1535</v>
      </c>
      <c r="B2742" t="s">
        <v>1536</v>
      </c>
      <c r="C2742" t="s">
        <v>1537</v>
      </c>
      <c r="D2742" t="s">
        <v>1538</v>
      </c>
      <c r="E2742" s="9">
        <v>45231</v>
      </c>
      <c r="F2742" s="9">
        <v>45260</v>
      </c>
      <c r="G2742">
        <v>61626000</v>
      </c>
      <c r="H2742">
        <v>2103000</v>
      </c>
      <c r="I2742">
        <v>12402000</v>
      </c>
      <c r="J2742">
        <v>0</v>
      </c>
      <c r="K2742">
        <v>0</v>
      </c>
      <c r="L2742">
        <v>0</v>
      </c>
      <c r="M2742">
        <v>0</v>
      </c>
      <c r="T2742" s="9">
        <v>45108</v>
      </c>
      <c r="U2742" s="9">
        <v>45473</v>
      </c>
      <c r="V2742">
        <f>SUM(POTABLE_NONPOTABLE_API[[#This Row],[RESIDENTIAL_SINGLEFAMILY_GAL]:[OTHER_GAL]])</f>
        <v>76131000</v>
      </c>
      <c r="W2742">
        <f>SUM(POTABLE_NONPOTABLE_API[[#This Row],[NONPOTABLE_DEMAND_RESIDENTIAL_RECYCLED_WATER_GAL]:[NONPOTABLE_DEMAND_NONRESIDENTIAL_METERED_IRRIGATION_GAL]])</f>
        <v>0</v>
      </c>
      <c r="X2742" t="str">
        <f>IFERROR(INDEX(Crosswalk_API!$H$2:$H$527, MATCH(POTABLE_NONPOTABLE_API[[#This Row],[PWSID]], CW_PWSID_LIST, 0)), "")</f>
        <v>No</v>
      </c>
    </row>
    <row r="2743" spans="1:24" x14ac:dyDescent="0.25">
      <c r="A2743" t="s">
        <v>1535</v>
      </c>
      <c r="B2743" t="s">
        <v>1536</v>
      </c>
      <c r="C2743" t="s">
        <v>1537</v>
      </c>
      <c r="D2743" t="s">
        <v>1538</v>
      </c>
      <c r="E2743" s="9">
        <v>45261</v>
      </c>
      <c r="F2743" s="9">
        <v>45291</v>
      </c>
      <c r="G2743">
        <v>47603000</v>
      </c>
      <c r="H2743">
        <v>1901000</v>
      </c>
      <c r="I2743">
        <v>9644000</v>
      </c>
      <c r="J2743">
        <v>0</v>
      </c>
      <c r="K2743">
        <v>0</v>
      </c>
      <c r="L2743">
        <v>0</v>
      </c>
      <c r="M2743">
        <v>0</v>
      </c>
      <c r="T2743" s="9">
        <v>45108</v>
      </c>
      <c r="U2743" s="9">
        <v>45473</v>
      </c>
      <c r="V2743">
        <f>SUM(POTABLE_NONPOTABLE_API[[#This Row],[RESIDENTIAL_SINGLEFAMILY_GAL]:[OTHER_GAL]])</f>
        <v>59148000</v>
      </c>
      <c r="W2743">
        <f>SUM(POTABLE_NONPOTABLE_API[[#This Row],[NONPOTABLE_DEMAND_RESIDENTIAL_RECYCLED_WATER_GAL]:[NONPOTABLE_DEMAND_NONRESIDENTIAL_METERED_IRRIGATION_GAL]])</f>
        <v>0</v>
      </c>
      <c r="X2743" t="str">
        <f>IFERROR(INDEX(Crosswalk_API!$H$2:$H$527, MATCH(POTABLE_NONPOTABLE_API[[#This Row],[PWSID]], CW_PWSID_LIST, 0)), "")</f>
        <v>No</v>
      </c>
    </row>
    <row r="2744" spans="1:24" x14ac:dyDescent="0.25">
      <c r="A2744" t="s">
        <v>1535</v>
      </c>
      <c r="B2744" t="s">
        <v>1536</v>
      </c>
      <c r="C2744" t="s">
        <v>1537</v>
      </c>
      <c r="D2744" t="s">
        <v>1538</v>
      </c>
      <c r="E2744" s="9">
        <v>45292</v>
      </c>
      <c r="F2744" s="9">
        <v>45322</v>
      </c>
      <c r="G2744">
        <v>41638000</v>
      </c>
      <c r="H2744">
        <v>1819000</v>
      </c>
      <c r="I2744">
        <v>7175000</v>
      </c>
      <c r="J2744">
        <v>0</v>
      </c>
      <c r="K2744">
        <v>0</v>
      </c>
      <c r="L2744">
        <v>0</v>
      </c>
      <c r="M2744">
        <v>0</v>
      </c>
      <c r="T2744" s="9">
        <v>45108</v>
      </c>
      <c r="U2744" s="9">
        <v>45473</v>
      </c>
      <c r="V2744">
        <f>SUM(POTABLE_NONPOTABLE_API[[#This Row],[RESIDENTIAL_SINGLEFAMILY_GAL]:[OTHER_GAL]])</f>
        <v>50632000</v>
      </c>
      <c r="W2744">
        <f>SUM(POTABLE_NONPOTABLE_API[[#This Row],[NONPOTABLE_DEMAND_RESIDENTIAL_RECYCLED_WATER_GAL]:[NONPOTABLE_DEMAND_NONRESIDENTIAL_METERED_IRRIGATION_GAL]])</f>
        <v>0</v>
      </c>
      <c r="X2744" t="str">
        <f>IFERROR(INDEX(Crosswalk_API!$H$2:$H$527, MATCH(POTABLE_NONPOTABLE_API[[#This Row],[PWSID]], CW_PWSID_LIST, 0)), "")</f>
        <v>No</v>
      </c>
    </row>
    <row r="2745" spans="1:24" x14ac:dyDescent="0.25">
      <c r="A2745" t="s">
        <v>1535</v>
      </c>
      <c r="B2745" t="s">
        <v>1536</v>
      </c>
      <c r="C2745" t="s">
        <v>1537</v>
      </c>
      <c r="D2745" t="s">
        <v>1538</v>
      </c>
      <c r="E2745" s="9">
        <v>45323</v>
      </c>
      <c r="F2745" s="9">
        <v>45351</v>
      </c>
      <c r="G2745">
        <v>30117000</v>
      </c>
      <c r="H2745">
        <v>1391000</v>
      </c>
      <c r="I2745">
        <v>5313000</v>
      </c>
      <c r="J2745">
        <v>0</v>
      </c>
      <c r="K2745">
        <v>0</v>
      </c>
      <c r="L2745">
        <v>0</v>
      </c>
      <c r="M2745">
        <v>0</v>
      </c>
      <c r="T2745" s="9">
        <v>45108</v>
      </c>
      <c r="U2745" s="9">
        <v>45473</v>
      </c>
      <c r="V2745">
        <f>SUM(POTABLE_NONPOTABLE_API[[#This Row],[RESIDENTIAL_SINGLEFAMILY_GAL]:[OTHER_GAL]])</f>
        <v>36821000</v>
      </c>
      <c r="W2745">
        <f>SUM(POTABLE_NONPOTABLE_API[[#This Row],[NONPOTABLE_DEMAND_RESIDENTIAL_RECYCLED_WATER_GAL]:[NONPOTABLE_DEMAND_NONRESIDENTIAL_METERED_IRRIGATION_GAL]])</f>
        <v>0</v>
      </c>
      <c r="X2745" t="str">
        <f>IFERROR(INDEX(Crosswalk_API!$H$2:$H$527, MATCH(POTABLE_NONPOTABLE_API[[#This Row],[PWSID]], CW_PWSID_LIST, 0)), "")</f>
        <v>No</v>
      </c>
    </row>
    <row r="2746" spans="1:24" x14ac:dyDescent="0.25">
      <c r="A2746" t="s">
        <v>1535</v>
      </c>
      <c r="B2746" t="s">
        <v>1536</v>
      </c>
      <c r="C2746" t="s">
        <v>1537</v>
      </c>
      <c r="D2746" t="s">
        <v>1538</v>
      </c>
      <c r="E2746" s="9">
        <v>45352</v>
      </c>
      <c r="F2746" s="9">
        <v>45382</v>
      </c>
      <c r="G2746">
        <v>27704000</v>
      </c>
      <c r="H2746">
        <v>1412000</v>
      </c>
      <c r="I2746">
        <v>4936000</v>
      </c>
      <c r="J2746">
        <v>0</v>
      </c>
      <c r="K2746">
        <v>0</v>
      </c>
      <c r="L2746">
        <v>0</v>
      </c>
      <c r="M2746">
        <v>0</v>
      </c>
      <c r="T2746" s="9">
        <v>45108</v>
      </c>
      <c r="U2746" s="9">
        <v>45473</v>
      </c>
      <c r="V2746">
        <f>SUM(POTABLE_NONPOTABLE_API[[#This Row],[RESIDENTIAL_SINGLEFAMILY_GAL]:[OTHER_GAL]])</f>
        <v>34052000</v>
      </c>
      <c r="W2746">
        <f>SUM(POTABLE_NONPOTABLE_API[[#This Row],[NONPOTABLE_DEMAND_RESIDENTIAL_RECYCLED_WATER_GAL]:[NONPOTABLE_DEMAND_NONRESIDENTIAL_METERED_IRRIGATION_GAL]])</f>
        <v>0</v>
      </c>
      <c r="X2746" t="str">
        <f>IFERROR(INDEX(Crosswalk_API!$H$2:$H$527, MATCH(POTABLE_NONPOTABLE_API[[#This Row],[PWSID]], CW_PWSID_LIST, 0)), "")</f>
        <v>No</v>
      </c>
    </row>
    <row r="2747" spans="1:24" x14ac:dyDescent="0.25">
      <c r="A2747" t="s">
        <v>1535</v>
      </c>
      <c r="B2747" t="s">
        <v>1536</v>
      </c>
      <c r="C2747" t="s">
        <v>1537</v>
      </c>
      <c r="D2747" t="s">
        <v>1538</v>
      </c>
      <c r="E2747" s="9">
        <v>45383</v>
      </c>
      <c r="F2747" s="9">
        <v>45412</v>
      </c>
      <c r="G2747">
        <v>38346000</v>
      </c>
      <c r="H2747">
        <v>1616000</v>
      </c>
      <c r="I2747">
        <v>5667000</v>
      </c>
      <c r="J2747">
        <v>0</v>
      </c>
      <c r="K2747">
        <v>0</v>
      </c>
      <c r="L2747">
        <v>0</v>
      </c>
      <c r="M2747">
        <v>0</v>
      </c>
      <c r="T2747" s="9">
        <v>45108</v>
      </c>
      <c r="U2747" s="9">
        <v>45473</v>
      </c>
      <c r="V2747">
        <f>SUM(POTABLE_NONPOTABLE_API[[#This Row],[RESIDENTIAL_SINGLEFAMILY_GAL]:[OTHER_GAL]])</f>
        <v>45629000</v>
      </c>
      <c r="W2747">
        <f>SUM(POTABLE_NONPOTABLE_API[[#This Row],[NONPOTABLE_DEMAND_RESIDENTIAL_RECYCLED_WATER_GAL]:[NONPOTABLE_DEMAND_NONRESIDENTIAL_METERED_IRRIGATION_GAL]])</f>
        <v>0</v>
      </c>
      <c r="X2747" t="str">
        <f>IFERROR(INDEX(Crosswalk_API!$H$2:$H$527, MATCH(POTABLE_NONPOTABLE_API[[#This Row],[PWSID]], CW_PWSID_LIST, 0)), "")</f>
        <v>No</v>
      </c>
    </row>
    <row r="2748" spans="1:24" x14ac:dyDescent="0.25">
      <c r="A2748" t="s">
        <v>1535</v>
      </c>
      <c r="B2748" t="s">
        <v>1536</v>
      </c>
      <c r="C2748" t="s">
        <v>1537</v>
      </c>
      <c r="D2748" t="s">
        <v>1538</v>
      </c>
      <c r="E2748" s="9">
        <v>45413</v>
      </c>
      <c r="F2748" s="9">
        <v>45443</v>
      </c>
      <c r="G2748">
        <v>45892000</v>
      </c>
      <c r="H2748">
        <v>1690000</v>
      </c>
      <c r="I2748">
        <v>9869000</v>
      </c>
      <c r="J2748">
        <v>0</v>
      </c>
      <c r="K2748">
        <v>0</v>
      </c>
      <c r="L2748">
        <v>0</v>
      </c>
      <c r="M2748">
        <v>0</v>
      </c>
      <c r="T2748" s="9">
        <v>45108</v>
      </c>
      <c r="U2748" s="9">
        <v>45473</v>
      </c>
      <c r="V2748">
        <f>SUM(POTABLE_NONPOTABLE_API[[#This Row],[RESIDENTIAL_SINGLEFAMILY_GAL]:[OTHER_GAL]])</f>
        <v>57451000</v>
      </c>
      <c r="W2748">
        <f>SUM(POTABLE_NONPOTABLE_API[[#This Row],[NONPOTABLE_DEMAND_RESIDENTIAL_RECYCLED_WATER_GAL]:[NONPOTABLE_DEMAND_NONRESIDENTIAL_METERED_IRRIGATION_GAL]])</f>
        <v>0</v>
      </c>
      <c r="X2748" t="str">
        <f>IFERROR(INDEX(Crosswalk_API!$H$2:$H$527, MATCH(POTABLE_NONPOTABLE_API[[#This Row],[PWSID]], CW_PWSID_LIST, 0)), "")</f>
        <v>No</v>
      </c>
    </row>
    <row r="2749" spans="1:24" x14ac:dyDescent="0.25">
      <c r="A2749" t="s">
        <v>1535</v>
      </c>
      <c r="B2749" t="s">
        <v>1536</v>
      </c>
      <c r="C2749" t="s">
        <v>1537</v>
      </c>
      <c r="D2749" t="s">
        <v>1538</v>
      </c>
      <c r="E2749" s="9">
        <v>45444</v>
      </c>
      <c r="F2749" s="9">
        <v>45473</v>
      </c>
      <c r="G2749">
        <v>75045000</v>
      </c>
      <c r="H2749">
        <v>2563000</v>
      </c>
      <c r="I2749">
        <v>14744000</v>
      </c>
      <c r="J2749">
        <v>0</v>
      </c>
      <c r="K2749">
        <v>0</v>
      </c>
      <c r="L2749">
        <v>0</v>
      </c>
      <c r="M2749">
        <v>0</v>
      </c>
      <c r="T2749" s="9">
        <v>45108</v>
      </c>
      <c r="U2749" s="9">
        <v>45473</v>
      </c>
      <c r="V2749">
        <f>SUM(POTABLE_NONPOTABLE_API[[#This Row],[RESIDENTIAL_SINGLEFAMILY_GAL]:[OTHER_GAL]])</f>
        <v>92352000</v>
      </c>
      <c r="W2749">
        <f>SUM(POTABLE_NONPOTABLE_API[[#This Row],[NONPOTABLE_DEMAND_RESIDENTIAL_RECYCLED_WATER_GAL]:[NONPOTABLE_DEMAND_NONRESIDENTIAL_METERED_IRRIGATION_GAL]])</f>
        <v>0</v>
      </c>
      <c r="X2749" t="str">
        <f>IFERROR(INDEX(Crosswalk_API!$H$2:$H$527, MATCH(POTABLE_NONPOTABLE_API[[#This Row],[PWSID]], CW_PWSID_LIST, 0)), "")</f>
        <v>No</v>
      </c>
    </row>
    <row r="2750" spans="1:24" x14ac:dyDescent="0.25">
      <c r="A2750" t="s">
        <v>1539</v>
      </c>
      <c r="B2750" t="s">
        <v>1540</v>
      </c>
      <c r="C2750" t="s">
        <v>1541</v>
      </c>
      <c r="D2750" t="s">
        <v>1542</v>
      </c>
      <c r="E2750" s="9">
        <v>45108</v>
      </c>
      <c r="F2750" s="9">
        <v>45138</v>
      </c>
      <c r="G2750">
        <v>118742034.22</v>
      </c>
      <c r="H2750">
        <v>58181988.456</v>
      </c>
      <c r="I2750">
        <v>38186558.495999999</v>
      </c>
      <c r="J2750">
        <v>21591772.927999999</v>
      </c>
      <c r="K2750">
        <v>0</v>
      </c>
      <c r="L2750">
        <v>0</v>
      </c>
      <c r="M2750">
        <v>0</v>
      </c>
      <c r="T2750" s="9">
        <v>45108</v>
      </c>
      <c r="U2750" s="9">
        <v>45473</v>
      </c>
      <c r="V2750">
        <f>SUM(POTABLE_NONPOTABLE_API[[#This Row],[RESIDENTIAL_SINGLEFAMILY_GAL]:[OTHER_GAL]])</f>
        <v>236702354.09999999</v>
      </c>
      <c r="W2750">
        <f>SUM(POTABLE_NONPOTABLE_API[[#This Row],[NONPOTABLE_DEMAND_RESIDENTIAL_RECYCLED_WATER_GAL]:[NONPOTABLE_DEMAND_NONRESIDENTIAL_METERED_IRRIGATION_GAL]])</f>
        <v>0</v>
      </c>
      <c r="X2750" t="str">
        <f>IFERROR(INDEX(Crosswalk_API!$H$2:$H$527, MATCH(POTABLE_NONPOTABLE_API[[#This Row],[PWSID]], CW_PWSID_LIST, 0)), "")</f>
        <v>No</v>
      </c>
    </row>
    <row r="2751" spans="1:24" x14ac:dyDescent="0.25">
      <c r="A2751" t="s">
        <v>1539</v>
      </c>
      <c r="B2751" t="s">
        <v>1540</v>
      </c>
      <c r="C2751" t="s">
        <v>1541</v>
      </c>
      <c r="D2751" t="s">
        <v>1542</v>
      </c>
      <c r="E2751" s="9">
        <v>45139</v>
      </c>
      <c r="F2751" s="9">
        <v>45169</v>
      </c>
      <c r="G2751">
        <v>129880528.5</v>
      </c>
      <c r="H2751">
        <v>63954705.740000002</v>
      </c>
      <c r="I2751">
        <v>42770621.152000003</v>
      </c>
      <c r="J2751">
        <v>22326359.992000002</v>
      </c>
      <c r="K2751">
        <v>0</v>
      </c>
      <c r="L2751">
        <v>0</v>
      </c>
      <c r="M2751">
        <v>0</v>
      </c>
      <c r="T2751" s="9">
        <v>45108</v>
      </c>
      <c r="U2751" s="9">
        <v>45473</v>
      </c>
      <c r="V2751">
        <f>SUM(POTABLE_NONPOTABLE_API[[#This Row],[RESIDENTIAL_SINGLEFAMILY_GAL]:[OTHER_GAL]])</f>
        <v>258932215.38400003</v>
      </c>
      <c r="W2751">
        <f>SUM(POTABLE_NONPOTABLE_API[[#This Row],[NONPOTABLE_DEMAND_RESIDENTIAL_RECYCLED_WATER_GAL]:[NONPOTABLE_DEMAND_NONRESIDENTIAL_METERED_IRRIGATION_GAL]])</f>
        <v>0</v>
      </c>
      <c r="X2751" t="str">
        <f>IFERROR(INDEX(Crosswalk_API!$H$2:$H$527, MATCH(POTABLE_NONPOTABLE_API[[#This Row],[PWSID]], CW_PWSID_LIST, 0)), "")</f>
        <v>No</v>
      </c>
    </row>
    <row r="2752" spans="1:24" x14ac:dyDescent="0.25">
      <c r="A2752" t="s">
        <v>1539</v>
      </c>
      <c r="B2752" t="s">
        <v>1540</v>
      </c>
      <c r="C2752" t="s">
        <v>1541</v>
      </c>
      <c r="D2752" t="s">
        <v>1542</v>
      </c>
      <c r="E2752" s="9">
        <v>45170</v>
      </c>
      <c r="F2752" s="9">
        <v>45199</v>
      </c>
      <c r="G2752">
        <v>115268828.78400001</v>
      </c>
      <c r="H2752">
        <v>62285801.728</v>
      </c>
      <c r="I2752">
        <v>40554891.127999999</v>
      </c>
      <c r="J2752">
        <v>19714910.460000001</v>
      </c>
      <c r="K2752">
        <v>0</v>
      </c>
      <c r="L2752">
        <v>0</v>
      </c>
      <c r="M2752">
        <v>0</v>
      </c>
      <c r="T2752" s="9">
        <v>45108</v>
      </c>
      <c r="U2752" s="9">
        <v>45473</v>
      </c>
      <c r="V2752">
        <f>SUM(POTABLE_NONPOTABLE_API[[#This Row],[RESIDENTIAL_SINGLEFAMILY_GAL]:[OTHER_GAL]])</f>
        <v>237824432.10000002</v>
      </c>
      <c r="W2752">
        <f>SUM(POTABLE_NONPOTABLE_API[[#This Row],[NONPOTABLE_DEMAND_RESIDENTIAL_RECYCLED_WATER_GAL]:[NONPOTABLE_DEMAND_NONRESIDENTIAL_METERED_IRRIGATION_GAL]])</f>
        <v>0</v>
      </c>
      <c r="X2752" t="str">
        <f>IFERROR(INDEX(Crosswalk_API!$H$2:$H$527, MATCH(POTABLE_NONPOTABLE_API[[#This Row],[PWSID]], CW_PWSID_LIST, 0)), "")</f>
        <v>No</v>
      </c>
    </row>
    <row r="2753" spans="1:24" x14ac:dyDescent="0.25">
      <c r="A2753" t="s">
        <v>1539</v>
      </c>
      <c r="B2753" t="s">
        <v>1540</v>
      </c>
      <c r="C2753" t="s">
        <v>1541</v>
      </c>
      <c r="D2753" t="s">
        <v>1542</v>
      </c>
      <c r="E2753" s="9">
        <v>45200</v>
      </c>
      <c r="F2753" s="9">
        <v>45230</v>
      </c>
      <c r="G2753">
        <v>104973389.10800001</v>
      </c>
      <c r="H2753">
        <v>57225229.947999999</v>
      </c>
      <c r="I2753">
        <v>33380324.396000002</v>
      </c>
      <c r="J2753">
        <v>15292427.036</v>
      </c>
      <c r="K2753">
        <v>0</v>
      </c>
      <c r="L2753">
        <v>0</v>
      </c>
      <c r="M2753">
        <v>0</v>
      </c>
      <c r="T2753" s="9">
        <v>45108</v>
      </c>
      <c r="U2753" s="9">
        <v>45473</v>
      </c>
      <c r="V2753">
        <f>SUM(POTABLE_NONPOTABLE_API[[#This Row],[RESIDENTIAL_SINGLEFAMILY_GAL]:[OTHER_GAL]])</f>
        <v>210871370.48800001</v>
      </c>
      <c r="W2753">
        <f>SUM(POTABLE_NONPOTABLE_API[[#This Row],[NONPOTABLE_DEMAND_RESIDENTIAL_RECYCLED_WATER_GAL]:[NONPOTABLE_DEMAND_NONRESIDENTIAL_METERED_IRRIGATION_GAL]])</f>
        <v>0</v>
      </c>
      <c r="X2753" t="str">
        <f>IFERROR(INDEX(Crosswalk_API!$H$2:$H$527, MATCH(POTABLE_NONPOTABLE_API[[#This Row],[PWSID]], CW_PWSID_LIST, 0)), "")</f>
        <v>No</v>
      </c>
    </row>
    <row r="2754" spans="1:24" x14ac:dyDescent="0.25">
      <c r="A2754" t="s">
        <v>1539</v>
      </c>
      <c r="B2754" t="s">
        <v>1540</v>
      </c>
      <c r="C2754" t="s">
        <v>1541</v>
      </c>
      <c r="D2754" t="s">
        <v>1542</v>
      </c>
      <c r="E2754" s="9">
        <v>45231</v>
      </c>
      <c r="F2754" s="9">
        <v>45260</v>
      </c>
      <c r="G2754">
        <v>106426854.14400001</v>
      </c>
      <c r="H2754">
        <v>57293302.68</v>
      </c>
      <c r="I2754">
        <v>34611617.987999998</v>
      </c>
      <c r="J2754">
        <v>14027471.104</v>
      </c>
      <c r="K2754">
        <v>0</v>
      </c>
      <c r="L2754">
        <v>0</v>
      </c>
      <c r="M2754">
        <v>0</v>
      </c>
      <c r="T2754" s="9">
        <v>45108</v>
      </c>
      <c r="U2754" s="9">
        <v>45473</v>
      </c>
      <c r="V2754">
        <f>SUM(POTABLE_NONPOTABLE_API[[#This Row],[RESIDENTIAL_SINGLEFAMILY_GAL]:[OTHER_GAL]])</f>
        <v>212359245.91600001</v>
      </c>
      <c r="W2754">
        <f>SUM(POTABLE_NONPOTABLE_API[[#This Row],[NONPOTABLE_DEMAND_RESIDENTIAL_RECYCLED_WATER_GAL]:[NONPOTABLE_DEMAND_NONRESIDENTIAL_METERED_IRRIGATION_GAL]])</f>
        <v>0</v>
      </c>
      <c r="X2754" t="str">
        <f>IFERROR(INDEX(Crosswalk_API!$H$2:$H$527, MATCH(POTABLE_NONPOTABLE_API[[#This Row],[PWSID]], CW_PWSID_LIST, 0)), "")</f>
        <v>No</v>
      </c>
    </row>
    <row r="2755" spans="1:24" x14ac:dyDescent="0.25">
      <c r="A2755" t="s">
        <v>1539</v>
      </c>
      <c r="B2755" t="s">
        <v>1540</v>
      </c>
      <c r="C2755" t="s">
        <v>1541</v>
      </c>
      <c r="D2755" t="s">
        <v>1542</v>
      </c>
      <c r="E2755" s="9">
        <v>45261</v>
      </c>
      <c r="F2755" s="9">
        <v>45291</v>
      </c>
      <c r="G2755">
        <v>90181408.859999999</v>
      </c>
      <c r="H2755">
        <v>52237219.212000005</v>
      </c>
      <c r="I2755">
        <v>29426121.524</v>
      </c>
      <c r="J2755">
        <v>9089579.852</v>
      </c>
      <c r="K2755">
        <v>0</v>
      </c>
      <c r="L2755">
        <v>0</v>
      </c>
      <c r="M2755">
        <v>0</v>
      </c>
      <c r="T2755" s="9">
        <v>45108</v>
      </c>
      <c r="U2755" s="9">
        <v>45473</v>
      </c>
      <c r="V2755">
        <f>SUM(POTABLE_NONPOTABLE_API[[#This Row],[RESIDENTIAL_SINGLEFAMILY_GAL]:[OTHER_GAL]])</f>
        <v>180934329.44799998</v>
      </c>
      <c r="W2755">
        <f>SUM(POTABLE_NONPOTABLE_API[[#This Row],[NONPOTABLE_DEMAND_RESIDENTIAL_RECYCLED_WATER_GAL]:[NONPOTABLE_DEMAND_NONRESIDENTIAL_METERED_IRRIGATION_GAL]])</f>
        <v>0</v>
      </c>
      <c r="X2755" t="str">
        <f>IFERROR(INDEX(Crosswalk_API!$H$2:$H$527, MATCH(POTABLE_NONPOTABLE_API[[#This Row],[PWSID]], CW_PWSID_LIST, 0)), "")</f>
        <v>No</v>
      </c>
    </row>
    <row r="2756" spans="1:24" x14ac:dyDescent="0.25">
      <c r="A2756" t="s">
        <v>1539</v>
      </c>
      <c r="B2756" t="s">
        <v>1540</v>
      </c>
      <c r="C2756" t="s">
        <v>1541</v>
      </c>
      <c r="D2756" t="s">
        <v>1542</v>
      </c>
      <c r="E2756" s="9">
        <v>45292</v>
      </c>
      <c r="F2756" s="9">
        <v>45322</v>
      </c>
      <c r="G2756">
        <v>70744773.744000003</v>
      </c>
      <c r="H2756">
        <v>49571161.884000003</v>
      </c>
      <c r="I2756">
        <v>21430941.748</v>
      </c>
      <c r="J2756">
        <v>2011511.828</v>
      </c>
      <c r="K2756">
        <v>0</v>
      </c>
      <c r="L2756">
        <v>0</v>
      </c>
      <c r="M2756">
        <v>0</v>
      </c>
      <c r="T2756" s="9">
        <v>45108</v>
      </c>
      <c r="U2756" s="9">
        <v>45473</v>
      </c>
      <c r="V2756">
        <f>SUM(POTABLE_NONPOTABLE_API[[#This Row],[RESIDENTIAL_SINGLEFAMILY_GAL]:[OTHER_GAL]])</f>
        <v>143758389.20400003</v>
      </c>
      <c r="W2756">
        <f>SUM(POTABLE_NONPOTABLE_API[[#This Row],[NONPOTABLE_DEMAND_RESIDENTIAL_RECYCLED_WATER_GAL]:[NONPOTABLE_DEMAND_NONRESIDENTIAL_METERED_IRRIGATION_GAL]])</f>
        <v>0</v>
      </c>
      <c r="X2756" t="str">
        <f>IFERROR(INDEX(Crosswalk_API!$H$2:$H$527, MATCH(POTABLE_NONPOTABLE_API[[#This Row],[PWSID]], CW_PWSID_LIST, 0)), "")</f>
        <v>No</v>
      </c>
    </row>
    <row r="2757" spans="1:24" x14ac:dyDescent="0.25">
      <c r="A2757" t="s">
        <v>1539</v>
      </c>
      <c r="B2757" t="s">
        <v>1540</v>
      </c>
      <c r="C2757" t="s">
        <v>1541</v>
      </c>
      <c r="D2757" t="s">
        <v>1542</v>
      </c>
      <c r="E2757" s="9">
        <v>45323</v>
      </c>
      <c r="F2757" s="9">
        <v>45351</v>
      </c>
      <c r="G2757">
        <v>75632545.512000009</v>
      </c>
      <c r="H2757">
        <v>48975712.491999999</v>
      </c>
      <c r="I2757">
        <v>22271004.144000001</v>
      </c>
      <c r="J2757">
        <v>4272873.0240000002</v>
      </c>
      <c r="K2757">
        <v>0</v>
      </c>
      <c r="L2757">
        <v>0</v>
      </c>
      <c r="M2757">
        <v>0</v>
      </c>
      <c r="T2757" s="9">
        <v>45108</v>
      </c>
      <c r="U2757" s="9">
        <v>45473</v>
      </c>
      <c r="V2757">
        <f>SUM(POTABLE_NONPOTABLE_API[[#This Row],[RESIDENTIAL_SINGLEFAMILY_GAL]:[OTHER_GAL]])</f>
        <v>151152135.17199999</v>
      </c>
      <c r="W2757">
        <f>SUM(POTABLE_NONPOTABLE_API[[#This Row],[NONPOTABLE_DEMAND_RESIDENTIAL_RECYCLED_WATER_GAL]:[NONPOTABLE_DEMAND_NONRESIDENTIAL_METERED_IRRIGATION_GAL]])</f>
        <v>0</v>
      </c>
      <c r="X2757" t="str">
        <f>IFERROR(INDEX(Crosswalk_API!$H$2:$H$527, MATCH(POTABLE_NONPOTABLE_API[[#This Row],[PWSID]], CW_PWSID_LIST, 0)), "")</f>
        <v>No</v>
      </c>
    </row>
    <row r="2758" spans="1:24" x14ac:dyDescent="0.25">
      <c r="A2758" t="s">
        <v>1539</v>
      </c>
      <c r="B2758" t="s">
        <v>1540</v>
      </c>
      <c r="C2758" t="s">
        <v>1541</v>
      </c>
      <c r="D2758" t="s">
        <v>1542</v>
      </c>
      <c r="E2758" s="9">
        <v>45352</v>
      </c>
      <c r="F2758" s="9">
        <v>45382</v>
      </c>
      <c r="G2758">
        <v>63561230.388000004</v>
      </c>
      <c r="H2758">
        <v>44899577.144000001</v>
      </c>
      <c r="I2758">
        <v>21725674.236000001</v>
      </c>
      <c r="J2758">
        <v>3331823.608</v>
      </c>
      <c r="K2758">
        <v>0</v>
      </c>
      <c r="L2758">
        <v>0</v>
      </c>
      <c r="M2758">
        <v>0</v>
      </c>
      <c r="T2758" s="9">
        <v>45108</v>
      </c>
      <c r="U2758" s="9">
        <v>45473</v>
      </c>
      <c r="V2758">
        <f>SUM(POTABLE_NONPOTABLE_API[[#This Row],[RESIDENTIAL_SINGLEFAMILY_GAL]:[OTHER_GAL]])</f>
        <v>133518305.376</v>
      </c>
      <c r="W2758">
        <f>SUM(POTABLE_NONPOTABLE_API[[#This Row],[NONPOTABLE_DEMAND_RESIDENTIAL_RECYCLED_WATER_GAL]:[NONPOTABLE_DEMAND_NONRESIDENTIAL_METERED_IRRIGATION_GAL]])</f>
        <v>0</v>
      </c>
      <c r="X2758" t="str">
        <f>IFERROR(INDEX(Crosswalk_API!$H$2:$H$527, MATCH(POTABLE_NONPOTABLE_API[[#This Row],[PWSID]], CW_PWSID_LIST, 0)), "")</f>
        <v>No</v>
      </c>
    </row>
    <row r="2759" spans="1:24" x14ac:dyDescent="0.25">
      <c r="A2759" t="s">
        <v>1539</v>
      </c>
      <c r="B2759" t="s">
        <v>1540</v>
      </c>
      <c r="C2759" t="s">
        <v>1541</v>
      </c>
      <c r="D2759" t="s">
        <v>1542</v>
      </c>
      <c r="E2759" s="9">
        <v>45383</v>
      </c>
      <c r="F2759" s="9">
        <v>45412</v>
      </c>
      <c r="G2759">
        <v>71313293.263999999</v>
      </c>
      <c r="H2759">
        <v>50842850.284000002</v>
      </c>
      <c r="I2759">
        <v>30677612.52</v>
      </c>
      <c r="J2759">
        <v>6379387.4560000002</v>
      </c>
      <c r="K2759">
        <v>0</v>
      </c>
      <c r="L2759">
        <v>0</v>
      </c>
      <c r="M2759">
        <v>0</v>
      </c>
      <c r="T2759" s="9">
        <v>45108</v>
      </c>
      <c r="U2759" s="9">
        <v>45473</v>
      </c>
      <c r="V2759">
        <f>SUM(POTABLE_NONPOTABLE_API[[#This Row],[RESIDENTIAL_SINGLEFAMILY_GAL]:[OTHER_GAL]])</f>
        <v>159213143.52400002</v>
      </c>
      <c r="W2759">
        <f>SUM(POTABLE_NONPOTABLE_API[[#This Row],[NONPOTABLE_DEMAND_RESIDENTIAL_RECYCLED_WATER_GAL]:[NONPOTABLE_DEMAND_NONRESIDENTIAL_METERED_IRRIGATION_GAL]])</f>
        <v>0</v>
      </c>
      <c r="X2759" t="str">
        <f>IFERROR(INDEX(Crosswalk_API!$H$2:$H$527, MATCH(POTABLE_NONPOTABLE_API[[#This Row],[PWSID]], CW_PWSID_LIST, 0)), "")</f>
        <v>No</v>
      </c>
    </row>
    <row r="2760" spans="1:24" x14ac:dyDescent="0.25">
      <c r="A2760" t="s">
        <v>1539</v>
      </c>
      <c r="B2760" t="s">
        <v>1540</v>
      </c>
      <c r="C2760" t="s">
        <v>1541</v>
      </c>
      <c r="D2760" t="s">
        <v>1542</v>
      </c>
      <c r="E2760" s="9">
        <v>45413</v>
      </c>
      <c r="F2760" s="9">
        <v>45443</v>
      </c>
      <c r="G2760">
        <v>91198011.527999997</v>
      </c>
      <c r="H2760">
        <v>53386227.083999999</v>
      </c>
      <c r="I2760">
        <v>31391254.128000002</v>
      </c>
      <c r="J2760">
        <v>13859159.404000001</v>
      </c>
      <c r="K2760">
        <v>0</v>
      </c>
      <c r="L2760">
        <v>0</v>
      </c>
      <c r="M2760">
        <v>0</v>
      </c>
      <c r="T2760" s="9">
        <v>45108</v>
      </c>
      <c r="U2760" s="9">
        <v>45473</v>
      </c>
      <c r="V2760">
        <f>SUM(POTABLE_NONPOTABLE_API[[#This Row],[RESIDENTIAL_SINGLEFAMILY_GAL]:[OTHER_GAL]])</f>
        <v>189834652.14399999</v>
      </c>
      <c r="W2760">
        <f>SUM(POTABLE_NONPOTABLE_API[[#This Row],[NONPOTABLE_DEMAND_RESIDENTIAL_RECYCLED_WATER_GAL]:[NONPOTABLE_DEMAND_NONRESIDENTIAL_METERED_IRRIGATION_GAL]])</f>
        <v>0</v>
      </c>
      <c r="X2760" t="str">
        <f>IFERROR(INDEX(Crosswalk_API!$H$2:$H$527, MATCH(POTABLE_NONPOTABLE_API[[#This Row],[PWSID]], CW_PWSID_LIST, 0)), "")</f>
        <v>No</v>
      </c>
    </row>
    <row r="2761" spans="1:24" x14ac:dyDescent="0.25">
      <c r="A2761" t="s">
        <v>1539</v>
      </c>
      <c r="B2761" t="s">
        <v>1540</v>
      </c>
      <c r="C2761" t="s">
        <v>1541</v>
      </c>
      <c r="D2761" t="s">
        <v>1542</v>
      </c>
      <c r="E2761" s="9">
        <v>45444</v>
      </c>
      <c r="F2761" s="9">
        <v>45473</v>
      </c>
      <c r="G2761">
        <v>105699747.60000001</v>
      </c>
      <c r="H2761">
        <v>55809167.512000002</v>
      </c>
      <c r="I2761">
        <v>34422360.832000002</v>
      </c>
      <c r="J2761">
        <v>17426619.392000001</v>
      </c>
      <c r="K2761">
        <v>0</v>
      </c>
      <c r="L2761">
        <v>0</v>
      </c>
      <c r="M2761">
        <v>0</v>
      </c>
      <c r="T2761" s="9">
        <v>45108</v>
      </c>
      <c r="U2761" s="9">
        <v>45473</v>
      </c>
      <c r="V2761">
        <f>SUM(POTABLE_NONPOTABLE_API[[#This Row],[RESIDENTIAL_SINGLEFAMILY_GAL]:[OTHER_GAL]])</f>
        <v>213357895.336</v>
      </c>
      <c r="W2761">
        <f>SUM(POTABLE_NONPOTABLE_API[[#This Row],[NONPOTABLE_DEMAND_RESIDENTIAL_RECYCLED_WATER_GAL]:[NONPOTABLE_DEMAND_NONRESIDENTIAL_METERED_IRRIGATION_GAL]])</f>
        <v>0</v>
      </c>
      <c r="X2761" t="str">
        <f>IFERROR(INDEX(Crosswalk_API!$H$2:$H$527, MATCH(POTABLE_NONPOTABLE_API[[#This Row],[PWSID]], CW_PWSID_LIST, 0)), "")</f>
        <v>No</v>
      </c>
    </row>
    <row r="2762" spans="1:24" x14ac:dyDescent="0.25">
      <c r="A2762" t="s">
        <v>1543</v>
      </c>
      <c r="B2762" t="s">
        <v>1544</v>
      </c>
      <c r="C2762" t="s">
        <v>1545</v>
      </c>
      <c r="D2762" t="s">
        <v>1546</v>
      </c>
      <c r="E2762" s="9">
        <v>45108</v>
      </c>
      <c r="F2762" s="9">
        <v>45138</v>
      </c>
      <c r="G2762">
        <v>35843610</v>
      </c>
      <c r="H2762">
        <v>13066625.1</v>
      </c>
      <c r="I2762">
        <v>0</v>
      </c>
      <c r="J2762">
        <v>5865318</v>
      </c>
      <c r="K2762">
        <v>0</v>
      </c>
      <c r="L2762">
        <v>0</v>
      </c>
      <c r="M2762">
        <v>0</v>
      </c>
      <c r="T2762" s="9">
        <v>45108</v>
      </c>
      <c r="U2762" s="9">
        <v>45473</v>
      </c>
      <c r="V2762">
        <f>SUM(POTABLE_NONPOTABLE_API[[#This Row],[RESIDENTIAL_SINGLEFAMILY_GAL]:[OTHER_GAL]])</f>
        <v>54775553.100000001</v>
      </c>
      <c r="W2762">
        <f>SUM(POTABLE_NONPOTABLE_API[[#This Row],[NONPOTABLE_DEMAND_RESIDENTIAL_RECYCLED_WATER_GAL]:[NONPOTABLE_DEMAND_NONRESIDENTIAL_METERED_IRRIGATION_GAL]])</f>
        <v>0</v>
      </c>
      <c r="X2762" t="str">
        <f>IFERROR(INDEX(Crosswalk_API!$H$2:$H$527, MATCH(POTABLE_NONPOTABLE_API[[#This Row],[PWSID]], CW_PWSID_LIST, 0)), "")</f>
        <v>No</v>
      </c>
    </row>
    <row r="2763" spans="1:24" x14ac:dyDescent="0.25">
      <c r="A2763" t="s">
        <v>1543</v>
      </c>
      <c r="B2763" t="s">
        <v>1544</v>
      </c>
      <c r="C2763" t="s">
        <v>1545</v>
      </c>
      <c r="D2763" t="s">
        <v>1546</v>
      </c>
      <c r="E2763" s="9">
        <v>45139</v>
      </c>
      <c r="F2763" s="9">
        <v>45169</v>
      </c>
      <c r="G2763">
        <v>44315736</v>
      </c>
      <c r="H2763">
        <v>8146275</v>
      </c>
      <c r="I2763">
        <v>977553</v>
      </c>
      <c r="J2763">
        <v>651702</v>
      </c>
      <c r="K2763">
        <v>0</v>
      </c>
      <c r="L2763">
        <v>0</v>
      </c>
      <c r="M2763">
        <v>0</v>
      </c>
      <c r="T2763" s="9">
        <v>45108</v>
      </c>
      <c r="U2763" s="9">
        <v>45473</v>
      </c>
      <c r="V2763">
        <f>SUM(POTABLE_NONPOTABLE_API[[#This Row],[RESIDENTIAL_SINGLEFAMILY_GAL]:[OTHER_GAL]])</f>
        <v>54091266</v>
      </c>
      <c r="W2763">
        <f>SUM(POTABLE_NONPOTABLE_API[[#This Row],[NONPOTABLE_DEMAND_RESIDENTIAL_RECYCLED_WATER_GAL]:[NONPOTABLE_DEMAND_NONRESIDENTIAL_METERED_IRRIGATION_GAL]])</f>
        <v>0</v>
      </c>
      <c r="X2763" t="str">
        <f>IFERROR(INDEX(Crosswalk_API!$H$2:$H$527, MATCH(POTABLE_NONPOTABLE_API[[#This Row],[PWSID]], CW_PWSID_LIST, 0)), "")</f>
        <v>No</v>
      </c>
    </row>
    <row r="2764" spans="1:24" x14ac:dyDescent="0.25">
      <c r="A2764" t="s">
        <v>1543</v>
      </c>
      <c r="B2764" t="s">
        <v>1544</v>
      </c>
      <c r="C2764" t="s">
        <v>1545</v>
      </c>
      <c r="D2764" t="s">
        <v>1546</v>
      </c>
      <c r="E2764" s="9">
        <v>45170</v>
      </c>
      <c r="F2764" s="9">
        <v>45199</v>
      </c>
      <c r="G2764">
        <v>36169461</v>
      </c>
      <c r="H2764">
        <v>11665465.799999999</v>
      </c>
      <c r="I2764">
        <v>651702</v>
      </c>
      <c r="J2764">
        <v>325851</v>
      </c>
      <c r="K2764">
        <v>0</v>
      </c>
      <c r="L2764">
        <v>0</v>
      </c>
      <c r="M2764">
        <v>0</v>
      </c>
      <c r="T2764" s="9">
        <v>45108</v>
      </c>
      <c r="U2764" s="9">
        <v>45473</v>
      </c>
      <c r="V2764">
        <f>SUM(POTABLE_NONPOTABLE_API[[#This Row],[RESIDENTIAL_SINGLEFAMILY_GAL]:[OTHER_GAL]])</f>
        <v>48812479.799999997</v>
      </c>
      <c r="W2764">
        <f>SUM(POTABLE_NONPOTABLE_API[[#This Row],[NONPOTABLE_DEMAND_RESIDENTIAL_RECYCLED_WATER_GAL]:[NONPOTABLE_DEMAND_NONRESIDENTIAL_METERED_IRRIGATION_GAL]])</f>
        <v>0</v>
      </c>
      <c r="X2764" t="str">
        <f>IFERROR(INDEX(Crosswalk_API!$H$2:$H$527, MATCH(POTABLE_NONPOTABLE_API[[#This Row],[PWSID]], CW_PWSID_LIST, 0)), "")</f>
        <v>No</v>
      </c>
    </row>
    <row r="2765" spans="1:24" x14ac:dyDescent="0.25">
      <c r="A2765" t="s">
        <v>1543</v>
      </c>
      <c r="B2765" t="s">
        <v>1544</v>
      </c>
      <c r="C2765" t="s">
        <v>1545</v>
      </c>
      <c r="D2765" t="s">
        <v>1546</v>
      </c>
      <c r="E2765" s="9">
        <v>45200</v>
      </c>
      <c r="F2765" s="9">
        <v>45230</v>
      </c>
      <c r="G2765">
        <v>43989885</v>
      </c>
      <c r="H2765">
        <v>3584361</v>
      </c>
      <c r="I2765">
        <v>0</v>
      </c>
      <c r="J2765">
        <v>1371832.71</v>
      </c>
      <c r="K2765">
        <v>0</v>
      </c>
      <c r="L2765">
        <v>0</v>
      </c>
      <c r="M2765">
        <v>0</v>
      </c>
      <c r="T2765" s="9">
        <v>45108</v>
      </c>
      <c r="U2765" s="9">
        <v>45473</v>
      </c>
      <c r="V2765">
        <f>SUM(POTABLE_NONPOTABLE_API[[#This Row],[RESIDENTIAL_SINGLEFAMILY_GAL]:[OTHER_GAL]])</f>
        <v>48946078.710000001</v>
      </c>
      <c r="W2765">
        <f>SUM(POTABLE_NONPOTABLE_API[[#This Row],[NONPOTABLE_DEMAND_RESIDENTIAL_RECYCLED_WATER_GAL]:[NONPOTABLE_DEMAND_NONRESIDENTIAL_METERED_IRRIGATION_GAL]])</f>
        <v>0</v>
      </c>
      <c r="X2765" t="str">
        <f>IFERROR(INDEX(Crosswalk_API!$H$2:$H$527, MATCH(POTABLE_NONPOTABLE_API[[#This Row],[PWSID]], CW_PWSID_LIST, 0)), "")</f>
        <v>No</v>
      </c>
    </row>
    <row r="2766" spans="1:24" x14ac:dyDescent="0.25">
      <c r="A2766" t="s">
        <v>1543</v>
      </c>
      <c r="B2766" t="s">
        <v>1544</v>
      </c>
      <c r="C2766" t="s">
        <v>1545</v>
      </c>
      <c r="D2766" t="s">
        <v>1546</v>
      </c>
      <c r="E2766" s="9">
        <v>45231</v>
      </c>
      <c r="F2766" s="9">
        <v>45260</v>
      </c>
      <c r="G2766">
        <v>40242598.5</v>
      </c>
      <c r="H2766">
        <v>2965244.1</v>
      </c>
      <c r="I2766">
        <v>0</v>
      </c>
      <c r="J2766">
        <v>1629255</v>
      </c>
      <c r="K2766">
        <v>0</v>
      </c>
      <c r="L2766">
        <v>0</v>
      </c>
      <c r="M2766">
        <v>0</v>
      </c>
      <c r="T2766" s="9">
        <v>45108</v>
      </c>
      <c r="U2766" s="9">
        <v>45473</v>
      </c>
      <c r="V2766">
        <f>SUM(POTABLE_NONPOTABLE_API[[#This Row],[RESIDENTIAL_SINGLEFAMILY_GAL]:[OTHER_GAL]])</f>
        <v>44837097.600000001</v>
      </c>
      <c r="W2766">
        <f>SUM(POTABLE_NONPOTABLE_API[[#This Row],[NONPOTABLE_DEMAND_RESIDENTIAL_RECYCLED_WATER_GAL]:[NONPOTABLE_DEMAND_NONRESIDENTIAL_METERED_IRRIGATION_GAL]])</f>
        <v>0</v>
      </c>
      <c r="X2766" t="str">
        <f>IFERROR(INDEX(Crosswalk_API!$H$2:$H$527, MATCH(POTABLE_NONPOTABLE_API[[#This Row],[PWSID]], CW_PWSID_LIST, 0)), "")</f>
        <v>No</v>
      </c>
    </row>
    <row r="2767" spans="1:24" x14ac:dyDescent="0.25">
      <c r="A2767" t="s">
        <v>1543</v>
      </c>
      <c r="B2767" t="s">
        <v>1544</v>
      </c>
      <c r="C2767" t="s">
        <v>1545</v>
      </c>
      <c r="D2767" t="s">
        <v>1546</v>
      </c>
      <c r="E2767" s="9">
        <v>45261</v>
      </c>
      <c r="F2767" s="9">
        <v>45291</v>
      </c>
      <c r="G2767">
        <v>36495312</v>
      </c>
      <c r="H2767">
        <v>2183201.7000000002</v>
      </c>
      <c r="I2767">
        <v>0</v>
      </c>
      <c r="J2767">
        <v>1303404</v>
      </c>
      <c r="K2767">
        <v>0</v>
      </c>
      <c r="L2767">
        <v>0</v>
      </c>
      <c r="M2767">
        <v>0</v>
      </c>
      <c r="T2767" s="9">
        <v>45108</v>
      </c>
      <c r="U2767" s="9">
        <v>45473</v>
      </c>
      <c r="V2767">
        <f>SUM(POTABLE_NONPOTABLE_API[[#This Row],[RESIDENTIAL_SINGLEFAMILY_GAL]:[OTHER_GAL]])</f>
        <v>39981917.700000003</v>
      </c>
      <c r="W2767">
        <f>SUM(POTABLE_NONPOTABLE_API[[#This Row],[NONPOTABLE_DEMAND_RESIDENTIAL_RECYCLED_WATER_GAL]:[NONPOTABLE_DEMAND_NONRESIDENTIAL_METERED_IRRIGATION_GAL]])</f>
        <v>0</v>
      </c>
      <c r="X2767" t="str">
        <f>IFERROR(INDEX(Crosswalk_API!$H$2:$H$527, MATCH(POTABLE_NONPOTABLE_API[[#This Row],[PWSID]], CW_PWSID_LIST, 0)), "")</f>
        <v>No</v>
      </c>
    </row>
    <row r="2768" spans="1:24" x14ac:dyDescent="0.25">
      <c r="A2768" t="s">
        <v>1543</v>
      </c>
      <c r="B2768" t="s">
        <v>1544</v>
      </c>
      <c r="C2768" t="s">
        <v>1545</v>
      </c>
      <c r="D2768" t="s">
        <v>1546</v>
      </c>
      <c r="E2768" s="9">
        <v>45292</v>
      </c>
      <c r="F2768" s="9">
        <v>45322</v>
      </c>
      <c r="G2768">
        <v>32910951</v>
      </c>
      <c r="H2768">
        <v>1955106</v>
      </c>
      <c r="I2768">
        <v>0</v>
      </c>
      <c r="J2768">
        <v>1133961.48</v>
      </c>
      <c r="K2768">
        <v>0</v>
      </c>
      <c r="L2768">
        <v>0</v>
      </c>
      <c r="M2768">
        <v>0</v>
      </c>
      <c r="T2768" s="9">
        <v>45108</v>
      </c>
      <c r="U2768" s="9">
        <v>45473</v>
      </c>
      <c r="V2768">
        <f>SUM(POTABLE_NONPOTABLE_API[[#This Row],[RESIDENTIAL_SINGLEFAMILY_GAL]:[OTHER_GAL]])</f>
        <v>36000018.479999997</v>
      </c>
      <c r="W2768">
        <f>SUM(POTABLE_NONPOTABLE_API[[#This Row],[NONPOTABLE_DEMAND_RESIDENTIAL_RECYCLED_WATER_GAL]:[NONPOTABLE_DEMAND_NONRESIDENTIAL_METERED_IRRIGATION_GAL]])</f>
        <v>0</v>
      </c>
      <c r="X2768" t="str">
        <f>IFERROR(INDEX(Crosswalk_API!$H$2:$H$527, MATCH(POTABLE_NONPOTABLE_API[[#This Row],[PWSID]], CW_PWSID_LIST, 0)), "")</f>
        <v>No</v>
      </c>
    </row>
    <row r="2769" spans="1:24" x14ac:dyDescent="0.25">
      <c r="A2769" t="s">
        <v>1543</v>
      </c>
      <c r="B2769" t="s">
        <v>1544</v>
      </c>
      <c r="C2769" t="s">
        <v>1545</v>
      </c>
      <c r="D2769" t="s">
        <v>1546</v>
      </c>
      <c r="E2769" s="9">
        <v>45323</v>
      </c>
      <c r="F2769" s="9">
        <v>45351</v>
      </c>
      <c r="G2769">
        <v>26622026.699999999</v>
      </c>
      <c r="H2769">
        <v>1466329.5</v>
      </c>
      <c r="I2769">
        <v>0</v>
      </c>
      <c r="J2769">
        <v>661477.52999999991</v>
      </c>
      <c r="K2769">
        <v>0</v>
      </c>
      <c r="L2769">
        <v>0</v>
      </c>
      <c r="M2769">
        <v>0</v>
      </c>
      <c r="T2769" s="9">
        <v>45108</v>
      </c>
      <c r="U2769" s="9">
        <v>45473</v>
      </c>
      <c r="V2769">
        <f>SUM(POTABLE_NONPOTABLE_API[[#This Row],[RESIDENTIAL_SINGLEFAMILY_GAL]:[OTHER_GAL]])</f>
        <v>28749833.73</v>
      </c>
      <c r="W2769">
        <f>SUM(POTABLE_NONPOTABLE_API[[#This Row],[NONPOTABLE_DEMAND_RESIDENTIAL_RECYCLED_WATER_GAL]:[NONPOTABLE_DEMAND_NONRESIDENTIAL_METERED_IRRIGATION_GAL]])</f>
        <v>0</v>
      </c>
      <c r="X2769" t="str">
        <f>IFERROR(INDEX(Crosswalk_API!$H$2:$H$527, MATCH(POTABLE_NONPOTABLE_API[[#This Row],[PWSID]], CW_PWSID_LIST, 0)), "")</f>
        <v>No</v>
      </c>
    </row>
    <row r="2770" spans="1:24" x14ac:dyDescent="0.25">
      <c r="A2770" t="s">
        <v>1543</v>
      </c>
      <c r="B2770" t="s">
        <v>1544</v>
      </c>
      <c r="C2770" t="s">
        <v>1545</v>
      </c>
      <c r="D2770" t="s">
        <v>1546</v>
      </c>
      <c r="E2770" s="9">
        <v>45352</v>
      </c>
      <c r="F2770" s="9">
        <v>45382</v>
      </c>
      <c r="G2770">
        <v>31053600.300000001</v>
      </c>
      <c r="H2770">
        <v>2509052.7000000002</v>
      </c>
      <c r="I2770">
        <v>0</v>
      </c>
      <c r="J2770">
        <v>977553</v>
      </c>
      <c r="K2770">
        <v>0</v>
      </c>
      <c r="L2770">
        <v>0</v>
      </c>
      <c r="M2770">
        <v>0</v>
      </c>
      <c r="T2770" s="9">
        <v>45108</v>
      </c>
      <c r="U2770" s="9">
        <v>45473</v>
      </c>
      <c r="V2770">
        <f>SUM(POTABLE_NONPOTABLE_API[[#This Row],[RESIDENTIAL_SINGLEFAMILY_GAL]:[OTHER_GAL]])</f>
        <v>34540206</v>
      </c>
      <c r="W2770">
        <f>SUM(POTABLE_NONPOTABLE_API[[#This Row],[NONPOTABLE_DEMAND_RESIDENTIAL_RECYCLED_WATER_GAL]:[NONPOTABLE_DEMAND_NONRESIDENTIAL_METERED_IRRIGATION_GAL]])</f>
        <v>0</v>
      </c>
      <c r="X2770" t="str">
        <f>IFERROR(INDEX(Crosswalk_API!$H$2:$H$527, MATCH(POTABLE_NONPOTABLE_API[[#This Row],[PWSID]], CW_PWSID_LIST, 0)), "")</f>
        <v>No</v>
      </c>
    </row>
    <row r="2771" spans="1:24" x14ac:dyDescent="0.25">
      <c r="A2771" t="s">
        <v>1543</v>
      </c>
      <c r="B2771" t="s">
        <v>1544</v>
      </c>
      <c r="C2771" t="s">
        <v>1545</v>
      </c>
      <c r="D2771" t="s">
        <v>1546</v>
      </c>
      <c r="E2771" s="9">
        <v>45383</v>
      </c>
      <c r="F2771" s="9">
        <v>45412</v>
      </c>
      <c r="G2771">
        <v>32585100</v>
      </c>
      <c r="H2771">
        <v>3095584.5</v>
      </c>
      <c r="I2771">
        <v>0</v>
      </c>
      <c r="J2771">
        <v>1303404</v>
      </c>
      <c r="K2771">
        <v>0</v>
      </c>
      <c r="L2771">
        <v>0</v>
      </c>
      <c r="M2771">
        <v>0</v>
      </c>
      <c r="T2771" s="9">
        <v>45108</v>
      </c>
      <c r="U2771" s="9">
        <v>45473</v>
      </c>
      <c r="V2771">
        <f>SUM(POTABLE_NONPOTABLE_API[[#This Row],[RESIDENTIAL_SINGLEFAMILY_GAL]:[OTHER_GAL]])</f>
        <v>36984088.5</v>
      </c>
      <c r="W2771">
        <f>SUM(POTABLE_NONPOTABLE_API[[#This Row],[NONPOTABLE_DEMAND_RESIDENTIAL_RECYCLED_WATER_GAL]:[NONPOTABLE_DEMAND_NONRESIDENTIAL_METERED_IRRIGATION_GAL]])</f>
        <v>0</v>
      </c>
      <c r="X2771" t="str">
        <f>IFERROR(INDEX(Crosswalk_API!$H$2:$H$527, MATCH(POTABLE_NONPOTABLE_API[[#This Row],[PWSID]], CW_PWSID_LIST, 0)), "")</f>
        <v>No</v>
      </c>
    </row>
    <row r="2772" spans="1:24" x14ac:dyDescent="0.25">
      <c r="A2772" t="s">
        <v>1543</v>
      </c>
      <c r="B2772" t="s">
        <v>1544</v>
      </c>
      <c r="C2772" t="s">
        <v>1545</v>
      </c>
      <c r="D2772" t="s">
        <v>1546</v>
      </c>
      <c r="E2772" s="9">
        <v>45413</v>
      </c>
      <c r="F2772" s="9">
        <v>45443</v>
      </c>
      <c r="G2772">
        <v>37603205.399999999</v>
      </c>
      <c r="H2772">
        <v>4659669.3</v>
      </c>
      <c r="I2772">
        <v>0</v>
      </c>
      <c r="J2772">
        <v>1984432.5899999999</v>
      </c>
      <c r="K2772">
        <v>0</v>
      </c>
      <c r="L2772">
        <v>0</v>
      </c>
      <c r="M2772">
        <v>0</v>
      </c>
      <c r="T2772" s="9">
        <v>45108</v>
      </c>
      <c r="U2772" s="9">
        <v>45473</v>
      </c>
      <c r="V2772">
        <f>SUM(POTABLE_NONPOTABLE_API[[#This Row],[RESIDENTIAL_SINGLEFAMILY_GAL]:[OTHER_GAL]])</f>
        <v>44247307.289999992</v>
      </c>
      <c r="W2772">
        <f>SUM(POTABLE_NONPOTABLE_API[[#This Row],[NONPOTABLE_DEMAND_RESIDENTIAL_RECYCLED_WATER_GAL]:[NONPOTABLE_DEMAND_NONRESIDENTIAL_METERED_IRRIGATION_GAL]])</f>
        <v>0</v>
      </c>
      <c r="X2772" t="str">
        <f>IFERROR(INDEX(Crosswalk_API!$H$2:$H$527, MATCH(POTABLE_NONPOTABLE_API[[#This Row],[PWSID]], CW_PWSID_LIST, 0)), "")</f>
        <v>No</v>
      </c>
    </row>
    <row r="2773" spans="1:24" x14ac:dyDescent="0.25">
      <c r="A2773" t="s">
        <v>1543</v>
      </c>
      <c r="B2773" t="s">
        <v>1544</v>
      </c>
      <c r="C2773" t="s">
        <v>1545</v>
      </c>
      <c r="D2773" t="s">
        <v>1546</v>
      </c>
      <c r="E2773" s="9">
        <v>45444</v>
      </c>
      <c r="F2773" s="9">
        <v>45473</v>
      </c>
      <c r="G2773">
        <v>38613343.5</v>
      </c>
      <c r="H2773">
        <v>5637222.2999999998</v>
      </c>
      <c r="I2773">
        <v>0</v>
      </c>
      <c r="J2773">
        <v>1629255</v>
      </c>
      <c r="K2773">
        <v>0</v>
      </c>
      <c r="L2773">
        <v>0</v>
      </c>
      <c r="M2773">
        <v>0</v>
      </c>
      <c r="T2773" s="9">
        <v>45108</v>
      </c>
      <c r="U2773" s="9">
        <v>45473</v>
      </c>
      <c r="V2773">
        <f>SUM(POTABLE_NONPOTABLE_API[[#This Row],[RESIDENTIAL_SINGLEFAMILY_GAL]:[OTHER_GAL]])</f>
        <v>45879820.799999997</v>
      </c>
      <c r="W2773">
        <f>SUM(POTABLE_NONPOTABLE_API[[#This Row],[NONPOTABLE_DEMAND_RESIDENTIAL_RECYCLED_WATER_GAL]:[NONPOTABLE_DEMAND_NONRESIDENTIAL_METERED_IRRIGATION_GAL]])</f>
        <v>0</v>
      </c>
      <c r="X2773" t="str">
        <f>IFERROR(INDEX(Crosswalk_API!$H$2:$H$527, MATCH(POTABLE_NONPOTABLE_API[[#This Row],[PWSID]], CW_PWSID_LIST, 0)), "")</f>
        <v>No</v>
      </c>
    </row>
    <row r="2774" spans="1:24" x14ac:dyDescent="0.25">
      <c r="A2774" t="s">
        <v>1547</v>
      </c>
      <c r="B2774" t="s">
        <v>1548</v>
      </c>
      <c r="C2774" t="s">
        <v>1549</v>
      </c>
      <c r="D2774" t="s">
        <v>1550</v>
      </c>
      <c r="E2774" s="9">
        <v>45108</v>
      </c>
      <c r="F2774" s="9">
        <v>45138</v>
      </c>
      <c r="G2774">
        <v>52870000</v>
      </c>
      <c r="H2774">
        <v>30325000</v>
      </c>
      <c r="I2774">
        <v>47094000</v>
      </c>
      <c r="J2774">
        <v>0</v>
      </c>
      <c r="K2774">
        <v>3727000</v>
      </c>
      <c r="L2774">
        <v>0</v>
      </c>
      <c r="M2774">
        <v>957000</v>
      </c>
      <c r="T2774" s="9">
        <v>45108</v>
      </c>
      <c r="U2774" s="9">
        <v>45473</v>
      </c>
      <c r="V2774">
        <f>SUM(POTABLE_NONPOTABLE_API[[#This Row],[RESIDENTIAL_SINGLEFAMILY_GAL]:[OTHER_GAL]])</f>
        <v>134016000</v>
      </c>
      <c r="W2774">
        <f>SUM(POTABLE_NONPOTABLE_API[[#This Row],[NONPOTABLE_DEMAND_RESIDENTIAL_RECYCLED_WATER_GAL]:[NONPOTABLE_DEMAND_NONRESIDENTIAL_METERED_IRRIGATION_GAL]])</f>
        <v>0</v>
      </c>
      <c r="X2774" t="str">
        <f>IFERROR(INDEX(Crosswalk_API!$H$2:$H$527, MATCH(POTABLE_NONPOTABLE_API[[#This Row],[PWSID]], CW_PWSID_LIST, 0)), "")</f>
        <v>No</v>
      </c>
    </row>
    <row r="2775" spans="1:24" x14ac:dyDescent="0.25">
      <c r="A2775" t="s">
        <v>1547</v>
      </c>
      <c r="B2775" t="s">
        <v>1548</v>
      </c>
      <c r="C2775" t="s">
        <v>1549</v>
      </c>
      <c r="D2775" t="s">
        <v>1550</v>
      </c>
      <c r="E2775" s="9">
        <v>45139</v>
      </c>
      <c r="F2775" s="9">
        <v>45169</v>
      </c>
      <c r="G2775">
        <v>146898000</v>
      </c>
      <c r="H2775">
        <v>29651000</v>
      </c>
      <c r="I2775">
        <v>38983610</v>
      </c>
      <c r="J2775">
        <v>0</v>
      </c>
      <c r="K2775">
        <v>0</v>
      </c>
      <c r="L2775">
        <v>1099000</v>
      </c>
      <c r="M2775">
        <v>7563000</v>
      </c>
      <c r="T2775" s="9">
        <v>45108</v>
      </c>
      <c r="U2775" s="9">
        <v>45473</v>
      </c>
      <c r="V2775">
        <f>SUM(POTABLE_NONPOTABLE_API[[#This Row],[RESIDENTIAL_SINGLEFAMILY_GAL]:[OTHER_GAL]])</f>
        <v>216631610</v>
      </c>
      <c r="W2775">
        <f>SUM(POTABLE_NONPOTABLE_API[[#This Row],[NONPOTABLE_DEMAND_RESIDENTIAL_RECYCLED_WATER_GAL]:[NONPOTABLE_DEMAND_NONRESIDENTIAL_METERED_IRRIGATION_GAL]])</f>
        <v>0</v>
      </c>
      <c r="X2775" t="str">
        <f>IFERROR(INDEX(Crosswalk_API!$H$2:$H$527, MATCH(POTABLE_NONPOTABLE_API[[#This Row],[PWSID]], CW_PWSID_LIST, 0)), "")</f>
        <v>No</v>
      </c>
    </row>
    <row r="2776" spans="1:24" x14ac:dyDescent="0.25">
      <c r="A2776" t="s">
        <v>1547</v>
      </c>
      <c r="B2776" t="s">
        <v>1548</v>
      </c>
      <c r="C2776" t="s">
        <v>1549</v>
      </c>
      <c r="D2776" t="s">
        <v>1550</v>
      </c>
      <c r="E2776" s="9">
        <v>45170</v>
      </c>
      <c r="F2776" s="9">
        <v>45199</v>
      </c>
      <c r="G2776">
        <v>72397000</v>
      </c>
      <c r="H2776">
        <v>38684000</v>
      </c>
      <c r="I2776">
        <v>69229000</v>
      </c>
      <c r="J2776">
        <v>0</v>
      </c>
      <c r="K2776">
        <v>8104000</v>
      </c>
      <c r="L2776">
        <v>0</v>
      </c>
      <c r="M2776">
        <v>1398000</v>
      </c>
      <c r="T2776" s="9">
        <v>45108</v>
      </c>
      <c r="U2776" s="9">
        <v>45473</v>
      </c>
      <c r="V2776">
        <f>SUM(POTABLE_NONPOTABLE_API[[#This Row],[RESIDENTIAL_SINGLEFAMILY_GAL]:[OTHER_GAL]])</f>
        <v>188414000</v>
      </c>
      <c r="W2776">
        <f>SUM(POTABLE_NONPOTABLE_API[[#This Row],[NONPOTABLE_DEMAND_RESIDENTIAL_RECYCLED_WATER_GAL]:[NONPOTABLE_DEMAND_NONRESIDENTIAL_METERED_IRRIGATION_GAL]])</f>
        <v>0</v>
      </c>
      <c r="X2776" t="str">
        <f>IFERROR(INDEX(Crosswalk_API!$H$2:$H$527, MATCH(POTABLE_NONPOTABLE_API[[#This Row],[PWSID]], CW_PWSID_LIST, 0)), "")</f>
        <v>No</v>
      </c>
    </row>
    <row r="2777" spans="1:24" x14ac:dyDescent="0.25">
      <c r="A2777" t="s">
        <v>1547</v>
      </c>
      <c r="B2777" t="s">
        <v>1548</v>
      </c>
      <c r="C2777" t="s">
        <v>1549</v>
      </c>
      <c r="D2777" t="s">
        <v>1550</v>
      </c>
      <c r="E2777" s="9">
        <v>45200</v>
      </c>
      <c r="F2777" s="9">
        <v>45230</v>
      </c>
      <c r="G2777">
        <v>131482000</v>
      </c>
      <c r="H2777">
        <v>37162000</v>
      </c>
      <c r="I2777">
        <v>32276472</v>
      </c>
      <c r="J2777">
        <v>0</v>
      </c>
      <c r="K2777">
        <v>0</v>
      </c>
      <c r="L2777">
        <v>0</v>
      </c>
      <c r="M2777">
        <v>84000</v>
      </c>
      <c r="T2777" s="9">
        <v>45108</v>
      </c>
      <c r="U2777" s="9">
        <v>45473</v>
      </c>
      <c r="V2777">
        <f>SUM(POTABLE_NONPOTABLE_API[[#This Row],[RESIDENTIAL_SINGLEFAMILY_GAL]:[OTHER_GAL]])</f>
        <v>200920472</v>
      </c>
      <c r="W2777">
        <f>SUM(POTABLE_NONPOTABLE_API[[#This Row],[NONPOTABLE_DEMAND_RESIDENTIAL_RECYCLED_WATER_GAL]:[NONPOTABLE_DEMAND_NONRESIDENTIAL_METERED_IRRIGATION_GAL]])</f>
        <v>0</v>
      </c>
      <c r="X2777" t="str">
        <f>IFERROR(INDEX(Crosswalk_API!$H$2:$H$527, MATCH(POTABLE_NONPOTABLE_API[[#This Row],[PWSID]], CW_PWSID_LIST, 0)), "")</f>
        <v>No</v>
      </c>
    </row>
    <row r="2778" spans="1:24" x14ac:dyDescent="0.25">
      <c r="A2778" t="s">
        <v>1547</v>
      </c>
      <c r="B2778" t="s">
        <v>1548</v>
      </c>
      <c r="C2778" t="s">
        <v>1549</v>
      </c>
      <c r="D2778" t="s">
        <v>1550</v>
      </c>
      <c r="E2778" s="9">
        <v>45231</v>
      </c>
      <c r="F2778" s="9">
        <v>45260</v>
      </c>
      <c r="G2778">
        <v>61146000</v>
      </c>
      <c r="H2778">
        <v>37162000</v>
      </c>
      <c r="I2778">
        <v>88974000</v>
      </c>
      <c r="J2778">
        <v>0</v>
      </c>
      <c r="K2778">
        <v>6425000</v>
      </c>
      <c r="L2778">
        <v>0</v>
      </c>
      <c r="M2778">
        <v>888000</v>
      </c>
      <c r="T2778" s="9">
        <v>45108</v>
      </c>
      <c r="U2778" s="9">
        <v>45473</v>
      </c>
      <c r="V2778">
        <f>SUM(POTABLE_NONPOTABLE_API[[#This Row],[RESIDENTIAL_SINGLEFAMILY_GAL]:[OTHER_GAL]])</f>
        <v>193707000</v>
      </c>
      <c r="W2778">
        <f>SUM(POTABLE_NONPOTABLE_API[[#This Row],[NONPOTABLE_DEMAND_RESIDENTIAL_RECYCLED_WATER_GAL]:[NONPOTABLE_DEMAND_NONRESIDENTIAL_METERED_IRRIGATION_GAL]])</f>
        <v>0</v>
      </c>
      <c r="X2778" t="str">
        <f>IFERROR(INDEX(Crosswalk_API!$H$2:$H$527, MATCH(POTABLE_NONPOTABLE_API[[#This Row],[PWSID]], CW_PWSID_LIST, 0)), "")</f>
        <v>No</v>
      </c>
    </row>
    <row r="2779" spans="1:24" x14ac:dyDescent="0.25">
      <c r="A2779" t="s">
        <v>1547</v>
      </c>
      <c r="B2779" t="s">
        <v>1548</v>
      </c>
      <c r="C2779" t="s">
        <v>1549</v>
      </c>
      <c r="D2779" t="s">
        <v>1550</v>
      </c>
      <c r="E2779" s="9">
        <v>45261</v>
      </c>
      <c r="F2779" s="9">
        <v>45291</v>
      </c>
      <c r="G2779">
        <v>118426000</v>
      </c>
      <c r="H2779">
        <v>23356000</v>
      </c>
      <c r="I2779">
        <v>35033000</v>
      </c>
      <c r="J2779">
        <v>0</v>
      </c>
      <c r="K2779">
        <v>0</v>
      </c>
      <c r="L2779">
        <v>790000</v>
      </c>
      <c r="M2779">
        <v>8835326</v>
      </c>
      <c r="T2779" s="9">
        <v>45108</v>
      </c>
      <c r="U2779" s="9">
        <v>45473</v>
      </c>
      <c r="V2779">
        <f>SUM(POTABLE_NONPOTABLE_API[[#This Row],[RESIDENTIAL_SINGLEFAMILY_GAL]:[OTHER_GAL]])</f>
        <v>177605000</v>
      </c>
      <c r="W2779">
        <f>SUM(POTABLE_NONPOTABLE_API[[#This Row],[NONPOTABLE_DEMAND_RESIDENTIAL_RECYCLED_WATER_GAL]:[NONPOTABLE_DEMAND_NONRESIDENTIAL_METERED_IRRIGATION_GAL]])</f>
        <v>0</v>
      </c>
      <c r="X2779" t="str">
        <f>IFERROR(INDEX(Crosswalk_API!$H$2:$H$527, MATCH(POTABLE_NONPOTABLE_API[[#This Row],[PWSID]], CW_PWSID_LIST, 0)), "")</f>
        <v>No</v>
      </c>
    </row>
    <row r="2780" spans="1:24" x14ac:dyDescent="0.25">
      <c r="A2780" t="s">
        <v>1547</v>
      </c>
      <c r="B2780" t="s">
        <v>1548</v>
      </c>
      <c r="C2780" t="s">
        <v>1549</v>
      </c>
      <c r="D2780" t="s">
        <v>1550</v>
      </c>
      <c r="E2780" s="9">
        <v>45292</v>
      </c>
      <c r="F2780" s="9">
        <v>45322</v>
      </c>
      <c r="G2780">
        <v>47541000</v>
      </c>
      <c r="H2780">
        <v>29689000</v>
      </c>
      <c r="I2780">
        <v>42121000</v>
      </c>
      <c r="J2780">
        <v>0</v>
      </c>
      <c r="K2780">
        <v>5150000</v>
      </c>
      <c r="L2780">
        <v>612000</v>
      </c>
      <c r="M2780">
        <v>474000</v>
      </c>
      <c r="T2780" s="9">
        <v>45108</v>
      </c>
      <c r="U2780" s="9">
        <v>45473</v>
      </c>
      <c r="V2780">
        <f>SUM(POTABLE_NONPOTABLE_API[[#This Row],[RESIDENTIAL_SINGLEFAMILY_GAL]:[OTHER_GAL]])</f>
        <v>125113000</v>
      </c>
      <c r="W2780">
        <f>SUM(POTABLE_NONPOTABLE_API[[#This Row],[NONPOTABLE_DEMAND_RESIDENTIAL_RECYCLED_WATER_GAL]:[NONPOTABLE_DEMAND_NONRESIDENTIAL_METERED_IRRIGATION_GAL]])</f>
        <v>0</v>
      </c>
      <c r="X2780" t="str">
        <f>IFERROR(INDEX(Crosswalk_API!$H$2:$H$527, MATCH(POTABLE_NONPOTABLE_API[[#This Row],[PWSID]], CW_PWSID_LIST, 0)), "")</f>
        <v>No</v>
      </c>
    </row>
    <row r="2781" spans="1:24" x14ac:dyDescent="0.25">
      <c r="A2781" t="s">
        <v>1547</v>
      </c>
      <c r="B2781" t="s">
        <v>1548</v>
      </c>
      <c r="C2781" t="s">
        <v>1549</v>
      </c>
      <c r="D2781" t="s">
        <v>1550</v>
      </c>
      <c r="E2781" s="9">
        <v>45323</v>
      </c>
      <c r="F2781" s="9">
        <v>45351</v>
      </c>
      <c r="G2781">
        <v>77617000</v>
      </c>
      <c r="H2781">
        <v>14361000</v>
      </c>
      <c r="I2781">
        <v>17000000</v>
      </c>
      <c r="J2781">
        <v>0</v>
      </c>
      <c r="K2781">
        <v>93000</v>
      </c>
      <c r="L2781">
        <v>517000</v>
      </c>
      <c r="M2781">
        <v>37000</v>
      </c>
      <c r="T2781" s="9">
        <v>45108</v>
      </c>
      <c r="U2781" s="9">
        <v>45473</v>
      </c>
      <c r="V2781">
        <f>SUM(POTABLE_NONPOTABLE_API[[#This Row],[RESIDENTIAL_SINGLEFAMILY_GAL]:[OTHER_GAL]])</f>
        <v>109588000</v>
      </c>
      <c r="W2781">
        <f>SUM(POTABLE_NONPOTABLE_API[[#This Row],[NONPOTABLE_DEMAND_RESIDENTIAL_RECYCLED_WATER_GAL]:[NONPOTABLE_DEMAND_NONRESIDENTIAL_METERED_IRRIGATION_GAL]])</f>
        <v>0</v>
      </c>
      <c r="X2781" t="str">
        <f>IFERROR(INDEX(Crosswalk_API!$H$2:$H$527, MATCH(POTABLE_NONPOTABLE_API[[#This Row],[PWSID]], CW_PWSID_LIST, 0)), "")</f>
        <v>No</v>
      </c>
    </row>
    <row r="2782" spans="1:24" x14ac:dyDescent="0.25">
      <c r="A2782" t="s">
        <v>1547</v>
      </c>
      <c r="B2782" t="s">
        <v>1548</v>
      </c>
      <c r="C2782" t="s">
        <v>1549</v>
      </c>
      <c r="D2782" t="s">
        <v>1550</v>
      </c>
      <c r="E2782" s="9">
        <v>45352</v>
      </c>
      <c r="F2782" s="9">
        <v>45382</v>
      </c>
      <c r="G2782">
        <v>34008000</v>
      </c>
      <c r="H2782">
        <v>23604000</v>
      </c>
      <c r="I2782">
        <v>25513000</v>
      </c>
      <c r="J2782">
        <v>0</v>
      </c>
      <c r="K2782">
        <v>3358000</v>
      </c>
      <c r="L2782">
        <v>391000</v>
      </c>
      <c r="M2782">
        <v>192000</v>
      </c>
      <c r="T2782" s="9">
        <v>45108</v>
      </c>
      <c r="U2782" s="9">
        <v>45473</v>
      </c>
      <c r="V2782">
        <f>SUM(POTABLE_NONPOTABLE_API[[#This Row],[RESIDENTIAL_SINGLEFAMILY_GAL]:[OTHER_GAL]])</f>
        <v>86874000</v>
      </c>
      <c r="W2782">
        <f>SUM(POTABLE_NONPOTABLE_API[[#This Row],[NONPOTABLE_DEMAND_RESIDENTIAL_RECYCLED_WATER_GAL]:[NONPOTABLE_DEMAND_NONRESIDENTIAL_METERED_IRRIGATION_GAL]])</f>
        <v>0</v>
      </c>
      <c r="X2782" t="str">
        <f>IFERROR(INDEX(Crosswalk_API!$H$2:$H$527, MATCH(POTABLE_NONPOTABLE_API[[#This Row],[PWSID]], CW_PWSID_LIST, 0)), "")</f>
        <v>No</v>
      </c>
    </row>
    <row r="2783" spans="1:24" x14ac:dyDescent="0.25">
      <c r="A2783" t="s">
        <v>1547</v>
      </c>
      <c r="B2783" t="s">
        <v>1548</v>
      </c>
      <c r="C2783" t="s">
        <v>1549</v>
      </c>
      <c r="D2783" t="s">
        <v>1550</v>
      </c>
      <c r="E2783" s="9">
        <v>45383</v>
      </c>
      <c r="F2783" s="9">
        <v>45412</v>
      </c>
      <c r="G2783">
        <v>59317000</v>
      </c>
      <c r="H2783">
        <v>9532000</v>
      </c>
      <c r="I2783">
        <v>10367000</v>
      </c>
      <c r="J2783">
        <v>0</v>
      </c>
      <c r="K2783">
        <v>24000</v>
      </c>
      <c r="L2783">
        <v>397000</v>
      </c>
      <c r="M2783">
        <v>9000</v>
      </c>
      <c r="T2783" s="9">
        <v>45108</v>
      </c>
      <c r="U2783" s="9">
        <v>45473</v>
      </c>
      <c r="V2783">
        <f>SUM(POTABLE_NONPOTABLE_API[[#This Row],[RESIDENTIAL_SINGLEFAMILY_GAL]:[OTHER_GAL]])</f>
        <v>79637000</v>
      </c>
      <c r="W2783">
        <f>SUM(POTABLE_NONPOTABLE_API[[#This Row],[NONPOTABLE_DEMAND_RESIDENTIAL_RECYCLED_WATER_GAL]:[NONPOTABLE_DEMAND_NONRESIDENTIAL_METERED_IRRIGATION_GAL]])</f>
        <v>0</v>
      </c>
      <c r="X2783" t="str">
        <f>IFERROR(INDEX(Crosswalk_API!$H$2:$H$527, MATCH(POTABLE_NONPOTABLE_API[[#This Row],[PWSID]], CW_PWSID_LIST, 0)), "")</f>
        <v>No</v>
      </c>
    </row>
    <row r="2784" spans="1:24" x14ac:dyDescent="0.25">
      <c r="A2784" t="s">
        <v>1547</v>
      </c>
      <c r="B2784" t="s">
        <v>1548</v>
      </c>
      <c r="C2784" t="s">
        <v>1549</v>
      </c>
      <c r="D2784" t="s">
        <v>1550</v>
      </c>
      <c r="E2784" s="9">
        <v>45413</v>
      </c>
      <c r="F2784" s="9">
        <v>45443</v>
      </c>
      <c r="G2784">
        <v>41737000</v>
      </c>
      <c r="H2784">
        <v>25538000</v>
      </c>
      <c r="I2784">
        <v>32657000</v>
      </c>
      <c r="J2784">
        <v>0</v>
      </c>
      <c r="K2784">
        <v>3639000</v>
      </c>
      <c r="L2784">
        <v>521000</v>
      </c>
      <c r="M2784">
        <v>709000</v>
      </c>
      <c r="T2784" s="9">
        <v>45108</v>
      </c>
      <c r="U2784" s="9">
        <v>45473</v>
      </c>
      <c r="V2784">
        <f>SUM(POTABLE_NONPOTABLE_API[[#This Row],[RESIDENTIAL_SINGLEFAMILY_GAL]:[OTHER_GAL]])</f>
        <v>104092000</v>
      </c>
      <c r="W2784">
        <f>SUM(POTABLE_NONPOTABLE_API[[#This Row],[NONPOTABLE_DEMAND_RESIDENTIAL_RECYCLED_WATER_GAL]:[NONPOTABLE_DEMAND_NONRESIDENTIAL_METERED_IRRIGATION_GAL]])</f>
        <v>0</v>
      </c>
      <c r="X2784" t="str">
        <f>IFERROR(INDEX(Crosswalk_API!$H$2:$H$527, MATCH(POTABLE_NONPOTABLE_API[[#This Row],[PWSID]], CW_PWSID_LIST, 0)), "")</f>
        <v>No</v>
      </c>
    </row>
    <row r="2785" spans="1:24" x14ac:dyDescent="0.25">
      <c r="A2785" t="s">
        <v>1547</v>
      </c>
      <c r="B2785" t="s">
        <v>1548</v>
      </c>
      <c r="C2785" t="s">
        <v>1549</v>
      </c>
      <c r="D2785" t="s">
        <v>1550</v>
      </c>
      <c r="E2785" s="9">
        <v>45444</v>
      </c>
      <c r="F2785" s="9">
        <v>45473</v>
      </c>
      <c r="G2785">
        <v>95493000</v>
      </c>
      <c r="H2785">
        <v>20646000</v>
      </c>
      <c r="I2785">
        <v>46520000</v>
      </c>
      <c r="J2785">
        <v>0</v>
      </c>
      <c r="K2785">
        <v>432000</v>
      </c>
      <c r="L2785">
        <v>548000</v>
      </c>
      <c r="M2785">
        <v>32000</v>
      </c>
      <c r="T2785" s="9">
        <v>45108</v>
      </c>
      <c r="U2785" s="9">
        <v>45473</v>
      </c>
      <c r="V2785">
        <f>SUM(POTABLE_NONPOTABLE_API[[#This Row],[RESIDENTIAL_SINGLEFAMILY_GAL]:[OTHER_GAL]])</f>
        <v>163639000</v>
      </c>
      <c r="W2785">
        <f>SUM(POTABLE_NONPOTABLE_API[[#This Row],[NONPOTABLE_DEMAND_RESIDENTIAL_RECYCLED_WATER_GAL]:[NONPOTABLE_DEMAND_NONRESIDENTIAL_METERED_IRRIGATION_GAL]])</f>
        <v>0</v>
      </c>
      <c r="X2785" t="str">
        <f>IFERROR(INDEX(Crosswalk_API!$H$2:$H$527, MATCH(POTABLE_NONPOTABLE_API[[#This Row],[PWSID]], CW_PWSID_LIST, 0)), "")</f>
        <v>No</v>
      </c>
    </row>
    <row r="2786" spans="1:24" x14ac:dyDescent="0.25">
      <c r="A2786" t="s">
        <v>1551</v>
      </c>
      <c r="B2786" t="s">
        <v>1552</v>
      </c>
      <c r="C2786" t="s">
        <v>1553</v>
      </c>
      <c r="D2786" t="s">
        <v>1554</v>
      </c>
      <c r="E2786" s="9">
        <v>45108</v>
      </c>
      <c r="F2786" s="9">
        <v>45138</v>
      </c>
      <c r="G2786">
        <v>47004595.472000003</v>
      </c>
      <c r="H2786">
        <v>13679626.924000001</v>
      </c>
      <c r="I2786">
        <v>19088790.936000001</v>
      </c>
      <c r="J2786">
        <v>2389278.088</v>
      </c>
      <c r="K2786">
        <v>0</v>
      </c>
      <c r="L2786">
        <v>0</v>
      </c>
      <c r="M2786">
        <v>0</v>
      </c>
      <c r="T2786" s="9">
        <v>45108</v>
      </c>
      <c r="U2786" s="9">
        <v>45473</v>
      </c>
      <c r="V2786">
        <f>SUM(POTABLE_NONPOTABLE_API[[#This Row],[RESIDENTIAL_SINGLEFAMILY_GAL]:[OTHER_GAL]])</f>
        <v>82162291.420000002</v>
      </c>
      <c r="W2786">
        <f>SUM(POTABLE_NONPOTABLE_API[[#This Row],[NONPOTABLE_DEMAND_RESIDENTIAL_RECYCLED_WATER_GAL]:[NONPOTABLE_DEMAND_NONRESIDENTIAL_METERED_IRRIGATION_GAL]])</f>
        <v>0</v>
      </c>
      <c r="X2786" t="str">
        <f>IFERROR(INDEX(Crosswalk_API!$H$2:$H$527, MATCH(POTABLE_NONPOTABLE_API[[#This Row],[PWSID]], CW_PWSID_LIST, 0)), "")</f>
        <v>No</v>
      </c>
    </row>
    <row r="2787" spans="1:24" x14ac:dyDescent="0.25">
      <c r="A2787" t="s">
        <v>1551</v>
      </c>
      <c r="B2787" t="s">
        <v>1552</v>
      </c>
      <c r="C2787" t="s">
        <v>1553</v>
      </c>
      <c r="D2787" t="s">
        <v>1554</v>
      </c>
      <c r="E2787" s="9">
        <v>45139</v>
      </c>
      <c r="F2787" s="9">
        <v>45169</v>
      </c>
      <c r="G2787">
        <v>62090560.156000003</v>
      </c>
      <c r="H2787">
        <v>9239938.3039999995</v>
      </c>
      <c r="I2787">
        <v>13814276.284</v>
      </c>
      <c r="J2787">
        <v>5376249.7240000004</v>
      </c>
      <c r="K2787">
        <v>0</v>
      </c>
      <c r="L2787">
        <v>0</v>
      </c>
      <c r="M2787">
        <v>0</v>
      </c>
      <c r="T2787" s="9">
        <v>45108</v>
      </c>
      <c r="U2787" s="9">
        <v>45473</v>
      </c>
      <c r="V2787">
        <f>SUM(POTABLE_NONPOTABLE_API[[#This Row],[RESIDENTIAL_SINGLEFAMILY_GAL]:[OTHER_GAL]])</f>
        <v>90521024.46800001</v>
      </c>
      <c r="W2787">
        <f>SUM(POTABLE_NONPOTABLE_API[[#This Row],[NONPOTABLE_DEMAND_RESIDENTIAL_RECYCLED_WATER_GAL]:[NONPOTABLE_DEMAND_NONRESIDENTIAL_METERED_IRRIGATION_GAL]])</f>
        <v>0</v>
      </c>
      <c r="X2787" t="str">
        <f>IFERROR(INDEX(Crosswalk_API!$H$2:$H$527, MATCH(POTABLE_NONPOTABLE_API[[#This Row],[PWSID]], CW_PWSID_LIST, 0)), "")</f>
        <v>No</v>
      </c>
    </row>
    <row r="2788" spans="1:24" x14ac:dyDescent="0.25">
      <c r="A2788" t="s">
        <v>1551</v>
      </c>
      <c r="B2788" t="s">
        <v>1552</v>
      </c>
      <c r="C2788" t="s">
        <v>1553</v>
      </c>
      <c r="D2788" t="s">
        <v>1554</v>
      </c>
      <c r="E2788" s="9">
        <v>45170</v>
      </c>
      <c r="F2788" s="9">
        <v>45199</v>
      </c>
      <c r="G2788">
        <v>53084014.076000005</v>
      </c>
      <c r="H2788">
        <v>15038089.356000001</v>
      </c>
      <c r="I2788">
        <v>22541798.968000002</v>
      </c>
      <c r="J2788">
        <v>2406483.284</v>
      </c>
      <c r="K2788">
        <v>0</v>
      </c>
      <c r="L2788">
        <v>0</v>
      </c>
      <c r="M2788">
        <v>0</v>
      </c>
      <c r="T2788" s="9">
        <v>45108</v>
      </c>
      <c r="U2788" s="9">
        <v>45473</v>
      </c>
      <c r="V2788">
        <f>SUM(POTABLE_NONPOTABLE_API[[#This Row],[RESIDENTIAL_SINGLEFAMILY_GAL]:[OTHER_GAL]])</f>
        <v>93070385.684</v>
      </c>
      <c r="W2788">
        <f>SUM(POTABLE_NONPOTABLE_API[[#This Row],[NONPOTABLE_DEMAND_RESIDENTIAL_RECYCLED_WATER_GAL]:[NONPOTABLE_DEMAND_NONRESIDENTIAL_METERED_IRRIGATION_GAL]])</f>
        <v>0</v>
      </c>
      <c r="X2788" t="str">
        <f>IFERROR(INDEX(Crosswalk_API!$H$2:$H$527, MATCH(POTABLE_NONPOTABLE_API[[#This Row],[PWSID]], CW_PWSID_LIST, 0)), "")</f>
        <v>No</v>
      </c>
    </row>
    <row r="2789" spans="1:24" x14ac:dyDescent="0.25">
      <c r="A2789" t="s">
        <v>1551</v>
      </c>
      <c r="B2789" t="s">
        <v>1552</v>
      </c>
      <c r="C2789" t="s">
        <v>1553</v>
      </c>
      <c r="D2789" t="s">
        <v>1554</v>
      </c>
      <c r="E2789" s="9">
        <v>45200</v>
      </c>
      <c r="F2789" s="9">
        <v>45230</v>
      </c>
      <c r="G2789">
        <v>58707869.012000002</v>
      </c>
      <c r="H2789">
        <v>8378930.4520000005</v>
      </c>
      <c r="I2789">
        <v>10258037.075999999</v>
      </c>
      <c r="J2789">
        <v>4954348.3959999997</v>
      </c>
      <c r="K2789">
        <v>0</v>
      </c>
      <c r="L2789">
        <v>0</v>
      </c>
      <c r="M2789">
        <v>0</v>
      </c>
      <c r="T2789" s="9">
        <v>45108</v>
      </c>
      <c r="U2789" s="9">
        <v>45473</v>
      </c>
      <c r="V2789">
        <f>SUM(POTABLE_NONPOTABLE_API[[#This Row],[RESIDENTIAL_SINGLEFAMILY_GAL]:[OTHER_GAL]])</f>
        <v>82299184.936000004</v>
      </c>
      <c r="W2789">
        <f>SUM(POTABLE_NONPOTABLE_API[[#This Row],[NONPOTABLE_DEMAND_RESIDENTIAL_RECYCLED_WATER_GAL]:[NONPOTABLE_DEMAND_NONRESIDENTIAL_METERED_IRRIGATION_GAL]])</f>
        <v>0</v>
      </c>
      <c r="X2789" t="str">
        <f>IFERROR(INDEX(Crosswalk_API!$H$2:$H$527, MATCH(POTABLE_NONPOTABLE_API[[#This Row],[PWSID]], CW_PWSID_LIST, 0)), "")</f>
        <v>No</v>
      </c>
    </row>
    <row r="2790" spans="1:24" x14ac:dyDescent="0.25">
      <c r="A2790" t="s">
        <v>1551</v>
      </c>
      <c r="B2790" t="s">
        <v>1552</v>
      </c>
      <c r="C2790" t="s">
        <v>1553</v>
      </c>
      <c r="D2790" t="s">
        <v>1554</v>
      </c>
      <c r="E2790" s="9">
        <v>45231</v>
      </c>
      <c r="F2790" s="9">
        <v>45260</v>
      </c>
      <c r="G2790">
        <v>47004595.472000003</v>
      </c>
      <c r="H2790">
        <v>13679626.924000001</v>
      </c>
      <c r="I2790">
        <v>19088790.936000001</v>
      </c>
      <c r="J2790">
        <v>2389278.088</v>
      </c>
      <c r="K2790">
        <v>0</v>
      </c>
      <c r="L2790">
        <v>0</v>
      </c>
      <c r="M2790">
        <v>0</v>
      </c>
      <c r="T2790" s="9">
        <v>45108</v>
      </c>
      <c r="U2790" s="9">
        <v>45473</v>
      </c>
      <c r="V2790">
        <f>SUM(POTABLE_NONPOTABLE_API[[#This Row],[RESIDENTIAL_SINGLEFAMILY_GAL]:[OTHER_GAL]])</f>
        <v>82162291.420000002</v>
      </c>
      <c r="W2790">
        <f>SUM(POTABLE_NONPOTABLE_API[[#This Row],[NONPOTABLE_DEMAND_RESIDENTIAL_RECYCLED_WATER_GAL]:[NONPOTABLE_DEMAND_NONRESIDENTIAL_METERED_IRRIGATION_GAL]])</f>
        <v>0</v>
      </c>
      <c r="X2790" t="str">
        <f>IFERROR(INDEX(Crosswalk_API!$H$2:$H$527, MATCH(POTABLE_NONPOTABLE_API[[#This Row],[PWSID]], CW_PWSID_LIST, 0)), "")</f>
        <v>No</v>
      </c>
    </row>
    <row r="2791" spans="1:24" x14ac:dyDescent="0.25">
      <c r="A2791" t="s">
        <v>1551</v>
      </c>
      <c r="B2791" t="s">
        <v>1552</v>
      </c>
      <c r="C2791" t="s">
        <v>1553</v>
      </c>
      <c r="D2791" t="s">
        <v>1554</v>
      </c>
      <c r="E2791" s="9">
        <v>45261</v>
      </c>
      <c r="F2791" s="9">
        <v>45291</v>
      </c>
      <c r="G2791">
        <v>54658663.535999998</v>
      </c>
      <c r="H2791">
        <v>8170971.9960000003</v>
      </c>
      <c r="I2791">
        <v>9033475.9519999996</v>
      </c>
      <c r="J2791">
        <v>3766441.8200000003</v>
      </c>
      <c r="K2791">
        <v>0</v>
      </c>
      <c r="L2791">
        <v>0</v>
      </c>
      <c r="M2791">
        <v>0</v>
      </c>
      <c r="T2791" s="9">
        <v>45108</v>
      </c>
      <c r="U2791" s="9">
        <v>45473</v>
      </c>
      <c r="V2791">
        <f>SUM(POTABLE_NONPOTABLE_API[[#This Row],[RESIDENTIAL_SINGLEFAMILY_GAL]:[OTHER_GAL]])</f>
        <v>75629553.30399999</v>
      </c>
      <c r="W2791">
        <f>SUM(POTABLE_NONPOTABLE_API[[#This Row],[NONPOTABLE_DEMAND_RESIDENTIAL_RECYCLED_WATER_GAL]:[NONPOTABLE_DEMAND_NONRESIDENTIAL_METERED_IRRIGATION_GAL]])</f>
        <v>0</v>
      </c>
      <c r="X2791" t="str">
        <f>IFERROR(INDEX(Crosswalk_API!$H$2:$H$527, MATCH(POTABLE_NONPOTABLE_API[[#This Row],[PWSID]], CW_PWSID_LIST, 0)), "")</f>
        <v>No</v>
      </c>
    </row>
    <row r="2792" spans="1:24" x14ac:dyDescent="0.25">
      <c r="A2792" t="s">
        <v>1551</v>
      </c>
      <c r="B2792" t="s">
        <v>1552</v>
      </c>
      <c r="C2792" t="s">
        <v>1553</v>
      </c>
      <c r="D2792" t="s">
        <v>1554</v>
      </c>
      <c r="E2792" s="9">
        <v>45292</v>
      </c>
      <c r="F2792" s="9">
        <v>45322</v>
      </c>
      <c r="G2792">
        <v>41018683.368000001</v>
      </c>
      <c r="H2792">
        <v>12744561.924000001</v>
      </c>
      <c r="I2792">
        <v>15320104.960000001</v>
      </c>
      <c r="J2792">
        <v>1028571.5</v>
      </c>
      <c r="K2792">
        <v>0</v>
      </c>
      <c r="L2792">
        <v>0</v>
      </c>
      <c r="M2792">
        <v>0</v>
      </c>
      <c r="T2792" s="9">
        <v>45108</v>
      </c>
      <c r="U2792" s="9">
        <v>45473</v>
      </c>
      <c r="V2792">
        <f>SUM(POTABLE_NONPOTABLE_API[[#This Row],[RESIDENTIAL_SINGLEFAMILY_GAL]:[OTHER_GAL]])</f>
        <v>70111921.752000004</v>
      </c>
      <c r="W2792">
        <f>SUM(POTABLE_NONPOTABLE_API[[#This Row],[NONPOTABLE_DEMAND_RESIDENTIAL_RECYCLED_WATER_GAL]:[NONPOTABLE_DEMAND_NONRESIDENTIAL_METERED_IRRIGATION_GAL]])</f>
        <v>0</v>
      </c>
      <c r="X2792" t="str">
        <f>IFERROR(INDEX(Crosswalk_API!$H$2:$H$527, MATCH(POTABLE_NONPOTABLE_API[[#This Row],[PWSID]], CW_PWSID_LIST, 0)), "")</f>
        <v>No</v>
      </c>
    </row>
    <row r="2793" spans="1:24" x14ac:dyDescent="0.25">
      <c r="A2793" t="s">
        <v>1551</v>
      </c>
      <c r="B2793" t="s">
        <v>1552</v>
      </c>
      <c r="C2793" t="s">
        <v>1553</v>
      </c>
      <c r="D2793" t="s">
        <v>1554</v>
      </c>
      <c r="E2793" s="9">
        <v>45323</v>
      </c>
      <c r="F2793" s="9">
        <v>45351</v>
      </c>
      <c r="G2793">
        <v>42747431.539999999</v>
      </c>
      <c r="H2793">
        <v>7700447.2880000006</v>
      </c>
      <c r="I2793">
        <v>7521662.8600000003</v>
      </c>
      <c r="J2793">
        <v>990420.848</v>
      </c>
      <c r="K2793">
        <v>0</v>
      </c>
      <c r="L2793">
        <v>0</v>
      </c>
      <c r="M2793">
        <v>0</v>
      </c>
      <c r="T2793" s="9">
        <v>45108</v>
      </c>
      <c r="U2793" s="9">
        <v>45473</v>
      </c>
      <c r="V2793">
        <f>SUM(POTABLE_NONPOTABLE_API[[#This Row],[RESIDENTIAL_SINGLEFAMILY_GAL]:[OTHER_GAL]])</f>
        <v>58959962.535999998</v>
      </c>
      <c r="W2793">
        <f>SUM(POTABLE_NONPOTABLE_API[[#This Row],[NONPOTABLE_DEMAND_RESIDENTIAL_RECYCLED_WATER_GAL]:[NONPOTABLE_DEMAND_NONRESIDENTIAL_METERED_IRRIGATION_GAL]])</f>
        <v>0</v>
      </c>
      <c r="X2793" t="str">
        <f>IFERROR(INDEX(Crosswalk_API!$H$2:$H$527, MATCH(POTABLE_NONPOTABLE_API[[#This Row],[PWSID]], CW_PWSID_LIST, 0)), "")</f>
        <v>No</v>
      </c>
    </row>
    <row r="2794" spans="1:24" x14ac:dyDescent="0.25">
      <c r="A2794" t="s">
        <v>1551</v>
      </c>
      <c r="B2794" t="s">
        <v>1552</v>
      </c>
      <c r="C2794" t="s">
        <v>1553</v>
      </c>
      <c r="D2794" t="s">
        <v>1554</v>
      </c>
      <c r="E2794" s="9">
        <v>45352</v>
      </c>
      <c r="F2794" s="9">
        <v>45382</v>
      </c>
      <c r="G2794">
        <v>30024563.124000002</v>
      </c>
      <c r="H2794">
        <v>11542442.359999999</v>
      </c>
      <c r="I2794">
        <v>13698328.223999999</v>
      </c>
      <c r="J2794">
        <v>241620.796</v>
      </c>
      <c r="K2794">
        <v>0</v>
      </c>
      <c r="L2794">
        <v>0</v>
      </c>
      <c r="M2794">
        <v>0</v>
      </c>
      <c r="T2794" s="9">
        <v>45108</v>
      </c>
      <c r="U2794" s="9">
        <v>45473</v>
      </c>
      <c r="V2794">
        <f>SUM(POTABLE_NONPOTABLE_API[[#This Row],[RESIDENTIAL_SINGLEFAMILY_GAL]:[OTHER_GAL]])</f>
        <v>55506954.503999993</v>
      </c>
      <c r="W2794">
        <f>SUM(POTABLE_NONPOTABLE_API[[#This Row],[NONPOTABLE_DEMAND_RESIDENTIAL_RECYCLED_WATER_GAL]:[NONPOTABLE_DEMAND_NONRESIDENTIAL_METERED_IRRIGATION_GAL]])</f>
        <v>0</v>
      </c>
      <c r="X2794" t="str">
        <f>IFERROR(INDEX(Crosswalk_API!$H$2:$H$527, MATCH(POTABLE_NONPOTABLE_API[[#This Row],[PWSID]], CW_PWSID_LIST, 0)), "")</f>
        <v>No</v>
      </c>
    </row>
    <row r="2795" spans="1:24" x14ac:dyDescent="0.25">
      <c r="A2795" t="s">
        <v>1551</v>
      </c>
      <c r="B2795" t="s">
        <v>1552</v>
      </c>
      <c r="C2795" t="s">
        <v>1553</v>
      </c>
      <c r="D2795" t="s">
        <v>1554</v>
      </c>
      <c r="E2795" s="9">
        <v>45383</v>
      </c>
      <c r="F2795" s="9">
        <v>45412</v>
      </c>
      <c r="G2795">
        <v>40209291.104000002</v>
      </c>
      <c r="H2795">
        <v>7577018.7080000006</v>
      </c>
      <c r="I2795">
        <v>7972738.216</v>
      </c>
      <c r="J2795">
        <v>1849932.5960000001</v>
      </c>
      <c r="K2795">
        <v>0</v>
      </c>
      <c r="L2795">
        <v>0</v>
      </c>
      <c r="M2795">
        <v>0</v>
      </c>
      <c r="T2795" s="9">
        <v>45108</v>
      </c>
      <c r="U2795" s="9">
        <v>45473</v>
      </c>
      <c r="V2795">
        <f>SUM(POTABLE_NONPOTABLE_API[[#This Row],[RESIDENTIAL_SINGLEFAMILY_GAL]:[OTHER_GAL]])</f>
        <v>57608980.624000005</v>
      </c>
      <c r="W2795">
        <f>SUM(POTABLE_NONPOTABLE_API[[#This Row],[NONPOTABLE_DEMAND_RESIDENTIAL_RECYCLED_WATER_GAL]:[NONPOTABLE_DEMAND_NONRESIDENTIAL_METERED_IRRIGATION_GAL]])</f>
        <v>0</v>
      </c>
      <c r="X2795" t="str">
        <f>IFERROR(INDEX(Crosswalk_API!$H$2:$H$527, MATCH(POTABLE_NONPOTABLE_API[[#This Row],[PWSID]], CW_PWSID_LIST, 0)), "")</f>
        <v>No</v>
      </c>
    </row>
    <row r="2796" spans="1:24" x14ac:dyDescent="0.25">
      <c r="A2796" t="s">
        <v>1551</v>
      </c>
      <c r="B2796" t="s">
        <v>1552</v>
      </c>
      <c r="C2796" t="s">
        <v>1553</v>
      </c>
      <c r="D2796" t="s">
        <v>1554</v>
      </c>
      <c r="E2796" s="9">
        <v>45413</v>
      </c>
      <c r="F2796" s="9">
        <v>45443</v>
      </c>
      <c r="G2796">
        <v>38052657.188000001</v>
      </c>
      <c r="H2796">
        <v>12352582.676000001</v>
      </c>
      <c r="I2796">
        <v>16481081.664000001</v>
      </c>
      <c r="J2796">
        <v>563283.15599999996</v>
      </c>
      <c r="K2796">
        <v>0</v>
      </c>
      <c r="L2796">
        <v>0</v>
      </c>
      <c r="M2796">
        <v>0</v>
      </c>
      <c r="T2796" s="9">
        <v>45108</v>
      </c>
      <c r="U2796" s="9">
        <v>45473</v>
      </c>
      <c r="V2796">
        <f>SUM(POTABLE_NONPOTABLE_API[[#This Row],[RESIDENTIAL_SINGLEFAMILY_GAL]:[OTHER_GAL]])</f>
        <v>67449604.684</v>
      </c>
      <c r="W2796">
        <f>SUM(POTABLE_NONPOTABLE_API[[#This Row],[NONPOTABLE_DEMAND_RESIDENTIAL_RECYCLED_WATER_GAL]:[NONPOTABLE_DEMAND_NONRESIDENTIAL_METERED_IRRIGATION_GAL]])</f>
        <v>0</v>
      </c>
      <c r="X2796" t="str">
        <f>IFERROR(INDEX(Crosswalk_API!$H$2:$H$527, MATCH(POTABLE_NONPOTABLE_API[[#This Row],[PWSID]], CW_PWSID_LIST, 0)), "")</f>
        <v>No</v>
      </c>
    </row>
    <row r="2797" spans="1:24" x14ac:dyDescent="0.25">
      <c r="A2797" t="s">
        <v>1551</v>
      </c>
      <c r="B2797" t="s">
        <v>1552</v>
      </c>
      <c r="C2797" t="s">
        <v>1553</v>
      </c>
      <c r="D2797" t="s">
        <v>1554</v>
      </c>
      <c r="E2797" s="9">
        <v>45444</v>
      </c>
      <c r="F2797" s="9">
        <v>45473</v>
      </c>
      <c r="G2797">
        <v>52909717.960000001</v>
      </c>
      <c r="H2797">
        <v>7947304.4479999999</v>
      </c>
      <c r="I2797">
        <v>9248166.8760000002</v>
      </c>
      <c r="J2797">
        <v>4122514.5720000002</v>
      </c>
      <c r="K2797">
        <v>0</v>
      </c>
      <c r="L2797">
        <v>0</v>
      </c>
      <c r="M2797">
        <v>0</v>
      </c>
      <c r="T2797" s="9">
        <v>45108</v>
      </c>
      <c r="U2797" s="9">
        <v>45473</v>
      </c>
      <c r="V2797">
        <f>SUM(POTABLE_NONPOTABLE_API[[#This Row],[RESIDENTIAL_SINGLEFAMILY_GAL]:[OTHER_GAL]])</f>
        <v>74227703.855999991</v>
      </c>
      <c r="W2797">
        <f>SUM(POTABLE_NONPOTABLE_API[[#This Row],[NONPOTABLE_DEMAND_RESIDENTIAL_RECYCLED_WATER_GAL]:[NONPOTABLE_DEMAND_NONRESIDENTIAL_METERED_IRRIGATION_GAL]])</f>
        <v>0</v>
      </c>
      <c r="X2797" t="str">
        <f>IFERROR(INDEX(Crosswalk_API!$H$2:$H$527, MATCH(POTABLE_NONPOTABLE_API[[#This Row],[PWSID]], CW_PWSID_LIST, 0)), "")</f>
        <v>No</v>
      </c>
    </row>
    <row r="2798" spans="1:24" x14ac:dyDescent="0.25">
      <c r="A2798" t="s">
        <v>1555</v>
      </c>
      <c r="B2798" t="s">
        <v>1556</v>
      </c>
      <c r="C2798" t="s">
        <v>1557</v>
      </c>
      <c r="D2798" t="s">
        <v>1558</v>
      </c>
      <c r="E2798" s="9">
        <v>45108</v>
      </c>
      <c r="F2798" s="9">
        <v>45138</v>
      </c>
      <c r="G2798">
        <v>44530797.659999996</v>
      </c>
      <c r="H2798">
        <v>703838.16</v>
      </c>
      <c r="I2798">
        <v>4666186.32</v>
      </c>
      <c r="J2798">
        <v>215061.66</v>
      </c>
      <c r="K2798">
        <v>0</v>
      </c>
      <c r="L2798">
        <v>0</v>
      </c>
      <c r="M2798">
        <v>0</v>
      </c>
      <c r="N2798">
        <v>0</v>
      </c>
      <c r="O2798">
        <v>0</v>
      </c>
      <c r="P2798">
        <v>0</v>
      </c>
      <c r="Q2798">
        <v>17859893</v>
      </c>
      <c r="R2798">
        <v>0</v>
      </c>
      <c r="T2798" s="9">
        <v>45108</v>
      </c>
      <c r="U2798" s="9">
        <v>45473</v>
      </c>
      <c r="V2798">
        <f>SUM(POTABLE_NONPOTABLE_API[[#This Row],[RESIDENTIAL_SINGLEFAMILY_GAL]:[OTHER_GAL]])</f>
        <v>50115883.79999999</v>
      </c>
      <c r="W2798">
        <f>SUM(POTABLE_NONPOTABLE_API[[#This Row],[NONPOTABLE_DEMAND_RESIDENTIAL_RECYCLED_WATER_GAL]:[NONPOTABLE_DEMAND_NONRESIDENTIAL_METERED_IRRIGATION_GAL]])</f>
        <v>17859893</v>
      </c>
      <c r="X2798" t="str">
        <f>IFERROR(INDEX(Crosswalk_API!$H$2:$H$527, MATCH(POTABLE_NONPOTABLE_API[[#This Row],[PWSID]], CW_PWSID_LIST, 0)), "")</f>
        <v>No</v>
      </c>
    </row>
    <row r="2799" spans="1:24" x14ac:dyDescent="0.25">
      <c r="A2799" t="s">
        <v>1555</v>
      </c>
      <c r="B2799" t="s">
        <v>1556</v>
      </c>
      <c r="C2799" t="s">
        <v>1557</v>
      </c>
      <c r="D2799" t="s">
        <v>1558</v>
      </c>
      <c r="E2799" s="9">
        <v>45139</v>
      </c>
      <c r="F2799" s="9">
        <v>45169</v>
      </c>
      <c r="G2799">
        <v>39190099.769999996</v>
      </c>
      <c r="H2799">
        <v>769008.36</v>
      </c>
      <c r="I2799">
        <v>3946055.61</v>
      </c>
      <c r="J2799">
        <v>156408.47999999998</v>
      </c>
      <c r="K2799">
        <v>0</v>
      </c>
      <c r="L2799">
        <v>0</v>
      </c>
      <c r="M2799">
        <v>0</v>
      </c>
      <c r="N2799">
        <v>0</v>
      </c>
      <c r="O2799">
        <v>0</v>
      </c>
      <c r="P2799">
        <v>0</v>
      </c>
      <c r="Q2799">
        <v>9658224</v>
      </c>
      <c r="R2799">
        <v>0</v>
      </c>
      <c r="S2799">
        <v>0</v>
      </c>
      <c r="T2799" s="9">
        <v>45108</v>
      </c>
      <c r="U2799" s="9">
        <v>45473</v>
      </c>
      <c r="V2799">
        <f>SUM(POTABLE_NONPOTABLE_API[[#This Row],[RESIDENTIAL_SINGLEFAMILY_GAL]:[OTHER_GAL]])</f>
        <v>44061572.219999991</v>
      </c>
      <c r="W2799">
        <f>SUM(POTABLE_NONPOTABLE_API[[#This Row],[NONPOTABLE_DEMAND_RESIDENTIAL_RECYCLED_WATER_GAL]:[NONPOTABLE_DEMAND_NONRESIDENTIAL_METERED_IRRIGATION_GAL]])</f>
        <v>9658224</v>
      </c>
      <c r="X2799" t="str">
        <f>IFERROR(INDEX(Crosswalk_API!$H$2:$H$527, MATCH(POTABLE_NONPOTABLE_API[[#This Row],[PWSID]], CW_PWSID_LIST, 0)), "")</f>
        <v>No</v>
      </c>
    </row>
    <row r="2800" spans="1:24" x14ac:dyDescent="0.25">
      <c r="A2800" t="s">
        <v>1555</v>
      </c>
      <c r="B2800" t="s">
        <v>1556</v>
      </c>
      <c r="C2800" t="s">
        <v>1557</v>
      </c>
      <c r="D2800" t="s">
        <v>1558</v>
      </c>
      <c r="E2800" s="9">
        <v>45170</v>
      </c>
      <c r="F2800" s="9">
        <v>45199</v>
      </c>
      <c r="G2800">
        <v>33937381.649999999</v>
      </c>
      <c r="H2800">
        <v>544171.16999999993</v>
      </c>
      <c r="I2800">
        <v>3460537.6199999996</v>
      </c>
      <c r="J2800">
        <v>120564.87</v>
      </c>
      <c r="K2800">
        <v>0</v>
      </c>
      <c r="L2800">
        <v>0</v>
      </c>
      <c r="M2800">
        <v>0</v>
      </c>
      <c r="N2800">
        <v>0</v>
      </c>
      <c r="O2800">
        <v>0</v>
      </c>
      <c r="P2800">
        <v>0</v>
      </c>
      <c r="Q2800">
        <v>7664015.5199999996</v>
      </c>
      <c r="R2800">
        <v>0</v>
      </c>
      <c r="S2800">
        <v>0</v>
      </c>
      <c r="T2800" s="9">
        <v>45108</v>
      </c>
      <c r="U2800" s="9">
        <v>45473</v>
      </c>
      <c r="V2800">
        <f>SUM(POTABLE_NONPOTABLE_API[[#This Row],[RESIDENTIAL_SINGLEFAMILY_GAL]:[OTHER_GAL]])</f>
        <v>38062655.309999995</v>
      </c>
      <c r="W2800">
        <f>SUM(POTABLE_NONPOTABLE_API[[#This Row],[NONPOTABLE_DEMAND_RESIDENTIAL_RECYCLED_WATER_GAL]:[NONPOTABLE_DEMAND_NONRESIDENTIAL_METERED_IRRIGATION_GAL]])</f>
        <v>7664015.5199999996</v>
      </c>
      <c r="X2800" t="str">
        <f>IFERROR(INDEX(Crosswalk_API!$H$2:$H$527, MATCH(POTABLE_NONPOTABLE_API[[#This Row],[PWSID]], CW_PWSID_LIST, 0)), "")</f>
        <v>No</v>
      </c>
    </row>
    <row r="2801" spans="1:24" x14ac:dyDescent="0.25">
      <c r="A2801" t="s">
        <v>1555</v>
      </c>
      <c r="B2801" t="s">
        <v>1556</v>
      </c>
      <c r="C2801" t="s">
        <v>1557</v>
      </c>
      <c r="D2801" t="s">
        <v>1558</v>
      </c>
      <c r="E2801" s="9">
        <v>45200</v>
      </c>
      <c r="F2801" s="9">
        <v>45230</v>
      </c>
      <c r="G2801">
        <v>23376550.739999998</v>
      </c>
      <c r="H2801">
        <v>475742.45999999996</v>
      </c>
      <c r="I2801">
        <v>2841420.72</v>
      </c>
      <c r="J2801">
        <v>42360.630000000005</v>
      </c>
      <c r="K2801">
        <v>0</v>
      </c>
      <c r="L2801">
        <v>0</v>
      </c>
      <c r="M2801">
        <v>0</v>
      </c>
      <c r="N2801">
        <v>0</v>
      </c>
      <c r="O2801">
        <v>0</v>
      </c>
      <c r="P2801">
        <v>0</v>
      </c>
      <c r="Q2801">
        <v>3398625.9</v>
      </c>
      <c r="R2801">
        <v>0</v>
      </c>
      <c r="S2801">
        <v>0</v>
      </c>
      <c r="T2801" s="9">
        <v>45108</v>
      </c>
      <c r="U2801" s="9">
        <v>45473</v>
      </c>
      <c r="V2801">
        <f>SUM(POTABLE_NONPOTABLE_API[[#This Row],[RESIDENTIAL_SINGLEFAMILY_GAL]:[OTHER_GAL]])</f>
        <v>26736074.549999997</v>
      </c>
      <c r="W2801">
        <f>SUM(POTABLE_NONPOTABLE_API[[#This Row],[NONPOTABLE_DEMAND_RESIDENTIAL_RECYCLED_WATER_GAL]:[NONPOTABLE_DEMAND_NONRESIDENTIAL_METERED_IRRIGATION_GAL]])</f>
        <v>3398625.9</v>
      </c>
      <c r="X2801" t="str">
        <f>IFERROR(INDEX(Crosswalk_API!$H$2:$H$527, MATCH(POTABLE_NONPOTABLE_API[[#This Row],[PWSID]], CW_PWSID_LIST, 0)), "")</f>
        <v>No</v>
      </c>
    </row>
    <row r="2802" spans="1:24" x14ac:dyDescent="0.25">
      <c r="A2802" t="s">
        <v>1555</v>
      </c>
      <c r="B2802" t="s">
        <v>1556</v>
      </c>
      <c r="C2802" t="s">
        <v>1557</v>
      </c>
      <c r="D2802" t="s">
        <v>1558</v>
      </c>
      <c r="E2802" s="9">
        <v>45231</v>
      </c>
      <c r="F2802" s="9">
        <v>45260</v>
      </c>
      <c r="G2802">
        <v>15311738.49</v>
      </c>
      <c r="H2802">
        <v>387762.69</v>
      </c>
      <c r="I2802">
        <v>2261405.94</v>
      </c>
      <c r="J2802">
        <v>0</v>
      </c>
      <c r="K2802">
        <v>0</v>
      </c>
      <c r="L2802">
        <v>0</v>
      </c>
      <c r="M2802">
        <v>0</v>
      </c>
      <c r="N2802">
        <v>0</v>
      </c>
      <c r="O2802">
        <v>0</v>
      </c>
      <c r="P2802">
        <v>0</v>
      </c>
      <c r="Q2802">
        <v>1557567.78</v>
      </c>
      <c r="R2802">
        <v>0</v>
      </c>
      <c r="T2802" s="9">
        <v>45108</v>
      </c>
      <c r="U2802" s="9">
        <v>45473</v>
      </c>
      <c r="V2802">
        <f>SUM(POTABLE_NONPOTABLE_API[[#This Row],[RESIDENTIAL_SINGLEFAMILY_GAL]:[OTHER_GAL]])</f>
        <v>17960907.120000001</v>
      </c>
      <c r="W2802">
        <f>SUM(POTABLE_NONPOTABLE_API[[#This Row],[NONPOTABLE_DEMAND_RESIDENTIAL_RECYCLED_WATER_GAL]:[NONPOTABLE_DEMAND_NONRESIDENTIAL_METERED_IRRIGATION_GAL]])</f>
        <v>1557567.78</v>
      </c>
      <c r="X2802" t="str">
        <f>IFERROR(INDEX(Crosswalk_API!$H$2:$H$527, MATCH(POTABLE_NONPOTABLE_API[[#This Row],[PWSID]], CW_PWSID_LIST, 0)), "")</f>
        <v>No</v>
      </c>
    </row>
    <row r="2803" spans="1:24" x14ac:dyDescent="0.25">
      <c r="A2803" t="s">
        <v>1555</v>
      </c>
      <c r="B2803" t="s">
        <v>1556</v>
      </c>
      <c r="C2803" t="s">
        <v>1557</v>
      </c>
      <c r="D2803" t="s">
        <v>1558</v>
      </c>
      <c r="E2803" s="9">
        <v>45261</v>
      </c>
      <c r="F2803" s="9">
        <v>45291</v>
      </c>
      <c r="G2803">
        <v>15487698.030000001</v>
      </c>
      <c r="H2803">
        <v>387762.69</v>
      </c>
      <c r="I2803">
        <v>2307025.08</v>
      </c>
      <c r="J2803">
        <v>0</v>
      </c>
      <c r="K2803">
        <v>0</v>
      </c>
      <c r="L2803">
        <v>0</v>
      </c>
      <c r="M2803">
        <v>0</v>
      </c>
      <c r="N2803">
        <v>0</v>
      </c>
      <c r="O2803">
        <v>0</v>
      </c>
      <c r="P2803">
        <v>0</v>
      </c>
      <c r="Q2803">
        <v>0</v>
      </c>
      <c r="R2803">
        <v>0</v>
      </c>
      <c r="S2803">
        <v>0</v>
      </c>
      <c r="T2803" s="9">
        <v>45108</v>
      </c>
      <c r="U2803" s="9">
        <v>45473</v>
      </c>
      <c r="V2803">
        <f>SUM(POTABLE_NONPOTABLE_API[[#This Row],[RESIDENTIAL_SINGLEFAMILY_GAL]:[OTHER_GAL]])</f>
        <v>18182485.800000001</v>
      </c>
      <c r="W2803">
        <f>SUM(POTABLE_NONPOTABLE_API[[#This Row],[NONPOTABLE_DEMAND_RESIDENTIAL_RECYCLED_WATER_GAL]:[NONPOTABLE_DEMAND_NONRESIDENTIAL_METERED_IRRIGATION_GAL]])</f>
        <v>0</v>
      </c>
      <c r="X2803" t="str">
        <f>IFERROR(INDEX(Crosswalk_API!$H$2:$H$527, MATCH(POTABLE_NONPOTABLE_API[[#This Row],[PWSID]], CW_PWSID_LIST, 0)), "")</f>
        <v>No</v>
      </c>
    </row>
    <row r="2804" spans="1:24" x14ac:dyDescent="0.25">
      <c r="A2804" t="s">
        <v>1555</v>
      </c>
      <c r="B2804" t="s">
        <v>1556</v>
      </c>
      <c r="C2804" t="s">
        <v>1557</v>
      </c>
      <c r="D2804" t="s">
        <v>1558</v>
      </c>
      <c r="E2804" s="9">
        <v>45292</v>
      </c>
      <c r="F2804" s="9">
        <v>45322</v>
      </c>
      <c r="G2804">
        <v>14285307.840000002</v>
      </c>
      <c r="H2804">
        <v>410572.26</v>
      </c>
      <c r="I2804">
        <v>3150979.17</v>
      </c>
      <c r="J2804">
        <v>0</v>
      </c>
      <c r="K2804">
        <v>0</v>
      </c>
      <c r="L2804">
        <v>0</v>
      </c>
      <c r="M2804">
        <v>0</v>
      </c>
      <c r="N2804">
        <v>0</v>
      </c>
      <c r="O2804">
        <v>0</v>
      </c>
      <c r="P2804">
        <v>0</v>
      </c>
      <c r="Q2804">
        <v>0</v>
      </c>
      <c r="R2804">
        <v>0</v>
      </c>
      <c r="S2804">
        <v>0</v>
      </c>
      <c r="T2804" s="9">
        <v>45108</v>
      </c>
      <c r="U2804" s="9">
        <v>45473</v>
      </c>
      <c r="V2804">
        <f>SUM(POTABLE_NONPOTABLE_API[[#This Row],[RESIDENTIAL_SINGLEFAMILY_GAL]:[OTHER_GAL]])</f>
        <v>17846859.270000003</v>
      </c>
      <c r="W2804">
        <f>SUM(POTABLE_NONPOTABLE_API[[#This Row],[NONPOTABLE_DEMAND_RESIDENTIAL_RECYCLED_WATER_GAL]:[NONPOTABLE_DEMAND_NONRESIDENTIAL_METERED_IRRIGATION_GAL]])</f>
        <v>0</v>
      </c>
      <c r="X2804" t="str">
        <f>IFERROR(INDEX(Crosswalk_API!$H$2:$H$527, MATCH(POTABLE_NONPOTABLE_API[[#This Row],[PWSID]], CW_PWSID_LIST, 0)), "")</f>
        <v>No</v>
      </c>
    </row>
    <row r="2805" spans="1:24" x14ac:dyDescent="0.25">
      <c r="A2805" t="s">
        <v>1555</v>
      </c>
      <c r="B2805" t="s">
        <v>1556</v>
      </c>
      <c r="C2805" t="s">
        <v>1557</v>
      </c>
      <c r="D2805" t="s">
        <v>1558</v>
      </c>
      <c r="E2805" s="9">
        <v>45323</v>
      </c>
      <c r="F2805" s="9">
        <v>45351</v>
      </c>
      <c r="G2805">
        <v>11772996.630000001</v>
      </c>
      <c r="H2805">
        <v>309558.45</v>
      </c>
      <c r="I2805">
        <v>1899711.33</v>
      </c>
      <c r="J2805">
        <v>0</v>
      </c>
      <c r="K2805">
        <v>0</v>
      </c>
      <c r="L2805">
        <v>0</v>
      </c>
      <c r="M2805">
        <v>0</v>
      </c>
      <c r="N2805">
        <v>0</v>
      </c>
      <c r="O2805">
        <v>0</v>
      </c>
      <c r="P2805">
        <v>0</v>
      </c>
      <c r="Q2805">
        <v>0</v>
      </c>
      <c r="R2805">
        <v>0</v>
      </c>
      <c r="S2805">
        <v>0</v>
      </c>
      <c r="T2805" s="9">
        <v>45108</v>
      </c>
      <c r="U2805" s="9">
        <v>45473</v>
      </c>
      <c r="V2805">
        <f>SUM(POTABLE_NONPOTABLE_API[[#This Row],[RESIDENTIAL_SINGLEFAMILY_GAL]:[OTHER_GAL]])</f>
        <v>13982266.41</v>
      </c>
      <c r="W2805">
        <f>SUM(POTABLE_NONPOTABLE_API[[#This Row],[NONPOTABLE_DEMAND_RESIDENTIAL_RECYCLED_WATER_GAL]:[NONPOTABLE_DEMAND_NONRESIDENTIAL_METERED_IRRIGATION_GAL]])</f>
        <v>0</v>
      </c>
      <c r="X2805" t="str">
        <f>IFERROR(INDEX(Crosswalk_API!$H$2:$H$527, MATCH(POTABLE_NONPOTABLE_API[[#This Row],[PWSID]], CW_PWSID_LIST, 0)), "")</f>
        <v>No</v>
      </c>
    </row>
    <row r="2806" spans="1:24" x14ac:dyDescent="0.25">
      <c r="A2806" t="s">
        <v>1555</v>
      </c>
      <c r="B2806" t="s">
        <v>1556</v>
      </c>
      <c r="C2806" t="s">
        <v>1557</v>
      </c>
      <c r="D2806" t="s">
        <v>1558</v>
      </c>
      <c r="E2806" s="9">
        <v>45352</v>
      </c>
      <c r="F2806" s="9">
        <v>45382</v>
      </c>
      <c r="G2806">
        <v>11720860.469999999</v>
      </c>
      <c r="H2806">
        <v>345402.06</v>
      </c>
      <c r="I2806">
        <v>1805214.54</v>
      </c>
      <c r="J2806">
        <v>0</v>
      </c>
      <c r="K2806">
        <v>0</v>
      </c>
      <c r="L2806">
        <v>0</v>
      </c>
      <c r="M2806">
        <v>0</v>
      </c>
      <c r="N2806">
        <v>0</v>
      </c>
      <c r="O2806">
        <v>0</v>
      </c>
      <c r="P2806">
        <v>0</v>
      </c>
      <c r="Q2806">
        <v>0</v>
      </c>
      <c r="R2806">
        <v>0</v>
      </c>
      <c r="S2806">
        <v>0</v>
      </c>
      <c r="T2806" s="9">
        <v>45108</v>
      </c>
      <c r="U2806" s="9">
        <v>45473</v>
      </c>
      <c r="V2806">
        <f>SUM(POTABLE_NONPOTABLE_API[[#This Row],[RESIDENTIAL_SINGLEFAMILY_GAL]:[OTHER_GAL]])</f>
        <v>13871477.07</v>
      </c>
      <c r="W2806">
        <f>SUM(POTABLE_NONPOTABLE_API[[#This Row],[NONPOTABLE_DEMAND_RESIDENTIAL_RECYCLED_WATER_GAL]:[NONPOTABLE_DEMAND_NONRESIDENTIAL_METERED_IRRIGATION_GAL]])</f>
        <v>0</v>
      </c>
      <c r="X2806" t="str">
        <f>IFERROR(INDEX(Crosswalk_API!$H$2:$H$527, MATCH(POTABLE_NONPOTABLE_API[[#This Row],[PWSID]], CW_PWSID_LIST, 0)), "")</f>
        <v>No</v>
      </c>
    </row>
    <row r="2807" spans="1:24" x14ac:dyDescent="0.25">
      <c r="A2807" t="s">
        <v>1555</v>
      </c>
      <c r="B2807" t="s">
        <v>1556</v>
      </c>
      <c r="C2807" t="s">
        <v>1557</v>
      </c>
      <c r="D2807" t="s">
        <v>1558</v>
      </c>
      <c r="E2807" s="9">
        <v>45383</v>
      </c>
      <c r="F2807" s="9">
        <v>45412</v>
      </c>
      <c r="G2807">
        <v>11538383.909999998</v>
      </c>
      <c r="H2807">
        <v>316075.46999999997</v>
      </c>
      <c r="I2807">
        <v>2473209.09</v>
      </c>
      <c r="J2807">
        <v>3258.51</v>
      </c>
      <c r="K2807">
        <v>0</v>
      </c>
      <c r="L2807">
        <v>0</v>
      </c>
      <c r="M2807">
        <v>0</v>
      </c>
      <c r="N2807">
        <v>0</v>
      </c>
      <c r="O2807">
        <v>0</v>
      </c>
      <c r="P2807">
        <v>0</v>
      </c>
      <c r="Q2807">
        <v>0</v>
      </c>
      <c r="R2807">
        <v>0</v>
      </c>
      <c r="S2807">
        <v>0</v>
      </c>
      <c r="T2807" s="9">
        <v>45108</v>
      </c>
      <c r="U2807" s="9">
        <v>45473</v>
      </c>
      <c r="V2807">
        <f>SUM(POTABLE_NONPOTABLE_API[[#This Row],[RESIDENTIAL_SINGLEFAMILY_GAL]:[OTHER_GAL]])</f>
        <v>14330926.979999999</v>
      </c>
      <c r="W2807">
        <f>SUM(POTABLE_NONPOTABLE_API[[#This Row],[NONPOTABLE_DEMAND_RESIDENTIAL_RECYCLED_WATER_GAL]:[NONPOTABLE_DEMAND_NONRESIDENTIAL_METERED_IRRIGATION_GAL]])</f>
        <v>0</v>
      </c>
      <c r="X2807" t="str">
        <f>IFERROR(INDEX(Crosswalk_API!$H$2:$H$527, MATCH(POTABLE_NONPOTABLE_API[[#This Row],[PWSID]], CW_PWSID_LIST, 0)), "")</f>
        <v>No</v>
      </c>
    </row>
    <row r="2808" spans="1:24" x14ac:dyDescent="0.25">
      <c r="A2808" t="s">
        <v>1555</v>
      </c>
      <c r="B2808" t="s">
        <v>1556</v>
      </c>
      <c r="C2808" t="s">
        <v>1557</v>
      </c>
      <c r="D2808" t="s">
        <v>1558</v>
      </c>
      <c r="E2808" s="9">
        <v>45413</v>
      </c>
      <c r="F2808" s="9">
        <v>45443</v>
      </c>
      <c r="G2808">
        <v>25921447.050000001</v>
      </c>
      <c r="H2808">
        <v>443157.36000000004</v>
      </c>
      <c r="I2808">
        <v>3203115.33</v>
      </c>
      <c r="J2808">
        <v>123823.38</v>
      </c>
      <c r="K2808">
        <v>0</v>
      </c>
      <c r="L2808">
        <v>0</v>
      </c>
      <c r="M2808">
        <v>0</v>
      </c>
      <c r="N2808">
        <v>0</v>
      </c>
      <c r="O2808">
        <v>0</v>
      </c>
      <c r="P2808">
        <v>0</v>
      </c>
      <c r="Q2808">
        <v>5555759.5499999998</v>
      </c>
      <c r="R2808">
        <v>0</v>
      </c>
      <c r="S2808">
        <v>0</v>
      </c>
      <c r="T2808" s="9">
        <v>45108</v>
      </c>
      <c r="U2808" s="9">
        <v>45473</v>
      </c>
      <c r="V2808">
        <f>SUM(POTABLE_NONPOTABLE_API[[#This Row],[RESIDENTIAL_SINGLEFAMILY_GAL]:[OTHER_GAL]])</f>
        <v>29691543.120000001</v>
      </c>
      <c r="W2808">
        <f>SUM(POTABLE_NONPOTABLE_API[[#This Row],[NONPOTABLE_DEMAND_RESIDENTIAL_RECYCLED_WATER_GAL]:[NONPOTABLE_DEMAND_NONRESIDENTIAL_METERED_IRRIGATION_GAL]])</f>
        <v>5555759.5499999998</v>
      </c>
      <c r="X2808" t="str">
        <f>IFERROR(INDEX(Crosswalk_API!$H$2:$H$527, MATCH(POTABLE_NONPOTABLE_API[[#This Row],[PWSID]], CW_PWSID_LIST, 0)), "")</f>
        <v>No</v>
      </c>
    </row>
    <row r="2809" spans="1:24" x14ac:dyDescent="0.25">
      <c r="A2809" t="s">
        <v>1555</v>
      </c>
      <c r="B2809" t="s">
        <v>1556</v>
      </c>
      <c r="C2809" t="s">
        <v>1557</v>
      </c>
      <c r="D2809" t="s">
        <v>1558</v>
      </c>
      <c r="E2809" s="9">
        <v>45444</v>
      </c>
      <c r="F2809" s="9">
        <v>45473</v>
      </c>
      <c r="G2809">
        <v>35889229.140000001</v>
      </c>
      <c r="H2809">
        <v>433381.83</v>
      </c>
      <c r="I2809">
        <v>4092688.56</v>
      </c>
      <c r="J2809">
        <v>202027.62</v>
      </c>
      <c r="K2809">
        <v>0</v>
      </c>
      <c r="L2809">
        <v>0</v>
      </c>
      <c r="M2809">
        <v>0</v>
      </c>
      <c r="N2809">
        <v>0</v>
      </c>
      <c r="O2809">
        <v>0</v>
      </c>
      <c r="P2809">
        <v>0</v>
      </c>
      <c r="Q2809">
        <v>14862064.109999999</v>
      </c>
      <c r="R2809">
        <v>0</v>
      </c>
      <c r="S2809">
        <v>0</v>
      </c>
      <c r="T2809" s="9">
        <v>45108</v>
      </c>
      <c r="U2809" s="9">
        <v>45473</v>
      </c>
      <c r="V2809">
        <f>SUM(POTABLE_NONPOTABLE_API[[#This Row],[RESIDENTIAL_SINGLEFAMILY_GAL]:[OTHER_GAL]])</f>
        <v>40617327.149999999</v>
      </c>
      <c r="W2809">
        <f>SUM(POTABLE_NONPOTABLE_API[[#This Row],[NONPOTABLE_DEMAND_RESIDENTIAL_RECYCLED_WATER_GAL]:[NONPOTABLE_DEMAND_NONRESIDENTIAL_METERED_IRRIGATION_GAL]])</f>
        <v>14862064.109999999</v>
      </c>
      <c r="X2809" t="str">
        <f>IFERROR(INDEX(Crosswalk_API!$H$2:$H$527, MATCH(POTABLE_NONPOTABLE_API[[#This Row],[PWSID]], CW_PWSID_LIST, 0)), "")</f>
        <v>No</v>
      </c>
    </row>
    <row r="2810" spans="1:24" x14ac:dyDescent="0.25">
      <c r="A2810" t="s">
        <v>1559</v>
      </c>
      <c r="B2810" t="s">
        <v>1560</v>
      </c>
      <c r="C2810" t="s">
        <v>1561</v>
      </c>
      <c r="D2810" t="s">
        <v>1562</v>
      </c>
      <c r="E2810" s="9">
        <v>45108</v>
      </c>
      <c r="F2810" s="9">
        <v>45138</v>
      </c>
      <c r="G2810">
        <v>172565123.67199999</v>
      </c>
      <c r="H2810">
        <v>25403845.920000002</v>
      </c>
      <c r="I2810">
        <v>24263814.672000002</v>
      </c>
      <c r="J2810">
        <v>4124758.7280000001</v>
      </c>
      <c r="K2810">
        <v>55355.847999999998</v>
      </c>
      <c r="L2810">
        <v>0</v>
      </c>
      <c r="M2810">
        <v>1687605.3120000002</v>
      </c>
      <c r="T2810" s="9">
        <v>45108</v>
      </c>
      <c r="U2810" s="9">
        <v>45473</v>
      </c>
      <c r="V2810">
        <f>SUM(POTABLE_NONPOTABLE_API[[#This Row],[RESIDENTIAL_SINGLEFAMILY_GAL]:[OTHER_GAL]])</f>
        <v>226412898.83999997</v>
      </c>
      <c r="W2810">
        <f>SUM(POTABLE_NONPOTABLE_API[[#This Row],[NONPOTABLE_DEMAND_RESIDENTIAL_RECYCLED_WATER_GAL]:[NONPOTABLE_DEMAND_NONRESIDENTIAL_METERED_IRRIGATION_GAL]])</f>
        <v>0</v>
      </c>
      <c r="X2810" t="str">
        <f>IFERROR(INDEX(Crosswalk_API!$H$2:$H$527, MATCH(POTABLE_NONPOTABLE_API[[#This Row],[PWSID]], CW_PWSID_LIST, 0)), "")</f>
        <v>No</v>
      </c>
    </row>
    <row r="2811" spans="1:24" x14ac:dyDescent="0.25">
      <c r="A2811" t="s">
        <v>1559</v>
      </c>
      <c r="B2811" t="s">
        <v>1560</v>
      </c>
      <c r="C2811" t="s">
        <v>1561</v>
      </c>
      <c r="D2811" t="s">
        <v>1562</v>
      </c>
      <c r="E2811" s="9">
        <v>45139</v>
      </c>
      <c r="F2811" s="9">
        <v>45169</v>
      </c>
      <c r="G2811">
        <v>175200510.868</v>
      </c>
      <c r="H2811">
        <v>23999752.316</v>
      </c>
      <c r="I2811">
        <v>23021300.300000001</v>
      </c>
      <c r="J2811">
        <v>4994743.2039999999</v>
      </c>
      <c r="K2811">
        <v>76301.304000000004</v>
      </c>
      <c r="L2811">
        <v>0</v>
      </c>
      <c r="M2811">
        <v>1902296.236</v>
      </c>
      <c r="T2811" s="9">
        <v>45108</v>
      </c>
      <c r="U2811" s="9">
        <v>45473</v>
      </c>
      <c r="V2811">
        <f>SUM(POTABLE_NONPOTABLE_API[[#This Row],[RESIDENTIAL_SINGLEFAMILY_GAL]:[OTHER_GAL]])</f>
        <v>227292607.99200001</v>
      </c>
      <c r="W2811">
        <f>SUM(POTABLE_NONPOTABLE_API[[#This Row],[NONPOTABLE_DEMAND_RESIDENTIAL_RECYCLED_WATER_GAL]:[NONPOTABLE_DEMAND_NONRESIDENTIAL_METERED_IRRIGATION_GAL]])</f>
        <v>0</v>
      </c>
      <c r="X2811" t="str">
        <f>IFERROR(INDEX(Crosswalk_API!$H$2:$H$527, MATCH(POTABLE_NONPOTABLE_API[[#This Row],[PWSID]], CW_PWSID_LIST, 0)), "")</f>
        <v>No</v>
      </c>
    </row>
    <row r="2812" spans="1:24" x14ac:dyDescent="0.25">
      <c r="A2812" t="s">
        <v>1559</v>
      </c>
      <c r="B2812" t="s">
        <v>1560</v>
      </c>
      <c r="C2812" t="s">
        <v>1561</v>
      </c>
      <c r="D2812" t="s">
        <v>1562</v>
      </c>
      <c r="E2812" s="9">
        <v>45170</v>
      </c>
      <c r="F2812" s="9">
        <v>45199</v>
      </c>
      <c r="G2812">
        <v>183209903.632</v>
      </c>
      <c r="H2812">
        <v>28988511.104000002</v>
      </c>
      <c r="I2812">
        <v>24057352.32</v>
      </c>
      <c r="J2812">
        <v>5045610.74</v>
      </c>
      <c r="K2812">
        <v>56851.952000000005</v>
      </c>
      <c r="L2812">
        <v>0</v>
      </c>
      <c r="M2812">
        <v>1831979.348</v>
      </c>
      <c r="T2812" s="9">
        <v>45108</v>
      </c>
      <c r="U2812" s="9">
        <v>45473</v>
      </c>
      <c r="V2812">
        <f>SUM(POTABLE_NONPOTABLE_API[[#This Row],[RESIDENTIAL_SINGLEFAMILY_GAL]:[OTHER_GAL]])</f>
        <v>241358229.748</v>
      </c>
      <c r="W2812">
        <f>SUM(POTABLE_NONPOTABLE_API[[#This Row],[NONPOTABLE_DEMAND_RESIDENTIAL_RECYCLED_WATER_GAL]:[NONPOTABLE_DEMAND_NONRESIDENTIAL_METERED_IRRIGATION_GAL]])</f>
        <v>0</v>
      </c>
      <c r="X2812" t="str">
        <f>IFERROR(INDEX(Crosswalk_API!$H$2:$H$527, MATCH(POTABLE_NONPOTABLE_API[[#This Row],[PWSID]], CW_PWSID_LIST, 0)), "")</f>
        <v>No</v>
      </c>
    </row>
    <row r="2813" spans="1:24" x14ac:dyDescent="0.25">
      <c r="A2813" t="s">
        <v>1559</v>
      </c>
      <c r="B2813" t="s">
        <v>1560</v>
      </c>
      <c r="C2813" t="s">
        <v>1561</v>
      </c>
      <c r="D2813" t="s">
        <v>1562</v>
      </c>
      <c r="E2813" s="9">
        <v>45200</v>
      </c>
      <c r="F2813" s="9">
        <v>45230</v>
      </c>
      <c r="G2813">
        <v>131259936.388</v>
      </c>
      <c r="H2813">
        <v>21382318.368000001</v>
      </c>
      <c r="I2813">
        <v>18286879.192000002</v>
      </c>
      <c r="J2813">
        <v>3463480.7600000002</v>
      </c>
      <c r="K2813">
        <v>37402.6</v>
      </c>
      <c r="L2813">
        <v>0</v>
      </c>
      <c r="M2813">
        <v>1490119.584</v>
      </c>
      <c r="T2813" s="9">
        <v>45108</v>
      </c>
      <c r="U2813" s="9">
        <v>45473</v>
      </c>
      <c r="V2813">
        <f>SUM(POTABLE_NONPOTABLE_API[[#This Row],[RESIDENTIAL_SINGLEFAMILY_GAL]:[OTHER_GAL]])</f>
        <v>174430017.30799997</v>
      </c>
      <c r="W2813">
        <f>SUM(POTABLE_NONPOTABLE_API[[#This Row],[NONPOTABLE_DEMAND_RESIDENTIAL_RECYCLED_WATER_GAL]:[NONPOTABLE_DEMAND_NONRESIDENTIAL_METERED_IRRIGATION_GAL]])</f>
        <v>0</v>
      </c>
      <c r="X2813" t="str">
        <f>IFERROR(INDEX(Crosswalk_API!$H$2:$H$527, MATCH(POTABLE_NONPOTABLE_API[[#This Row],[PWSID]], CW_PWSID_LIST, 0)), "")</f>
        <v>No</v>
      </c>
    </row>
    <row r="2814" spans="1:24" x14ac:dyDescent="0.25">
      <c r="A2814" t="s">
        <v>1559</v>
      </c>
      <c r="B2814" t="s">
        <v>1560</v>
      </c>
      <c r="C2814" t="s">
        <v>1561</v>
      </c>
      <c r="D2814" t="s">
        <v>1562</v>
      </c>
      <c r="E2814" s="9">
        <v>45231</v>
      </c>
      <c r="F2814" s="9">
        <v>45260</v>
      </c>
      <c r="G2814">
        <v>142972934.604</v>
      </c>
      <c r="H2814">
        <v>25243762.791999999</v>
      </c>
      <c r="I2814">
        <v>19714910.460000001</v>
      </c>
      <c r="J2814">
        <v>3763449.6120000002</v>
      </c>
      <c r="K2814">
        <v>45631.171999999999</v>
      </c>
      <c r="L2814">
        <v>0</v>
      </c>
      <c r="M2814">
        <v>988924.74400000006</v>
      </c>
      <c r="T2814" s="9">
        <v>45108</v>
      </c>
      <c r="U2814" s="9">
        <v>45473</v>
      </c>
      <c r="V2814">
        <f>SUM(POTABLE_NONPOTABLE_API[[#This Row],[RESIDENTIAL_SINGLEFAMILY_GAL]:[OTHER_GAL]])</f>
        <v>191740688.63999999</v>
      </c>
      <c r="W2814">
        <f>SUM(POTABLE_NONPOTABLE_API[[#This Row],[NONPOTABLE_DEMAND_RESIDENTIAL_RECYCLED_WATER_GAL]:[NONPOTABLE_DEMAND_NONRESIDENTIAL_METERED_IRRIGATION_GAL]])</f>
        <v>0</v>
      </c>
      <c r="X2814" t="str">
        <f>IFERROR(INDEX(Crosswalk_API!$H$2:$H$527, MATCH(POTABLE_NONPOTABLE_API[[#This Row],[PWSID]], CW_PWSID_LIST, 0)), "")</f>
        <v>No</v>
      </c>
    </row>
    <row r="2815" spans="1:24" x14ac:dyDescent="0.25">
      <c r="A2815" t="s">
        <v>1559</v>
      </c>
      <c r="B2815" t="s">
        <v>1560</v>
      </c>
      <c r="C2815" t="s">
        <v>1561</v>
      </c>
      <c r="D2815" t="s">
        <v>1562</v>
      </c>
      <c r="E2815" s="9">
        <v>45261</v>
      </c>
      <c r="F2815" s="9">
        <v>45291</v>
      </c>
      <c r="G2815">
        <v>113896153.36400001</v>
      </c>
      <c r="H2815">
        <v>22944250.944000002</v>
      </c>
      <c r="I2815">
        <v>13135045.068</v>
      </c>
      <c r="J2815">
        <v>3110400.216</v>
      </c>
      <c r="K2815">
        <v>61340.264000000003</v>
      </c>
      <c r="L2815">
        <v>0</v>
      </c>
      <c r="M2815">
        <v>605922.12</v>
      </c>
      <c r="T2815" s="9">
        <v>45108</v>
      </c>
      <c r="U2815" s="9">
        <v>45473</v>
      </c>
      <c r="V2815">
        <f>SUM(POTABLE_NONPOTABLE_API[[#This Row],[RESIDENTIAL_SINGLEFAMILY_GAL]:[OTHER_GAL]])</f>
        <v>153147189.85599998</v>
      </c>
      <c r="W2815">
        <f>SUM(POTABLE_NONPOTABLE_API[[#This Row],[NONPOTABLE_DEMAND_RESIDENTIAL_RECYCLED_WATER_GAL]:[NONPOTABLE_DEMAND_NONRESIDENTIAL_METERED_IRRIGATION_GAL]])</f>
        <v>0</v>
      </c>
      <c r="X2815" t="str">
        <f>IFERROR(INDEX(Crosswalk_API!$H$2:$H$527, MATCH(POTABLE_NONPOTABLE_API[[#This Row],[PWSID]], CW_PWSID_LIST, 0)), "")</f>
        <v>No</v>
      </c>
    </row>
    <row r="2816" spans="1:24" x14ac:dyDescent="0.25">
      <c r="A2816" t="s">
        <v>1559</v>
      </c>
      <c r="B2816" t="s">
        <v>1560</v>
      </c>
      <c r="C2816" t="s">
        <v>1561</v>
      </c>
      <c r="D2816" t="s">
        <v>1562</v>
      </c>
      <c r="E2816" s="9">
        <v>45292</v>
      </c>
      <c r="F2816" s="9">
        <v>45322</v>
      </c>
      <c r="G2816">
        <v>93083850.620000005</v>
      </c>
      <c r="H2816">
        <v>20347762.452</v>
      </c>
      <c r="I2816">
        <v>10492925.404000001</v>
      </c>
      <c r="J2816">
        <v>2021984.5560000001</v>
      </c>
      <c r="K2816">
        <v>14212.988000000001</v>
      </c>
      <c r="L2816">
        <v>0</v>
      </c>
      <c r="M2816">
        <v>247605.212</v>
      </c>
      <c r="T2816" s="9">
        <v>45108</v>
      </c>
      <c r="U2816" s="9">
        <v>45473</v>
      </c>
      <c r="V2816">
        <f>SUM(POTABLE_NONPOTABLE_API[[#This Row],[RESIDENTIAL_SINGLEFAMILY_GAL]:[OTHER_GAL]])</f>
        <v>125960736.02</v>
      </c>
      <c r="W2816">
        <f>SUM(POTABLE_NONPOTABLE_API[[#This Row],[NONPOTABLE_DEMAND_RESIDENTIAL_RECYCLED_WATER_GAL]:[NONPOTABLE_DEMAND_NONRESIDENTIAL_METERED_IRRIGATION_GAL]])</f>
        <v>0</v>
      </c>
      <c r="X2816" t="str">
        <f>IFERROR(INDEX(Crosswalk_API!$H$2:$H$527, MATCH(POTABLE_NONPOTABLE_API[[#This Row],[PWSID]], CW_PWSID_LIST, 0)), "")</f>
        <v>No</v>
      </c>
    </row>
    <row r="2817" spans="1:24" x14ac:dyDescent="0.25">
      <c r="A2817" t="s">
        <v>1559</v>
      </c>
      <c r="B2817" t="s">
        <v>1560</v>
      </c>
      <c r="C2817" t="s">
        <v>1561</v>
      </c>
      <c r="D2817" t="s">
        <v>1562</v>
      </c>
      <c r="E2817" s="9">
        <v>45323</v>
      </c>
      <c r="F2817" s="9">
        <v>45351</v>
      </c>
      <c r="G2817">
        <v>88507268.483999997</v>
      </c>
      <c r="H2817">
        <v>20382920.896000002</v>
      </c>
      <c r="I2817">
        <v>9157652.5840000007</v>
      </c>
      <c r="J2817">
        <v>1688353.3640000001</v>
      </c>
      <c r="K2817">
        <v>118940.268</v>
      </c>
      <c r="L2817">
        <v>0</v>
      </c>
      <c r="M2817">
        <v>155594.81599999999</v>
      </c>
      <c r="T2817" s="9">
        <v>45108</v>
      </c>
      <c r="U2817" s="9">
        <v>45473</v>
      </c>
      <c r="V2817">
        <f>SUM(POTABLE_NONPOTABLE_API[[#This Row],[RESIDENTIAL_SINGLEFAMILY_GAL]:[OTHER_GAL]])</f>
        <v>119855135.59600002</v>
      </c>
      <c r="W2817">
        <f>SUM(POTABLE_NONPOTABLE_API[[#This Row],[NONPOTABLE_DEMAND_RESIDENTIAL_RECYCLED_WATER_GAL]:[NONPOTABLE_DEMAND_NONRESIDENTIAL_METERED_IRRIGATION_GAL]])</f>
        <v>0</v>
      </c>
      <c r="X2817" t="str">
        <f>IFERROR(INDEX(Crosswalk_API!$H$2:$H$527, MATCH(POTABLE_NONPOTABLE_API[[#This Row],[PWSID]], CW_PWSID_LIST, 0)), "")</f>
        <v>No</v>
      </c>
    </row>
    <row r="2818" spans="1:24" x14ac:dyDescent="0.25">
      <c r="A2818" t="s">
        <v>1559</v>
      </c>
      <c r="B2818" t="s">
        <v>1560</v>
      </c>
      <c r="C2818" t="s">
        <v>1561</v>
      </c>
      <c r="D2818" t="s">
        <v>1562</v>
      </c>
      <c r="E2818" s="9">
        <v>45352</v>
      </c>
      <c r="F2818" s="9">
        <v>45382</v>
      </c>
      <c r="G2818">
        <v>75922041.636000007</v>
      </c>
      <c r="H2818">
        <v>17778203.832000002</v>
      </c>
      <c r="I2818">
        <v>7051886.2039999999</v>
      </c>
      <c r="J2818">
        <v>1218576.7080000001</v>
      </c>
      <c r="K2818">
        <v>42638.964</v>
      </c>
      <c r="L2818">
        <v>0</v>
      </c>
      <c r="M2818">
        <v>258825.992</v>
      </c>
      <c r="T2818" s="9">
        <v>45108</v>
      </c>
      <c r="U2818" s="9">
        <v>45473</v>
      </c>
      <c r="V2818">
        <f>SUM(POTABLE_NONPOTABLE_API[[#This Row],[RESIDENTIAL_SINGLEFAMILY_GAL]:[OTHER_GAL]])</f>
        <v>102013347.34400001</v>
      </c>
      <c r="W2818">
        <f>SUM(POTABLE_NONPOTABLE_API[[#This Row],[NONPOTABLE_DEMAND_RESIDENTIAL_RECYCLED_WATER_GAL]:[NONPOTABLE_DEMAND_NONRESIDENTIAL_METERED_IRRIGATION_GAL]])</f>
        <v>0</v>
      </c>
      <c r="X2818" t="str">
        <f>IFERROR(INDEX(Crosswalk_API!$H$2:$H$527, MATCH(POTABLE_NONPOTABLE_API[[#This Row],[PWSID]], CW_PWSID_LIST, 0)), "")</f>
        <v>No</v>
      </c>
    </row>
    <row r="2819" spans="1:24" x14ac:dyDescent="0.25">
      <c r="A2819" t="s">
        <v>1559</v>
      </c>
      <c r="B2819" t="s">
        <v>1560</v>
      </c>
      <c r="C2819" t="s">
        <v>1561</v>
      </c>
      <c r="D2819" t="s">
        <v>1562</v>
      </c>
      <c r="E2819" s="9">
        <v>45383</v>
      </c>
      <c r="F2819" s="9">
        <v>45412</v>
      </c>
      <c r="G2819">
        <v>83095860.316</v>
      </c>
      <c r="H2819">
        <v>18084905.151999999</v>
      </c>
      <c r="I2819">
        <v>8357984.9960000003</v>
      </c>
      <c r="J2819">
        <v>1444488.412</v>
      </c>
      <c r="K2819">
        <v>11220.78</v>
      </c>
      <c r="L2819">
        <v>0</v>
      </c>
      <c r="M2819">
        <v>507179.25599999999</v>
      </c>
      <c r="T2819" s="9">
        <v>45108</v>
      </c>
      <c r="U2819" s="9">
        <v>45473</v>
      </c>
      <c r="V2819">
        <f>SUM(POTABLE_NONPOTABLE_API[[#This Row],[RESIDENTIAL_SINGLEFAMILY_GAL]:[OTHER_GAL]])</f>
        <v>110994459.656</v>
      </c>
      <c r="W2819">
        <f>SUM(POTABLE_NONPOTABLE_API[[#This Row],[NONPOTABLE_DEMAND_RESIDENTIAL_RECYCLED_WATER_GAL]:[NONPOTABLE_DEMAND_NONRESIDENTIAL_METERED_IRRIGATION_GAL]])</f>
        <v>0</v>
      </c>
      <c r="X2819" t="str">
        <f>IFERROR(INDEX(Crosswalk_API!$H$2:$H$527, MATCH(POTABLE_NONPOTABLE_API[[#This Row],[PWSID]], CW_PWSID_LIST, 0)), "")</f>
        <v>No</v>
      </c>
    </row>
    <row r="2820" spans="1:24" x14ac:dyDescent="0.25">
      <c r="A2820" t="s">
        <v>1559</v>
      </c>
      <c r="B2820" t="s">
        <v>1560</v>
      </c>
      <c r="C2820" t="s">
        <v>1561</v>
      </c>
      <c r="D2820" t="s">
        <v>1562</v>
      </c>
      <c r="E2820" s="9">
        <v>45413</v>
      </c>
      <c r="F2820" s="9">
        <v>45443</v>
      </c>
      <c r="G2820">
        <v>125783447.69600001</v>
      </c>
      <c r="H2820">
        <v>20884863.787999999</v>
      </c>
      <c r="I2820">
        <v>14148655.528000001</v>
      </c>
      <c r="J2820">
        <v>4245195.1000000006</v>
      </c>
      <c r="K2820">
        <v>23189.612000000001</v>
      </c>
      <c r="L2820">
        <v>0</v>
      </c>
      <c r="M2820">
        <v>1133298.78</v>
      </c>
      <c r="T2820" s="9">
        <v>45108</v>
      </c>
      <c r="U2820" s="9">
        <v>45473</v>
      </c>
      <c r="V2820">
        <f>SUM(POTABLE_NONPOTABLE_API[[#This Row],[RESIDENTIAL_SINGLEFAMILY_GAL]:[OTHER_GAL]])</f>
        <v>165085351.72399998</v>
      </c>
      <c r="W2820">
        <f>SUM(POTABLE_NONPOTABLE_API[[#This Row],[NONPOTABLE_DEMAND_RESIDENTIAL_RECYCLED_WATER_GAL]:[NONPOTABLE_DEMAND_NONRESIDENTIAL_METERED_IRRIGATION_GAL]])</f>
        <v>0</v>
      </c>
      <c r="X2820" t="str">
        <f>IFERROR(INDEX(Crosswalk_API!$H$2:$H$527, MATCH(POTABLE_NONPOTABLE_API[[#This Row],[PWSID]], CW_PWSID_LIST, 0)), "")</f>
        <v>No</v>
      </c>
    </row>
    <row r="2821" spans="1:24" x14ac:dyDescent="0.25">
      <c r="A2821" t="s">
        <v>1559</v>
      </c>
      <c r="B2821" t="s">
        <v>1560</v>
      </c>
      <c r="C2821" t="s">
        <v>1561</v>
      </c>
      <c r="D2821" t="s">
        <v>1562</v>
      </c>
      <c r="E2821" s="9">
        <v>45444</v>
      </c>
      <c r="F2821" s="9">
        <v>45473</v>
      </c>
      <c r="G2821">
        <v>158898213.632</v>
      </c>
      <c r="H2821">
        <v>23100593.811999999</v>
      </c>
      <c r="I2821">
        <v>16871564.808000002</v>
      </c>
      <c r="J2821">
        <v>6766878.392</v>
      </c>
      <c r="K2821">
        <v>63584.42</v>
      </c>
      <c r="L2821">
        <v>0</v>
      </c>
      <c r="M2821">
        <v>2583771.608</v>
      </c>
      <c r="T2821" s="9">
        <v>45108</v>
      </c>
      <c r="U2821" s="9">
        <v>45473</v>
      </c>
      <c r="V2821">
        <f>SUM(POTABLE_NONPOTABLE_API[[#This Row],[RESIDENTIAL_SINGLEFAMILY_GAL]:[OTHER_GAL]])</f>
        <v>205700835.06399998</v>
      </c>
      <c r="W2821">
        <f>SUM(POTABLE_NONPOTABLE_API[[#This Row],[NONPOTABLE_DEMAND_RESIDENTIAL_RECYCLED_WATER_GAL]:[NONPOTABLE_DEMAND_NONRESIDENTIAL_METERED_IRRIGATION_GAL]])</f>
        <v>0</v>
      </c>
      <c r="X2821" t="str">
        <f>IFERROR(INDEX(Crosswalk_API!$H$2:$H$527, MATCH(POTABLE_NONPOTABLE_API[[#This Row],[PWSID]], CW_PWSID_LIST, 0)), "")</f>
        <v>No</v>
      </c>
    </row>
    <row r="2822" spans="1:24" x14ac:dyDescent="0.25">
      <c r="A2822" t="s">
        <v>1563</v>
      </c>
      <c r="B2822" t="s">
        <v>1564</v>
      </c>
      <c r="C2822" t="s">
        <v>1565</v>
      </c>
      <c r="D2822" t="s">
        <v>1566</v>
      </c>
      <c r="E2822" s="9">
        <v>45108</v>
      </c>
      <c r="F2822" s="9">
        <v>45138</v>
      </c>
      <c r="G2822">
        <v>68884901.400000006</v>
      </c>
      <c r="H2822">
        <v>29359175.099999998</v>
      </c>
      <c r="I2822">
        <v>11307029.700000001</v>
      </c>
      <c r="J2822">
        <v>1498914.5999999999</v>
      </c>
      <c r="K2822">
        <v>0</v>
      </c>
      <c r="L2822">
        <v>1694425.2</v>
      </c>
      <c r="M2822">
        <v>0</v>
      </c>
      <c r="T2822" s="9">
        <v>45108</v>
      </c>
      <c r="U2822" s="9">
        <v>45473</v>
      </c>
      <c r="V2822">
        <f>SUM(POTABLE_NONPOTABLE_API[[#This Row],[RESIDENTIAL_SINGLEFAMILY_GAL]:[OTHER_GAL]])</f>
        <v>112744446</v>
      </c>
      <c r="W2822">
        <f>SUM(POTABLE_NONPOTABLE_API[[#This Row],[NONPOTABLE_DEMAND_RESIDENTIAL_RECYCLED_WATER_GAL]:[NONPOTABLE_DEMAND_NONRESIDENTIAL_METERED_IRRIGATION_GAL]])</f>
        <v>0</v>
      </c>
      <c r="X2822" t="str">
        <f>IFERROR(INDEX(Crosswalk_API!$H$2:$H$527, MATCH(POTABLE_NONPOTABLE_API[[#This Row],[PWSID]], CW_PWSID_LIST, 0)), "")</f>
        <v>No</v>
      </c>
    </row>
    <row r="2823" spans="1:24" x14ac:dyDescent="0.25">
      <c r="A2823" t="s">
        <v>1563</v>
      </c>
      <c r="B2823" t="s">
        <v>1564</v>
      </c>
      <c r="C2823" t="s">
        <v>1565</v>
      </c>
      <c r="D2823" t="s">
        <v>1566</v>
      </c>
      <c r="E2823" s="9">
        <v>45139</v>
      </c>
      <c r="F2823" s="9">
        <v>45169</v>
      </c>
      <c r="G2823">
        <v>64075340.639999993</v>
      </c>
      <c r="H2823">
        <v>27312830.819999997</v>
      </c>
      <c r="I2823">
        <v>10508694.75</v>
      </c>
      <c r="J2823">
        <v>1368574.2</v>
      </c>
      <c r="K2823">
        <v>0</v>
      </c>
      <c r="L2823">
        <v>1564084.8</v>
      </c>
      <c r="M2823">
        <v>0</v>
      </c>
      <c r="T2823" s="9">
        <v>45108</v>
      </c>
      <c r="U2823" s="9">
        <v>45473</v>
      </c>
      <c r="V2823">
        <f>SUM(POTABLE_NONPOTABLE_API[[#This Row],[RESIDENTIAL_SINGLEFAMILY_GAL]:[OTHER_GAL]])</f>
        <v>104829525.20999999</v>
      </c>
      <c r="W2823">
        <f>SUM(POTABLE_NONPOTABLE_API[[#This Row],[NONPOTABLE_DEMAND_RESIDENTIAL_RECYCLED_WATER_GAL]:[NONPOTABLE_DEMAND_NONRESIDENTIAL_METERED_IRRIGATION_GAL]])</f>
        <v>0</v>
      </c>
      <c r="X2823" t="str">
        <f>IFERROR(INDEX(Crosswalk_API!$H$2:$H$527, MATCH(POTABLE_NONPOTABLE_API[[#This Row],[PWSID]], CW_PWSID_LIST, 0)), "")</f>
        <v>No</v>
      </c>
    </row>
    <row r="2824" spans="1:24" x14ac:dyDescent="0.25">
      <c r="A2824" t="s">
        <v>1563</v>
      </c>
      <c r="B2824" t="s">
        <v>1564</v>
      </c>
      <c r="C2824" t="s">
        <v>1565</v>
      </c>
      <c r="D2824" t="s">
        <v>1566</v>
      </c>
      <c r="E2824" s="9">
        <v>45170</v>
      </c>
      <c r="F2824" s="9">
        <v>45199</v>
      </c>
      <c r="G2824">
        <v>58923636.330000006</v>
      </c>
      <c r="H2824">
        <v>25123112.099999998</v>
      </c>
      <c r="I2824">
        <v>9661482.1500000004</v>
      </c>
      <c r="J2824">
        <v>1270818.8999999999</v>
      </c>
      <c r="K2824">
        <v>0</v>
      </c>
      <c r="L2824">
        <v>1450036.95</v>
      </c>
      <c r="M2824">
        <v>0</v>
      </c>
      <c r="T2824" s="9">
        <v>45108</v>
      </c>
      <c r="U2824" s="9">
        <v>45473</v>
      </c>
      <c r="V2824">
        <f>SUM(POTABLE_NONPOTABLE_API[[#This Row],[RESIDENTIAL_SINGLEFAMILY_GAL]:[OTHER_GAL]])</f>
        <v>96429086.430000022</v>
      </c>
      <c r="W2824">
        <f>SUM(POTABLE_NONPOTABLE_API[[#This Row],[NONPOTABLE_DEMAND_RESIDENTIAL_RECYCLED_WATER_GAL]:[NONPOTABLE_DEMAND_NONRESIDENTIAL_METERED_IRRIGATION_GAL]])</f>
        <v>0</v>
      </c>
      <c r="X2824" t="str">
        <f>IFERROR(INDEX(Crosswalk_API!$H$2:$H$527, MATCH(POTABLE_NONPOTABLE_API[[#This Row],[PWSID]], CW_PWSID_LIST, 0)), "")</f>
        <v>No</v>
      </c>
    </row>
    <row r="2825" spans="1:24" x14ac:dyDescent="0.25">
      <c r="A2825" t="s">
        <v>1563</v>
      </c>
      <c r="B2825" t="s">
        <v>1564</v>
      </c>
      <c r="C2825" t="s">
        <v>1565</v>
      </c>
      <c r="D2825" t="s">
        <v>1566</v>
      </c>
      <c r="E2825" s="9">
        <v>45200</v>
      </c>
      <c r="F2825" s="9">
        <v>45230</v>
      </c>
      <c r="G2825">
        <v>59037684.18</v>
      </c>
      <c r="H2825">
        <v>25165472.73</v>
      </c>
      <c r="I2825">
        <v>9677774.6999999993</v>
      </c>
      <c r="J2825">
        <v>1257784.8599999999</v>
      </c>
      <c r="K2825">
        <v>0</v>
      </c>
      <c r="L2825">
        <v>1466329.5</v>
      </c>
      <c r="M2825">
        <v>0</v>
      </c>
      <c r="T2825" s="9">
        <v>45108</v>
      </c>
      <c r="U2825" s="9">
        <v>45473</v>
      </c>
      <c r="V2825">
        <f>SUM(POTABLE_NONPOTABLE_API[[#This Row],[RESIDENTIAL_SINGLEFAMILY_GAL]:[OTHER_GAL]])</f>
        <v>96605045.969999999</v>
      </c>
      <c r="W2825">
        <f>SUM(POTABLE_NONPOTABLE_API[[#This Row],[NONPOTABLE_DEMAND_RESIDENTIAL_RECYCLED_WATER_GAL]:[NONPOTABLE_DEMAND_NONRESIDENTIAL_METERED_IRRIGATION_GAL]])</f>
        <v>0</v>
      </c>
      <c r="X2825" t="str">
        <f>IFERROR(INDEX(Crosswalk_API!$H$2:$H$527, MATCH(POTABLE_NONPOTABLE_API[[#This Row],[PWSID]], CW_PWSID_LIST, 0)), "")</f>
        <v>No</v>
      </c>
    </row>
    <row r="2826" spans="1:24" x14ac:dyDescent="0.25">
      <c r="A2826" t="s">
        <v>1563</v>
      </c>
      <c r="B2826" t="s">
        <v>1564</v>
      </c>
      <c r="C2826" t="s">
        <v>1565</v>
      </c>
      <c r="D2826" t="s">
        <v>1566</v>
      </c>
      <c r="E2826" s="9">
        <v>45231</v>
      </c>
      <c r="F2826" s="9">
        <v>45260</v>
      </c>
      <c r="G2826">
        <v>52875841.770000003</v>
      </c>
      <c r="H2826">
        <v>22809570</v>
      </c>
      <c r="I2826">
        <v>8667636.5999999996</v>
      </c>
      <c r="J2826">
        <v>1140478.5</v>
      </c>
      <c r="K2826">
        <v>0</v>
      </c>
      <c r="L2826">
        <v>1303404</v>
      </c>
      <c r="M2826">
        <v>0</v>
      </c>
      <c r="T2826" s="9">
        <v>45108</v>
      </c>
      <c r="U2826" s="9">
        <v>45473</v>
      </c>
      <c r="V2826">
        <f>SUM(POTABLE_NONPOTABLE_API[[#This Row],[RESIDENTIAL_SINGLEFAMILY_GAL]:[OTHER_GAL]])</f>
        <v>86796930.870000005</v>
      </c>
      <c r="W2826">
        <f>SUM(POTABLE_NONPOTABLE_API[[#This Row],[NONPOTABLE_DEMAND_RESIDENTIAL_RECYCLED_WATER_GAL]:[NONPOTABLE_DEMAND_NONRESIDENTIAL_METERED_IRRIGATION_GAL]])</f>
        <v>0</v>
      </c>
      <c r="X2826" t="str">
        <f>IFERROR(INDEX(Crosswalk_API!$H$2:$H$527, MATCH(POTABLE_NONPOTABLE_API[[#This Row],[PWSID]], CW_PWSID_LIST, 0)), "")</f>
        <v>No</v>
      </c>
    </row>
    <row r="2827" spans="1:24" x14ac:dyDescent="0.25">
      <c r="A2827" t="s">
        <v>1563</v>
      </c>
      <c r="B2827" t="s">
        <v>1564</v>
      </c>
      <c r="C2827" t="s">
        <v>1565</v>
      </c>
      <c r="D2827" t="s">
        <v>1566</v>
      </c>
      <c r="E2827" s="9">
        <v>45261</v>
      </c>
      <c r="F2827" s="9">
        <v>45291</v>
      </c>
      <c r="G2827">
        <v>47900097</v>
      </c>
      <c r="H2827">
        <v>20430857.699999999</v>
      </c>
      <c r="I2827">
        <v>7853009.1000000006</v>
      </c>
      <c r="J2827">
        <v>1019913.63</v>
      </c>
      <c r="K2827">
        <v>0</v>
      </c>
      <c r="L2827">
        <v>1176322.1099999999</v>
      </c>
      <c r="M2827">
        <v>0</v>
      </c>
      <c r="T2827" s="9">
        <v>45108</v>
      </c>
      <c r="U2827" s="9">
        <v>45473</v>
      </c>
      <c r="V2827">
        <f>SUM(POTABLE_NONPOTABLE_API[[#This Row],[RESIDENTIAL_SINGLEFAMILY_GAL]:[OTHER_GAL]])</f>
        <v>78380199.539999992</v>
      </c>
      <c r="W2827">
        <f>SUM(POTABLE_NONPOTABLE_API[[#This Row],[NONPOTABLE_DEMAND_RESIDENTIAL_RECYCLED_WATER_GAL]:[NONPOTABLE_DEMAND_NONRESIDENTIAL_METERED_IRRIGATION_GAL]])</f>
        <v>0</v>
      </c>
      <c r="X2827" t="str">
        <f>IFERROR(INDEX(Crosswalk_API!$H$2:$H$527, MATCH(POTABLE_NONPOTABLE_API[[#This Row],[PWSID]], CW_PWSID_LIST, 0)), "")</f>
        <v>No</v>
      </c>
    </row>
    <row r="2828" spans="1:24" x14ac:dyDescent="0.25">
      <c r="A2828" t="s">
        <v>1563</v>
      </c>
      <c r="B2828" t="s">
        <v>1564</v>
      </c>
      <c r="C2828" t="s">
        <v>1565</v>
      </c>
      <c r="D2828" t="s">
        <v>1566</v>
      </c>
      <c r="E2828" s="9">
        <v>45292</v>
      </c>
      <c r="F2828" s="9">
        <v>45322</v>
      </c>
      <c r="G2828">
        <v>41513417.399999999</v>
      </c>
      <c r="H2828">
        <v>17693709.300000001</v>
      </c>
      <c r="I2828">
        <v>6842871</v>
      </c>
      <c r="J2828">
        <v>879797.70000000007</v>
      </c>
      <c r="K2828">
        <v>0</v>
      </c>
      <c r="L2828">
        <v>1042723.2000000001</v>
      </c>
      <c r="M2828">
        <v>0</v>
      </c>
      <c r="T2828" s="9">
        <v>45108</v>
      </c>
      <c r="U2828" s="9">
        <v>45473</v>
      </c>
      <c r="V2828">
        <f>SUM(POTABLE_NONPOTABLE_API[[#This Row],[RESIDENTIAL_SINGLEFAMILY_GAL]:[OTHER_GAL]])</f>
        <v>67972518.600000009</v>
      </c>
      <c r="W2828">
        <f>SUM(POTABLE_NONPOTABLE_API[[#This Row],[NONPOTABLE_DEMAND_RESIDENTIAL_RECYCLED_WATER_GAL]:[NONPOTABLE_DEMAND_NONRESIDENTIAL_METERED_IRRIGATION_GAL]])</f>
        <v>0</v>
      </c>
      <c r="X2828" t="str">
        <f>IFERROR(INDEX(Crosswalk_API!$H$2:$H$527, MATCH(POTABLE_NONPOTABLE_API[[#This Row],[PWSID]], CW_PWSID_LIST, 0)), "")</f>
        <v>No</v>
      </c>
    </row>
    <row r="2829" spans="1:24" x14ac:dyDescent="0.25">
      <c r="A2829" t="s">
        <v>1563</v>
      </c>
      <c r="B2829" t="s">
        <v>1564</v>
      </c>
      <c r="C2829" t="s">
        <v>1565</v>
      </c>
      <c r="D2829" t="s">
        <v>1566</v>
      </c>
      <c r="E2829" s="9">
        <v>45323</v>
      </c>
      <c r="F2829" s="9">
        <v>45351</v>
      </c>
      <c r="G2829">
        <v>40210013.399999999</v>
      </c>
      <c r="H2829">
        <v>17139762.600000001</v>
      </c>
      <c r="I2829">
        <v>6582190.2000000002</v>
      </c>
      <c r="J2829">
        <v>847212.6</v>
      </c>
      <c r="K2829">
        <v>0</v>
      </c>
      <c r="L2829">
        <v>977553</v>
      </c>
      <c r="M2829">
        <v>0</v>
      </c>
      <c r="T2829" s="9">
        <v>45108</v>
      </c>
      <c r="U2829" s="9">
        <v>45473</v>
      </c>
      <c r="V2829">
        <f>SUM(POTABLE_NONPOTABLE_API[[#This Row],[RESIDENTIAL_SINGLEFAMILY_GAL]:[OTHER_GAL]])</f>
        <v>65756731.800000004</v>
      </c>
      <c r="W2829">
        <f>SUM(POTABLE_NONPOTABLE_API[[#This Row],[NONPOTABLE_DEMAND_RESIDENTIAL_RECYCLED_WATER_GAL]:[NONPOTABLE_DEMAND_NONRESIDENTIAL_METERED_IRRIGATION_GAL]])</f>
        <v>0</v>
      </c>
      <c r="X2829" t="str">
        <f>IFERROR(INDEX(Crosswalk_API!$H$2:$H$527, MATCH(POTABLE_NONPOTABLE_API[[#This Row],[PWSID]], CW_PWSID_LIST, 0)), "")</f>
        <v>No</v>
      </c>
    </row>
    <row r="2830" spans="1:24" x14ac:dyDescent="0.25">
      <c r="A2830" t="s">
        <v>1563</v>
      </c>
      <c r="B2830" t="s">
        <v>1564</v>
      </c>
      <c r="C2830" t="s">
        <v>1565</v>
      </c>
      <c r="D2830" t="s">
        <v>1566</v>
      </c>
      <c r="E2830" s="9">
        <v>45352</v>
      </c>
      <c r="F2830" s="9">
        <v>45382</v>
      </c>
      <c r="G2830">
        <v>38026811.700000003</v>
      </c>
      <c r="H2830">
        <v>16292550</v>
      </c>
      <c r="I2830">
        <v>6191169</v>
      </c>
      <c r="J2830">
        <v>814627.5</v>
      </c>
      <c r="K2830">
        <v>0</v>
      </c>
      <c r="L2830">
        <v>944967.9</v>
      </c>
      <c r="M2830">
        <v>0</v>
      </c>
      <c r="T2830" s="9">
        <v>45108</v>
      </c>
      <c r="U2830" s="9">
        <v>45473</v>
      </c>
      <c r="V2830">
        <f>SUM(POTABLE_NONPOTABLE_API[[#This Row],[RESIDENTIAL_SINGLEFAMILY_GAL]:[OTHER_GAL]])</f>
        <v>62270126.100000001</v>
      </c>
      <c r="W2830">
        <f>SUM(POTABLE_NONPOTABLE_API[[#This Row],[NONPOTABLE_DEMAND_RESIDENTIAL_RECYCLED_WATER_GAL]:[NONPOTABLE_DEMAND_NONRESIDENTIAL_METERED_IRRIGATION_GAL]])</f>
        <v>0</v>
      </c>
      <c r="X2830" t="str">
        <f>IFERROR(INDEX(Crosswalk_API!$H$2:$H$527, MATCH(POTABLE_NONPOTABLE_API[[#This Row],[PWSID]], CW_PWSID_LIST, 0)), "")</f>
        <v>No</v>
      </c>
    </row>
    <row r="2831" spans="1:24" x14ac:dyDescent="0.25">
      <c r="A2831" t="s">
        <v>1563</v>
      </c>
      <c r="B2831" t="s">
        <v>1564</v>
      </c>
      <c r="C2831" t="s">
        <v>1565</v>
      </c>
      <c r="D2831" t="s">
        <v>1566</v>
      </c>
      <c r="E2831" s="9">
        <v>45383</v>
      </c>
      <c r="F2831" s="9">
        <v>45412</v>
      </c>
      <c r="G2831">
        <v>44217980.699999996</v>
      </c>
      <c r="H2831">
        <v>18834187.800000001</v>
      </c>
      <c r="I2831">
        <v>7233892.2000000002</v>
      </c>
      <c r="J2831">
        <v>977553</v>
      </c>
      <c r="K2831">
        <v>0</v>
      </c>
      <c r="L2831">
        <v>1107893.3999999999</v>
      </c>
      <c r="M2831">
        <v>0</v>
      </c>
      <c r="T2831" s="9">
        <v>45108</v>
      </c>
      <c r="U2831" s="9">
        <v>45473</v>
      </c>
      <c r="V2831">
        <f>SUM(POTABLE_NONPOTABLE_API[[#This Row],[RESIDENTIAL_SINGLEFAMILY_GAL]:[OTHER_GAL]])</f>
        <v>72371507.100000009</v>
      </c>
      <c r="W2831">
        <f>SUM(POTABLE_NONPOTABLE_API[[#This Row],[NONPOTABLE_DEMAND_RESIDENTIAL_RECYCLED_WATER_GAL]:[NONPOTABLE_DEMAND_NONRESIDENTIAL_METERED_IRRIGATION_GAL]])</f>
        <v>0</v>
      </c>
      <c r="X2831" t="str">
        <f>IFERROR(INDEX(Crosswalk_API!$H$2:$H$527, MATCH(POTABLE_NONPOTABLE_API[[#This Row],[PWSID]], CW_PWSID_LIST, 0)), "")</f>
        <v>No</v>
      </c>
    </row>
    <row r="2832" spans="1:24" x14ac:dyDescent="0.25">
      <c r="A2832" t="s">
        <v>1563</v>
      </c>
      <c r="B2832" t="s">
        <v>1564</v>
      </c>
      <c r="C2832" t="s">
        <v>1565</v>
      </c>
      <c r="D2832" t="s">
        <v>1566</v>
      </c>
      <c r="E2832" s="9">
        <v>45413</v>
      </c>
      <c r="F2832" s="9">
        <v>45443</v>
      </c>
      <c r="G2832">
        <v>57577871.699999996</v>
      </c>
      <c r="H2832">
        <v>24536580.300000001</v>
      </c>
      <c r="I2832">
        <v>9449679</v>
      </c>
      <c r="J2832">
        <v>1101376.3799999999</v>
      </c>
      <c r="K2832">
        <v>0</v>
      </c>
      <c r="L2832">
        <v>1433744.4000000001</v>
      </c>
      <c r="M2832">
        <v>0</v>
      </c>
      <c r="T2832" s="9">
        <v>45108</v>
      </c>
      <c r="U2832" s="9">
        <v>45473</v>
      </c>
      <c r="V2832">
        <f>SUM(POTABLE_NONPOTABLE_API[[#This Row],[RESIDENTIAL_SINGLEFAMILY_GAL]:[OTHER_GAL]])</f>
        <v>94099251.780000001</v>
      </c>
      <c r="W2832">
        <f>SUM(POTABLE_NONPOTABLE_API[[#This Row],[NONPOTABLE_DEMAND_RESIDENTIAL_RECYCLED_WATER_GAL]:[NONPOTABLE_DEMAND_NONRESIDENTIAL_METERED_IRRIGATION_GAL]])</f>
        <v>0</v>
      </c>
      <c r="X2832" t="str">
        <f>IFERROR(INDEX(Crosswalk_API!$H$2:$H$527, MATCH(POTABLE_NONPOTABLE_API[[#This Row],[PWSID]], CW_PWSID_LIST, 0)), "")</f>
        <v>No</v>
      </c>
    </row>
    <row r="2833" spans="1:24" x14ac:dyDescent="0.25">
      <c r="A2833" t="s">
        <v>1563</v>
      </c>
      <c r="B2833" t="s">
        <v>1564</v>
      </c>
      <c r="C2833" t="s">
        <v>1565</v>
      </c>
      <c r="D2833" t="s">
        <v>1566</v>
      </c>
      <c r="E2833" s="9">
        <v>45444</v>
      </c>
      <c r="F2833" s="9">
        <v>45473</v>
      </c>
      <c r="G2833">
        <v>65780055</v>
      </c>
      <c r="H2833">
        <v>28053259</v>
      </c>
      <c r="I2833">
        <v>10748375</v>
      </c>
      <c r="J2833">
        <v>1289805</v>
      </c>
      <c r="K2833">
        <v>0</v>
      </c>
      <c r="L2833">
        <v>1612256</v>
      </c>
      <c r="M2833">
        <v>0</v>
      </c>
      <c r="T2833" s="9">
        <v>45108</v>
      </c>
      <c r="U2833" s="9">
        <v>45473</v>
      </c>
      <c r="V2833">
        <f>SUM(POTABLE_NONPOTABLE_API[[#This Row],[RESIDENTIAL_SINGLEFAMILY_GAL]:[OTHER_GAL]])</f>
        <v>107483750</v>
      </c>
      <c r="W2833">
        <f>SUM(POTABLE_NONPOTABLE_API[[#This Row],[NONPOTABLE_DEMAND_RESIDENTIAL_RECYCLED_WATER_GAL]:[NONPOTABLE_DEMAND_NONRESIDENTIAL_METERED_IRRIGATION_GAL]])</f>
        <v>0</v>
      </c>
      <c r="X2833" t="str">
        <f>IFERROR(INDEX(Crosswalk_API!$H$2:$H$527, MATCH(POTABLE_NONPOTABLE_API[[#This Row],[PWSID]], CW_PWSID_LIST, 0)), "")</f>
        <v>No</v>
      </c>
    </row>
    <row r="2834" spans="1:24" x14ac:dyDescent="0.25">
      <c r="A2834" t="s">
        <v>1567</v>
      </c>
      <c r="B2834" t="s">
        <v>1568</v>
      </c>
      <c r="C2834" t="s">
        <v>1569</v>
      </c>
      <c r="D2834" t="s">
        <v>1570</v>
      </c>
      <c r="E2834" s="9">
        <v>45108</v>
      </c>
      <c r="F2834" s="9">
        <v>45138</v>
      </c>
      <c r="G2834">
        <v>135535356</v>
      </c>
      <c r="H2834">
        <v>9460704</v>
      </c>
      <c r="I2834">
        <v>18318520</v>
      </c>
      <c r="J2834">
        <v>11796708</v>
      </c>
      <c r="K2834">
        <v>0</v>
      </c>
      <c r="L2834">
        <v>6732</v>
      </c>
      <c r="M2834">
        <v>0</v>
      </c>
      <c r="N2834">
        <v>0</v>
      </c>
      <c r="O2834">
        <v>0</v>
      </c>
      <c r="P2834">
        <v>0</v>
      </c>
      <c r="Q2834">
        <v>30440608</v>
      </c>
      <c r="R2834">
        <v>0</v>
      </c>
      <c r="S2834">
        <v>0</v>
      </c>
      <c r="T2834" s="9">
        <v>45108</v>
      </c>
      <c r="U2834" s="9">
        <v>45473</v>
      </c>
      <c r="V2834">
        <f>SUM(POTABLE_NONPOTABLE_API[[#This Row],[RESIDENTIAL_SINGLEFAMILY_GAL]:[OTHER_GAL]])</f>
        <v>175118020</v>
      </c>
      <c r="W2834">
        <f>SUM(POTABLE_NONPOTABLE_API[[#This Row],[NONPOTABLE_DEMAND_RESIDENTIAL_RECYCLED_WATER_GAL]:[NONPOTABLE_DEMAND_NONRESIDENTIAL_METERED_IRRIGATION_GAL]])</f>
        <v>30440608</v>
      </c>
      <c r="X2834" t="str">
        <f>IFERROR(INDEX(Crosswalk_API!$H$2:$H$527, MATCH(POTABLE_NONPOTABLE_API[[#This Row],[PWSID]], CW_PWSID_LIST, 0)), "")</f>
        <v>No</v>
      </c>
    </row>
    <row r="2835" spans="1:24" x14ac:dyDescent="0.25">
      <c r="A2835" t="s">
        <v>1567</v>
      </c>
      <c r="B2835" t="s">
        <v>1568</v>
      </c>
      <c r="C2835" t="s">
        <v>1569</v>
      </c>
      <c r="D2835" t="s">
        <v>1570</v>
      </c>
      <c r="E2835" s="9">
        <v>45139</v>
      </c>
      <c r="F2835" s="9">
        <v>45169</v>
      </c>
      <c r="G2835">
        <v>131505132</v>
      </c>
      <c r="H2835">
        <v>3306160</v>
      </c>
      <c r="I2835">
        <v>22509564</v>
      </c>
      <c r="J2835">
        <v>12988272</v>
      </c>
      <c r="K2835">
        <v>0</v>
      </c>
      <c r="L2835">
        <v>20196</v>
      </c>
      <c r="M2835">
        <v>0</v>
      </c>
      <c r="N2835">
        <v>0</v>
      </c>
      <c r="O2835">
        <v>0</v>
      </c>
      <c r="Q2835">
        <v>12988272</v>
      </c>
      <c r="R2835">
        <v>0</v>
      </c>
      <c r="S2835">
        <v>0</v>
      </c>
      <c r="T2835" s="9">
        <v>45108</v>
      </c>
      <c r="U2835" s="9">
        <v>45473</v>
      </c>
      <c r="V2835">
        <f>SUM(POTABLE_NONPOTABLE_API[[#This Row],[RESIDENTIAL_SINGLEFAMILY_GAL]:[OTHER_GAL]])</f>
        <v>170329324</v>
      </c>
      <c r="W2835">
        <f>SUM(POTABLE_NONPOTABLE_API[[#This Row],[NONPOTABLE_DEMAND_RESIDENTIAL_RECYCLED_WATER_GAL]:[NONPOTABLE_DEMAND_NONRESIDENTIAL_METERED_IRRIGATION_GAL]])</f>
        <v>12988272</v>
      </c>
      <c r="X2835" t="str">
        <f>IFERROR(INDEX(Crosswalk_API!$H$2:$H$527, MATCH(POTABLE_NONPOTABLE_API[[#This Row],[PWSID]], CW_PWSID_LIST, 0)), "")</f>
        <v>No</v>
      </c>
    </row>
    <row r="2836" spans="1:24" x14ac:dyDescent="0.25">
      <c r="A2836" t="s">
        <v>1567</v>
      </c>
      <c r="B2836" t="s">
        <v>1568</v>
      </c>
      <c r="C2836" t="s">
        <v>1569</v>
      </c>
      <c r="D2836" t="s">
        <v>1570</v>
      </c>
      <c r="E2836" s="9">
        <v>45170</v>
      </c>
      <c r="F2836" s="9">
        <v>45199</v>
      </c>
      <c r="G2836">
        <v>132683980</v>
      </c>
      <c r="H2836">
        <v>11087604</v>
      </c>
      <c r="I2836">
        <v>26337828</v>
      </c>
      <c r="J2836">
        <v>11003828</v>
      </c>
      <c r="K2836">
        <v>0</v>
      </c>
      <c r="L2836">
        <v>66572</v>
      </c>
      <c r="M2836">
        <v>0</v>
      </c>
      <c r="N2836">
        <v>0</v>
      </c>
      <c r="O2836">
        <v>0</v>
      </c>
      <c r="P2836">
        <v>0</v>
      </c>
      <c r="Q2836">
        <v>13159730</v>
      </c>
      <c r="R2836">
        <v>0</v>
      </c>
      <c r="S2836">
        <v>0</v>
      </c>
      <c r="T2836" s="9">
        <v>45108</v>
      </c>
      <c r="U2836" s="9">
        <v>45473</v>
      </c>
      <c r="V2836">
        <f>SUM(POTABLE_NONPOTABLE_API[[#This Row],[RESIDENTIAL_SINGLEFAMILY_GAL]:[OTHER_GAL]])</f>
        <v>181179812</v>
      </c>
      <c r="W2836">
        <f>SUM(POTABLE_NONPOTABLE_API[[#This Row],[NONPOTABLE_DEMAND_RESIDENTIAL_RECYCLED_WATER_GAL]:[NONPOTABLE_DEMAND_NONRESIDENTIAL_METERED_IRRIGATION_GAL]])</f>
        <v>13159730</v>
      </c>
      <c r="X2836" t="str">
        <f>IFERROR(INDEX(Crosswalk_API!$H$2:$H$527, MATCH(POTABLE_NONPOTABLE_API[[#This Row],[PWSID]], CW_PWSID_LIST, 0)), "")</f>
        <v>No</v>
      </c>
    </row>
    <row r="2837" spans="1:24" x14ac:dyDescent="0.25">
      <c r="A2837" t="s">
        <v>1567</v>
      </c>
      <c r="B2837" t="s">
        <v>1568</v>
      </c>
      <c r="C2837" t="s">
        <v>1569</v>
      </c>
      <c r="D2837" t="s">
        <v>1570</v>
      </c>
      <c r="E2837" s="9">
        <v>45200</v>
      </c>
      <c r="F2837" s="9">
        <v>45230</v>
      </c>
      <c r="G2837">
        <v>130110860</v>
      </c>
      <c r="H2837">
        <v>3968888</v>
      </c>
      <c r="I2837">
        <v>24144692</v>
      </c>
      <c r="J2837">
        <v>14109524</v>
      </c>
      <c r="K2837">
        <v>0</v>
      </c>
      <c r="L2837">
        <v>52360</v>
      </c>
      <c r="M2837">
        <v>0</v>
      </c>
      <c r="N2837">
        <v>0</v>
      </c>
      <c r="O2837">
        <v>0</v>
      </c>
      <c r="P2837">
        <v>0</v>
      </c>
      <c r="Q2837">
        <v>22440</v>
      </c>
      <c r="R2837">
        <v>0</v>
      </c>
      <c r="S2837">
        <v>0</v>
      </c>
      <c r="T2837" s="9">
        <v>45108</v>
      </c>
      <c r="U2837" s="9">
        <v>45473</v>
      </c>
      <c r="V2837">
        <f>SUM(POTABLE_NONPOTABLE_API[[#This Row],[RESIDENTIAL_SINGLEFAMILY_GAL]:[OTHER_GAL]])</f>
        <v>172386324</v>
      </c>
      <c r="W2837">
        <f>SUM(POTABLE_NONPOTABLE_API[[#This Row],[NONPOTABLE_DEMAND_RESIDENTIAL_RECYCLED_WATER_GAL]:[NONPOTABLE_DEMAND_NONRESIDENTIAL_METERED_IRRIGATION_GAL]])</f>
        <v>22440</v>
      </c>
      <c r="X2837" t="str">
        <f>IFERROR(INDEX(Crosswalk_API!$H$2:$H$527, MATCH(POTABLE_NONPOTABLE_API[[#This Row],[PWSID]], CW_PWSID_LIST, 0)), "")</f>
        <v>No</v>
      </c>
    </row>
    <row r="2838" spans="1:24" x14ac:dyDescent="0.25">
      <c r="A2838" t="s">
        <v>1567</v>
      </c>
      <c r="B2838" t="s">
        <v>1568</v>
      </c>
      <c r="C2838" t="s">
        <v>1569</v>
      </c>
      <c r="D2838" t="s">
        <v>1570</v>
      </c>
      <c r="E2838" s="9">
        <v>45231</v>
      </c>
      <c r="F2838" s="9">
        <v>45260</v>
      </c>
      <c r="G2838">
        <v>132867988</v>
      </c>
      <c r="H2838">
        <v>9328308</v>
      </c>
      <c r="I2838">
        <v>26015440</v>
      </c>
      <c r="J2838">
        <v>10519124</v>
      </c>
      <c r="K2838">
        <v>0</v>
      </c>
      <c r="L2838">
        <v>16456</v>
      </c>
      <c r="M2838">
        <v>0</v>
      </c>
      <c r="N2838">
        <v>0</v>
      </c>
      <c r="O2838">
        <v>0</v>
      </c>
      <c r="P2838">
        <v>0</v>
      </c>
      <c r="Q2838">
        <v>261800</v>
      </c>
      <c r="R2838">
        <v>0</v>
      </c>
      <c r="T2838" s="9">
        <v>45108</v>
      </c>
      <c r="U2838" s="9">
        <v>45473</v>
      </c>
      <c r="V2838">
        <f>SUM(POTABLE_NONPOTABLE_API[[#This Row],[RESIDENTIAL_SINGLEFAMILY_GAL]:[OTHER_GAL]])</f>
        <v>178747316</v>
      </c>
      <c r="W2838">
        <f>SUM(POTABLE_NONPOTABLE_API[[#This Row],[NONPOTABLE_DEMAND_RESIDENTIAL_RECYCLED_WATER_GAL]:[NONPOTABLE_DEMAND_NONRESIDENTIAL_METERED_IRRIGATION_GAL]])</f>
        <v>261800</v>
      </c>
      <c r="X2838" t="str">
        <f>IFERROR(INDEX(Crosswalk_API!$H$2:$H$527, MATCH(POTABLE_NONPOTABLE_API[[#This Row],[PWSID]], CW_PWSID_LIST, 0)), "")</f>
        <v>No</v>
      </c>
    </row>
    <row r="2839" spans="1:24" x14ac:dyDescent="0.25">
      <c r="A2839" t="s">
        <v>1567</v>
      </c>
      <c r="B2839" t="s">
        <v>1568</v>
      </c>
      <c r="C2839" t="s">
        <v>1569</v>
      </c>
      <c r="D2839" t="s">
        <v>1570</v>
      </c>
      <c r="E2839" s="9">
        <v>45261</v>
      </c>
      <c r="F2839" s="9">
        <v>45291</v>
      </c>
      <c r="G2839">
        <v>107170448</v>
      </c>
      <c r="H2839">
        <v>3082508</v>
      </c>
      <c r="I2839">
        <v>17248132</v>
      </c>
      <c r="J2839">
        <v>7451576</v>
      </c>
      <c r="K2839">
        <v>0</v>
      </c>
      <c r="L2839">
        <v>23188</v>
      </c>
      <c r="M2839">
        <v>0</v>
      </c>
      <c r="N2839">
        <v>0</v>
      </c>
      <c r="O2839">
        <v>0</v>
      </c>
      <c r="Q2839">
        <v>22318076</v>
      </c>
      <c r="R2839">
        <v>0</v>
      </c>
      <c r="T2839" s="9">
        <v>45108</v>
      </c>
      <c r="U2839" s="9">
        <v>45473</v>
      </c>
      <c r="V2839">
        <f>SUM(POTABLE_NONPOTABLE_API[[#This Row],[RESIDENTIAL_SINGLEFAMILY_GAL]:[OTHER_GAL]])</f>
        <v>134975852</v>
      </c>
      <c r="W2839">
        <f>SUM(POTABLE_NONPOTABLE_API[[#This Row],[NONPOTABLE_DEMAND_RESIDENTIAL_RECYCLED_WATER_GAL]:[NONPOTABLE_DEMAND_NONRESIDENTIAL_METERED_IRRIGATION_GAL]])</f>
        <v>22318076</v>
      </c>
      <c r="X2839" t="str">
        <f>IFERROR(INDEX(Crosswalk_API!$H$2:$H$527, MATCH(POTABLE_NONPOTABLE_API[[#This Row],[PWSID]], CW_PWSID_LIST, 0)), "")</f>
        <v>No</v>
      </c>
    </row>
    <row r="2840" spans="1:24" x14ac:dyDescent="0.25">
      <c r="A2840" t="s">
        <v>1567</v>
      </c>
      <c r="B2840" t="s">
        <v>1568</v>
      </c>
      <c r="C2840" t="s">
        <v>1569</v>
      </c>
      <c r="D2840" t="s">
        <v>1570</v>
      </c>
      <c r="E2840" s="9">
        <v>45292</v>
      </c>
      <c r="F2840" s="9">
        <v>45322</v>
      </c>
      <c r="G2840">
        <v>163337020</v>
      </c>
      <c r="H2840">
        <v>9900528</v>
      </c>
      <c r="I2840">
        <v>31457140</v>
      </c>
      <c r="J2840">
        <v>10311928</v>
      </c>
      <c r="K2840">
        <v>0</v>
      </c>
      <c r="L2840">
        <v>50116</v>
      </c>
      <c r="M2840">
        <v>0</v>
      </c>
      <c r="N2840">
        <v>0</v>
      </c>
      <c r="O2840">
        <v>0</v>
      </c>
      <c r="P2840">
        <v>0</v>
      </c>
      <c r="Q2840">
        <v>8755340</v>
      </c>
      <c r="R2840">
        <v>0</v>
      </c>
      <c r="S2840">
        <v>0</v>
      </c>
      <c r="T2840" s="9">
        <v>45108</v>
      </c>
      <c r="U2840" s="9">
        <v>45473</v>
      </c>
      <c r="V2840">
        <f>SUM(POTABLE_NONPOTABLE_API[[#This Row],[RESIDENTIAL_SINGLEFAMILY_GAL]:[OTHER_GAL]])</f>
        <v>215056732</v>
      </c>
      <c r="W2840">
        <f>SUM(POTABLE_NONPOTABLE_API[[#This Row],[NONPOTABLE_DEMAND_RESIDENTIAL_RECYCLED_WATER_GAL]:[NONPOTABLE_DEMAND_NONRESIDENTIAL_METERED_IRRIGATION_GAL]])</f>
        <v>8755340</v>
      </c>
      <c r="X2840" t="str">
        <f>IFERROR(INDEX(Crosswalk_API!$H$2:$H$527, MATCH(POTABLE_NONPOTABLE_API[[#This Row],[PWSID]], CW_PWSID_LIST, 0)), "")</f>
        <v>No</v>
      </c>
    </row>
    <row r="2841" spans="1:24" x14ac:dyDescent="0.25">
      <c r="A2841" t="s">
        <v>1567</v>
      </c>
      <c r="B2841" t="s">
        <v>1568</v>
      </c>
      <c r="C2841" t="s">
        <v>1569</v>
      </c>
      <c r="D2841" t="s">
        <v>1570</v>
      </c>
      <c r="E2841" s="9">
        <v>45323</v>
      </c>
      <c r="F2841" s="9">
        <v>45351</v>
      </c>
      <c r="G2841">
        <v>93185840</v>
      </c>
      <c r="H2841">
        <v>7028956</v>
      </c>
      <c r="I2841">
        <v>13172280</v>
      </c>
      <c r="J2841">
        <v>2760120</v>
      </c>
      <c r="K2841">
        <v>0</v>
      </c>
      <c r="L2841">
        <v>71808</v>
      </c>
      <c r="M2841">
        <v>0</v>
      </c>
      <c r="N2841">
        <v>0</v>
      </c>
      <c r="O2841">
        <v>0</v>
      </c>
      <c r="Q2841">
        <v>0</v>
      </c>
      <c r="R2841">
        <v>0</v>
      </c>
      <c r="T2841" s="9">
        <v>45108</v>
      </c>
      <c r="U2841" s="9">
        <v>45473</v>
      </c>
      <c r="V2841">
        <f>SUM(POTABLE_NONPOTABLE_API[[#This Row],[RESIDENTIAL_SINGLEFAMILY_GAL]:[OTHER_GAL]])</f>
        <v>116219004</v>
      </c>
      <c r="W2841">
        <f>SUM(POTABLE_NONPOTABLE_API[[#This Row],[NONPOTABLE_DEMAND_RESIDENTIAL_RECYCLED_WATER_GAL]:[NONPOTABLE_DEMAND_NONRESIDENTIAL_METERED_IRRIGATION_GAL]])</f>
        <v>0</v>
      </c>
      <c r="X2841" t="str">
        <f>IFERROR(INDEX(Crosswalk_API!$H$2:$H$527, MATCH(POTABLE_NONPOTABLE_API[[#This Row],[PWSID]], CW_PWSID_LIST, 0)), "")</f>
        <v>No</v>
      </c>
    </row>
    <row r="2842" spans="1:24" x14ac:dyDescent="0.25">
      <c r="A2842" t="s">
        <v>1567</v>
      </c>
      <c r="B2842" t="s">
        <v>1568</v>
      </c>
      <c r="C2842" t="s">
        <v>1569</v>
      </c>
      <c r="D2842" t="s">
        <v>1570</v>
      </c>
      <c r="E2842" s="9">
        <v>45352</v>
      </c>
      <c r="F2842" s="9">
        <v>45382</v>
      </c>
      <c r="G2842">
        <v>100038268</v>
      </c>
      <c r="H2842">
        <v>4387020</v>
      </c>
      <c r="I2842">
        <v>20204228</v>
      </c>
      <c r="J2842">
        <v>4142424</v>
      </c>
      <c r="K2842">
        <v>0</v>
      </c>
      <c r="L2842">
        <v>20196</v>
      </c>
      <c r="M2842">
        <v>0</v>
      </c>
      <c r="N2842">
        <v>0</v>
      </c>
      <c r="O2842">
        <v>0</v>
      </c>
      <c r="Q2842">
        <v>0</v>
      </c>
      <c r="R2842">
        <v>0</v>
      </c>
      <c r="T2842" s="9">
        <v>45108</v>
      </c>
      <c r="U2842" s="9">
        <v>45473</v>
      </c>
      <c r="V2842">
        <f>SUM(POTABLE_NONPOTABLE_API[[#This Row],[RESIDENTIAL_SINGLEFAMILY_GAL]:[OTHER_GAL]])</f>
        <v>128792136</v>
      </c>
      <c r="W2842">
        <f>SUM(POTABLE_NONPOTABLE_API[[#This Row],[NONPOTABLE_DEMAND_RESIDENTIAL_RECYCLED_WATER_GAL]:[NONPOTABLE_DEMAND_NONRESIDENTIAL_METERED_IRRIGATION_GAL]])</f>
        <v>0</v>
      </c>
      <c r="X2842" t="str">
        <f>IFERROR(INDEX(Crosswalk_API!$H$2:$H$527, MATCH(POTABLE_NONPOTABLE_API[[#This Row],[PWSID]], CW_PWSID_LIST, 0)), "")</f>
        <v>No</v>
      </c>
    </row>
    <row r="2843" spans="1:24" x14ac:dyDescent="0.25">
      <c r="A2843" t="s">
        <v>1567</v>
      </c>
      <c r="B2843" t="s">
        <v>1568</v>
      </c>
      <c r="C2843" t="s">
        <v>1569</v>
      </c>
      <c r="D2843" t="s">
        <v>1570</v>
      </c>
      <c r="E2843" s="9">
        <v>45383</v>
      </c>
      <c r="F2843" s="9">
        <v>45412</v>
      </c>
      <c r="G2843">
        <v>54185868</v>
      </c>
      <c r="H2843">
        <v>2928420</v>
      </c>
      <c r="I2843">
        <v>7960216</v>
      </c>
      <c r="J2843">
        <v>1621664</v>
      </c>
      <c r="K2843">
        <v>0</v>
      </c>
      <c r="L2843">
        <v>56100</v>
      </c>
      <c r="M2843">
        <v>0</v>
      </c>
      <c r="N2843">
        <v>0</v>
      </c>
      <c r="O2843">
        <v>0</v>
      </c>
      <c r="P2843">
        <v>0</v>
      </c>
      <c r="Q2843">
        <v>5249464</v>
      </c>
      <c r="R2843">
        <v>0</v>
      </c>
      <c r="T2843" s="9">
        <v>45108</v>
      </c>
      <c r="U2843" s="9">
        <v>45473</v>
      </c>
      <c r="V2843">
        <f>SUM(POTABLE_NONPOTABLE_API[[#This Row],[RESIDENTIAL_SINGLEFAMILY_GAL]:[OTHER_GAL]])</f>
        <v>66752268</v>
      </c>
      <c r="W2843">
        <f>SUM(POTABLE_NONPOTABLE_API[[#This Row],[NONPOTABLE_DEMAND_RESIDENTIAL_RECYCLED_WATER_GAL]:[NONPOTABLE_DEMAND_NONRESIDENTIAL_METERED_IRRIGATION_GAL]])</f>
        <v>5249464</v>
      </c>
      <c r="X2843" t="str">
        <f>IFERROR(INDEX(Crosswalk_API!$H$2:$H$527, MATCH(POTABLE_NONPOTABLE_API[[#This Row],[PWSID]], CW_PWSID_LIST, 0)), "")</f>
        <v>No</v>
      </c>
    </row>
    <row r="2844" spans="1:24" x14ac:dyDescent="0.25">
      <c r="A2844" t="s">
        <v>1567</v>
      </c>
      <c r="B2844" t="s">
        <v>1568</v>
      </c>
      <c r="C2844" t="s">
        <v>1569</v>
      </c>
      <c r="D2844" t="s">
        <v>1570</v>
      </c>
      <c r="E2844" s="9">
        <v>45413</v>
      </c>
      <c r="F2844" s="9">
        <v>45443</v>
      </c>
      <c r="G2844">
        <v>162224744</v>
      </c>
      <c r="H2844">
        <v>9187684</v>
      </c>
      <c r="I2844">
        <v>31189356</v>
      </c>
      <c r="J2844">
        <v>10292480</v>
      </c>
      <c r="K2844">
        <v>0</v>
      </c>
      <c r="L2844">
        <v>44132</v>
      </c>
      <c r="M2844">
        <v>0</v>
      </c>
      <c r="N2844">
        <v>0</v>
      </c>
      <c r="O2844">
        <v>0</v>
      </c>
      <c r="P2844">
        <v>0</v>
      </c>
      <c r="Q2844">
        <v>18245964</v>
      </c>
      <c r="R2844">
        <v>0</v>
      </c>
      <c r="S2844">
        <v>0</v>
      </c>
      <c r="T2844" s="9">
        <v>45108</v>
      </c>
      <c r="U2844" s="9">
        <v>45473</v>
      </c>
      <c r="V2844">
        <f>SUM(POTABLE_NONPOTABLE_API[[#This Row],[RESIDENTIAL_SINGLEFAMILY_GAL]:[OTHER_GAL]])</f>
        <v>212938396</v>
      </c>
      <c r="W2844">
        <f>SUM(POTABLE_NONPOTABLE_API[[#This Row],[NONPOTABLE_DEMAND_RESIDENTIAL_RECYCLED_WATER_GAL]:[NONPOTABLE_DEMAND_NONRESIDENTIAL_METERED_IRRIGATION_GAL]])</f>
        <v>18245964</v>
      </c>
      <c r="X2844" t="str">
        <f>IFERROR(INDEX(Crosswalk_API!$H$2:$H$527, MATCH(POTABLE_NONPOTABLE_API[[#This Row],[PWSID]], CW_PWSID_LIST, 0)), "")</f>
        <v>No</v>
      </c>
    </row>
    <row r="2845" spans="1:24" x14ac:dyDescent="0.25">
      <c r="A2845" t="s">
        <v>1567</v>
      </c>
      <c r="B2845" t="s">
        <v>1568</v>
      </c>
      <c r="C2845" t="s">
        <v>1569</v>
      </c>
      <c r="D2845" t="s">
        <v>1570</v>
      </c>
      <c r="E2845" s="9">
        <v>45444</v>
      </c>
      <c r="F2845" s="9">
        <v>45473</v>
      </c>
      <c r="G2845">
        <v>120201356</v>
      </c>
      <c r="H2845">
        <v>7276544</v>
      </c>
      <c r="I2845">
        <v>15385612</v>
      </c>
      <c r="J2845">
        <v>7988640</v>
      </c>
      <c r="K2845">
        <v>0</v>
      </c>
      <c r="L2845">
        <v>68068</v>
      </c>
      <c r="M2845">
        <v>0</v>
      </c>
      <c r="N2845">
        <v>0</v>
      </c>
      <c r="O2845">
        <v>0</v>
      </c>
      <c r="P2845">
        <v>0</v>
      </c>
      <c r="Q2845">
        <v>17254116</v>
      </c>
      <c r="R2845">
        <v>0</v>
      </c>
      <c r="S2845">
        <v>0</v>
      </c>
      <c r="T2845" s="9">
        <v>45108</v>
      </c>
      <c r="U2845" s="9">
        <v>45473</v>
      </c>
      <c r="V2845">
        <f>SUM(POTABLE_NONPOTABLE_API[[#This Row],[RESIDENTIAL_SINGLEFAMILY_GAL]:[OTHER_GAL]])</f>
        <v>150920220</v>
      </c>
      <c r="W2845">
        <f>SUM(POTABLE_NONPOTABLE_API[[#This Row],[NONPOTABLE_DEMAND_RESIDENTIAL_RECYCLED_WATER_GAL]:[NONPOTABLE_DEMAND_NONRESIDENTIAL_METERED_IRRIGATION_GAL]])</f>
        <v>17254116</v>
      </c>
      <c r="X2845" t="str">
        <f>IFERROR(INDEX(Crosswalk_API!$H$2:$H$527, MATCH(POTABLE_NONPOTABLE_API[[#This Row],[PWSID]], CW_PWSID_LIST, 0)), "")</f>
        <v>No</v>
      </c>
    </row>
    <row r="2846" spans="1:24" x14ac:dyDescent="0.25">
      <c r="A2846" t="s">
        <v>1571</v>
      </c>
      <c r="B2846" t="s">
        <v>1572</v>
      </c>
      <c r="C2846" t="s">
        <v>1573</v>
      </c>
      <c r="D2846" t="s">
        <v>1574</v>
      </c>
      <c r="E2846" s="9">
        <v>45108</v>
      </c>
      <c r="F2846" s="9">
        <v>45138</v>
      </c>
      <c r="G2846">
        <v>50102278.804000005</v>
      </c>
      <c r="H2846">
        <v>15154037.416000001</v>
      </c>
      <c r="I2846">
        <v>22137102.835999999</v>
      </c>
      <c r="J2846">
        <v>0</v>
      </c>
      <c r="K2846">
        <v>28666100.692000002</v>
      </c>
      <c r="L2846">
        <v>0</v>
      </c>
      <c r="M2846">
        <v>0</v>
      </c>
      <c r="T2846" s="9">
        <v>45108</v>
      </c>
      <c r="U2846" s="9">
        <v>45473</v>
      </c>
      <c r="V2846">
        <f>SUM(POTABLE_NONPOTABLE_API[[#This Row],[RESIDENTIAL_SINGLEFAMILY_GAL]:[OTHER_GAL]])</f>
        <v>116059519.74800001</v>
      </c>
      <c r="W2846">
        <f>SUM(POTABLE_NONPOTABLE_API[[#This Row],[NONPOTABLE_DEMAND_RESIDENTIAL_RECYCLED_WATER_GAL]:[NONPOTABLE_DEMAND_NONRESIDENTIAL_METERED_IRRIGATION_GAL]])</f>
        <v>0</v>
      </c>
      <c r="X2846" t="str">
        <f>IFERROR(INDEX(Crosswalk_API!$H$2:$H$527, MATCH(POTABLE_NONPOTABLE_API[[#This Row],[PWSID]], CW_PWSID_LIST, 0)), "")</f>
        <v>No</v>
      </c>
    </row>
    <row r="2847" spans="1:24" x14ac:dyDescent="0.25">
      <c r="A2847" t="s">
        <v>1571</v>
      </c>
      <c r="B2847" t="s">
        <v>1572</v>
      </c>
      <c r="C2847" t="s">
        <v>1573</v>
      </c>
      <c r="D2847" t="s">
        <v>1574</v>
      </c>
      <c r="E2847" s="9">
        <v>45139</v>
      </c>
      <c r="F2847" s="9">
        <v>45169</v>
      </c>
      <c r="G2847">
        <v>51435307.468000002</v>
      </c>
      <c r="H2847">
        <v>16347180.356000001</v>
      </c>
      <c r="I2847">
        <v>25078443.300000001</v>
      </c>
      <c r="J2847">
        <v>0</v>
      </c>
      <c r="K2847">
        <v>24414173.124000002</v>
      </c>
      <c r="L2847">
        <v>0</v>
      </c>
      <c r="M2847">
        <v>0</v>
      </c>
      <c r="T2847" s="9">
        <v>45108</v>
      </c>
      <c r="U2847" s="9">
        <v>45473</v>
      </c>
      <c r="V2847">
        <f>SUM(POTABLE_NONPOTABLE_API[[#This Row],[RESIDENTIAL_SINGLEFAMILY_GAL]:[OTHER_GAL]])</f>
        <v>117275104.248</v>
      </c>
      <c r="W2847">
        <f>SUM(POTABLE_NONPOTABLE_API[[#This Row],[NONPOTABLE_DEMAND_RESIDENTIAL_RECYCLED_WATER_GAL]:[NONPOTABLE_DEMAND_NONRESIDENTIAL_METERED_IRRIGATION_GAL]])</f>
        <v>0</v>
      </c>
      <c r="X2847" t="str">
        <f>IFERROR(INDEX(Crosswalk_API!$H$2:$H$527, MATCH(POTABLE_NONPOTABLE_API[[#This Row],[PWSID]], CW_PWSID_LIST, 0)), "")</f>
        <v>No</v>
      </c>
    </row>
    <row r="2848" spans="1:24" x14ac:dyDescent="0.25">
      <c r="A2848" t="s">
        <v>1571</v>
      </c>
      <c r="B2848" t="s">
        <v>1572</v>
      </c>
      <c r="C2848" t="s">
        <v>1573</v>
      </c>
      <c r="D2848" t="s">
        <v>1574</v>
      </c>
      <c r="E2848" s="9">
        <v>45170</v>
      </c>
      <c r="F2848" s="9">
        <v>45199</v>
      </c>
      <c r="G2848">
        <v>38620428.656000003</v>
      </c>
      <c r="H2848">
        <v>12238130.720000001</v>
      </c>
      <c r="I2848">
        <v>18979575.344000001</v>
      </c>
      <c r="J2848">
        <v>0</v>
      </c>
      <c r="K2848">
        <v>22596406.764000002</v>
      </c>
      <c r="L2848">
        <v>0</v>
      </c>
      <c r="M2848">
        <v>0</v>
      </c>
      <c r="T2848" s="9">
        <v>45108</v>
      </c>
      <c r="U2848" s="9">
        <v>45473</v>
      </c>
      <c r="V2848">
        <f>SUM(POTABLE_NONPOTABLE_API[[#This Row],[RESIDENTIAL_SINGLEFAMILY_GAL]:[OTHER_GAL]])</f>
        <v>92434541.483999997</v>
      </c>
      <c r="W2848">
        <f>SUM(POTABLE_NONPOTABLE_API[[#This Row],[NONPOTABLE_DEMAND_RESIDENTIAL_RECYCLED_WATER_GAL]:[NONPOTABLE_DEMAND_NONRESIDENTIAL_METERED_IRRIGATION_GAL]])</f>
        <v>0</v>
      </c>
      <c r="X2848" t="str">
        <f>IFERROR(INDEX(Crosswalk_API!$H$2:$H$527, MATCH(POTABLE_NONPOTABLE_API[[#This Row],[PWSID]], CW_PWSID_LIST, 0)), "")</f>
        <v>No</v>
      </c>
    </row>
    <row r="2849" spans="1:24" x14ac:dyDescent="0.25">
      <c r="A2849" t="s">
        <v>1571</v>
      </c>
      <c r="B2849" t="s">
        <v>1572</v>
      </c>
      <c r="C2849" t="s">
        <v>1573</v>
      </c>
      <c r="D2849" t="s">
        <v>1574</v>
      </c>
      <c r="E2849" s="9">
        <v>45200</v>
      </c>
      <c r="F2849" s="9">
        <v>45230</v>
      </c>
      <c r="G2849">
        <v>34910090.736000001</v>
      </c>
      <c r="H2849">
        <v>11538702.1</v>
      </c>
      <c r="I2849">
        <v>17214172.624000002</v>
      </c>
      <c r="J2849">
        <v>0</v>
      </c>
      <c r="K2849">
        <v>20468198.824000001</v>
      </c>
      <c r="L2849">
        <v>0</v>
      </c>
      <c r="M2849">
        <v>0</v>
      </c>
      <c r="T2849" s="9">
        <v>45108</v>
      </c>
      <c r="U2849" s="9">
        <v>45473</v>
      </c>
      <c r="V2849">
        <f>SUM(POTABLE_NONPOTABLE_API[[#This Row],[RESIDENTIAL_SINGLEFAMILY_GAL]:[OTHER_GAL]])</f>
        <v>84131164.284000009</v>
      </c>
      <c r="W2849">
        <f>SUM(POTABLE_NONPOTABLE_API[[#This Row],[NONPOTABLE_DEMAND_RESIDENTIAL_RECYCLED_WATER_GAL]:[NONPOTABLE_DEMAND_NONRESIDENTIAL_METERED_IRRIGATION_GAL]])</f>
        <v>0</v>
      </c>
      <c r="X2849" t="str">
        <f>IFERROR(INDEX(Crosswalk_API!$H$2:$H$527, MATCH(POTABLE_NONPOTABLE_API[[#This Row],[PWSID]], CW_PWSID_LIST, 0)), "")</f>
        <v>No</v>
      </c>
    </row>
    <row r="2850" spans="1:24" x14ac:dyDescent="0.25">
      <c r="A2850" t="s">
        <v>1571</v>
      </c>
      <c r="B2850" t="s">
        <v>1572</v>
      </c>
      <c r="C2850" t="s">
        <v>1573</v>
      </c>
      <c r="D2850" t="s">
        <v>1574</v>
      </c>
      <c r="E2850" s="9">
        <v>45231</v>
      </c>
      <c r="F2850" s="9">
        <v>45260</v>
      </c>
      <c r="G2850">
        <v>33743129.616000004</v>
      </c>
      <c r="H2850">
        <v>11908239.788000001</v>
      </c>
      <c r="I2850">
        <v>14921393.244000001</v>
      </c>
      <c r="J2850">
        <v>0</v>
      </c>
      <c r="K2850">
        <v>32258994.448000003</v>
      </c>
      <c r="L2850">
        <v>0</v>
      </c>
      <c r="M2850">
        <v>0</v>
      </c>
      <c r="T2850" s="9">
        <v>45108</v>
      </c>
      <c r="U2850" s="9">
        <v>45473</v>
      </c>
      <c r="V2850">
        <f>SUM(POTABLE_NONPOTABLE_API[[#This Row],[RESIDENTIAL_SINGLEFAMILY_GAL]:[OTHER_GAL]])</f>
        <v>92831757.096000016</v>
      </c>
      <c r="W2850">
        <f>SUM(POTABLE_NONPOTABLE_API[[#This Row],[NONPOTABLE_DEMAND_RESIDENTIAL_RECYCLED_WATER_GAL]:[NONPOTABLE_DEMAND_NONRESIDENTIAL_METERED_IRRIGATION_GAL]])</f>
        <v>0</v>
      </c>
      <c r="X2850" t="str">
        <f>IFERROR(INDEX(Crosswalk_API!$H$2:$H$527, MATCH(POTABLE_NONPOTABLE_API[[#This Row],[PWSID]], CW_PWSID_LIST, 0)), "")</f>
        <v>No</v>
      </c>
    </row>
    <row r="2851" spans="1:24" x14ac:dyDescent="0.25">
      <c r="A2851" t="s">
        <v>1571</v>
      </c>
      <c r="B2851" t="s">
        <v>1572</v>
      </c>
      <c r="C2851" t="s">
        <v>1573</v>
      </c>
      <c r="D2851" t="s">
        <v>1574</v>
      </c>
      <c r="E2851" s="9">
        <v>45261</v>
      </c>
      <c r="F2851" s="9">
        <v>45291</v>
      </c>
      <c r="G2851">
        <v>24235388.696000002</v>
      </c>
      <c r="H2851">
        <v>8809808.404000001</v>
      </c>
      <c r="I2851">
        <v>11257434.548</v>
      </c>
      <c r="J2851">
        <v>0</v>
      </c>
      <c r="K2851">
        <v>25457705.664000001</v>
      </c>
      <c r="L2851">
        <v>0</v>
      </c>
      <c r="M2851">
        <v>0</v>
      </c>
      <c r="T2851" s="9">
        <v>45108</v>
      </c>
      <c r="U2851" s="9">
        <v>45473</v>
      </c>
      <c r="V2851">
        <f>SUM(POTABLE_NONPOTABLE_API[[#This Row],[RESIDENTIAL_SINGLEFAMILY_GAL]:[OTHER_GAL]])</f>
        <v>69760337.312000006</v>
      </c>
      <c r="W2851">
        <f>SUM(POTABLE_NONPOTABLE_API[[#This Row],[NONPOTABLE_DEMAND_RESIDENTIAL_RECYCLED_WATER_GAL]:[NONPOTABLE_DEMAND_NONRESIDENTIAL_METERED_IRRIGATION_GAL]])</f>
        <v>0</v>
      </c>
      <c r="X2851" t="str">
        <f>IFERROR(INDEX(Crosswalk_API!$H$2:$H$527, MATCH(POTABLE_NONPOTABLE_API[[#This Row],[PWSID]], CW_PWSID_LIST, 0)), "")</f>
        <v>No</v>
      </c>
    </row>
    <row r="2852" spans="1:24" x14ac:dyDescent="0.25">
      <c r="A2852" t="s">
        <v>1571</v>
      </c>
      <c r="B2852" t="s">
        <v>1572</v>
      </c>
      <c r="C2852" t="s">
        <v>1573</v>
      </c>
      <c r="D2852" t="s">
        <v>1574</v>
      </c>
      <c r="E2852" s="9">
        <v>45292</v>
      </c>
      <c r="F2852" s="9">
        <v>45322</v>
      </c>
      <c r="G2852">
        <v>23907741.920000002</v>
      </c>
      <c r="H2852">
        <v>9783772.1080000009</v>
      </c>
      <c r="I2852">
        <v>11010577.388</v>
      </c>
      <c r="J2852">
        <v>0</v>
      </c>
      <c r="K2852">
        <v>24981196.539999999</v>
      </c>
      <c r="L2852">
        <v>0</v>
      </c>
      <c r="M2852">
        <v>0</v>
      </c>
      <c r="T2852" s="9">
        <v>45108</v>
      </c>
      <c r="U2852" s="9">
        <v>45473</v>
      </c>
      <c r="V2852">
        <f>SUM(POTABLE_NONPOTABLE_API[[#This Row],[RESIDENTIAL_SINGLEFAMILY_GAL]:[OTHER_GAL]])</f>
        <v>69683287.956</v>
      </c>
      <c r="W2852">
        <f>SUM(POTABLE_NONPOTABLE_API[[#This Row],[NONPOTABLE_DEMAND_RESIDENTIAL_RECYCLED_WATER_GAL]:[NONPOTABLE_DEMAND_NONRESIDENTIAL_METERED_IRRIGATION_GAL]])</f>
        <v>0</v>
      </c>
      <c r="X2852" t="str">
        <f>IFERROR(INDEX(Crosswalk_API!$H$2:$H$527, MATCH(POTABLE_NONPOTABLE_API[[#This Row],[PWSID]], CW_PWSID_LIST, 0)), "")</f>
        <v>No</v>
      </c>
    </row>
    <row r="2853" spans="1:24" x14ac:dyDescent="0.25">
      <c r="A2853" t="s">
        <v>1571</v>
      </c>
      <c r="B2853" t="s">
        <v>1572</v>
      </c>
      <c r="C2853" t="s">
        <v>1573</v>
      </c>
      <c r="D2853" t="s">
        <v>1574</v>
      </c>
      <c r="E2853" s="9">
        <v>45323</v>
      </c>
      <c r="F2853" s="9">
        <v>45351</v>
      </c>
      <c r="G2853">
        <v>20356739.076000001</v>
      </c>
      <c r="H2853">
        <v>8518068.1239999998</v>
      </c>
      <c r="I2853">
        <v>9213756.4840000011</v>
      </c>
      <c r="J2853">
        <v>0</v>
      </c>
      <c r="K2853">
        <v>20235554.651999999</v>
      </c>
      <c r="L2853">
        <v>0</v>
      </c>
      <c r="M2853">
        <v>0</v>
      </c>
      <c r="T2853" s="9">
        <v>45108</v>
      </c>
      <c r="U2853" s="9">
        <v>45473</v>
      </c>
      <c r="V2853">
        <f>SUM(POTABLE_NONPOTABLE_API[[#This Row],[RESIDENTIAL_SINGLEFAMILY_GAL]:[OTHER_GAL]])</f>
        <v>58324118.335999995</v>
      </c>
      <c r="W2853">
        <f>SUM(POTABLE_NONPOTABLE_API[[#This Row],[NONPOTABLE_DEMAND_RESIDENTIAL_RECYCLED_WATER_GAL]:[NONPOTABLE_DEMAND_NONRESIDENTIAL_METERED_IRRIGATION_GAL]])</f>
        <v>0</v>
      </c>
      <c r="X2853" t="str">
        <f>IFERROR(INDEX(Crosswalk_API!$H$2:$H$527, MATCH(POTABLE_NONPOTABLE_API[[#This Row],[PWSID]], CW_PWSID_LIST, 0)), "")</f>
        <v>No</v>
      </c>
    </row>
    <row r="2854" spans="1:24" x14ac:dyDescent="0.25">
      <c r="A2854" t="s">
        <v>1571</v>
      </c>
      <c r="B2854" t="s">
        <v>1572</v>
      </c>
      <c r="C2854" t="s">
        <v>1573</v>
      </c>
      <c r="D2854" t="s">
        <v>1574</v>
      </c>
      <c r="E2854" s="9">
        <v>45352</v>
      </c>
      <c r="F2854" s="9">
        <v>45382</v>
      </c>
      <c r="G2854">
        <v>22902360.032000002</v>
      </c>
      <c r="H2854">
        <v>8668426.5759999994</v>
      </c>
      <c r="I2854">
        <v>10495917.612</v>
      </c>
      <c r="J2854">
        <v>0</v>
      </c>
      <c r="K2854">
        <v>24988677.060000002</v>
      </c>
      <c r="L2854">
        <v>0</v>
      </c>
      <c r="M2854">
        <v>0</v>
      </c>
      <c r="T2854" s="9">
        <v>45108</v>
      </c>
      <c r="U2854" s="9">
        <v>45473</v>
      </c>
      <c r="V2854">
        <f>SUM(POTABLE_NONPOTABLE_API[[#This Row],[RESIDENTIAL_SINGLEFAMILY_GAL]:[OTHER_GAL]])</f>
        <v>67055381.280000001</v>
      </c>
      <c r="W2854">
        <f>SUM(POTABLE_NONPOTABLE_API[[#This Row],[NONPOTABLE_DEMAND_RESIDENTIAL_RECYCLED_WATER_GAL]:[NONPOTABLE_DEMAND_NONRESIDENTIAL_METERED_IRRIGATION_GAL]])</f>
        <v>0</v>
      </c>
      <c r="X2854" t="str">
        <f>IFERROR(INDEX(Crosswalk_API!$H$2:$H$527, MATCH(POTABLE_NONPOTABLE_API[[#This Row],[PWSID]], CW_PWSID_LIST, 0)), "")</f>
        <v>No</v>
      </c>
    </row>
    <row r="2855" spans="1:24" x14ac:dyDescent="0.25">
      <c r="A2855" t="s">
        <v>1571</v>
      </c>
      <c r="B2855" t="s">
        <v>1572</v>
      </c>
      <c r="C2855" t="s">
        <v>1573</v>
      </c>
      <c r="D2855" t="s">
        <v>1574</v>
      </c>
      <c r="E2855" s="9">
        <v>45383</v>
      </c>
      <c r="F2855" s="9">
        <v>45412</v>
      </c>
      <c r="G2855">
        <v>29812116.356000002</v>
      </c>
      <c r="H2855">
        <v>10531824.108000001</v>
      </c>
      <c r="I2855">
        <v>13122328.184</v>
      </c>
      <c r="J2855">
        <v>0</v>
      </c>
      <c r="K2855">
        <v>33365363.356000002</v>
      </c>
      <c r="L2855">
        <v>0</v>
      </c>
      <c r="M2855">
        <v>0</v>
      </c>
      <c r="T2855" s="9">
        <v>45108</v>
      </c>
      <c r="U2855" s="9">
        <v>45473</v>
      </c>
      <c r="V2855">
        <f>SUM(POTABLE_NONPOTABLE_API[[#This Row],[RESIDENTIAL_SINGLEFAMILY_GAL]:[OTHER_GAL]])</f>
        <v>86831632.004000008</v>
      </c>
      <c r="W2855">
        <f>SUM(POTABLE_NONPOTABLE_API[[#This Row],[NONPOTABLE_DEMAND_RESIDENTIAL_RECYCLED_WATER_GAL]:[NONPOTABLE_DEMAND_NONRESIDENTIAL_METERED_IRRIGATION_GAL]])</f>
        <v>0</v>
      </c>
      <c r="X2855" t="str">
        <f>IFERROR(INDEX(Crosswalk_API!$H$2:$H$527, MATCH(POTABLE_NONPOTABLE_API[[#This Row],[PWSID]], CW_PWSID_LIST, 0)), "")</f>
        <v>No</v>
      </c>
    </row>
    <row r="2856" spans="1:24" x14ac:dyDescent="0.25">
      <c r="A2856" t="s">
        <v>1571</v>
      </c>
      <c r="B2856" t="s">
        <v>1572</v>
      </c>
      <c r="C2856" t="s">
        <v>1573</v>
      </c>
      <c r="D2856" t="s">
        <v>1574</v>
      </c>
      <c r="E2856" s="9">
        <v>45413</v>
      </c>
      <c r="F2856" s="9">
        <v>45443</v>
      </c>
      <c r="G2856">
        <v>44075223.840000004</v>
      </c>
      <c r="H2856">
        <v>13083429.48</v>
      </c>
      <c r="I2856">
        <v>18220302.563999999</v>
      </c>
      <c r="J2856">
        <v>0</v>
      </c>
      <c r="K2856">
        <v>19797944.232000001</v>
      </c>
      <c r="L2856">
        <v>0</v>
      </c>
      <c r="M2856">
        <v>0</v>
      </c>
      <c r="T2856" s="9">
        <v>45108</v>
      </c>
      <c r="U2856" s="9">
        <v>45473</v>
      </c>
      <c r="V2856">
        <f>SUM(POTABLE_NONPOTABLE_API[[#This Row],[RESIDENTIAL_SINGLEFAMILY_GAL]:[OTHER_GAL]])</f>
        <v>95176900.115999997</v>
      </c>
      <c r="W2856">
        <f>SUM(POTABLE_NONPOTABLE_API[[#This Row],[NONPOTABLE_DEMAND_RESIDENTIAL_RECYCLED_WATER_GAL]:[NONPOTABLE_DEMAND_NONRESIDENTIAL_METERED_IRRIGATION_GAL]])</f>
        <v>0</v>
      </c>
      <c r="X2856" t="str">
        <f>IFERROR(INDEX(Crosswalk_API!$H$2:$H$527, MATCH(POTABLE_NONPOTABLE_API[[#This Row],[PWSID]], CW_PWSID_LIST, 0)), "")</f>
        <v>No</v>
      </c>
    </row>
    <row r="2857" spans="1:24" x14ac:dyDescent="0.25">
      <c r="A2857" t="s">
        <v>1571</v>
      </c>
      <c r="B2857" t="s">
        <v>1572</v>
      </c>
      <c r="C2857" t="s">
        <v>1573</v>
      </c>
      <c r="D2857" t="s">
        <v>1574</v>
      </c>
      <c r="E2857" s="9">
        <v>45444</v>
      </c>
      <c r="F2857" s="9">
        <v>45473</v>
      </c>
      <c r="G2857">
        <v>47636699.412</v>
      </c>
      <c r="H2857">
        <v>13947429.540000001</v>
      </c>
      <c r="I2857">
        <v>21923908.015999999</v>
      </c>
      <c r="J2857">
        <v>0</v>
      </c>
      <c r="K2857">
        <v>19606442.920000002</v>
      </c>
      <c r="L2857">
        <v>0</v>
      </c>
      <c r="M2857">
        <v>0</v>
      </c>
      <c r="T2857" s="9">
        <v>45108</v>
      </c>
      <c r="U2857" s="9">
        <v>45473</v>
      </c>
      <c r="V2857">
        <f>SUM(POTABLE_NONPOTABLE_API[[#This Row],[RESIDENTIAL_SINGLEFAMILY_GAL]:[OTHER_GAL]])</f>
        <v>103114479.888</v>
      </c>
      <c r="W2857">
        <f>SUM(POTABLE_NONPOTABLE_API[[#This Row],[NONPOTABLE_DEMAND_RESIDENTIAL_RECYCLED_WATER_GAL]:[NONPOTABLE_DEMAND_NONRESIDENTIAL_METERED_IRRIGATION_GAL]])</f>
        <v>0</v>
      </c>
      <c r="X2857" t="str">
        <f>IFERROR(INDEX(Crosswalk_API!$H$2:$H$527, MATCH(POTABLE_NONPOTABLE_API[[#This Row],[PWSID]], CW_PWSID_LIST, 0)), "")</f>
        <v>No</v>
      </c>
    </row>
    <row r="2858" spans="1:24" x14ac:dyDescent="0.25">
      <c r="A2858" t="s">
        <v>1575</v>
      </c>
      <c r="B2858" t="s">
        <v>1576</v>
      </c>
      <c r="C2858" t="s">
        <v>1577</v>
      </c>
      <c r="D2858" t="s">
        <v>1578</v>
      </c>
      <c r="E2858" s="9">
        <v>45108</v>
      </c>
      <c r="F2858" s="9">
        <v>45138</v>
      </c>
      <c r="G2858">
        <v>268292679.36000001</v>
      </c>
      <c r="H2858">
        <v>26498203.319999997</v>
      </c>
      <c r="I2858">
        <v>27371484</v>
      </c>
      <c r="J2858">
        <v>13034040</v>
      </c>
      <c r="K2858">
        <v>0</v>
      </c>
      <c r="L2858">
        <v>651702</v>
      </c>
      <c r="M2858">
        <v>0</v>
      </c>
      <c r="N2858">
        <v>0</v>
      </c>
      <c r="O2858">
        <v>0</v>
      </c>
      <c r="P2858">
        <v>0</v>
      </c>
      <c r="Q2858">
        <v>162599649</v>
      </c>
      <c r="R2858">
        <v>0</v>
      </c>
      <c r="S2858">
        <v>0</v>
      </c>
      <c r="T2858" s="9">
        <v>45108</v>
      </c>
      <c r="U2858" s="9">
        <v>45473</v>
      </c>
      <c r="V2858">
        <f>SUM(POTABLE_NONPOTABLE_API[[#This Row],[RESIDENTIAL_SINGLEFAMILY_GAL]:[OTHER_GAL]])</f>
        <v>335848108.68000001</v>
      </c>
      <c r="W2858">
        <f>SUM(POTABLE_NONPOTABLE_API[[#This Row],[NONPOTABLE_DEMAND_RESIDENTIAL_RECYCLED_WATER_GAL]:[NONPOTABLE_DEMAND_NONRESIDENTIAL_METERED_IRRIGATION_GAL]])</f>
        <v>162599649</v>
      </c>
      <c r="X2858" t="str">
        <f>IFERROR(INDEX(Crosswalk_API!$H$2:$H$527, MATCH(POTABLE_NONPOTABLE_API[[#This Row],[PWSID]], CW_PWSID_LIST, 0)), "")</f>
        <v>No</v>
      </c>
    </row>
    <row r="2859" spans="1:24" x14ac:dyDescent="0.25">
      <c r="A2859" t="s">
        <v>1575</v>
      </c>
      <c r="B2859" t="s">
        <v>1576</v>
      </c>
      <c r="C2859" t="s">
        <v>1577</v>
      </c>
      <c r="D2859" t="s">
        <v>1578</v>
      </c>
      <c r="E2859" s="9">
        <v>45139</v>
      </c>
      <c r="F2859" s="9">
        <v>45169</v>
      </c>
      <c r="G2859">
        <v>471301110.86999995</v>
      </c>
      <c r="H2859">
        <v>261436774.32000002</v>
      </c>
      <c r="I2859">
        <v>64518498</v>
      </c>
      <c r="J2859">
        <v>21180315</v>
      </c>
      <c r="K2859">
        <v>0</v>
      </c>
      <c r="L2859">
        <v>1303404</v>
      </c>
      <c r="M2859">
        <v>0</v>
      </c>
      <c r="T2859" s="9">
        <v>45108</v>
      </c>
      <c r="U2859" s="9">
        <v>45473</v>
      </c>
      <c r="V2859">
        <f>SUM(POTABLE_NONPOTABLE_API[[#This Row],[RESIDENTIAL_SINGLEFAMILY_GAL]:[OTHER_GAL]])</f>
        <v>819740102.18999994</v>
      </c>
      <c r="W2859">
        <f>SUM(POTABLE_NONPOTABLE_API[[#This Row],[NONPOTABLE_DEMAND_RESIDENTIAL_RECYCLED_WATER_GAL]:[NONPOTABLE_DEMAND_NONRESIDENTIAL_METERED_IRRIGATION_GAL]])</f>
        <v>0</v>
      </c>
      <c r="X2859" t="str">
        <f>IFERROR(INDEX(Crosswalk_API!$H$2:$H$527, MATCH(POTABLE_NONPOTABLE_API[[#This Row],[PWSID]], CW_PWSID_LIST, 0)), "")</f>
        <v>No</v>
      </c>
    </row>
    <row r="2860" spans="1:24" x14ac:dyDescent="0.25">
      <c r="A2860" t="s">
        <v>1575</v>
      </c>
      <c r="B2860" t="s">
        <v>1576</v>
      </c>
      <c r="C2860" t="s">
        <v>1577</v>
      </c>
      <c r="D2860" t="s">
        <v>1578</v>
      </c>
      <c r="E2860" s="9">
        <v>45170</v>
      </c>
      <c r="F2860" s="9">
        <v>45199</v>
      </c>
      <c r="G2860">
        <v>276458505.41999996</v>
      </c>
      <c r="H2860">
        <v>26713264.98</v>
      </c>
      <c r="I2860">
        <v>27371484</v>
      </c>
      <c r="J2860">
        <v>163903053</v>
      </c>
      <c r="K2860">
        <v>0</v>
      </c>
      <c r="L2860">
        <v>0</v>
      </c>
      <c r="M2860">
        <v>0</v>
      </c>
      <c r="N2860">
        <v>0</v>
      </c>
      <c r="O2860">
        <v>0</v>
      </c>
      <c r="Q2860">
        <v>116328807</v>
      </c>
      <c r="R2860">
        <v>0</v>
      </c>
      <c r="S2860">
        <v>0</v>
      </c>
      <c r="T2860" s="9">
        <v>45108</v>
      </c>
      <c r="U2860" s="9">
        <v>45473</v>
      </c>
      <c r="V2860">
        <f>SUM(POTABLE_NONPOTABLE_API[[#This Row],[RESIDENTIAL_SINGLEFAMILY_GAL]:[OTHER_GAL]])</f>
        <v>494446307.39999998</v>
      </c>
      <c r="W2860">
        <f>SUM(POTABLE_NONPOTABLE_API[[#This Row],[NONPOTABLE_DEMAND_RESIDENTIAL_RECYCLED_WATER_GAL]:[NONPOTABLE_DEMAND_NONRESIDENTIAL_METERED_IRRIGATION_GAL]])</f>
        <v>116328807</v>
      </c>
      <c r="X2860" t="str">
        <f>IFERROR(INDEX(Crosswalk_API!$H$2:$H$527, MATCH(POTABLE_NONPOTABLE_API[[#This Row],[PWSID]], CW_PWSID_LIST, 0)), "")</f>
        <v>No</v>
      </c>
    </row>
    <row r="2861" spans="1:24" x14ac:dyDescent="0.25">
      <c r="A2861" t="s">
        <v>1575</v>
      </c>
      <c r="B2861" t="s">
        <v>1576</v>
      </c>
      <c r="C2861" t="s">
        <v>1577</v>
      </c>
      <c r="D2861" t="s">
        <v>1578</v>
      </c>
      <c r="E2861" s="9">
        <v>45200</v>
      </c>
      <c r="F2861" s="9">
        <v>45230</v>
      </c>
      <c r="G2861">
        <v>281365821.48000002</v>
      </c>
      <c r="H2861">
        <v>29085460.260000002</v>
      </c>
      <c r="I2861">
        <v>29978292</v>
      </c>
      <c r="J2861">
        <v>14989146</v>
      </c>
      <c r="K2861">
        <v>0</v>
      </c>
      <c r="L2861">
        <v>977553</v>
      </c>
      <c r="M2861">
        <v>0</v>
      </c>
      <c r="N2861">
        <v>0</v>
      </c>
      <c r="O2861">
        <v>0</v>
      </c>
      <c r="Q2861">
        <v>141745185</v>
      </c>
      <c r="R2861">
        <v>0</v>
      </c>
      <c r="T2861" s="9">
        <v>45108</v>
      </c>
      <c r="U2861" s="9">
        <v>45473</v>
      </c>
      <c r="V2861">
        <f>SUM(POTABLE_NONPOTABLE_API[[#This Row],[RESIDENTIAL_SINGLEFAMILY_GAL]:[OTHER_GAL]])</f>
        <v>356396272.74000001</v>
      </c>
      <c r="W2861">
        <f>SUM(POTABLE_NONPOTABLE_API[[#This Row],[NONPOTABLE_DEMAND_RESIDENTIAL_RECYCLED_WATER_GAL]:[NONPOTABLE_DEMAND_NONRESIDENTIAL_METERED_IRRIGATION_GAL]])</f>
        <v>141745185</v>
      </c>
      <c r="X2861" t="str">
        <f>IFERROR(INDEX(Crosswalk_API!$H$2:$H$527, MATCH(POTABLE_NONPOTABLE_API[[#This Row],[PWSID]], CW_PWSID_LIST, 0)), "")</f>
        <v>No</v>
      </c>
    </row>
    <row r="2862" spans="1:24" x14ac:dyDescent="0.25">
      <c r="A2862" t="s">
        <v>1575</v>
      </c>
      <c r="B2862" t="s">
        <v>1576</v>
      </c>
      <c r="C2862" t="s">
        <v>1577</v>
      </c>
      <c r="D2862" t="s">
        <v>1578</v>
      </c>
      <c r="E2862" s="9">
        <v>45231</v>
      </c>
      <c r="F2862" s="9">
        <v>45260</v>
      </c>
      <c r="G2862">
        <v>374523363.86999995</v>
      </c>
      <c r="H2862">
        <v>31516308.719999999</v>
      </c>
      <c r="I2862">
        <v>55068819</v>
      </c>
      <c r="J2862">
        <v>15966699</v>
      </c>
      <c r="K2862">
        <v>0</v>
      </c>
      <c r="L2862">
        <v>1629255</v>
      </c>
      <c r="M2862">
        <v>0</v>
      </c>
      <c r="N2862">
        <v>0</v>
      </c>
      <c r="O2862">
        <v>0</v>
      </c>
      <c r="Q2862">
        <v>78204240</v>
      </c>
      <c r="R2862">
        <v>0</v>
      </c>
      <c r="T2862" s="9">
        <v>45108</v>
      </c>
      <c r="U2862" s="9">
        <v>45473</v>
      </c>
      <c r="V2862">
        <f>SUM(POTABLE_NONPOTABLE_API[[#This Row],[RESIDENTIAL_SINGLEFAMILY_GAL]:[OTHER_GAL]])</f>
        <v>478704445.58999991</v>
      </c>
      <c r="W2862">
        <f>SUM(POTABLE_NONPOTABLE_API[[#This Row],[NONPOTABLE_DEMAND_RESIDENTIAL_RECYCLED_WATER_GAL]:[NONPOTABLE_DEMAND_NONRESIDENTIAL_METERED_IRRIGATION_GAL]])</f>
        <v>78204240</v>
      </c>
      <c r="X2862" t="str">
        <f>IFERROR(INDEX(Crosswalk_API!$H$2:$H$527, MATCH(POTABLE_NONPOTABLE_API[[#This Row],[PWSID]], CW_PWSID_LIST, 0)), "")</f>
        <v>No</v>
      </c>
    </row>
    <row r="2863" spans="1:24" x14ac:dyDescent="0.25">
      <c r="A2863" t="s">
        <v>1575</v>
      </c>
      <c r="B2863" t="s">
        <v>1576</v>
      </c>
      <c r="C2863" t="s">
        <v>1577</v>
      </c>
      <c r="D2863" t="s">
        <v>1578</v>
      </c>
      <c r="E2863" s="9">
        <v>45261</v>
      </c>
      <c r="F2863" s="9">
        <v>45291</v>
      </c>
      <c r="G2863">
        <v>258803898.24000001</v>
      </c>
      <c r="H2863">
        <v>28205662.560000002</v>
      </c>
      <c r="I2863">
        <v>36169461</v>
      </c>
      <c r="J2863">
        <v>11730636</v>
      </c>
      <c r="K2863">
        <v>0</v>
      </c>
      <c r="L2863">
        <v>1629255</v>
      </c>
      <c r="M2863">
        <v>0</v>
      </c>
      <c r="N2863">
        <v>0</v>
      </c>
      <c r="O2863">
        <v>0</v>
      </c>
      <c r="Q2863">
        <v>35517759</v>
      </c>
      <c r="R2863">
        <v>0</v>
      </c>
      <c r="T2863" s="9">
        <v>45108</v>
      </c>
      <c r="U2863" s="9">
        <v>45473</v>
      </c>
      <c r="V2863">
        <f>SUM(POTABLE_NONPOTABLE_API[[#This Row],[RESIDENTIAL_SINGLEFAMILY_GAL]:[OTHER_GAL]])</f>
        <v>336538912.80000001</v>
      </c>
      <c r="W2863">
        <f>SUM(POTABLE_NONPOTABLE_API[[#This Row],[NONPOTABLE_DEMAND_RESIDENTIAL_RECYCLED_WATER_GAL]:[NONPOTABLE_DEMAND_NONRESIDENTIAL_METERED_IRRIGATION_GAL]])</f>
        <v>35517759</v>
      </c>
      <c r="X2863" t="str">
        <f>IFERROR(INDEX(Crosswalk_API!$H$2:$H$527, MATCH(POTABLE_NONPOTABLE_API[[#This Row],[PWSID]], CW_PWSID_LIST, 0)), "")</f>
        <v>No</v>
      </c>
    </row>
    <row r="2864" spans="1:24" x14ac:dyDescent="0.25">
      <c r="A2864" t="s">
        <v>1575</v>
      </c>
      <c r="B2864" t="s">
        <v>1576</v>
      </c>
      <c r="C2864" t="s">
        <v>1577</v>
      </c>
      <c r="D2864" t="s">
        <v>1578</v>
      </c>
      <c r="E2864" s="9">
        <v>45292</v>
      </c>
      <c r="F2864" s="9">
        <v>45322</v>
      </c>
      <c r="G2864">
        <v>182222396.22</v>
      </c>
      <c r="H2864">
        <v>27449688.239999998</v>
      </c>
      <c r="I2864">
        <v>28023186</v>
      </c>
      <c r="J2864">
        <v>5865318</v>
      </c>
      <c r="K2864">
        <v>0</v>
      </c>
      <c r="L2864">
        <v>2280957</v>
      </c>
      <c r="M2864">
        <v>0</v>
      </c>
      <c r="N2864">
        <v>0</v>
      </c>
      <c r="O2864">
        <v>0</v>
      </c>
      <c r="P2864">
        <v>0</v>
      </c>
      <c r="Q2864">
        <v>22483719</v>
      </c>
      <c r="R2864">
        <v>0</v>
      </c>
      <c r="S2864">
        <v>0</v>
      </c>
      <c r="T2864" s="9">
        <v>45108</v>
      </c>
      <c r="U2864" s="9">
        <v>45473</v>
      </c>
      <c r="V2864">
        <f>SUM(POTABLE_NONPOTABLE_API[[#This Row],[RESIDENTIAL_SINGLEFAMILY_GAL]:[OTHER_GAL]])</f>
        <v>245841545.46000001</v>
      </c>
      <c r="W2864">
        <f>SUM(POTABLE_NONPOTABLE_API[[#This Row],[NONPOTABLE_DEMAND_RESIDENTIAL_RECYCLED_WATER_GAL]:[NONPOTABLE_DEMAND_NONRESIDENTIAL_METERED_IRRIGATION_GAL]])</f>
        <v>22483719</v>
      </c>
      <c r="X2864" t="str">
        <f>IFERROR(INDEX(Crosswalk_API!$H$2:$H$527, MATCH(POTABLE_NONPOTABLE_API[[#This Row],[PWSID]], CW_PWSID_LIST, 0)), "")</f>
        <v>No</v>
      </c>
    </row>
    <row r="2865" spans="1:24" x14ac:dyDescent="0.25">
      <c r="A2865" t="s">
        <v>1575</v>
      </c>
      <c r="B2865" t="s">
        <v>1576</v>
      </c>
      <c r="C2865" t="s">
        <v>1577</v>
      </c>
      <c r="D2865" t="s">
        <v>1578</v>
      </c>
      <c r="E2865" s="9">
        <v>45323</v>
      </c>
      <c r="F2865" s="9">
        <v>45351</v>
      </c>
      <c r="G2865">
        <v>163350083.85299999</v>
      </c>
      <c r="H2865">
        <v>29818625.010000002</v>
      </c>
      <c r="I2865">
        <v>32910951</v>
      </c>
      <c r="J2865">
        <v>2606808</v>
      </c>
      <c r="K2865">
        <v>0</v>
      </c>
      <c r="L2865">
        <v>1955106</v>
      </c>
      <c r="M2865">
        <v>0</v>
      </c>
      <c r="N2865">
        <v>0</v>
      </c>
      <c r="O2865">
        <v>0</v>
      </c>
      <c r="P2865">
        <v>0</v>
      </c>
      <c r="Q2865">
        <v>13034040</v>
      </c>
      <c r="R2865">
        <v>0</v>
      </c>
      <c r="S2865">
        <v>0</v>
      </c>
      <c r="T2865" s="9">
        <v>45108</v>
      </c>
      <c r="U2865" s="9">
        <v>45473</v>
      </c>
      <c r="V2865">
        <f>SUM(POTABLE_NONPOTABLE_API[[#This Row],[RESIDENTIAL_SINGLEFAMILY_GAL]:[OTHER_GAL]])</f>
        <v>230641573.86299998</v>
      </c>
      <c r="W2865">
        <f>SUM(POTABLE_NONPOTABLE_API[[#This Row],[NONPOTABLE_DEMAND_RESIDENTIAL_RECYCLED_WATER_GAL]:[NONPOTABLE_DEMAND_NONRESIDENTIAL_METERED_IRRIGATION_GAL]])</f>
        <v>13034040</v>
      </c>
      <c r="X2865" t="str">
        <f>IFERROR(INDEX(Crosswalk_API!$H$2:$H$527, MATCH(POTABLE_NONPOTABLE_API[[#This Row],[PWSID]], CW_PWSID_LIST, 0)), "")</f>
        <v>No</v>
      </c>
    </row>
    <row r="2866" spans="1:24" x14ac:dyDescent="0.25">
      <c r="A2866" t="s">
        <v>1575</v>
      </c>
      <c r="B2866" t="s">
        <v>1576</v>
      </c>
      <c r="C2866" t="s">
        <v>1577</v>
      </c>
      <c r="D2866" t="s">
        <v>1578</v>
      </c>
      <c r="E2866" s="9">
        <v>45352</v>
      </c>
      <c r="F2866" s="9">
        <v>45382</v>
      </c>
      <c r="G2866">
        <v>126006581.7</v>
      </c>
      <c r="H2866">
        <v>25807399.199999999</v>
      </c>
      <c r="I2866">
        <v>29652441</v>
      </c>
      <c r="J2866">
        <v>977553</v>
      </c>
      <c r="K2866">
        <v>0</v>
      </c>
      <c r="L2866">
        <v>325851</v>
      </c>
      <c r="M2866">
        <v>0</v>
      </c>
      <c r="N2866">
        <v>0</v>
      </c>
      <c r="O2866">
        <v>0</v>
      </c>
      <c r="Q2866">
        <v>22157868</v>
      </c>
      <c r="R2866">
        <v>0</v>
      </c>
      <c r="T2866" s="9">
        <v>45108</v>
      </c>
      <c r="U2866" s="9">
        <v>45473</v>
      </c>
      <c r="V2866">
        <f>SUM(POTABLE_NONPOTABLE_API[[#This Row],[RESIDENTIAL_SINGLEFAMILY_GAL]:[OTHER_GAL]])</f>
        <v>182769825.90000001</v>
      </c>
      <c r="W2866">
        <f>SUM(POTABLE_NONPOTABLE_API[[#This Row],[NONPOTABLE_DEMAND_RESIDENTIAL_RECYCLED_WATER_GAL]:[NONPOTABLE_DEMAND_NONRESIDENTIAL_METERED_IRRIGATION_GAL]])</f>
        <v>22157868</v>
      </c>
      <c r="X2866" t="str">
        <f>IFERROR(INDEX(Crosswalk_API!$H$2:$H$527, MATCH(POTABLE_NONPOTABLE_API[[#This Row],[PWSID]], CW_PWSID_LIST, 0)), "")</f>
        <v>No</v>
      </c>
    </row>
    <row r="2867" spans="1:24" x14ac:dyDescent="0.25">
      <c r="A2867" t="s">
        <v>1575</v>
      </c>
      <c r="B2867" t="s">
        <v>1576</v>
      </c>
      <c r="C2867" t="s">
        <v>1577</v>
      </c>
      <c r="D2867" t="s">
        <v>1578</v>
      </c>
      <c r="E2867" s="9">
        <v>45383</v>
      </c>
      <c r="F2867" s="9">
        <v>45412</v>
      </c>
      <c r="G2867">
        <v>167265835.32000002</v>
      </c>
      <c r="H2867">
        <v>26615509.680000003</v>
      </c>
      <c r="I2867">
        <v>31607547</v>
      </c>
      <c r="J2867">
        <v>4236063</v>
      </c>
      <c r="K2867">
        <v>0</v>
      </c>
      <c r="L2867">
        <v>1303404</v>
      </c>
      <c r="M2867">
        <v>0</v>
      </c>
      <c r="N2867">
        <v>0</v>
      </c>
      <c r="O2867">
        <v>0</v>
      </c>
      <c r="P2867">
        <v>0</v>
      </c>
      <c r="Q2867">
        <v>58327329</v>
      </c>
      <c r="R2867">
        <v>0</v>
      </c>
      <c r="S2867">
        <v>0</v>
      </c>
      <c r="T2867" s="9">
        <v>45108</v>
      </c>
      <c r="U2867" s="9">
        <v>45473</v>
      </c>
      <c r="V2867">
        <f>SUM(POTABLE_NONPOTABLE_API[[#This Row],[RESIDENTIAL_SINGLEFAMILY_GAL]:[OTHER_GAL]])</f>
        <v>231028359.00000003</v>
      </c>
      <c r="W2867">
        <f>SUM(POTABLE_NONPOTABLE_API[[#This Row],[NONPOTABLE_DEMAND_RESIDENTIAL_RECYCLED_WATER_GAL]:[NONPOTABLE_DEMAND_NONRESIDENTIAL_METERED_IRRIGATION_GAL]])</f>
        <v>58327329</v>
      </c>
      <c r="X2867" t="str">
        <f>IFERROR(INDEX(Crosswalk_API!$H$2:$H$527, MATCH(POTABLE_NONPOTABLE_API[[#This Row],[PWSID]], CW_PWSID_LIST, 0)), "")</f>
        <v>No</v>
      </c>
    </row>
    <row r="2868" spans="1:24" x14ac:dyDescent="0.25">
      <c r="A2868" t="s">
        <v>1575</v>
      </c>
      <c r="B2868" t="s">
        <v>1576</v>
      </c>
      <c r="C2868" t="s">
        <v>1577</v>
      </c>
      <c r="D2868" t="s">
        <v>1578</v>
      </c>
      <c r="E2868" s="9">
        <v>45413</v>
      </c>
      <c r="F2868" s="9">
        <v>45443</v>
      </c>
      <c r="G2868">
        <v>246125035.83000001</v>
      </c>
      <c r="H2868">
        <v>30004360.079999998</v>
      </c>
      <c r="I2868">
        <v>37147014</v>
      </c>
      <c r="J2868">
        <v>11730636</v>
      </c>
      <c r="K2868">
        <v>0</v>
      </c>
      <c r="L2868">
        <v>1629255</v>
      </c>
      <c r="M2868">
        <v>0</v>
      </c>
      <c r="N2868">
        <v>0</v>
      </c>
      <c r="O2868">
        <v>0</v>
      </c>
      <c r="P2868">
        <v>0</v>
      </c>
      <c r="Q2868">
        <v>117306360</v>
      </c>
      <c r="R2868">
        <v>0</v>
      </c>
      <c r="S2868">
        <v>0</v>
      </c>
      <c r="T2868" s="9">
        <v>45108</v>
      </c>
      <c r="U2868" s="9">
        <v>45473</v>
      </c>
      <c r="V2868">
        <f>SUM(POTABLE_NONPOTABLE_API[[#This Row],[RESIDENTIAL_SINGLEFAMILY_GAL]:[OTHER_GAL]])</f>
        <v>326636300.91000003</v>
      </c>
      <c r="W2868">
        <f>SUM(POTABLE_NONPOTABLE_API[[#This Row],[NONPOTABLE_DEMAND_RESIDENTIAL_RECYCLED_WATER_GAL]:[NONPOTABLE_DEMAND_NONRESIDENTIAL_METERED_IRRIGATION_GAL]])</f>
        <v>117306360</v>
      </c>
      <c r="X2868" t="str">
        <f>IFERROR(INDEX(Crosswalk_API!$H$2:$H$527, MATCH(POTABLE_NONPOTABLE_API[[#This Row],[PWSID]], CW_PWSID_LIST, 0)), "")</f>
        <v>No</v>
      </c>
    </row>
    <row r="2869" spans="1:24" x14ac:dyDescent="0.25">
      <c r="A2869" t="s">
        <v>1575</v>
      </c>
      <c r="B2869" t="s">
        <v>1576</v>
      </c>
      <c r="C2869" t="s">
        <v>1577</v>
      </c>
      <c r="D2869" t="s">
        <v>1578</v>
      </c>
      <c r="E2869" s="9">
        <v>45444</v>
      </c>
      <c r="F2869" s="9">
        <v>45473</v>
      </c>
      <c r="G2869">
        <v>313129776.96000004</v>
      </c>
      <c r="H2869">
        <v>31249110.900000002</v>
      </c>
      <c r="I2869">
        <v>41057226</v>
      </c>
      <c r="J2869">
        <v>12056487</v>
      </c>
      <c r="K2869">
        <v>0</v>
      </c>
      <c r="L2869">
        <v>0</v>
      </c>
      <c r="M2869">
        <v>0</v>
      </c>
      <c r="N2869">
        <v>0</v>
      </c>
      <c r="O2869">
        <v>0</v>
      </c>
      <c r="P2869">
        <v>0</v>
      </c>
      <c r="Q2869">
        <v>127407741</v>
      </c>
      <c r="R2869">
        <v>0</v>
      </c>
      <c r="S2869">
        <v>0</v>
      </c>
      <c r="T2869" s="9">
        <v>45108</v>
      </c>
      <c r="U2869" s="9">
        <v>45473</v>
      </c>
      <c r="V2869">
        <f>SUM(POTABLE_NONPOTABLE_API[[#This Row],[RESIDENTIAL_SINGLEFAMILY_GAL]:[OTHER_GAL]])</f>
        <v>397492600.86000001</v>
      </c>
      <c r="W2869">
        <f>SUM(POTABLE_NONPOTABLE_API[[#This Row],[NONPOTABLE_DEMAND_RESIDENTIAL_RECYCLED_WATER_GAL]:[NONPOTABLE_DEMAND_NONRESIDENTIAL_METERED_IRRIGATION_GAL]])</f>
        <v>127407741</v>
      </c>
      <c r="X2869" t="str">
        <f>IFERROR(INDEX(Crosswalk_API!$H$2:$H$527, MATCH(POTABLE_NONPOTABLE_API[[#This Row],[PWSID]], CW_PWSID_LIST, 0)), "")</f>
        <v>No</v>
      </c>
    </row>
    <row r="2870" spans="1:24" x14ac:dyDescent="0.25">
      <c r="A2870" t="s">
        <v>1579</v>
      </c>
      <c r="B2870" t="s">
        <v>1580</v>
      </c>
      <c r="C2870" t="s">
        <v>1581</v>
      </c>
      <c r="D2870" t="s">
        <v>1582</v>
      </c>
      <c r="E2870" s="9">
        <v>45108</v>
      </c>
      <c r="F2870" s="9">
        <v>45138</v>
      </c>
      <c r="G2870">
        <v>105380000</v>
      </c>
      <c r="H2870">
        <v>4620000</v>
      </c>
      <c r="I2870">
        <v>13760000</v>
      </c>
      <c r="J2870">
        <v>35500000</v>
      </c>
      <c r="K2870">
        <v>37670000</v>
      </c>
      <c r="L2870">
        <v>4059999.9999999995</v>
      </c>
      <c r="M2870">
        <v>0</v>
      </c>
      <c r="N2870">
        <v>0</v>
      </c>
      <c r="O2870">
        <v>0</v>
      </c>
      <c r="P2870">
        <v>0</v>
      </c>
      <c r="Q2870">
        <v>22897400</v>
      </c>
      <c r="R2870">
        <v>0</v>
      </c>
      <c r="S2870">
        <v>13170000</v>
      </c>
      <c r="T2870" s="9">
        <v>45108</v>
      </c>
      <c r="U2870" s="9">
        <v>45473</v>
      </c>
      <c r="V2870">
        <f>SUM(POTABLE_NONPOTABLE_API[[#This Row],[RESIDENTIAL_SINGLEFAMILY_GAL]:[OTHER_GAL]])</f>
        <v>200990000</v>
      </c>
      <c r="W2870">
        <f>SUM(POTABLE_NONPOTABLE_API[[#This Row],[NONPOTABLE_DEMAND_RESIDENTIAL_RECYCLED_WATER_GAL]:[NONPOTABLE_DEMAND_NONRESIDENTIAL_METERED_IRRIGATION_GAL]])</f>
        <v>36067400</v>
      </c>
      <c r="X2870" t="str">
        <f>IFERROR(INDEX(Crosswalk_API!$H$2:$H$527, MATCH(POTABLE_NONPOTABLE_API[[#This Row],[PWSID]], CW_PWSID_LIST, 0)), "")</f>
        <v>No</v>
      </c>
    </row>
    <row r="2871" spans="1:24" x14ac:dyDescent="0.25">
      <c r="A2871" t="s">
        <v>1579</v>
      </c>
      <c r="B2871" t="s">
        <v>1580</v>
      </c>
      <c r="C2871" t="s">
        <v>1581</v>
      </c>
      <c r="D2871" t="s">
        <v>1582</v>
      </c>
      <c r="E2871" s="9">
        <v>45139</v>
      </c>
      <c r="F2871" s="9">
        <v>45169</v>
      </c>
      <c r="G2871">
        <v>107415000</v>
      </c>
      <c r="H2871">
        <v>4390000</v>
      </c>
      <c r="I2871">
        <v>13490000</v>
      </c>
      <c r="J2871">
        <v>34880000</v>
      </c>
      <c r="K2871">
        <v>38740000</v>
      </c>
      <c r="L2871">
        <v>2750000</v>
      </c>
      <c r="M2871">
        <v>0</v>
      </c>
      <c r="N2871">
        <v>0</v>
      </c>
      <c r="O2871">
        <v>0</v>
      </c>
      <c r="P2871">
        <v>0</v>
      </c>
      <c r="Q2871">
        <v>25774000</v>
      </c>
      <c r="R2871">
        <v>0</v>
      </c>
      <c r="S2871">
        <v>10718000</v>
      </c>
      <c r="T2871" s="9">
        <v>45108</v>
      </c>
      <c r="U2871" s="9">
        <v>45473</v>
      </c>
      <c r="V2871">
        <f>SUM(POTABLE_NONPOTABLE_API[[#This Row],[RESIDENTIAL_SINGLEFAMILY_GAL]:[OTHER_GAL]])</f>
        <v>201665000</v>
      </c>
      <c r="W2871">
        <f>SUM(POTABLE_NONPOTABLE_API[[#This Row],[NONPOTABLE_DEMAND_RESIDENTIAL_RECYCLED_WATER_GAL]:[NONPOTABLE_DEMAND_NONRESIDENTIAL_METERED_IRRIGATION_GAL]])</f>
        <v>36492000</v>
      </c>
      <c r="X2871" t="str">
        <f>IFERROR(INDEX(Crosswalk_API!$H$2:$H$527, MATCH(POTABLE_NONPOTABLE_API[[#This Row],[PWSID]], CW_PWSID_LIST, 0)), "")</f>
        <v>No</v>
      </c>
    </row>
    <row r="2872" spans="1:24" x14ac:dyDescent="0.25">
      <c r="A2872" t="s">
        <v>1579</v>
      </c>
      <c r="B2872" t="s">
        <v>1580</v>
      </c>
      <c r="C2872" t="s">
        <v>1581</v>
      </c>
      <c r="D2872" t="s">
        <v>1582</v>
      </c>
      <c r="E2872" s="9">
        <v>45170</v>
      </c>
      <c r="F2872" s="9">
        <v>45199</v>
      </c>
      <c r="G2872">
        <v>93760000</v>
      </c>
      <c r="H2872">
        <v>4360000</v>
      </c>
      <c r="I2872">
        <v>11057000</v>
      </c>
      <c r="J2872">
        <v>27517000</v>
      </c>
      <c r="K2872">
        <v>35628000</v>
      </c>
      <c r="L2872">
        <v>1329000</v>
      </c>
      <c r="M2872">
        <v>0</v>
      </c>
      <c r="N2872">
        <v>0</v>
      </c>
      <c r="O2872">
        <v>0</v>
      </c>
      <c r="P2872">
        <v>0</v>
      </c>
      <c r="Q2872">
        <v>23105000</v>
      </c>
      <c r="R2872">
        <v>0</v>
      </c>
      <c r="S2872">
        <v>3840000</v>
      </c>
      <c r="T2872" s="9">
        <v>45108</v>
      </c>
      <c r="U2872" s="9">
        <v>45473</v>
      </c>
      <c r="V2872">
        <f>SUM(POTABLE_NONPOTABLE_API[[#This Row],[RESIDENTIAL_SINGLEFAMILY_GAL]:[OTHER_GAL]])</f>
        <v>173651000</v>
      </c>
      <c r="W2872">
        <f>SUM(POTABLE_NONPOTABLE_API[[#This Row],[NONPOTABLE_DEMAND_RESIDENTIAL_RECYCLED_WATER_GAL]:[NONPOTABLE_DEMAND_NONRESIDENTIAL_METERED_IRRIGATION_GAL]])</f>
        <v>26945000</v>
      </c>
      <c r="X2872" t="str">
        <f>IFERROR(INDEX(Crosswalk_API!$H$2:$H$527, MATCH(POTABLE_NONPOTABLE_API[[#This Row],[PWSID]], CW_PWSID_LIST, 0)), "")</f>
        <v>No</v>
      </c>
    </row>
    <row r="2873" spans="1:24" x14ac:dyDescent="0.25">
      <c r="A2873" t="s">
        <v>1579</v>
      </c>
      <c r="B2873" t="s">
        <v>1580</v>
      </c>
      <c r="C2873" t="s">
        <v>1581</v>
      </c>
      <c r="D2873" t="s">
        <v>1582</v>
      </c>
      <c r="E2873" s="9">
        <v>45200</v>
      </c>
      <c r="F2873" s="9">
        <v>45230</v>
      </c>
      <c r="G2873">
        <v>94040000</v>
      </c>
      <c r="H2873">
        <v>4550000</v>
      </c>
      <c r="I2873">
        <v>10010000</v>
      </c>
      <c r="J2873">
        <v>22131000</v>
      </c>
      <c r="K2873">
        <v>35650000</v>
      </c>
      <c r="L2873">
        <v>1090000</v>
      </c>
      <c r="M2873">
        <v>0</v>
      </c>
      <c r="N2873">
        <v>0</v>
      </c>
      <c r="O2873">
        <v>0</v>
      </c>
      <c r="P2873">
        <v>0</v>
      </c>
      <c r="Q2873">
        <v>22804000</v>
      </c>
      <c r="R2873">
        <v>0</v>
      </c>
      <c r="S2873">
        <v>7031000</v>
      </c>
      <c r="T2873" s="9">
        <v>45108</v>
      </c>
      <c r="U2873" s="9">
        <v>45473</v>
      </c>
      <c r="V2873">
        <f>SUM(POTABLE_NONPOTABLE_API[[#This Row],[RESIDENTIAL_SINGLEFAMILY_GAL]:[OTHER_GAL]])</f>
        <v>167471000</v>
      </c>
      <c r="W2873">
        <f>SUM(POTABLE_NONPOTABLE_API[[#This Row],[NONPOTABLE_DEMAND_RESIDENTIAL_RECYCLED_WATER_GAL]:[NONPOTABLE_DEMAND_NONRESIDENTIAL_METERED_IRRIGATION_GAL]])</f>
        <v>29835000</v>
      </c>
      <c r="X2873" t="str">
        <f>IFERROR(INDEX(Crosswalk_API!$H$2:$H$527, MATCH(POTABLE_NONPOTABLE_API[[#This Row],[PWSID]], CW_PWSID_LIST, 0)), "")</f>
        <v>No</v>
      </c>
    </row>
    <row r="2874" spans="1:24" x14ac:dyDescent="0.25">
      <c r="A2874" t="s">
        <v>1579</v>
      </c>
      <c r="B2874" t="s">
        <v>1580</v>
      </c>
      <c r="C2874" t="s">
        <v>1581</v>
      </c>
      <c r="D2874" t="s">
        <v>1582</v>
      </c>
      <c r="E2874" s="9">
        <v>45231</v>
      </c>
      <c r="F2874" s="9">
        <v>45260</v>
      </c>
      <c r="G2874">
        <v>81410000</v>
      </c>
      <c r="H2874">
        <v>3890000</v>
      </c>
      <c r="I2874">
        <v>7840000</v>
      </c>
      <c r="J2874">
        <v>13070000</v>
      </c>
      <c r="K2874">
        <v>32040000</v>
      </c>
      <c r="L2874">
        <v>1389000</v>
      </c>
      <c r="M2874">
        <v>0</v>
      </c>
      <c r="N2874">
        <v>0</v>
      </c>
      <c r="O2874">
        <v>0</v>
      </c>
      <c r="P2874">
        <v>0</v>
      </c>
      <c r="Q2874">
        <v>16590000</v>
      </c>
      <c r="R2874">
        <v>0</v>
      </c>
      <c r="S2874">
        <v>7046000</v>
      </c>
      <c r="T2874" s="9">
        <v>45108</v>
      </c>
      <c r="U2874" s="9">
        <v>45473</v>
      </c>
      <c r="V2874">
        <f>SUM(POTABLE_NONPOTABLE_API[[#This Row],[RESIDENTIAL_SINGLEFAMILY_GAL]:[OTHER_GAL]])</f>
        <v>139639000</v>
      </c>
      <c r="W2874">
        <f>SUM(POTABLE_NONPOTABLE_API[[#This Row],[NONPOTABLE_DEMAND_RESIDENTIAL_RECYCLED_WATER_GAL]:[NONPOTABLE_DEMAND_NONRESIDENTIAL_METERED_IRRIGATION_GAL]])</f>
        <v>23636000</v>
      </c>
      <c r="X2874" t="str">
        <f>IFERROR(INDEX(Crosswalk_API!$H$2:$H$527, MATCH(POTABLE_NONPOTABLE_API[[#This Row],[PWSID]], CW_PWSID_LIST, 0)), "")</f>
        <v>No</v>
      </c>
    </row>
    <row r="2875" spans="1:24" x14ac:dyDescent="0.25">
      <c r="A2875" t="s">
        <v>1579</v>
      </c>
      <c r="B2875" t="s">
        <v>1580</v>
      </c>
      <c r="C2875" t="s">
        <v>1581</v>
      </c>
      <c r="D2875" t="s">
        <v>1582</v>
      </c>
      <c r="E2875" s="9">
        <v>45261</v>
      </c>
      <c r="F2875" s="9">
        <v>45291</v>
      </c>
      <c r="G2875">
        <v>54000000</v>
      </c>
      <c r="H2875">
        <v>2890000</v>
      </c>
      <c r="I2875">
        <v>4560000</v>
      </c>
      <c r="J2875">
        <v>4045000</v>
      </c>
      <c r="K2875">
        <v>23610000</v>
      </c>
      <c r="L2875">
        <v>1115000</v>
      </c>
      <c r="M2875">
        <v>0</v>
      </c>
      <c r="N2875">
        <v>0</v>
      </c>
      <c r="O2875">
        <v>0</v>
      </c>
      <c r="P2875">
        <v>0</v>
      </c>
      <c r="Q2875">
        <v>22050000</v>
      </c>
      <c r="R2875">
        <v>0</v>
      </c>
      <c r="S2875">
        <v>6238000</v>
      </c>
      <c r="T2875" s="9">
        <v>45108</v>
      </c>
      <c r="U2875" s="9">
        <v>45473</v>
      </c>
      <c r="V2875">
        <f>SUM(POTABLE_NONPOTABLE_API[[#This Row],[RESIDENTIAL_SINGLEFAMILY_GAL]:[OTHER_GAL]])</f>
        <v>90220000</v>
      </c>
      <c r="W2875">
        <f>SUM(POTABLE_NONPOTABLE_API[[#This Row],[NONPOTABLE_DEMAND_RESIDENTIAL_RECYCLED_WATER_GAL]:[NONPOTABLE_DEMAND_NONRESIDENTIAL_METERED_IRRIGATION_GAL]])</f>
        <v>28288000</v>
      </c>
      <c r="X2875" t="str">
        <f>IFERROR(INDEX(Crosswalk_API!$H$2:$H$527, MATCH(POTABLE_NONPOTABLE_API[[#This Row],[PWSID]], CW_PWSID_LIST, 0)), "")</f>
        <v>No</v>
      </c>
    </row>
    <row r="2876" spans="1:24" x14ac:dyDescent="0.25">
      <c r="A2876" t="s">
        <v>1579</v>
      </c>
      <c r="B2876" t="s">
        <v>1580</v>
      </c>
      <c r="C2876" t="s">
        <v>1581</v>
      </c>
      <c r="D2876" t="s">
        <v>1582</v>
      </c>
      <c r="E2876" s="9">
        <v>45292</v>
      </c>
      <c r="F2876" s="9">
        <v>45322</v>
      </c>
      <c r="G2876">
        <v>49070000</v>
      </c>
      <c r="H2876">
        <v>2960000</v>
      </c>
      <c r="I2876">
        <v>4070000.0000000005</v>
      </c>
      <c r="J2876">
        <v>1899000</v>
      </c>
      <c r="K2876">
        <v>24640000</v>
      </c>
      <c r="L2876">
        <v>186000</v>
      </c>
      <c r="M2876">
        <v>0</v>
      </c>
      <c r="N2876">
        <v>0</v>
      </c>
      <c r="O2876">
        <v>0</v>
      </c>
      <c r="P2876">
        <v>0</v>
      </c>
      <c r="Q2876">
        <v>5580000</v>
      </c>
      <c r="R2876">
        <v>0</v>
      </c>
      <c r="S2876">
        <v>529000</v>
      </c>
      <c r="T2876" s="9">
        <v>45108</v>
      </c>
      <c r="U2876" s="9">
        <v>45473</v>
      </c>
      <c r="V2876">
        <f>SUM(POTABLE_NONPOTABLE_API[[#This Row],[RESIDENTIAL_SINGLEFAMILY_GAL]:[OTHER_GAL]])</f>
        <v>82825000</v>
      </c>
      <c r="W2876">
        <f>SUM(POTABLE_NONPOTABLE_API[[#This Row],[NONPOTABLE_DEMAND_RESIDENTIAL_RECYCLED_WATER_GAL]:[NONPOTABLE_DEMAND_NONRESIDENTIAL_METERED_IRRIGATION_GAL]])</f>
        <v>6109000</v>
      </c>
      <c r="X2876" t="str">
        <f>IFERROR(INDEX(Crosswalk_API!$H$2:$H$527, MATCH(POTABLE_NONPOTABLE_API[[#This Row],[PWSID]], CW_PWSID_LIST, 0)), "")</f>
        <v>No</v>
      </c>
    </row>
    <row r="2877" spans="1:24" x14ac:dyDescent="0.25">
      <c r="A2877" t="s">
        <v>1579</v>
      </c>
      <c r="B2877" t="s">
        <v>1580</v>
      </c>
      <c r="C2877" t="s">
        <v>1581</v>
      </c>
      <c r="D2877" t="s">
        <v>1582</v>
      </c>
      <c r="E2877" s="9">
        <v>45323</v>
      </c>
      <c r="F2877" s="9">
        <v>45351</v>
      </c>
      <c r="G2877">
        <v>53496000</v>
      </c>
      <c r="H2877">
        <v>3126000</v>
      </c>
      <c r="I2877">
        <v>5138000</v>
      </c>
      <c r="J2877">
        <v>1841000</v>
      </c>
      <c r="K2877">
        <v>29452000</v>
      </c>
      <c r="L2877">
        <v>433000</v>
      </c>
      <c r="M2877">
        <v>0</v>
      </c>
      <c r="N2877">
        <v>0</v>
      </c>
      <c r="O2877">
        <v>0</v>
      </c>
      <c r="P2877">
        <v>0</v>
      </c>
      <c r="Q2877">
        <v>11360000</v>
      </c>
      <c r="R2877">
        <v>0</v>
      </c>
      <c r="S2877">
        <v>449000</v>
      </c>
      <c r="T2877" s="9">
        <v>45108</v>
      </c>
      <c r="U2877" s="9">
        <v>45473</v>
      </c>
      <c r="V2877">
        <f>SUM(POTABLE_NONPOTABLE_API[[#This Row],[RESIDENTIAL_SINGLEFAMILY_GAL]:[OTHER_GAL]])</f>
        <v>93486000</v>
      </c>
      <c r="W2877">
        <f>SUM(POTABLE_NONPOTABLE_API[[#This Row],[NONPOTABLE_DEMAND_RESIDENTIAL_RECYCLED_WATER_GAL]:[NONPOTABLE_DEMAND_NONRESIDENTIAL_METERED_IRRIGATION_GAL]])</f>
        <v>11809000</v>
      </c>
      <c r="X2877" t="str">
        <f>IFERROR(INDEX(Crosswalk_API!$H$2:$H$527, MATCH(POTABLE_NONPOTABLE_API[[#This Row],[PWSID]], CW_PWSID_LIST, 0)), "")</f>
        <v>No</v>
      </c>
    </row>
    <row r="2878" spans="1:24" x14ac:dyDescent="0.25">
      <c r="A2878" t="s">
        <v>1579</v>
      </c>
      <c r="B2878" t="s">
        <v>1580</v>
      </c>
      <c r="C2878" t="s">
        <v>1581</v>
      </c>
      <c r="D2878" t="s">
        <v>1582</v>
      </c>
      <c r="E2878" s="9">
        <v>45352</v>
      </c>
      <c r="F2878" s="9">
        <v>45382</v>
      </c>
      <c r="G2878">
        <v>62890000</v>
      </c>
      <c r="H2878">
        <v>3720000</v>
      </c>
      <c r="I2878">
        <v>6638000</v>
      </c>
      <c r="J2878">
        <v>3909000</v>
      </c>
      <c r="K2878">
        <v>31947000</v>
      </c>
      <c r="L2878">
        <v>647000</v>
      </c>
      <c r="M2878">
        <v>0</v>
      </c>
      <c r="N2878">
        <v>0</v>
      </c>
      <c r="O2878">
        <v>0</v>
      </c>
      <c r="P2878">
        <v>0</v>
      </c>
      <c r="Q2878">
        <v>0</v>
      </c>
      <c r="R2878">
        <v>0</v>
      </c>
      <c r="S2878">
        <v>2195000</v>
      </c>
      <c r="T2878" s="9">
        <v>45108</v>
      </c>
      <c r="U2878" s="9">
        <v>45473</v>
      </c>
      <c r="V2878">
        <f>SUM(POTABLE_NONPOTABLE_API[[#This Row],[RESIDENTIAL_SINGLEFAMILY_GAL]:[OTHER_GAL]])</f>
        <v>109751000</v>
      </c>
      <c r="W2878">
        <f>SUM(POTABLE_NONPOTABLE_API[[#This Row],[NONPOTABLE_DEMAND_RESIDENTIAL_RECYCLED_WATER_GAL]:[NONPOTABLE_DEMAND_NONRESIDENTIAL_METERED_IRRIGATION_GAL]])</f>
        <v>2195000</v>
      </c>
      <c r="X2878" t="str">
        <f>IFERROR(INDEX(Crosswalk_API!$H$2:$H$527, MATCH(POTABLE_NONPOTABLE_API[[#This Row],[PWSID]], CW_PWSID_LIST, 0)), "")</f>
        <v>No</v>
      </c>
    </row>
    <row r="2879" spans="1:24" x14ac:dyDescent="0.25">
      <c r="A2879" t="s">
        <v>1579</v>
      </c>
      <c r="B2879" t="s">
        <v>1580</v>
      </c>
      <c r="C2879" t="s">
        <v>1581</v>
      </c>
      <c r="D2879" t="s">
        <v>1582</v>
      </c>
      <c r="E2879" s="9">
        <v>45383</v>
      </c>
      <c r="F2879" s="9">
        <v>45412</v>
      </c>
      <c r="G2879">
        <v>71050000</v>
      </c>
      <c r="H2879">
        <v>3860000</v>
      </c>
      <c r="I2879">
        <v>7860000</v>
      </c>
      <c r="J2879">
        <v>10122000</v>
      </c>
      <c r="K2879">
        <v>32750000</v>
      </c>
      <c r="L2879">
        <v>1479000</v>
      </c>
      <c r="M2879">
        <v>0</v>
      </c>
      <c r="N2879">
        <v>0</v>
      </c>
      <c r="O2879">
        <v>0</v>
      </c>
      <c r="P2879">
        <v>0</v>
      </c>
      <c r="Q2879">
        <v>0</v>
      </c>
      <c r="R2879">
        <v>0</v>
      </c>
      <c r="S2879">
        <v>7771000</v>
      </c>
      <c r="T2879" s="9">
        <v>45108</v>
      </c>
      <c r="U2879" s="9">
        <v>45473</v>
      </c>
      <c r="V2879">
        <f>SUM(POTABLE_NONPOTABLE_API[[#This Row],[RESIDENTIAL_SINGLEFAMILY_GAL]:[OTHER_GAL]])</f>
        <v>127121000</v>
      </c>
      <c r="W2879">
        <f>SUM(POTABLE_NONPOTABLE_API[[#This Row],[NONPOTABLE_DEMAND_RESIDENTIAL_RECYCLED_WATER_GAL]:[NONPOTABLE_DEMAND_NONRESIDENTIAL_METERED_IRRIGATION_GAL]])</f>
        <v>7771000</v>
      </c>
      <c r="X2879" t="str">
        <f>IFERROR(INDEX(Crosswalk_API!$H$2:$H$527, MATCH(POTABLE_NONPOTABLE_API[[#This Row],[PWSID]], CW_PWSID_LIST, 0)), "")</f>
        <v>No</v>
      </c>
    </row>
    <row r="2880" spans="1:24" x14ac:dyDescent="0.25">
      <c r="A2880" t="s">
        <v>1579</v>
      </c>
      <c r="B2880" t="s">
        <v>1580</v>
      </c>
      <c r="C2880" t="s">
        <v>1581</v>
      </c>
      <c r="D2880" t="s">
        <v>1582</v>
      </c>
      <c r="E2880" s="9">
        <v>45413</v>
      </c>
      <c r="F2880" s="9">
        <v>45443</v>
      </c>
      <c r="G2880">
        <v>92530000</v>
      </c>
      <c r="H2880">
        <v>4610000</v>
      </c>
      <c r="I2880">
        <v>11420000</v>
      </c>
      <c r="J2880">
        <v>31160000</v>
      </c>
      <c r="K2880">
        <v>33409999.999999996</v>
      </c>
      <c r="L2880">
        <v>3361000</v>
      </c>
      <c r="M2880">
        <v>0</v>
      </c>
      <c r="N2880">
        <v>0</v>
      </c>
      <c r="O2880">
        <v>0</v>
      </c>
      <c r="P2880">
        <v>0</v>
      </c>
      <c r="Q2880">
        <v>0</v>
      </c>
      <c r="R2880">
        <v>0</v>
      </c>
      <c r="S2880">
        <v>23433000</v>
      </c>
      <c r="T2880" s="9">
        <v>45108</v>
      </c>
      <c r="U2880" s="9">
        <v>45473</v>
      </c>
      <c r="V2880">
        <f>SUM(POTABLE_NONPOTABLE_API[[#This Row],[RESIDENTIAL_SINGLEFAMILY_GAL]:[OTHER_GAL]])</f>
        <v>176491000</v>
      </c>
      <c r="W2880">
        <f>SUM(POTABLE_NONPOTABLE_API[[#This Row],[NONPOTABLE_DEMAND_RESIDENTIAL_RECYCLED_WATER_GAL]:[NONPOTABLE_DEMAND_NONRESIDENTIAL_METERED_IRRIGATION_GAL]])</f>
        <v>23433000</v>
      </c>
      <c r="X2880" t="str">
        <f>IFERROR(INDEX(Crosswalk_API!$H$2:$H$527, MATCH(POTABLE_NONPOTABLE_API[[#This Row],[PWSID]], CW_PWSID_LIST, 0)), "")</f>
        <v>No</v>
      </c>
    </row>
    <row r="2881" spans="1:24" x14ac:dyDescent="0.25">
      <c r="A2881" t="s">
        <v>1579</v>
      </c>
      <c r="B2881" t="s">
        <v>1580</v>
      </c>
      <c r="C2881" t="s">
        <v>1581</v>
      </c>
      <c r="D2881" t="s">
        <v>1582</v>
      </c>
      <c r="E2881" s="9">
        <v>45444</v>
      </c>
      <c r="F2881" s="9">
        <v>45473</v>
      </c>
      <c r="G2881">
        <v>118980000</v>
      </c>
      <c r="H2881">
        <v>5440000</v>
      </c>
      <c r="I2881">
        <v>14650000</v>
      </c>
      <c r="J2881">
        <v>37305000</v>
      </c>
      <c r="K2881">
        <v>33730000</v>
      </c>
      <c r="L2881">
        <v>3511000</v>
      </c>
      <c r="M2881">
        <v>0</v>
      </c>
      <c r="N2881">
        <v>0</v>
      </c>
      <c r="O2881">
        <v>0</v>
      </c>
      <c r="P2881">
        <v>0</v>
      </c>
      <c r="Q2881">
        <v>0</v>
      </c>
      <c r="R2881">
        <v>0</v>
      </c>
      <c r="S2881">
        <v>25498000</v>
      </c>
      <c r="T2881" s="9">
        <v>45108</v>
      </c>
      <c r="U2881" s="9">
        <v>45473</v>
      </c>
      <c r="V2881">
        <f>SUM(POTABLE_NONPOTABLE_API[[#This Row],[RESIDENTIAL_SINGLEFAMILY_GAL]:[OTHER_GAL]])</f>
        <v>213616000</v>
      </c>
      <c r="W2881">
        <f>SUM(POTABLE_NONPOTABLE_API[[#This Row],[NONPOTABLE_DEMAND_RESIDENTIAL_RECYCLED_WATER_GAL]:[NONPOTABLE_DEMAND_NONRESIDENTIAL_METERED_IRRIGATION_GAL]])</f>
        <v>25498000</v>
      </c>
      <c r="X2881" t="str">
        <f>IFERROR(INDEX(Crosswalk_API!$H$2:$H$527, MATCH(POTABLE_NONPOTABLE_API[[#This Row],[PWSID]], CW_PWSID_LIST, 0)), "")</f>
        <v>No</v>
      </c>
    </row>
    <row r="2882" spans="1:24" x14ac:dyDescent="0.25">
      <c r="A2882" t="s">
        <v>1587</v>
      </c>
      <c r="B2882" t="s">
        <v>1588</v>
      </c>
      <c r="C2882" t="s">
        <v>1589</v>
      </c>
      <c r="D2882" t="s">
        <v>1590</v>
      </c>
      <c r="E2882" s="9">
        <v>45108</v>
      </c>
      <c r="F2882" s="9">
        <v>45138</v>
      </c>
      <c r="G2882">
        <v>106677516</v>
      </c>
      <c r="H2882">
        <v>19747350</v>
      </c>
      <c r="I2882">
        <v>51010152</v>
      </c>
      <c r="J2882">
        <v>0</v>
      </c>
      <c r="K2882">
        <v>96046484</v>
      </c>
      <c r="L2882">
        <v>0</v>
      </c>
      <c r="M2882">
        <v>890127</v>
      </c>
      <c r="T2882" s="9">
        <v>45108</v>
      </c>
      <c r="U2882" s="9">
        <v>45473</v>
      </c>
      <c r="V2882">
        <f>SUM(POTABLE_NONPOTABLE_API[[#This Row],[RESIDENTIAL_SINGLEFAMILY_GAL]:[OTHER_GAL]])</f>
        <v>273481502</v>
      </c>
      <c r="W2882">
        <f>SUM(POTABLE_NONPOTABLE_API[[#This Row],[NONPOTABLE_DEMAND_RESIDENTIAL_RECYCLED_WATER_GAL]:[NONPOTABLE_DEMAND_NONRESIDENTIAL_METERED_IRRIGATION_GAL]])</f>
        <v>0</v>
      </c>
      <c r="X2882" t="str">
        <f>IFERROR(INDEX(Crosswalk_API!$H$2:$H$527, MATCH(POTABLE_NONPOTABLE_API[[#This Row],[PWSID]], CW_PWSID_LIST, 0)), "")</f>
        <v>No</v>
      </c>
    </row>
    <row r="2883" spans="1:24" x14ac:dyDescent="0.25">
      <c r="A2883" t="s">
        <v>1587</v>
      </c>
      <c r="B2883" t="s">
        <v>1588</v>
      </c>
      <c r="C2883" t="s">
        <v>1589</v>
      </c>
      <c r="D2883" t="s">
        <v>1590</v>
      </c>
      <c r="E2883" s="9">
        <v>45139</v>
      </c>
      <c r="F2883" s="9">
        <v>45169</v>
      </c>
      <c r="G2883">
        <v>4814308</v>
      </c>
      <c r="H2883">
        <v>783724</v>
      </c>
      <c r="I2883">
        <v>21353478</v>
      </c>
      <c r="J2883">
        <v>0</v>
      </c>
      <c r="K2883">
        <v>68987945</v>
      </c>
      <c r="L2883">
        <v>0</v>
      </c>
      <c r="M2883">
        <v>176199</v>
      </c>
      <c r="T2883" s="9">
        <v>45108</v>
      </c>
      <c r="U2883" s="9">
        <v>45473</v>
      </c>
      <c r="V2883">
        <f>SUM(POTABLE_NONPOTABLE_API[[#This Row],[RESIDENTIAL_SINGLEFAMILY_GAL]:[OTHER_GAL]])</f>
        <v>95939455</v>
      </c>
      <c r="W2883">
        <f>SUM(POTABLE_NONPOTABLE_API[[#This Row],[NONPOTABLE_DEMAND_RESIDENTIAL_RECYCLED_WATER_GAL]:[NONPOTABLE_DEMAND_NONRESIDENTIAL_METERED_IRRIGATION_GAL]])</f>
        <v>0</v>
      </c>
      <c r="X2883" t="str">
        <f>IFERROR(INDEX(Crosswalk_API!$H$2:$H$527, MATCH(POTABLE_NONPOTABLE_API[[#This Row],[PWSID]], CW_PWSID_LIST, 0)), "")</f>
        <v>No</v>
      </c>
    </row>
    <row r="2884" spans="1:24" x14ac:dyDescent="0.25">
      <c r="A2884" t="s">
        <v>1587</v>
      </c>
      <c r="B2884" t="s">
        <v>1588</v>
      </c>
      <c r="C2884" t="s">
        <v>1589</v>
      </c>
      <c r="D2884" t="s">
        <v>1590</v>
      </c>
      <c r="E2884" s="9">
        <v>45170</v>
      </c>
      <c r="F2884" s="9">
        <v>45199</v>
      </c>
      <c r="G2884">
        <v>92062548</v>
      </c>
      <c r="H2884">
        <v>14986926</v>
      </c>
      <c r="I2884">
        <v>13107780</v>
      </c>
      <c r="J2884">
        <v>0</v>
      </c>
      <c r="K2884">
        <v>61315604</v>
      </c>
      <c r="L2884">
        <v>10012077</v>
      </c>
      <c r="M2884">
        <v>288825</v>
      </c>
      <c r="T2884" s="9">
        <v>45108</v>
      </c>
      <c r="U2884" s="9">
        <v>45473</v>
      </c>
      <c r="V2884">
        <f>SUM(POTABLE_NONPOTABLE_API[[#This Row],[RESIDENTIAL_SINGLEFAMILY_GAL]:[OTHER_GAL]])</f>
        <v>191484935</v>
      </c>
      <c r="W2884">
        <f>SUM(POTABLE_NONPOTABLE_API[[#This Row],[NONPOTABLE_DEMAND_RESIDENTIAL_RECYCLED_WATER_GAL]:[NONPOTABLE_DEMAND_NONRESIDENTIAL_METERED_IRRIGATION_GAL]])</f>
        <v>0</v>
      </c>
      <c r="X2884" t="str">
        <f>IFERROR(INDEX(Crosswalk_API!$H$2:$H$527, MATCH(POTABLE_NONPOTABLE_API[[#This Row],[PWSID]], CW_PWSID_LIST, 0)), "")</f>
        <v>No</v>
      </c>
    </row>
    <row r="2885" spans="1:24" x14ac:dyDescent="0.25">
      <c r="A2885" t="s">
        <v>1587</v>
      </c>
      <c r="B2885" t="s">
        <v>1588</v>
      </c>
      <c r="C2885" t="s">
        <v>1589</v>
      </c>
      <c r="D2885" t="s">
        <v>1590</v>
      </c>
      <c r="E2885" s="9">
        <v>45200</v>
      </c>
      <c r="F2885" s="9">
        <v>45230</v>
      </c>
      <c r="G2885">
        <v>72677176</v>
      </c>
      <c r="H2885">
        <v>10510148</v>
      </c>
      <c r="I2885">
        <v>24615932</v>
      </c>
      <c r="J2885">
        <v>0</v>
      </c>
      <c r="K2885">
        <v>66231660</v>
      </c>
      <c r="L2885">
        <v>0</v>
      </c>
      <c r="M2885">
        <v>17064872</v>
      </c>
      <c r="T2885" s="9">
        <v>45108</v>
      </c>
      <c r="U2885" s="9">
        <v>45473</v>
      </c>
      <c r="V2885">
        <f>SUM(POTABLE_NONPOTABLE_API[[#This Row],[RESIDENTIAL_SINGLEFAMILY_GAL]:[OTHER_GAL]])</f>
        <v>174034916</v>
      </c>
      <c r="W2885">
        <f>SUM(POTABLE_NONPOTABLE_API[[#This Row],[NONPOTABLE_DEMAND_RESIDENTIAL_RECYCLED_WATER_GAL]:[NONPOTABLE_DEMAND_NONRESIDENTIAL_METERED_IRRIGATION_GAL]])</f>
        <v>0</v>
      </c>
      <c r="X2885" t="str">
        <f>IFERROR(INDEX(Crosswalk_API!$H$2:$H$527, MATCH(POTABLE_NONPOTABLE_API[[#This Row],[PWSID]], CW_PWSID_LIST, 0)), "")</f>
        <v>No</v>
      </c>
    </row>
    <row r="2886" spans="1:24" x14ac:dyDescent="0.25">
      <c r="A2886" t="s">
        <v>1587</v>
      </c>
      <c r="B2886" t="s">
        <v>1588</v>
      </c>
      <c r="C2886" t="s">
        <v>1589</v>
      </c>
      <c r="D2886" t="s">
        <v>1590</v>
      </c>
      <c r="E2886" s="9">
        <v>45231</v>
      </c>
      <c r="F2886" s="9">
        <v>45260</v>
      </c>
      <c r="G2886">
        <v>51580764</v>
      </c>
      <c r="H2886">
        <v>13776574</v>
      </c>
      <c r="I2886">
        <v>16916648</v>
      </c>
      <c r="J2886">
        <v>0</v>
      </c>
      <c r="K2886">
        <v>64223130</v>
      </c>
      <c r="L2886">
        <v>4279</v>
      </c>
      <c r="M2886">
        <v>3133073</v>
      </c>
      <c r="T2886" s="9">
        <v>45108</v>
      </c>
      <c r="U2886" s="9">
        <v>45473</v>
      </c>
      <c r="V2886">
        <f>SUM(POTABLE_NONPOTABLE_API[[#This Row],[RESIDENTIAL_SINGLEFAMILY_GAL]:[OTHER_GAL]])</f>
        <v>146501395</v>
      </c>
      <c r="W2886">
        <f>SUM(POTABLE_NONPOTABLE_API[[#This Row],[NONPOTABLE_DEMAND_RESIDENTIAL_RECYCLED_WATER_GAL]:[NONPOTABLE_DEMAND_NONRESIDENTIAL_METERED_IRRIGATION_GAL]])</f>
        <v>0</v>
      </c>
      <c r="X2886" t="str">
        <f>IFERROR(INDEX(Crosswalk_API!$H$2:$H$527, MATCH(POTABLE_NONPOTABLE_API[[#This Row],[PWSID]], CW_PWSID_LIST, 0)), "")</f>
        <v>No</v>
      </c>
    </row>
    <row r="2887" spans="1:24" x14ac:dyDescent="0.25">
      <c r="A2887" t="s">
        <v>1587</v>
      </c>
      <c r="B2887" t="s">
        <v>1588</v>
      </c>
      <c r="C2887" t="s">
        <v>1589</v>
      </c>
      <c r="D2887" t="s">
        <v>1590</v>
      </c>
      <c r="E2887" s="9">
        <v>45261</v>
      </c>
      <c r="F2887" s="9">
        <v>45291</v>
      </c>
      <c r="G2887">
        <v>47613012</v>
      </c>
      <c r="H2887">
        <v>10538183</v>
      </c>
      <c r="I2887">
        <v>15615368</v>
      </c>
      <c r="J2887">
        <v>0</v>
      </c>
      <c r="K2887">
        <v>59282890</v>
      </c>
      <c r="L2887">
        <v>0</v>
      </c>
      <c r="M2887">
        <v>2891067</v>
      </c>
      <c r="T2887" s="9">
        <v>45108</v>
      </c>
      <c r="U2887" s="9">
        <v>45473</v>
      </c>
      <c r="V2887">
        <f>SUM(POTABLE_NONPOTABLE_API[[#This Row],[RESIDENTIAL_SINGLEFAMILY_GAL]:[OTHER_GAL]])</f>
        <v>133049453</v>
      </c>
      <c r="W2887">
        <f>SUM(POTABLE_NONPOTABLE_API[[#This Row],[NONPOTABLE_DEMAND_RESIDENTIAL_RECYCLED_WATER_GAL]:[NONPOTABLE_DEMAND_NONRESIDENTIAL_METERED_IRRIGATION_GAL]])</f>
        <v>0</v>
      </c>
      <c r="X2887" t="str">
        <f>IFERROR(INDEX(Crosswalk_API!$H$2:$H$527, MATCH(POTABLE_NONPOTABLE_API[[#This Row],[PWSID]], CW_PWSID_LIST, 0)), "")</f>
        <v>No</v>
      </c>
    </row>
    <row r="2888" spans="1:24" x14ac:dyDescent="0.25">
      <c r="A2888" t="s">
        <v>1587</v>
      </c>
      <c r="B2888" t="s">
        <v>1588</v>
      </c>
      <c r="C2888" t="s">
        <v>1589</v>
      </c>
      <c r="D2888" t="s">
        <v>1590</v>
      </c>
      <c r="E2888" s="9">
        <v>45292</v>
      </c>
      <c r="F2888" s="9">
        <v>45322</v>
      </c>
      <c r="G2888">
        <v>37497988</v>
      </c>
      <c r="H2888">
        <v>14564308</v>
      </c>
      <c r="I2888">
        <v>6788100</v>
      </c>
      <c r="J2888">
        <v>0</v>
      </c>
      <c r="K2888">
        <v>45856140</v>
      </c>
      <c r="L2888">
        <v>100000</v>
      </c>
      <c r="M2888">
        <v>10665732</v>
      </c>
      <c r="T2888" s="9">
        <v>45108</v>
      </c>
      <c r="U2888" s="9">
        <v>45473</v>
      </c>
      <c r="V2888">
        <f>SUM(POTABLE_NONPOTABLE_API[[#This Row],[RESIDENTIAL_SINGLEFAMILY_GAL]:[OTHER_GAL]])</f>
        <v>104806536</v>
      </c>
      <c r="W2888">
        <f>SUM(POTABLE_NONPOTABLE_API[[#This Row],[NONPOTABLE_DEMAND_RESIDENTIAL_RECYCLED_WATER_GAL]:[NONPOTABLE_DEMAND_NONRESIDENTIAL_METERED_IRRIGATION_GAL]])</f>
        <v>0</v>
      </c>
      <c r="X2888" t="str">
        <f>IFERROR(INDEX(Crosswalk_API!$H$2:$H$527, MATCH(POTABLE_NONPOTABLE_API[[#This Row],[PWSID]], CW_PWSID_LIST, 0)), "")</f>
        <v>No</v>
      </c>
    </row>
    <row r="2889" spans="1:24" x14ac:dyDescent="0.25">
      <c r="A2889" t="s">
        <v>1587</v>
      </c>
      <c r="B2889" t="s">
        <v>1588</v>
      </c>
      <c r="C2889" t="s">
        <v>1589</v>
      </c>
      <c r="D2889" t="s">
        <v>1590</v>
      </c>
      <c r="E2889" s="9">
        <v>45323</v>
      </c>
      <c r="F2889" s="9">
        <v>45351</v>
      </c>
      <c r="G2889">
        <v>35139544</v>
      </c>
      <c r="H2889">
        <v>14410968</v>
      </c>
      <c r="I2889">
        <v>8228000</v>
      </c>
      <c r="J2889">
        <v>0</v>
      </c>
      <c r="K2889">
        <v>46185260</v>
      </c>
      <c r="L2889">
        <v>100000</v>
      </c>
      <c r="M2889">
        <v>9695576</v>
      </c>
      <c r="T2889" s="9">
        <v>45108</v>
      </c>
      <c r="U2889" s="9">
        <v>45473</v>
      </c>
      <c r="V2889">
        <f>SUM(POTABLE_NONPOTABLE_API[[#This Row],[RESIDENTIAL_SINGLEFAMILY_GAL]:[OTHER_GAL]])</f>
        <v>104063772</v>
      </c>
      <c r="W2889">
        <f>SUM(POTABLE_NONPOTABLE_API[[#This Row],[NONPOTABLE_DEMAND_RESIDENTIAL_RECYCLED_WATER_GAL]:[NONPOTABLE_DEMAND_NONRESIDENTIAL_METERED_IRRIGATION_GAL]])</f>
        <v>0</v>
      </c>
      <c r="X2889" t="str">
        <f>IFERROR(INDEX(Crosswalk_API!$H$2:$H$527, MATCH(POTABLE_NONPOTABLE_API[[#This Row],[PWSID]], CW_PWSID_LIST, 0)), "")</f>
        <v>No</v>
      </c>
    </row>
    <row r="2890" spans="1:24" x14ac:dyDescent="0.25">
      <c r="A2890" t="s">
        <v>1587</v>
      </c>
      <c r="B2890" t="s">
        <v>1588</v>
      </c>
      <c r="C2890" t="s">
        <v>1589</v>
      </c>
      <c r="D2890" t="s">
        <v>1590</v>
      </c>
      <c r="E2890" s="9">
        <v>45352</v>
      </c>
      <c r="F2890" s="9">
        <v>45382</v>
      </c>
      <c r="G2890">
        <v>46062588</v>
      </c>
      <c r="H2890">
        <v>18054476</v>
      </c>
      <c r="I2890">
        <v>9768132</v>
      </c>
      <c r="J2890">
        <v>0</v>
      </c>
      <c r="K2890">
        <v>48666376</v>
      </c>
      <c r="L2890">
        <v>0</v>
      </c>
      <c r="M2890">
        <v>14212</v>
      </c>
      <c r="T2890" s="9">
        <v>45108</v>
      </c>
      <c r="U2890" s="9">
        <v>45473</v>
      </c>
      <c r="V2890">
        <f>SUM(POTABLE_NONPOTABLE_API[[#This Row],[RESIDENTIAL_SINGLEFAMILY_GAL]:[OTHER_GAL]])</f>
        <v>122551572</v>
      </c>
      <c r="W2890">
        <f>SUM(POTABLE_NONPOTABLE_API[[#This Row],[NONPOTABLE_DEMAND_RESIDENTIAL_RECYCLED_WATER_GAL]:[NONPOTABLE_DEMAND_NONRESIDENTIAL_METERED_IRRIGATION_GAL]])</f>
        <v>0</v>
      </c>
      <c r="X2890" t="str">
        <f>IFERROR(INDEX(Crosswalk_API!$H$2:$H$527, MATCH(POTABLE_NONPOTABLE_API[[#This Row],[PWSID]], CW_PWSID_LIST, 0)), "")</f>
        <v>No</v>
      </c>
    </row>
    <row r="2891" spans="1:24" x14ac:dyDescent="0.25">
      <c r="A2891" t="s">
        <v>1587</v>
      </c>
      <c r="B2891" t="s">
        <v>1588</v>
      </c>
      <c r="C2891" t="s">
        <v>1589</v>
      </c>
      <c r="D2891" t="s">
        <v>1590</v>
      </c>
      <c r="E2891" s="9">
        <v>45383</v>
      </c>
      <c r="F2891" s="9">
        <v>45412</v>
      </c>
      <c r="G2891">
        <v>60891688</v>
      </c>
      <c r="H2891">
        <v>11494516</v>
      </c>
      <c r="I2891">
        <v>14220228</v>
      </c>
      <c r="J2891">
        <v>0</v>
      </c>
      <c r="K2891">
        <v>66668492</v>
      </c>
      <c r="L2891">
        <v>3041368</v>
      </c>
      <c r="M2891">
        <v>814572</v>
      </c>
      <c r="T2891" s="9">
        <v>45108</v>
      </c>
      <c r="U2891" s="9">
        <v>45473</v>
      </c>
      <c r="V2891">
        <f>SUM(POTABLE_NONPOTABLE_API[[#This Row],[RESIDENTIAL_SINGLEFAMILY_GAL]:[OTHER_GAL]])</f>
        <v>156316292</v>
      </c>
      <c r="W2891">
        <f>SUM(POTABLE_NONPOTABLE_API[[#This Row],[NONPOTABLE_DEMAND_RESIDENTIAL_RECYCLED_WATER_GAL]:[NONPOTABLE_DEMAND_NONRESIDENTIAL_METERED_IRRIGATION_GAL]])</f>
        <v>0</v>
      </c>
      <c r="X2891" t="str">
        <f>IFERROR(INDEX(Crosswalk_API!$H$2:$H$527, MATCH(POTABLE_NONPOTABLE_API[[#This Row],[PWSID]], CW_PWSID_LIST, 0)), "")</f>
        <v>No</v>
      </c>
    </row>
    <row r="2892" spans="1:24" x14ac:dyDescent="0.25">
      <c r="A2892" t="s">
        <v>1587</v>
      </c>
      <c r="B2892" t="s">
        <v>1588</v>
      </c>
      <c r="C2892" t="s">
        <v>1589</v>
      </c>
      <c r="D2892" t="s">
        <v>1590</v>
      </c>
      <c r="E2892" s="9">
        <v>45413</v>
      </c>
      <c r="F2892" s="9">
        <v>45443</v>
      </c>
      <c r="G2892">
        <v>86575016</v>
      </c>
      <c r="H2892">
        <v>14053424</v>
      </c>
      <c r="I2892">
        <v>20582716</v>
      </c>
      <c r="J2892">
        <v>0</v>
      </c>
      <c r="K2892">
        <v>79193004</v>
      </c>
      <c r="L2892">
        <v>0</v>
      </c>
      <c r="M2892">
        <v>447304</v>
      </c>
      <c r="T2892" s="9">
        <v>45108</v>
      </c>
      <c r="U2892" s="9">
        <v>45473</v>
      </c>
      <c r="V2892">
        <f>SUM(POTABLE_NONPOTABLE_API[[#This Row],[RESIDENTIAL_SINGLEFAMILY_GAL]:[OTHER_GAL]])</f>
        <v>200404160</v>
      </c>
      <c r="W2892">
        <f>SUM(POTABLE_NONPOTABLE_API[[#This Row],[NONPOTABLE_DEMAND_RESIDENTIAL_RECYCLED_WATER_GAL]:[NONPOTABLE_DEMAND_NONRESIDENTIAL_METERED_IRRIGATION_GAL]])</f>
        <v>0</v>
      </c>
      <c r="X2892" t="str">
        <f>IFERROR(INDEX(Crosswalk_API!$H$2:$H$527, MATCH(POTABLE_NONPOTABLE_API[[#This Row],[PWSID]], CW_PWSID_LIST, 0)), "")</f>
        <v>No</v>
      </c>
    </row>
    <row r="2893" spans="1:24" x14ac:dyDescent="0.25">
      <c r="A2893" t="s">
        <v>1587</v>
      </c>
      <c r="B2893" t="s">
        <v>1588</v>
      </c>
      <c r="C2893" t="s">
        <v>1589</v>
      </c>
      <c r="D2893" t="s">
        <v>1590</v>
      </c>
      <c r="E2893" s="9">
        <v>45444</v>
      </c>
      <c r="F2893" s="9">
        <v>45473</v>
      </c>
      <c r="G2893">
        <v>100784024</v>
      </c>
      <c r="H2893">
        <v>15829924</v>
      </c>
      <c r="I2893">
        <v>28452424</v>
      </c>
      <c r="J2893">
        <v>0</v>
      </c>
      <c r="K2893">
        <v>71961340</v>
      </c>
      <c r="L2893">
        <v>0</v>
      </c>
      <c r="M2893">
        <v>563992</v>
      </c>
      <c r="T2893" s="9">
        <v>45108</v>
      </c>
      <c r="U2893" s="9">
        <v>45473</v>
      </c>
      <c r="V2893">
        <f>SUM(POTABLE_NONPOTABLE_API[[#This Row],[RESIDENTIAL_SINGLEFAMILY_GAL]:[OTHER_GAL]])</f>
        <v>217027712</v>
      </c>
      <c r="W2893">
        <f>SUM(POTABLE_NONPOTABLE_API[[#This Row],[NONPOTABLE_DEMAND_RESIDENTIAL_RECYCLED_WATER_GAL]:[NONPOTABLE_DEMAND_NONRESIDENTIAL_METERED_IRRIGATION_GAL]])</f>
        <v>0</v>
      </c>
      <c r="X2893" t="str">
        <f>IFERROR(INDEX(Crosswalk_API!$H$2:$H$527, MATCH(POTABLE_NONPOTABLE_API[[#This Row],[PWSID]], CW_PWSID_LIST, 0)), "")</f>
        <v>No</v>
      </c>
    </row>
    <row r="2894" spans="1:24" x14ac:dyDescent="0.25">
      <c r="A2894" t="s">
        <v>1910</v>
      </c>
      <c r="B2894" t="s">
        <v>1911</v>
      </c>
      <c r="C2894" t="s">
        <v>1912</v>
      </c>
      <c r="D2894" t="s">
        <v>1913</v>
      </c>
      <c r="E2894" s="9">
        <v>45108</v>
      </c>
      <c r="F2894" s="9">
        <v>45138</v>
      </c>
      <c r="G2894">
        <v>46160052.659999996</v>
      </c>
      <c r="H2894">
        <v>4017742.83</v>
      </c>
      <c r="I2894">
        <v>11548159.439999999</v>
      </c>
      <c r="J2894">
        <v>0</v>
      </c>
      <c r="K2894">
        <v>0</v>
      </c>
      <c r="L2894">
        <v>237871.22999999998</v>
      </c>
      <c r="M2894">
        <v>0</v>
      </c>
      <c r="T2894" s="9">
        <v>45108</v>
      </c>
      <c r="U2894" s="9">
        <v>45473</v>
      </c>
      <c r="V2894">
        <f>SUM(POTABLE_NONPOTABLE_API[[#This Row],[RESIDENTIAL_SINGLEFAMILY_GAL]:[OTHER_GAL]])</f>
        <v>61963826.159999989</v>
      </c>
      <c r="W2894">
        <f>SUM(POTABLE_NONPOTABLE_API[[#This Row],[NONPOTABLE_DEMAND_RESIDENTIAL_RECYCLED_WATER_GAL]:[NONPOTABLE_DEMAND_NONRESIDENTIAL_METERED_IRRIGATION_GAL]])</f>
        <v>0</v>
      </c>
      <c r="X2894" t="str">
        <f>IFERROR(INDEX(Crosswalk_API!$H$2:$H$527, MATCH(POTABLE_NONPOTABLE_API[[#This Row],[PWSID]], CW_PWSID_LIST, 0)), "")</f>
        <v>No</v>
      </c>
    </row>
    <row r="2895" spans="1:24" x14ac:dyDescent="0.25">
      <c r="A2895" t="s">
        <v>1910</v>
      </c>
      <c r="B2895" t="s">
        <v>1911</v>
      </c>
      <c r="C2895" t="s">
        <v>1912</v>
      </c>
      <c r="D2895" t="s">
        <v>1913</v>
      </c>
      <c r="E2895" s="9">
        <v>45139</v>
      </c>
      <c r="F2895" s="9">
        <v>45169</v>
      </c>
      <c r="G2895">
        <v>43911680.759999998</v>
      </c>
      <c r="H2895">
        <v>3972123.69</v>
      </c>
      <c r="I2895">
        <v>11652431.76</v>
      </c>
      <c r="J2895">
        <v>0</v>
      </c>
      <c r="K2895">
        <v>0</v>
      </c>
      <c r="L2895">
        <v>280231.86</v>
      </c>
      <c r="M2895">
        <v>0</v>
      </c>
      <c r="T2895" s="9">
        <v>45108</v>
      </c>
      <c r="U2895" s="9">
        <v>45473</v>
      </c>
      <c r="V2895">
        <f>SUM(POTABLE_NONPOTABLE_API[[#This Row],[RESIDENTIAL_SINGLEFAMILY_GAL]:[OTHER_GAL]])</f>
        <v>59816468.069999993</v>
      </c>
      <c r="W2895">
        <f>SUM(POTABLE_NONPOTABLE_API[[#This Row],[NONPOTABLE_DEMAND_RESIDENTIAL_RECYCLED_WATER_GAL]:[NONPOTABLE_DEMAND_NONRESIDENTIAL_METERED_IRRIGATION_GAL]])</f>
        <v>0</v>
      </c>
      <c r="X2895" t="str">
        <f>IFERROR(INDEX(Crosswalk_API!$H$2:$H$527, MATCH(POTABLE_NONPOTABLE_API[[#This Row],[PWSID]], CW_PWSID_LIST, 0)), "")</f>
        <v>No</v>
      </c>
    </row>
    <row r="2896" spans="1:24" x14ac:dyDescent="0.25">
      <c r="A2896" t="s">
        <v>1910</v>
      </c>
      <c r="B2896" t="s">
        <v>1911</v>
      </c>
      <c r="C2896" t="s">
        <v>1912</v>
      </c>
      <c r="D2896" t="s">
        <v>1913</v>
      </c>
      <c r="E2896" s="9">
        <v>45170</v>
      </c>
      <c r="F2896" s="9">
        <v>45199</v>
      </c>
      <c r="G2896">
        <v>40346870.82</v>
      </c>
      <c r="H2896">
        <v>3770096.0700000003</v>
      </c>
      <c r="I2896">
        <v>10511953.26</v>
      </c>
      <c r="J2896">
        <v>0</v>
      </c>
      <c r="K2896">
        <v>0</v>
      </c>
      <c r="L2896">
        <v>13034.04</v>
      </c>
      <c r="M2896">
        <v>0</v>
      </c>
      <c r="T2896" s="9">
        <v>45108</v>
      </c>
      <c r="U2896" s="9">
        <v>45473</v>
      </c>
      <c r="V2896">
        <f>SUM(POTABLE_NONPOTABLE_API[[#This Row],[RESIDENTIAL_SINGLEFAMILY_GAL]:[OTHER_GAL]])</f>
        <v>54641954.189999998</v>
      </c>
      <c r="W2896">
        <f>SUM(POTABLE_NONPOTABLE_API[[#This Row],[NONPOTABLE_DEMAND_RESIDENTIAL_RECYCLED_WATER_GAL]:[NONPOTABLE_DEMAND_NONRESIDENTIAL_METERED_IRRIGATION_GAL]])</f>
        <v>0</v>
      </c>
      <c r="X2896" t="str">
        <f>IFERROR(INDEX(Crosswalk_API!$H$2:$H$527, MATCH(POTABLE_NONPOTABLE_API[[#This Row],[PWSID]], CW_PWSID_LIST, 0)), "")</f>
        <v>No</v>
      </c>
    </row>
    <row r="2897" spans="1:24" x14ac:dyDescent="0.25">
      <c r="A2897" t="s">
        <v>1910</v>
      </c>
      <c r="B2897" t="s">
        <v>1911</v>
      </c>
      <c r="C2897" t="s">
        <v>1912</v>
      </c>
      <c r="D2897" t="s">
        <v>1913</v>
      </c>
      <c r="E2897" s="9">
        <v>45200</v>
      </c>
      <c r="F2897" s="9">
        <v>45230</v>
      </c>
      <c r="G2897">
        <v>41236444.049999997</v>
      </c>
      <c r="H2897">
        <v>3796164.15</v>
      </c>
      <c r="I2897">
        <v>9404059.8599999994</v>
      </c>
      <c r="J2897">
        <v>0</v>
      </c>
      <c r="K2897">
        <v>0</v>
      </c>
      <c r="L2897">
        <v>22809.570000000003</v>
      </c>
      <c r="M2897">
        <v>0</v>
      </c>
      <c r="T2897" s="9">
        <v>45108</v>
      </c>
      <c r="U2897" s="9">
        <v>45473</v>
      </c>
      <c r="V2897">
        <f>SUM(POTABLE_NONPOTABLE_API[[#This Row],[RESIDENTIAL_SINGLEFAMILY_GAL]:[OTHER_GAL]])</f>
        <v>54459477.629999995</v>
      </c>
      <c r="W2897">
        <f>SUM(POTABLE_NONPOTABLE_API[[#This Row],[NONPOTABLE_DEMAND_RESIDENTIAL_RECYCLED_WATER_GAL]:[NONPOTABLE_DEMAND_NONRESIDENTIAL_METERED_IRRIGATION_GAL]])</f>
        <v>0</v>
      </c>
      <c r="X2897" t="str">
        <f>IFERROR(INDEX(Crosswalk_API!$H$2:$H$527, MATCH(POTABLE_NONPOTABLE_API[[#This Row],[PWSID]], CW_PWSID_LIST, 0)), "")</f>
        <v>No</v>
      </c>
    </row>
    <row r="2898" spans="1:24" x14ac:dyDescent="0.25">
      <c r="A2898" t="s">
        <v>1910</v>
      </c>
      <c r="B2898" t="s">
        <v>1911</v>
      </c>
      <c r="C2898" t="s">
        <v>1912</v>
      </c>
      <c r="D2898" t="s">
        <v>1913</v>
      </c>
      <c r="E2898" s="9">
        <v>45231</v>
      </c>
      <c r="F2898" s="9">
        <v>45260</v>
      </c>
      <c r="G2898">
        <v>39427971</v>
      </c>
      <c r="H2898">
        <v>3704925.8699999996</v>
      </c>
      <c r="I2898">
        <v>8501452.5899999999</v>
      </c>
      <c r="J2898">
        <v>0</v>
      </c>
      <c r="K2898">
        <v>0</v>
      </c>
      <c r="L2898">
        <v>29326.59</v>
      </c>
      <c r="M2898">
        <v>0</v>
      </c>
      <c r="T2898" s="9">
        <v>45108</v>
      </c>
      <c r="U2898" s="9">
        <v>45473</v>
      </c>
      <c r="V2898">
        <f>SUM(POTABLE_NONPOTABLE_API[[#This Row],[RESIDENTIAL_SINGLEFAMILY_GAL]:[OTHER_GAL]])</f>
        <v>51663676.049999997</v>
      </c>
      <c r="W2898">
        <f>SUM(POTABLE_NONPOTABLE_API[[#This Row],[NONPOTABLE_DEMAND_RESIDENTIAL_RECYCLED_WATER_GAL]:[NONPOTABLE_DEMAND_NONRESIDENTIAL_METERED_IRRIGATION_GAL]])</f>
        <v>0</v>
      </c>
      <c r="X2898" t="str">
        <f>IFERROR(INDEX(Crosswalk_API!$H$2:$H$527, MATCH(POTABLE_NONPOTABLE_API[[#This Row],[PWSID]], CW_PWSID_LIST, 0)), "")</f>
        <v>No</v>
      </c>
    </row>
    <row r="2899" spans="1:24" x14ac:dyDescent="0.25">
      <c r="A2899" t="s">
        <v>1910</v>
      </c>
      <c r="B2899" t="s">
        <v>1911</v>
      </c>
      <c r="C2899" t="s">
        <v>1912</v>
      </c>
      <c r="D2899" t="s">
        <v>1913</v>
      </c>
      <c r="E2899" s="9">
        <v>45261</v>
      </c>
      <c r="F2899" s="9">
        <v>45291</v>
      </c>
      <c r="G2899">
        <v>38199512.730000004</v>
      </c>
      <c r="H2899">
        <v>3789647.1300000004</v>
      </c>
      <c r="I2899">
        <v>8869664.2199999988</v>
      </c>
      <c r="J2899">
        <v>0</v>
      </c>
      <c r="K2899">
        <v>0</v>
      </c>
      <c r="L2899">
        <v>345402.06</v>
      </c>
      <c r="M2899">
        <v>0</v>
      </c>
      <c r="T2899" s="9">
        <v>45108</v>
      </c>
      <c r="U2899" s="9">
        <v>45473</v>
      </c>
      <c r="V2899">
        <f>SUM(POTABLE_NONPOTABLE_API[[#This Row],[RESIDENTIAL_SINGLEFAMILY_GAL]:[OTHER_GAL]])</f>
        <v>51204226.140000008</v>
      </c>
      <c r="W2899">
        <f>SUM(POTABLE_NONPOTABLE_API[[#This Row],[NONPOTABLE_DEMAND_RESIDENTIAL_RECYCLED_WATER_GAL]:[NONPOTABLE_DEMAND_NONRESIDENTIAL_METERED_IRRIGATION_GAL]])</f>
        <v>0</v>
      </c>
      <c r="X2899" t="str">
        <f>IFERROR(INDEX(Crosswalk_API!$H$2:$H$527, MATCH(POTABLE_NONPOTABLE_API[[#This Row],[PWSID]], CW_PWSID_LIST, 0)), "")</f>
        <v>No</v>
      </c>
    </row>
    <row r="2900" spans="1:24" x14ac:dyDescent="0.25">
      <c r="A2900" t="s">
        <v>1910</v>
      </c>
      <c r="B2900" t="s">
        <v>1911</v>
      </c>
      <c r="C2900" t="s">
        <v>1912</v>
      </c>
      <c r="D2900" t="s">
        <v>1913</v>
      </c>
      <c r="E2900" s="9">
        <v>45292</v>
      </c>
      <c r="F2900" s="9">
        <v>45322</v>
      </c>
      <c r="G2900">
        <v>4095947.0700000003</v>
      </c>
      <c r="H2900">
        <v>1208907.21</v>
      </c>
      <c r="I2900">
        <v>5145187.29</v>
      </c>
      <c r="J2900">
        <v>0</v>
      </c>
      <c r="K2900">
        <v>0</v>
      </c>
      <c r="L2900">
        <v>475742.45999999996</v>
      </c>
      <c r="M2900">
        <v>0</v>
      </c>
      <c r="T2900" s="9">
        <v>45108</v>
      </c>
      <c r="U2900" s="9">
        <v>45473</v>
      </c>
      <c r="V2900">
        <f>SUM(POTABLE_NONPOTABLE_API[[#This Row],[RESIDENTIAL_SINGLEFAMILY_GAL]:[OTHER_GAL]])</f>
        <v>10925784.030000001</v>
      </c>
      <c r="W2900">
        <f>SUM(POTABLE_NONPOTABLE_API[[#This Row],[NONPOTABLE_DEMAND_RESIDENTIAL_RECYCLED_WATER_GAL]:[NONPOTABLE_DEMAND_NONRESIDENTIAL_METERED_IRRIGATION_GAL]])</f>
        <v>0</v>
      </c>
      <c r="X2900" t="str">
        <f>IFERROR(INDEX(Crosswalk_API!$H$2:$H$527, MATCH(POTABLE_NONPOTABLE_API[[#This Row],[PWSID]], CW_PWSID_LIST, 0)), "")</f>
        <v>No</v>
      </c>
    </row>
    <row r="2901" spans="1:24" x14ac:dyDescent="0.25">
      <c r="A2901" t="s">
        <v>1910</v>
      </c>
      <c r="B2901" t="s">
        <v>1911</v>
      </c>
      <c r="C2901" t="s">
        <v>1912</v>
      </c>
      <c r="D2901" t="s">
        <v>1913</v>
      </c>
      <c r="E2901" s="9">
        <v>45323</v>
      </c>
      <c r="F2901" s="9">
        <v>45351</v>
      </c>
      <c r="G2901">
        <v>59757814.889999993</v>
      </c>
      <c r="H2901">
        <v>6354094.5</v>
      </c>
      <c r="I2901">
        <v>9508332.1799999997</v>
      </c>
      <c r="J2901">
        <v>0</v>
      </c>
      <c r="K2901">
        <v>0</v>
      </c>
      <c r="L2901">
        <v>107530.83</v>
      </c>
      <c r="M2901">
        <v>0</v>
      </c>
      <c r="T2901" s="9">
        <v>45108</v>
      </c>
      <c r="U2901" s="9">
        <v>45473</v>
      </c>
      <c r="V2901">
        <f>SUM(POTABLE_NONPOTABLE_API[[#This Row],[RESIDENTIAL_SINGLEFAMILY_GAL]:[OTHER_GAL]])</f>
        <v>75727772.399999991</v>
      </c>
      <c r="W2901">
        <f>SUM(POTABLE_NONPOTABLE_API[[#This Row],[NONPOTABLE_DEMAND_RESIDENTIAL_RECYCLED_WATER_GAL]:[NONPOTABLE_DEMAND_NONRESIDENTIAL_METERED_IRRIGATION_GAL]])</f>
        <v>0</v>
      </c>
      <c r="X2901" t="str">
        <f>IFERROR(INDEX(Crosswalk_API!$H$2:$H$527, MATCH(POTABLE_NONPOTABLE_API[[#This Row],[PWSID]], CW_PWSID_LIST, 0)), "")</f>
        <v>No</v>
      </c>
    </row>
    <row r="2902" spans="1:24" x14ac:dyDescent="0.25">
      <c r="A2902" t="s">
        <v>1910</v>
      </c>
      <c r="B2902" t="s">
        <v>1911</v>
      </c>
      <c r="C2902" t="s">
        <v>1912</v>
      </c>
      <c r="D2902" t="s">
        <v>1913</v>
      </c>
      <c r="E2902" s="9">
        <v>45352</v>
      </c>
      <c r="F2902" s="9">
        <v>45382</v>
      </c>
      <c r="G2902">
        <v>2896815.39</v>
      </c>
      <c r="H2902">
        <v>1016655.12</v>
      </c>
      <c r="I2902">
        <v>4526070.3900000006</v>
      </c>
      <c r="J2902">
        <v>0</v>
      </c>
      <c r="K2902">
        <v>0</v>
      </c>
      <c r="L2902">
        <v>6517.02</v>
      </c>
      <c r="M2902">
        <v>0</v>
      </c>
      <c r="T2902" s="9">
        <v>45108</v>
      </c>
      <c r="U2902" s="9">
        <v>45473</v>
      </c>
      <c r="V2902">
        <f>SUM(POTABLE_NONPOTABLE_API[[#This Row],[RESIDENTIAL_SINGLEFAMILY_GAL]:[OTHER_GAL]])</f>
        <v>8446057.9199999999</v>
      </c>
      <c r="W2902">
        <f>SUM(POTABLE_NONPOTABLE_API[[#This Row],[NONPOTABLE_DEMAND_RESIDENTIAL_RECYCLED_WATER_GAL]:[NONPOTABLE_DEMAND_NONRESIDENTIAL_METERED_IRRIGATION_GAL]])</f>
        <v>0</v>
      </c>
      <c r="X2902" t="str">
        <f>IFERROR(INDEX(Crosswalk_API!$H$2:$H$527, MATCH(POTABLE_NONPOTABLE_API[[#This Row],[PWSID]], CW_PWSID_LIST, 0)), "")</f>
        <v>No</v>
      </c>
    </row>
    <row r="2903" spans="1:24" x14ac:dyDescent="0.25">
      <c r="A2903" t="s">
        <v>1910</v>
      </c>
      <c r="B2903" t="s">
        <v>1911</v>
      </c>
      <c r="C2903" t="s">
        <v>1912</v>
      </c>
      <c r="D2903" t="s">
        <v>1913</v>
      </c>
      <c r="E2903" s="9">
        <v>45383</v>
      </c>
      <c r="F2903" s="9">
        <v>45412</v>
      </c>
      <c r="G2903">
        <v>66049997.699999996</v>
      </c>
      <c r="H2903">
        <v>6298699.8299999991</v>
      </c>
      <c r="I2903">
        <v>8651344.0500000007</v>
      </c>
      <c r="J2903">
        <v>0</v>
      </c>
      <c r="K2903">
        <v>0</v>
      </c>
      <c r="L2903">
        <v>74945.73000000001</v>
      </c>
      <c r="M2903">
        <v>0</v>
      </c>
      <c r="T2903" s="9">
        <v>45108</v>
      </c>
      <c r="U2903" s="9">
        <v>45473</v>
      </c>
      <c r="V2903">
        <f>SUM(POTABLE_NONPOTABLE_API[[#This Row],[RESIDENTIAL_SINGLEFAMILY_GAL]:[OTHER_GAL]])</f>
        <v>81074987.310000002</v>
      </c>
      <c r="W2903">
        <f>SUM(POTABLE_NONPOTABLE_API[[#This Row],[NONPOTABLE_DEMAND_RESIDENTIAL_RECYCLED_WATER_GAL]:[NONPOTABLE_DEMAND_NONRESIDENTIAL_METERED_IRRIGATION_GAL]])</f>
        <v>0</v>
      </c>
      <c r="X2903" t="str">
        <f>IFERROR(INDEX(Crosswalk_API!$H$2:$H$527, MATCH(POTABLE_NONPOTABLE_API[[#This Row],[PWSID]], CW_PWSID_LIST, 0)), "")</f>
        <v>No</v>
      </c>
    </row>
    <row r="2904" spans="1:24" x14ac:dyDescent="0.25">
      <c r="A2904" t="s">
        <v>1910</v>
      </c>
      <c r="B2904" t="s">
        <v>1911</v>
      </c>
      <c r="C2904" t="s">
        <v>1912</v>
      </c>
      <c r="D2904" t="s">
        <v>1913</v>
      </c>
      <c r="E2904" s="9">
        <v>45413</v>
      </c>
      <c r="F2904" s="9">
        <v>45443</v>
      </c>
      <c r="G2904">
        <v>883056.21</v>
      </c>
      <c r="H2904">
        <v>1130702.97</v>
      </c>
      <c r="I2904">
        <v>5467779.7800000003</v>
      </c>
      <c r="J2904">
        <v>0</v>
      </c>
      <c r="K2904">
        <v>0</v>
      </c>
      <c r="L2904">
        <v>127081.89</v>
      </c>
      <c r="M2904">
        <v>0</v>
      </c>
      <c r="T2904" s="9">
        <v>45108</v>
      </c>
      <c r="U2904" s="9">
        <v>45473</v>
      </c>
      <c r="V2904">
        <f>SUM(POTABLE_NONPOTABLE_API[[#This Row],[RESIDENTIAL_SINGLEFAMILY_GAL]:[OTHER_GAL]])</f>
        <v>7608620.8499999996</v>
      </c>
      <c r="W2904">
        <f>SUM(POTABLE_NONPOTABLE_API[[#This Row],[NONPOTABLE_DEMAND_RESIDENTIAL_RECYCLED_WATER_GAL]:[NONPOTABLE_DEMAND_NONRESIDENTIAL_METERED_IRRIGATION_GAL]])</f>
        <v>0</v>
      </c>
      <c r="X2904" t="str">
        <f>IFERROR(INDEX(Crosswalk_API!$H$2:$H$527, MATCH(POTABLE_NONPOTABLE_API[[#This Row],[PWSID]], CW_PWSID_LIST, 0)), "")</f>
        <v>No</v>
      </c>
    </row>
    <row r="2905" spans="1:24" x14ac:dyDescent="0.25">
      <c r="A2905" t="s">
        <v>1910</v>
      </c>
      <c r="B2905" t="s">
        <v>1911</v>
      </c>
      <c r="C2905" t="s">
        <v>1912</v>
      </c>
      <c r="D2905" t="s">
        <v>1913</v>
      </c>
      <c r="E2905" s="9">
        <v>45444</v>
      </c>
      <c r="F2905" s="9">
        <v>45473</v>
      </c>
      <c r="G2905">
        <v>81531178.710000008</v>
      </c>
      <c r="H2905">
        <v>7321871.9699999997</v>
      </c>
      <c r="I2905">
        <v>11430853.08</v>
      </c>
      <c r="J2905">
        <v>0</v>
      </c>
      <c r="K2905">
        <v>0</v>
      </c>
      <c r="L2905">
        <v>306299.94</v>
      </c>
      <c r="M2905">
        <v>0</v>
      </c>
      <c r="T2905" s="9">
        <v>45108</v>
      </c>
      <c r="U2905" s="9">
        <v>45473</v>
      </c>
      <c r="V2905">
        <f>SUM(POTABLE_NONPOTABLE_API[[#This Row],[RESIDENTIAL_SINGLEFAMILY_GAL]:[OTHER_GAL]])</f>
        <v>100590203.7</v>
      </c>
      <c r="W2905">
        <f>SUM(POTABLE_NONPOTABLE_API[[#This Row],[NONPOTABLE_DEMAND_RESIDENTIAL_RECYCLED_WATER_GAL]:[NONPOTABLE_DEMAND_NONRESIDENTIAL_METERED_IRRIGATION_GAL]])</f>
        <v>0</v>
      </c>
      <c r="X2905" t="str">
        <f>IFERROR(INDEX(Crosswalk_API!$H$2:$H$527, MATCH(POTABLE_NONPOTABLE_API[[#This Row],[PWSID]], CW_PWSID_LIST, 0)), "")</f>
        <v>No</v>
      </c>
    </row>
    <row r="2906" spans="1:24" x14ac:dyDescent="0.25">
      <c r="A2906" t="s">
        <v>1910</v>
      </c>
      <c r="B2906" t="s">
        <v>1911</v>
      </c>
      <c r="C2906" t="s">
        <v>1914</v>
      </c>
      <c r="D2906" t="s">
        <v>1915</v>
      </c>
      <c r="E2906" s="9">
        <v>45108</v>
      </c>
      <c r="F2906" s="9">
        <v>45138</v>
      </c>
      <c r="G2906">
        <v>30164027.069999997</v>
      </c>
      <c r="H2906">
        <v>7276252.8299999991</v>
      </c>
      <c r="I2906">
        <v>4904057.55</v>
      </c>
      <c r="J2906">
        <v>0</v>
      </c>
      <c r="K2906">
        <v>0</v>
      </c>
      <c r="L2906">
        <v>0</v>
      </c>
      <c r="M2906">
        <v>0</v>
      </c>
      <c r="T2906" s="9">
        <v>45108</v>
      </c>
      <c r="U2906" s="9">
        <v>45473</v>
      </c>
      <c r="V2906">
        <f>SUM(POTABLE_NONPOTABLE_API[[#This Row],[RESIDENTIAL_SINGLEFAMILY_GAL]:[OTHER_GAL]])</f>
        <v>42344337.449999996</v>
      </c>
      <c r="W2906">
        <f>SUM(POTABLE_NONPOTABLE_API[[#This Row],[NONPOTABLE_DEMAND_RESIDENTIAL_RECYCLED_WATER_GAL]:[NONPOTABLE_DEMAND_NONRESIDENTIAL_METERED_IRRIGATION_GAL]])</f>
        <v>0</v>
      </c>
      <c r="X2906" t="str">
        <f>IFERROR(INDEX(Crosswalk_API!$H$2:$H$527, MATCH(POTABLE_NONPOTABLE_API[[#This Row],[PWSID]], CW_PWSID_LIST, 0)), "")</f>
        <v>No</v>
      </c>
    </row>
    <row r="2907" spans="1:24" x14ac:dyDescent="0.25">
      <c r="A2907" t="s">
        <v>1910</v>
      </c>
      <c r="B2907" t="s">
        <v>1911</v>
      </c>
      <c r="C2907" t="s">
        <v>1914</v>
      </c>
      <c r="D2907" t="s">
        <v>1915</v>
      </c>
      <c r="E2907" s="9">
        <v>45139</v>
      </c>
      <c r="F2907" s="9">
        <v>45169</v>
      </c>
      <c r="G2907">
        <v>29010514.530000001</v>
      </c>
      <c r="H2907">
        <v>7155687.96</v>
      </c>
      <c r="I2907">
        <v>4923608.6099999994</v>
      </c>
      <c r="J2907">
        <v>0</v>
      </c>
      <c r="K2907">
        <v>0</v>
      </c>
      <c r="L2907">
        <v>0</v>
      </c>
      <c r="M2907">
        <v>0</v>
      </c>
      <c r="T2907" s="9">
        <v>45108</v>
      </c>
      <c r="U2907" s="9">
        <v>45473</v>
      </c>
      <c r="V2907">
        <f>SUM(POTABLE_NONPOTABLE_API[[#This Row],[RESIDENTIAL_SINGLEFAMILY_GAL]:[OTHER_GAL]])</f>
        <v>41089811.100000001</v>
      </c>
      <c r="W2907">
        <f>SUM(POTABLE_NONPOTABLE_API[[#This Row],[NONPOTABLE_DEMAND_RESIDENTIAL_RECYCLED_WATER_GAL]:[NONPOTABLE_DEMAND_NONRESIDENTIAL_METERED_IRRIGATION_GAL]])</f>
        <v>0</v>
      </c>
      <c r="X2907" t="str">
        <f>IFERROR(INDEX(Crosswalk_API!$H$2:$H$527, MATCH(POTABLE_NONPOTABLE_API[[#This Row],[PWSID]], CW_PWSID_LIST, 0)), "")</f>
        <v>No</v>
      </c>
    </row>
    <row r="2908" spans="1:24" x14ac:dyDescent="0.25">
      <c r="A2908" t="s">
        <v>1910</v>
      </c>
      <c r="B2908" t="s">
        <v>1911</v>
      </c>
      <c r="C2908" t="s">
        <v>1914</v>
      </c>
      <c r="D2908" t="s">
        <v>1915</v>
      </c>
      <c r="E2908" s="9">
        <v>45170</v>
      </c>
      <c r="F2908" s="9">
        <v>45199</v>
      </c>
      <c r="G2908">
        <v>27974308.349999998</v>
      </c>
      <c r="H2908">
        <v>7015572.0300000003</v>
      </c>
      <c r="I2908">
        <v>4979003.2799999993</v>
      </c>
      <c r="J2908">
        <v>0</v>
      </c>
      <c r="K2908">
        <v>0</v>
      </c>
      <c r="L2908">
        <v>0</v>
      </c>
      <c r="M2908">
        <v>0</v>
      </c>
      <c r="T2908" s="9">
        <v>45108</v>
      </c>
      <c r="U2908" s="9">
        <v>45473</v>
      </c>
      <c r="V2908">
        <f>SUM(POTABLE_NONPOTABLE_API[[#This Row],[RESIDENTIAL_SINGLEFAMILY_GAL]:[OTHER_GAL]])</f>
        <v>39968883.659999996</v>
      </c>
      <c r="W2908">
        <f>SUM(POTABLE_NONPOTABLE_API[[#This Row],[NONPOTABLE_DEMAND_RESIDENTIAL_RECYCLED_WATER_GAL]:[NONPOTABLE_DEMAND_NONRESIDENTIAL_METERED_IRRIGATION_GAL]])</f>
        <v>0</v>
      </c>
      <c r="X2908" t="str">
        <f>IFERROR(INDEX(Crosswalk_API!$H$2:$H$527, MATCH(POTABLE_NONPOTABLE_API[[#This Row],[PWSID]], CW_PWSID_LIST, 0)), "")</f>
        <v>No</v>
      </c>
    </row>
    <row r="2909" spans="1:24" x14ac:dyDescent="0.25">
      <c r="A2909" t="s">
        <v>1910</v>
      </c>
      <c r="B2909" t="s">
        <v>1911</v>
      </c>
      <c r="C2909" t="s">
        <v>1914</v>
      </c>
      <c r="D2909" t="s">
        <v>1915</v>
      </c>
      <c r="E2909" s="9">
        <v>45200</v>
      </c>
      <c r="F2909" s="9">
        <v>45230</v>
      </c>
      <c r="G2909">
        <v>28375105.079999998</v>
      </c>
      <c r="H2909">
        <v>7198048.5899999999</v>
      </c>
      <c r="I2909">
        <v>4685737.38</v>
      </c>
      <c r="J2909">
        <v>0</v>
      </c>
      <c r="K2909">
        <v>0</v>
      </c>
      <c r="L2909">
        <v>0</v>
      </c>
      <c r="M2909">
        <v>0</v>
      </c>
      <c r="T2909" s="9">
        <v>45108</v>
      </c>
      <c r="U2909" s="9">
        <v>45473</v>
      </c>
      <c r="V2909">
        <f>SUM(POTABLE_NONPOTABLE_API[[#This Row],[RESIDENTIAL_SINGLEFAMILY_GAL]:[OTHER_GAL]])</f>
        <v>40258891.050000004</v>
      </c>
      <c r="W2909">
        <f>SUM(POTABLE_NONPOTABLE_API[[#This Row],[NONPOTABLE_DEMAND_RESIDENTIAL_RECYCLED_WATER_GAL]:[NONPOTABLE_DEMAND_NONRESIDENTIAL_METERED_IRRIGATION_GAL]])</f>
        <v>0</v>
      </c>
      <c r="X2909" t="str">
        <f>IFERROR(INDEX(Crosswalk_API!$H$2:$H$527, MATCH(POTABLE_NONPOTABLE_API[[#This Row],[PWSID]], CW_PWSID_LIST, 0)), "")</f>
        <v>No</v>
      </c>
    </row>
    <row r="2910" spans="1:24" x14ac:dyDescent="0.25">
      <c r="A2910" t="s">
        <v>1910</v>
      </c>
      <c r="B2910" t="s">
        <v>1911</v>
      </c>
      <c r="C2910" t="s">
        <v>1914</v>
      </c>
      <c r="D2910" t="s">
        <v>1915</v>
      </c>
      <c r="E2910" s="9">
        <v>45231</v>
      </c>
      <c r="F2910" s="9">
        <v>45260</v>
      </c>
      <c r="G2910">
        <v>27387776.550000001</v>
      </c>
      <c r="H2910">
        <v>7009055.0100000007</v>
      </c>
      <c r="I2910">
        <v>3734252.4600000004</v>
      </c>
      <c r="J2910">
        <v>0</v>
      </c>
      <c r="K2910">
        <v>0</v>
      </c>
      <c r="L2910">
        <v>0</v>
      </c>
      <c r="M2910">
        <v>0</v>
      </c>
      <c r="T2910" s="9">
        <v>45108</v>
      </c>
      <c r="U2910" s="9">
        <v>45473</v>
      </c>
      <c r="V2910">
        <f>SUM(POTABLE_NONPOTABLE_API[[#This Row],[RESIDENTIAL_SINGLEFAMILY_GAL]:[OTHER_GAL]])</f>
        <v>38131084.020000003</v>
      </c>
      <c r="W2910">
        <f>SUM(POTABLE_NONPOTABLE_API[[#This Row],[NONPOTABLE_DEMAND_RESIDENTIAL_RECYCLED_WATER_GAL]:[NONPOTABLE_DEMAND_NONRESIDENTIAL_METERED_IRRIGATION_GAL]])</f>
        <v>0</v>
      </c>
      <c r="X2910" t="str">
        <f>IFERROR(INDEX(Crosswalk_API!$H$2:$H$527, MATCH(POTABLE_NONPOTABLE_API[[#This Row],[PWSID]], CW_PWSID_LIST, 0)), "")</f>
        <v>No</v>
      </c>
    </row>
    <row r="2911" spans="1:24" x14ac:dyDescent="0.25">
      <c r="A2911" t="s">
        <v>1910</v>
      </c>
      <c r="B2911" t="s">
        <v>1911</v>
      </c>
      <c r="C2911" t="s">
        <v>1914</v>
      </c>
      <c r="D2911" t="s">
        <v>1915</v>
      </c>
      <c r="E2911" s="9">
        <v>45261</v>
      </c>
      <c r="F2911" s="9">
        <v>45291</v>
      </c>
      <c r="G2911">
        <v>26488427.790000003</v>
      </c>
      <c r="H2911">
        <v>7038381.6000000006</v>
      </c>
      <c r="I2911">
        <v>3382333.3800000004</v>
      </c>
      <c r="J2911">
        <v>0</v>
      </c>
      <c r="K2911">
        <v>0</v>
      </c>
      <c r="L2911">
        <v>3258.51</v>
      </c>
      <c r="M2911">
        <v>0</v>
      </c>
      <c r="T2911" s="9">
        <v>45108</v>
      </c>
      <c r="U2911" s="9">
        <v>45473</v>
      </c>
      <c r="V2911">
        <f>SUM(POTABLE_NONPOTABLE_API[[#This Row],[RESIDENTIAL_SINGLEFAMILY_GAL]:[OTHER_GAL]])</f>
        <v>36912401.280000001</v>
      </c>
      <c r="W2911">
        <f>SUM(POTABLE_NONPOTABLE_API[[#This Row],[NONPOTABLE_DEMAND_RESIDENTIAL_RECYCLED_WATER_GAL]:[NONPOTABLE_DEMAND_NONRESIDENTIAL_METERED_IRRIGATION_GAL]])</f>
        <v>0</v>
      </c>
      <c r="X2911" t="str">
        <f>IFERROR(INDEX(Crosswalk_API!$H$2:$H$527, MATCH(POTABLE_NONPOTABLE_API[[#This Row],[PWSID]], CW_PWSID_LIST, 0)), "")</f>
        <v>No</v>
      </c>
    </row>
    <row r="2912" spans="1:24" x14ac:dyDescent="0.25">
      <c r="A2912" t="s">
        <v>1910</v>
      </c>
      <c r="B2912" t="s">
        <v>1911</v>
      </c>
      <c r="C2912" t="s">
        <v>1914</v>
      </c>
      <c r="D2912" t="s">
        <v>1915</v>
      </c>
      <c r="E2912" s="9">
        <v>45292</v>
      </c>
      <c r="F2912" s="9">
        <v>45322</v>
      </c>
      <c r="G2912">
        <v>436640.34</v>
      </c>
      <c r="H2912">
        <v>1036206.18</v>
      </c>
      <c r="I2912">
        <v>195510.6</v>
      </c>
      <c r="J2912">
        <v>0</v>
      </c>
      <c r="K2912">
        <v>0</v>
      </c>
      <c r="L2912">
        <v>3258.51</v>
      </c>
      <c r="M2912">
        <v>0</v>
      </c>
      <c r="T2912" s="9">
        <v>45108</v>
      </c>
      <c r="U2912" s="9">
        <v>45473</v>
      </c>
      <c r="V2912">
        <f>SUM(POTABLE_NONPOTABLE_API[[#This Row],[RESIDENTIAL_SINGLEFAMILY_GAL]:[OTHER_GAL]])</f>
        <v>1671615.6300000001</v>
      </c>
      <c r="W2912">
        <f>SUM(POTABLE_NONPOTABLE_API[[#This Row],[NONPOTABLE_DEMAND_RESIDENTIAL_RECYCLED_WATER_GAL]:[NONPOTABLE_DEMAND_NONRESIDENTIAL_METERED_IRRIGATION_GAL]])</f>
        <v>0</v>
      </c>
      <c r="X2912" t="str">
        <f>IFERROR(INDEX(Crosswalk_API!$H$2:$H$527, MATCH(POTABLE_NONPOTABLE_API[[#This Row],[PWSID]], CW_PWSID_LIST, 0)), "")</f>
        <v>No</v>
      </c>
    </row>
    <row r="2913" spans="1:24" x14ac:dyDescent="0.25">
      <c r="A2913" t="s">
        <v>1910</v>
      </c>
      <c r="B2913" t="s">
        <v>1911</v>
      </c>
      <c r="C2913" t="s">
        <v>1914</v>
      </c>
      <c r="D2913" t="s">
        <v>1915</v>
      </c>
      <c r="E2913" s="9">
        <v>45323</v>
      </c>
      <c r="F2913" s="9">
        <v>45351</v>
      </c>
      <c r="G2913">
        <v>44543831.699999996</v>
      </c>
      <c r="H2913">
        <v>11759962.590000002</v>
      </c>
      <c r="I2913">
        <v>5940263.7300000004</v>
      </c>
      <c r="J2913">
        <v>0</v>
      </c>
      <c r="K2913">
        <v>0</v>
      </c>
      <c r="L2913">
        <v>0</v>
      </c>
      <c r="M2913">
        <v>0</v>
      </c>
      <c r="T2913" s="9">
        <v>45108</v>
      </c>
      <c r="U2913" s="9">
        <v>45473</v>
      </c>
      <c r="V2913">
        <f>SUM(POTABLE_NONPOTABLE_API[[#This Row],[RESIDENTIAL_SINGLEFAMILY_GAL]:[OTHER_GAL]])</f>
        <v>62244058.019999996</v>
      </c>
      <c r="W2913">
        <f>SUM(POTABLE_NONPOTABLE_API[[#This Row],[NONPOTABLE_DEMAND_RESIDENTIAL_RECYCLED_WATER_GAL]:[NONPOTABLE_DEMAND_NONRESIDENTIAL_METERED_IRRIGATION_GAL]])</f>
        <v>0</v>
      </c>
      <c r="X2913" t="str">
        <f>IFERROR(INDEX(Crosswalk_API!$H$2:$H$527, MATCH(POTABLE_NONPOTABLE_API[[#This Row],[PWSID]], CW_PWSID_LIST, 0)), "")</f>
        <v>No</v>
      </c>
    </row>
    <row r="2914" spans="1:24" x14ac:dyDescent="0.25">
      <c r="A2914" t="s">
        <v>1910</v>
      </c>
      <c r="B2914" t="s">
        <v>1911</v>
      </c>
      <c r="C2914" t="s">
        <v>1914</v>
      </c>
      <c r="D2914" t="s">
        <v>1915</v>
      </c>
      <c r="E2914" s="9">
        <v>45352</v>
      </c>
      <c r="F2914" s="9">
        <v>45382</v>
      </c>
      <c r="G2914">
        <v>140115.93</v>
      </c>
      <c r="H2914">
        <v>821144.52</v>
      </c>
      <c r="I2914">
        <v>244388.25</v>
      </c>
      <c r="J2914">
        <v>0</v>
      </c>
      <c r="K2914">
        <v>0</v>
      </c>
      <c r="L2914">
        <v>3258.51</v>
      </c>
      <c r="M2914">
        <v>0</v>
      </c>
      <c r="T2914" s="9">
        <v>45108</v>
      </c>
      <c r="U2914" s="9">
        <v>45473</v>
      </c>
      <c r="V2914">
        <f>SUM(POTABLE_NONPOTABLE_API[[#This Row],[RESIDENTIAL_SINGLEFAMILY_GAL]:[OTHER_GAL]])</f>
        <v>1208907.21</v>
      </c>
      <c r="W2914">
        <f>SUM(POTABLE_NONPOTABLE_API[[#This Row],[NONPOTABLE_DEMAND_RESIDENTIAL_RECYCLED_WATER_GAL]:[NONPOTABLE_DEMAND_NONRESIDENTIAL_METERED_IRRIGATION_GAL]])</f>
        <v>0</v>
      </c>
      <c r="X2914" t="str">
        <f>IFERROR(INDEX(Crosswalk_API!$H$2:$H$527, MATCH(POTABLE_NONPOTABLE_API[[#This Row],[PWSID]], CW_PWSID_LIST, 0)), "")</f>
        <v>No</v>
      </c>
    </row>
    <row r="2915" spans="1:24" x14ac:dyDescent="0.25">
      <c r="A2915" t="s">
        <v>1910</v>
      </c>
      <c r="B2915" t="s">
        <v>1911</v>
      </c>
      <c r="C2915" t="s">
        <v>1914</v>
      </c>
      <c r="D2915" t="s">
        <v>1915</v>
      </c>
      <c r="E2915" s="9">
        <v>45383</v>
      </c>
      <c r="F2915" s="9">
        <v>45412</v>
      </c>
      <c r="G2915">
        <v>46648829.159999996</v>
      </c>
      <c r="H2915">
        <v>11450404.140000001</v>
      </c>
      <c r="I2915">
        <v>6051053.0700000003</v>
      </c>
      <c r="J2915">
        <v>0</v>
      </c>
      <c r="K2915">
        <v>0</v>
      </c>
      <c r="L2915">
        <v>9775.5299999999988</v>
      </c>
      <c r="M2915">
        <v>0</v>
      </c>
      <c r="T2915" s="9">
        <v>45108</v>
      </c>
      <c r="U2915" s="9">
        <v>45473</v>
      </c>
      <c r="V2915">
        <f>SUM(POTABLE_NONPOTABLE_API[[#This Row],[RESIDENTIAL_SINGLEFAMILY_GAL]:[OTHER_GAL]])</f>
        <v>64160061.899999999</v>
      </c>
      <c r="W2915">
        <f>SUM(POTABLE_NONPOTABLE_API[[#This Row],[NONPOTABLE_DEMAND_RESIDENTIAL_RECYCLED_WATER_GAL]:[NONPOTABLE_DEMAND_NONRESIDENTIAL_METERED_IRRIGATION_GAL]])</f>
        <v>0</v>
      </c>
      <c r="X2915" t="str">
        <f>IFERROR(INDEX(Crosswalk_API!$H$2:$H$527, MATCH(POTABLE_NONPOTABLE_API[[#This Row],[PWSID]], CW_PWSID_LIST, 0)), "")</f>
        <v>No</v>
      </c>
    </row>
    <row r="2916" spans="1:24" x14ac:dyDescent="0.25">
      <c r="A2916" t="s">
        <v>1910</v>
      </c>
      <c r="B2916" t="s">
        <v>1911</v>
      </c>
      <c r="C2916" t="s">
        <v>1914</v>
      </c>
      <c r="D2916" t="s">
        <v>1915</v>
      </c>
      <c r="E2916" s="9">
        <v>45413</v>
      </c>
      <c r="F2916" s="9">
        <v>45443</v>
      </c>
      <c r="G2916">
        <v>35843.61</v>
      </c>
      <c r="H2916">
        <v>931933.86</v>
      </c>
      <c r="I2916">
        <v>182476.56000000003</v>
      </c>
      <c r="J2916">
        <v>0</v>
      </c>
      <c r="K2916">
        <v>0</v>
      </c>
      <c r="L2916">
        <v>9775.5299999999988</v>
      </c>
      <c r="M2916">
        <v>0</v>
      </c>
      <c r="T2916" s="9">
        <v>45108</v>
      </c>
      <c r="U2916" s="9">
        <v>45473</v>
      </c>
      <c r="V2916">
        <f>SUM(POTABLE_NONPOTABLE_API[[#This Row],[RESIDENTIAL_SINGLEFAMILY_GAL]:[OTHER_GAL]])</f>
        <v>1160029.56</v>
      </c>
      <c r="W2916">
        <f>SUM(POTABLE_NONPOTABLE_API[[#This Row],[NONPOTABLE_DEMAND_RESIDENTIAL_RECYCLED_WATER_GAL]:[NONPOTABLE_DEMAND_NONRESIDENTIAL_METERED_IRRIGATION_GAL]])</f>
        <v>0</v>
      </c>
      <c r="X2916" t="str">
        <f>IFERROR(INDEX(Crosswalk_API!$H$2:$H$527, MATCH(POTABLE_NONPOTABLE_API[[#This Row],[PWSID]], CW_PWSID_LIST, 0)), "")</f>
        <v>No</v>
      </c>
    </row>
    <row r="2917" spans="1:24" x14ac:dyDescent="0.25">
      <c r="A2917" t="s">
        <v>1910</v>
      </c>
      <c r="B2917" t="s">
        <v>1911</v>
      </c>
      <c r="C2917" t="s">
        <v>1914</v>
      </c>
      <c r="D2917" t="s">
        <v>1915</v>
      </c>
      <c r="E2917" s="9">
        <v>45444</v>
      </c>
      <c r="F2917" s="9">
        <v>45473</v>
      </c>
      <c r="G2917">
        <v>55261071.090000004</v>
      </c>
      <c r="H2917">
        <v>13737878.159999998</v>
      </c>
      <c r="I2917">
        <v>7471763.4299999997</v>
      </c>
      <c r="J2917">
        <v>0</v>
      </c>
      <c r="K2917">
        <v>0</v>
      </c>
      <c r="L2917">
        <v>16292.550000000001</v>
      </c>
      <c r="M2917">
        <v>0</v>
      </c>
      <c r="T2917" s="9">
        <v>45108</v>
      </c>
      <c r="U2917" s="9">
        <v>45473</v>
      </c>
      <c r="V2917">
        <f>SUM(POTABLE_NONPOTABLE_API[[#This Row],[RESIDENTIAL_SINGLEFAMILY_GAL]:[OTHER_GAL]])</f>
        <v>76487005.230000004</v>
      </c>
      <c r="W2917">
        <f>SUM(POTABLE_NONPOTABLE_API[[#This Row],[NONPOTABLE_DEMAND_RESIDENTIAL_RECYCLED_WATER_GAL]:[NONPOTABLE_DEMAND_NONRESIDENTIAL_METERED_IRRIGATION_GAL]])</f>
        <v>0</v>
      </c>
      <c r="X2917" t="str">
        <f>IFERROR(INDEX(Crosswalk_API!$H$2:$H$527, MATCH(POTABLE_NONPOTABLE_API[[#This Row],[PWSID]], CW_PWSID_LIST, 0)), "")</f>
        <v>No</v>
      </c>
    </row>
    <row r="2918" spans="1:24" x14ac:dyDescent="0.25">
      <c r="A2918" t="s">
        <v>1910</v>
      </c>
      <c r="B2918" t="s">
        <v>1911</v>
      </c>
      <c r="C2918" t="s">
        <v>1916</v>
      </c>
      <c r="D2918" t="s">
        <v>1917</v>
      </c>
      <c r="E2918" s="9">
        <v>45108</v>
      </c>
      <c r="F2918" s="9">
        <v>45138</v>
      </c>
      <c r="G2918">
        <v>107371163.00999999</v>
      </c>
      <c r="H2918">
        <v>20616592.77</v>
      </c>
      <c r="I2918">
        <v>27580028.640000001</v>
      </c>
      <c r="J2918">
        <v>0</v>
      </c>
      <c r="K2918">
        <v>1730268.8099999998</v>
      </c>
      <c r="L2918">
        <v>39102.119999999995</v>
      </c>
      <c r="M2918">
        <v>0</v>
      </c>
      <c r="N2918">
        <v>0</v>
      </c>
      <c r="O2918">
        <v>0</v>
      </c>
      <c r="P2918">
        <v>0</v>
      </c>
      <c r="Q2918">
        <v>0</v>
      </c>
      <c r="R2918">
        <v>0</v>
      </c>
      <c r="S2918">
        <v>8442799.4100000001</v>
      </c>
      <c r="T2918" s="9">
        <v>45108</v>
      </c>
      <c r="U2918" s="9">
        <v>45473</v>
      </c>
      <c r="V2918">
        <f>SUM(POTABLE_NONPOTABLE_API[[#This Row],[RESIDENTIAL_SINGLEFAMILY_GAL]:[OTHER_GAL]])</f>
        <v>157337155.34999999</v>
      </c>
      <c r="W2918">
        <f>SUM(POTABLE_NONPOTABLE_API[[#This Row],[NONPOTABLE_DEMAND_RESIDENTIAL_RECYCLED_WATER_GAL]:[NONPOTABLE_DEMAND_NONRESIDENTIAL_METERED_IRRIGATION_GAL]])</f>
        <v>8442799.4100000001</v>
      </c>
      <c r="X2918" t="str">
        <f>IFERROR(INDEX(Crosswalk_API!$H$2:$H$527, MATCH(POTABLE_NONPOTABLE_API[[#This Row],[PWSID]], CW_PWSID_LIST, 0)), "")</f>
        <v>No</v>
      </c>
    </row>
    <row r="2919" spans="1:24" x14ac:dyDescent="0.25">
      <c r="A2919" t="s">
        <v>1910</v>
      </c>
      <c r="B2919" t="s">
        <v>1911</v>
      </c>
      <c r="C2919" t="s">
        <v>1916</v>
      </c>
      <c r="D2919" t="s">
        <v>1917</v>
      </c>
      <c r="E2919" s="9">
        <v>45139</v>
      </c>
      <c r="F2919" s="9">
        <v>45169</v>
      </c>
      <c r="G2919">
        <v>109818304.02</v>
      </c>
      <c r="H2919">
        <v>20284224.75</v>
      </c>
      <c r="I2919">
        <v>30522463.170000002</v>
      </c>
      <c r="J2919">
        <v>0</v>
      </c>
      <c r="K2919">
        <v>1779146.46</v>
      </c>
      <c r="L2919">
        <v>45619.140000000007</v>
      </c>
      <c r="M2919">
        <v>0</v>
      </c>
      <c r="N2919">
        <v>0</v>
      </c>
      <c r="O2919">
        <v>0</v>
      </c>
      <c r="P2919">
        <v>0</v>
      </c>
      <c r="Q2919">
        <v>0</v>
      </c>
      <c r="R2919">
        <v>0</v>
      </c>
      <c r="S2919">
        <v>9459454.5300000012</v>
      </c>
      <c r="T2919" s="9">
        <v>45108</v>
      </c>
      <c r="U2919" s="9">
        <v>45473</v>
      </c>
      <c r="V2919">
        <f>SUM(POTABLE_NONPOTABLE_API[[#This Row],[RESIDENTIAL_SINGLEFAMILY_GAL]:[OTHER_GAL]])</f>
        <v>162449757.53999999</v>
      </c>
      <c r="W2919">
        <f>SUM(POTABLE_NONPOTABLE_API[[#This Row],[NONPOTABLE_DEMAND_RESIDENTIAL_RECYCLED_WATER_GAL]:[NONPOTABLE_DEMAND_NONRESIDENTIAL_METERED_IRRIGATION_GAL]])</f>
        <v>9459454.5300000012</v>
      </c>
      <c r="X2919" t="str">
        <f>IFERROR(INDEX(Crosswalk_API!$H$2:$H$527, MATCH(POTABLE_NONPOTABLE_API[[#This Row],[PWSID]], CW_PWSID_LIST, 0)), "")</f>
        <v>No</v>
      </c>
    </row>
    <row r="2920" spans="1:24" x14ac:dyDescent="0.25">
      <c r="A2920" t="s">
        <v>1910</v>
      </c>
      <c r="B2920" t="s">
        <v>1911</v>
      </c>
      <c r="C2920" t="s">
        <v>1916</v>
      </c>
      <c r="D2920" t="s">
        <v>1917</v>
      </c>
      <c r="E2920" s="9">
        <v>45170</v>
      </c>
      <c r="F2920" s="9">
        <v>45199</v>
      </c>
      <c r="G2920">
        <v>101932709.81999999</v>
      </c>
      <c r="H2920">
        <v>35517759</v>
      </c>
      <c r="I2920">
        <v>27231368.069999997</v>
      </c>
      <c r="J2920">
        <v>0</v>
      </c>
      <c r="K2920">
        <v>1684649.67</v>
      </c>
      <c r="L2920">
        <v>26068.080000000002</v>
      </c>
      <c r="M2920">
        <v>0</v>
      </c>
      <c r="N2920">
        <v>0</v>
      </c>
      <c r="O2920">
        <v>0</v>
      </c>
      <c r="P2920">
        <v>0</v>
      </c>
      <c r="Q2920">
        <v>0</v>
      </c>
      <c r="R2920">
        <v>0</v>
      </c>
      <c r="S2920">
        <v>6868939.0799999991</v>
      </c>
      <c r="T2920" s="9">
        <v>45108</v>
      </c>
      <c r="U2920" s="9">
        <v>45473</v>
      </c>
      <c r="V2920">
        <f>SUM(POTABLE_NONPOTABLE_API[[#This Row],[RESIDENTIAL_SINGLEFAMILY_GAL]:[OTHER_GAL]])</f>
        <v>166392554.63999999</v>
      </c>
      <c r="W2920">
        <f>SUM(POTABLE_NONPOTABLE_API[[#This Row],[NONPOTABLE_DEMAND_RESIDENTIAL_RECYCLED_WATER_GAL]:[NONPOTABLE_DEMAND_NONRESIDENTIAL_METERED_IRRIGATION_GAL]])</f>
        <v>6868939.0799999991</v>
      </c>
      <c r="X2920" t="str">
        <f>IFERROR(INDEX(Crosswalk_API!$H$2:$H$527, MATCH(POTABLE_NONPOTABLE_API[[#This Row],[PWSID]], CW_PWSID_LIST, 0)), "")</f>
        <v>No</v>
      </c>
    </row>
    <row r="2921" spans="1:24" x14ac:dyDescent="0.25">
      <c r="A2921" t="s">
        <v>1910</v>
      </c>
      <c r="B2921" t="s">
        <v>1911</v>
      </c>
      <c r="C2921" t="s">
        <v>1916</v>
      </c>
      <c r="D2921" t="s">
        <v>1917</v>
      </c>
      <c r="E2921" s="9">
        <v>45200</v>
      </c>
      <c r="F2921" s="9">
        <v>45230</v>
      </c>
      <c r="G2921">
        <v>102095635.31999999</v>
      </c>
      <c r="H2921">
        <v>30555048.27</v>
      </c>
      <c r="I2921">
        <v>27664749.900000002</v>
      </c>
      <c r="J2921">
        <v>0</v>
      </c>
      <c r="K2921">
        <v>1665098.61</v>
      </c>
      <c r="L2921">
        <v>58653.18</v>
      </c>
      <c r="M2921">
        <v>0</v>
      </c>
      <c r="N2921">
        <v>0</v>
      </c>
      <c r="O2921">
        <v>0</v>
      </c>
      <c r="P2921">
        <v>0</v>
      </c>
      <c r="Q2921">
        <v>0</v>
      </c>
      <c r="R2921">
        <v>0</v>
      </c>
      <c r="S2921">
        <v>5708909.5199999996</v>
      </c>
      <c r="T2921" s="9">
        <v>45108</v>
      </c>
      <c r="U2921" s="9">
        <v>45473</v>
      </c>
      <c r="V2921">
        <f>SUM(POTABLE_NONPOTABLE_API[[#This Row],[RESIDENTIAL_SINGLEFAMILY_GAL]:[OTHER_GAL]])</f>
        <v>162039185.28</v>
      </c>
      <c r="W2921">
        <f>SUM(POTABLE_NONPOTABLE_API[[#This Row],[NONPOTABLE_DEMAND_RESIDENTIAL_RECYCLED_WATER_GAL]:[NONPOTABLE_DEMAND_NONRESIDENTIAL_METERED_IRRIGATION_GAL]])</f>
        <v>5708909.5199999996</v>
      </c>
      <c r="X2921" t="str">
        <f>IFERROR(INDEX(Crosswalk_API!$H$2:$H$527, MATCH(POTABLE_NONPOTABLE_API[[#This Row],[PWSID]], CW_PWSID_LIST, 0)), "")</f>
        <v>No</v>
      </c>
    </row>
    <row r="2922" spans="1:24" x14ac:dyDescent="0.25">
      <c r="A2922" t="s">
        <v>1910</v>
      </c>
      <c r="B2922" t="s">
        <v>1911</v>
      </c>
      <c r="C2922" t="s">
        <v>1916</v>
      </c>
      <c r="D2922" t="s">
        <v>1917</v>
      </c>
      <c r="E2922" s="9">
        <v>45231</v>
      </c>
      <c r="F2922" s="9">
        <v>45260</v>
      </c>
      <c r="G2922">
        <v>92821915.859999999</v>
      </c>
      <c r="H2922">
        <v>20241864.119999997</v>
      </c>
      <c r="I2922">
        <v>25387051.41</v>
      </c>
      <c r="J2922">
        <v>0</v>
      </c>
      <c r="K2922">
        <v>1707459.24</v>
      </c>
      <c r="L2922">
        <v>29326.59</v>
      </c>
      <c r="M2922">
        <v>0</v>
      </c>
      <c r="N2922">
        <v>0</v>
      </c>
      <c r="O2922">
        <v>0</v>
      </c>
      <c r="P2922">
        <v>0</v>
      </c>
      <c r="Q2922">
        <v>0</v>
      </c>
      <c r="R2922">
        <v>0</v>
      </c>
      <c r="S2922">
        <v>4425056.58</v>
      </c>
      <c r="T2922" s="9">
        <v>45108</v>
      </c>
      <c r="U2922" s="9">
        <v>45473</v>
      </c>
      <c r="V2922">
        <f>SUM(POTABLE_NONPOTABLE_API[[#This Row],[RESIDENTIAL_SINGLEFAMILY_GAL]:[OTHER_GAL]])</f>
        <v>140187617.22</v>
      </c>
      <c r="W2922">
        <f>SUM(POTABLE_NONPOTABLE_API[[#This Row],[NONPOTABLE_DEMAND_RESIDENTIAL_RECYCLED_WATER_GAL]:[NONPOTABLE_DEMAND_NONRESIDENTIAL_METERED_IRRIGATION_GAL]])</f>
        <v>4425056.58</v>
      </c>
      <c r="X2922" t="str">
        <f>IFERROR(INDEX(Crosswalk_API!$H$2:$H$527, MATCH(POTABLE_NONPOTABLE_API[[#This Row],[PWSID]], CW_PWSID_LIST, 0)), "")</f>
        <v>No</v>
      </c>
    </row>
    <row r="2923" spans="1:24" x14ac:dyDescent="0.25">
      <c r="A2923" t="s">
        <v>1910</v>
      </c>
      <c r="B2923" t="s">
        <v>1911</v>
      </c>
      <c r="C2923" t="s">
        <v>1916</v>
      </c>
      <c r="D2923" t="s">
        <v>1917</v>
      </c>
      <c r="E2923" s="9">
        <v>45261</v>
      </c>
      <c r="F2923" s="9">
        <v>45291</v>
      </c>
      <c r="G2923">
        <v>92688316.950000003</v>
      </c>
      <c r="H2923">
        <v>19723761.030000001</v>
      </c>
      <c r="I2923">
        <v>22959461.459999997</v>
      </c>
      <c r="J2923">
        <v>0</v>
      </c>
      <c r="K2923">
        <v>1785663.4800000002</v>
      </c>
      <c r="L2923">
        <v>29326.59</v>
      </c>
      <c r="M2923">
        <v>0</v>
      </c>
      <c r="N2923">
        <v>0</v>
      </c>
      <c r="O2923">
        <v>0</v>
      </c>
      <c r="P2923">
        <v>0</v>
      </c>
      <c r="Q2923">
        <v>0</v>
      </c>
      <c r="R2923">
        <v>0</v>
      </c>
      <c r="S2923">
        <v>4069878.99</v>
      </c>
      <c r="T2923" s="9">
        <v>45108</v>
      </c>
      <c r="U2923" s="9">
        <v>45473</v>
      </c>
      <c r="V2923">
        <f>SUM(POTABLE_NONPOTABLE_API[[#This Row],[RESIDENTIAL_SINGLEFAMILY_GAL]:[OTHER_GAL]])</f>
        <v>137186529.50999999</v>
      </c>
      <c r="W2923">
        <f>SUM(POTABLE_NONPOTABLE_API[[#This Row],[NONPOTABLE_DEMAND_RESIDENTIAL_RECYCLED_WATER_GAL]:[NONPOTABLE_DEMAND_NONRESIDENTIAL_METERED_IRRIGATION_GAL]])</f>
        <v>4069878.99</v>
      </c>
      <c r="X2923" t="str">
        <f>IFERROR(INDEX(Crosswalk_API!$H$2:$H$527, MATCH(POTABLE_NONPOTABLE_API[[#This Row],[PWSID]], CW_PWSID_LIST, 0)), "")</f>
        <v>No</v>
      </c>
    </row>
    <row r="2924" spans="1:24" x14ac:dyDescent="0.25">
      <c r="A2924" t="s">
        <v>1910</v>
      </c>
      <c r="B2924" t="s">
        <v>1911</v>
      </c>
      <c r="C2924" t="s">
        <v>1916</v>
      </c>
      <c r="D2924" t="s">
        <v>1917</v>
      </c>
      <c r="E2924" s="9">
        <v>45292</v>
      </c>
      <c r="F2924" s="9">
        <v>45322</v>
      </c>
      <c r="G2924">
        <v>181798789.91999999</v>
      </c>
      <c r="H2924">
        <v>12910216.619999999</v>
      </c>
      <c r="I2924">
        <v>37322973.539999999</v>
      </c>
      <c r="J2924">
        <v>0</v>
      </c>
      <c r="K2924">
        <v>1648806.0599999998</v>
      </c>
      <c r="L2924">
        <v>224837.18999999997</v>
      </c>
      <c r="M2924">
        <v>0</v>
      </c>
      <c r="N2924">
        <v>0</v>
      </c>
      <c r="O2924">
        <v>0</v>
      </c>
      <c r="P2924">
        <v>0</v>
      </c>
      <c r="Q2924">
        <v>0</v>
      </c>
      <c r="R2924">
        <v>0</v>
      </c>
      <c r="S2924">
        <v>4252355.55</v>
      </c>
      <c r="T2924" s="9">
        <v>45108</v>
      </c>
      <c r="U2924" s="9">
        <v>45473</v>
      </c>
      <c r="V2924">
        <f>SUM(POTABLE_NONPOTABLE_API[[#This Row],[RESIDENTIAL_SINGLEFAMILY_GAL]:[OTHER_GAL]])</f>
        <v>233905623.32999998</v>
      </c>
      <c r="W2924">
        <f>SUM(POTABLE_NONPOTABLE_API[[#This Row],[NONPOTABLE_DEMAND_RESIDENTIAL_RECYCLED_WATER_GAL]:[NONPOTABLE_DEMAND_NONRESIDENTIAL_METERED_IRRIGATION_GAL]])</f>
        <v>4252355.55</v>
      </c>
      <c r="X2924" t="str">
        <f>IFERROR(INDEX(Crosswalk_API!$H$2:$H$527, MATCH(POTABLE_NONPOTABLE_API[[#This Row],[PWSID]], CW_PWSID_LIST, 0)), "")</f>
        <v>No</v>
      </c>
    </row>
    <row r="2925" spans="1:24" x14ac:dyDescent="0.25">
      <c r="A2925" t="s">
        <v>1910</v>
      </c>
      <c r="B2925" t="s">
        <v>1911</v>
      </c>
      <c r="C2925" t="s">
        <v>1916</v>
      </c>
      <c r="D2925" t="s">
        <v>1917</v>
      </c>
      <c r="E2925" s="9">
        <v>45323</v>
      </c>
      <c r="F2925" s="9">
        <v>45351</v>
      </c>
      <c r="G2925">
        <v>0</v>
      </c>
      <c r="H2925">
        <v>0</v>
      </c>
      <c r="I2925">
        <v>6347577.4800000004</v>
      </c>
      <c r="J2925">
        <v>0</v>
      </c>
      <c r="K2925">
        <v>1929037.92</v>
      </c>
      <c r="L2925">
        <v>13034.04</v>
      </c>
      <c r="M2925">
        <v>0</v>
      </c>
      <c r="N2925">
        <v>0</v>
      </c>
      <c r="O2925">
        <v>0</v>
      </c>
      <c r="P2925">
        <v>0</v>
      </c>
      <c r="Q2925">
        <v>0</v>
      </c>
      <c r="R2925">
        <v>0</v>
      </c>
      <c r="S2925">
        <v>1665098.61</v>
      </c>
      <c r="T2925" s="9">
        <v>45108</v>
      </c>
      <c r="U2925" s="9">
        <v>45473</v>
      </c>
      <c r="V2925">
        <f>SUM(POTABLE_NONPOTABLE_API[[#This Row],[RESIDENTIAL_SINGLEFAMILY_GAL]:[OTHER_GAL]])</f>
        <v>8289649.4400000004</v>
      </c>
      <c r="W2925">
        <f>SUM(POTABLE_NONPOTABLE_API[[#This Row],[NONPOTABLE_DEMAND_RESIDENTIAL_RECYCLED_WATER_GAL]:[NONPOTABLE_DEMAND_NONRESIDENTIAL_METERED_IRRIGATION_GAL]])</f>
        <v>1665098.61</v>
      </c>
      <c r="X2925" t="str">
        <f>IFERROR(INDEX(Crosswalk_API!$H$2:$H$527, MATCH(POTABLE_NONPOTABLE_API[[#This Row],[PWSID]], CW_PWSID_LIST, 0)), "")</f>
        <v>No</v>
      </c>
    </row>
    <row r="2926" spans="1:24" x14ac:dyDescent="0.25">
      <c r="A2926" t="s">
        <v>1910</v>
      </c>
      <c r="B2926" t="s">
        <v>1911</v>
      </c>
      <c r="C2926" t="s">
        <v>1916</v>
      </c>
      <c r="D2926" t="s">
        <v>1917</v>
      </c>
      <c r="E2926" s="9">
        <v>45352</v>
      </c>
      <c r="F2926" s="9">
        <v>45382</v>
      </c>
      <c r="G2926">
        <v>160732522.76999998</v>
      </c>
      <c r="H2926">
        <v>29642665.469999999</v>
      </c>
      <c r="I2926">
        <v>28707473.099999998</v>
      </c>
      <c r="J2926">
        <v>0</v>
      </c>
      <c r="K2926">
        <v>1772629.4400000002</v>
      </c>
      <c r="L2926">
        <v>107530.83</v>
      </c>
      <c r="M2926">
        <v>0</v>
      </c>
      <c r="N2926">
        <v>0</v>
      </c>
      <c r="O2926">
        <v>0</v>
      </c>
      <c r="P2926">
        <v>0</v>
      </c>
      <c r="Q2926">
        <v>0</v>
      </c>
      <c r="R2926">
        <v>0</v>
      </c>
      <c r="S2926">
        <v>769008.36</v>
      </c>
      <c r="T2926" s="9">
        <v>45108</v>
      </c>
      <c r="U2926" s="9">
        <v>45473</v>
      </c>
      <c r="V2926">
        <f>SUM(POTABLE_NONPOTABLE_API[[#This Row],[RESIDENTIAL_SINGLEFAMILY_GAL]:[OTHER_GAL]])</f>
        <v>220962821.60999998</v>
      </c>
      <c r="W2926">
        <f>SUM(POTABLE_NONPOTABLE_API[[#This Row],[NONPOTABLE_DEMAND_RESIDENTIAL_RECYCLED_WATER_GAL]:[NONPOTABLE_DEMAND_NONRESIDENTIAL_METERED_IRRIGATION_GAL]])</f>
        <v>769008.36</v>
      </c>
      <c r="X2926" t="str">
        <f>IFERROR(INDEX(Crosswalk_API!$H$2:$H$527, MATCH(POTABLE_NONPOTABLE_API[[#This Row],[PWSID]], CW_PWSID_LIST, 0)), "")</f>
        <v>No</v>
      </c>
    </row>
    <row r="2927" spans="1:24" x14ac:dyDescent="0.25">
      <c r="A2927" t="s">
        <v>1910</v>
      </c>
      <c r="B2927" t="s">
        <v>1911</v>
      </c>
      <c r="C2927" t="s">
        <v>1916</v>
      </c>
      <c r="D2927" t="s">
        <v>1917</v>
      </c>
      <c r="E2927" s="9">
        <v>45383</v>
      </c>
      <c r="F2927" s="9">
        <v>45412</v>
      </c>
      <c r="G2927">
        <v>1551050.76</v>
      </c>
      <c r="H2927">
        <v>6279148.7699999996</v>
      </c>
      <c r="I2927">
        <v>6165100.9200000009</v>
      </c>
      <c r="J2927">
        <v>0</v>
      </c>
      <c r="K2927">
        <v>1466329.5</v>
      </c>
      <c r="L2927">
        <v>16292.550000000001</v>
      </c>
      <c r="M2927">
        <v>0</v>
      </c>
      <c r="N2927">
        <v>0</v>
      </c>
      <c r="O2927">
        <v>0</v>
      </c>
      <c r="P2927">
        <v>0</v>
      </c>
      <c r="Q2927">
        <v>0</v>
      </c>
      <c r="R2927">
        <v>0</v>
      </c>
      <c r="S2927">
        <v>1697683.71</v>
      </c>
      <c r="T2927" s="9">
        <v>45108</v>
      </c>
      <c r="U2927" s="9">
        <v>45473</v>
      </c>
      <c r="V2927">
        <f>SUM(POTABLE_NONPOTABLE_API[[#This Row],[RESIDENTIAL_SINGLEFAMILY_GAL]:[OTHER_GAL]])</f>
        <v>15477922.5</v>
      </c>
      <c r="W2927">
        <f>SUM(POTABLE_NONPOTABLE_API[[#This Row],[NONPOTABLE_DEMAND_RESIDENTIAL_RECYCLED_WATER_GAL]:[NONPOTABLE_DEMAND_NONRESIDENTIAL_METERED_IRRIGATION_GAL]])</f>
        <v>1697683.71</v>
      </c>
      <c r="X2927" t="str">
        <f>IFERROR(INDEX(Crosswalk_API!$H$2:$H$527, MATCH(POTABLE_NONPOTABLE_API[[#This Row],[PWSID]], CW_PWSID_LIST, 0)), "")</f>
        <v>No</v>
      </c>
    </row>
    <row r="2928" spans="1:24" x14ac:dyDescent="0.25">
      <c r="A2928" t="s">
        <v>1910</v>
      </c>
      <c r="B2928" t="s">
        <v>1911</v>
      </c>
      <c r="C2928" t="s">
        <v>1916</v>
      </c>
      <c r="D2928" t="s">
        <v>1917</v>
      </c>
      <c r="E2928" s="9">
        <v>45413</v>
      </c>
      <c r="F2928" s="9">
        <v>45443</v>
      </c>
      <c r="G2928">
        <v>164916449.61000001</v>
      </c>
      <c r="H2928">
        <v>29385243.180000003</v>
      </c>
      <c r="I2928">
        <v>34419641.129999995</v>
      </c>
      <c r="J2928">
        <v>0</v>
      </c>
      <c r="K2928">
        <v>1968140.04</v>
      </c>
      <c r="L2928">
        <v>29326.59</v>
      </c>
      <c r="M2928">
        <v>0</v>
      </c>
      <c r="N2928">
        <v>0</v>
      </c>
      <c r="O2928">
        <v>0</v>
      </c>
      <c r="P2928">
        <v>0</v>
      </c>
      <c r="Q2928">
        <v>0</v>
      </c>
      <c r="R2928">
        <v>0</v>
      </c>
      <c r="S2928">
        <v>10603191.539999999</v>
      </c>
      <c r="T2928" s="9">
        <v>45108</v>
      </c>
      <c r="U2928" s="9">
        <v>45473</v>
      </c>
      <c r="V2928">
        <f>SUM(POTABLE_NONPOTABLE_API[[#This Row],[RESIDENTIAL_SINGLEFAMILY_GAL]:[OTHER_GAL]])</f>
        <v>230718800.55000001</v>
      </c>
      <c r="W2928">
        <f>SUM(POTABLE_NONPOTABLE_API[[#This Row],[NONPOTABLE_DEMAND_RESIDENTIAL_RECYCLED_WATER_GAL]:[NONPOTABLE_DEMAND_NONRESIDENTIAL_METERED_IRRIGATION_GAL]])</f>
        <v>10603191.539999999</v>
      </c>
      <c r="X2928" t="str">
        <f>IFERROR(INDEX(Crosswalk_API!$H$2:$H$527, MATCH(POTABLE_NONPOTABLE_API[[#This Row],[PWSID]], CW_PWSID_LIST, 0)), "")</f>
        <v>No</v>
      </c>
    </row>
    <row r="2929" spans="1:24" x14ac:dyDescent="0.25">
      <c r="A2929" t="s">
        <v>1910</v>
      </c>
      <c r="B2929" t="s">
        <v>1911</v>
      </c>
      <c r="C2929" t="s">
        <v>1916</v>
      </c>
      <c r="D2929" t="s">
        <v>1917</v>
      </c>
      <c r="E2929" s="9">
        <v>45444</v>
      </c>
      <c r="F2929" s="9">
        <v>45473</v>
      </c>
      <c r="G2929">
        <v>540912.65999999992</v>
      </c>
      <c r="H2929">
        <v>7927954.8299999991</v>
      </c>
      <c r="I2929">
        <v>10088346.960000001</v>
      </c>
      <c r="J2929">
        <v>0</v>
      </c>
      <c r="K2929">
        <v>1720493.28</v>
      </c>
      <c r="L2929">
        <v>55394.670000000006</v>
      </c>
      <c r="M2929">
        <v>0</v>
      </c>
      <c r="N2929">
        <v>0</v>
      </c>
      <c r="O2929">
        <v>0</v>
      </c>
      <c r="P2929">
        <v>0</v>
      </c>
      <c r="Q2929">
        <v>0</v>
      </c>
      <c r="R2929">
        <v>0</v>
      </c>
      <c r="S2929">
        <v>853729.62</v>
      </c>
      <c r="T2929" s="9">
        <v>45108</v>
      </c>
      <c r="U2929" s="9">
        <v>45473</v>
      </c>
      <c r="V2929">
        <f>SUM(POTABLE_NONPOTABLE_API[[#This Row],[RESIDENTIAL_SINGLEFAMILY_GAL]:[OTHER_GAL]])</f>
        <v>20333102.400000002</v>
      </c>
      <c r="W2929">
        <f>SUM(POTABLE_NONPOTABLE_API[[#This Row],[NONPOTABLE_DEMAND_RESIDENTIAL_RECYCLED_WATER_GAL]:[NONPOTABLE_DEMAND_NONRESIDENTIAL_METERED_IRRIGATION_GAL]])</f>
        <v>853729.62</v>
      </c>
      <c r="X2929" t="str">
        <f>IFERROR(INDEX(Crosswalk_API!$H$2:$H$527, MATCH(POTABLE_NONPOTABLE_API[[#This Row],[PWSID]], CW_PWSID_LIST, 0)), "")</f>
        <v>No</v>
      </c>
    </row>
    <row r="2930" spans="1:24" x14ac:dyDescent="0.25">
      <c r="A2930" t="s">
        <v>1591</v>
      </c>
      <c r="B2930" t="s">
        <v>1592</v>
      </c>
      <c r="C2930" t="s">
        <v>1593</v>
      </c>
      <c r="D2930" t="s">
        <v>1594</v>
      </c>
      <c r="E2930" s="9">
        <v>45108</v>
      </c>
      <c r="F2930" s="9">
        <v>45138</v>
      </c>
      <c r="G2930">
        <v>300164000</v>
      </c>
      <c r="H2930">
        <v>7432000</v>
      </c>
      <c r="I2930">
        <v>23841000</v>
      </c>
      <c r="J2930">
        <v>48129000</v>
      </c>
      <c r="K2930">
        <v>1649000</v>
      </c>
      <c r="L2930">
        <v>10477000</v>
      </c>
      <c r="M2930">
        <v>0</v>
      </c>
      <c r="N2930">
        <v>0</v>
      </c>
      <c r="O2930">
        <v>0</v>
      </c>
      <c r="P2930">
        <v>0</v>
      </c>
      <c r="Q2930">
        <v>2049000</v>
      </c>
      <c r="R2930">
        <v>0</v>
      </c>
      <c r="S2930">
        <v>209000</v>
      </c>
      <c r="T2930" s="9">
        <v>45108</v>
      </c>
      <c r="U2930" s="9">
        <v>45473</v>
      </c>
      <c r="V2930">
        <f>SUM(POTABLE_NONPOTABLE_API[[#This Row],[RESIDENTIAL_SINGLEFAMILY_GAL]:[OTHER_GAL]])</f>
        <v>391692000</v>
      </c>
      <c r="W2930">
        <f>SUM(POTABLE_NONPOTABLE_API[[#This Row],[NONPOTABLE_DEMAND_RESIDENTIAL_RECYCLED_WATER_GAL]:[NONPOTABLE_DEMAND_NONRESIDENTIAL_METERED_IRRIGATION_GAL]])</f>
        <v>2258000</v>
      </c>
      <c r="X2930" t="str">
        <f>IFERROR(INDEX(Crosswalk_API!$H$2:$H$527, MATCH(POTABLE_NONPOTABLE_API[[#This Row],[PWSID]], CW_PWSID_LIST, 0)), "")</f>
        <v>No</v>
      </c>
    </row>
    <row r="2931" spans="1:24" x14ac:dyDescent="0.25">
      <c r="A2931" t="s">
        <v>1591</v>
      </c>
      <c r="B2931" t="s">
        <v>1592</v>
      </c>
      <c r="C2931" t="s">
        <v>1593</v>
      </c>
      <c r="D2931" t="s">
        <v>1594</v>
      </c>
      <c r="E2931" s="9">
        <v>45139</v>
      </c>
      <c r="F2931" s="9">
        <v>45169</v>
      </c>
      <c r="G2931">
        <v>389110000</v>
      </c>
      <c r="H2931">
        <v>9001000</v>
      </c>
      <c r="I2931">
        <v>30393000</v>
      </c>
      <c r="J2931">
        <v>64657000</v>
      </c>
      <c r="K2931">
        <v>2065000</v>
      </c>
      <c r="L2931">
        <v>10209000</v>
      </c>
      <c r="M2931">
        <v>0</v>
      </c>
      <c r="N2931">
        <v>0</v>
      </c>
      <c r="O2931">
        <v>0</v>
      </c>
      <c r="P2931">
        <v>0</v>
      </c>
      <c r="Q2931">
        <v>2232000</v>
      </c>
      <c r="R2931">
        <v>0</v>
      </c>
      <c r="S2931">
        <v>230000</v>
      </c>
      <c r="T2931" s="9">
        <v>45108</v>
      </c>
      <c r="U2931" s="9">
        <v>45473</v>
      </c>
      <c r="V2931">
        <f>SUM(POTABLE_NONPOTABLE_API[[#This Row],[RESIDENTIAL_SINGLEFAMILY_GAL]:[OTHER_GAL]])</f>
        <v>505435000</v>
      </c>
      <c r="W2931">
        <f>SUM(POTABLE_NONPOTABLE_API[[#This Row],[NONPOTABLE_DEMAND_RESIDENTIAL_RECYCLED_WATER_GAL]:[NONPOTABLE_DEMAND_NONRESIDENTIAL_METERED_IRRIGATION_GAL]])</f>
        <v>2462000</v>
      </c>
      <c r="X2931" t="str">
        <f>IFERROR(INDEX(Crosswalk_API!$H$2:$H$527, MATCH(POTABLE_NONPOTABLE_API[[#This Row],[PWSID]], CW_PWSID_LIST, 0)), "")</f>
        <v>No</v>
      </c>
    </row>
    <row r="2932" spans="1:24" x14ac:dyDescent="0.25">
      <c r="A2932" t="s">
        <v>1591</v>
      </c>
      <c r="B2932" t="s">
        <v>1592</v>
      </c>
      <c r="C2932" t="s">
        <v>1593</v>
      </c>
      <c r="D2932" t="s">
        <v>1594</v>
      </c>
      <c r="E2932" s="9">
        <v>45170</v>
      </c>
      <c r="F2932" s="9">
        <v>45199</v>
      </c>
      <c r="G2932">
        <v>299900000</v>
      </c>
      <c r="H2932">
        <v>7400000</v>
      </c>
      <c r="I2932">
        <v>21910000</v>
      </c>
      <c r="J2932">
        <v>45401000</v>
      </c>
      <c r="K2932">
        <v>1900000</v>
      </c>
      <c r="L2932">
        <v>709000</v>
      </c>
      <c r="M2932">
        <v>0</v>
      </c>
      <c r="N2932">
        <v>0</v>
      </c>
      <c r="O2932">
        <v>0</v>
      </c>
      <c r="P2932">
        <v>0</v>
      </c>
      <c r="Q2932">
        <v>2182000</v>
      </c>
      <c r="R2932">
        <v>0</v>
      </c>
      <c r="S2932">
        <v>182000</v>
      </c>
      <c r="T2932" s="9">
        <v>45108</v>
      </c>
      <c r="U2932" s="9">
        <v>45473</v>
      </c>
      <c r="V2932">
        <f>SUM(POTABLE_NONPOTABLE_API[[#This Row],[RESIDENTIAL_SINGLEFAMILY_GAL]:[OTHER_GAL]])</f>
        <v>377220000</v>
      </c>
      <c r="W2932">
        <f>SUM(POTABLE_NONPOTABLE_API[[#This Row],[NONPOTABLE_DEMAND_RESIDENTIAL_RECYCLED_WATER_GAL]:[NONPOTABLE_DEMAND_NONRESIDENTIAL_METERED_IRRIGATION_GAL]])</f>
        <v>2364000</v>
      </c>
      <c r="X2932" t="str">
        <f>IFERROR(INDEX(Crosswalk_API!$H$2:$H$527, MATCH(POTABLE_NONPOTABLE_API[[#This Row],[PWSID]], CW_PWSID_LIST, 0)), "")</f>
        <v>No</v>
      </c>
    </row>
    <row r="2933" spans="1:24" x14ac:dyDescent="0.25">
      <c r="A2933" t="s">
        <v>1591</v>
      </c>
      <c r="B2933" t="s">
        <v>1592</v>
      </c>
      <c r="C2933" t="s">
        <v>1593</v>
      </c>
      <c r="D2933" t="s">
        <v>1594</v>
      </c>
      <c r="E2933" s="9">
        <v>45200</v>
      </c>
      <c r="F2933" s="9">
        <v>45230</v>
      </c>
      <c r="G2933">
        <v>226367000</v>
      </c>
      <c r="H2933">
        <v>5847000</v>
      </c>
      <c r="I2933">
        <v>17658000</v>
      </c>
      <c r="J2933">
        <v>30936000</v>
      </c>
      <c r="K2933">
        <v>1786000</v>
      </c>
      <c r="L2933">
        <v>7799000</v>
      </c>
      <c r="M2933">
        <v>0</v>
      </c>
      <c r="N2933">
        <v>0</v>
      </c>
      <c r="O2933">
        <v>0</v>
      </c>
      <c r="P2933">
        <v>0</v>
      </c>
      <c r="Q2933">
        <v>2017000</v>
      </c>
      <c r="R2933">
        <v>0</v>
      </c>
      <c r="S2933">
        <v>85000</v>
      </c>
      <c r="T2933" s="9">
        <v>45108</v>
      </c>
      <c r="U2933" s="9">
        <v>45473</v>
      </c>
      <c r="V2933">
        <f>SUM(POTABLE_NONPOTABLE_API[[#This Row],[RESIDENTIAL_SINGLEFAMILY_GAL]:[OTHER_GAL]])</f>
        <v>290393000</v>
      </c>
      <c r="W2933">
        <f>SUM(POTABLE_NONPOTABLE_API[[#This Row],[NONPOTABLE_DEMAND_RESIDENTIAL_RECYCLED_WATER_GAL]:[NONPOTABLE_DEMAND_NONRESIDENTIAL_METERED_IRRIGATION_GAL]])</f>
        <v>2102000</v>
      </c>
      <c r="X2933" t="str">
        <f>IFERROR(INDEX(Crosswalk_API!$H$2:$H$527, MATCH(POTABLE_NONPOTABLE_API[[#This Row],[PWSID]], CW_PWSID_LIST, 0)), "")</f>
        <v>No</v>
      </c>
    </row>
    <row r="2934" spans="1:24" x14ac:dyDescent="0.25">
      <c r="A2934" t="s">
        <v>1591</v>
      </c>
      <c r="B2934" t="s">
        <v>1592</v>
      </c>
      <c r="C2934" t="s">
        <v>1593</v>
      </c>
      <c r="D2934" t="s">
        <v>1594</v>
      </c>
      <c r="E2934" s="9">
        <v>45231</v>
      </c>
      <c r="F2934" s="9">
        <v>45260</v>
      </c>
      <c r="G2934">
        <v>161805000</v>
      </c>
      <c r="H2934">
        <v>4981000</v>
      </c>
      <c r="I2934">
        <v>12706000</v>
      </c>
      <c r="J2934">
        <v>12601000</v>
      </c>
      <c r="K2934">
        <v>1711000</v>
      </c>
      <c r="L2934">
        <v>1472000</v>
      </c>
      <c r="M2934">
        <v>0</v>
      </c>
      <c r="N2934">
        <v>0</v>
      </c>
      <c r="O2934">
        <v>0</v>
      </c>
      <c r="P2934">
        <v>0</v>
      </c>
      <c r="Q2934">
        <v>2650000</v>
      </c>
      <c r="R2934">
        <v>0</v>
      </c>
      <c r="S2934">
        <v>15000</v>
      </c>
      <c r="T2934" s="9">
        <v>45108</v>
      </c>
      <c r="U2934" s="9">
        <v>45473</v>
      </c>
      <c r="V2934">
        <f>SUM(POTABLE_NONPOTABLE_API[[#This Row],[RESIDENTIAL_SINGLEFAMILY_GAL]:[OTHER_GAL]])</f>
        <v>195276000</v>
      </c>
      <c r="W2934">
        <f>SUM(POTABLE_NONPOTABLE_API[[#This Row],[NONPOTABLE_DEMAND_RESIDENTIAL_RECYCLED_WATER_GAL]:[NONPOTABLE_DEMAND_NONRESIDENTIAL_METERED_IRRIGATION_GAL]])</f>
        <v>2665000</v>
      </c>
      <c r="X2934" t="str">
        <f>IFERROR(INDEX(Crosswalk_API!$H$2:$H$527, MATCH(POTABLE_NONPOTABLE_API[[#This Row],[PWSID]], CW_PWSID_LIST, 0)), "")</f>
        <v>No</v>
      </c>
    </row>
    <row r="2935" spans="1:24" x14ac:dyDescent="0.25">
      <c r="A2935" t="s">
        <v>1591</v>
      </c>
      <c r="B2935" t="s">
        <v>1592</v>
      </c>
      <c r="C2935" t="s">
        <v>1593</v>
      </c>
      <c r="D2935" t="s">
        <v>1594</v>
      </c>
      <c r="E2935" s="9">
        <v>45261</v>
      </c>
      <c r="F2935" s="9">
        <v>45291</v>
      </c>
      <c r="G2935">
        <v>111054000</v>
      </c>
      <c r="H2935">
        <v>3833000</v>
      </c>
      <c r="I2935">
        <v>9876000</v>
      </c>
      <c r="J2935">
        <v>6297000</v>
      </c>
      <c r="K2935">
        <v>1516000</v>
      </c>
      <c r="L2935">
        <v>525000</v>
      </c>
      <c r="M2935">
        <v>0</v>
      </c>
      <c r="N2935">
        <v>0</v>
      </c>
      <c r="O2935">
        <v>0</v>
      </c>
      <c r="P2935">
        <v>0</v>
      </c>
      <c r="Q2935">
        <v>2474000</v>
      </c>
      <c r="R2935">
        <v>0</v>
      </c>
      <c r="S2935">
        <v>6000</v>
      </c>
      <c r="T2935" s="9">
        <v>45108</v>
      </c>
      <c r="U2935" s="9">
        <v>45473</v>
      </c>
      <c r="V2935">
        <f>SUM(POTABLE_NONPOTABLE_API[[#This Row],[RESIDENTIAL_SINGLEFAMILY_GAL]:[OTHER_GAL]])</f>
        <v>133101000</v>
      </c>
      <c r="W2935">
        <f>SUM(POTABLE_NONPOTABLE_API[[#This Row],[NONPOTABLE_DEMAND_RESIDENTIAL_RECYCLED_WATER_GAL]:[NONPOTABLE_DEMAND_NONRESIDENTIAL_METERED_IRRIGATION_GAL]])</f>
        <v>2480000</v>
      </c>
      <c r="X2935" t="str">
        <f>IFERROR(INDEX(Crosswalk_API!$H$2:$H$527, MATCH(POTABLE_NONPOTABLE_API[[#This Row],[PWSID]], CW_PWSID_LIST, 0)), "")</f>
        <v>No</v>
      </c>
    </row>
    <row r="2936" spans="1:24" x14ac:dyDescent="0.25">
      <c r="A2936" t="s">
        <v>1591</v>
      </c>
      <c r="B2936" t="s">
        <v>1592</v>
      </c>
      <c r="C2936" t="s">
        <v>1593</v>
      </c>
      <c r="D2936" t="s">
        <v>1594</v>
      </c>
      <c r="E2936" s="9">
        <v>45292</v>
      </c>
      <c r="F2936" s="9">
        <v>45322</v>
      </c>
      <c r="G2936">
        <v>116561000</v>
      </c>
      <c r="H2936">
        <v>4830000</v>
      </c>
      <c r="I2936">
        <v>11760000</v>
      </c>
      <c r="J2936">
        <v>4044000</v>
      </c>
      <c r="K2936">
        <v>2444000</v>
      </c>
      <c r="L2936">
        <v>403000</v>
      </c>
      <c r="M2936">
        <v>0</v>
      </c>
      <c r="N2936">
        <v>0</v>
      </c>
      <c r="O2936">
        <v>0</v>
      </c>
      <c r="P2936">
        <v>0</v>
      </c>
      <c r="Q2936">
        <v>3017000</v>
      </c>
      <c r="R2936">
        <v>0</v>
      </c>
      <c r="S2936">
        <v>0</v>
      </c>
      <c r="T2936" s="9">
        <v>45108</v>
      </c>
      <c r="U2936" s="9">
        <v>45473</v>
      </c>
      <c r="V2936">
        <f>SUM(POTABLE_NONPOTABLE_API[[#This Row],[RESIDENTIAL_SINGLEFAMILY_GAL]:[OTHER_GAL]])</f>
        <v>140042000</v>
      </c>
      <c r="W2936">
        <f>SUM(POTABLE_NONPOTABLE_API[[#This Row],[NONPOTABLE_DEMAND_RESIDENTIAL_RECYCLED_WATER_GAL]:[NONPOTABLE_DEMAND_NONRESIDENTIAL_METERED_IRRIGATION_GAL]])</f>
        <v>3017000</v>
      </c>
      <c r="X2936" t="str">
        <f>IFERROR(INDEX(Crosswalk_API!$H$2:$H$527, MATCH(POTABLE_NONPOTABLE_API[[#This Row],[PWSID]], CW_PWSID_LIST, 0)), "")</f>
        <v>No</v>
      </c>
    </row>
    <row r="2937" spans="1:24" x14ac:dyDescent="0.25">
      <c r="A2937" t="s">
        <v>1591</v>
      </c>
      <c r="B2937" t="s">
        <v>1592</v>
      </c>
      <c r="C2937" t="s">
        <v>1593</v>
      </c>
      <c r="D2937" t="s">
        <v>1594</v>
      </c>
      <c r="E2937" s="9">
        <v>45323</v>
      </c>
      <c r="F2937" s="9">
        <v>45351</v>
      </c>
      <c r="G2937">
        <v>94272000</v>
      </c>
      <c r="H2937">
        <v>3964000</v>
      </c>
      <c r="I2937">
        <v>9176000</v>
      </c>
      <c r="J2937">
        <v>2968000</v>
      </c>
      <c r="K2937">
        <v>1958000</v>
      </c>
      <c r="L2937">
        <v>216000</v>
      </c>
      <c r="M2937">
        <v>0</v>
      </c>
      <c r="N2937">
        <v>0</v>
      </c>
      <c r="O2937">
        <v>0</v>
      </c>
      <c r="P2937">
        <v>0</v>
      </c>
      <c r="Q2937">
        <v>2439000</v>
      </c>
      <c r="R2937">
        <v>0</v>
      </c>
      <c r="S2937">
        <v>2000</v>
      </c>
      <c r="T2937" s="9">
        <v>45108</v>
      </c>
      <c r="U2937" s="9">
        <v>45473</v>
      </c>
      <c r="V2937">
        <f>SUM(POTABLE_NONPOTABLE_API[[#This Row],[RESIDENTIAL_SINGLEFAMILY_GAL]:[OTHER_GAL]])</f>
        <v>112554000</v>
      </c>
      <c r="W2937">
        <f>SUM(POTABLE_NONPOTABLE_API[[#This Row],[NONPOTABLE_DEMAND_RESIDENTIAL_RECYCLED_WATER_GAL]:[NONPOTABLE_DEMAND_NONRESIDENTIAL_METERED_IRRIGATION_GAL]])</f>
        <v>2441000</v>
      </c>
      <c r="X2937" t="str">
        <f>IFERROR(INDEX(Crosswalk_API!$H$2:$H$527, MATCH(POTABLE_NONPOTABLE_API[[#This Row],[PWSID]], CW_PWSID_LIST, 0)), "")</f>
        <v>No</v>
      </c>
    </row>
    <row r="2938" spans="1:24" x14ac:dyDescent="0.25">
      <c r="A2938" t="s">
        <v>1591</v>
      </c>
      <c r="B2938" t="s">
        <v>1592</v>
      </c>
      <c r="C2938" t="s">
        <v>1593</v>
      </c>
      <c r="D2938" t="s">
        <v>1594</v>
      </c>
      <c r="E2938" s="9">
        <v>45352</v>
      </c>
      <c r="F2938" s="9">
        <v>45382</v>
      </c>
      <c r="G2938">
        <v>106676000</v>
      </c>
      <c r="H2938">
        <v>3857000</v>
      </c>
      <c r="I2938">
        <v>9399000</v>
      </c>
      <c r="J2938">
        <v>4769000</v>
      </c>
      <c r="K2938">
        <v>1352000</v>
      </c>
      <c r="L2938">
        <v>8059000</v>
      </c>
      <c r="M2938">
        <v>0</v>
      </c>
      <c r="N2938">
        <v>0</v>
      </c>
      <c r="O2938">
        <v>0</v>
      </c>
      <c r="P2938">
        <v>0</v>
      </c>
      <c r="Q2938">
        <v>1935000</v>
      </c>
      <c r="R2938">
        <v>0</v>
      </c>
      <c r="S2938">
        <v>1000</v>
      </c>
      <c r="T2938" s="9">
        <v>45108</v>
      </c>
      <c r="U2938" s="9">
        <v>45473</v>
      </c>
      <c r="V2938">
        <f>SUM(POTABLE_NONPOTABLE_API[[#This Row],[RESIDENTIAL_SINGLEFAMILY_GAL]:[OTHER_GAL]])</f>
        <v>134112000</v>
      </c>
      <c r="W2938">
        <f>SUM(POTABLE_NONPOTABLE_API[[#This Row],[NONPOTABLE_DEMAND_RESIDENTIAL_RECYCLED_WATER_GAL]:[NONPOTABLE_DEMAND_NONRESIDENTIAL_METERED_IRRIGATION_GAL]])</f>
        <v>1936000</v>
      </c>
      <c r="X2938" t="str">
        <f>IFERROR(INDEX(Crosswalk_API!$H$2:$H$527, MATCH(POTABLE_NONPOTABLE_API[[#This Row],[PWSID]], CW_PWSID_LIST, 0)), "")</f>
        <v>No</v>
      </c>
    </row>
    <row r="2939" spans="1:24" x14ac:dyDescent="0.25">
      <c r="A2939" t="s">
        <v>1591</v>
      </c>
      <c r="B2939" t="s">
        <v>1592</v>
      </c>
      <c r="C2939" t="s">
        <v>1593</v>
      </c>
      <c r="D2939" t="s">
        <v>1594</v>
      </c>
      <c r="E2939" s="9">
        <v>45383</v>
      </c>
      <c r="F2939" s="9">
        <v>45412</v>
      </c>
      <c r="G2939">
        <v>170711000</v>
      </c>
      <c r="H2939">
        <v>5194000</v>
      </c>
      <c r="I2939">
        <v>6617000</v>
      </c>
      <c r="J2939">
        <v>17916000</v>
      </c>
      <c r="K2939">
        <v>1204000</v>
      </c>
      <c r="L2939">
        <v>408000</v>
      </c>
      <c r="M2939">
        <v>0</v>
      </c>
      <c r="N2939">
        <v>0</v>
      </c>
      <c r="O2939">
        <v>0</v>
      </c>
      <c r="P2939">
        <v>0</v>
      </c>
      <c r="Q2939">
        <v>1852000</v>
      </c>
      <c r="R2939">
        <v>0</v>
      </c>
      <c r="S2939">
        <v>54000</v>
      </c>
      <c r="T2939" s="9">
        <v>45108</v>
      </c>
      <c r="U2939" s="9">
        <v>45473</v>
      </c>
      <c r="V2939">
        <f>SUM(POTABLE_NONPOTABLE_API[[#This Row],[RESIDENTIAL_SINGLEFAMILY_GAL]:[OTHER_GAL]])</f>
        <v>202050000</v>
      </c>
      <c r="W2939">
        <f>SUM(POTABLE_NONPOTABLE_API[[#This Row],[NONPOTABLE_DEMAND_RESIDENTIAL_RECYCLED_WATER_GAL]:[NONPOTABLE_DEMAND_NONRESIDENTIAL_METERED_IRRIGATION_GAL]])</f>
        <v>1906000</v>
      </c>
      <c r="X2939" t="str">
        <f>IFERROR(INDEX(Crosswalk_API!$H$2:$H$527, MATCH(POTABLE_NONPOTABLE_API[[#This Row],[PWSID]], CW_PWSID_LIST, 0)), "")</f>
        <v>No</v>
      </c>
    </row>
    <row r="2940" spans="1:24" x14ac:dyDescent="0.25">
      <c r="A2940" t="s">
        <v>1591</v>
      </c>
      <c r="B2940" t="s">
        <v>1592</v>
      </c>
      <c r="C2940" t="s">
        <v>1593</v>
      </c>
      <c r="D2940" t="s">
        <v>1594</v>
      </c>
      <c r="E2940" s="9">
        <v>45413</v>
      </c>
      <c r="F2940" s="9">
        <v>45443</v>
      </c>
      <c r="G2940">
        <v>221167000</v>
      </c>
      <c r="H2940">
        <v>5756000</v>
      </c>
      <c r="I2940">
        <v>17082000</v>
      </c>
      <c r="J2940">
        <v>36175000</v>
      </c>
      <c r="K2940">
        <v>4339000</v>
      </c>
      <c r="L2940">
        <v>1625000</v>
      </c>
      <c r="M2940">
        <v>0</v>
      </c>
      <c r="N2940">
        <v>0</v>
      </c>
      <c r="O2940">
        <v>0</v>
      </c>
      <c r="P2940">
        <v>0</v>
      </c>
      <c r="Q2940">
        <v>2015000</v>
      </c>
      <c r="R2940">
        <v>0</v>
      </c>
      <c r="S2940">
        <v>121000</v>
      </c>
      <c r="T2940" s="9">
        <v>45108</v>
      </c>
      <c r="U2940" s="9">
        <v>45473</v>
      </c>
      <c r="V2940">
        <f>SUM(POTABLE_NONPOTABLE_API[[#This Row],[RESIDENTIAL_SINGLEFAMILY_GAL]:[OTHER_GAL]])</f>
        <v>286144000</v>
      </c>
      <c r="W2940">
        <f>SUM(POTABLE_NONPOTABLE_API[[#This Row],[NONPOTABLE_DEMAND_RESIDENTIAL_RECYCLED_WATER_GAL]:[NONPOTABLE_DEMAND_NONRESIDENTIAL_METERED_IRRIGATION_GAL]])</f>
        <v>2136000</v>
      </c>
      <c r="X2940" t="str">
        <f>IFERROR(INDEX(Crosswalk_API!$H$2:$H$527, MATCH(POTABLE_NONPOTABLE_API[[#This Row],[PWSID]], CW_PWSID_LIST, 0)), "")</f>
        <v>No</v>
      </c>
    </row>
    <row r="2941" spans="1:24" x14ac:dyDescent="0.25">
      <c r="A2941" t="s">
        <v>1591</v>
      </c>
      <c r="B2941" t="s">
        <v>1592</v>
      </c>
      <c r="C2941" t="s">
        <v>1593</v>
      </c>
      <c r="D2941" t="s">
        <v>1594</v>
      </c>
      <c r="E2941" s="9">
        <v>45444</v>
      </c>
      <c r="F2941" s="9">
        <v>45473</v>
      </c>
      <c r="G2941">
        <v>286580000</v>
      </c>
      <c r="H2941">
        <v>7228000</v>
      </c>
      <c r="I2941">
        <v>21134000</v>
      </c>
      <c r="J2941">
        <v>56979000</v>
      </c>
      <c r="K2941">
        <v>1104000</v>
      </c>
      <c r="L2941">
        <v>6466000</v>
      </c>
      <c r="M2941">
        <v>0</v>
      </c>
      <c r="N2941">
        <v>0</v>
      </c>
      <c r="O2941">
        <v>0</v>
      </c>
      <c r="P2941">
        <v>0</v>
      </c>
      <c r="Q2941">
        <v>1615000</v>
      </c>
      <c r="R2941">
        <v>0</v>
      </c>
      <c r="S2941">
        <v>197000</v>
      </c>
      <c r="T2941" s="9">
        <v>45108</v>
      </c>
      <c r="U2941" s="9">
        <v>45473</v>
      </c>
      <c r="V2941">
        <f>SUM(POTABLE_NONPOTABLE_API[[#This Row],[RESIDENTIAL_SINGLEFAMILY_GAL]:[OTHER_GAL]])</f>
        <v>379491000</v>
      </c>
      <c r="W2941">
        <f>SUM(POTABLE_NONPOTABLE_API[[#This Row],[NONPOTABLE_DEMAND_RESIDENTIAL_RECYCLED_WATER_GAL]:[NONPOTABLE_DEMAND_NONRESIDENTIAL_METERED_IRRIGATION_GAL]])</f>
        <v>1812000</v>
      </c>
      <c r="X2941" t="str">
        <f>IFERROR(INDEX(Crosswalk_API!$H$2:$H$527, MATCH(POTABLE_NONPOTABLE_API[[#This Row],[PWSID]], CW_PWSID_LIST, 0)), "")</f>
        <v>No</v>
      </c>
    </row>
    <row r="2942" spans="1:24" x14ac:dyDescent="0.25">
      <c r="A2942" t="s">
        <v>1595</v>
      </c>
      <c r="B2942" t="s">
        <v>1596</v>
      </c>
      <c r="C2942" t="s">
        <v>1597</v>
      </c>
      <c r="D2942" t="s">
        <v>1598</v>
      </c>
      <c r="E2942" s="9">
        <v>45108</v>
      </c>
      <c r="F2942" s="9">
        <v>45138</v>
      </c>
      <c r="G2942">
        <v>43764034.208000004</v>
      </c>
      <c r="H2942">
        <v>1897807.9240000001</v>
      </c>
      <c r="I2942">
        <v>3561475.5720000002</v>
      </c>
      <c r="J2942">
        <v>0</v>
      </c>
      <c r="K2942">
        <v>0</v>
      </c>
      <c r="L2942">
        <v>0</v>
      </c>
      <c r="M2942">
        <v>0</v>
      </c>
      <c r="T2942" s="9">
        <v>45108</v>
      </c>
      <c r="U2942" s="9">
        <v>45473</v>
      </c>
      <c r="V2942">
        <f>SUM(POTABLE_NONPOTABLE_API[[#This Row],[RESIDENTIAL_SINGLEFAMILY_GAL]:[OTHER_GAL]])</f>
        <v>49223317.704000004</v>
      </c>
      <c r="W2942">
        <f>SUM(POTABLE_NONPOTABLE_API[[#This Row],[NONPOTABLE_DEMAND_RESIDENTIAL_RECYCLED_WATER_GAL]:[NONPOTABLE_DEMAND_NONRESIDENTIAL_METERED_IRRIGATION_GAL]])</f>
        <v>0</v>
      </c>
      <c r="X2942" t="str">
        <f>IFERROR(INDEX(Crosswalk_API!$H$2:$H$527, MATCH(POTABLE_NONPOTABLE_API[[#This Row],[PWSID]], CW_PWSID_LIST, 0)), "")</f>
        <v>No</v>
      </c>
    </row>
    <row r="2943" spans="1:24" x14ac:dyDescent="0.25">
      <c r="A2943" t="s">
        <v>1595</v>
      </c>
      <c r="B2943" t="s">
        <v>1596</v>
      </c>
      <c r="C2943" t="s">
        <v>1597</v>
      </c>
      <c r="D2943" t="s">
        <v>1598</v>
      </c>
      <c r="E2943" s="9">
        <v>45139</v>
      </c>
      <c r="F2943" s="9">
        <v>45169</v>
      </c>
      <c r="G2943">
        <v>58377230.028000005</v>
      </c>
      <c r="H2943">
        <v>2449122.2480000001</v>
      </c>
      <c r="I2943">
        <v>5080021.1320000002</v>
      </c>
      <c r="J2943">
        <v>0</v>
      </c>
      <c r="K2943">
        <v>0</v>
      </c>
      <c r="L2943">
        <v>0</v>
      </c>
      <c r="M2943">
        <v>0</v>
      </c>
      <c r="T2943" s="9">
        <v>45108</v>
      </c>
      <c r="U2943" s="9">
        <v>45473</v>
      </c>
      <c r="V2943">
        <f>SUM(POTABLE_NONPOTABLE_API[[#This Row],[RESIDENTIAL_SINGLEFAMILY_GAL]:[OTHER_GAL]])</f>
        <v>65906373.408000007</v>
      </c>
      <c r="W2943">
        <f>SUM(POTABLE_NONPOTABLE_API[[#This Row],[NONPOTABLE_DEMAND_RESIDENTIAL_RECYCLED_WATER_GAL]:[NONPOTABLE_DEMAND_NONRESIDENTIAL_METERED_IRRIGATION_GAL]])</f>
        <v>0</v>
      </c>
      <c r="X2943" t="str">
        <f>IFERROR(INDEX(Crosswalk_API!$H$2:$H$527, MATCH(POTABLE_NONPOTABLE_API[[#This Row],[PWSID]], CW_PWSID_LIST, 0)), "")</f>
        <v>No</v>
      </c>
    </row>
    <row r="2944" spans="1:24" x14ac:dyDescent="0.25">
      <c r="A2944" t="s">
        <v>1595</v>
      </c>
      <c r="B2944" t="s">
        <v>1596</v>
      </c>
      <c r="C2944" t="s">
        <v>1597</v>
      </c>
      <c r="D2944" t="s">
        <v>1598</v>
      </c>
      <c r="E2944" s="9">
        <v>45170</v>
      </c>
      <c r="F2944" s="9">
        <v>45199</v>
      </c>
      <c r="G2944">
        <v>48879213.784000002</v>
      </c>
      <c r="H2944">
        <v>2219470.284</v>
      </c>
      <c r="I2944">
        <v>3690140.5160000003</v>
      </c>
      <c r="J2944">
        <v>0</v>
      </c>
      <c r="K2944">
        <v>0</v>
      </c>
      <c r="L2944">
        <v>0</v>
      </c>
      <c r="M2944">
        <v>0</v>
      </c>
      <c r="T2944" s="9">
        <v>45108</v>
      </c>
      <c r="U2944" s="9">
        <v>45473</v>
      </c>
      <c r="V2944">
        <f>SUM(POTABLE_NONPOTABLE_API[[#This Row],[RESIDENTIAL_SINGLEFAMILY_GAL]:[OTHER_GAL]])</f>
        <v>54788824.584000006</v>
      </c>
      <c r="W2944">
        <f>SUM(POTABLE_NONPOTABLE_API[[#This Row],[NONPOTABLE_DEMAND_RESIDENTIAL_RECYCLED_WATER_GAL]:[NONPOTABLE_DEMAND_NONRESIDENTIAL_METERED_IRRIGATION_GAL]])</f>
        <v>0</v>
      </c>
      <c r="X2944" t="str">
        <f>IFERROR(INDEX(Crosswalk_API!$H$2:$H$527, MATCH(POTABLE_NONPOTABLE_API[[#This Row],[PWSID]], CW_PWSID_LIST, 0)), "")</f>
        <v>No</v>
      </c>
    </row>
    <row r="2945" spans="1:24" x14ac:dyDescent="0.25">
      <c r="A2945" t="s">
        <v>1595</v>
      </c>
      <c r="B2945" t="s">
        <v>1596</v>
      </c>
      <c r="C2945" t="s">
        <v>1597</v>
      </c>
      <c r="D2945" t="s">
        <v>1598</v>
      </c>
      <c r="E2945" s="9">
        <v>45200</v>
      </c>
      <c r="F2945" s="9">
        <v>45230</v>
      </c>
      <c r="G2945">
        <v>40087358.627999999</v>
      </c>
      <c r="H2945">
        <v>1818514.412</v>
      </c>
      <c r="I2945">
        <v>3271231.3960000002</v>
      </c>
      <c r="J2945">
        <v>0</v>
      </c>
      <c r="K2945">
        <v>0</v>
      </c>
      <c r="L2945">
        <v>0</v>
      </c>
      <c r="M2945">
        <v>0</v>
      </c>
      <c r="T2945" s="9">
        <v>45108</v>
      </c>
      <c r="U2945" s="9">
        <v>45473</v>
      </c>
      <c r="V2945">
        <f>SUM(POTABLE_NONPOTABLE_API[[#This Row],[RESIDENTIAL_SINGLEFAMILY_GAL]:[OTHER_GAL]])</f>
        <v>45177104.435999997</v>
      </c>
      <c r="W2945">
        <f>SUM(POTABLE_NONPOTABLE_API[[#This Row],[NONPOTABLE_DEMAND_RESIDENTIAL_RECYCLED_WATER_GAL]:[NONPOTABLE_DEMAND_NONRESIDENTIAL_METERED_IRRIGATION_GAL]])</f>
        <v>0</v>
      </c>
      <c r="X2945" t="str">
        <f>IFERROR(INDEX(Crosswalk_API!$H$2:$H$527, MATCH(POTABLE_NONPOTABLE_API[[#This Row],[PWSID]], CW_PWSID_LIST, 0)), "")</f>
        <v>No</v>
      </c>
    </row>
    <row r="2946" spans="1:24" x14ac:dyDescent="0.25">
      <c r="A2946" t="s">
        <v>1595</v>
      </c>
      <c r="B2946" t="s">
        <v>1596</v>
      </c>
      <c r="C2946" t="s">
        <v>1597</v>
      </c>
      <c r="D2946" t="s">
        <v>1598</v>
      </c>
      <c r="E2946" s="9">
        <v>45231</v>
      </c>
      <c r="F2946" s="9">
        <v>45260</v>
      </c>
      <c r="G2946">
        <v>45591525.244000003</v>
      </c>
      <c r="H2946">
        <v>2018244.2960000001</v>
      </c>
      <c r="I2946">
        <v>3800852.2120000003</v>
      </c>
      <c r="J2946">
        <v>0</v>
      </c>
      <c r="K2946">
        <v>0</v>
      </c>
      <c r="L2946">
        <v>0</v>
      </c>
      <c r="M2946">
        <v>0</v>
      </c>
      <c r="T2946" s="9">
        <v>45108</v>
      </c>
      <c r="U2946" s="9">
        <v>45473</v>
      </c>
      <c r="V2946">
        <f>SUM(POTABLE_NONPOTABLE_API[[#This Row],[RESIDENTIAL_SINGLEFAMILY_GAL]:[OTHER_GAL]])</f>
        <v>51410621.752000004</v>
      </c>
      <c r="W2946">
        <f>SUM(POTABLE_NONPOTABLE_API[[#This Row],[NONPOTABLE_DEMAND_RESIDENTIAL_RECYCLED_WATER_GAL]:[NONPOTABLE_DEMAND_NONRESIDENTIAL_METERED_IRRIGATION_GAL]])</f>
        <v>0</v>
      </c>
      <c r="X2946" t="str">
        <f>IFERROR(INDEX(Crosswalk_API!$H$2:$H$527, MATCH(POTABLE_NONPOTABLE_API[[#This Row],[PWSID]], CW_PWSID_LIST, 0)), "")</f>
        <v>No</v>
      </c>
    </row>
    <row r="2947" spans="1:24" x14ac:dyDescent="0.25">
      <c r="A2947" t="s">
        <v>1595</v>
      </c>
      <c r="B2947" t="s">
        <v>1596</v>
      </c>
      <c r="C2947" t="s">
        <v>1597</v>
      </c>
      <c r="D2947" t="s">
        <v>1598</v>
      </c>
      <c r="E2947" s="9">
        <v>45261</v>
      </c>
      <c r="F2947" s="9">
        <v>45291</v>
      </c>
      <c r="G2947">
        <v>36359067.460000001</v>
      </c>
      <c r="H2947">
        <v>1835719.608</v>
      </c>
      <c r="I2947">
        <v>2855314.4840000002</v>
      </c>
      <c r="J2947">
        <v>0</v>
      </c>
      <c r="K2947">
        <v>0</v>
      </c>
      <c r="L2947">
        <v>0</v>
      </c>
      <c r="M2947">
        <v>0</v>
      </c>
      <c r="T2947" s="9">
        <v>45108</v>
      </c>
      <c r="U2947" s="9">
        <v>45473</v>
      </c>
      <c r="V2947">
        <f>SUM(POTABLE_NONPOTABLE_API[[#This Row],[RESIDENTIAL_SINGLEFAMILY_GAL]:[OTHER_GAL]])</f>
        <v>41050101.552000001</v>
      </c>
      <c r="W2947">
        <f>SUM(POTABLE_NONPOTABLE_API[[#This Row],[NONPOTABLE_DEMAND_RESIDENTIAL_RECYCLED_WATER_GAL]:[NONPOTABLE_DEMAND_NONRESIDENTIAL_METERED_IRRIGATION_GAL]])</f>
        <v>0</v>
      </c>
      <c r="X2947" t="str">
        <f>IFERROR(INDEX(Crosswalk_API!$H$2:$H$527, MATCH(POTABLE_NONPOTABLE_API[[#This Row],[PWSID]], CW_PWSID_LIST, 0)), "")</f>
        <v>No</v>
      </c>
    </row>
    <row r="2948" spans="1:24" x14ac:dyDescent="0.25">
      <c r="A2948" t="s">
        <v>1595</v>
      </c>
      <c r="B2948" t="s">
        <v>1596</v>
      </c>
      <c r="C2948" t="s">
        <v>1597</v>
      </c>
      <c r="D2948" t="s">
        <v>1598</v>
      </c>
      <c r="E2948" s="9">
        <v>45292</v>
      </c>
      <c r="F2948" s="9">
        <v>45322</v>
      </c>
      <c r="G2948">
        <v>31708428.175999999</v>
      </c>
      <c r="H2948">
        <v>1639729.9839999999</v>
      </c>
      <c r="I2948">
        <v>2092301.4440000001</v>
      </c>
      <c r="J2948">
        <v>0</v>
      </c>
      <c r="K2948">
        <v>0</v>
      </c>
      <c r="L2948">
        <v>0</v>
      </c>
      <c r="M2948">
        <v>0</v>
      </c>
      <c r="T2948" s="9">
        <v>45108</v>
      </c>
      <c r="U2948" s="9">
        <v>45473</v>
      </c>
      <c r="V2948">
        <f>SUM(POTABLE_NONPOTABLE_API[[#This Row],[RESIDENTIAL_SINGLEFAMILY_GAL]:[OTHER_GAL]])</f>
        <v>35440459.604000002</v>
      </c>
      <c r="W2948">
        <f>SUM(POTABLE_NONPOTABLE_API[[#This Row],[NONPOTABLE_DEMAND_RESIDENTIAL_RECYCLED_WATER_GAL]:[NONPOTABLE_DEMAND_NONRESIDENTIAL_METERED_IRRIGATION_GAL]])</f>
        <v>0</v>
      </c>
      <c r="X2948" t="str">
        <f>IFERROR(INDEX(Crosswalk_API!$H$2:$H$527, MATCH(POTABLE_NONPOTABLE_API[[#This Row],[PWSID]], CW_PWSID_LIST, 0)), "")</f>
        <v>No</v>
      </c>
    </row>
    <row r="2949" spans="1:24" x14ac:dyDescent="0.25">
      <c r="A2949" t="s">
        <v>1595</v>
      </c>
      <c r="B2949" t="s">
        <v>1596</v>
      </c>
      <c r="C2949" t="s">
        <v>1597</v>
      </c>
      <c r="D2949" t="s">
        <v>1598</v>
      </c>
      <c r="E2949" s="9">
        <v>45323</v>
      </c>
      <c r="F2949" s="9">
        <v>45351</v>
      </c>
      <c r="G2949">
        <v>28010059.088</v>
      </c>
      <c r="H2949">
        <v>1411574.1240000001</v>
      </c>
      <c r="I2949">
        <v>2106514.432</v>
      </c>
      <c r="J2949">
        <v>0</v>
      </c>
      <c r="K2949">
        <v>0</v>
      </c>
      <c r="L2949">
        <v>0</v>
      </c>
      <c r="M2949">
        <v>0</v>
      </c>
      <c r="T2949" s="9">
        <v>45108</v>
      </c>
      <c r="U2949" s="9">
        <v>45473</v>
      </c>
      <c r="V2949">
        <f>SUM(POTABLE_NONPOTABLE_API[[#This Row],[RESIDENTIAL_SINGLEFAMILY_GAL]:[OTHER_GAL]])</f>
        <v>31528147.644000001</v>
      </c>
      <c r="W2949">
        <f>SUM(POTABLE_NONPOTABLE_API[[#This Row],[NONPOTABLE_DEMAND_RESIDENTIAL_RECYCLED_WATER_GAL]:[NONPOTABLE_DEMAND_NONRESIDENTIAL_METERED_IRRIGATION_GAL]])</f>
        <v>0</v>
      </c>
      <c r="X2949" t="str">
        <f>IFERROR(INDEX(Crosswalk_API!$H$2:$H$527, MATCH(POTABLE_NONPOTABLE_API[[#This Row],[PWSID]], CW_PWSID_LIST, 0)), "")</f>
        <v>No</v>
      </c>
    </row>
    <row r="2950" spans="1:24" x14ac:dyDescent="0.25">
      <c r="A2950" t="s">
        <v>1595</v>
      </c>
      <c r="B2950" t="s">
        <v>1596</v>
      </c>
      <c r="C2950" t="s">
        <v>1597</v>
      </c>
      <c r="D2950" t="s">
        <v>1598</v>
      </c>
      <c r="E2950" s="9">
        <v>45352</v>
      </c>
      <c r="F2950" s="9">
        <v>45382</v>
      </c>
      <c r="G2950">
        <v>22401913.243999999</v>
      </c>
      <c r="H2950">
        <v>1131054.6240000001</v>
      </c>
      <c r="I2950">
        <v>1834971.5560000001</v>
      </c>
      <c r="J2950">
        <v>0</v>
      </c>
      <c r="K2950">
        <v>0</v>
      </c>
      <c r="L2950">
        <v>0</v>
      </c>
      <c r="M2950">
        <v>0</v>
      </c>
      <c r="T2950" s="9">
        <v>45108</v>
      </c>
      <c r="U2950" s="9">
        <v>45473</v>
      </c>
      <c r="V2950">
        <f>SUM(POTABLE_NONPOTABLE_API[[#This Row],[RESIDENTIAL_SINGLEFAMILY_GAL]:[OTHER_GAL]])</f>
        <v>25367939.424000002</v>
      </c>
      <c r="W2950">
        <f>SUM(POTABLE_NONPOTABLE_API[[#This Row],[NONPOTABLE_DEMAND_RESIDENTIAL_RECYCLED_WATER_GAL]:[NONPOTABLE_DEMAND_NONRESIDENTIAL_METERED_IRRIGATION_GAL]])</f>
        <v>0</v>
      </c>
      <c r="X2950" t="str">
        <f>IFERROR(INDEX(Crosswalk_API!$H$2:$H$527, MATCH(POTABLE_NONPOTABLE_API[[#This Row],[PWSID]], CW_PWSID_LIST, 0)), "")</f>
        <v>No</v>
      </c>
    </row>
    <row r="2951" spans="1:24" x14ac:dyDescent="0.25">
      <c r="A2951" t="s">
        <v>1595</v>
      </c>
      <c r="B2951" t="s">
        <v>1596</v>
      </c>
      <c r="C2951" t="s">
        <v>1597</v>
      </c>
      <c r="D2951" t="s">
        <v>1598</v>
      </c>
      <c r="E2951" s="9">
        <v>45383</v>
      </c>
      <c r="F2951" s="9">
        <v>45412</v>
      </c>
      <c r="G2951">
        <v>30387368.344000001</v>
      </c>
      <c r="H2951">
        <v>1466181.92</v>
      </c>
      <c r="I2951">
        <v>2121475.4720000001</v>
      </c>
      <c r="J2951">
        <v>0</v>
      </c>
      <c r="K2951">
        <v>0</v>
      </c>
      <c r="L2951">
        <v>0</v>
      </c>
      <c r="M2951">
        <v>0</v>
      </c>
      <c r="T2951" s="9">
        <v>45108</v>
      </c>
      <c r="U2951" s="9">
        <v>45473</v>
      </c>
      <c r="V2951">
        <f>SUM(POTABLE_NONPOTABLE_API[[#This Row],[RESIDENTIAL_SINGLEFAMILY_GAL]:[OTHER_GAL]])</f>
        <v>33975025.736000001</v>
      </c>
      <c r="W2951">
        <f>SUM(POTABLE_NONPOTABLE_API[[#This Row],[NONPOTABLE_DEMAND_RESIDENTIAL_RECYCLED_WATER_GAL]:[NONPOTABLE_DEMAND_NONRESIDENTIAL_METERED_IRRIGATION_GAL]])</f>
        <v>0</v>
      </c>
      <c r="X2951" t="str">
        <f>IFERROR(INDEX(Crosswalk_API!$H$2:$H$527, MATCH(POTABLE_NONPOTABLE_API[[#This Row],[PWSID]], CW_PWSID_LIST, 0)), "")</f>
        <v>No</v>
      </c>
    </row>
    <row r="2952" spans="1:24" x14ac:dyDescent="0.25">
      <c r="A2952" t="s">
        <v>1595</v>
      </c>
      <c r="B2952" t="s">
        <v>1596</v>
      </c>
      <c r="C2952" t="s">
        <v>1597</v>
      </c>
      <c r="D2952" t="s">
        <v>1598</v>
      </c>
      <c r="E2952" s="9">
        <v>45413</v>
      </c>
      <c r="F2952" s="9">
        <v>45443</v>
      </c>
      <c r="G2952">
        <v>36365799.928000003</v>
      </c>
      <c r="H2952">
        <v>1597839.0720000002</v>
      </c>
      <c r="I2952">
        <v>2847085.912</v>
      </c>
      <c r="J2952">
        <v>0</v>
      </c>
      <c r="K2952">
        <v>0</v>
      </c>
      <c r="L2952">
        <v>0</v>
      </c>
      <c r="M2952">
        <v>0</v>
      </c>
      <c r="T2952" s="9">
        <v>45108</v>
      </c>
      <c r="U2952" s="9">
        <v>45473</v>
      </c>
      <c r="V2952">
        <f>SUM(POTABLE_NONPOTABLE_API[[#This Row],[RESIDENTIAL_SINGLEFAMILY_GAL]:[OTHER_GAL]])</f>
        <v>40810724.912</v>
      </c>
      <c r="W2952">
        <f>SUM(POTABLE_NONPOTABLE_API[[#This Row],[NONPOTABLE_DEMAND_RESIDENTIAL_RECYCLED_WATER_GAL]:[NONPOTABLE_DEMAND_NONRESIDENTIAL_METERED_IRRIGATION_GAL]])</f>
        <v>0</v>
      </c>
      <c r="X2952" t="str">
        <f>IFERROR(INDEX(Crosswalk_API!$H$2:$H$527, MATCH(POTABLE_NONPOTABLE_API[[#This Row],[PWSID]], CW_PWSID_LIST, 0)), "")</f>
        <v>No</v>
      </c>
    </row>
    <row r="2953" spans="1:24" x14ac:dyDescent="0.25">
      <c r="A2953" t="s">
        <v>1595</v>
      </c>
      <c r="B2953" t="s">
        <v>1596</v>
      </c>
      <c r="C2953" t="s">
        <v>1597</v>
      </c>
      <c r="D2953" t="s">
        <v>1598</v>
      </c>
      <c r="E2953" s="9">
        <v>45444</v>
      </c>
      <c r="F2953" s="9">
        <v>45473</v>
      </c>
      <c r="G2953">
        <v>41689686.012000002</v>
      </c>
      <c r="H2953">
        <v>1834971.5560000001</v>
      </c>
      <c r="I2953">
        <v>3680415.8400000003</v>
      </c>
      <c r="J2953">
        <v>0</v>
      </c>
      <c r="K2953">
        <v>0</v>
      </c>
      <c r="L2953">
        <v>0</v>
      </c>
      <c r="M2953">
        <v>0</v>
      </c>
      <c r="T2953" s="9">
        <v>45108</v>
      </c>
      <c r="U2953" s="9">
        <v>45473</v>
      </c>
      <c r="V2953">
        <f>SUM(POTABLE_NONPOTABLE_API[[#This Row],[RESIDENTIAL_SINGLEFAMILY_GAL]:[OTHER_GAL]])</f>
        <v>47205073.408000007</v>
      </c>
      <c r="W2953">
        <f>SUM(POTABLE_NONPOTABLE_API[[#This Row],[NONPOTABLE_DEMAND_RESIDENTIAL_RECYCLED_WATER_GAL]:[NONPOTABLE_DEMAND_NONRESIDENTIAL_METERED_IRRIGATION_GAL]])</f>
        <v>0</v>
      </c>
      <c r="X2953" t="str">
        <f>IFERROR(INDEX(Crosswalk_API!$H$2:$H$527, MATCH(POTABLE_NONPOTABLE_API[[#This Row],[PWSID]], CW_PWSID_LIST, 0)), "")</f>
        <v>No</v>
      </c>
    </row>
    <row r="2954" spans="1:24" x14ac:dyDescent="0.25">
      <c r="A2954" t="s">
        <v>1599</v>
      </c>
      <c r="B2954" t="s">
        <v>1600</v>
      </c>
      <c r="C2954" t="s">
        <v>1601</v>
      </c>
      <c r="D2954" t="s">
        <v>1602</v>
      </c>
      <c r="E2954" s="9">
        <v>45108</v>
      </c>
      <c r="F2954" s="9">
        <v>45138</v>
      </c>
      <c r="G2954">
        <v>67160676</v>
      </c>
      <c r="H2954">
        <v>20955968</v>
      </c>
      <c r="I2954">
        <v>10046170</v>
      </c>
      <c r="J2954">
        <v>7303472</v>
      </c>
      <c r="K2954">
        <v>0</v>
      </c>
      <c r="L2954">
        <v>2126564</v>
      </c>
      <c r="M2954">
        <v>0</v>
      </c>
      <c r="T2954" s="9">
        <v>45108</v>
      </c>
      <c r="U2954" s="9">
        <v>45473</v>
      </c>
      <c r="V2954">
        <f>SUM(POTABLE_NONPOTABLE_API[[#This Row],[RESIDENTIAL_SINGLEFAMILY_GAL]:[OTHER_GAL]])</f>
        <v>107592850</v>
      </c>
      <c r="W2954">
        <f>SUM(POTABLE_NONPOTABLE_API[[#This Row],[NONPOTABLE_DEMAND_RESIDENTIAL_RECYCLED_WATER_GAL]:[NONPOTABLE_DEMAND_NONRESIDENTIAL_METERED_IRRIGATION_GAL]])</f>
        <v>0</v>
      </c>
      <c r="X2954" t="str">
        <f>IFERROR(INDEX(Crosswalk_API!$H$2:$H$527, MATCH(POTABLE_NONPOTABLE_API[[#This Row],[PWSID]], CW_PWSID_LIST, 0)), "")</f>
        <v>No</v>
      </c>
    </row>
    <row r="2955" spans="1:24" x14ac:dyDescent="0.25">
      <c r="A2955" t="s">
        <v>1599</v>
      </c>
      <c r="B2955" t="s">
        <v>1600</v>
      </c>
      <c r="C2955" t="s">
        <v>1601</v>
      </c>
      <c r="D2955" t="s">
        <v>1602</v>
      </c>
      <c r="E2955" s="9">
        <v>45139</v>
      </c>
      <c r="F2955" s="9">
        <v>45169</v>
      </c>
      <c r="G2955">
        <v>65757428</v>
      </c>
      <c r="H2955">
        <v>20916324</v>
      </c>
      <c r="I2955">
        <v>9126348</v>
      </c>
      <c r="J2955">
        <v>6868884</v>
      </c>
      <c r="K2955">
        <v>0</v>
      </c>
      <c r="L2955">
        <v>4030350</v>
      </c>
      <c r="M2955">
        <v>0</v>
      </c>
      <c r="T2955" s="9">
        <v>45108</v>
      </c>
      <c r="U2955" s="9">
        <v>45473</v>
      </c>
      <c r="V2955">
        <f>SUM(POTABLE_NONPOTABLE_API[[#This Row],[RESIDENTIAL_SINGLEFAMILY_GAL]:[OTHER_GAL]])</f>
        <v>106699334</v>
      </c>
      <c r="W2955">
        <f>SUM(POTABLE_NONPOTABLE_API[[#This Row],[NONPOTABLE_DEMAND_RESIDENTIAL_RECYCLED_WATER_GAL]:[NONPOTABLE_DEMAND_NONRESIDENTIAL_METERED_IRRIGATION_GAL]])</f>
        <v>0</v>
      </c>
      <c r="X2955" t="str">
        <f>IFERROR(INDEX(Crosswalk_API!$H$2:$H$527, MATCH(POTABLE_NONPOTABLE_API[[#This Row],[PWSID]], CW_PWSID_LIST, 0)), "")</f>
        <v>No</v>
      </c>
    </row>
    <row r="2956" spans="1:24" x14ac:dyDescent="0.25">
      <c r="A2956" t="s">
        <v>1599</v>
      </c>
      <c r="B2956" t="s">
        <v>1600</v>
      </c>
      <c r="C2956" t="s">
        <v>1601</v>
      </c>
      <c r="D2956" t="s">
        <v>1602</v>
      </c>
      <c r="E2956" s="9">
        <v>45170</v>
      </c>
      <c r="F2956" s="9">
        <v>45199</v>
      </c>
      <c r="G2956">
        <v>65757428</v>
      </c>
      <c r="H2956">
        <v>20916324</v>
      </c>
      <c r="I2956">
        <v>9126348</v>
      </c>
      <c r="J2956">
        <v>6868884</v>
      </c>
      <c r="K2956">
        <v>0</v>
      </c>
      <c r="L2956">
        <v>3185823</v>
      </c>
      <c r="M2956">
        <v>0</v>
      </c>
      <c r="T2956" s="9">
        <v>45108</v>
      </c>
      <c r="U2956" s="9">
        <v>45473</v>
      </c>
      <c r="V2956">
        <f>SUM(POTABLE_NONPOTABLE_API[[#This Row],[RESIDENTIAL_SINGLEFAMILY_GAL]:[OTHER_GAL]])</f>
        <v>105854807</v>
      </c>
      <c r="W2956">
        <f>SUM(POTABLE_NONPOTABLE_API[[#This Row],[NONPOTABLE_DEMAND_RESIDENTIAL_RECYCLED_WATER_GAL]:[NONPOTABLE_DEMAND_NONRESIDENTIAL_METERED_IRRIGATION_GAL]])</f>
        <v>0</v>
      </c>
      <c r="X2956" t="str">
        <f>IFERROR(INDEX(Crosswalk_API!$H$2:$H$527, MATCH(POTABLE_NONPOTABLE_API[[#This Row],[PWSID]], CW_PWSID_LIST, 0)), "")</f>
        <v>No</v>
      </c>
    </row>
    <row r="2957" spans="1:24" x14ac:dyDescent="0.25">
      <c r="A2957" t="s">
        <v>1599</v>
      </c>
      <c r="B2957" t="s">
        <v>1600</v>
      </c>
      <c r="C2957" t="s">
        <v>1601</v>
      </c>
      <c r="D2957" t="s">
        <v>1602</v>
      </c>
      <c r="E2957" s="9">
        <v>45200</v>
      </c>
      <c r="F2957" s="9">
        <v>45230</v>
      </c>
      <c r="G2957">
        <v>58977556</v>
      </c>
      <c r="H2957">
        <v>22717508</v>
      </c>
      <c r="I2957">
        <v>8187608</v>
      </c>
      <c r="J2957">
        <v>7476260</v>
      </c>
      <c r="K2957">
        <v>0</v>
      </c>
      <c r="L2957">
        <v>2857021</v>
      </c>
      <c r="M2957">
        <v>0</v>
      </c>
      <c r="T2957" s="9">
        <v>45108</v>
      </c>
      <c r="U2957" s="9">
        <v>45473</v>
      </c>
      <c r="V2957">
        <f>SUM(POTABLE_NONPOTABLE_API[[#This Row],[RESIDENTIAL_SINGLEFAMILY_GAL]:[OTHER_GAL]])</f>
        <v>100215953</v>
      </c>
      <c r="W2957">
        <f>SUM(POTABLE_NONPOTABLE_API[[#This Row],[NONPOTABLE_DEMAND_RESIDENTIAL_RECYCLED_WATER_GAL]:[NONPOTABLE_DEMAND_NONRESIDENTIAL_METERED_IRRIGATION_GAL]])</f>
        <v>0</v>
      </c>
      <c r="X2957" t="str">
        <f>IFERROR(INDEX(Crosswalk_API!$H$2:$H$527, MATCH(POTABLE_NONPOTABLE_API[[#This Row],[PWSID]], CW_PWSID_LIST, 0)), "")</f>
        <v>No</v>
      </c>
    </row>
    <row r="2958" spans="1:24" x14ac:dyDescent="0.25">
      <c r="A2958" t="s">
        <v>1599</v>
      </c>
      <c r="B2958" t="s">
        <v>1600</v>
      </c>
      <c r="C2958" t="s">
        <v>1601</v>
      </c>
      <c r="D2958" t="s">
        <v>1602</v>
      </c>
      <c r="E2958" s="9">
        <v>45231</v>
      </c>
      <c r="F2958" s="9">
        <v>45260</v>
      </c>
      <c r="G2958">
        <v>36729792</v>
      </c>
      <c r="H2958">
        <v>15968304</v>
      </c>
      <c r="I2958">
        <v>5610748</v>
      </c>
      <c r="J2958">
        <v>3398164</v>
      </c>
      <c r="K2958">
        <v>0</v>
      </c>
      <c r="L2958">
        <v>2450473</v>
      </c>
      <c r="M2958">
        <v>0</v>
      </c>
      <c r="T2958" s="9">
        <v>45108</v>
      </c>
      <c r="U2958" s="9">
        <v>45473</v>
      </c>
      <c r="V2958">
        <f>SUM(POTABLE_NONPOTABLE_API[[#This Row],[RESIDENTIAL_SINGLEFAMILY_GAL]:[OTHER_GAL]])</f>
        <v>64157481</v>
      </c>
      <c r="W2958">
        <f>SUM(POTABLE_NONPOTABLE_API[[#This Row],[NONPOTABLE_DEMAND_RESIDENTIAL_RECYCLED_WATER_GAL]:[NONPOTABLE_DEMAND_NONRESIDENTIAL_METERED_IRRIGATION_GAL]])</f>
        <v>0</v>
      </c>
      <c r="X2958" t="str">
        <f>IFERROR(INDEX(Crosswalk_API!$H$2:$H$527, MATCH(POTABLE_NONPOTABLE_API[[#This Row],[PWSID]], CW_PWSID_LIST, 0)), "")</f>
        <v>No</v>
      </c>
    </row>
    <row r="2959" spans="1:24" x14ac:dyDescent="0.25">
      <c r="A2959" t="s">
        <v>1599</v>
      </c>
      <c r="B2959" t="s">
        <v>1600</v>
      </c>
      <c r="C2959" t="s">
        <v>1601</v>
      </c>
      <c r="D2959" t="s">
        <v>1602</v>
      </c>
      <c r="E2959" s="9">
        <v>45261</v>
      </c>
      <c r="F2959" s="9">
        <v>45291</v>
      </c>
      <c r="G2959">
        <v>40308972</v>
      </c>
      <c r="H2959">
        <v>18415760</v>
      </c>
      <c r="I2959">
        <v>6316112</v>
      </c>
      <c r="J2959">
        <v>2000900</v>
      </c>
      <c r="K2959">
        <v>0</v>
      </c>
      <c r="L2959">
        <v>2194632</v>
      </c>
      <c r="M2959">
        <v>0</v>
      </c>
      <c r="T2959" s="9">
        <v>45108</v>
      </c>
      <c r="U2959" s="9">
        <v>45473</v>
      </c>
      <c r="V2959">
        <f>SUM(POTABLE_NONPOTABLE_API[[#This Row],[RESIDENTIAL_SINGLEFAMILY_GAL]:[OTHER_GAL]])</f>
        <v>69236376</v>
      </c>
      <c r="W2959">
        <f>SUM(POTABLE_NONPOTABLE_API[[#This Row],[NONPOTABLE_DEMAND_RESIDENTIAL_RECYCLED_WATER_GAL]:[NONPOTABLE_DEMAND_NONRESIDENTIAL_METERED_IRRIGATION_GAL]])</f>
        <v>0</v>
      </c>
      <c r="X2959" t="str">
        <f>IFERROR(INDEX(Crosswalk_API!$H$2:$H$527, MATCH(POTABLE_NONPOTABLE_API[[#This Row],[PWSID]], CW_PWSID_LIST, 0)), "")</f>
        <v>No</v>
      </c>
    </row>
    <row r="2960" spans="1:24" x14ac:dyDescent="0.25">
      <c r="A2960" t="s">
        <v>1599</v>
      </c>
      <c r="B2960" t="s">
        <v>1600</v>
      </c>
      <c r="C2960" t="s">
        <v>1601</v>
      </c>
      <c r="D2960" t="s">
        <v>1602</v>
      </c>
      <c r="E2960" s="9">
        <v>45292</v>
      </c>
      <c r="F2960" s="9">
        <v>45322</v>
      </c>
      <c r="G2960">
        <v>28690288</v>
      </c>
      <c r="H2960">
        <v>14314476</v>
      </c>
      <c r="I2960">
        <v>5196356</v>
      </c>
      <c r="J2960">
        <v>1793704</v>
      </c>
      <c r="K2960">
        <v>0</v>
      </c>
      <c r="L2960">
        <v>1844680</v>
      </c>
      <c r="M2960">
        <v>0</v>
      </c>
      <c r="T2960" s="9">
        <v>45108</v>
      </c>
      <c r="U2960" s="9">
        <v>45473</v>
      </c>
      <c r="V2960">
        <f>SUM(POTABLE_NONPOTABLE_API[[#This Row],[RESIDENTIAL_SINGLEFAMILY_GAL]:[OTHER_GAL]])</f>
        <v>51839504</v>
      </c>
      <c r="W2960">
        <f>SUM(POTABLE_NONPOTABLE_API[[#This Row],[NONPOTABLE_DEMAND_RESIDENTIAL_RECYCLED_WATER_GAL]:[NONPOTABLE_DEMAND_NONRESIDENTIAL_METERED_IRRIGATION_GAL]])</f>
        <v>0</v>
      </c>
      <c r="X2960" t="str">
        <f>IFERROR(INDEX(Crosswalk_API!$H$2:$H$527, MATCH(POTABLE_NONPOTABLE_API[[#This Row],[PWSID]], CW_PWSID_LIST, 0)), "")</f>
        <v>No</v>
      </c>
    </row>
    <row r="2961" spans="1:24" x14ac:dyDescent="0.25">
      <c r="A2961" t="s">
        <v>1599</v>
      </c>
      <c r="B2961" t="s">
        <v>1600</v>
      </c>
      <c r="C2961" t="s">
        <v>1601</v>
      </c>
      <c r="D2961" t="s">
        <v>1602</v>
      </c>
      <c r="E2961" s="9">
        <v>45323</v>
      </c>
      <c r="F2961" s="9">
        <v>45351</v>
      </c>
      <c r="G2961">
        <v>26569708</v>
      </c>
      <c r="H2961">
        <v>12649428</v>
      </c>
      <c r="I2961">
        <v>7038680</v>
      </c>
      <c r="J2961">
        <v>840004</v>
      </c>
      <c r="K2961">
        <v>0</v>
      </c>
      <c r="L2961">
        <v>1840920</v>
      </c>
      <c r="M2961">
        <v>0</v>
      </c>
      <c r="T2961" s="9">
        <v>45108</v>
      </c>
      <c r="U2961" s="9">
        <v>45473</v>
      </c>
      <c r="V2961">
        <f>SUM(POTABLE_NONPOTABLE_API[[#This Row],[RESIDENTIAL_SINGLEFAMILY_GAL]:[OTHER_GAL]])</f>
        <v>48938740</v>
      </c>
      <c r="W2961">
        <f>SUM(POTABLE_NONPOTABLE_API[[#This Row],[NONPOTABLE_DEMAND_RESIDENTIAL_RECYCLED_WATER_GAL]:[NONPOTABLE_DEMAND_NONRESIDENTIAL_METERED_IRRIGATION_GAL]])</f>
        <v>0</v>
      </c>
      <c r="X2961" t="str">
        <f>IFERROR(INDEX(Crosswalk_API!$H$2:$H$527, MATCH(POTABLE_NONPOTABLE_API[[#This Row],[PWSID]], CW_PWSID_LIST, 0)), "")</f>
        <v>No</v>
      </c>
    </row>
    <row r="2962" spans="1:24" x14ac:dyDescent="0.25">
      <c r="A2962" t="s">
        <v>1599</v>
      </c>
      <c r="B2962" t="s">
        <v>1600</v>
      </c>
      <c r="C2962" t="s">
        <v>1601</v>
      </c>
      <c r="D2962" t="s">
        <v>1602</v>
      </c>
      <c r="E2962" s="9">
        <v>45352</v>
      </c>
      <c r="F2962" s="9">
        <v>45382</v>
      </c>
      <c r="G2962">
        <v>27287040</v>
      </c>
      <c r="H2962">
        <v>13067560</v>
      </c>
      <c r="I2962">
        <v>5449180</v>
      </c>
      <c r="J2962">
        <v>1655324</v>
      </c>
      <c r="K2962">
        <v>0</v>
      </c>
      <c r="L2962">
        <v>1775788</v>
      </c>
      <c r="M2962">
        <v>0</v>
      </c>
      <c r="T2962" s="9">
        <v>45108</v>
      </c>
      <c r="U2962" s="9">
        <v>45473</v>
      </c>
      <c r="V2962">
        <f>SUM(POTABLE_NONPOTABLE_API[[#This Row],[RESIDENTIAL_SINGLEFAMILY_GAL]:[OTHER_GAL]])</f>
        <v>49234892</v>
      </c>
      <c r="W2962">
        <f>SUM(POTABLE_NONPOTABLE_API[[#This Row],[NONPOTABLE_DEMAND_RESIDENTIAL_RECYCLED_WATER_GAL]:[NONPOTABLE_DEMAND_NONRESIDENTIAL_METERED_IRRIGATION_GAL]])</f>
        <v>0</v>
      </c>
      <c r="X2962" t="str">
        <f>IFERROR(INDEX(Crosswalk_API!$H$2:$H$527, MATCH(POTABLE_NONPOTABLE_API[[#This Row],[PWSID]], CW_PWSID_LIST, 0)), "")</f>
        <v>No</v>
      </c>
    </row>
    <row r="2963" spans="1:24" x14ac:dyDescent="0.25">
      <c r="A2963" t="s">
        <v>1599</v>
      </c>
      <c r="B2963" t="s">
        <v>1600</v>
      </c>
      <c r="C2963" t="s">
        <v>1601</v>
      </c>
      <c r="D2963" t="s">
        <v>1602</v>
      </c>
      <c r="E2963" s="9">
        <v>45383</v>
      </c>
      <c r="F2963" s="9">
        <v>45412</v>
      </c>
      <c r="G2963">
        <v>36222648</v>
      </c>
      <c r="H2963">
        <v>15378132</v>
      </c>
      <c r="I2963">
        <v>5550160</v>
      </c>
      <c r="J2963">
        <v>2338248</v>
      </c>
      <c r="K2963">
        <v>0</v>
      </c>
      <c r="L2963">
        <v>2033517</v>
      </c>
      <c r="M2963">
        <v>0</v>
      </c>
      <c r="T2963" s="9">
        <v>45108</v>
      </c>
      <c r="U2963" s="9">
        <v>45473</v>
      </c>
      <c r="V2963">
        <f>SUM(POTABLE_NONPOTABLE_API[[#This Row],[RESIDENTIAL_SINGLEFAMILY_GAL]:[OTHER_GAL]])</f>
        <v>61522705</v>
      </c>
      <c r="W2963">
        <f>SUM(POTABLE_NONPOTABLE_API[[#This Row],[NONPOTABLE_DEMAND_RESIDENTIAL_RECYCLED_WATER_GAL]:[NONPOTABLE_DEMAND_NONRESIDENTIAL_METERED_IRRIGATION_GAL]])</f>
        <v>0</v>
      </c>
      <c r="X2963" t="str">
        <f>IFERROR(INDEX(Crosswalk_API!$H$2:$H$527, MATCH(POTABLE_NONPOTABLE_API[[#This Row],[PWSID]], CW_PWSID_LIST, 0)), "")</f>
        <v>No</v>
      </c>
    </row>
    <row r="2964" spans="1:24" x14ac:dyDescent="0.25">
      <c r="A2964" t="s">
        <v>1599</v>
      </c>
      <c r="B2964" t="s">
        <v>1600</v>
      </c>
      <c r="C2964" t="s">
        <v>1601</v>
      </c>
      <c r="D2964" t="s">
        <v>1602</v>
      </c>
      <c r="E2964" s="9">
        <v>45413</v>
      </c>
      <c r="F2964" s="9">
        <v>45443</v>
      </c>
      <c r="G2964">
        <v>44839608</v>
      </c>
      <c r="H2964">
        <v>17040188</v>
      </c>
      <c r="I2964">
        <v>6826996</v>
      </c>
      <c r="J2964">
        <v>3722048</v>
      </c>
      <c r="K2964">
        <v>0</v>
      </c>
      <c r="L2964">
        <v>1937553</v>
      </c>
      <c r="M2964">
        <v>0</v>
      </c>
      <c r="T2964" s="9">
        <v>45108</v>
      </c>
      <c r="U2964" s="9">
        <v>45473</v>
      </c>
      <c r="V2964">
        <f>SUM(POTABLE_NONPOTABLE_API[[#This Row],[RESIDENTIAL_SINGLEFAMILY_GAL]:[OTHER_GAL]])</f>
        <v>74366393</v>
      </c>
      <c r="W2964">
        <f>SUM(POTABLE_NONPOTABLE_API[[#This Row],[NONPOTABLE_DEMAND_RESIDENTIAL_RECYCLED_WATER_GAL]:[NONPOTABLE_DEMAND_NONRESIDENTIAL_METERED_IRRIGATION_GAL]])</f>
        <v>0</v>
      </c>
      <c r="X2964" t="str">
        <f>IFERROR(INDEX(Crosswalk_API!$H$2:$H$527, MATCH(POTABLE_NONPOTABLE_API[[#This Row],[PWSID]], CW_PWSID_LIST, 0)), "")</f>
        <v>No</v>
      </c>
    </row>
    <row r="2965" spans="1:24" x14ac:dyDescent="0.25">
      <c r="A2965" t="s">
        <v>1599</v>
      </c>
      <c r="B2965" t="s">
        <v>1600</v>
      </c>
      <c r="C2965" t="s">
        <v>1601</v>
      </c>
      <c r="D2965" t="s">
        <v>1602</v>
      </c>
      <c r="E2965" s="9">
        <v>45444</v>
      </c>
      <c r="F2965" s="9">
        <v>45473</v>
      </c>
      <c r="G2965">
        <v>65715540</v>
      </c>
      <c r="H2965">
        <v>21124268</v>
      </c>
      <c r="I2965">
        <v>9347008</v>
      </c>
      <c r="J2965">
        <v>6693104</v>
      </c>
      <c r="K2965">
        <v>0</v>
      </c>
      <c r="L2965">
        <v>2096644</v>
      </c>
      <c r="M2965">
        <v>0</v>
      </c>
      <c r="T2965" s="9">
        <v>45108</v>
      </c>
      <c r="U2965" s="9">
        <v>45473</v>
      </c>
      <c r="V2965">
        <f>SUM(POTABLE_NONPOTABLE_API[[#This Row],[RESIDENTIAL_SINGLEFAMILY_GAL]:[OTHER_GAL]])</f>
        <v>104976564</v>
      </c>
      <c r="W2965">
        <f>SUM(POTABLE_NONPOTABLE_API[[#This Row],[NONPOTABLE_DEMAND_RESIDENTIAL_RECYCLED_WATER_GAL]:[NONPOTABLE_DEMAND_NONRESIDENTIAL_METERED_IRRIGATION_GAL]])</f>
        <v>0</v>
      </c>
      <c r="X2965" t="str">
        <f>IFERROR(INDEX(Crosswalk_API!$H$2:$H$527, MATCH(POTABLE_NONPOTABLE_API[[#This Row],[PWSID]], CW_PWSID_LIST, 0)), "")</f>
        <v>No</v>
      </c>
    </row>
    <row r="2966" spans="1:24" x14ac:dyDescent="0.25">
      <c r="A2966" t="s">
        <v>1607</v>
      </c>
      <c r="B2966" t="s">
        <v>1608</v>
      </c>
      <c r="C2966" t="s">
        <v>1609</v>
      </c>
      <c r="D2966" t="s">
        <v>1610</v>
      </c>
      <c r="E2966" s="9">
        <v>45108</v>
      </c>
      <c r="F2966" s="9">
        <v>45138</v>
      </c>
      <c r="G2966">
        <v>104980869.62800001</v>
      </c>
      <c r="H2966">
        <v>14126213.968</v>
      </c>
      <c r="I2966">
        <v>30203347.552000001</v>
      </c>
      <c r="J2966">
        <v>52254424.408</v>
      </c>
      <c r="K2966">
        <v>0</v>
      </c>
      <c r="L2966">
        <v>0</v>
      </c>
      <c r="M2966">
        <v>0</v>
      </c>
      <c r="N2966">
        <v>0</v>
      </c>
      <c r="O2966">
        <v>0</v>
      </c>
      <c r="Q2966">
        <v>20546000</v>
      </c>
      <c r="R2966">
        <v>0</v>
      </c>
      <c r="S2966">
        <v>30890000</v>
      </c>
      <c r="T2966" s="9">
        <v>45108</v>
      </c>
      <c r="U2966" s="9">
        <v>45473</v>
      </c>
      <c r="V2966">
        <f>SUM(POTABLE_NONPOTABLE_API[[#This Row],[RESIDENTIAL_SINGLEFAMILY_GAL]:[OTHER_GAL]])</f>
        <v>201564855.55599999</v>
      </c>
      <c r="W2966">
        <f>SUM(POTABLE_NONPOTABLE_API[[#This Row],[NONPOTABLE_DEMAND_RESIDENTIAL_RECYCLED_WATER_GAL]:[NONPOTABLE_DEMAND_NONRESIDENTIAL_METERED_IRRIGATION_GAL]])</f>
        <v>51436000</v>
      </c>
      <c r="X2966" t="str">
        <f>IFERROR(INDEX(Crosswalk_API!$H$2:$H$527, MATCH(POTABLE_NONPOTABLE_API[[#This Row],[PWSID]], CW_PWSID_LIST, 0)), "")</f>
        <v>No</v>
      </c>
    </row>
    <row r="2967" spans="1:24" x14ac:dyDescent="0.25">
      <c r="A2967" t="s">
        <v>1607</v>
      </c>
      <c r="B2967" t="s">
        <v>1608</v>
      </c>
      <c r="C2967" t="s">
        <v>1609</v>
      </c>
      <c r="D2967" t="s">
        <v>1610</v>
      </c>
      <c r="E2967" s="9">
        <v>45139</v>
      </c>
      <c r="F2967" s="9">
        <v>45169</v>
      </c>
      <c r="G2967">
        <v>77117428.732000008</v>
      </c>
      <c r="H2967">
        <v>11754889.128</v>
      </c>
      <c r="I2967">
        <v>31574526.868000001</v>
      </c>
      <c r="J2967">
        <v>51112897.056000002</v>
      </c>
      <c r="K2967">
        <v>0</v>
      </c>
      <c r="L2967">
        <v>0</v>
      </c>
      <c r="M2967">
        <v>0</v>
      </c>
      <c r="N2967">
        <v>5500000</v>
      </c>
      <c r="O2967">
        <v>0</v>
      </c>
      <c r="Q2967">
        <v>58270000</v>
      </c>
      <c r="R2967">
        <v>0</v>
      </c>
      <c r="T2967" s="9">
        <v>45108</v>
      </c>
      <c r="U2967" s="9">
        <v>45473</v>
      </c>
      <c r="V2967">
        <f>SUM(POTABLE_NONPOTABLE_API[[#This Row],[RESIDENTIAL_SINGLEFAMILY_GAL]:[OTHER_GAL]])</f>
        <v>171559741.78400001</v>
      </c>
      <c r="W2967">
        <f>SUM(POTABLE_NONPOTABLE_API[[#This Row],[NONPOTABLE_DEMAND_RESIDENTIAL_RECYCLED_WATER_GAL]:[NONPOTABLE_DEMAND_NONRESIDENTIAL_METERED_IRRIGATION_GAL]])</f>
        <v>63770000</v>
      </c>
      <c r="X2967" t="str">
        <f>IFERROR(INDEX(Crosswalk_API!$H$2:$H$527, MATCH(POTABLE_NONPOTABLE_API[[#This Row],[PWSID]], CW_PWSID_LIST, 0)), "")</f>
        <v>No</v>
      </c>
    </row>
    <row r="2968" spans="1:24" x14ac:dyDescent="0.25">
      <c r="A2968" t="s">
        <v>1607</v>
      </c>
      <c r="B2968" t="s">
        <v>1608</v>
      </c>
      <c r="C2968" t="s">
        <v>1609</v>
      </c>
      <c r="D2968" t="s">
        <v>1610</v>
      </c>
      <c r="E2968" s="9">
        <v>45170</v>
      </c>
      <c r="F2968" s="9">
        <v>45199</v>
      </c>
      <c r="G2968">
        <v>111334075.264</v>
      </c>
      <c r="H2968">
        <v>15965673.836000001</v>
      </c>
      <c r="I2968">
        <v>36622381.763999999</v>
      </c>
      <c r="J2968">
        <v>62757074.487999998</v>
      </c>
      <c r="K2968">
        <v>0</v>
      </c>
      <c r="L2968">
        <v>827345.51199999999</v>
      </c>
      <c r="M2968">
        <v>0</v>
      </c>
      <c r="N2968">
        <v>3700356</v>
      </c>
      <c r="O2968">
        <v>0</v>
      </c>
      <c r="Q2968">
        <v>45514544</v>
      </c>
      <c r="R2968">
        <v>0</v>
      </c>
      <c r="T2968" s="9">
        <v>45108</v>
      </c>
      <c r="U2968" s="9">
        <v>45473</v>
      </c>
      <c r="V2968">
        <f>SUM(POTABLE_NONPOTABLE_API[[#This Row],[RESIDENTIAL_SINGLEFAMILY_GAL]:[OTHER_GAL]])</f>
        <v>227506550.86399999</v>
      </c>
      <c r="W2968">
        <f>SUM(POTABLE_NONPOTABLE_API[[#This Row],[NONPOTABLE_DEMAND_RESIDENTIAL_RECYCLED_WATER_GAL]:[NONPOTABLE_DEMAND_NONRESIDENTIAL_METERED_IRRIGATION_GAL]])</f>
        <v>49214900</v>
      </c>
      <c r="X2968" t="str">
        <f>IFERROR(INDEX(Crosswalk_API!$H$2:$H$527, MATCH(POTABLE_NONPOTABLE_API[[#This Row],[PWSID]], CW_PWSID_LIST, 0)), "")</f>
        <v>No</v>
      </c>
    </row>
    <row r="2969" spans="1:24" x14ac:dyDescent="0.25">
      <c r="A2969" t="s">
        <v>1607</v>
      </c>
      <c r="B2969" t="s">
        <v>1608</v>
      </c>
      <c r="C2969" t="s">
        <v>1609</v>
      </c>
      <c r="D2969" t="s">
        <v>1610</v>
      </c>
      <c r="E2969" s="9">
        <v>45200</v>
      </c>
      <c r="F2969" s="9">
        <v>45230</v>
      </c>
      <c r="G2969">
        <v>77755517.088</v>
      </c>
      <c r="H2969">
        <v>10908842.316</v>
      </c>
      <c r="I2969">
        <v>28322744.824000001</v>
      </c>
      <c r="J2969">
        <v>40745644.388000004</v>
      </c>
      <c r="K2969">
        <v>0</v>
      </c>
      <c r="L2969">
        <v>0</v>
      </c>
      <c r="M2969">
        <v>0</v>
      </c>
      <c r="N2969">
        <v>0</v>
      </c>
      <c r="O2969">
        <v>0</v>
      </c>
      <c r="P2969">
        <v>3164040</v>
      </c>
      <c r="Q2969">
        <v>18584000</v>
      </c>
      <c r="R2969">
        <v>0</v>
      </c>
      <c r="S2969">
        <v>21372160</v>
      </c>
      <c r="T2969" s="9">
        <v>45108</v>
      </c>
      <c r="U2969" s="9">
        <v>45473</v>
      </c>
      <c r="V2969">
        <f>SUM(POTABLE_NONPOTABLE_API[[#This Row],[RESIDENTIAL_SINGLEFAMILY_GAL]:[OTHER_GAL]])</f>
        <v>157732748.616</v>
      </c>
      <c r="W2969">
        <f>SUM(POTABLE_NONPOTABLE_API[[#This Row],[NONPOTABLE_DEMAND_RESIDENTIAL_RECYCLED_WATER_GAL]:[NONPOTABLE_DEMAND_NONRESIDENTIAL_METERED_IRRIGATION_GAL]])</f>
        <v>43120200</v>
      </c>
      <c r="X2969" t="str">
        <f>IFERROR(INDEX(Crosswalk_API!$H$2:$H$527, MATCH(POTABLE_NONPOTABLE_API[[#This Row],[PWSID]], CW_PWSID_LIST, 0)), "")</f>
        <v>No</v>
      </c>
    </row>
    <row r="2970" spans="1:24" x14ac:dyDescent="0.25">
      <c r="A2970" t="s">
        <v>1607</v>
      </c>
      <c r="B2970" t="s">
        <v>1608</v>
      </c>
      <c r="C2970" t="s">
        <v>1609</v>
      </c>
      <c r="D2970" t="s">
        <v>1610</v>
      </c>
      <c r="E2970" s="9">
        <v>45231</v>
      </c>
      <c r="F2970" s="9">
        <v>45260</v>
      </c>
      <c r="G2970">
        <v>79493241.884000003</v>
      </c>
      <c r="H2970">
        <v>13676634.716</v>
      </c>
      <c r="I2970">
        <v>30653674.856000002</v>
      </c>
      <c r="J2970">
        <v>29141861.764000002</v>
      </c>
      <c r="K2970">
        <v>0</v>
      </c>
      <c r="L2970">
        <v>0</v>
      </c>
      <c r="M2970">
        <v>0</v>
      </c>
      <c r="N2970">
        <v>0</v>
      </c>
      <c r="O2970">
        <v>0</v>
      </c>
      <c r="P2970">
        <v>567000</v>
      </c>
      <c r="Q2970">
        <v>17445000</v>
      </c>
      <c r="R2970">
        <v>0</v>
      </c>
      <c r="S2970">
        <v>6533000</v>
      </c>
      <c r="T2970" s="9">
        <v>45108</v>
      </c>
      <c r="U2970" s="9">
        <v>45473</v>
      </c>
      <c r="V2970">
        <f>SUM(POTABLE_NONPOTABLE_API[[#This Row],[RESIDENTIAL_SINGLEFAMILY_GAL]:[OTHER_GAL]])</f>
        <v>152965413.22000003</v>
      </c>
      <c r="W2970">
        <f>SUM(POTABLE_NONPOTABLE_API[[#This Row],[NONPOTABLE_DEMAND_RESIDENTIAL_RECYCLED_WATER_GAL]:[NONPOTABLE_DEMAND_NONRESIDENTIAL_METERED_IRRIGATION_GAL]])</f>
        <v>24545000</v>
      </c>
      <c r="X2970" t="str">
        <f>IFERROR(INDEX(Crosswalk_API!$H$2:$H$527, MATCH(POTABLE_NONPOTABLE_API[[#This Row],[PWSID]], CW_PWSID_LIST, 0)), "")</f>
        <v>No</v>
      </c>
    </row>
    <row r="2971" spans="1:24" x14ac:dyDescent="0.25">
      <c r="A2971" t="s">
        <v>1607</v>
      </c>
      <c r="B2971" t="s">
        <v>1608</v>
      </c>
      <c r="C2971" t="s">
        <v>1609</v>
      </c>
      <c r="D2971" t="s">
        <v>1610</v>
      </c>
      <c r="E2971" s="9">
        <v>45261</v>
      </c>
      <c r="F2971" s="9">
        <v>45291</v>
      </c>
      <c r="G2971">
        <v>46262527.888000004</v>
      </c>
      <c r="H2971">
        <v>10182483.824000001</v>
      </c>
      <c r="I2971">
        <v>22368250.903999999</v>
      </c>
      <c r="J2971">
        <v>8767917.4920000006</v>
      </c>
      <c r="K2971">
        <v>0</v>
      </c>
      <c r="L2971">
        <v>0</v>
      </c>
      <c r="M2971">
        <v>0</v>
      </c>
      <c r="N2971">
        <v>0</v>
      </c>
      <c r="O2971">
        <v>0</v>
      </c>
      <c r="P2971">
        <v>89760</v>
      </c>
      <c r="Q2971">
        <v>26394940</v>
      </c>
      <c r="R2971">
        <v>0</v>
      </c>
      <c r="T2971" s="9">
        <v>45108</v>
      </c>
      <c r="U2971" s="9">
        <v>45473</v>
      </c>
      <c r="V2971">
        <f>SUM(POTABLE_NONPOTABLE_API[[#This Row],[RESIDENTIAL_SINGLEFAMILY_GAL]:[OTHER_GAL]])</f>
        <v>87581180.107999995</v>
      </c>
      <c r="W2971">
        <f>SUM(POTABLE_NONPOTABLE_API[[#This Row],[NONPOTABLE_DEMAND_RESIDENTIAL_RECYCLED_WATER_GAL]:[NONPOTABLE_DEMAND_NONRESIDENTIAL_METERED_IRRIGATION_GAL]])</f>
        <v>26484700</v>
      </c>
      <c r="X2971" t="str">
        <f>IFERROR(INDEX(Crosswalk_API!$H$2:$H$527, MATCH(POTABLE_NONPOTABLE_API[[#This Row],[PWSID]], CW_PWSID_LIST, 0)), "")</f>
        <v>No</v>
      </c>
    </row>
    <row r="2972" spans="1:24" x14ac:dyDescent="0.25">
      <c r="A2972" t="s">
        <v>1607</v>
      </c>
      <c r="B2972" t="s">
        <v>1608</v>
      </c>
      <c r="C2972" t="s">
        <v>1609</v>
      </c>
      <c r="D2972" t="s">
        <v>1610</v>
      </c>
      <c r="E2972" s="9">
        <v>45292</v>
      </c>
      <c r="F2972" s="9">
        <v>45322</v>
      </c>
      <c r="G2972">
        <v>40110548.240000002</v>
      </c>
      <c r="H2972">
        <v>9762078.5999999996</v>
      </c>
      <c r="I2972">
        <v>19742588.384</v>
      </c>
      <c r="J2972">
        <v>5263293.8720000004</v>
      </c>
      <c r="K2972">
        <v>0</v>
      </c>
      <c r="L2972">
        <v>43387.016000000003</v>
      </c>
      <c r="M2972">
        <v>0</v>
      </c>
      <c r="N2972">
        <v>0</v>
      </c>
      <c r="O2972">
        <v>0</v>
      </c>
      <c r="P2972">
        <v>69564</v>
      </c>
      <c r="Q2972">
        <v>19776700</v>
      </c>
      <c r="R2972">
        <v>0</v>
      </c>
      <c r="S2972">
        <v>1161836</v>
      </c>
      <c r="T2972" s="9">
        <v>45108</v>
      </c>
      <c r="U2972" s="9">
        <v>45473</v>
      </c>
      <c r="V2972">
        <f>SUM(POTABLE_NONPOTABLE_API[[#This Row],[RESIDENTIAL_SINGLEFAMILY_GAL]:[OTHER_GAL]])</f>
        <v>74921896.112000003</v>
      </c>
      <c r="W2972">
        <f>SUM(POTABLE_NONPOTABLE_API[[#This Row],[NONPOTABLE_DEMAND_RESIDENTIAL_RECYCLED_WATER_GAL]:[NONPOTABLE_DEMAND_NONRESIDENTIAL_METERED_IRRIGATION_GAL]])</f>
        <v>21008100</v>
      </c>
      <c r="X2972" t="str">
        <f>IFERROR(INDEX(Crosswalk_API!$H$2:$H$527, MATCH(POTABLE_NONPOTABLE_API[[#This Row],[PWSID]], CW_PWSID_LIST, 0)), "")</f>
        <v>No</v>
      </c>
    </row>
    <row r="2973" spans="1:24" x14ac:dyDescent="0.25">
      <c r="A2973" t="s">
        <v>1607</v>
      </c>
      <c r="B2973" t="s">
        <v>1608</v>
      </c>
      <c r="C2973" t="s">
        <v>1609</v>
      </c>
      <c r="D2973" t="s">
        <v>1610</v>
      </c>
      <c r="E2973" s="9">
        <v>45323</v>
      </c>
      <c r="F2973" s="9">
        <v>45351</v>
      </c>
      <c r="G2973">
        <v>43102008.188000001</v>
      </c>
      <c r="H2973">
        <v>11427242.352</v>
      </c>
      <c r="I2973">
        <v>25441248.52</v>
      </c>
      <c r="J2973">
        <v>4579574.3440000005</v>
      </c>
      <c r="K2973">
        <v>0</v>
      </c>
      <c r="L2973">
        <v>0</v>
      </c>
      <c r="M2973">
        <v>0</v>
      </c>
      <c r="N2973">
        <v>0</v>
      </c>
      <c r="O2973">
        <v>0</v>
      </c>
      <c r="P2973">
        <v>99484</v>
      </c>
      <c r="Q2973">
        <v>13147800</v>
      </c>
      <c r="R2973">
        <v>0</v>
      </c>
      <c r="S2973">
        <v>862616</v>
      </c>
      <c r="T2973" s="9">
        <v>45108</v>
      </c>
      <c r="U2973" s="9">
        <v>45473</v>
      </c>
      <c r="V2973">
        <f>SUM(POTABLE_NONPOTABLE_API[[#This Row],[RESIDENTIAL_SINGLEFAMILY_GAL]:[OTHER_GAL]])</f>
        <v>84550073.403999999</v>
      </c>
      <c r="W2973">
        <f>SUM(POTABLE_NONPOTABLE_API[[#This Row],[NONPOTABLE_DEMAND_RESIDENTIAL_RECYCLED_WATER_GAL]:[NONPOTABLE_DEMAND_NONRESIDENTIAL_METERED_IRRIGATION_GAL]])</f>
        <v>14109900</v>
      </c>
      <c r="X2973" t="str">
        <f>IFERROR(INDEX(Crosswalk_API!$H$2:$H$527, MATCH(POTABLE_NONPOTABLE_API[[#This Row],[PWSID]], CW_PWSID_LIST, 0)), "")</f>
        <v>No</v>
      </c>
    </row>
    <row r="2974" spans="1:24" x14ac:dyDescent="0.25">
      <c r="A2974" t="s">
        <v>1607</v>
      </c>
      <c r="B2974" t="s">
        <v>1608</v>
      </c>
      <c r="C2974" t="s">
        <v>1609</v>
      </c>
      <c r="D2974" t="s">
        <v>1610</v>
      </c>
      <c r="E2974" s="9">
        <v>45352</v>
      </c>
      <c r="F2974" s="9">
        <v>45382</v>
      </c>
      <c r="G2974">
        <v>34663981.627999999</v>
      </c>
      <c r="H2974">
        <v>9179346.0920000002</v>
      </c>
      <c r="I2974">
        <v>20118110.488000002</v>
      </c>
      <c r="J2974">
        <v>3506867.7760000001</v>
      </c>
      <c r="K2974">
        <v>0</v>
      </c>
      <c r="L2974">
        <v>0</v>
      </c>
      <c r="M2974">
        <v>0</v>
      </c>
      <c r="N2974">
        <v>0</v>
      </c>
      <c r="O2974">
        <v>0</v>
      </c>
      <c r="P2974">
        <v>239360</v>
      </c>
      <c r="Q2974">
        <v>12957040</v>
      </c>
      <c r="R2974">
        <v>0</v>
      </c>
      <c r="S2974">
        <v>1131000</v>
      </c>
      <c r="T2974" s="9">
        <v>45108</v>
      </c>
      <c r="U2974" s="9">
        <v>45473</v>
      </c>
      <c r="V2974">
        <f>SUM(POTABLE_NONPOTABLE_API[[#This Row],[RESIDENTIAL_SINGLEFAMILY_GAL]:[OTHER_GAL]])</f>
        <v>67468305.983999997</v>
      </c>
      <c r="W2974">
        <f>SUM(POTABLE_NONPOTABLE_API[[#This Row],[NONPOTABLE_DEMAND_RESIDENTIAL_RECYCLED_WATER_GAL]:[NONPOTABLE_DEMAND_NONRESIDENTIAL_METERED_IRRIGATION_GAL]])</f>
        <v>14327400</v>
      </c>
      <c r="X2974" t="str">
        <f>IFERROR(INDEX(Crosswalk_API!$H$2:$H$527, MATCH(POTABLE_NONPOTABLE_API[[#This Row],[PWSID]], CW_PWSID_LIST, 0)), "")</f>
        <v>No</v>
      </c>
    </row>
    <row r="2975" spans="1:24" x14ac:dyDescent="0.25">
      <c r="A2975" t="s">
        <v>1607</v>
      </c>
      <c r="B2975" t="s">
        <v>1608</v>
      </c>
      <c r="C2975" t="s">
        <v>1609</v>
      </c>
      <c r="D2975" t="s">
        <v>1610</v>
      </c>
      <c r="E2975" s="9">
        <v>45383</v>
      </c>
      <c r="F2975" s="9">
        <v>45412</v>
      </c>
      <c r="G2975">
        <v>37825997.432000004</v>
      </c>
      <c r="H2975">
        <v>9654359.1119999997</v>
      </c>
      <c r="I2975">
        <v>21879024.896000002</v>
      </c>
      <c r="J2975">
        <v>10941008.552000001</v>
      </c>
      <c r="K2975">
        <v>0</v>
      </c>
      <c r="L2975">
        <v>608166.27600000007</v>
      </c>
      <c r="M2975">
        <v>0</v>
      </c>
      <c r="N2975">
        <v>0</v>
      </c>
      <c r="O2975">
        <v>0</v>
      </c>
      <c r="P2975">
        <v>1843072</v>
      </c>
      <c r="Q2975">
        <v>12477028</v>
      </c>
      <c r="R2975">
        <v>0</v>
      </c>
      <c r="S2975">
        <v>12187100</v>
      </c>
      <c r="T2975" s="9">
        <v>45108</v>
      </c>
      <c r="U2975" s="9">
        <v>45473</v>
      </c>
      <c r="V2975">
        <f>SUM(POTABLE_NONPOTABLE_API[[#This Row],[RESIDENTIAL_SINGLEFAMILY_GAL]:[OTHER_GAL]])</f>
        <v>80908556.267999992</v>
      </c>
      <c r="W2975">
        <f>SUM(POTABLE_NONPOTABLE_API[[#This Row],[NONPOTABLE_DEMAND_RESIDENTIAL_RECYCLED_WATER_GAL]:[NONPOTABLE_DEMAND_NONRESIDENTIAL_METERED_IRRIGATION_GAL]])</f>
        <v>26507200</v>
      </c>
      <c r="X2975" t="str">
        <f>IFERROR(INDEX(Crosswalk_API!$H$2:$H$527, MATCH(POTABLE_NONPOTABLE_API[[#This Row],[PWSID]], CW_PWSID_LIST, 0)), "")</f>
        <v>No</v>
      </c>
    </row>
    <row r="2976" spans="1:24" x14ac:dyDescent="0.25">
      <c r="A2976" t="s">
        <v>1607</v>
      </c>
      <c r="B2976" t="s">
        <v>1608</v>
      </c>
      <c r="C2976" t="s">
        <v>1609</v>
      </c>
      <c r="D2976" t="s">
        <v>1610</v>
      </c>
      <c r="E2976" s="9">
        <v>45413</v>
      </c>
      <c r="F2976" s="9">
        <v>45443</v>
      </c>
      <c r="G2976">
        <v>74394519.452000007</v>
      </c>
      <c r="H2976">
        <v>14318463.332</v>
      </c>
      <c r="I2976">
        <v>30057477.412</v>
      </c>
      <c r="J2976">
        <v>34969186.844000004</v>
      </c>
      <c r="K2976">
        <v>0</v>
      </c>
      <c r="L2976">
        <v>0</v>
      </c>
      <c r="M2976">
        <v>0</v>
      </c>
      <c r="N2976">
        <v>0</v>
      </c>
      <c r="O2976">
        <v>0</v>
      </c>
      <c r="P2976">
        <v>3840232</v>
      </c>
      <c r="Q2976">
        <v>12641100</v>
      </c>
      <c r="R2976">
        <v>0</v>
      </c>
      <c r="S2976">
        <v>33790168</v>
      </c>
      <c r="T2976" s="9">
        <v>45108</v>
      </c>
      <c r="U2976" s="9">
        <v>45473</v>
      </c>
      <c r="V2976">
        <f>SUM(POTABLE_NONPOTABLE_API[[#This Row],[RESIDENTIAL_SINGLEFAMILY_GAL]:[OTHER_GAL]])</f>
        <v>153739647.04000002</v>
      </c>
      <c r="W2976">
        <f>SUM(POTABLE_NONPOTABLE_API[[#This Row],[NONPOTABLE_DEMAND_RESIDENTIAL_RECYCLED_WATER_GAL]:[NONPOTABLE_DEMAND_NONRESIDENTIAL_METERED_IRRIGATION_GAL]])</f>
        <v>50271500</v>
      </c>
      <c r="X2976" t="str">
        <f>IFERROR(INDEX(Crosswalk_API!$H$2:$H$527, MATCH(POTABLE_NONPOTABLE_API[[#This Row],[PWSID]], CW_PWSID_LIST, 0)), "")</f>
        <v>No</v>
      </c>
    </row>
    <row r="2977" spans="1:24" x14ac:dyDescent="0.25">
      <c r="A2977" t="s">
        <v>1607</v>
      </c>
      <c r="B2977" t="s">
        <v>1608</v>
      </c>
      <c r="C2977" t="s">
        <v>1609</v>
      </c>
      <c r="D2977" t="s">
        <v>1610</v>
      </c>
      <c r="E2977" s="9">
        <v>45444</v>
      </c>
      <c r="F2977" s="9">
        <v>45473</v>
      </c>
      <c r="G2977">
        <v>78275413.228</v>
      </c>
      <c r="H2977">
        <v>11557403.4</v>
      </c>
      <c r="I2977">
        <v>25839212.184</v>
      </c>
      <c r="J2977">
        <v>38334672.792000003</v>
      </c>
      <c r="K2977">
        <v>0</v>
      </c>
      <c r="L2977">
        <v>0</v>
      </c>
      <c r="M2977">
        <v>0</v>
      </c>
      <c r="N2977">
        <v>0</v>
      </c>
      <c r="O2977">
        <v>0</v>
      </c>
      <c r="P2977">
        <v>3289704</v>
      </c>
      <c r="Q2977">
        <v>21917340</v>
      </c>
      <c r="R2977">
        <v>0</v>
      </c>
      <c r="S2977">
        <v>30400196</v>
      </c>
      <c r="T2977" s="9">
        <v>45108</v>
      </c>
      <c r="U2977" s="9">
        <v>45473</v>
      </c>
      <c r="V2977">
        <f>SUM(POTABLE_NONPOTABLE_API[[#This Row],[RESIDENTIAL_SINGLEFAMILY_GAL]:[OTHER_GAL]])</f>
        <v>154006701.604</v>
      </c>
      <c r="W2977">
        <f>SUM(POTABLE_NONPOTABLE_API[[#This Row],[NONPOTABLE_DEMAND_RESIDENTIAL_RECYCLED_WATER_GAL]:[NONPOTABLE_DEMAND_NONRESIDENTIAL_METERED_IRRIGATION_GAL]])</f>
        <v>55607240</v>
      </c>
      <c r="X2977" t="str">
        <f>IFERROR(INDEX(Crosswalk_API!$H$2:$H$527, MATCH(POTABLE_NONPOTABLE_API[[#This Row],[PWSID]], CW_PWSID_LIST, 0)), "")</f>
        <v>No</v>
      </c>
    </row>
    <row r="2978" spans="1:24" x14ac:dyDescent="0.25">
      <c r="A2978" t="s">
        <v>1611</v>
      </c>
      <c r="B2978" t="s">
        <v>1612</v>
      </c>
      <c r="C2978" t="s">
        <v>1613</v>
      </c>
      <c r="D2978" t="s">
        <v>1614</v>
      </c>
      <c r="E2978" s="9">
        <v>45108</v>
      </c>
      <c r="F2978" s="9">
        <v>45138</v>
      </c>
      <c r="G2978">
        <v>63750000</v>
      </c>
      <c r="H2978">
        <v>4890000</v>
      </c>
      <c r="I2978">
        <v>13740000</v>
      </c>
      <c r="J2978">
        <v>7090000</v>
      </c>
      <c r="K2978">
        <v>138370000</v>
      </c>
      <c r="L2978">
        <v>0</v>
      </c>
      <c r="M2978">
        <v>0</v>
      </c>
      <c r="T2978" s="9">
        <v>45108</v>
      </c>
      <c r="U2978" s="9">
        <v>45473</v>
      </c>
      <c r="V2978">
        <f>SUM(POTABLE_NONPOTABLE_API[[#This Row],[RESIDENTIAL_SINGLEFAMILY_GAL]:[OTHER_GAL]])</f>
        <v>227840000</v>
      </c>
      <c r="W2978">
        <f>SUM(POTABLE_NONPOTABLE_API[[#This Row],[NONPOTABLE_DEMAND_RESIDENTIAL_RECYCLED_WATER_GAL]:[NONPOTABLE_DEMAND_NONRESIDENTIAL_METERED_IRRIGATION_GAL]])</f>
        <v>0</v>
      </c>
      <c r="X2978" t="str">
        <f>IFERROR(INDEX(Crosswalk_API!$H$2:$H$527, MATCH(POTABLE_NONPOTABLE_API[[#This Row],[PWSID]], CW_PWSID_LIST, 0)), "")</f>
        <v>No</v>
      </c>
    </row>
    <row r="2979" spans="1:24" x14ac:dyDescent="0.25">
      <c r="A2979" t="s">
        <v>1611</v>
      </c>
      <c r="B2979" t="s">
        <v>1612</v>
      </c>
      <c r="C2979" t="s">
        <v>1613</v>
      </c>
      <c r="D2979" t="s">
        <v>1614</v>
      </c>
      <c r="E2979" s="9">
        <v>45139</v>
      </c>
      <c r="F2979" s="9">
        <v>45169</v>
      </c>
      <c r="G2979">
        <v>63820000</v>
      </c>
      <c r="H2979">
        <v>4860000</v>
      </c>
      <c r="I2979">
        <v>14540000</v>
      </c>
      <c r="J2979">
        <v>6980000</v>
      </c>
      <c r="K2979">
        <v>143400000</v>
      </c>
      <c r="L2979">
        <v>0</v>
      </c>
      <c r="M2979">
        <v>0</v>
      </c>
      <c r="T2979" s="9">
        <v>45108</v>
      </c>
      <c r="U2979" s="9">
        <v>45473</v>
      </c>
      <c r="V2979">
        <f>SUM(POTABLE_NONPOTABLE_API[[#This Row],[RESIDENTIAL_SINGLEFAMILY_GAL]:[OTHER_GAL]])</f>
        <v>233600000</v>
      </c>
      <c r="W2979">
        <f>SUM(POTABLE_NONPOTABLE_API[[#This Row],[NONPOTABLE_DEMAND_RESIDENTIAL_RECYCLED_WATER_GAL]:[NONPOTABLE_DEMAND_NONRESIDENTIAL_METERED_IRRIGATION_GAL]])</f>
        <v>0</v>
      </c>
      <c r="X2979" t="str">
        <f>IFERROR(INDEX(Crosswalk_API!$H$2:$H$527, MATCH(POTABLE_NONPOTABLE_API[[#This Row],[PWSID]], CW_PWSID_LIST, 0)), "")</f>
        <v>No</v>
      </c>
    </row>
    <row r="2980" spans="1:24" x14ac:dyDescent="0.25">
      <c r="A2980" t="s">
        <v>1611</v>
      </c>
      <c r="B2980" t="s">
        <v>1612</v>
      </c>
      <c r="C2980" t="s">
        <v>1613</v>
      </c>
      <c r="D2980" t="s">
        <v>1614</v>
      </c>
      <c r="E2980" s="9">
        <v>45170</v>
      </c>
      <c r="F2980" s="9">
        <v>45199</v>
      </c>
      <c r="G2980">
        <v>52840000</v>
      </c>
      <c r="H2980">
        <v>5610000</v>
      </c>
      <c r="I2980">
        <v>11870000</v>
      </c>
      <c r="J2980">
        <v>4139999.9999999995</v>
      </c>
      <c r="K2980">
        <v>127060000</v>
      </c>
      <c r="L2980">
        <v>120000</v>
      </c>
      <c r="M2980">
        <v>0</v>
      </c>
      <c r="T2980" s="9">
        <v>45108</v>
      </c>
      <c r="U2980" s="9">
        <v>45473</v>
      </c>
      <c r="V2980">
        <f>SUM(POTABLE_NONPOTABLE_API[[#This Row],[RESIDENTIAL_SINGLEFAMILY_GAL]:[OTHER_GAL]])</f>
        <v>201640000</v>
      </c>
      <c r="W2980">
        <f>SUM(POTABLE_NONPOTABLE_API[[#This Row],[NONPOTABLE_DEMAND_RESIDENTIAL_RECYCLED_WATER_GAL]:[NONPOTABLE_DEMAND_NONRESIDENTIAL_METERED_IRRIGATION_GAL]])</f>
        <v>0</v>
      </c>
      <c r="X2980" t="str">
        <f>IFERROR(INDEX(Crosswalk_API!$H$2:$H$527, MATCH(POTABLE_NONPOTABLE_API[[#This Row],[PWSID]], CW_PWSID_LIST, 0)), "")</f>
        <v>No</v>
      </c>
    </row>
    <row r="2981" spans="1:24" x14ac:dyDescent="0.25">
      <c r="A2981" t="s">
        <v>1611</v>
      </c>
      <c r="B2981" t="s">
        <v>1612</v>
      </c>
      <c r="C2981" t="s">
        <v>1613</v>
      </c>
      <c r="D2981" t="s">
        <v>1614</v>
      </c>
      <c r="E2981" s="9">
        <v>45200</v>
      </c>
      <c r="F2981" s="9">
        <v>45230</v>
      </c>
      <c r="G2981">
        <v>47000000</v>
      </c>
      <c r="H2981">
        <v>4830000</v>
      </c>
      <c r="I2981">
        <v>11410000</v>
      </c>
      <c r="J2981">
        <v>5080000</v>
      </c>
      <c r="K2981">
        <v>113800000</v>
      </c>
      <c r="L2981">
        <v>400000</v>
      </c>
      <c r="M2981">
        <v>0</v>
      </c>
      <c r="T2981" s="9">
        <v>45108</v>
      </c>
      <c r="U2981" s="9">
        <v>45473</v>
      </c>
      <c r="V2981">
        <f>SUM(POTABLE_NONPOTABLE_API[[#This Row],[RESIDENTIAL_SINGLEFAMILY_GAL]:[OTHER_GAL]])</f>
        <v>182520000</v>
      </c>
      <c r="W2981">
        <f>SUM(POTABLE_NONPOTABLE_API[[#This Row],[NONPOTABLE_DEMAND_RESIDENTIAL_RECYCLED_WATER_GAL]:[NONPOTABLE_DEMAND_NONRESIDENTIAL_METERED_IRRIGATION_GAL]])</f>
        <v>0</v>
      </c>
      <c r="X2981" t="str">
        <f>IFERROR(INDEX(Crosswalk_API!$H$2:$H$527, MATCH(POTABLE_NONPOTABLE_API[[#This Row],[PWSID]], CW_PWSID_LIST, 0)), "")</f>
        <v>No</v>
      </c>
    </row>
    <row r="2982" spans="1:24" x14ac:dyDescent="0.25">
      <c r="A2982" t="s">
        <v>1611</v>
      </c>
      <c r="B2982" t="s">
        <v>1612</v>
      </c>
      <c r="C2982" t="s">
        <v>1613</v>
      </c>
      <c r="D2982" t="s">
        <v>1614</v>
      </c>
      <c r="E2982" s="9">
        <v>45231</v>
      </c>
      <c r="F2982" s="9">
        <v>45260</v>
      </c>
      <c r="G2982">
        <v>43470000</v>
      </c>
      <c r="H2982">
        <v>4390000</v>
      </c>
      <c r="I2982">
        <v>9830000</v>
      </c>
      <c r="J2982">
        <v>4070000.0000000005</v>
      </c>
      <c r="K2982">
        <v>127510000</v>
      </c>
      <c r="L2982">
        <v>60000</v>
      </c>
      <c r="M2982">
        <v>0</v>
      </c>
      <c r="T2982" s="9">
        <v>45108</v>
      </c>
      <c r="U2982" s="9">
        <v>45473</v>
      </c>
      <c r="V2982">
        <f>SUM(POTABLE_NONPOTABLE_API[[#This Row],[RESIDENTIAL_SINGLEFAMILY_GAL]:[OTHER_GAL]])</f>
        <v>189330000</v>
      </c>
      <c r="W2982">
        <f>SUM(POTABLE_NONPOTABLE_API[[#This Row],[NONPOTABLE_DEMAND_RESIDENTIAL_RECYCLED_WATER_GAL]:[NONPOTABLE_DEMAND_NONRESIDENTIAL_METERED_IRRIGATION_GAL]])</f>
        <v>0</v>
      </c>
      <c r="X2982" t="str">
        <f>IFERROR(INDEX(Crosswalk_API!$H$2:$H$527, MATCH(POTABLE_NONPOTABLE_API[[#This Row],[PWSID]], CW_PWSID_LIST, 0)), "")</f>
        <v>No</v>
      </c>
    </row>
    <row r="2983" spans="1:24" x14ac:dyDescent="0.25">
      <c r="A2983" t="s">
        <v>1611</v>
      </c>
      <c r="B2983" t="s">
        <v>1612</v>
      </c>
      <c r="C2983" t="s">
        <v>1613</v>
      </c>
      <c r="D2983" t="s">
        <v>1614</v>
      </c>
      <c r="E2983" s="9">
        <v>45261</v>
      </c>
      <c r="F2983" s="9">
        <v>45291</v>
      </c>
      <c r="G2983">
        <v>28680000</v>
      </c>
      <c r="H2983">
        <v>3660000</v>
      </c>
      <c r="I2983">
        <v>4930000</v>
      </c>
      <c r="J2983">
        <v>810000</v>
      </c>
      <c r="K2983">
        <v>137150000</v>
      </c>
      <c r="L2983">
        <v>650000</v>
      </c>
      <c r="M2983">
        <v>0</v>
      </c>
      <c r="T2983" s="9">
        <v>45108</v>
      </c>
      <c r="U2983" s="9">
        <v>45473</v>
      </c>
      <c r="V2983">
        <f>SUM(POTABLE_NONPOTABLE_API[[#This Row],[RESIDENTIAL_SINGLEFAMILY_GAL]:[OTHER_GAL]])</f>
        <v>175880000</v>
      </c>
      <c r="W2983">
        <f>SUM(POTABLE_NONPOTABLE_API[[#This Row],[NONPOTABLE_DEMAND_RESIDENTIAL_RECYCLED_WATER_GAL]:[NONPOTABLE_DEMAND_NONRESIDENTIAL_METERED_IRRIGATION_GAL]])</f>
        <v>0</v>
      </c>
      <c r="X2983" t="str">
        <f>IFERROR(INDEX(Crosswalk_API!$H$2:$H$527, MATCH(POTABLE_NONPOTABLE_API[[#This Row],[PWSID]], CW_PWSID_LIST, 0)), "")</f>
        <v>No</v>
      </c>
    </row>
    <row r="2984" spans="1:24" x14ac:dyDescent="0.25">
      <c r="A2984" t="s">
        <v>1611</v>
      </c>
      <c r="B2984" t="s">
        <v>1612</v>
      </c>
      <c r="C2984" t="s">
        <v>1613</v>
      </c>
      <c r="D2984" t="s">
        <v>1614</v>
      </c>
      <c r="E2984" s="9">
        <v>45292</v>
      </c>
      <c r="F2984" s="9">
        <v>45322</v>
      </c>
      <c r="G2984">
        <v>21200000</v>
      </c>
      <c r="H2984">
        <v>2710000</v>
      </c>
      <c r="I2984">
        <v>4040000</v>
      </c>
      <c r="J2984">
        <v>190000</v>
      </c>
      <c r="K2984">
        <v>122580000</v>
      </c>
      <c r="L2984">
        <v>10000</v>
      </c>
      <c r="M2984">
        <v>0</v>
      </c>
      <c r="T2984" s="9">
        <v>45108</v>
      </c>
      <c r="U2984" s="9">
        <v>45473</v>
      </c>
      <c r="V2984">
        <f>SUM(POTABLE_NONPOTABLE_API[[#This Row],[RESIDENTIAL_SINGLEFAMILY_GAL]:[OTHER_GAL]])</f>
        <v>150730000</v>
      </c>
      <c r="W2984">
        <f>SUM(POTABLE_NONPOTABLE_API[[#This Row],[NONPOTABLE_DEMAND_RESIDENTIAL_RECYCLED_WATER_GAL]:[NONPOTABLE_DEMAND_NONRESIDENTIAL_METERED_IRRIGATION_GAL]])</f>
        <v>0</v>
      </c>
      <c r="X2984" t="str">
        <f>IFERROR(INDEX(Crosswalk_API!$H$2:$H$527, MATCH(POTABLE_NONPOTABLE_API[[#This Row],[PWSID]], CW_PWSID_LIST, 0)), "")</f>
        <v>No</v>
      </c>
    </row>
    <row r="2985" spans="1:24" x14ac:dyDescent="0.25">
      <c r="A2985" t="s">
        <v>1611</v>
      </c>
      <c r="B2985" t="s">
        <v>1612</v>
      </c>
      <c r="C2985" t="s">
        <v>1613</v>
      </c>
      <c r="D2985" t="s">
        <v>1614</v>
      </c>
      <c r="E2985" s="9">
        <v>45323</v>
      </c>
      <c r="F2985" s="9">
        <v>45351</v>
      </c>
      <c r="G2985">
        <v>26610000</v>
      </c>
      <c r="H2985">
        <v>2990000</v>
      </c>
      <c r="I2985">
        <v>5700000</v>
      </c>
      <c r="J2985">
        <v>220000</v>
      </c>
      <c r="K2985">
        <v>129660000</v>
      </c>
      <c r="L2985">
        <v>10000</v>
      </c>
      <c r="M2985">
        <v>0</v>
      </c>
      <c r="T2985" s="9">
        <v>45108</v>
      </c>
      <c r="U2985" s="9">
        <v>45473</v>
      </c>
      <c r="V2985">
        <f>SUM(POTABLE_NONPOTABLE_API[[#This Row],[RESIDENTIAL_SINGLEFAMILY_GAL]:[OTHER_GAL]])</f>
        <v>165190000</v>
      </c>
      <c r="W2985">
        <f>SUM(POTABLE_NONPOTABLE_API[[#This Row],[NONPOTABLE_DEMAND_RESIDENTIAL_RECYCLED_WATER_GAL]:[NONPOTABLE_DEMAND_NONRESIDENTIAL_METERED_IRRIGATION_GAL]])</f>
        <v>0</v>
      </c>
      <c r="X2985" t="str">
        <f>IFERROR(INDEX(Crosswalk_API!$H$2:$H$527, MATCH(POTABLE_NONPOTABLE_API[[#This Row],[PWSID]], CW_PWSID_LIST, 0)), "")</f>
        <v>No</v>
      </c>
    </row>
    <row r="2986" spans="1:24" x14ac:dyDescent="0.25">
      <c r="A2986" t="s">
        <v>1611</v>
      </c>
      <c r="B2986" t="s">
        <v>1612</v>
      </c>
      <c r="C2986" t="s">
        <v>1613</v>
      </c>
      <c r="D2986" t="s">
        <v>1614</v>
      </c>
      <c r="E2986" s="9">
        <v>45352</v>
      </c>
      <c r="F2986" s="9">
        <v>45382</v>
      </c>
      <c r="G2986">
        <v>19310000</v>
      </c>
      <c r="H2986">
        <v>2220000</v>
      </c>
      <c r="I2986">
        <v>4019999.9999999995</v>
      </c>
      <c r="J2986">
        <v>390000</v>
      </c>
      <c r="K2986">
        <v>83950000</v>
      </c>
      <c r="L2986">
        <v>10000</v>
      </c>
      <c r="M2986">
        <v>0</v>
      </c>
      <c r="T2986" s="9">
        <v>45108</v>
      </c>
      <c r="U2986" s="9">
        <v>45473</v>
      </c>
      <c r="V2986">
        <f>SUM(POTABLE_NONPOTABLE_API[[#This Row],[RESIDENTIAL_SINGLEFAMILY_GAL]:[OTHER_GAL]])</f>
        <v>109900000</v>
      </c>
      <c r="W2986">
        <f>SUM(POTABLE_NONPOTABLE_API[[#This Row],[NONPOTABLE_DEMAND_RESIDENTIAL_RECYCLED_WATER_GAL]:[NONPOTABLE_DEMAND_NONRESIDENTIAL_METERED_IRRIGATION_GAL]])</f>
        <v>0</v>
      </c>
      <c r="X2986" t="str">
        <f>IFERROR(INDEX(Crosswalk_API!$H$2:$H$527, MATCH(POTABLE_NONPOTABLE_API[[#This Row],[PWSID]], CW_PWSID_LIST, 0)), "")</f>
        <v>No</v>
      </c>
    </row>
    <row r="2987" spans="1:24" x14ac:dyDescent="0.25">
      <c r="A2987" t="s">
        <v>1611</v>
      </c>
      <c r="B2987" t="s">
        <v>1612</v>
      </c>
      <c r="C2987" t="s">
        <v>1613</v>
      </c>
      <c r="D2987" t="s">
        <v>1614</v>
      </c>
      <c r="E2987" s="9">
        <v>45383</v>
      </c>
      <c r="F2987" s="9">
        <v>45412</v>
      </c>
      <c r="G2987">
        <v>34650000</v>
      </c>
      <c r="H2987">
        <v>3390000</v>
      </c>
      <c r="I2987">
        <v>82850000</v>
      </c>
      <c r="J2987">
        <v>380000</v>
      </c>
      <c r="K2987">
        <v>86890000</v>
      </c>
      <c r="L2987">
        <v>10000</v>
      </c>
      <c r="M2987">
        <v>0</v>
      </c>
      <c r="T2987" s="9">
        <v>45108</v>
      </c>
      <c r="U2987" s="9">
        <v>45473</v>
      </c>
      <c r="V2987">
        <f>SUM(POTABLE_NONPOTABLE_API[[#This Row],[RESIDENTIAL_SINGLEFAMILY_GAL]:[OTHER_GAL]])</f>
        <v>208170000</v>
      </c>
      <c r="W2987">
        <f>SUM(POTABLE_NONPOTABLE_API[[#This Row],[NONPOTABLE_DEMAND_RESIDENTIAL_RECYCLED_WATER_GAL]:[NONPOTABLE_DEMAND_NONRESIDENTIAL_METERED_IRRIGATION_GAL]])</f>
        <v>0</v>
      </c>
      <c r="X2987" t="str">
        <f>IFERROR(INDEX(Crosswalk_API!$H$2:$H$527, MATCH(POTABLE_NONPOTABLE_API[[#This Row],[PWSID]], CW_PWSID_LIST, 0)), "")</f>
        <v>No</v>
      </c>
    </row>
    <row r="2988" spans="1:24" x14ac:dyDescent="0.25">
      <c r="A2988" t="s">
        <v>1611</v>
      </c>
      <c r="B2988" t="s">
        <v>1612</v>
      </c>
      <c r="C2988" t="s">
        <v>1613</v>
      </c>
      <c r="D2988" t="s">
        <v>1614</v>
      </c>
      <c r="E2988" s="9">
        <v>45413</v>
      </c>
      <c r="F2988" s="9">
        <v>45443</v>
      </c>
      <c r="G2988">
        <v>42800000</v>
      </c>
      <c r="H2988">
        <v>3940000</v>
      </c>
      <c r="I2988">
        <v>9700000</v>
      </c>
      <c r="J2988">
        <v>5020000</v>
      </c>
      <c r="K2988">
        <v>140580000</v>
      </c>
      <c r="L2988">
        <v>0</v>
      </c>
      <c r="M2988">
        <v>0</v>
      </c>
      <c r="T2988" s="9">
        <v>45108</v>
      </c>
      <c r="U2988" s="9">
        <v>45473</v>
      </c>
      <c r="V2988">
        <f>SUM(POTABLE_NONPOTABLE_API[[#This Row],[RESIDENTIAL_SINGLEFAMILY_GAL]:[OTHER_GAL]])</f>
        <v>202040000</v>
      </c>
      <c r="W2988">
        <f>SUM(POTABLE_NONPOTABLE_API[[#This Row],[NONPOTABLE_DEMAND_RESIDENTIAL_RECYCLED_WATER_GAL]:[NONPOTABLE_DEMAND_NONRESIDENTIAL_METERED_IRRIGATION_GAL]])</f>
        <v>0</v>
      </c>
      <c r="X2988" t="str">
        <f>IFERROR(INDEX(Crosswalk_API!$H$2:$H$527, MATCH(POTABLE_NONPOTABLE_API[[#This Row],[PWSID]], CW_PWSID_LIST, 0)), "")</f>
        <v>No</v>
      </c>
    </row>
    <row r="2989" spans="1:24" x14ac:dyDescent="0.25">
      <c r="A2989" t="s">
        <v>1611</v>
      </c>
      <c r="B2989" t="s">
        <v>1612</v>
      </c>
      <c r="C2989" t="s">
        <v>1613</v>
      </c>
      <c r="D2989" t="s">
        <v>1614</v>
      </c>
      <c r="E2989" s="9">
        <v>45444</v>
      </c>
      <c r="F2989" s="9">
        <v>45473</v>
      </c>
      <c r="G2989">
        <v>60310000</v>
      </c>
      <c r="H2989">
        <v>4510000</v>
      </c>
      <c r="I2989">
        <v>14780000</v>
      </c>
      <c r="J2989">
        <v>7830000</v>
      </c>
      <c r="K2989">
        <v>113040000</v>
      </c>
      <c r="L2989">
        <v>10000</v>
      </c>
      <c r="M2989">
        <v>0</v>
      </c>
      <c r="T2989" s="9">
        <v>45108</v>
      </c>
      <c r="U2989" s="9">
        <v>45473</v>
      </c>
      <c r="V2989">
        <f>SUM(POTABLE_NONPOTABLE_API[[#This Row],[RESIDENTIAL_SINGLEFAMILY_GAL]:[OTHER_GAL]])</f>
        <v>200480000</v>
      </c>
      <c r="W2989">
        <f>SUM(POTABLE_NONPOTABLE_API[[#This Row],[NONPOTABLE_DEMAND_RESIDENTIAL_RECYCLED_WATER_GAL]:[NONPOTABLE_DEMAND_NONRESIDENTIAL_METERED_IRRIGATION_GAL]])</f>
        <v>0</v>
      </c>
      <c r="X2989" t="str">
        <f>IFERROR(INDEX(Crosswalk_API!$H$2:$H$527, MATCH(POTABLE_NONPOTABLE_API[[#This Row],[PWSID]], CW_PWSID_LIST, 0)), "")</f>
        <v>No</v>
      </c>
    </row>
    <row r="2990" spans="1:24" x14ac:dyDescent="0.25">
      <c r="A2990" t="s">
        <v>1615</v>
      </c>
      <c r="B2990" t="s">
        <v>1616</v>
      </c>
      <c r="C2990" t="s">
        <v>1617</v>
      </c>
      <c r="D2990" t="s">
        <v>1618</v>
      </c>
      <c r="E2990" s="9">
        <v>45108</v>
      </c>
      <c r="F2990" s="9">
        <v>45138</v>
      </c>
      <c r="G2990">
        <v>269705836.39999998</v>
      </c>
      <c r="H2990">
        <v>23781964.359999999</v>
      </c>
      <c r="I2990">
        <v>70486927.280000001</v>
      </c>
      <c r="J2990">
        <v>0</v>
      </c>
      <c r="K2990">
        <v>3584378.6</v>
      </c>
      <c r="L2990">
        <v>0</v>
      </c>
      <c r="M2990">
        <v>0</v>
      </c>
      <c r="T2990" s="9">
        <v>45108</v>
      </c>
      <c r="U2990" s="9">
        <v>45473</v>
      </c>
      <c r="V2990">
        <f>SUM(POTABLE_NONPOTABLE_API[[#This Row],[RESIDENTIAL_SINGLEFAMILY_GAL]:[OTHER_GAL]])</f>
        <v>367559106.63999999</v>
      </c>
      <c r="W2990">
        <f>SUM(POTABLE_NONPOTABLE_API[[#This Row],[NONPOTABLE_DEMAND_RESIDENTIAL_RECYCLED_WATER_GAL]:[NONPOTABLE_DEMAND_NONRESIDENTIAL_METERED_IRRIGATION_GAL]])</f>
        <v>0</v>
      </c>
      <c r="X2990" t="str">
        <f>IFERROR(INDEX(Crosswalk_API!$H$2:$H$527, MATCH(POTABLE_NONPOTABLE_API[[#This Row],[PWSID]], CW_PWSID_LIST, 0)), "")</f>
        <v>No</v>
      </c>
    </row>
    <row r="2991" spans="1:24" x14ac:dyDescent="0.25">
      <c r="A2991" t="s">
        <v>1615</v>
      </c>
      <c r="B2991" t="s">
        <v>1616</v>
      </c>
      <c r="C2991" t="s">
        <v>1617</v>
      </c>
      <c r="D2991" t="s">
        <v>1618</v>
      </c>
      <c r="E2991" s="9">
        <v>45139</v>
      </c>
      <c r="F2991" s="9">
        <v>45169</v>
      </c>
      <c r="G2991">
        <v>275185811</v>
      </c>
      <c r="H2991">
        <v>27869881</v>
      </c>
      <c r="I2991">
        <v>139408859</v>
      </c>
      <c r="J2991">
        <v>0</v>
      </c>
      <c r="K2991">
        <v>9628682</v>
      </c>
      <c r="L2991">
        <v>0</v>
      </c>
      <c r="M2991">
        <v>0</v>
      </c>
      <c r="T2991" s="9">
        <v>45108</v>
      </c>
      <c r="U2991" s="9">
        <v>45473</v>
      </c>
      <c r="V2991">
        <f>SUM(POTABLE_NONPOTABLE_API[[#This Row],[RESIDENTIAL_SINGLEFAMILY_GAL]:[OTHER_GAL]])</f>
        <v>452093233</v>
      </c>
      <c r="W2991">
        <f>SUM(POTABLE_NONPOTABLE_API[[#This Row],[NONPOTABLE_DEMAND_RESIDENTIAL_RECYCLED_WATER_GAL]:[NONPOTABLE_DEMAND_NONRESIDENTIAL_METERED_IRRIGATION_GAL]])</f>
        <v>0</v>
      </c>
      <c r="X2991" t="str">
        <f>IFERROR(INDEX(Crosswalk_API!$H$2:$H$527, MATCH(POTABLE_NONPOTABLE_API[[#This Row],[PWSID]], CW_PWSID_LIST, 0)), "")</f>
        <v>No</v>
      </c>
    </row>
    <row r="2992" spans="1:24" x14ac:dyDescent="0.25">
      <c r="A2992" t="s">
        <v>1615</v>
      </c>
      <c r="B2992" t="s">
        <v>1616</v>
      </c>
      <c r="C2992" t="s">
        <v>1617</v>
      </c>
      <c r="D2992" t="s">
        <v>1618</v>
      </c>
      <c r="E2992" s="9">
        <v>45170</v>
      </c>
      <c r="F2992" s="9">
        <v>45199</v>
      </c>
      <c r="G2992">
        <v>282232839.24000001</v>
      </c>
      <c r="H2992">
        <v>33652781.799999997</v>
      </c>
      <c r="I2992">
        <v>114917932.8</v>
      </c>
      <c r="J2992">
        <v>0</v>
      </c>
      <c r="K2992">
        <v>9061503.8800000008</v>
      </c>
      <c r="L2992">
        <v>0</v>
      </c>
      <c r="M2992">
        <v>0</v>
      </c>
      <c r="T2992" s="9">
        <v>45108</v>
      </c>
      <c r="U2992" s="9">
        <v>45473</v>
      </c>
      <c r="V2992">
        <f>SUM(POTABLE_NONPOTABLE_API[[#This Row],[RESIDENTIAL_SINGLEFAMILY_GAL]:[OTHER_GAL]])</f>
        <v>439865057.72000003</v>
      </c>
      <c r="W2992">
        <f>SUM(POTABLE_NONPOTABLE_API[[#This Row],[NONPOTABLE_DEMAND_RESIDENTIAL_RECYCLED_WATER_GAL]:[NONPOTABLE_DEMAND_NONRESIDENTIAL_METERED_IRRIGATION_GAL]])</f>
        <v>0</v>
      </c>
      <c r="X2992" t="str">
        <f>IFERROR(INDEX(Crosswalk_API!$H$2:$H$527, MATCH(POTABLE_NONPOTABLE_API[[#This Row],[PWSID]], CW_PWSID_LIST, 0)), "")</f>
        <v>No</v>
      </c>
    </row>
    <row r="2993" spans="1:24" x14ac:dyDescent="0.25">
      <c r="A2993" t="s">
        <v>1615</v>
      </c>
      <c r="B2993" t="s">
        <v>1616</v>
      </c>
      <c r="C2993" t="s">
        <v>1617</v>
      </c>
      <c r="D2993" t="s">
        <v>1618</v>
      </c>
      <c r="E2993" s="9">
        <v>45200</v>
      </c>
      <c r="F2993" s="9">
        <v>45230</v>
      </c>
      <c r="G2993">
        <v>221196503</v>
      </c>
      <c r="H2993">
        <v>24330816.84</v>
      </c>
      <c r="I2993">
        <v>71285342.480000004</v>
      </c>
      <c r="J2993">
        <v>0</v>
      </c>
      <c r="K2993">
        <v>9111118.7200000007</v>
      </c>
      <c r="L2993">
        <v>0</v>
      </c>
      <c r="M2993">
        <v>0</v>
      </c>
      <c r="T2993" s="9">
        <v>45108</v>
      </c>
      <c r="U2993" s="9">
        <v>45473</v>
      </c>
      <c r="V2993">
        <f>SUM(POTABLE_NONPOTABLE_API[[#This Row],[RESIDENTIAL_SINGLEFAMILY_GAL]:[OTHER_GAL]])</f>
        <v>325923781.04000002</v>
      </c>
      <c r="W2993">
        <f>SUM(POTABLE_NONPOTABLE_API[[#This Row],[NONPOTABLE_DEMAND_RESIDENTIAL_RECYCLED_WATER_GAL]:[NONPOTABLE_DEMAND_NONRESIDENTIAL_METERED_IRRIGATION_GAL]])</f>
        <v>0</v>
      </c>
      <c r="X2993" t="str">
        <f>IFERROR(INDEX(Crosswalk_API!$H$2:$H$527, MATCH(POTABLE_NONPOTABLE_API[[#This Row],[PWSID]], CW_PWSID_LIST, 0)), "")</f>
        <v>No</v>
      </c>
    </row>
    <row r="2994" spans="1:24" x14ac:dyDescent="0.25">
      <c r="A2994" t="s">
        <v>1615</v>
      </c>
      <c r="B2994" t="s">
        <v>1616</v>
      </c>
      <c r="C2994" t="s">
        <v>1617</v>
      </c>
      <c r="D2994" t="s">
        <v>1618</v>
      </c>
      <c r="E2994" s="9">
        <v>45231</v>
      </c>
      <c r="F2994" s="9">
        <v>45260</v>
      </c>
      <c r="G2994">
        <v>185498764</v>
      </c>
      <c r="H2994">
        <v>19440019</v>
      </c>
      <c r="I2994">
        <v>39830326</v>
      </c>
      <c r="J2994">
        <v>0</v>
      </c>
      <c r="K2994">
        <v>3905323</v>
      </c>
      <c r="L2994">
        <v>0</v>
      </c>
      <c r="M2994">
        <v>0</v>
      </c>
      <c r="T2994" s="9">
        <v>45108</v>
      </c>
      <c r="U2994" s="9">
        <v>45473</v>
      </c>
      <c r="V2994">
        <f>SUM(POTABLE_NONPOTABLE_API[[#This Row],[RESIDENTIAL_SINGLEFAMILY_GAL]:[OTHER_GAL]])</f>
        <v>248674432</v>
      </c>
      <c r="W2994">
        <f>SUM(POTABLE_NONPOTABLE_API[[#This Row],[NONPOTABLE_DEMAND_RESIDENTIAL_RECYCLED_WATER_GAL]:[NONPOTABLE_DEMAND_NONRESIDENTIAL_METERED_IRRIGATION_GAL]])</f>
        <v>0</v>
      </c>
      <c r="X2994" t="str">
        <f>IFERROR(INDEX(Crosswalk_API!$H$2:$H$527, MATCH(POTABLE_NONPOTABLE_API[[#This Row],[PWSID]], CW_PWSID_LIST, 0)), "")</f>
        <v>No</v>
      </c>
    </row>
    <row r="2995" spans="1:24" x14ac:dyDescent="0.25">
      <c r="A2995" t="s">
        <v>1615</v>
      </c>
      <c r="B2995" t="s">
        <v>1616</v>
      </c>
      <c r="C2995" t="s">
        <v>1617</v>
      </c>
      <c r="D2995" t="s">
        <v>1618</v>
      </c>
      <c r="E2995" s="9">
        <v>45261</v>
      </c>
      <c r="F2995" s="9">
        <v>45291</v>
      </c>
      <c r="G2995">
        <v>147178851</v>
      </c>
      <c r="H2995">
        <v>8621268</v>
      </c>
      <c r="I2995">
        <v>5777409</v>
      </c>
      <c r="J2995">
        <v>0</v>
      </c>
      <c r="K2995">
        <v>39741</v>
      </c>
      <c r="L2995">
        <v>0</v>
      </c>
      <c r="M2995">
        <v>0</v>
      </c>
      <c r="T2995" s="9">
        <v>45108</v>
      </c>
      <c r="U2995" s="9">
        <v>45473</v>
      </c>
      <c r="V2995">
        <f>SUM(POTABLE_NONPOTABLE_API[[#This Row],[RESIDENTIAL_SINGLEFAMILY_GAL]:[OTHER_GAL]])</f>
        <v>161617269</v>
      </c>
      <c r="W2995">
        <f>SUM(POTABLE_NONPOTABLE_API[[#This Row],[NONPOTABLE_DEMAND_RESIDENTIAL_RECYCLED_WATER_GAL]:[NONPOTABLE_DEMAND_NONRESIDENTIAL_METERED_IRRIGATION_GAL]])</f>
        <v>0</v>
      </c>
      <c r="X2995" t="str">
        <f>IFERROR(INDEX(Crosswalk_API!$H$2:$H$527, MATCH(POTABLE_NONPOTABLE_API[[#This Row],[PWSID]], CW_PWSID_LIST, 0)), "")</f>
        <v>No</v>
      </c>
    </row>
    <row r="2996" spans="1:24" x14ac:dyDescent="0.25">
      <c r="A2996" t="s">
        <v>1615</v>
      </c>
      <c r="B2996" t="s">
        <v>1616</v>
      </c>
      <c r="C2996" t="s">
        <v>1617</v>
      </c>
      <c r="D2996" t="s">
        <v>1618</v>
      </c>
      <c r="E2996" s="9">
        <v>45292</v>
      </c>
      <c r="F2996" s="9">
        <v>45322</v>
      </c>
      <c r="G2996">
        <v>106724782</v>
      </c>
      <c r="H2996">
        <v>17314696</v>
      </c>
      <c r="I2996">
        <v>43229567</v>
      </c>
      <c r="J2996">
        <v>0</v>
      </c>
      <c r="K2996">
        <v>3004514</v>
      </c>
      <c r="L2996">
        <v>0</v>
      </c>
      <c r="M2996">
        <v>0</v>
      </c>
      <c r="T2996" s="9">
        <v>45108</v>
      </c>
      <c r="U2996" s="9">
        <v>45473</v>
      </c>
      <c r="V2996">
        <f>SUM(POTABLE_NONPOTABLE_API[[#This Row],[RESIDENTIAL_SINGLEFAMILY_GAL]:[OTHER_GAL]])</f>
        <v>170273559</v>
      </c>
      <c r="W2996">
        <f>SUM(POTABLE_NONPOTABLE_API[[#This Row],[NONPOTABLE_DEMAND_RESIDENTIAL_RECYCLED_WATER_GAL]:[NONPOTABLE_DEMAND_NONRESIDENTIAL_METERED_IRRIGATION_GAL]])</f>
        <v>0</v>
      </c>
      <c r="X2996" t="str">
        <f>IFERROR(INDEX(Crosswalk_API!$H$2:$H$527, MATCH(POTABLE_NONPOTABLE_API[[#This Row],[PWSID]], CW_PWSID_LIST, 0)), "")</f>
        <v>No</v>
      </c>
    </row>
    <row r="2997" spans="1:24" x14ac:dyDescent="0.25">
      <c r="A2997" t="s">
        <v>1615</v>
      </c>
      <c r="B2997" t="s">
        <v>1616</v>
      </c>
      <c r="C2997" t="s">
        <v>1617</v>
      </c>
      <c r="D2997" t="s">
        <v>1618</v>
      </c>
      <c r="E2997" s="9">
        <v>45323</v>
      </c>
      <c r="F2997" s="9">
        <v>45351</v>
      </c>
      <c r="G2997">
        <v>103617388.16</v>
      </c>
      <c r="H2997">
        <v>18453062.760000002</v>
      </c>
      <c r="I2997">
        <v>41132781.799999997</v>
      </c>
      <c r="J2997">
        <v>0</v>
      </c>
      <c r="K2997">
        <v>3321740.84</v>
      </c>
      <c r="L2997">
        <v>0</v>
      </c>
      <c r="M2997">
        <v>0</v>
      </c>
      <c r="T2997" s="9">
        <v>45108</v>
      </c>
      <c r="U2997" s="9">
        <v>45473</v>
      </c>
      <c r="V2997">
        <f>SUM(POTABLE_NONPOTABLE_API[[#This Row],[RESIDENTIAL_SINGLEFAMILY_GAL]:[OTHER_GAL]])</f>
        <v>166524973.56</v>
      </c>
      <c r="W2997">
        <f>SUM(POTABLE_NONPOTABLE_API[[#This Row],[NONPOTABLE_DEMAND_RESIDENTIAL_RECYCLED_WATER_GAL]:[NONPOTABLE_DEMAND_NONRESIDENTIAL_METERED_IRRIGATION_GAL]])</f>
        <v>0</v>
      </c>
      <c r="X2997" t="str">
        <f>IFERROR(INDEX(Crosswalk_API!$H$2:$H$527, MATCH(POTABLE_NONPOTABLE_API[[#This Row],[PWSID]], CW_PWSID_LIST, 0)), "")</f>
        <v>No</v>
      </c>
    </row>
    <row r="2998" spans="1:24" x14ac:dyDescent="0.25">
      <c r="A2998" t="s">
        <v>1615</v>
      </c>
      <c r="B2998" t="s">
        <v>1616</v>
      </c>
      <c r="C2998" t="s">
        <v>1617</v>
      </c>
      <c r="D2998" t="s">
        <v>1618</v>
      </c>
      <c r="E2998" s="9">
        <v>45352</v>
      </c>
      <c r="F2998" s="9">
        <v>45382</v>
      </c>
      <c r="G2998">
        <v>97754653.920000002</v>
      </c>
      <c r="H2998">
        <v>16502645.279999999</v>
      </c>
      <c r="I2998">
        <v>38849474.399999999</v>
      </c>
      <c r="J2998">
        <v>0</v>
      </c>
      <c r="K2998">
        <v>2882088.88</v>
      </c>
      <c r="L2998">
        <v>0</v>
      </c>
      <c r="M2998">
        <v>0</v>
      </c>
      <c r="T2998" s="9">
        <v>45108</v>
      </c>
      <c r="U2998" s="9">
        <v>45473</v>
      </c>
      <c r="V2998">
        <f>SUM(POTABLE_NONPOTABLE_API[[#This Row],[RESIDENTIAL_SINGLEFAMILY_GAL]:[OTHER_GAL]])</f>
        <v>155988862.47999999</v>
      </c>
      <c r="W2998">
        <f>SUM(POTABLE_NONPOTABLE_API[[#This Row],[NONPOTABLE_DEMAND_RESIDENTIAL_RECYCLED_WATER_GAL]:[NONPOTABLE_DEMAND_NONRESIDENTIAL_METERED_IRRIGATION_GAL]])</f>
        <v>0</v>
      </c>
      <c r="X2998" t="str">
        <f>IFERROR(INDEX(Crosswalk_API!$H$2:$H$527, MATCH(POTABLE_NONPOTABLE_API[[#This Row],[PWSID]], CW_PWSID_LIST, 0)), "")</f>
        <v>No</v>
      </c>
    </row>
    <row r="2999" spans="1:24" x14ac:dyDescent="0.25">
      <c r="A2999" t="s">
        <v>1615</v>
      </c>
      <c r="B2999" t="s">
        <v>1616</v>
      </c>
      <c r="C2999" t="s">
        <v>1617</v>
      </c>
      <c r="D2999" t="s">
        <v>1618</v>
      </c>
      <c r="E2999" s="9">
        <v>45383</v>
      </c>
      <c r="F2999" s="9">
        <v>45412</v>
      </c>
      <c r="G2999">
        <v>118241925.12</v>
      </c>
      <c r="H2999">
        <v>17553405.760000002</v>
      </c>
      <c r="I2999">
        <v>52983121.399999999</v>
      </c>
      <c r="J2999">
        <v>0</v>
      </c>
      <c r="K2999">
        <v>3658183.76</v>
      </c>
      <c r="L2999">
        <v>0</v>
      </c>
      <c r="M2999">
        <v>0</v>
      </c>
      <c r="T2999" s="9">
        <v>45108</v>
      </c>
      <c r="U2999" s="9">
        <v>45473</v>
      </c>
      <c r="V2999">
        <f>SUM(POTABLE_NONPOTABLE_API[[#This Row],[RESIDENTIAL_SINGLEFAMILY_GAL]:[OTHER_GAL]])</f>
        <v>192436636.03999999</v>
      </c>
      <c r="W2999">
        <f>SUM(POTABLE_NONPOTABLE_API[[#This Row],[NONPOTABLE_DEMAND_RESIDENTIAL_RECYCLED_WATER_GAL]:[NONPOTABLE_DEMAND_NONRESIDENTIAL_METERED_IRRIGATION_GAL]])</f>
        <v>0</v>
      </c>
      <c r="X2999" t="str">
        <f>IFERROR(INDEX(Crosswalk_API!$H$2:$H$527, MATCH(POTABLE_NONPOTABLE_API[[#This Row],[PWSID]], CW_PWSID_LIST, 0)), "")</f>
        <v>No</v>
      </c>
    </row>
    <row r="3000" spans="1:24" x14ac:dyDescent="0.25">
      <c r="A3000" t="s">
        <v>1615</v>
      </c>
      <c r="B3000" t="s">
        <v>1616</v>
      </c>
      <c r="C3000" t="s">
        <v>1617</v>
      </c>
      <c r="D3000" t="s">
        <v>1618</v>
      </c>
      <c r="E3000" s="9">
        <v>45413</v>
      </c>
      <c r="F3000" s="9">
        <v>45443</v>
      </c>
      <c r="G3000">
        <v>169046818.16</v>
      </c>
      <c r="H3000">
        <v>21453649.800000001</v>
      </c>
      <c r="I3000">
        <v>56712923.159999996</v>
      </c>
      <c r="J3000">
        <v>0</v>
      </c>
      <c r="K3000">
        <v>6183977.7999999998</v>
      </c>
      <c r="L3000">
        <v>0</v>
      </c>
      <c r="M3000">
        <v>0</v>
      </c>
      <c r="T3000" s="9">
        <v>45108</v>
      </c>
      <c r="U3000" s="9">
        <v>45473</v>
      </c>
      <c r="V3000">
        <f>SUM(POTABLE_NONPOTABLE_API[[#This Row],[RESIDENTIAL_SINGLEFAMILY_GAL]:[OTHER_GAL]])</f>
        <v>253397368.92000002</v>
      </c>
      <c r="W3000">
        <f>SUM(POTABLE_NONPOTABLE_API[[#This Row],[NONPOTABLE_DEMAND_RESIDENTIAL_RECYCLED_WATER_GAL]:[NONPOTABLE_DEMAND_NONRESIDENTIAL_METERED_IRRIGATION_GAL]])</f>
        <v>0</v>
      </c>
      <c r="X3000" t="str">
        <f>IFERROR(INDEX(Crosswalk_API!$H$2:$H$527, MATCH(POTABLE_NONPOTABLE_API[[#This Row],[PWSID]], CW_PWSID_LIST, 0)), "")</f>
        <v>No</v>
      </c>
    </row>
    <row r="3001" spans="1:24" x14ac:dyDescent="0.25">
      <c r="A3001" t="s">
        <v>1615</v>
      </c>
      <c r="B3001" t="s">
        <v>1616</v>
      </c>
      <c r="C3001" t="s">
        <v>1617</v>
      </c>
      <c r="D3001" t="s">
        <v>1618</v>
      </c>
      <c r="E3001" s="9">
        <v>45444</v>
      </c>
      <c r="F3001" s="9">
        <v>45473</v>
      </c>
      <c r="G3001">
        <v>250925973.24000001</v>
      </c>
      <c r="H3001">
        <v>25876521.440000001</v>
      </c>
      <c r="I3001">
        <v>80382511</v>
      </c>
      <c r="J3001">
        <v>0</v>
      </c>
      <c r="K3001">
        <v>6742865.6799999997</v>
      </c>
      <c r="L3001">
        <v>0</v>
      </c>
      <c r="M3001">
        <v>0</v>
      </c>
      <c r="T3001" s="9">
        <v>45108</v>
      </c>
      <c r="U3001" s="9">
        <v>45473</v>
      </c>
      <c r="V3001">
        <f>SUM(POTABLE_NONPOTABLE_API[[#This Row],[RESIDENTIAL_SINGLEFAMILY_GAL]:[OTHER_GAL]])</f>
        <v>363927871.36000001</v>
      </c>
      <c r="W3001">
        <f>SUM(POTABLE_NONPOTABLE_API[[#This Row],[NONPOTABLE_DEMAND_RESIDENTIAL_RECYCLED_WATER_GAL]:[NONPOTABLE_DEMAND_NONRESIDENTIAL_METERED_IRRIGATION_GAL]])</f>
        <v>0</v>
      </c>
      <c r="X3001" t="str">
        <f>IFERROR(INDEX(Crosswalk_API!$H$2:$H$527, MATCH(POTABLE_NONPOTABLE_API[[#This Row],[PWSID]], CW_PWSID_LIST, 0)), "")</f>
        <v>No</v>
      </c>
    </row>
    <row r="3002" spans="1:24" x14ac:dyDescent="0.25">
      <c r="A3002" t="s">
        <v>1619</v>
      </c>
      <c r="B3002" t="s">
        <v>1620</v>
      </c>
      <c r="C3002" t="s">
        <v>1621</v>
      </c>
      <c r="D3002" t="s">
        <v>1622</v>
      </c>
      <c r="E3002" s="9">
        <v>45108</v>
      </c>
      <c r="F3002" s="9">
        <v>45138</v>
      </c>
      <c r="G3002">
        <v>74088266.963200003</v>
      </c>
      <c r="H3002">
        <v>24225364.799199998</v>
      </c>
      <c r="I3002">
        <v>16118426.054400001</v>
      </c>
      <c r="J3002">
        <v>38176833.82</v>
      </c>
      <c r="K3002">
        <v>0</v>
      </c>
      <c r="L3002">
        <v>0</v>
      </c>
      <c r="M3002">
        <v>0</v>
      </c>
      <c r="T3002" s="9">
        <v>45108</v>
      </c>
      <c r="U3002" s="9">
        <v>45473</v>
      </c>
      <c r="V3002">
        <f>SUM(POTABLE_NONPOTABLE_API[[#This Row],[RESIDENTIAL_SINGLEFAMILY_GAL]:[OTHER_GAL]])</f>
        <v>152608891.63679999</v>
      </c>
      <c r="W3002">
        <f>SUM(POTABLE_NONPOTABLE_API[[#This Row],[NONPOTABLE_DEMAND_RESIDENTIAL_RECYCLED_WATER_GAL]:[NONPOTABLE_DEMAND_NONRESIDENTIAL_METERED_IRRIGATION_GAL]])</f>
        <v>0</v>
      </c>
      <c r="X3002" t="str">
        <f>IFERROR(INDEX(Crosswalk_API!$H$2:$H$527, MATCH(POTABLE_NONPOTABLE_API[[#This Row],[PWSID]], CW_PWSID_LIST, 0)), "")</f>
        <v>No</v>
      </c>
    </row>
    <row r="3003" spans="1:24" x14ac:dyDescent="0.25">
      <c r="A3003" t="s">
        <v>1619</v>
      </c>
      <c r="B3003" t="s">
        <v>1620</v>
      </c>
      <c r="C3003" t="s">
        <v>1621</v>
      </c>
      <c r="D3003" t="s">
        <v>1622</v>
      </c>
      <c r="E3003" s="9">
        <v>45139</v>
      </c>
      <c r="F3003" s="9">
        <v>45169</v>
      </c>
      <c r="G3003">
        <v>72493494.904400006</v>
      </c>
      <c r="H3003">
        <v>24982617.838800002</v>
      </c>
      <c r="I3003">
        <v>17351664.581599999</v>
      </c>
      <c r="J3003">
        <v>36558946.954399996</v>
      </c>
      <c r="K3003">
        <v>0</v>
      </c>
      <c r="L3003">
        <v>0</v>
      </c>
      <c r="M3003">
        <v>0</v>
      </c>
      <c r="T3003" s="9">
        <v>45108</v>
      </c>
      <c r="U3003" s="9">
        <v>45473</v>
      </c>
      <c r="V3003">
        <f>SUM(POTABLE_NONPOTABLE_API[[#This Row],[RESIDENTIAL_SINGLEFAMILY_GAL]:[OTHER_GAL]])</f>
        <v>151386724.27919999</v>
      </c>
      <c r="W3003">
        <f>SUM(POTABLE_NONPOTABLE_API[[#This Row],[NONPOTABLE_DEMAND_RESIDENTIAL_RECYCLED_WATER_GAL]:[NONPOTABLE_DEMAND_NONRESIDENTIAL_METERED_IRRIGATION_GAL]])</f>
        <v>0</v>
      </c>
      <c r="X3003" t="str">
        <f>IFERROR(INDEX(Crosswalk_API!$H$2:$H$527, MATCH(POTABLE_NONPOTABLE_API[[#This Row],[PWSID]], CW_PWSID_LIST, 0)), "")</f>
        <v>No</v>
      </c>
    </row>
    <row r="3004" spans="1:24" x14ac:dyDescent="0.25">
      <c r="A3004" t="s">
        <v>1619</v>
      </c>
      <c r="B3004" t="s">
        <v>1620</v>
      </c>
      <c r="C3004" t="s">
        <v>1621</v>
      </c>
      <c r="D3004" t="s">
        <v>1622</v>
      </c>
      <c r="E3004" s="9">
        <v>45170</v>
      </c>
      <c r="F3004" s="9">
        <v>45199</v>
      </c>
      <c r="G3004">
        <v>108843062.104</v>
      </c>
      <c r="H3004">
        <v>23651908.136</v>
      </c>
      <c r="I3004">
        <v>16499782.964</v>
      </c>
      <c r="J3004">
        <v>32343524.324000001</v>
      </c>
      <c r="K3004">
        <v>0</v>
      </c>
      <c r="L3004">
        <v>0</v>
      </c>
      <c r="M3004">
        <v>0</v>
      </c>
      <c r="T3004" s="9">
        <v>45108</v>
      </c>
      <c r="U3004" s="9">
        <v>45473</v>
      </c>
      <c r="V3004">
        <f>SUM(POTABLE_NONPOTABLE_API[[#This Row],[RESIDENTIAL_SINGLEFAMILY_GAL]:[OTHER_GAL]])</f>
        <v>181338277.528</v>
      </c>
      <c r="W3004">
        <f>SUM(POTABLE_NONPOTABLE_API[[#This Row],[NONPOTABLE_DEMAND_RESIDENTIAL_RECYCLED_WATER_GAL]:[NONPOTABLE_DEMAND_NONRESIDENTIAL_METERED_IRRIGATION_GAL]])</f>
        <v>0</v>
      </c>
      <c r="X3004" t="str">
        <f>IFERROR(INDEX(Crosswalk_API!$H$2:$H$527, MATCH(POTABLE_NONPOTABLE_API[[#This Row],[PWSID]], CW_PWSID_LIST, 0)), "")</f>
        <v>No</v>
      </c>
    </row>
    <row r="3005" spans="1:24" x14ac:dyDescent="0.25">
      <c r="A3005" t="s">
        <v>1619</v>
      </c>
      <c r="B3005" t="s">
        <v>1620</v>
      </c>
      <c r="C3005" t="s">
        <v>1621</v>
      </c>
      <c r="D3005" t="s">
        <v>1622</v>
      </c>
      <c r="E3005" s="9">
        <v>45200</v>
      </c>
      <c r="F3005" s="9">
        <v>45230</v>
      </c>
      <c r="G3005">
        <v>101198718.71600001</v>
      </c>
      <c r="H3005">
        <v>22746017.164000001</v>
      </c>
      <c r="I3005">
        <v>14762806.220000001</v>
      </c>
      <c r="J3005">
        <v>27656978.544</v>
      </c>
      <c r="K3005">
        <v>0</v>
      </c>
      <c r="L3005">
        <v>0</v>
      </c>
      <c r="M3005">
        <v>0</v>
      </c>
      <c r="T3005" s="9">
        <v>45108</v>
      </c>
      <c r="U3005" s="9">
        <v>45473</v>
      </c>
      <c r="V3005">
        <f>SUM(POTABLE_NONPOTABLE_API[[#This Row],[RESIDENTIAL_SINGLEFAMILY_GAL]:[OTHER_GAL]])</f>
        <v>166364520.64400002</v>
      </c>
      <c r="W3005">
        <f>SUM(POTABLE_NONPOTABLE_API[[#This Row],[NONPOTABLE_DEMAND_RESIDENTIAL_RECYCLED_WATER_GAL]:[NONPOTABLE_DEMAND_NONRESIDENTIAL_METERED_IRRIGATION_GAL]])</f>
        <v>0</v>
      </c>
      <c r="X3005" t="str">
        <f>IFERROR(INDEX(Crosswalk_API!$H$2:$H$527, MATCH(POTABLE_NONPOTABLE_API[[#This Row],[PWSID]], CW_PWSID_LIST, 0)), "")</f>
        <v>No</v>
      </c>
    </row>
    <row r="3006" spans="1:24" x14ac:dyDescent="0.25">
      <c r="A3006" t="s">
        <v>1619</v>
      </c>
      <c r="B3006" t="s">
        <v>1620</v>
      </c>
      <c r="C3006" t="s">
        <v>1621</v>
      </c>
      <c r="D3006" t="s">
        <v>1622</v>
      </c>
      <c r="E3006" s="9">
        <v>45231</v>
      </c>
      <c r="F3006" s="9">
        <v>45260</v>
      </c>
      <c r="G3006">
        <v>51248294.468000002</v>
      </c>
      <c r="H3006">
        <v>44925010.912</v>
      </c>
      <c r="I3006">
        <v>14532406.204</v>
      </c>
      <c r="J3006">
        <v>45413488.868000001</v>
      </c>
      <c r="K3006">
        <v>0</v>
      </c>
      <c r="L3006">
        <v>0</v>
      </c>
      <c r="M3006">
        <v>0</v>
      </c>
      <c r="T3006" s="9">
        <v>45108</v>
      </c>
      <c r="U3006" s="9">
        <v>45473</v>
      </c>
      <c r="V3006">
        <f>SUM(POTABLE_NONPOTABLE_API[[#This Row],[RESIDENTIAL_SINGLEFAMILY_GAL]:[OTHER_GAL]])</f>
        <v>156119200.45199999</v>
      </c>
      <c r="W3006">
        <f>SUM(POTABLE_NONPOTABLE_API[[#This Row],[NONPOTABLE_DEMAND_RESIDENTIAL_RECYCLED_WATER_GAL]:[NONPOTABLE_DEMAND_NONRESIDENTIAL_METERED_IRRIGATION_GAL]])</f>
        <v>0</v>
      </c>
      <c r="X3006" t="str">
        <f>IFERROR(INDEX(Crosswalk_API!$H$2:$H$527, MATCH(POTABLE_NONPOTABLE_API[[#This Row],[PWSID]], CW_PWSID_LIST, 0)), "")</f>
        <v>No</v>
      </c>
    </row>
    <row r="3007" spans="1:24" x14ac:dyDescent="0.25">
      <c r="A3007" t="s">
        <v>1619</v>
      </c>
      <c r="B3007" t="s">
        <v>1620</v>
      </c>
      <c r="C3007" t="s">
        <v>1621</v>
      </c>
      <c r="D3007" t="s">
        <v>1622</v>
      </c>
      <c r="E3007" s="9">
        <v>45261</v>
      </c>
      <c r="F3007" s="9">
        <v>45291</v>
      </c>
      <c r="G3007">
        <v>47498309.792000003</v>
      </c>
      <c r="H3007">
        <v>42204345.788000003</v>
      </c>
      <c r="I3007">
        <v>14953559.48</v>
      </c>
      <c r="J3007">
        <v>23637695.148000002</v>
      </c>
      <c r="K3007">
        <v>0</v>
      </c>
      <c r="L3007">
        <v>0</v>
      </c>
      <c r="M3007">
        <v>0</v>
      </c>
      <c r="T3007" s="9">
        <v>45108</v>
      </c>
      <c r="U3007" s="9">
        <v>45473</v>
      </c>
      <c r="V3007">
        <f>SUM(POTABLE_NONPOTABLE_API[[#This Row],[RESIDENTIAL_SINGLEFAMILY_GAL]:[OTHER_GAL]])</f>
        <v>128293910.20800002</v>
      </c>
      <c r="W3007">
        <f>SUM(POTABLE_NONPOTABLE_API[[#This Row],[NONPOTABLE_DEMAND_RESIDENTIAL_RECYCLED_WATER_GAL]:[NONPOTABLE_DEMAND_NONRESIDENTIAL_METERED_IRRIGATION_GAL]])</f>
        <v>0</v>
      </c>
      <c r="X3007" t="str">
        <f>IFERROR(INDEX(Crosswalk_API!$H$2:$H$527, MATCH(POTABLE_NONPOTABLE_API[[#This Row],[PWSID]], CW_PWSID_LIST, 0)), "")</f>
        <v>No</v>
      </c>
    </row>
    <row r="3008" spans="1:24" x14ac:dyDescent="0.25">
      <c r="A3008" t="s">
        <v>1619</v>
      </c>
      <c r="B3008" t="s">
        <v>1620</v>
      </c>
      <c r="C3008" t="s">
        <v>1621</v>
      </c>
      <c r="D3008" t="s">
        <v>1622</v>
      </c>
      <c r="E3008" s="9">
        <v>45292</v>
      </c>
      <c r="F3008" s="9">
        <v>45322</v>
      </c>
      <c r="G3008">
        <v>36762267.487999998</v>
      </c>
      <c r="H3008">
        <v>40234724.872000001</v>
      </c>
      <c r="I3008">
        <v>14065621.756000001</v>
      </c>
      <c r="J3008">
        <v>15096437.412</v>
      </c>
      <c r="K3008">
        <v>0</v>
      </c>
      <c r="L3008">
        <v>0</v>
      </c>
      <c r="M3008">
        <v>0</v>
      </c>
      <c r="T3008" s="9">
        <v>45108</v>
      </c>
      <c r="U3008" s="9">
        <v>45473</v>
      </c>
      <c r="V3008">
        <f>SUM(POTABLE_NONPOTABLE_API[[#This Row],[RESIDENTIAL_SINGLEFAMILY_GAL]:[OTHER_GAL]])</f>
        <v>106159051.528</v>
      </c>
      <c r="W3008">
        <f>SUM(POTABLE_NONPOTABLE_API[[#This Row],[NONPOTABLE_DEMAND_RESIDENTIAL_RECYCLED_WATER_GAL]:[NONPOTABLE_DEMAND_NONRESIDENTIAL_METERED_IRRIGATION_GAL]])</f>
        <v>0</v>
      </c>
      <c r="X3008" t="str">
        <f>IFERROR(INDEX(Crosswalk_API!$H$2:$H$527, MATCH(POTABLE_NONPOTABLE_API[[#This Row],[PWSID]], CW_PWSID_LIST, 0)), "")</f>
        <v>No</v>
      </c>
    </row>
    <row r="3009" spans="1:24" x14ac:dyDescent="0.25">
      <c r="A3009" t="s">
        <v>1619</v>
      </c>
      <c r="B3009" t="s">
        <v>1620</v>
      </c>
      <c r="C3009" t="s">
        <v>1621</v>
      </c>
      <c r="D3009" t="s">
        <v>1622</v>
      </c>
      <c r="E3009" s="9">
        <v>45323</v>
      </c>
      <c r="F3009" s="9">
        <v>45351</v>
      </c>
      <c r="G3009">
        <v>32100407.424000002</v>
      </c>
      <c r="H3009">
        <v>17967460.988000002</v>
      </c>
      <c r="I3009">
        <v>12232146.304</v>
      </c>
      <c r="J3009">
        <v>4796509.4240000006</v>
      </c>
      <c r="K3009">
        <v>0</v>
      </c>
      <c r="L3009">
        <v>0</v>
      </c>
      <c r="M3009">
        <v>0</v>
      </c>
      <c r="T3009" s="9">
        <v>45108</v>
      </c>
      <c r="U3009" s="9">
        <v>45473</v>
      </c>
      <c r="V3009">
        <f>SUM(POTABLE_NONPOTABLE_API[[#This Row],[RESIDENTIAL_SINGLEFAMILY_GAL]:[OTHER_GAL]])</f>
        <v>67096524.140000001</v>
      </c>
      <c r="W3009">
        <f>SUM(POTABLE_NONPOTABLE_API[[#This Row],[NONPOTABLE_DEMAND_RESIDENTIAL_RECYCLED_WATER_GAL]:[NONPOTABLE_DEMAND_NONRESIDENTIAL_METERED_IRRIGATION_GAL]])</f>
        <v>0</v>
      </c>
      <c r="X3009" t="str">
        <f>IFERROR(INDEX(Crosswalk_API!$H$2:$H$527, MATCH(POTABLE_NONPOTABLE_API[[#This Row],[PWSID]], CW_PWSID_LIST, 0)), "")</f>
        <v>No</v>
      </c>
    </row>
    <row r="3010" spans="1:24" x14ac:dyDescent="0.25">
      <c r="A3010" t="s">
        <v>1619</v>
      </c>
      <c r="B3010" t="s">
        <v>1620</v>
      </c>
      <c r="C3010" t="s">
        <v>1621</v>
      </c>
      <c r="D3010" t="s">
        <v>1622</v>
      </c>
      <c r="E3010" s="9">
        <v>45352</v>
      </c>
      <c r="F3010" s="9">
        <v>45382</v>
      </c>
      <c r="G3010">
        <v>39496397.548</v>
      </c>
      <c r="H3010">
        <v>19613175.388</v>
      </c>
      <c r="I3010">
        <v>13607065.880000001</v>
      </c>
      <c r="J3010">
        <v>7030940.7480000006</v>
      </c>
      <c r="K3010">
        <v>0</v>
      </c>
      <c r="L3010">
        <v>0</v>
      </c>
      <c r="M3010">
        <v>0</v>
      </c>
      <c r="T3010" s="9">
        <v>45108</v>
      </c>
      <c r="U3010" s="9">
        <v>45473</v>
      </c>
      <c r="V3010">
        <f>SUM(POTABLE_NONPOTABLE_API[[#This Row],[RESIDENTIAL_SINGLEFAMILY_GAL]:[OTHER_GAL]])</f>
        <v>79747579.563999996</v>
      </c>
      <c r="W3010">
        <f>SUM(POTABLE_NONPOTABLE_API[[#This Row],[NONPOTABLE_DEMAND_RESIDENTIAL_RECYCLED_WATER_GAL]:[NONPOTABLE_DEMAND_NONRESIDENTIAL_METERED_IRRIGATION_GAL]])</f>
        <v>0</v>
      </c>
      <c r="X3010" t="str">
        <f>IFERROR(INDEX(Crosswalk_API!$H$2:$H$527, MATCH(POTABLE_NONPOTABLE_API[[#This Row],[PWSID]], CW_PWSID_LIST, 0)), "")</f>
        <v>No</v>
      </c>
    </row>
    <row r="3011" spans="1:24" x14ac:dyDescent="0.25">
      <c r="A3011" t="s">
        <v>1619</v>
      </c>
      <c r="B3011" t="s">
        <v>1620</v>
      </c>
      <c r="C3011" t="s">
        <v>1621</v>
      </c>
      <c r="D3011" t="s">
        <v>1622</v>
      </c>
      <c r="E3011" s="9">
        <v>45383</v>
      </c>
      <c r="F3011" s="9">
        <v>45412</v>
      </c>
      <c r="G3011">
        <v>42711525.044</v>
      </c>
      <c r="H3011">
        <v>20626785.848000001</v>
      </c>
      <c r="I3011">
        <v>14619928.288000001</v>
      </c>
      <c r="J3011">
        <v>18371409.068</v>
      </c>
      <c r="K3011">
        <v>0</v>
      </c>
      <c r="L3011">
        <v>0</v>
      </c>
      <c r="M3011">
        <v>0</v>
      </c>
      <c r="T3011" s="9">
        <v>45108</v>
      </c>
      <c r="U3011" s="9">
        <v>45473</v>
      </c>
      <c r="V3011">
        <f>SUM(POTABLE_NONPOTABLE_API[[#This Row],[RESIDENTIAL_SINGLEFAMILY_GAL]:[OTHER_GAL]])</f>
        <v>96329648.248000011</v>
      </c>
      <c r="W3011">
        <f>SUM(POTABLE_NONPOTABLE_API[[#This Row],[NONPOTABLE_DEMAND_RESIDENTIAL_RECYCLED_WATER_GAL]:[NONPOTABLE_DEMAND_NONRESIDENTIAL_METERED_IRRIGATION_GAL]])</f>
        <v>0</v>
      </c>
      <c r="X3011" t="str">
        <f>IFERROR(INDEX(Crosswalk_API!$H$2:$H$527, MATCH(POTABLE_NONPOTABLE_API[[#This Row],[PWSID]], CW_PWSID_LIST, 0)), "")</f>
        <v>No</v>
      </c>
    </row>
    <row r="3012" spans="1:24" x14ac:dyDescent="0.25">
      <c r="A3012" t="s">
        <v>1619</v>
      </c>
      <c r="B3012" t="s">
        <v>1620</v>
      </c>
      <c r="C3012" t="s">
        <v>1621</v>
      </c>
      <c r="D3012" t="s">
        <v>1622</v>
      </c>
      <c r="E3012" s="9">
        <v>45413</v>
      </c>
      <c r="F3012" s="9">
        <v>45443</v>
      </c>
      <c r="G3012">
        <v>62423443.296000004</v>
      </c>
      <c r="H3012">
        <v>22103440.495999999</v>
      </c>
      <c r="I3012">
        <v>15558733.548</v>
      </c>
      <c r="J3012">
        <v>22103440.495999999</v>
      </c>
      <c r="K3012">
        <v>0</v>
      </c>
      <c r="L3012">
        <v>0</v>
      </c>
      <c r="M3012">
        <v>0</v>
      </c>
      <c r="T3012" s="9">
        <v>45108</v>
      </c>
      <c r="U3012" s="9">
        <v>45473</v>
      </c>
      <c r="V3012">
        <f>SUM(POTABLE_NONPOTABLE_API[[#This Row],[RESIDENTIAL_SINGLEFAMILY_GAL]:[OTHER_GAL]])</f>
        <v>122189057.836</v>
      </c>
      <c r="W3012">
        <f>SUM(POTABLE_NONPOTABLE_API[[#This Row],[NONPOTABLE_DEMAND_RESIDENTIAL_RECYCLED_WATER_GAL]:[NONPOTABLE_DEMAND_NONRESIDENTIAL_METERED_IRRIGATION_GAL]])</f>
        <v>0</v>
      </c>
      <c r="X3012" t="str">
        <f>IFERROR(INDEX(Crosswalk_API!$H$2:$H$527, MATCH(POTABLE_NONPOTABLE_API[[#This Row],[PWSID]], CW_PWSID_LIST, 0)), "")</f>
        <v>No</v>
      </c>
    </row>
    <row r="3013" spans="1:24" x14ac:dyDescent="0.25">
      <c r="A3013" t="s">
        <v>1619</v>
      </c>
      <c r="B3013" t="s">
        <v>1620</v>
      </c>
      <c r="C3013" t="s">
        <v>1621</v>
      </c>
      <c r="D3013" t="s">
        <v>1622</v>
      </c>
      <c r="E3013" s="9">
        <v>45444</v>
      </c>
      <c r="F3013" s="9">
        <v>45473</v>
      </c>
      <c r="G3013">
        <v>67529646.247999996</v>
      </c>
      <c r="H3013">
        <v>23295835.384</v>
      </c>
      <c r="I3013">
        <v>16680811.548</v>
      </c>
      <c r="J3013">
        <v>35478610.256000005</v>
      </c>
      <c r="K3013">
        <v>0</v>
      </c>
      <c r="L3013">
        <v>0</v>
      </c>
      <c r="M3013">
        <v>0</v>
      </c>
      <c r="T3013" s="9">
        <v>45108</v>
      </c>
      <c r="U3013" s="9">
        <v>45473</v>
      </c>
      <c r="V3013">
        <f>SUM(POTABLE_NONPOTABLE_API[[#This Row],[RESIDENTIAL_SINGLEFAMILY_GAL]:[OTHER_GAL]])</f>
        <v>142984903.43600002</v>
      </c>
      <c r="W3013">
        <f>SUM(POTABLE_NONPOTABLE_API[[#This Row],[NONPOTABLE_DEMAND_RESIDENTIAL_RECYCLED_WATER_GAL]:[NONPOTABLE_DEMAND_NONRESIDENTIAL_METERED_IRRIGATION_GAL]])</f>
        <v>0</v>
      </c>
      <c r="X3013" t="str">
        <f>IFERROR(INDEX(Crosswalk_API!$H$2:$H$527, MATCH(POTABLE_NONPOTABLE_API[[#This Row],[PWSID]], CW_PWSID_LIST, 0)), "")</f>
        <v>No</v>
      </c>
    </row>
    <row r="3014" spans="1:24" x14ac:dyDescent="0.25">
      <c r="A3014" t="s">
        <v>1623</v>
      </c>
      <c r="B3014" t="s">
        <v>1624</v>
      </c>
      <c r="C3014" t="s">
        <v>1625</v>
      </c>
      <c r="D3014" t="s">
        <v>1626</v>
      </c>
      <c r="E3014" s="9">
        <v>45108</v>
      </c>
      <c r="F3014" s="9">
        <v>45138</v>
      </c>
      <c r="G3014">
        <v>44641587</v>
      </c>
      <c r="H3014">
        <v>0</v>
      </c>
      <c r="I3014">
        <v>10329476.699999999</v>
      </c>
      <c r="J3014">
        <v>0</v>
      </c>
      <c r="K3014">
        <v>0</v>
      </c>
      <c r="L3014">
        <v>0</v>
      </c>
      <c r="M3014">
        <v>0</v>
      </c>
      <c r="T3014" s="9">
        <v>45108</v>
      </c>
      <c r="U3014" s="9">
        <v>45473</v>
      </c>
      <c r="V3014">
        <f>SUM(POTABLE_NONPOTABLE_API[[#This Row],[RESIDENTIAL_SINGLEFAMILY_GAL]:[OTHER_GAL]])</f>
        <v>54971063.700000003</v>
      </c>
      <c r="W3014">
        <f>SUM(POTABLE_NONPOTABLE_API[[#This Row],[NONPOTABLE_DEMAND_RESIDENTIAL_RECYCLED_WATER_GAL]:[NONPOTABLE_DEMAND_NONRESIDENTIAL_METERED_IRRIGATION_GAL]])</f>
        <v>0</v>
      </c>
      <c r="X3014" t="str">
        <f>IFERROR(INDEX(Crosswalk_API!$H$2:$H$527, MATCH(POTABLE_NONPOTABLE_API[[#This Row],[PWSID]], CW_PWSID_LIST, 0)), "")</f>
        <v>No</v>
      </c>
    </row>
    <row r="3015" spans="1:24" x14ac:dyDescent="0.25">
      <c r="A3015" t="s">
        <v>1623</v>
      </c>
      <c r="B3015" t="s">
        <v>1624</v>
      </c>
      <c r="C3015" t="s">
        <v>1625</v>
      </c>
      <c r="D3015" t="s">
        <v>1626</v>
      </c>
      <c r="E3015" s="9">
        <v>45139</v>
      </c>
      <c r="F3015" s="9">
        <v>45169</v>
      </c>
      <c r="G3015">
        <v>41317906.799999997</v>
      </c>
      <c r="H3015">
        <v>0</v>
      </c>
      <c r="I3015">
        <v>9612604.5</v>
      </c>
      <c r="J3015">
        <v>0</v>
      </c>
      <c r="K3015">
        <v>0</v>
      </c>
      <c r="L3015">
        <v>0</v>
      </c>
      <c r="M3015">
        <v>0</v>
      </c>
      <c r="T3015" s="9">
        <v>45108</v>
      </c>
      <c r="U3015" s="9">
        <v>45473</v>
      </c>
      <c r="V3015">
        <f>SUM(POTABLE_NONPOTABLE_API[[#This Row],[RESIDENTIAL_SINGLEFAMILY_GAL]:[OTHER_GAL]])</f>
        <v>50930511.299999997</v>
      </c>
      <c r="W3015">
        <f>SUM(POTABLE_NONPOTABLE_API[[#This Row],[NONPOTABLE_DEMAND_RESIDENTIAL_RECYCLED_WATER_GAL]:[NONPOTABLE_DEMAND_NONRESIDENTIAL_METERED_IRRIGATION_GAL]])</f>
        <v>0</v>
      </c>
      <c r="X3015" t="str">
        <f>IFERROR(INDEX(Crosswalk_API!$H$2:$H$527, MATCH(POTABLE_NONPOTABLE_API[[#This Row],[PWSID]], CW_PWSID_LIST, 0)), "")</f>
        <v>No</v>
      </c>
    </row>
    <row r="3016" spans="1:24" x14ac:dyDescent="0.25">
      <c r="A3016" t="s">
        <v>1623</v>
      </c>
      <c r="B3016" t="s">
        <v>1624</v>
      </c>
      <c r="C3016" t="s">
        <v>1625</v>
      </c>
      <c r="D3016" t="s">
        <v>1626</v>
      </c>
      <c r="E3016" s="9">
        <v>45170</v>
      </c>
      <c r="F3016" s="9">
        <v>45199</v>
      </c>
      <c r="G3016">
        <v>40340353.799999997</v>
      </c>
      <c r="H3016">
        <v>0</v>
      </c>
      <c r="I3016">
        <v>9091242.9000000004</v>
      </c>
      <c r="J3016">
        <v>0</v>
      </c>
      <c r="K3016">
        <v>0</v>
      </c>
      <c r="L3016">
        <v>0</v>
      </c>
      <c r="M3016">
        <v>0</v>
      </c>
      <c r="T3016" s="9">
        <v>45108</v>
      </c>
      <c r="U3016" s="9">
        <v>45473</v>
      </c>
      <c r="V3016">
        <f>SUM(POTABLE_NONPOTABLE_API[[#This Row],[RESIDENTIAL_SINGLEFAMILY_GAL]:[OTHER_GAL]])</f>
        <v>49431596.699999996</v>
      </c>
      <c r="W3016">
        <f>SUM(POTABLE_NONPOTABLE_API[[#This Row],[NONPOTABLE_DEMAND_RESIDENTIAL_RECYCLED_WATER_GAL]:[NONPOTABLE_DEMAND_NONRESIDENTIAL_METERED_IRRIGATION_GAL]])</f>
        <v>0</v>
      </c>
      <c r="X3016" t="str">
        <f>IFERROR(INDEX(Crosswalk_API!$H$2:$H$527, MATCH(POTABLE_NONPOTABLE_API[[#This Row],[PWSID]], CW_PWSID_LIST, 0)), "")</f>
        <v>No</v>
      </c>
    </row>
    <row r="3017" spans="1:24" x14ac:dyDescent="0.25">
      <c r="A3017" t="s">
        <v>1623</v>
      </c>
      <c r="B3017" t="s">
        <v>1624</v>
      </c>
      <c r="C3017" t="s">
        <v>1625</v>
      </c>
      <c r="D3017" t="s">
        <v>1626</v>
      </c>
      <c r="E3017" s="9">
        <v>45200</v>
      </c>
      <c r="F3017" s="9">
        <v>45230</v>
      </c>
      <c r="G3017">
        <v>39753822</v>
      </c>
      <c r="H3017">
        <v>0</v>
      </c>
      <c r="I3017">
        <v>9417093.9000000004</v>
      </c>
      <c r="J3017">
        <v>0</v>
      </c>
      <c r="K3017">
        <v>0</v>
      </c>
      <c r="L3017">
        <v>0</v>
      </c>
      <c r="M3017">
        <v>0</v>
      </c>
      <c r="T3017" s="9">
        <v>45108</v>
      </c>
      <c r="U3017" s="9">
        <v>45473</v>
      </c>
      <c r="V3017">
        <f>SUM(POTABLE_NONPOTABLE_API[[#This Row],[RESIDENTIAL_SINGLEFAMILY_GAL]:[OTHER_GAL]])</f>
        <v>49170915.899999999</v>
      </c>
      <c r="W3017">
        <f>SUM(POTABLE_NONPOTABLE_API[[#This Row],[NONPOTABLE_DEMAND_RESIDENTIAL_RECYCLED_WATER_GAL]:[NONPOTABLE_DEMAND_NONRESIDENTIAL_METERED_IRRIGATION_GAL]])</f>
        <v>0</v>
      </c>
      <c r="X3017" t="str">
        <f>IFERROR(INDEX(Crosswalk_API!$H$2:$H$527, MATCH(POTABLE_NONPOTABLE_API[[#This Row],[PWSID]], CW_PWSID_LIST, 0)), "")</f>
        <v>No</v>
      </c>
    </row>
    <row r="3018" spans="1:24" x14ac:dyDescent="0.25">
      <c r="A3018" t="s">
        <v>1623</v>
      </c>
      <c r="B3018" t="s">
        <v>1624</v>
      </c>
      <c r="C3018" t="s">
        <v>1625</v>
      </c>
      <c r="D3018" t="s">
        <v>1626</v>
      </c>
      <c r="E3018" s="9">
        <v>45231</v>
      </c>
      <c r="F3018" s="9">
        <v>45260</v>
      </c>
      <c r="G3018">
        <v>39590896.5</v>
      </c>
      <c r="H3018">
        <v>0</v>
      </c>
      <c r="I3018">
        <v>9123828</v>
      </c>
      <c r="J3018">
        <v>0</v>
      </c>
      <c r="K3018">
        <v>0</v>
      </c>
      <c r="L3018">
        <v>0</v>
      </c>
      <c r="M3018">
        <v>0</v>
      </c>
      <c r="T3018" s="9">
        <v>45108</v>
      </c>
      <c r="U3018" s="9">
        <v>45473</v>
      </c>
      <c r="V3018">
        <f>SUM(POTABLE_NONPOTABLE_API[[#This Row],[RESIDENTIAL_SINGLEFAMILY_GAL]:[OTHER_GAL]])</f>
        <v>48714724.5</v>
      </c>
      <c r="W3018">
        <f>SUM(POTABLE_NONPOTABLE_API[[#This Row],[NONPOTABLE_DEMAND_RESIDENTIAL_RECYCLED_WATER_GAL]:[NONPOTABLE_DEMAND_NONRESIDENTIAL_METERED_IRRIGATION_GAL]])</f>
        <v>0</v>
      </c>
      <c r="X3018" t="str">
        <f>IFERROR(INDEX(Crosswalk_API!$H$2:$H$527, MATCH(POTABLE_NONPOTABLE_API[[#This Row],[PWSID]], CW_PWSID_LIST, 0)), "")</f>
        <v>No</v>
      </c>
    </row>
    <row r="3019" spans="1:24" x14ac:dyDescent="0.25">
      <c r="A3019" t="s">
        <v>1623</v>
      </c>
      <c r="B3019" t="s">
        <v>1624</v>
      </c>
      <c r="C3019" t="s">
        <v>1625</v>
      </c>
      <c r="D3019" t="s">
        <v>1626</v>
      </c>
      <c r="E3019" s="9">
        <v>45261</v>
      </c>
      <c r="F3019" s="9">
        <v>45291</v>
      </c>
      <c r="G3019">
        <v>35191908</v>
      </c>
      <c r="H3019">
        <v>0</v>
      </c>
      <c r="I3019">
        <v>8309200.5</v>
      </c>
      <c r="J3019">
        <v>0</v>
      </c>
      <c r="K3019">
        <v>0</v>
      </c>
      <c r="L3019">
        <v>0</v>
      </c>
      <c r="M3019">
        <v>0</v>
      </c>
      <c r="T3019" s="9">
        <v>45108</v>
      </c>
      <c r="U3019" s="9">
        <v>45473</v>
      </c>
      <c r="V3019">
        <f>SUM(POTABLE_NONPOTABLE_API[[#This Row],[RESIDENTIAL_SINGLEFAMILY_GAL]:[OTHER_GAL]])</f>
        <v>43501108.5</v>
      </c>
      <c r="W3019">
        <f>SUM(POTABLE_NONPOTABLE_API[[#This Row],[NONPOTABLE_DEMAND_RESIDENTIAL_RECYCLED_WATER_GAL]:[NONPOTABLE_DEMAND_NONRESIDENTIAL_METERED_IRRIGATION_GAL]])</f>
        <v>0</v>
      </c>
      <c r="X3019" t="str">
        <f>IFERROR(INDEX(Crosswalk_API!$H$2:$H$527, MATCH(POTABLE_NONPOTABLE_API[[#This Row],[PWSID]], CW_PWSID_LIST, 0)), "")</f>
        <v>No</v>
      </c>
    </row>
    <row r="3020" spans="1:24" x14ac:dyDescent="0.25">
      <c r="A3020" t="s">
        <v>1623</v>
      </c>
      <c r="B3020" t="s">
        <v>1624</v>
      </c>
      <c r="C3020" t="s">
        <v>1625</v>
      </c>
      <c r="D3020" t="s">
        <v>1626</v>
      </c>
      <c r="E3020" s="9">
        <v>45292</v>
      </c>
      <c r="F3020" s="9">
        <v>45322</v>
      </c>
      <c r="G3020">
        <v>34312110.299999997</v>
      </c>
      <c r="H3020">
        <v>0</v>
      </c>
      <c r="I3020">
        <v>7983349.5</v>
      </c>
      <c r="J3020">
        <v>0</v>
      </c>
      <c r="K3020">
        <v>0</v>
      </c>
      <c r="L3020">
        <v>0</v>
      </c>
      <c r="M3020">
        <v>0</v>
      </c>
      <c r="T3020" s="9">
        <v>45108</v>
      </c>
      <c r="U3020" s="9">
        <v>45473</v>
      </c>
      <c r="V3020">
        <f>SUM(POTABLE_NONPOTABLE_API[[#This Row],[RESIDENTIAL_SINGLEFAMILY_GAL]:[OTHER_GAL]])</f>
        <v>42295459.799999997</v>
      </c>
      <c r="W3020">
        <f>SUM(POTABLE_NONPOTABLE_API[[#This Row],[NONPOTABLE_DEMAND_RESIDENTIAL_RECYCLED_WATER_GAL]:[NONPOTABLE_DEMAND_NONRESIDENTIAL_METERED_IRRIGATION_GAL]])</f>
        <v>0</v>
      </c>
      <c r="X3020" t="str">
        <f>IFERROR(INDEX(Crosswalk_API!$H$2:$H$527, MATCH(POTABLE_NONPOTABLE_API[[#This Row],[PWSID]], CW_PWSID_LIST, 0)), "")</f>
        <v>No</v>
      </c>
    </row>
    <row r="3021" spans="1:24" x14ac:dyDescent="0.25">
      <c r="A3021" t="s">
        <v>1623</v>
      </c>
      <c r="B3021" t="s">
        <v>1624</v>
      </c>
      <c r="C3021" t="s">
        <v>1625</v>
      </c>
      <c r="D3021" t="s">
        <v>1626</v>
      </c>
      <c r="E3021" s="9">
        <v>45323</v>
      </c>
      <c r="F3021" s="9">
        <v>45351</v>
      </c>
      <c r="G3021">
        <v>31412036.400000002</v>
      </c>
      <c r="H3021">
        <v>0</v>
      </c>
      <c r="I3021">
        <v>7624913.3999999994</v>
      </c>
      <c r="J3021">
        <v>0</v>
      </c>
      <c r="K3021">
        <v>0</v>
      </c>
      <c r="L3021">
        <v>0</v>
      </c>
      <c r="M3021">
        <v>0</v>
      </c>
      <c r="T3021" s="9">
        <v>45108</v>
      </c>
      <c r="U3021" s="9">
        <v>45473</v>
      </c>
      <c r="V3021">
        <f>SUM(POTABLE_NONPOTABLE_API[[#This Row],[RESIDENTIAL_SINGLEFAMILY_GAL]:[OTHER_GAL]])</f>
        <v>39036949.800000004</v>
      </c>
      <c r="W3021">
        <f>SUM(POTABLE_NONPOTABLE_API[[#This Row],[NONPOTABLE_DEMAND_RESIDENTIAL_RECYCLED_WATER_GAL]:[NONPOTABLE_DEMAND_NONRESIDENTIAL_METERED_IRRIGATION_GAL]])</f>
        <v>0</v>
      </c>
      <c r="X3021" t="str">
        <f>IFERROR(INDEX(Crosswalk_API!$H$2:$H$527, MATCH(POTABLE_NONPOTABLE_API[[#This Row],[PWSID]], CW_PWSID_LIST, 0)), "")</f>
        <v>No</v>
      </c>
    </row>
    <row r="3022" spans="1:24" x14ac:dyDescent="0.25">
      <c r="A3022" t="s">
        <v>1623</v>
      </c>
      <c r="B3022" t="s">
        <v>1624</v>
      </c>
      <c r="C3022" t="s">
        <v>1625</v>
      </c>
      <c r="D3022" t="s">
        <v>1626</v>
      </c>
      <c r="E3022" s="9">
        <v>45352</v>
      </c>
      <c r="F3022" s="9">
        <v>45382</v>
      </c>
      <c r="G3022">
        <v>34931227.200000003</v>
      </c>
      <c r="H3022">
        <v>0</v>
      </c>
      <c r="I3022">
        <v>8635051.5</v>
      </c>
      <c r="J3022">
        <v>0</v>
      </c>
      <c r="K3022">
        <v>0</v>
      </c>
      <c r="L3022">
        <v>0</v>
      </c>
      <c r="M3022">
        <v>0</v>
      </c>
      <c r="T3022" s="9">
        <v>45108</v>
      </c>
      <c r="U3022" s="9">
        <v>45473</v>
      </c>
      <c r="V3022">
        <f>SUM(POTABLE_NONPOTABLE_API[[#This Row],[RESIDENTIAL_SINGLEFAMILY_GAL]:[OTHER_GAL]])</f>
        <v>43566278.700000003</v>
      </c>
      <c r="W3022">
        <f>SUM(POTABLE_NONPOTABLE_API[[#This Row],[NONPOTABLE_DEMAND_RESIDENTIAL_RECYCLED_WATER_GAL]:[NONPOTABLE_DEMAND_NONRESIDENTIAL_METERED_IRRIGATION_GAL]])</f>
        <v>0</v>
      </c>
      <c r="X3022" t="str">
        <f>IFERROR(INDEX(Crosswalk_API!$H$2:$H$527, MATCH(POTABLE_NONPOTABLE_API[[#This Row],[PWSID]], CW_PWSID_LIST, 0)), "")</f>
        <v>No</v>
      </c>
    </row>
    <row r="3023" spans="1:24" x14ac:dyDescent="0.25">
      <c r="A3023" t="s">
        <v>1623</v>
      </c>
      <c r="B3023" t="s">
        <v>1624</v>
      </c>
      <c r="C3023" t="s">
        <v>1625</v>
      </c>
      <c r="D3023" t="s">
        <v>1626</v>
      </c>
      <c r="E3023" s="9">
        <v>45383</v>
      </c>
      <c r="F3023" s="9">
        <v>45412</v>
      </c>
      <c r="G3023">
        <v>34344695.399999999</v>
      </c>
      <c r="H3023">
        <v>0</v>
      </c>
      <c r="I3023">
        <v>8732806.8000000007</v>
      </c>
      <c r="J3023">
        <v>0</v>
      </c>
      <c r="K3023">
        <v>0</v>
      </c>
      <c r="L3023">
        <v>0</v>
      </c>
      <c r="M3023">
        <v>0</v>
      </c>
      <c r="T3023" s="9">
        <v>45108</v>
      </c>
      <c r="U3023" s="9">
        <v>45473</v>
      </c>
      <c r="V3023">
        <f>SUM(POTABLE_NONPOTABLE_API[[#This Row],[RESIDENTIAL_SINGLEFAMILY_GAL]:[OTHER_GAL]])</f>
        <v>43077502.200000003</v>
      </c>
      <c r="W3023">
        <f>SUM(POTABLE_NONPOTABLE_API[[#This Row],[NONPOTABLE_DEMAND_RESIDENTIAL_RECYCLED_WATER_GAL]:[NONPOTABLE_DEMAND_NONRESIDENTIAL_METERED_IRRIGATION_GAL]])</f>
        <v>0</v>
      </c>
      <c r="X3023" t="str">
        <f>IFERROR(INDEX(Crosswalk_API!$H$2:$H$527, MATCH(POTABLE_NONPOTABLE_API[[#This Row],[PWSID]], CW_PWSID_LIST, 0)), "")</f>
        <v>No</v>
      </c>
    </row>
    <row r="3024" spans="1:24" x14ac:dyDescent="0.25">
      <c r="A3024" t="s">
        <v>1623</v>
      </c>
      <c r="B3024" t="s">
        <v>1624</v>
      </c>
      <c r="C3024" t="s">
        <v>1625</v>
      </c>
      <c r="D3024" t="s">
        <v>1626</v>
      </c>
      <c r="E3024" s="9">
        <v>45413</v>
      </c>
      <c r="F3024" s="9">
        <v>45443</v>
      </c>
      <c r="G3024">
        <v>35680684.5</v>
      </c>
      <c r="H3024">
        <v>0</v>
      </c>
      <c r="I3024">
        <v>9123828</v>
      </c>
      <c r="J3024">
        <v>0</v>
      </c>
      <c r="K3024">
        <v>0</v>
      </c>
      <c r="L3024">
        <v>0</v>
      </c>
      <c r="M3024">
        <v>0</v>
      </c>
      <c r="T3024" s="9">
        <v>45108</v>
      </c>
      <c r="U3024" s="9">
        <v>45473</v>
      </c>
      <c r="V3024">
        <f>SUM(POTABLE_NONPOTABLE_API[[#This Row],[RESIDENTIAL_SINGLEFAMILY_GAL]:[OTHER_GAL]])</f>
        <v>44804512.5</v>
      </c>
      <c r="W3024">
        <f>SUM(POTABLE_NONPOTABLE_API[[#This Row],[NONPOTABLE_DEMAND_RESIDENTIAL_RECYCLED_WATER_GAL]:[NONPOTABLE_DEMAND_NONRESIDENTIAL_METERED_IRRIGATION_GAL]])</f>
        <v>0</v>
      </c>
      <c r="X3024" t="str">
        <f>IFERROR(INDEX(Crosswalk_API!$H$2:$H$527, MATCH(POTABLE_NONPOTABLE_API[[#This Row],[PWSID]], CW_PWSID_LIST, 0)), "")</f>
        <v>No</v>
      </c>
    </row>
    <row r="3025" spans="1:24" x14ac:dyDescent="0.25">
      <c r="A3025" t="s">
        <v>1623</v>
      </c>
      <c r="B3025" t="s">
        <v>1624</v>
      </c>
      <c r="C3025" t="s">
        <v>1625</v>
      </c>
      <c r="D3025" t="s">
        <v>1626</v>
      </c>
      <c r="E3025" s="9">
        <v>45444</v>
      </c>
      <c r="F3025" s="9">
        <v>45473</v>
      </c>
      <c r="G3025">
        <v>40470694.200000003</v>
      </c>
      <c r="H3025">
        <v>0</v>
      </c>
      <c r="I3025">
        <v>9808115.0999999996</v>
      </c>
      <c r="J3025">
        <v>0</v>
      </c>
      <c r="K3025">
        <v>0</v>
      </c>
      <c r="L3025">
        <v>0</v>
      </c>
      <c r="M3025">
        <v>0</v>
      </c>
      <c r="T3025" s="9">
        <v>45108</v>
      </c>
      <c r="U3025" s="9">
        <v>45473</v>
      </c>
      <c r="V3025">
        <f>SUM(POTABLE_NONPOTABLE_API[[#This Row],[RESIDENTIAL_SINGLEFAMILY_GAL]:[OTHER_GAL]])</f>
        <v>50278809.300000004</v>
      </c>
      <c r="W3025">
        <f>SUM(POTABLE_NONPOTABLE_API[[#This Row],[NONPOTABLE_DEMAND_RESIDENTIAL_RECYCLED_WATER_GAL]:[NONPOTABLE_DEMAND_NONRESIDENTIAL_METERED_IRRIGATION_GAL]])</f>
        <v>0</v>
      </c>
      <c r="X3025" t="str">
        <f>IFERROR(INDEX(Crosswalk_API!$H$2:$H$527, MATCH(POTABLE_NONPOTABLE_API[[#This Row],[PWSID]], CW_PWSID_LIST, 0)), "")</f>
        <v>No</v>
      </c>
    </row>
    <row r="3026" spans="1:24" x14ac:dyDescent="0.25">
      <c r="A3026" t="s">
        <v>1627</v>
      </c>
      <c r="B3026" t="s">
        <v>1628</v>
      </c>
      <c r="C3026" t="s">
        <v>1629</v>
      </c>
      <c r="D3026" t="s">
        <v>1630</v>
      </c>
      <c r="E3026" s="9">
        <v>45108</v>
      </c>
      <c r="F3026" s="9">
        <v>45138</v>
      </c>
      <c r="G3026">
        <v>51581785</v>
      </c>
      <c r="H3026">
        <v>24887427</v>
      </c>
      <c r="I3026">
        <v>25305918</v>
      </c>
      <c r="J3026">
        <v>8777446</v>
      </c>
      <c r="K3026">
        <v>698464</v>
      </c>
      <c r="L3026">
        <v>0</v>
      </c>
      <c r="M3026">
        <v>0</v>
      </c>
      <c r="T3026" s="9">
        <v>45108</v>
      </c>
      <c r="U3026" s="9">
        <v>45473</v>
      </c>
      <c r="V3026">
        <f>SUM(POTABLE_NONPOTABLE_API[[#This Row],[RESIDENTIAL_SINGLEFAMILY_GAL]:[OTHER_GAL]])</f>
        <v>111251040</v>
      </c>
      <c r="W3026">
        <f>SUM(POTABLE_NONPOTABLE_API[[#This Row],[NONPOTABLE_DEMAND_RESIDENTIAL_RECYCLED_WATER_GAL]:[NONPOTABLE_DEMAND_NONRESIDENTIAL_METERED_IRRIGATION_GAL]])</f>
        <v>0</v>
      </c>
      <c r="X3026" t="str">
        <f>IFERROR(INDEX(Crosswalk_API!$H$2:$H$527, MATCH(POTABLE_NONPOTABLE_API[[#This Row],[PWSID]], CW_PWSID_LIST, 0)), "")</f>
        <v>No</v>
      </c>
    </row>
    <row r="3027" spans="1:24" x14ac:dyDescent="0.25">
      <c r="A3027" t="s">
        <v>1627</v>
      </c>
      <c r="B3027" t="s">
        <v>1628</v>
      </c>
      <c r="C3027" t="s">
        <v>1629</v>
      </c>
      <c r="D3027" t="s">
        <v>1630</v>
      </c>
      <c r="E3027" s="9">
        <v>45139</v>
      </c>
      <c r="F3027" s="9">
        <v>45169</v>
      </c>
      <c r="G3027">
        <v>54587218</v>
      </c>
      <c r="H3027">
        <v>25037364</v>
      </c>
      <c r="I3027">
        <v>26918365</v>
      </c>
      <c r="J3027">
        <v>7892448</v>
      </c>
      <c r="K3027">
        <v>823987</v>
      </c>
      <c r="L3027">
        <v>0</v>
      </c>
      <c r="M3027">
        <v>0</v>
      </c>
      <c r="T3027" s="9">
        <v>45108</v>
      </c>
      <c r="U3027" s="9">
        <v>45473</v>
      </c>
      <c r="V3027">
        <f>SUM(POTABLE_NONPOTABLE_API[[#This Row],[RESIDENTIAL_SINGLEFAMILY_GAL]:[OTHER_GAL]])</f>
        <v>115259382</v>
      </c>
      <c r="W3027">
        <f>SUM(POTABLE_NONPOTABLE_API[[#This Row],[NONPOTABLE_DEMAND_RESIDENTIAL_RECYCLED_WATER_GAL]:[NONPOTABLE_DEMAND_NONRESIDENTIAL_METERED_IRRIGATION_GAL]])</f>
        <v>0</v>
      </c>
      <c r="X3027" t="str">
        <f>IFERROR(INDEX(Crosswalk_API!$H$2:$H$527, MATCH(POTABLE_NONPOTABLE_API[[#This Row],[PWSID]], CW_PWSID_LIST, 0)), "")</f>
        <v>No</v>
      </c>
    </row>
    <row r="3028" spans="1:24" x14ac:dyDescent="0.25">
      <c r="A3028" t="s">
        <v>1627</v>
      </c>
      <c r="B3028" t="s">
        <v>1628</v>
      </c>
      <c r="C3028" t="s">
        <v>1629</v>
      </c>
      <c r="D3028" t="s">
        <v>1630</v>
      </c>
      <c r="E3028" s="9">
        <v>45170</v>
      </c>
      <c r="F3028" s="9">
        <v>45199</v>
      </c>
      <c r="G3028">
        <v>53208980</v>
      </c>
      <c r="H3028">
        <v>25854620</v>
      </c>
      <c r="I3028">
        <v>26764188</v>
      </c>
      <c r="J3028">
        <v>8521964</v>
      </c>
      <c r="K3028">
        <v>733040</v>
      </c>
      <c r="L3028">
        <v>0</v>
      </c>
      <c r="M3028">
        <v>0</v>
      </c>
      <c r="T3028" s="9">
        <v>45108</v>
      </c>
      <c r="U3028" s="9">
        <v>45473</v>
      </c>
      <c r="V3028">
        <f>SUM(POTABLE_NONPOTABLE_API[[#This Row],[RESIDENTIAL_SINGLEFAMILY_GAL]:[OTHER_GAL]])</f>
        <v>115082792</v>
      </c>
      <c r="W3028">
        <f>SUM(POTABLE_NONPOTABLE_API[[#This Row],[NONPOTABLE_DEMAND_RESIDENTIAL_RECYCLED_WATER_GAL]:[NONPOTABLE_DEMAND_NONRESIDENTIAL_METERED_IRRIGATION_GAL]])</f>
        <v>0</v>
      </c>
      <c r="X3028" t="str">
        <f>IFERROR(INDEX(Crosswalk_API!$H$2:$H$527, MATCH(POTABLE_NONPOTABLE_API[[#This Row],[PWSID]], CW_PWSID_LIST, 0)), "")</f>
        <v>No</v>
      </c>
    </row>
    <row r="3029" spans="1:24" x14ac:dyDescent="0.25">
      <c r="A3029" t="s">
        <v>1627</v>
      </c>
      <c r="B3029" t="s">
        <v>1628</v>
      </c>
      <c r="C3029" t="s">
        <v>1629</v>
      </c>
      <c r="D3029" t="s">
        <v>1630</v>
      </c>
      <c r="E3029" s="9">
        <v>45200</v>
      </c>
      <c r="F3029" s="9">
        <v>45230</v>
      </c>
      <c r="G3029">
        <v>50761524</v>
      </c>
      <c r="H3029">
        <v>24443144</v>
      </c>
      <c r="I3029">
        <v>27096300</v>
      </c>
      <c r="J3029">
        <v>6423076</v>
      </c>
      <c r="K3029">
        <v>693396</v>
      </c>
      <c r="L3029">
        <v>0</v>
      </c>
      <c r="M3029">
        <v>0</v>
      </c>
      <c r="T3029" s="9">
        <v>45108</v>
      </c>
      <c r="U3029" s="9">
        <v>45473</v>
      </c>
      <c r="V3029">
        <f>SUM(POTABLE_NONPOTABLE_API[[#This Row],[RESIDENTIAL_SINGLEFAMILY_GAL]:[OTHER_GAL]])</f>
        <v>109417440</v>
      </c>
      <c r="W3029">
        <f>SUM(POTABLE_NONPOTABLE_API[[#This Row],[NONPOTABLE_DEMAND_RESIDENTIAL_RECYCLED_WATER_GAL]:[NONPOTABLE_DEMAND_NONRESIDENTIAL_METERED_IRRIGATION_GAL]])</f>
        <v>0</v>
      </c>
      <c r="X3029" t="str">
        <f>IFERROR(INDEX(Crosswalk_API!$H$2:$H$527, MATCH(POTABLE_NONPOTABLE_API[[#This Row],[PWSID]], CW_PWSID_LIST, 0)), "")</f>
        <v>No</v>
      </c>
    </row>
    <row r="3030" spans="1:24" x14ac:dyDescent="0.25">
      <c r="A3030" t="s">
        <v>1627</v>
      </c>
      <c r="B3030" t="s">
        <v>1628</v>
      </c>
      <c r="C3030" t="s">
        <v>1629</v>
      </c>
      <c r="D3030" t="s">
        <v>1630</v>
      </c>
      <c r="E3030" s="9">
        <v>45231</v>
      </c>
      <c r="F3030" s="9">
        <v>45260</v>
      </c>
      <c r="G3030">
        <v>47090340</v>
      </c>
      <c r="H3030">
        <v>22938168</v>
      </c>
      <c r="I3030">
        <v>29183968</v>
      </c>
      <c r="J3030">
        <v>7771720</v>
      </c>
      <c r="K3030">
        <v>578204</v>
      </c>
      <c r="L3030">
        <v>0</v>
      </c>
      <c r="M3030">
        <v>0</v>
      </c>
      <c r="T3030" s="9">
        <v>45108</v>
      </c>
      <c r="U3030" s="9">
        <v>45473</v>
      </c>
      <c r="V3030">
        <f>SUM(POTABLE_NONPOTABLE_API[[#This Row],[RESIDENTIAL_SINGLEFAMILY_GAL]:[OTHER_GAL]])</f>
        <v>107562400</v>
      </c>
      <c r="W3030">
        <f>SUM(POTABLE_NONPOTABLE_API[[#This Row],[NONPOTABLE_DEMAND_RESIDENTIAL_RECYCLED_WATER_GAL]:[NONPOTABLE_DEMAND_NONRESIDENTIAL_METERED_IRRIGATION_GAL]])</f>
        <v>0</v>
      </c>
      <c r="X3030" t="str">
        <f>IFERROR(INDEX(Crosswalk_API!$H$2:$H$527, MATCH(POTABLE_NONPOTABLE_API[[#This Row],[PWSID]], CW_PWSID_LIST, 0)), "")</f>
        <v>No</v>
      </c>
    </row>
    <row r="3031" spans="1:24" x14ac:dyDescent="0.25">
      <c r="A3031" t="s">
        <v>1627</v>
      </c>
      <c r="B3031" t="s">
        <v>1628</v>
      </c>
      <c r="C3031" t="s">
        <v>1629</v>
      </c>
      <c r="D3031" t="s">
        <v>1630</v>
      </c>
      <c r="E3031" s="9">
        <v>45261</v>
      </c>
      <c r="F3031" s="9">
        <v>45291</v>
      </c>
      <c r="G3031">
        <v>46426116</v>
      </c>
      <c r="H3031">
        <v>23277012</v>
      </c>
      <c r="I3031">
        <v>35382644</v>
      </c>
      <c r="J3031">
        <v>5462644</v>
      </c>
      <c r="K3031">
        <v>493680</v>
      </c>
      <c r="L3031">
        <v>0</v>
      </c>
      <c r="M3031">
        <v>0</v>
      </c>
      <c r="T3031" s="9">
        <v>45108</v>
      </c>
      <c r="U3031" s="9">
        <v>45473</v>
      </c>
      <c r="V3031">
        <f>SUM(POTABLE_NONPOTABLE_API[[#This Row],[RESIDENTIAL_SINGLEFAMILY_GAL]:[OTHER_GAL]])</f>
        <v>111042096</v>
      </c>
      <c r="W3031">
        <f>SUM(POTABLE_NONPOTABLE_API[[#This Row],[NONPOTABLE_DEMAND_RESIDENTIAL_RECYCLED_WATER_GAL]:[NONPOTABLE_DEMAND_NONRESIDENTIAL_METERED_IRRIGATION_GAL]])</f>
        <v>0</v>
      </c>
      <c r="X3031" t="str">
        <f>IFERROR(INDEX(Crosswalk_API!$H$2:$H$527, MATCH(POTABLE_NONPOTABLE_API[[#This Row],[PWSID]], CW_PWSID_LIST, 0)), "")</f>
        <v>No</v>
      </c>
    </row>
    <row r="3032" spans="1:24" x14ac:dyDescent="0.25">
      <c r="A3032" t="s">
        <v>1627</v>
      </c>
      <c r="B3032" t="s">
        <v>1628</v>
      </c>
      <c r="C3032" t="s">
        <v>1629</v>
      </c>
      <c r="D3032" t="s">
        <v>1630</v>
      </c>
      <c r="E3032" s="9">
        <v>45292</v>
      </c>
      <c r="F3032" s="9">
        <v>45322</v>
      </c>
      <c r="G3032">
        <v>40655296</v>
      </c>
      <c r="H3032">
        <v>20578228</v>
      </c>
      <c r="I3032">
        <v>25820212</v>
      </c>
      <c r="J3032">
        <v>1945548</v>
      </c>
      <c r="K3032">
        <v>436832</v>
      </c>
      <c r="L3032">
        <v>0</v>
      </c>
      <c r="M3032">
        <v>0</v>
      </c>
      <c r="T3032" s="9">
        <v>45108</v>
      </c>
      <c r="U3032" s="9">
        <v>45473</v>
      </c>
      <c r="V3032">
        <f>SUM(POTABLE_NONPOTABLE_API[[#This Row],[RESIDENTIAL_SINGLEFAMILY_GAL]:[OTHER_GAL]])</f>
        <v>89436116</v>
      </c>
      <c r="W3032">
        <f>SUM(POTABLE_NONPOTABLE_API[[#This Row],[NONPOTABLE_DEMAND_RESIDENTIAL_RECYCLED_WATER_GAL]:[NONPOTABLE_DEMAND_NONRESIDENTIAL_METERED_IRRIGATION_GAL]])</f>
        <v>0</v>
      </c>
      <c r="X3032" t="str">
        <f>IFERROR(INDEX(Crosswalk_API!$H$2:$H$527, MATCH(POTABLE_NONPOTABLE_API[[#This Row],[PWSID]], CW_PWSID_LIST, 0)), "")</f>
        <v>No</v>
      </c>
    </row>
    <row r="3033" spans="1:24" x14ac:dyDescent="0.25">
      <c r="A3033" t="s">
        <v>1627</v>
      </c>
      <c r="B3033" t="s">
        <v>1628</v>
      </c>
      <c r="C3033" t="s">
        <v>1629</v>
      </c>
      <c r="D3033" t="s">
        <v>1630</v>
      </c>
      <c r="E3033" s="9">
        <v>45323</v>
      </c>
      <c r="F3033" s="9">
        <v>45351</v>
      </c>
      <c r="G3033">
        <v>37011040</v>
      </c>
      <c r="H3033">
        <v>20388236</v>
      </c>
      <c r="I3033">
        <v>20264068</v>
      </c>
      <c r="J3033">
        <v>745008</v>
      </c>
      <c r="K3033">
        <v>403172</v>
      </c>
      <c r="L3033">
        <v>0</v>
      </c>
      <c r="M3033">
        <v>0</v>
      </c>
      <c r="T3033" s="9">
        <v>45108</v>
      </c>
      <c r="U3033" s="9">
        <v>45473</v>
      </c>
      <c r="V3033">
        <f>SUM(POTABLE_NONPOTABLE_API[[#This Row],[RESIDENTIAL_SINGLEFAMILY_GAL]:[OTHER_GAL]])</f>
        <v>78811524</v>
      </c>
      <c r="W3033">
        <f>SUM(POTABLE_NONPOTABLE_API[[#This Row],[NONPOTABLE_DEMAND_RESIDENTIAL_RECYCLED_WATER_GAL]:[NONPOTABLE_DEMAND_NONRESIDENTIAL_METERED_IRRIGATION_GAL]])</f>
        <v>0</v>
      </c>
      <c r="X3033" t="str">
        <f>IFERROR(INDEX(Crosswalk_API!$H$2:$H$527, MATCH(POTABLE_NONPOTABLE_API[[#This Row],[PWSID]], CW_PWSID_LIST, 0)), "")</f>
        <v>No</v>
      </c>
    </row>
    <row r="3034" spans="1:24" x14ac:dyDescent="0.25">
      <c r="A3034" t="s">
        <v>1627</v>
      </c>
      <c r="B3034" t="s">
        <v>1628</v>
      </c>
      <c r="C3034" t="s">
        <v>1629</v>
      </c>
      <c r="D3034" t="s">
        <v>1630</v>
      </c>
      <c r="E3034" s="9">
        <v>45352</v>
      </c>
      <c r="F3034" s="9">
        <v>45382</v>
      </c>
      <c r="G3034">
        <v>38907220</v>
      </c>
      <c r="H3034">
        <v>20068092</v>
      </c>
      <c r="I3034">
        <v>21036752</v>
      </c>
      <c r="J3034">
        <v>431596</v>
      </c>
      <c r="K3034">
        <v>376244</v>
      </c>
      <c r="L3034">
        <v>0</v>
      </c>
      <c r="M3034">
        <v>0</v>
      </c>
      <c r="T3034" s="9">
        <v>45108</v>
      </c>
      <c r="U3034" s="9">
        <v>45473</v>
      </c>
      <c r="V3034">
        <f>SUM(POTABLE_NONPOTABLE_API[[#This Row],[RESIDENTIAL_SINGLEFAMILY_GAL]:[OTHER_GAL]])</f>
        <v>80819904</v>
      </c>
      <c r="W3034">
        <f>SUM(POTABLE_NONPOTABLE_API[[#This Row],[NONPOTABLE_DEMAND_RESIDENTIAL_RECYCLED_WATER_GAL]:[NONPOTABLE_DEMAND_NONRESIDENTIAL_METERED_IRRIGATION_GAL]])</f>
        <v>0</v>
      </c>
      <c r="X3034" t="str">
        <f>IFERROR(INDEX(Crosswalk_API!$H$2:$H$527, MATCH(POTABLE_NONPOTABLE_API[[#This Row],[PWSID]], CW_PWSID_LIST, 0)), "")</f>
        <v>No</v>
      </c>
    </row>
    <row r="3035" spans="1:24" x14ac:dyDescent="0.25">
      <c r="A3035" t="s">
        <v>1627</v>
      </c>
      <c r="B3035" t="s">
        <v>1628</v>
      </c>
      <c r="C3035" t="s">
        <v>1629</v>
      </c>
      <c r="D3035" t="s">
        <v>1630</v>
      </c>
      <c r="E3035" s="9">
        <v>45383</v>
      </c>
      <c r="F3035" s="9">
        <v>45412</v>
      </c>
      <c r="G3035">
        <v>39290196</v>
      </c>
      <c r="H3035">
        <v>19672400</v>
      </c>
      <c r="I3035">
        <v>19757672</v>
      </c>
      <c r="J3035">
        <v>1042712</v>
      </c>
      <c r="K3035">
        <v>590920</v>
      </c>
      <c r="L3035">
        <v>0</v>
      </c>
      <c r="M3035">
        <v>0</v>
      </c>
      <c r="T3035" s="9">
        <v>45108</v>
      </c>
      <c r="U3035" s="9">
        <v>45473</v>
      </c>
      <c r="V3035">
        <f>SUM(POTABLE_NONPOTABLE_API[[#This Row],[RESIDENTIAL_SINGLEFAMILY_GAL]:[OTHER_GAL]])</f>
        <v>80353900</v>
      </c>
      <c r="W3035">
        <f>SUM(POTABLE_NONPOTABLE_API[[#This Row],[NONPOTABLE_DEMAND_RESIDENTIAL_RECYCLED_WATER_GAL]:[NONPOTABLE_DEMAND_NONRESIDENTIAL_METERED_IRRIGATION_GAL]])</f>
        <v>0</v>
      </c>
      <c r="X3035" t="str">
        <f>IFERROR(INDEX(Crosswalk_API!$H$2:$H$527, MATCH(POTABLE_NONPOTABLE_API[[#This Row],[PWSID]], CW_PWSID_LIST, 0)), "")</f>
        <v>No</v>
      </c>
    </row>
    <row r="3036" spans="1:24" x14ac:dyDescent="0.25">
      <c r="A3036" t="s">
        <v>1627</v>
      </c>
      <c r="B3036" t="s">
        <v>1628</v>
      </c>
      <c r="C3036" t="s">
        <v>1629</v>
      </c>
      <c r="D3036" t="s">
        <v>1630</v>
      </c>
      <c r="E3036" s="9">
        <v>45413</v>
      </c>
      <c r="F3036" s="9">
        <v>45443</v>
      </c>
      <c r="G3036">
        <v>45977316</v>
      </c>
      <c r="H3036">
        <v>21822900</v>
      </c>
      <c r="I3036">
        <v>21807192</v>
      </c>
      <c r="J3036">
        <v>2699532</v>
      </c>
      <c r="K3036">
        <v>676940</v>
      </c>
      <c r="L3036">
        <v>0</v>
      </c>
      <c r="M3036">
        <v>0</v>
      </c>
      <c r="T3036" s="9">
        <v>45108</v>
      </c>
      <c r="U3036" s="9">
        <v>45473</v>
      </c>
      <c r="V3036">
        <f>SUM(POTABLE_NONPOTABLE_API[[#This Row],[RESIDENTIAL_SINGLEFAMILY_GAL]:[OTHER_GAL]])</f>
        <v>92983880</v>
      </c>
      <c r="W3036">
        <f>SUM(POTABLE_NONPOTABLE_API[[#This Row],[NONPOTABLE_DEMAND_RESIDENTIAL_RECYCLED_WATER_GAL]:[NONPOTABLE_DEMAND_NONRESIDENTIAL_METERED_IRRIGATION_GAL]])</f>
        <v>0</v>
      </c>
      <c r="X3036" t="str">
        <f>IFERROR(INDEX(Crosswalk_API!$H$2:$H$527, MATCH(POTABLE_NONPOTABLE_API[[#This Row],[PWSID]], CW_PWSID_LIST, 0)), "")</f>
        <v>No</v>
      </c>
    </row>
    <row r="3037" spans="1:24" x14ac:dyDescent="0.25">
      <c r="A3037" t="s">
        <v>1627</v>
      </c>
      <c r="B3037" t="s">
        <v>1628</v>
      </c>
      <c r="C3037" t="s">
        <v>1629</v>
      </c>
      <c r="D3037" t="s">
        <v>1630</v>
      </c>
      <c r="E3037" s="9">
        <v>45444</v>
      </c>
      <c r="F3037" s="9">
        <v>45473</v>
      </c>
      <c r="G3037">
        <v>48037655.284000002</v>
      </c>
      <c r="H3037">
        <v>22134858.68</v>
      </c>
      <c r="I3037">
        <v>23013071.728</v>
      </c>
      <c r="J3037">
        <v>3983376.9</v>
      </c>
      <c r="K3037">
        <v>841558.5</v>
      </c>
      <c r="L3037">
        <v>0</v>
      </c>
      <c r="M3037">
        <v>0</v>
      </c>
      <c r="T3037" s="9">
        <v>45108</v>
      </c>
      <c r="U3037" s="9">
        <v>45473</v>
      </c>
      <c r="V3037">
        <f>SUM(POTABLE_NONPOTABLE_API[[#This Row],[RESIDENTIAL_SINGLEFAMILY_GAL]:[OTHER_GAL]])</f>
        <v>98010521.092000008</v>
      </c>
      <c r="W3037">
        <f>SUM(POTABLE_NONPOTABLE_API[[#This Row],[NONPOTABLE_DEMAND_RESIDENTIAL_RECYCLED_WATER_GAL]:[NONPOTABLE_DEMAND_NONRESIDENTIAL_METERED_IRRIGATION_GAL]])</f>
        <v>0</v>
      </c>
      <c r="X3037" t="str">
        <f>IFERROR(INDEX(Crosswalk_API!$H$2:$H$527, MATCH(POTABLE_NONPOTABLE_API[[#This Row],[PWSID]], CW_PWSID_LIST, 0)), "")</f>
        <v>No</v>
      </c>
    </row>
    <row r="3038" spans="1:24" x14ac:dyDescent="0.25">
      <c r="A3038" t="s">
        <v>1631</v>
      </c>
      <c r="B3038" t="s">
        <v>1632</v>
      </c>
      <c r="C3038" t="s">
        <v>1633</v>
      </c>
      <c r="D3038" t="s">
        <v>1634</v>
      </c>
      <c r="E3038" s="9">
        <v>45108</v>
      </c>
      <c r="F3038" s="9">
        <v>45138</v>
      </c>
      <c r="G3038">
        <v>434823926.30000001</v>
      </c>
      <c r="H3038">
        <v>452841506.80000001</v>
      </c>
      <c r="I3038">
        <v>306438005.69999999</v>
      </c>
      <c r="J3038">
        <v>53623359.57</v>
      </c>
      <c r="K3038">
        <v>8346016.1639999999</v>
      </c>
      <c r="L3038">
        <v>0</v>
      </c>
      <c r="M3038">
        <v>0</v>
      </c>
      <c r="N3038">
        <v>0</v>
      </c>
      <c r="O3038">
        <v>0</v>
      </c>
      <c r="P3038">
        <v>0</v>
      </c>
      <c r="Q3038">
        <v>287492400</v>
      </c>
      <c r="R3038">
        <v>0</v>
      </c>
      <c r="S3038">
        <v>0</v>
      </c>
      <c r="T3038" s="9">
        <v>45108</v>
      </c>
      <c r="U3038" s="9">
        <v>45473</v>
      </c>
      <c r="V3038">
        <f>SUM(POTABLE_NONPOTABLE_API[[#This Row],[RESIDENTIAL_SINGLEFAMILY_GAL]:[OTHER_GAL]])</f>
        <v>1256072814.5339999</v>
      </c>
      <c r="W3038">
        <f>SUM(POTABLE_NONPOTABLE_API[[#This Row],[NONPOTABLE_DEMAND_RESIDENTIAL_RECYCLED_WATER_GAL]:[NONPOTABLE_DEMAND_NONRESIDENTIAL_METERED_IRRIGATION_GAL]])</f>
        <v>287492400</v>
      </c>
      <c r="X3038" t="str">
        <f>IFERROR(INDEX(Crosswalk_API!$H$2:$H$527, MATCH(POTABLE_NONPOTABLE_API[[#This Row],[PWSID]], CW_PWSID_LIST, 0)), "")</f>
        <v>No</v>
      </c>
    </row>
    <row r="3039" spans="1:24" x14ac:dyDescent="0.25">
      <c r="A3039" t="s">
        <v>1631</v>
      </c>
      <c r="B3039" t="s">
        <v>1632</v>
      </c>
      <c r="C3039" t="s">
        <v>1633</v>
      </c>
      <c r="D3039" t="s">
        <v>1634</v>
      </c>
      <c r="E3039" s="9">
        <v>45139</v>
      </c>
      <c r="F3039" s="9">
        <v>45169</v>
      </c>
      <c r="G3039">
        <v>465932416.80000001</v>
      </c>
      <c r="H3039">
        <v>489394319.69999999</v>
      </c>
      <c r="I3039">
        <v>357081874.10000002</v>
      </c>
      <c r="J3039">
        <v>62362851.079999998</v>
      </c>
      <c r="K3039">
        <v>8774649.9600000009</v>
      </c>
      <c r="L3039">
        <v>0</v>
      </c>
      <c r="M3039">
        <v>0</v>
      </c>
      <c r="N3039">
        <v>0</v>
      </c>
      <c r="O3039">
        <v>0</v>
      </c>
      <c r="P3039">
        <v>0</v>
      </c>
      <c r="Q3039">
        <v>272441500</v>
      </c>
      <c r="R3039">
        <v>0</v>
      </c>
      <c r="S3039">
        <v>0</v>
      </c>
      <c r="T3039" s="9">
        <v>45108</v>
      </c>
      <c r="U3039" s="9">
        <v>45473</v>
      </c>
      <c r="V3039">
        <f>SUM(POTABLE_NONPOTABLE_API[[#This Row],[RESIDENTIAL_SINGLEFAMILY_GAL]:[OTHER_GAL]])</f>
        <v>1383546111.6399999</v>
      </c>
      <c r="W3039">
        <f>SUM(POTABLE_NONPOTABLE_API[[#This Row],[NONPOTABLE_DEMAND_RESIDENTIAL_RECYCLED_WATER_GAL]:[NONPOTABLE_DEMAND_NONRESIDENTIAL_METERED_IRRIGATION_GAL]])</f>
        <v>272441500</v>
      </c>
      <c r="X3039" t="str">
        <f>IFERROR(INDEX(Crosswalk_API!$H$2:$H$527, MATCH(POTABLE_NONPOTABLE_API[[#This Row],[PWSID]], CW_PWSID_LIST, 0)), "")</f>
        <v>No</v>
      </c>
    </row>
    <row r="3040" spans="1:24" x14ac:dyDescent="0.25">
      <c r="A3040" t="s">
        <v>1631</v>
      </c>
      <c r="B3040" t="s">
        <v>1632</v>
      </c>
      <c r="C3040" t="s">
        <v>1633</v>
      </c>
      <c r="D3040" t="s">
        <v>1634</v>
      </c>
      <c r="E3040" s="9">
        <v>45170</v>
      </c>
      <c r="F3040" s="9">
        <v>45199</v>
      </c>
      <c r="G3040">
        <v>418309182.30000001</v>
      </c>
      <c r="H3040">
        <v>468936593.60000002</v>
      </c>
      <c r="I3040">
        <v>295232934.80000001</v>
      </c>
      <c r="J3040">
        <v>47315037.049999997</v>
      </c>
      <c r="K3040">
        <v>9400021.432</v>
      </c>
      <c r="L3040">
        <v>0</v>
      </c>
      <c r="M3040">
        <v>0</v>
      </c>
      <c r="N3040">
        <v>0</v>
      </c>
      <c r="O3040">
        <v>0</v>
      </c>
      <c r="P3040">
        <v>0</v>
      </c>
      <c r="Q3040">
        <v>298331300</v>
      </c>
      <c r="R3040">
        <v>0</v>
      </c>
      <c r="S3040">
        <v>0</v>
      </c>
      <c r="T3040" s="9">
        <v>45108</v>
      </c>
      <c r="U3040" s="9">
        <v>45473</v>
      </c>
      <c r="V3040">
        <f>SUM(POTABLE_NONPOTABLE_API[[#This Row],[RESIDENTIAL_SINGLEFAMILY_GAL]:[OTHER_GAL]])</f>
        <v>1239193769.1819999</v>
      </c>
      <c r="W3040">
        <f>SUM(POTABLE_NONPOTABLE_API[[#This Row],[NONPOTABLE_DEMAND_RESIDENTIAL_RECYCLED_WATER_GAL]:[NONPOTABLE_DEMAND_NONRESIDENTIAL_METERED_IRRIGATION_GAL]])</f>
        <v>298331300</v>
      </c>
      <c r="X3040" t="str">
        <f>IFERROR(INDEX(Crosswalk_API!$H$2:$H$527, MATCH(POTABLE_NONPOTABLE_API[[#This Row],[PWSID]], CW_PWSID_LIST, 0)), "")</f>
        <v>No</v>
      </c>
    </row>
    <row r="3041" spans="1:24" x14ac:dyDescent="0.25">
      <c r="A3041" t="s">
        <v>1631</v>
      </c>
      <c r="B3041" t="s">
        <v>1632</v>
      </c>
      <c r="C3041" t="s">
        <v>1633</v>
      </c>
      <c r="D3041" t="s">
        <v>1634</v>
      </c>
      <c r="E3041" s="9">
        <v>45200</v>
      </c>
      <c r="F3041" s="9">
        <v>45230</v>
      </c>
      <c r="G3041">
        <v>409101410.19999999</v>
      </c>
      <c r="H3041">
        <v>486225571.39999998</v>
      </c>
      <c r="I3041">
        <v>324248375.80000001</v>
      </c>
      <c r="J3041">
        <v>45931140.850000001</v>
      </c>
      <c r="K3041">
        <v>8995325.3000000007</v>
      </c>
      <c r="L3041">
        <v>0</v>
      </c>
      <c r="M3041">
        <v>0</v>
      </c>
      <c r="N3041">
        <v>0</v>
      </c>
      <c r="O3041">
        <v>0</v>
      </c>
      <c r="P3041">
        <v>0</v>
      </c>
      <c r="Q3041">
        <v>222872300</v>
      </c>
      <c r="R3041">
        <v>0</v>
      </c>
      <c r="S3041">
        <v>0</v>
      </c>
      <c r="T3041" s="9">
        <v>45108</v>
      </c>
      <c r="U3041" s="9">
        <v>45473</v>
      </c>
      <c r="V3041">
        <f>SUM(POTABLE_NONPOTABLE_API[[#This Row],[RESIDENTIAL_SINGLEFAMILY_GAL]:[OTHER_GAL]])</f>
        <v>1274501823.5499997</v>
      </c>
      <c r="W3041">
        <f>SUM(POTABLE_NONPOTABLE_API[[#This Row],[NONPOTABLE_DEMAND_RESIDENTIAL_RECYCLED_WATER_GAL]:[NONPOTABLE_DEMAND_NONRESIDENTIAL_METERED_IRRIGATION_GAL]])</f>
        <v>222872300</v>
      </c>
      <c r="X3041" t="str">
        <f>IFERROR(INDEX(Crosswalk_API!$H$2:$H$527, MATCH(POTABLE_NONPOTABLE_API[[#This Row],[PWSID]], CW_PWSID_LIST, 0)), "")</f>
        <v>No</v>
      </c>
    </row>
    <row r="3042" spans="1:24" x14ac:dyDescent="0.25">
      <c r="A3042" t="s">
        <v>1631</v>
      </c>
      <c r="B3042" t="s">
        <v>1632</v>
      </c>
      <c r="C3042" t="s">
        <v>1633</v>
      </c>
      <c r="D3042" t="s">
        <v>1634</v>
      </c>
      <c r="E3042" s="9">
        <v>45231</v>
      </c>
      <c r="F3042" s="9">
        <v>45260</v>
      </c>
      <c r="G3042">
        <v>148433789.00999999</v>
      </c>
      <c r="H3042">
        <v>280724615.86000001</v>
      </c>
      <c r="I3042">
        <v>139255939.02000001</v>
      </c>
      <c r="J3042">
        <v>17622609.02</v>
      </c>
      <c r="K3042">
        <v>2715428.76</v>
      </c>
      <c r="L3042">
        <v>0</v>
      </c>
      <c r="M3042">
        <v>0</v>
      </c>
      <c r="N3042">
        <v>0</v>
      </c>
      <c r="O3042">
        <v>0</v>
      </c>
      <c r="P3042">
        <v>0</v>
      </c>
      <c r="Q3042">
        <v>311002500</v>
      </c>
      <c r="R3042">
        <v>0</v>
      </c>
      <c r="S3042">
        <v>0</v>
      </c>
      <c r="T3042" s="9">
        <v>45108</v>
      </c>
      <c r="U3042" s="9">
        <v>45473</v>
      </c>
      <c r="V3042">
        <f>SUM(POTABLE_NONPOTABLE_API[[#This Row],[RESIDENTIAL_SINGLEFAMILY_GAL]:[OTHER_GAL]])</f>
        <v>588752381.66999996</v>
      </c>
      <c r="W3042">
        <f>SUM(POTABLE_NONPOTABLE_API[[#This Row],[NONPOTABLE_DEMAND_RESIDENTIAL_RECYCLED_WATER_GAL]:[NONPOTABLE_DEMAND_NONRESIDENTIAL_METERED_IRRIGATION_GAL]])</f>
        <v>311002500</v>
      </c>
      <c r="X3042" t="str">
        <f>IFERROR(INDEX(Crosswalk_API!$H$2:$H$527, MATCH(POTABLE_NONPOTABLE_API[[#This Row],[PWSID]], CW_PWSID_LIST, 0)), "")</f>
        <v>No</v>
      </c>
    </row>
    <row r="3043" spans="1:24" x14ac:dyDescent="0.25">
      <c r="A3043" t="s">
        <v>1631</v>
      </c>
      <c r="B3043" t="s">
        <v>1632</v>
      </c>
      <c r="C3043" t="s">
        <v>1633</v>
      </c>
      <c r="D3043" t="s">
        <v>1634</v>
      </c>
      <c r="E3043" s="9">
        <v>45261</v>
      </c>
      <c r="F3043" s="9">
        <v>45291</v>
      </c>
      <c r="G3043">
        <v>611336595.17999995</v>
      </c>
      <c r="H3043">
        <v>580310390.42999995</v>
      </c>
      <c r="I3043">
        <v>454205953.62</v>
      </c>
      <c r="J3043">
        <v>55840585.700000003</v>
      </c>
      <c r="K3043">
        <v>14283304.890000001</v>
      </c>
      <c r="L3043">
        <v>0</v>
      </c>
      <c r="M3043">
        <v>0</v>
      </c>
      <c r="N3043">
        <v>0</v>
      </c>
      <c r="O3043">
        <v>0</v>
      </c>
      <c r="P3043">
        <v>0</v>
      </c>
      <c r="Q3043">
        <v>202532300</v>
      </c>
      <c r="R3043">
        <v>0</v>
      </c>
      <c r="S3043">
        <v>0</v>
      </c>
      <c r="T3043" s="9">
        <v>45108</v>
      </c>
      <c r="U3043" s="9">
        <v>45473</v>
      </c>
      <c r="V3043">
        <f>SUM(POTABLE_NONPOTABLE_API[[#This Row],[RESIDENTIAL_SINGLEFAMILY_GAL]:[OTHER_GAL]])</f>
        <v>1715976829.8200002</v>
      </c>
      <c r="W3043">
        <f>SUM(POTABLE_NONPOTABLE_API[[#This Row],[NONPOTABLE_DEMAND_RESIDENTIAL_RECYCLED_WATER_GAL]:[NONPOTABLE_DEMAND_NONRESIDENTIAL_METERED_IRRIGATION_GAL]])</f>
        <v>202532300</v>
      </c>
      <c r="X3043" t="str">
        <f>IFERROR(INDEX(Crosswalk_API!$H$2:$H$527, MATCH(POTABLE_NONPOTABLE_API[[#This Row],[PWSID]], CW_PWSID_LIST, 0)), "")</f>
        <v>No</v>
      </c>
    </row>
    <row r="3044" spans="1:24" x14ac:dyDescent="0.25">
      <c r="A3044" t="s">
        <v>1631</v>
      </c>
      <c r="B3044" t="s">
        <v>1632</v>
      </c>
      <c r="C3044" t="s">
        <v>1633</v>
      </c>
      <c r="D3044" t="s">
        <v>1634</v>
      </c>
      <c r="E3044" s="9">
        <v>45292</v>
      </c>
      <c r="F3044" s="9">
        <v>45322</v>
      </c>
      <c r="G3044">
        <v>361172970.54000002</v>
      </c>
      <c r="H3044">
        <v>472123295.12</v>
      </c>
      <c r="I3044">
        <v>311120811.22000003</v>
      </c>
      <c r="J3044">
        <v>23134256.149999999</v>
      </c>
      <c r="K3044">
        <v>8402868.1199999992</v>
      </c>
      <c r="L3044">
        <v>0</v>
      </c>
      <c r="M3044">
        <v>0</v>
      </c>
      <c r="N3044">
        <v>0</v>
      </c>
      <c r="O3044">
        <v>0</v>
      </c>
      <c r="P3044">
        <v>0</v>
      </c>
      <c r="Q3044">
        <v>163741000</v>
      </c>
      <c r="R3044">
        <v>0</v>
      </c>
      <c r="S3044">
        <v>0</v>
      </c>
      <c r="T3044" s="9">
        <v>45108</v>
      </c>
      <c r="U3044" s="9">
        <v>45473</v>
      </c>
      <c r="V3044">
        <f>SUM(POTABLE_NONPOTABLE_API[[#This Row],[RESIDENTIAL_SINGLEFAMILY_GAL]:[OTHER_GAL]])</f>
        <v>1175954201.1500001</v>
      </c>
      <c r="W3044">
        <f>SUM(POTABLE_NONPOTABLE_API[[#This Row],[NONPOTABLE_DEMAND_RESIDENTIAL_RECYCLED_WATER_GAL]:[NONPOTABLE_DEMAND_NONRESIDENTIAL_METERED_IRRIGATION_GAL]])</f>
        <v>163741000</v>
      </c>
      <c r="X3044" t="str">
        <f>IFERROR(INDEX(Crosswalk_API!$H$2:$H$527, MATCH(POTABLE_NONPOTABLE_API[[#This Row],[PWSID]], CW_PWSID_LIST, 0)), "")</f>
        <v>No</v>
      </c>
    </row>
    <row r="3045" spans="1:24" x14ac:dyDescent="0.25">
      <c r="A3045" t="s">
        <v>1631</v>
      </c>
      <c r="B3045" t="s">
        <v>1632</v>
      </c>
      <c r="C3045" t="s">
        <v>1633</v>
      </c>
      <c r="D3045" t="s">
        <v>1634</v>
      </c>
      <c r="E3045" s="9">
        <v>45323</v>
      </c>
      <c r="F3045" s="9">
        <v>45351</v>
      </c>
      <c r="G3045">
        <v>286735064</v>
      </c>
      <c r="H3045">
        <v>419012351</v>
      </c>
      <c r="I3045">
        <v>241913210</v>
      </c>
      <c r="J3045">
        <v>12888188</v>
      </c>
      <c r="K3045">
        <v>7589736</v>
      </c>
      <c r="L3045">
        <v>0</v>
      </c>
      <c r="M3045">
        <v>0</v>
      </c>
      <c r="N3045">
        <v>0</v>
      </c>
      <c r="O3045">
        <v>0</v>
      </c>
      <c r="P3045">
        <v>0</v>
      </c>
      <c r="Q3045">
        <v>134960054.99000001</v>
      </c>
      <c r="R3045">
        <v>0</v>
      </c>
      <c r="S3045">
        <v>0</v>
      </c>
      <c r="T3045" s="9">
        <v>45108</v>
      </c>
      <c r="U3045" s="9">
        <v>45473</v>
      </c>
      <c r="V3045">
        <f>SUM(POTABLE_NONPOTABLE_API[[#This Row],[RESIDENTIAL_SINGLEFAMILY_GAL]:[OTHER_GAL]])</f>
        <v>968138549</v>
      </c>
      <c r="W3045">
        <f>SUM(POTABLE_NONPOTABLE_API[[#This Row],[NONPOTABLE_DEMAND_RESIDENTIAL_RECYCLED_WATER_GAL]:[NONPOTABLE_DEMAND_NONRESIDENTIAL_METERED_IRRIGATION_GAL]])</f>
        <v>134960054.99000001</v>
      </c>
      <c r="X3045" t="str">
        <f>IFERROR(INDEX(Crosswalk_API!$H$2:$H$527, MATCH(POTABLE_NONPOTABLE_API[[#This Row],[PWSID]], CW_PWSID_LIST, 0)), "")</f>
        <v>No</v>
      </c>
    </row>
    <row r="3046" spans="1:24" x14ac:dyDescent="0.25">
      <c r="A3046" t="s">
        <v>1631</v>
      </c>
      <c r="B3046" t="s">
        <v>1632</v>
      </c>
      <c r="C3046" t="s">
        <v>1633</v>
      </c>
      <c r="D3046" t="s">
        <v>1634</v>
      </c>
      <c r="E3046" s="9">
        <v>45352</v>
      </c>
      <c r="F3046" s="9">
        <v>45382</v>
      </c>
      <c r="G3046">
        <v>295613693</v>
      </c>
      <c r="H3046">
        <v>433098918</v>
      </c>
      <c r="I3046">
        <v>259069857</v>
      </c>
      <c r="J3046">
        <v>8982608</v>
      </c>
      <c r="K3046">
        <v>8494879</v>
      </c>
      <c r="L3046">
        <v>0</v>
      </c>
      <c r="M3046">
        <v>0</v>
      </c>
      <c r="N3046">
        <v>0</v>
      </c>
      <c r="O3046">
        <v>0</v>
      </c>
      <c r="P3046">
        <v>0</v>
      </c>
      <c r="Q3046">
        <v>140887472</v>
      </c>
      <c r="R3046">
        <v>0</v>
      </c>
      <c r="S3046">
        <v>0</v>
      </c>
      <c r="T3046" s="9">
        <v>45108</v>
      </c>
      <c r="U3046" s="9">
        <v>45473</v>
      </c>
      <c r="V3046">
        <f>SUM(POTABLE_NONPOTABLE_API[[#This Row],[RESIDENTIAL_SINGLEFAMILY_GAL]:[OTHER_GAL]])</f>
        <v>1005259955</v>
      </c>
      <c r="W3046">
        <f>SUM(POTABLE_NONPOTABLE_API[[#This Row],[NONPOTABLE_DEMAND_RESIDENTIAL_RECYCLED_WATER_GAL]:[NONPOTABLE_DEMAND_NONRESIDENTIAL_METERED_IRRIGATION_GAL]])</f>
        <v>140887472</v>
      </c>
      <c r="X3046" t="str">
        <f>IFERROR(INDEX(Crosswalk_API!$H$2:$H$527, MATCH(POTABLE_NONPOTABLE_API[[#This Row],[PWSID]], CW_PWSID_LIST, 0)), "")</f>
        <v>No</v>
      </c>
    </row>
    <row r="3047" spans="1:24" x14ac:dyDescent="0.25">
      <c r="A3047" t="s">
        <v>1631</v>
      </c>
      <c r="B3047" t="s">
        <v>1632</v>
      </c>
      <c r="C3047" t="s">
        <v>1633</v>
      </c>
      <c r="D3047" t="s">
        <v>1634</v>
      </c>
      <c r="E3047" s="9">
        <v>45383</v>
      </c>
      <c r="F3047" s="9">
        <v>45412</v>
      </c>
      <c r="G3047">
        <v>320882142</v>
      </c>
      <c r="H3047">
        <v>437756290</v>
      </c>
      <c r="I3047">
        <v>289909049</v>
      </c>
      <c r="J3047">
        <v>21442911</v>
      </c>
      <c r="K3047">
        <v>8984853</v>
      </c>
      <c r="L3047">
        <v>0</v>
      </c>
      <c r="M3047">
        <v>0</v>
      </c>
      <c r="N3047">
        <v>0</v>
      </c>
      <c r="O3047">
        <v>0</v>
      </c>
      <c r="P3047">
        <v>0</v>
      </c>
      <c r="Q3047">
        <v>148204818</v>
      </c>
      <c r="R3047">
        <v>0</v>
      </c>
      <c r="S3047">
        <v>0</v>
      </c>
      <c r="T3047" s="9">
        <v>45108</v>
      </c>
      <c r="U3047" s="9">
        <v>45473</v>
      </c>
      <c r="V3047">
        <f>SUM(POTABLE_NONPOTABLE_API[[#This Row],[RESIDENTIAL_SINGLEFAMILY_GAL]:[OTHER_GAL]])</f>
        <v>1078975245</v>
      </c>
      <c r="W3047">
        <f>SUM(POTABLE_NONPOTABLE_API[[#This Row],[NONPOTABLE_DEMAND_RESIDENTIAL_RECYCLED_WATER_GAL]:[NONPOTABLE_DEMAND_NONRESIDENTIAL_METERED_IRRIGATION_GAL]])</f>
        <v>148204818</v>
      </c>
      <c r="X3047" t="str">
        <f>IFERROR(INDEX(Crosswalk_API!$H$2:$H$527, MATCH(POTABLE_NONPOTABLE_API[[#This Row],[PWSID]], CW_PWSID_LIST, 0)), "")</f>
        <v>No</v>
      </c>
    </row>
    <row r="3048" spans="1:24" x14ac:dyDescent="0.25">
      <c r="A3048" t="s">
        <v>1631</v>
      </c>
      <c r="B3048" t="s">
        <v>1632</v>
      </c>
      <c r="C3048" t="s">
        <v>1633</v>
      </c>
      <c r="D3048" t="s">
        <v>1634</v>
      </c>
      <c r="E3048" s="9">
        <v>45413</v>
      </c>
      <c r="F3048" s="9">
        <v>45443</v>
      </c>
      <c r="G3048">
        <v>368319111</v>
      </c>
      <c r="H3048">
        <v>447113673</v>
      </c>
      <c r="I3048">
        <v>303067283</v>
      </c>
      <c r="J3048">
        <v>37341260</v>
      </c>
      <c r="K3048">
        <v>10939512</v>
      </c>
      <c r="L3048">
        <v>0</v>
      </c>
      <c r="M3048">
        <v>0</v>
      </c>
      <c r="N3048">
        <v>0</v>
      </c>
      <c r="O3048">
        <v>0</v>
      </c>
      <c r="P3048">
        <v>0</v>
      </c>
      <c r="Q3048">
        <v>287711468</v>
      </c>
      <c r="R3048">
        <v>0</v>
      </c>
      <c r="S3048">
        <v>0</v>
      </c>
      <c r="T3048" s="9">
        <v>45108</v>
      </c>
      <c r="U3048" s="9">
        <v>45473</v>
      </c>
      <c r="V3048">
        <f>SUM(POTABLE_NONPOTABLE_API[[#This Row],[RESIDENTIAL_SINGLEFAMILY_GAL]:[OTHER_GAL]])</f>
        <v>1166780839</v>
      </c>
      <c r="W3048">
        <f>SUM(POTABLE_NONPOTABLE_API[[#This Row],[NONPOTABLE_DEMAND_RESIDENTIAL_RECYCLED_WATER_GAL]:[NONPOTABLE_DEMAND_NONRESIDENTIAL_METERED_IRRIGATION_GAL]])</f>
        <v>287711468</v>
      </c>
      <c r="X3048" t="str">
        <f>IFERROR(INDEX(Crosswalk_API!$H$2:$H$527, MATCH(POTABLE_NONPOTABLE_API[[#This Row],[PWSID]], CW_PWSID_LIST, 0)), "")</f>
        <v>No</v>
      </c>
    </row>
    <row r="3049" spans="1:24" x14ac:dyDescent="0.25">
      <c r="A3049" t="s">
        <v>1631</v>
      </c>
      <c r="B3049" t="s">
        <v>1632</v>
      </c>
      <c r="C3049" t="s">
        <v>1633</v>
      </c>
      <c r="D3049" t="s">
        <v>1634</v>
      </c>
      <c r="E3049" s="9">
        <v>45444</v>
      </c>
      <c r="F3049" s="9">
        <v>45473</v>
      </c>
      <c r="G3049">
        <v>386684536</v>
      </c>
      <c r="H3049">
        <v>411894636</v>
      </c>
      <c r="I3049">
        <v>235661066</v>
      </c>
      <c r="J3049">
        <v>42307577</v>
      </c>
      <c r="K3049">
        <v>8179201</v>
      </c>
      <c r="L3049">
        <v>0</v>
      </c>
      <c r="M3049">
        <v>0</v>
      </c>
      <c r="N3049">
        <v>0</v>
      </c>
      <c r="O3049">
        <v>0</v>
      </c>
      <c r="P3049">
        <v>0</v>
      </c>
      <c r="Q3049">
        <v>273490538</v>
      </c>
      <c r="R3049">
        <v>0</v>
      </c>
      <c r="S3049">
        <v>0</v>
      </c>
      <c r="T3049" s="9">
        <v>45108</v>
      </c>
      <c r="U3049" s="9">
        <v>45473</v>
      </c>
      <c r="V3049">
        <f>SUM(POTABLE_NONPOTABLE_API[[#This Row],[RESIDENTIAL_SINGLEFAMILY_GAL]:[OTHER_GAL]])</f>
        <v>1084727016</v>
      </c>
      <c r="W3049">
        <f>SUM(POTABLE_NONPOTABLE_API[[#This Row],[NONPOTABLE_DEMAND_RESIDENTIAL_RECYCLED_WATER_GAL]:[NONPOTABLE_DEMAND_NONRESIDENTIAL_METERED_IRRIGATION_GAL]])</f>
        <v>273490538</v>
      </c>
      <c r="X3049" t="str">
        <f>IFERROR(INDEX(Crosswalk_API!$H$2:$H$527, MATCH(POTABLE_NONPOTABLE_API[[#This Row],[PWSID]], CW_PWSID_LIST, 0)), "")</f>
        <v>No</v>
      </c>
    </row>
    <row r="3050" spans="1:24" x14ac:dyDescent="0.25">
      <c r="A3050" t="s">
        <v>1635</v>
      </c>
      <c r="B3050" t="s">
        <v>1636</v>
      </c>
      <c r="C3050" t="s">
        <v>1637</v>
      </c>
      <c r="D3050" t="s">
        <v>1638</v>
      </c>
      <c r="E3050" s="9">
        <v>45108</v>
      </c>
      <c r="F3050" s="9">
        <v>45138</v>
      </c>
      <c r="G3050">
        <v>4869836677.9799995</v>
      </c>
      <c r="H3050">
        <v>3967340197.3199997</v>
      </c>
      <c r="I3050">
        <v>2655855092.52</v>
      </c>
      <c r="J3050">
        <v>704473569.44999993</v>
      </c>
      <c r="K3050">
        <v>385383977.69999999</v>
      </c>
      <c r="L3050">
        <v>0</v>
      </c>
      <c r="M3050">
        <v>0</v>
      </c>
      <c r="N3050">
        <v>0</v>
      </c>
      <c r="O3050">
        <v>0</v>
      </c>
      <c r="P3050">
        <v>0</v>
      </c>
      <c r="Q3050">
        <v>0</v>
      </c>
      <c r="R3050">
        <v>0</v>
      </c>
      <c r="S3050">
        <v>363969049.98000002</v>
      </c>
      <c r="T3050" s="9">
        <v>45108</v>
      </c>
      <c r="U3050" s="9">
        <v>45473</v>
      </c>
      <c r="V3050">
        <f>SUM(POTABLE_NONPOTABLE_API[[#This Row],[RESIDENTIAL_SINGLEFAMILY_GAL]:[OTHER_GAL]])</f>
        <v>12582889514.970001</v>
      </c>
      <c r="W3050">
        <f>SUM(POTABLE_NONPOTABLE_API[[#This Row],[NONPOTABLE_DEMAND_RESIDENTIAL_RECYCLED_WATER_GAL]:[NONPOTABLE_DEMAND_NONRESIDENTIAL_METERED_IRRIGATION_GAL]])</f>
        <v>363969049.98000002</v>
      </c>
      <c r="X3050" t="str">
        <f>IFERROR(INDEX(Crosswalk_API!$H$2:$H$527, MATCH(POTABLE_NONPOTABLE_API[[#This Row],[PWSID]], CW_PWSID_LIST, 0)), "")</f>
        <v>No</v>
      </c>
    </row>
    <row r="3051" spans="1:24" x14ac:dyDescent="0.25">
      <c r="A3051" t="s">
        <v>1635</v>
      </c>
      <c r="B3051" t="s">
        <v>1636</v>
      </c>
      <c r="C3051" t="s">
        <v>1637</v>
      </c>
      <c r="D3051" t="s">
        <v>1638</v>
      </c>
      <c r="E3051" s="9">
        <v>45139</v>
      </c>
      <c r="F3051" s="9">
        <v>45169</v>
      </c>
      <c r="G3051">
        <v>4885154933.4899998</v>
      </c>
      <c r="H3051">
        <v>4025631682.7099996</v>
      </c>
      <c r="I3051">
        <v>2707926082.3199997</v>
      </c>
      <c r="J3051">
        <v>648029659.23000002</v>
      </c>
      <c r="K3051">
        <v>350351736.69</v>
      </c>
      <c r="L3051">
        <v>0</v>
      </c>
      <c r="M3051">
        <v>0</v>
      </c>
      <c r="N3051">
        <v>0</v>
      </c>
      <c r="O3051">
        <v>0</v>
      </c>
      <c r="P3051">
        <v>0</v>
      </c>
      <c r="Q3051">
        <v>0</v>
      </c>
      <c r="R3051">
        <v>0</v>
      </c>
      <c r="S3051">
        <v>396088183.05000001</v>
      </c>
      <c r="T3051" s="9">
        <v>45108</v>
      </c>
      <c r="U3051" s="9">
        <v>45473</v>
      </c>
      <c r="V3051">
        <f>SUM(POTABLE_NONPOTABLE_API[[#This Row],[RESIDENTIAL_SINGLEFAMILY_GAL]:[OTHER_GAL]])</f>
        <v>12617094094.439999</v>
      </c>
      <c r="W3051">
        <f>SUM(POTABLE_NONPOTABLE_API[[#This Row],[NONPOTABLE_DEMAND_RESIDENTIAL_RECYCLED_WATER_GAL]:[NONPOTABLE_DEMAND_NONRESIDENTIAL_METERED_IRRIGATION_GAL]])</f>
        <v>396088183.05000001</v>
      </c>
      <c r="X3051" t="str">
        <f>IFERROR(INDEX(Crosswalk_API!$H$2:$H$527, MATCH(POTABLE_NONPOTABLE_API[[#This Row],[PWSID]], CW_PWSID_LIST, 0)), "")</f>
        <v>No</v>
      </c>
    </row>
    <row r="3052" spans="1:24" x14ac:dyDescent="0.25">
      <c r="A3052" t="s">
        <v>1635</v>
      </c>
      <c r="B3052" t="s">
        <v>1636</v>
      </c>
      <c r="C3052" t="s">
        <v>1637</v>
      </c>
      <c r="D3052" t="s">
        <v>1638</v>
      </c>
      <c r="E3052" s="9">
        <v>45170</v>
      </c>
      <c r="F3052" s="9">
        <v>45199</v>
      </c>
      <c r="G3052">
        <v>4525457790.1199999</v>
      </c>
      <c r="H3052">
        <v>3864299594.0999999</v>
      </c>
      <c r="I3052">
        <v>2567112831.1800003</v>
      </c>
      <c r="J3052">
        <v>539615773.01999998</v>
      </c>
      <c r="K3052">
        <v>333648614.43000001</v>
      </c>
      <c r="L3052">
        <v>0</v>
      </c>
      <c r="M3052">
        <v>0</v>
      </c>
      <c r="N3052">
        <v>0</v>
      </c>
      <c r="O3052">
        <v>0</v>
      </c>
      <c r="Q3052">
        <v>0</v>
      </c>
      <c r="R3052">
        <v>0</v>
      </c>
      <c r="S3052">
        <v>210144568.41</v>
      </c>
      <c r="T3052" s="9">
        <v>45108</v>
      </c>
      <c r="U3052" s="9">
        <v>45473</v>
      </c>
      <c r="V3052">
        <f>SUM(POTABLE_NONPOTABLE_API[[#This Row],[RESIDENTIAL_SINGLEFAMILY_GAL]:[OTHER_GAL]])</f>
        <v>11830134602.85</v>
      </c>
      <c r="W3052">
        <f>SUM(POTABLE_NONPOTABLE_API[[#This Row],[NONPOTABLE_DEMAND_RESIDENTIAL_RECYCLED_WATER_GAL]:[NONPOTABLE_DEMAND_NONRESIDENTIAL_METERED_IRRIGATION_GAL]])</f>
        <v>210144568.41</v>
      </c>
      <c r="X3052" t="str">
        <f>IFERROR(INDEX(Crosswalk_API!$H$2:$H$527, MATCH(POTABLE_NONPOTABLE_API[[#This Row],[PWSID]], CW_PWSID_LIST, 0)), "")</f>
        <v>No</v>
      </c>
    </row>
    <row r="3053" spans="1:24" x14ac:dyDescent="0.25">
      <c r="A3053" t="s">
        <v>1635</v>
      </c>
      <c r="B3053" t="s">
        <v>1636</v>
      </c>
      <c r="C3053" t="s">
        <v>1637</v>
      </c>
      <c r="D3053" t="s">
        <v>1638</v>
      </c>
      <c r="E3053" s="9">
        <v>45200</v>
      </c>
      <c r="F3053" s="9">
        <v>45230</v>
      </c>
      <c r="G3053">
        <v>4504616360.1599998</v>
      </c>
      <c r="H3053">
        <v>3956196093.1200004</v>
      </c>
      <c r="I3053">
        <v>2622188167.1999998</v>
      </c>
      <c r="J3053">
        <v>550955387.81999993</v>
      </c>
      <c r="K3053">
        <v>397277539.19999999</v>
      </c>
      <c r="L3053">
        <v>0</v>
      </c>
      <c r="M3053">
        <v>0</v>
      </c>
      <c r="N3053">
        <v>0</v>
      </c>
      <c r="O3053">
        <v>0</v>
      </c>
      <c r="P3053">
        <v>0</v>
      </c>
      <c r="Q3053">
        <v>0</v>
      </c>
      <c r="R3053">
        <v>0</v>
      </c>
      <c r="S3053">
        <v>268657632.48000002</v>
      </c>
      <c r="T3053" s="9">
        <v>45108</v>
      </c>
      <c r="U3053" s="9">
        <v>45473</v>
      </c>
      <c r="V3053">
        <f>SUM(POTABLE_NONPOTABLE_API[[#This Row],[RESIDENTIAL_SINGLEFAMILY_GAL]:[OTHER_GAL]])</f>
        <v>12031233547.5</v>
      </c>
      <c r="W3053">
        <f>SUM(POTABLE_NONPOTABLE_API[[#This Row],[NONPOTABLE_DEMAND_RESIDENTIAL_RECYCLED_WATER_GAL]:[NONPOTABLE_DEMAND_NONRESIDENTIAL_METERED_IRRIGATION_GAL]])</f>
        <v>268657632.48000002</v>
      </c>
      <c r="X3053" t="str">
        <f>IFERROR(INDEX(Crosswalk_API!$H$2:$H$527, MATCH(POTABLE_NONPOTABLE_API[[#This Row],[PWSID]], CW_PWSID_LIST, 0)), "")</f>
        <v>No</v>
      </c>
    </row>
    <row r="3054" spans="1:24" x14ac:dyDescent="0.25">
      <c r="A3054" t="s">
        <v>1635</v>
      </c>
      <c r="B3054" t="s">
        <v>1636</v>
      </c>
      <c r="C3054" t="s">
        <v>1637</v>
      </c>
      <c r="D3054" t="s">
        <v>1638</v>
      </c>
      <c r="E3054" s="9">
        <v>45231</v>
      </c>
      <c r="F3054" s="9">
        <v>45260</v>
      </c>
      <c r="G3054">
        <v>4064271094.2900004</v>
      </c>
      <c r="H3054">
        <v>3740293737.5400004</v>
      </c>
      <c r="I3054">
        <v>2385167408.3099999</v>
      </c>
      <c r="J3054">
        <v>460117904.55000001</v>
      </c>
      <c r="K3054">
        <v>384034954.56</v>
      </c>
      <c r="L3054">
        <v>0</v>
      </c>
      <c r="M3054">
        <v>0</v>
      </c>
      <c r="N3054">
        <v>0</v>
      </c>
      <c r="O3054">
        <v>0</v>
      </c>
      <c r="P3054">
        <v>0</v>
      </c>
      <c r="Q3054">
        <v>0</v>
      </c>
      <c r="R3054">
        <v>0</v>
      </c>
      <c r="S3054">
        <v>288622523.25</v>
      </c>
      <c r="T3054" s="9">
        <v>45108</v>
      </c>
      <c r="U3054" s="9">
        <v>45473</v>
      </c>
      <c r="V3054">
        <f>SUM(POTABLE_NONPOTABLE_API[[#This Row],[RESIDENTIAL_SINGLEFAMILY_GAL]:[OTHER_GAL]])</f>
        <v>11033885099.25</v>
      </c>
      <c r="W3054">
        <f>SUM(POTABLE_NONPOTABLE_API[[#This Row],[NONPOTABLE_DEMAND_RESIDENTIAL_RECYCLED_WATER_GAL]:[NONPOTABLE_DEMAND_NONRESIDENTIAL_METERED_IRRIGATION_GAL]])</f>
        <v>288622523.25</v>
      </c>
      <c r="X3054" t="str">
        <f>IFERROR(INDEX(Crosswalk_API!$H$2:$H$527, MATCH(POTABLE_NONPOTABLE_API[[#This Row],[PWSID]], CW_PWSID_LIST, 0)), "")</f>
        <v>No</v>
      </c>
    </row>
    <row r="3055" spans="1:24" x14ac:dyDescent="0.25">
      <c r="A3055" t="s">
        <v>1635</v>
      </c>
      <c r="B3055" t="s">
        <v>1636</v>
      </c>
      <c r="C3055" t="s">
        <v>1637</v>
      </c>
      <c r="D3055" t="s">
        <v>1638</v>
      </c>
      <c r="E3055" s="9">
        <v>45261</v>
      </c>
      <c r="F3055" s="9">
        <v>45291</v>
      </c>
      <c r="G3055">
        <v>3728025447.3899999</v>
      </c>
      <c r="H3055">
        <v>3745354203.5699997</v>
      </c>
      <c r="I3055">
        <v>2314066720.1099997</v>
      </c>
      <c r="J3055">
        <v>328930291.94999999</v>
      </c>
      <c r="K3055">
        <v>378902801.31</v>
      </c>
      <c r="L3055">
        <v>0</v>
      </c>
      <c r="M3055">
        <v>0</v>
      </c>
      <c r="N3055">
        <v>0</v>
      </c>
      <c r="O3055">
        <v>0</v>
      </c>
      <c r="Q3055">
        <v>0</v>
      </c>
      <c r="R3055">
        <v>0</v>
      </c>
      <c r="S3055">
        <v>298916156.34000003</v>
      </c>
      <c r="T3055" s="9">
        <v>45108</v>
      </c>
      <c r="U3055" s="9">
        <v>45473</v>
      </c>
      <c r="V3055">
        <f>SUM(POTABLE_NONPOTABLE_API[[#This Row],[RESIDENTIAL_SINGLEFAMILY_GAL]:[OTHER_GAL]])</f>
        <v>10495279464.33</v>
      </c>
      <c r="W3055">
        <f>SUM(POTABLE_NONPOTABLE_API[[#This Row],[NONPOTABLE_DEMAND_RESIDENTIAL_RECYCLED_WATER_GAL]:[NONPOTABLE_DEMAND_NONRESIDENTIAL_METERED_IRRIGATION_GAL]])</f>
        <v>298916156.34000003</v>
      </c>
      <c r="X3055" t="str">
        <f>IFERROR(INDEX(Crosswalk_API!$H$2:$H$527, MATCH(POTABLE_NONPOTABLE_API[[#This Row],[PWSID]], CW_PWSID_LIST, 0)), "")</f>
        <v>No</v>
      </c>
    </row>
    <row r="3056" spans="1:24" x14ac:dyDescent="0.25">
      <c r="A3056" t="s">
        <v>1635</v>
      </c>
      <c r="B3056" t="s">
        <v>1636</v>
      </c>
      <c r="C3056" t="s">
        <v>1637</v>
      </c>
      <c r="D3056" t="s">
        <v>1638</v>
      </c>
      <c r="E3056" s="9">
        <v>45292</v>
      </c>
      <c r="F3056" s="9">
        <v>45322</v>
      </c>
      <c r="G3056">
        <v>3252247143.7800002</v>
      </c>
      <c r="H3056">
        <v>3649075008.5999999</v>
      </c>
      <c r="I3056">
        <v>2214326987.52</v>
      </c>
      <c r="J3056">
        <v>238184046.96000001</v>
      </c>
      <c r="K3056">
        <v>365819883.66000003</v>
      </c>
      <c r="L3056">
        <v>0</v>
      </c>
      <c r="M3056">
        <v>0</v>
      </c>
      <c r="N3056">
        <v>0</v>
      </c>
      <c r="O3056">
        <v>0</v>
      </c>
      <c r="Q3056">
        <v>0</v>
      </c>
      <c r="R3056">
        <v>0</v>
      </c>
      <c r="S3056">
        <v>187129712.28</v>
      </c>
      <c r="T3056" s="9">
        <v>45108</v>
      </c>
      <c r="U3056" s="9">
        <v>45473</v>
      </c>
      <c r="V3056">
        <f>SUM(POTABLE_NONPOTABLE_API[[#This Row],[RESIDENTIAL_SINGLEFAMILY_GAL]:[OTHER_GAL]])</f>
        <v>9719653070.5199986</v>
      </c>
      <c r="W3056">
        <f>SUM(POTABLE_NONPOTABLE_API[[#This Row],[NONPOTABLE_DEMAND_RESIDENTIAL_RECYCLED_WATER_GAL]:[NONPOTABLE_DEMAND_NONRESIDENTIAL_METERED_IRRIGATION_GAL]])</f>
        <v>187129712.28</v>
      </c>
      <c r="X3056" t="str">
        <f>IFERROR(INDEX(Crosswalk_API!$H$2:$H$527, MATCH(POTABLE_NONPOTABLE_API[[#This Row],[PWSID]], CW_PWSID_LIST, 0)), "")</f>
        <v>No</v>
      </c>
    </row>
    <row r="3057" spans="1:24" x14ac:dyDescent="0.25">
      <c r="A3057" t="s">
        <v>1635</v>
      </c>
      <c r="B3057" t="s">
        <v>1636</v>
      </c>
      <c r="C3057" t="s">
        <v>1637</v>
      </c>
      <c r="D3057" t="s">
        <v>1638</v>
      </c>
      <c r="E3057" s="9">
        <v>45323</v>
      </c>
      <c r="F3057" s="9">
        <v>45351</v>
      </c>
      <c r="G3057">
        <v>2818559013.8400002</v>
      </c>
      <c r="H3057">
        <v>3355124821.5</v>
      </c>
      <c r="I3057">
        <v>2079167251.2299998</v>
      </c>
      <c r="J3057">
        <v>152149607.43000001</v>
      </c>
      <c r="K3057">
        <v>332240938.11000001</v>
      </c>
      <c r="L3057">
        <v>0</v>
      </c>
      <c r="M3057">
        <v>0</v>
      </c>
      <c r="N3057">
        <v>0</v>
      </c>
      <c r="O3057">
        <v>0</v>
      </c>
      <c r="Q3057">
        <v>0</v>
      </c>
      <c r="R3057">
        <v>0</v>
      </c>
      <c r="S3057">
        <v>188283224.82000002</v>
      </c>
      <c r="T3057" s="9">
        <v>45108</v>
      </c>
      <c r="U3057" s="9">
        <v>45473</v>
      </c>
      <c r="V3057">
        <f>SUM(POTABLE_NONPOTABLE_API[[#This Row],[RESIDENTIAL_SINGLEFAMILY_GAL]:[OTHER_GAL]])</f>
        <v>8737241632.1100006</v>
      </c>
      <c r="W3057">
        <f>SUM(POTABLE_NONPOTABLE_API[[#This Row],[NONPOTABLE_DEMAND_RESIDENTIAL_RECYCLED_WATER_GAL]:[NONPOTABLE_DEMAND_NONRESIDENTIAL_METERED_IRRIGATION_GAL]])</f>
        <v>188283224.82000002</v>
      </c>
      <c r="X3057" t="str">
        <f>IFERROR(INDEX(Crosswalk_API!$H$2:$H$527, MATCH(POTABLE_NONPOTABLE_API[[#This Row],[PWSID]], CW_PWSID_LIST, 0)), "")</f>
        <v>No</v>
      </c>
    </row>
    <row r="3058" spans="1:24" x14ac:dyDescent="0.25">
      <c r="A3058" t="s">
        <v>1635</v>
      </c>
      <c r="B3058" t="s">
        <v>1636</v>
      </c>
      <c r="C3058" t="s">
        <v>1637</v>
      </c>
      <c r="D3058" t="s">
        <v>1638</v>
      </c>
      <c r="E3058" s="9">
        <v>45352</v>
      </c>
      <c r="F3058" s="9">
        <v>45382</v>
      </c>
      <c r="G3058">
        <v>3128058810.6599998</v>
      </c>
      <c r="H3058">
        <v>3591777368.7600002</v>
      </c>
      <c r="I3058">
        <v>2283827747.3099999</v>
      </c>
      <c r="J3058">
        <v>198387864.33000001</v>
      </c>
      <c r="K3058">
        <v>386540748.75</v>
      </c>
      <c r="L3058">
        <v>0</v>
      </c>
      <c r="M3058">
        <v>0</v>
      </c>
      <c r="N3058">
        <v>0</v>
      </c>
      <c r="O3058">
        <v>0</v>
      </c>
      <c r="P3058">
        <v>0</v>
      </c>
      <c r="Q3058">
        <v>0</v>
      </c>
      <c r="R3058">
        <v>0</v>
      </c>
      <c r="S3058">
        <v>174662653.01999998</v>
      </c>
      <c r="T3058" s="9">
        <v>45108</v>
      </c>
      <c r="U3058" s="9">
        <v>45473</v>
      </c>
      <c r="V3058">
        <f>SUM(POTABLE_NONPOTABLE_API[[#This Row],[RESIDENTIAL_SINGLEFAMILY_GAL]:[OTHER_GAL]])</f>
        <v>9588592539.8099995</v>
      </c>
      <c r="W3058">
        <f>SUM(POTABLE_NONPOTABLE_API[[#This Row],[NONPOTABLE_DEMAND_RESIDENTIAL_RECYCLED_WATER_GAL]:[NONPOTABLE_DEMAND_NONRESIDENTIAL_METERED_IRRIGATION_GAL]])</f>
        <v>174662653.01999998</v>
      </c>
      <c r="X3058" t="str">
        <f>IFERROR(INDEX(Crosswalk_API!$H$2:$H$527, MATCH(POTABLE_NONPOTABLE_API[[#This Row],[PWSID]], CW_PWSID_LIST, 0)), "")</f>
        <v>No</v>
      </c>
    </row>
    <row r="3059" spans="1:24" x14ac:dyDescent="0.25">
      <c r="A3059" t="s">
        <v>1635</v>
      </c>
      <c r="B3059" t="s">
        <v>1636</v>
      </c>
      <c r="C3059" t="s">
        <v>1637</v>
      </c>
      <c r="D3059" t="s">
        <v>1638</v>
      </c>
      <c r="E3059" s="9">
        <v>45383</v>
      </c>
      <c r="F3059" s="9">
        <v>45412</v>
      </c>
      <c r="G3059">
        <v>3439859115.5400004</v>
      </c>
      <c r="H3059">
        <v>3538865683.3799996</v>
      </c>
      <c r="I3059">
        <v>2250806006.9700003</v>
      </c>
      <c r="J3059">
        <v>330308641.68000001</v>
      </c>
      <c r="K3059">
        <v>391158057.42000002</v>
      </c>
      <c r="L3059">
        <v>0</v>
      </c>
      <c r="M3059">
        <v>0</v>
      </c>
      <c r="N3059">
        <v>0</v>
      </c>
      <c r="O3059">
        <v>0</v>
      </c>
      <c r="Q3059">
        <v>0</v>
      </c>
      <c r="R3059">
        <v>0</v>
      </c>
      <c r="S3059">
        <v>223426255.16999999</v>
      </c>
      <c r="T3059" s="9">
        <v>45108</v>
      </c>
      <c r="U3059" s="9">
        <v>45473</v>
      </c>
      <c r="V3059">
        <f>SUM(POTABLE_NONPOTABLE_API[[#This Row],[RESIDENTIAL_SINGLEFAMILY_GAL]:[OTHER_GAL]])</f>
        <v>9950997504.9899998</v>
      </c>
      <c r="W3059">
        <f>SUM(POTABLE_NONPOTABLE_API[[#This Row],[NONPOTABLE_DEMAND_RESIDENTIAL_RECYCLED_WATER_GAL]:[NONPOTABLE_DEMAND_NONRESIDENTIAL_METERED_IRRIGATION_GAL]])</f>
        <v>223426255.16999999</v>
      </c>
      <c r="X3059" t="str">
        <f>IFERROR(INDEX(Crosswalk_API!$H$2:$H$527, MATCH(POTABLE_NONPOTABLE_API[[#This Row],[PWSID]], CW_PWSID_LIST, 0)), "")</f>
        <v>No</v>
      </c>
    </row>
    <row r="3060" spans="1:24" x14ac:dyDescent="0.25">
      <c r="A3060" t="s">
        <v>1635</v>
      </c>
      <c r="B3060" t="s">
        <v>1636</v>
      </c>
      <c r="C3060" t="s">
        <v>1637</v>
      </c>
      <c r="D3060" t="s">
        <v>1638</v>
      </c>
      <c r="E3060" s="9">
        <v>45413</v>
      </c>
      <c r="F3060" s="9">
        <v>45443</v>
      </c>
      <c r="G3060">
        <v>4176741825.4500003</v>
      </c>
      <c r="H3060">
        <v>3754816916.6100001</v>
      </c>
      <c r="I3060">
        <v>2444853535.98</v>
      </c>
      <c r="J3060">
        <v>471832248</v>
      </c>
      <c r="K3060">
        <v>360205470.93000001</v>
      </c>
      <c r="L3060">
        <v>0</v>
      </c>
      <c r="M3060">
        <v>0</v>
      </c>
      <c r="N3060">
        <v>0</v>
      </c>
      <c r="O3060">
        <v>0</v>
      </c>
      <c r="Q3060">
        <v>0</v>
      </c>
      <c r="R3060">
        <v>0</v>
      </c>
      <c r="S3060">
        <v>299835056.15999997</v>
      </c>
      <c r="T3060" s="9">
        <v>45108</v>
      </c>
      <c r="U3060" s="9">
        <v>45473</v>
      </c>
      <c r="V3060">
        <f>SUM(POTABLE_NONPOTABLE_API[[#This Row],[RESIDENTIAL_SINGLEFAMILY_GAL]:[OTHER_GAL]])</f>
        <v>11208449996.970001</v>
      </c>
      <c r="W3060">
        <f>SUM(POTABLE_NONPOTABLE_API[[#This Row],[NONPOTABLE_DEMAND_RESIDENTIAL_RECYCLED_WATER_GAL]:[NONPOTABLE_DEMAND_NONRESIDENTIAL_METERED_IRRIGATION_GAL]])</f>
        <v>299835056.15999997</v>
      </c>
      <c r="X3060" t="str">
        <f>IFERROR(INDEX(Crosswalk_API!$H$2:$H$527, MATCH(POTABLE_NONPOTABLE_API[[#This Row],[PWSID]], CW_PWSID_LIST, 0)), "")</f>
        <v>No</v>
      </c>
    </row>
    <row r="3061" spans="1:24" x14ac:dyDescent="0.25">
      <c r="A3061" t="s">
        <v>1635</v>
      </c>
      <c r="B3061" t="s">
        <v>1636</v>
      </c>
      <c r="C3061" t="s">
        <v>1637</v>
      </c>
      <c r="D3061" t="s">
        <v>1638</v>
      </c>
      <c r="E3061" s="9">
        <v>45444</v>
      </c>
      <c r="F3061" s="9">
        <v>45473</v>
      </c>
      <c r="G3061">
        <v>4540971556.2299995</v>
      </c>
      <c r="H3061">
        <v>3742577953.0499997</v>
      </c>
      <c r="I3061">
        <v>2465235516.0299997</v>
      </c>
      <c r="J3061">
        <v>577192910.33999991</v>
      </c>
      <c r="K3061">
        <v>342602999.91000003</v>
      </c>
      <c r="L3061">
        <v>0</v>
      </c>
      <c r="M3061">
        <v>0</v>
      </c>
      <c r="N3061">
        <v>0</v>
      </c>
      <c r="O3061">
        <v>0</v>
      </c>
      <c r="Q3061">
        <v>0</v>
      </c>
      <c r="R3061">
        <v>0</v>
      </c>
      <c r="S3061">
        <v>368394106.56</v>
      </c>
      <c r="T3061" s="9">
        <v>45108</v>
      </c>
      <c r="U3061" s="9">
        <v>45473</v>
      </c>
      <c r="V3061">
        <f>SUM(POTABLE_NONPOTABLE_API[[#This Row],[RESIDENTIAL_SINGLEFAMILY_GAL]:[OTHER_GAL]])</f>
        <v>11668580935.559998</v>
      </c>
      <c r="W3061">
        <f>SUM(POTABLE_NONPOTABLE_API[[#This Row],[NONPOTABLE_DEMAND_RESIDENTIAL_RECYCLED_WATER_GAL]:[NONPOTABLE_DEMAND_NONRESIDENTIAL_METERED_IRRIGATION_GAL]])</f>
        <v>368394106.56</v>
      </c>
      <c r="X3061" t="str">
        <f>IFERROR(INDEX(Crosswalk_API!$H$2:$H$527, MATCH(POTABLE_NONPOTABLE_API[[#This Row],[PWSID]], CW_PWSID_LIST, 0)), "")</f>
        <v>No</v>
      </c>
    </row>
    <row r="3062" spans="1:24" x14ac:dyDescent="0.25">
      <c r="A3062" t="s">
        <v>1639</v>
      </c>
      <c r="B3062" t="s">
        <v>1640</v>
      </c>
      <c r="C3062" t="s">
        <v>1641</v>
      </c>
      <c r="D3062" t="s">
        <v>1642</v>
      </c>
      <c r="E3062" s="9">
        <v>45108</v>
      </c>
      <c r="F3062" s="9">
        <v>45138</v>
      </c>
      <c r="G3062">
        <v>153433460.37</v>
      </c>
      <c r="H3062">
        <v>35393935.620000005</v>
      </c>
      <c r="I3062">
        <v>26120216.16</v>
      </c>
      <c r="J3062">
        <v>2522086.7400000002</v>
      </c>
      <c r="K3062">
        <v>2564447.37</v>
      </c>
      <c r="L3062">
        <v>583273.29</v>
      </c>
      <c r="M3062">
        <v>0</v>
      </c>
      <c r="T3062" s="9">
        <v>45108</v>
      </c>
      <c r="U3062" s="9">
        <v>45473</v>
      </c>
      <c r="V3062">
        <f>SUM(POTABLE_NONPOTABLE_API[[#This Row],[RESIDENTIAL_SINGLEFAMILY_GAL]:[OTHER_GAL]])</f>
        <v>220617419.55000001</v>
      </c>
      <c r="W3062">
        <f>SUM(POTABLE_NONPOTABLE_API[[#This Row],[NONPOTABLE_DEMAND_RESIDENTIAL_RECYCLED_WATER_GAL]:[NONPOTABLE_DEMAND_NONRESIDENTIAL_METERED_IRRIGATION_GAL]])</f>
        <v>0</v>
      </c>
      <c r="X3062" t="str">
        <f>IFERROR(INDEX(Crosswalk_API!$H$2:$H$527, MATCH(POTABLE_NONPOTABLE_API[[#This Row],[PWSID]], CW_PWSID_LIST, 0)), "")</f>
        <v>No</v>
      </c>
    </row>
    <row r="3063" spans="1:24" x14ac:dyDescent="0.25">
      <c r="A3063" t="s">
        <v>1639</v>
      </c>
      <c r="B3063" t="s">
        <v>1640</v>
      </c>
      <c r="C3063" t="s">
        <v>1641</v>
      </c>
      <c r="D3063" t="s">
        <v>1642</v>
      </c>
      <c r="E3063" s="9">
        <v>45139</v>
      </c>
      <c r="F3063" s="9">
        <v>45169</v>
      </c>
      <c r="G3063">
        <v>153433460.37</v>
      </c>
      <c r="H3063">
        <v>35393935.620000005</v>
      </c>
      <c r="I3063">
        <v>26120216.16</v>
      </c>
      <c r="J3063">
        <v>2522086.7400000002</v>
      </c>
      <c r="K3063">
        <v>2564447.37</v>
      </c>
      <c r="L3063">
        <v>583273.29</v>
      </c>
      <c r="M3063">
        <v>0</v>
      </c>
      <c r="T3063" s="9">
        <v>45108</v>
      </c>
      <c r="U3063" s="9">
        <v>45473</v>
      </c>
      <c r="V3063">
        <f>SUM(POTABLE_NONPOTABLE_API[[#This Row],[RESIDENTIAL_SINGLEFAMILY_GAL]:[OTHER_GAL]])</f>
        <v>220617419.55000001</v>
      </c>
      <c r="W3063">
        <f>SUM(POTABLE_NONPOTABLE_API[[#This Row],[NONPOTABLE_DEMAND_RESIDENTIAL_RECYCLED_WATER_GAL]:[NONPOTABLE_DEMAND_NONRESIDENTIAL_METERED_IRRIGATION_GAL]])</f>
        <v>0</v>
      </c>
      <c r="X3063" t="str">
        <f>IFERROR(INDEX(Crosswalk_API!$H$2:$H$527, MATCH(POTABLE_NONPOTABLE_API[[#This Row],[PWSID]], CW_PWSID_LIST, 0)), "")</f>
        <v>No</v>
      </c>
    </row>
    <row r="3064" spans="1:24" x14ac:dyDescent="0.25">
      <c r="A3064" t="s">
        <v>1639</v>
      </c>
      <c r="B3064" t="s">
        <v>1640</v>
      </c>
      <c r="C3064" t="s">
        <v>1641</v>
      </c>
      <c r="D3064" t="s">
        <v>1642</v>
      </c>
      <c r="E3064" s="9">
        <v>45170</v>
      </c>
      <c r="F3064" s="9">
        <v>45199</v>
      </c>
      <c r="G3064">
        <v>143938162.23000002</v>
      </c>
      <c r="H3064">
        <v>34797628.289999999</v>
      </c>
      <c r="I3064">
        <v>25566269.459999997</v>
      </c>
      <c r="J3064">
        <v>2297249.5499999998</v>
      </c>
      <c r="K3064">
        <v>2926141.98</v>
      </c>
      <c r="L3064">
        <v>534395.64</v>
      </c>
      <c r="M3064">
        <v>0</v>
      </c>
      <c r="T3064" s="9">
        <v>45108</v>
      </c>
      <c r="U3064" s="9">
        <v>45473</v>
      </c>
      <c r="V3064">
        <f>SUM(POTABLE_NONPOTABLE_API[[#This Row],[RESIDENTIAL_SINGLEFAMILY_GAL]:[OTHER_GAL]])</f>
        <v>210059847.15000001</v>
      </c>
      <c r="W3064">
        <f>SUM(POTABLE_NONPOTABLE_API[[#This Row],[NONPOTABLE_DEMAND_RESIDENTIAL_RECYCLED_WATER_GAL]:[NONPOTABLE_DEMAND_NONRESIDENTIAL_METERED_IRRIGATION_GAL]])</f>
        <v>0</v>
      </c>
      <c r="X3064" t="str">
        <f>IFERROR(INDEX(Crosswalk_API!$H$2:$H$527, MATCH(POTABLE_NONPOTABLE_API[[#This Row],[PWSID]], CW_PWSID_LIST, 0)), "")</f>
        <v>No</v>
      </c>
    </row>
    <row r="3065" spans="1:24" x14ac:dyDescent="0.25">
      <c r="A3065" t="s">
        <v>1639</v>
      </c>
      <c r="B3065" t="s">
        <v>1640</v>
      </c>
      <c r="C3065" t="s">
        <v>1641</v>
      </c>
      <c r="D3065" t="s">
        <v>1642</v>
      </c>
      <c r="E3065" s="9">
        <v>45200</v>
      </c>
      <c r="F3065" s="9">
        <v>45230</v>
      </c>
      <c r="G3065">
        <v>143938162.23000002</v>
      </c>
      <c r="H3065">
        <v>34797628.289999999</v>
      </c>
      <c r="I3065">
        <v>25566269.459999997</v>
      </c>
      <c r="J3065">
        <v>2297249.5499999998</v>
      </c>
      <c r="K3065">
        <v>2926141.98</v>
      </c>
      <c r="L3065">
        <v>534395.64</v>
      </c>
      <c r="M3065">
        <v>0</v>
      </c>
      <c r="T3065" s="9">
        <v>45108</v>
      </c>
      <c r="U3065" s="9">
        <v>45473</v>
      </c>
      <c r="V3065">
        <f>SUM(POTABLE_NONPOTABLE_API[[#This Row],[RESIDENTIAL_SINGLEFAMILY_GAL]:[OTHER_GAL]])</f>
        <v>210059847.15000001</v>
      </c>
      <c r="W3065">
        <f>SUM(POTABLE_NONPOTABLE_API[[#This Row],[NONPOTABLE_DEMAND_RESIDENTIAL_RECYCLED_WATER_GAL]:[NONPOTABLE_DEMAND_NONRESIDENTIAL_METERED_IRRIGATION_GAL]])</f>
        <v>0</v>
      </c>
      <c r="X3065" t="str">
        <f>IFERROR(INDEX(Crosswalk_API!$H$2:$H$527, MATCH(POTABLE_NONPOTABLE_API[[#This Row],[PWSID]], CW_PWSID_LIST, 0)), "")</f>
        <v>No</v>
      </c>
    </row>
    <row r="3066" spans="1:24" x14ac:dyDescent="0.25">
      <c r="A3066" t="s">
        <v>1639</v>
      </c>
      <c r="B3066" t="s">
        <v>1640</v>
      </c>
      <c r="C3066" t="s">
        <v>1641</v>
      </c>
      <c r="D3066" t="s">
        <v>1642</v>
      </c>
      <c r="E3066" s="9">
        <v>45231</v>
      </c>
      <c r="F3066" s="9">
        <v>45260</v>
      </c>
      <c r="G3066">
        <v>112897595.97000001</v>
      </c>
      <c r="H3066">
        <v>33331298.790000003</v>
      </c>
      <c r="I3066">
        <v>21124920.329999998</v>
      </c>
      <c r="J3066">
        <v>1974657.0599999998</v>
      </c>
      <c r="K3066">
        <v>2189718.7199999997</v>
      </c>
      <c r="L3066">
        <v>628892.42999999993</v>
      </c>
      <c r="M3066">
        <v>0</v>
      </c>
      <c r="T3066" s="9">
        <v>45108</v>
      </c>
      <c r="U3066" s="9">
        <v>45473</v>
      </c>
      <c r="V3066">
        <f>SUM(POTABLE_NONPOTABLE_API[[#This Row],[RESIDENTIAL_SINGLEFAMILY_GAL]:[OTHER_GAL]])</f>
        <v>172147083.30000004</v>
      </c>
      <c r="W3066">
        <f>SUM(POTABLE_NONPOTABLE_API[[#This Row],[NONPOTABLE_DEMAND_RESIDENTIAL_RECYCLED_WATER_GAL]:[NONPOTABLE_DEMAND_NONRESIDENTIAL_METERED_IRRIGATION_GAL]])</f>
        <v>0</v>
      </c>
      <c r="X3066" t="str">
        <f>IFERROR(INDEX(Crosswalk_API!$H$2:$H$527, MATCH(POTABLE_NONPOTABLE_API[[#This Row],[PWSID]], CW_PWSID_LIST, 0)), "")</f>
        <v>No</v>
      </c>
    </row>
    <row r="3067" spans="1:24" x14ac:dyDescent="0.25">
      <c r="A3067" t="s">
        <v>1639</v>
      </c>
      <c r="B3067" t="s">
        <v>1640</v>
      </c>
      <c r="C3067" t="s">
        <v>1641</v>
      </c>
      <c r="D3067" t="s">
        <v>1642</v>
      </c>
      <c r="E3067" s="9">
        <v>45261</v>
      </c>
      <c r="F3067" s="9">
        <v>45291</v>
      </c>
      <c r="G3067">
        <v>112897595.97000001</v>
      </c>
      <c r="H3067">
        <v>33331298.790000003</v>
      </c>
      <c r="I3067">
        <v>21124920.329999998</v>
      </c>
      <c r="J3067">
        <v>1974657.0599999998</v>
      </c>
      <c r="K3067">
        <v>2189718.7199999997</v>
      </c>
      <c r="L3067">
        <v>628892.42999999993</v>
      </c>
      <c r="M3067">
        <v>0</v>
      </c>
      <c r="T3067" s="9">
        <v>45108</v>
      </c>
      <c r="U3067" s="9">
        <v>45473</v>
      </c>
      <c r="V3067">
        <f>SUM(POTABLE_NONPOTABLE_API[[#This Row],[RESIDENTIAL_SINGLEFAMILY_GAL]:[OTHER_GAL]])</f>
        <v>172147083.30000004</v>
      </c>
      <c r="W3067">
        <f>SUM(POTABLE_NONPOTABLE_API[[#This Row],[NONPOTABLE_DEMAND_RESIDENTIAL_RECYCLED_WATER_GAL]:[NONPOTABLE_DEMAND_NONRESIDENTIAL_METERED_IRRIGATION_GAL]])</f>
        <v>0</v>
      </c>
      <c r="X3067" t="str">
        <f>IFERROR(INDEX(Crosswalk_API!$H$2:$H$527, MATCH(POTABLE_NONPOTABLE_API[[#This Row],[PWSID]], CW_PWSID_LIST, 0)), "")</f>
        <v>No</v>
      </c>
    </row>
    <row r="3068" spans="1:24" x14ac:dyDescent="0.25">
      <c r="A3068" t="s">
        <v>1639</v>
      </c>
      <c r="B3068" t="s">
        <v>1640</v>
      </c>
      <c r="C3068" t="s">
        <v>1641</v>
      </c>
      <c r="D3068" t="s">
        <v>1642</v>
      </c>
      <c r="E3068" s="9">
        <v>45292</v>
      </c>
      <c r="F3068" s="9">
        <v>45322</v>
      </c>
      <c r="G3068">
        <v>68005103.700000003</v>
      </c>
      <c r="H3068">
        <v>28410948.689999998</v>
      </c>
      <c r="I3068">
        <v>18615867.630000003</v>
      </c>
      <c r="J3068">
        <v>1055757.24</v>
      </c>
      <c r="K3068">
        <v>2134324.0499999998</v>
      </c>
      <c r="L3068">
        <v>254163.78</v>
      </c>
      <c r="M3068">
        <v>0</v>
      </c>
      <c r="T3068" s="9">
        <v>45108</v>
      </c>
      <c r="U3068" s="9">
        <v>45473</v>
      </c>
      <c r="V3068">
        <f>SUM(POTABLE_NONPOTABLE_API[[#This Row],[RESIDENTIAL_SINGLEFAMILY_GAL]:[OTHER_GAL]])</f>
        <v>118476165.09</v>
      </c>
      <c r="W3068">
        <f>SUM(POTABLE_NONPOTABLE_API[[#This Row],[NONPOTABLE_DEMAND_RESIDENTIAL_RECYCLED_WATER_GAL]:[NONPOTABLE_DEMAND_NONRESIDENTIAL_METERED_IRRIGATION_GAL]])</f>
        <v>0</v>
      </c>
      <c r="X3068" t="str">
        <f>IFERROR(INDEX(Crosswalk_API!$H$2:$H$527, MATCH(POTABLE_NONPOTABLE_API[[#This Row],[PWSID]], CW_PWSID_LIST, 0)), "")</f>
        <v>No</v>
      </c>
    </row>
    <row r="3069" spans="1:24" x14ac:dyDescent="0.25">
      <c r="A3069" t="s">
        <v>1639</v>
      </c>
      <c r="B3069" t="s">
        <v>1640</v>
      </c>
      <c r="C3069" t="s">
        <v>1641</v>
      </c>
      <c r="D3069" t="s">
        <v>1642</v>
      </c>
      <c r="E3069" s="9">
        <v>45323</v>
      </c>
      <c r="F3069" s="9">
        <v>45351</v>
      </c>
      <c r="G3069">
        <v>68005103.700000003</v>
      </c>
      <c r="H3069">
        <v>28410948.689999998</v>
      </c>
      <c r="I3069">
        <v>18615867.630000003</v>
      </c>
      <c r="J3069">
        <v>1055757.24</v>
      </c>
      <c r="K3069">
        <v>2134324.0499999998</v>
      </c>
      <c r="L3069">
        <v>254163.78</v>
      </c>
      <c r="M3069">
        <v>0</v>
      </c>
      <c r="T3069" s="9">
        <v>45108</v>
      </c>
      <c r="U3069" s="9">
        <v>45473</v>
      </c>
      <c r="V3069">
        <f>SUM(POTABLE_NONPOTABLE_API[[#This Row],[RESIDENTIAL_SINGLEFAMILY_GAL]:[OTHER_GAL]])</f>
        <v>118476165.09</v>
      </c>
      <c r="W3069">
        <f>SUM(POTABLE_NONPOTABLE_API[[#This Row],[NONPOTABLE_DEMAND_RESIDENTIAL_RECYCLED_WATER_GAL]:[NONPOTABLE_DEMAND_NONRESIDENTIAL_METERED_IRRIGATION_GAL]])</f>
        <v>0</v>
      </c>
      <c r="X3069" t="str">
        <f>IFERROR(INDEX(Crosswalk_API!$H$2:$H$527, MATCH(POTABLE_NONPOTABLE_API[[#This Row],[PWSID]], CW_PWSID_LIST, 0)), "")</f>
        <v>No</v>
      </c>
    </row>
    <row r="3070" spans="1:24" x14ac:dyDescent="0.25">
      <c r="A3070" t="s">
        <v>1639</v>
      </c>
      <c r="B3070" t="s">
        <v>1640</v>
      </c>
      <c r="C3070" t="s">
        <v>1641</v>
      </c>
      <c r="D3070" t="s">
        <v>1642</v>
      </c>
      <c r="E3070" s="9">
        <v>45352</v>
      </c>
      <c r="F3070" s="9">
        <v>45382</v>
      </c>
      <c r="G3070">
        <v>93128215.799999997</v>
      </c>
      <c r="H3070">
        <v>28707473.099999998</v>
      </c>
      <c r="I3070">
        <v>20476476.84</v>
      </c>
      <c r="J3070">
        <v>876539.19</v>
      </c>
      <c r="K3070">
        <v>2339610.1799999997</v>
      </c>
      <c r="L3070">
        <v>228095.69999999998</v>
      </c>
      <c r="M3070">
        <v>0</v>
      </c>
      <c r="T3070" s="9">
        <v>45108</v>
      </c>
      <c r="U3070" s="9">
        <v>45473</v>
      </c>
      <c r="V3070">
        <f>SUM(POTABLE_NONPOTABLE_API[[#This Row],[RESIDENTIAL_SINGLEFAMILY_GAL]:[OTHER_GAL]])</f>
        <v>145756410.80999997</v>
      </c>
      <c r="W3070">
        <f>SUM(POTABLE_NONPOTABLE_API[[#This Row],[NONPOTABLE_DEMAND_RESIDENTIAL_RECYCLED_WATER_GAL]:[NONPOTABLE_DEMAND_NONRESIDENTIAL_METERED_IRRIGATION_GAL]])</f>
        <v>0</v>
      </c>
      <c r="X3070" t="str">
        <f>IFERROR(INDEX(Crosswalk_API!$H$2:$H$527, MATCH(POTABLE_NONPOTABLE_API[[#This Row],[PWSID]], CW_PWSID_LIST, 0)), "")</f>
        <v>No</v>
      </c>
    </row>
    <row r="3071" spans="1:24" x14ac:dyDescent="0.25">
      <c r="A3071" t="s">
        <v>1639</v>
      </c>
      <c r="B3071" t="s">
        <v>1640</v>
      </c>
      <c r="C3071" t="s">
        <v>1641</v>
      </c>
      <c r="D3071" t="s">
        <v>1642</v>
      </c>
      <c r="E3071" s="9">
        <v>45383</v>
      </c>
      <c r="F3071" s="9">
        <v>45412</v>
      </c>
      <c r="G3071">
        <v>93128215.799999997</v>
      </c>
      <c r="H3071">
        <v>28707473.099999998</v>
      </c>
      <c r="I3071">
        <v>20476476.84</v>
      </c>
      <c r="J3071">
        <v>876539.19</v>
      </c>
      <c r="K3071">
        <v>2339610.1799999997</v>
      </c>
      <c r="L3071">
        <v>228095.69999999998</v>
      </c>
      <c r="M3071">
        <v>0</v>
      </c>
      <c r="T3071" s="9">
        <v>45108</v>
      </c>
      <c r="U3071" s="9">
        <v>45473</v>
      </c>
      <c r="V3071">
        <f>SUM(POTABLE_NONPOTABLE_API[[#This Row],[RESIDENTIAL_SINGLEFAMILY_GAL]:[OTHER_GAL]])</f>
        <v>145756410.80999997</v>
      </c>
      <c r="W3071">
        <f>SUM(POTABLE_NONPOTABLE_API[[#This Row],[NONPOTABLE_DEMAND_RESIDENTIAL_RECYCLED_WATER_GAL]:[NONPOTABLE_DEMAND_NONRESIDENTIAL_METERED_IRRIGATION_GAL]])</f>
        <v>0</v>
      </c>
      <c r="X3071" t="str">
        <f>IFERROR(INDEX(Crosswalk_API!$H$2:$H$527, MATCH(POTABLE_NONPOTABLE_API[[#This Row],[PWSID]], CW_PWSID_LIST, 0)), "")</f>
        <v>No</v>
      </c>
    </row>
    <row r="3072" spans="1:24" x14ac:dyDescent="0.25">
      <c r="A3072" t="s">
        <v>1639</v>
      </c>
      <c r="B3072" t="s">
        <v>1640</v>
      </c>
      <c r="C3072" t="s">
        <v>1641</v>
      </c>
      <c r="D3072" t="s">
        <v>1642</v>
      </c>
      <c r="E3072" s="9">
        <v>45413</v>
      </c>
      <c r="F3072" s="9">
        <v>45443</v>
      </c>
      <c r="G3072">
        <v>135710424.48000002</v>
      </c>
      <c r="H3072">
        <v>32578582.98</v>
      </c>
      <c r="I3072">
        <v>23640490.050000001</v>
      </c>
      <c r="J3072">
        <v>2157133.62</v>
      </c>
      <c r="K3072">
        <v>2163650.6399999997</v>
      </c>
      <c r="L3072">
        <v>443157.36000000004</v>
      </c>
      <c r="M3072">
        <v>0</v>
      </c>
      <c r="T3072" s="9">
        <v>45108</v>
      </c>
      <c r="U3072" s="9">
        <v>45473</v>
      </c>
      <c r="V3072">
        <f>SUM(POTABLE_NONPOTABLE_API[[#This Row],[RESIDENTIAL_SINGLEFAMILY_GAL]:[OTHER_GAL]])</f>
        <v>196693439.13000003</v>
      </c>
      <c r="W3072">
        <f>SUM(POTABLE_NONPOTABLE_API[[#This Row],[NONPOTABLE_DEMAND_RESIDENTIAL_RECYCLED_WATER_GAL]:[NONPOTABLE_DEMAND_NONRESIDENTIAL_METERED_IRRIGATION_GAL]])</f>
        <v>0</v>
      </c>
      <c r="X3072" t="str">
        <f>IFERROR(INDEX(Crosswalk_API!$H$2:$H$527, MATCH(POTABLE_NONPOTABLE_API[[#This Row],[PWSID]], CW_PWSID_LIST, 0)), "")</f>
        <v>No</v>
      </c>
    </row>
    <row r="3073" spans="1:24" x14ac:dyDescent="0.25">
      <c r="A3073" t="s">
        <v>1639</v>
      </c>
      <c r="B3073" t="s">
        <v>1640</v>
      </c>
      <c r="C3073" t="s">
        <v>1641</v>
      </c>
      <c r="D3073" t="s">
        <v>1642</v>
      </c>
      <c r="E3073" s="9">
        <v>45444</v>
      </c>
      <c r="F3073" s="9">
        <v>45473</v>
      </c>
      <c r="G3073">
        <v>135710424.48000002</v>
      </c>
      <c r="H3073">
        <v>32578582.98</v>
      </c>
      <c r="I3073">
        <v>23640490.050000001</v>
      </c>
      <c r="J3073">
        <v>2157133.62</v>
      </c>
      <c r="K3073">
        <v>2163650.6399999997</v>
      </c>
      <c r="L3073">
        <v>443157.36000000004</v>
      </c>
      <c r="M3073">
        <v>0</v>
      </c>
      <c r="T3073" s="9">
        <v>45108</v>
      </c>
      <c r="U3073" s="9">
        <v>45473</v>
      </c>
      <c r="V3073">
        <f>SUM(POTABLE_NONPOTABLE_API[[#This Row],[RESIDENTIAL_SINGLEFAMILY_GAL]:[OTHER_GAL]])</f>
        <v>196693439.13000003</v>
      </c>
      <c r="W3073">
        <f>SUM(POTABLE_NONPOTABLE_API[[#This Row],[NONPOTABLE_DEMAND_RESIDENTIAL_RECYCLED_WATER_GAL]:[NONPOTABLE_DEMAND_NONRESIDENTIAL_METERED_IRRIGATION_GAL]])</f>
        <v>0</v>
      </c>
      <c r="X3073" t="str">
        <f>IFERROR(INDEX(Crosswalk_API!$H$2:$H$527, MATCH(POTABLE_NONPOTABLE_API[[#This Row],[PWSID]], CW_PWSID_LIST, 0)), "")</f>
        <v>No</v>
      </c>
    </row>
    <row r="3074" spans="1:24" x14ac:dyDescent="0.25">
      <c r="A3074" t="s">
        <v>1643</v>
      </c>
      <c r="B3074" t="s">
        <v>1644</v>
      </c>
      <c r="C3074" t="s">
        <v>1645</v>
      </c>
      <c r="D3074" t="s">
        <v>1646</v>
      </c>
      <c r="E3074" s="9">
        <v>45108</v>
      </c>
      <c r="F3074" s="9">
        <v>45138</v>
      </c>
      <c r="G3074">
        <v>51279171.870000005</v>
      </c>
      <c r="H3074">
        <v>576756.27</v>
      </c>
      <c r="I3074">
        <v>2460175.0499999998</v>
      </c>
      <c r="J3074">
        <v>1599928.4100000001</v>
      </c>
      <c r="K3074">
        <v>0</v>
      </c>
      <c r="L3074">
        <v>22809.570000000003</v>
      </c>
      <c r="M3074">
        <v>0</v>
      </c>
      <c r="T3074" s="9">
        <v>45108</v>
      </c>
      <c r="U3074" s="9">
        <v>45473</v>
      </c>
      <c r="V3074">
        <f>SUM(POTABLE_NONPOTABLE_API[[#This Row],[RESIDENTIAL_SINGLEFAMILY_GAL]:[OTHER_GAL]])</f>
        <v>55938841.170000009</v>
      </c>
      <c r="W3074">
        <f>SUM(POTABLE_NONPOTABLE_API[[#This Row],[NONPOTABLE_DEMAND_RESIDENTIAL_RECYCLED_WATER_GAL]:[NONPOTABLE_DEMAND_NONRESIDENTIAL_METERED_IRRIGATION_GAL]])</f>
        <v>0</v>
      </c>
      <c r="X3074" t="str">
        <f>IFERROR(INDEX(Crosswalk_API!$H$2:$H$527, MATCH(POTABLE_NONPOTABLE_API[[#This Row],[PWSID]], CW_PWSID_LIST, 0)), "")</f>
        <v>No</v>
      </c>
    </row>
    <row r="3075" spans="1:24" x14ac:dyDescent="0.25">
      <c r="A3075" t="s">
        <v>1643</v>
      </c>
      <c r="B3075" t="s">
        <v>1644</v>
      </c>
      <c r="C3075" t="s">
        <v>1645</v>
      </c>
      <c r="D3075" t="s">
        <v>1646</v>
      </c>
      <c r="E3075" s="9">
        <v>45139</v>
      </c>
      <c r="F3075" s="9">
        <v>45169</v>
      </c>
      <c r="G3075">
        <v>51279171.870000005</v>
      </c>
      <c r="H3075">
        <v>576756.27</v>
      </c>
      <c r="I3075">
        <v>2460175.0499999998</v>
      </c>
      <c r="J3075">
        <v>1599928.4100000001</v>
      </c>
      <c r="K3075">
        <v>0</v>
      </c>
      <c r="L3075">
        <v>22809.570000000003</v>
      </c>
      <c r="M3075">
        <v>0</v>
      </c>
      <c r="T3075" s="9">
        <v>45108</v>
      </c>
      <c r="U3075" s="9">
        <v>45473</v>
      </c>
      <c r="V3075">
        <f>SUM(POTABLE_NONPOTABLE_API[[#This Row],[RESIDENTIAL_SINGLEFAMILY_GAL]:[OTHER_GAL]])</f>
        <v>55938841.170000009</v>
      </c>
      <c r="W3075">
        <f>SUM(POTABLE_NONPOTABLE_API[[#This Row],[NONPOTABLE_DEMAND_RESIDENTIAL_RECYCLED_WATER_GAL]:[NONPOTABLE_DEMAND_NONRESIDENTIAL_METERED_IRRIGATION_GAL]])</f>
        <v>0</v>
      </c>
      <c r="X3075" t="str">
        <f>IFERROR(INDEX(Crosswalk_API!$H$2:$H$527, MATCH(POTABLE_NONPOTABLE_API[[#This Row],[PWSID]], CW_PWSID_LIST, 0)), "")</f>
        <v>No</v>
      </c>
    </row>
    <row r="3076" spans="1:24" x14ac:dyDescent="0.25">
      <c r="A3076" t="s">
        <v>1643</v>
      </c>
      <c r="B3076" t="s">
        <v>1644</v>
      </c>
      <c r="C3076" t="s">
        <v>1645</v>
      </c>
      <c r="D3076" t="s">
        <v>1646</v>
      </c>
      <c r="E3076" s="9">
        <v>45170</v>
      </c>
      <c r="F3076" s="9">
        <v>45199</v>
      </c>
      <c r="G3076">
        <v>42399732.120000005</v>
      </c>
      <c r="H3076">
        <v>384504.18</v>
      </c>
      <c r="I3076">
        <v>2043085.7699999998</v>
      </c>
      <c r="J3076">
        <v>1528241.1900000002</v>
      </c>
      <c r="K3076">
        <v>0</v>
      </c>
      <c r="L3076">
        <v>71687.22</v>
      </c>
      <c r="M3076">
        <v>0</v>
      </c>
      <c r="T3076" s="9">
        <v>45108</v>
      </c>
      <c r="U3076" s="9">
        <v>45473</v>
      </c>
      <c r="V3076">
        <f>SUM(POTABLE_NONPOTABLE_API[[#This Row],[RESIDENTIAL_SINGLEFAMILY_GAL]:[OTHER_GAL]])</f>
        <v>46427250.480000004</v>
      </c>
      <c r="W3076">
        <f>SUM(POTABLE_NONPOTABLE_API[[#This Row],[NONPOTABLE_DEMAND_RESIDENTIAL_RECYCLED_WATER_GAL]:[NONPOTABLE_DEMAND_NONRESIDENTIAL_METERED_IRRIGATION_GAL]])</f>
        <v>0</v>
      </c>
      <c r="X3076" t="str">
        <f>IFERROR(INDEX(Crosswalk_API!$H$2:$H$527, MATCH(POTABLE_NONPOTABLE_API[[#This Row],[PWSID]], CW_PWSID_LIST, 0)), "")</f>
        <v>No</v>
      </c>
    </row>
    <row r="3077" spans="1:24" x14ac:dyDescent="0.25">
      <c r="A3077" t="s">
        <v>1643</v>
      </c>
      <c r="B3077" t="s">
        <v>1644</v>
      </c>
      <c r="C3077" t="s">
        <v>1645</v>
      </c>
      <c r="D3077" t="s">
        <v>1646</v>
      </c>
      <c r="E3077" s="9">
        <v>45200</v>
      </c>
      <c r="F3077" s="9">
        <v>45230</v>
      </c>
      <c r="G3077">
        <v>42399732.120000005</v>
      </c>
      <c r="H3077">
        <v>384504.18</v>
      </c>
      <c r="I3077">
        <v>2043085.7699999998</v>
      </c>
      <c r="J3077">
        <v>1528241.1900000002</v>
      </c>
      <c r="K3077">
        <v>0</v>
      </c>
      <c r="L3077">
        <v>71687.22</v>
      </c>
      <c r="M3077">
        <v>0</v>
      </c>
      <c r="T3077" s="9">
        <v>45108</v>
      </c>
      <c r="U3077" s="9">
        <v>45473</v>
      </c>
      <c r="V3077">
        <f>SUM(POTABLE_NONPOTABLE_API[[#This Row],[RESIDENTIAL_SINGLEFAMILY_GAL]:[OTHER_GAL]])</f>
        <v>46427250.480000004</v>
      </c>
      <c r="W3077">
        <f>SUM(POTABLE_NONPOTABLE_API[[#This Row],[NONPOTABLE_DEMAND_RESIDENTIAL_RECYCLED_WATER_GAL]:[NONPOTABLE_DEMAND_NONRESIDENTIAL_METERED_IRRIGATION_GAL]])</f>
        <v>0</v>
      </c>
      <c r="X3077" t="str">
        <f>IFERROR(INDEX(Crosswalk_API!$H$2:$H$527, MATCH(POTABLE_NONPOTABLE_API[[#This Row],[PWSID]], CW_PWSID_LIST, 0)), "")</f>
        <v>No</v>
      </c>
    </row>
    <row r="3078" spans="1:24" x14ac:dyDescent="0.25">
      <c r="A3078" t="s">
        <v>1643</v>
      </c>
      <c r="B3078" t="s">
        <v>1644</v>
      </c>
      <c r="C3078" t="s">
        <v>1645</v>
      </c>
      <c r="D3078" t="s">
        <v>1646</v>
      </c>
      <c r="E3078" s="9">
        <v>45231</v>
      </c>
      <c r="F3078" s="9">
        <v>45260</v>
      </c>
      <c r="G3078">
        <v>31581478.920000002</v>
      </c>
      <c r="H3078">
        <v>283490.37</v>
      </c>
      <c r="I3078">
        <v>1342506.12</v>
      </c>
      <c r="J3078">
        <v>661477.52999999991</v>
      </c>
      <c r="K3078">
        <v>0</v>
      </c>
      <c r="L3078">
        <v>22809.570000000003</v>
      </c>
      <c r="M3078">
        <v>0</v>
      </c>
      <c r="T3078" s="9">
        <v>45108</v>
      </c>
      <c r="U3078" s="9">
        <v>45473</v>
      </c>
      <c r="V3078">
        <f>SUM(POTABLE_NONPOTABLE_API[[#This Row],[RESIDENTIAL_SINGLEFAMILY_GAL]:[OTHER_GAL]])</f>
        <v>33891762.510000005</v>
      </c>
      <c r="W3078">
        <f>SUM(POTABLE_NONPOTABLE_API[[#This Row],[NONPOTABLE_DEMAND_RESIDENTIAL_RECYCLED_WATER_GAL]:[NONPOTABLE_DEMAND_NONRESIDENTIAL_METERED_IRRIGATION_GAL]])</f>
        <v>0</v>
      </c>
      <c r="X3078" t="str">
        <f>IFERROR(INDEX(Crosswalk_API!$H$2:$H$527, MATCH(POTABLE_NONPOTABLE_API[[#This Row],[PWSID]], CW_PWSID_LIST, 0)), "")</f>
        <v>No</v>
      </c>
    </row>
    <row r="3079" spans="1:24" x14ac:dyDescent="0.25">
      <c r="A3079" t="s">
        <v>1643</v>
      </c>
      <c r="B3079" t="s">
        <v>1644</v>
      </c>
      <c r="C3079" t="s">
        <v>1645</v>
      </c>
      <c r="D3079" t="s">
        <v>1646</v>
      </c>
      <c r="E3079" s="9">
        <v>45261</v>
      </c>
      <c r="F3079" s="9">
        <v>45291</v>
      </c>
      <c r="G3079">
        <v>31581478.920000002</v>
      </c>
      <c r="H3079">
        <v>283490.37</v>
      </c>
      <c r="I3079">
        <v>1342506.12</v>
      </c>
      <c r="J3079">
        <v>661477.52999999991</v>
      </c>
      <c r="K3079">
        <v>0</v>
      </c>
      <c r="L3079">
        <v>22809.570000000003</v>
      </c>
      <c r="M3079">
        <v>0</v>
      </c>
      <c r="T3079" s="9">
        <v>45108</v>
      </c>
      <c r="U3079" s="9">
        <v>45473</v>
      </c>
      <c r="V3079">
        <f>SUM(POTABLE_NONPOTABLE_API[[#This Row],[RESIDENTIAL_SINGLEFAMILY_GAL]:[OTHER_GAL]])</f>
        <v>33891762.510000005</v>
      </c>
      <c r="W3079">
        <f>SUM(POTABLE_NONPOTABLE_API[[#This Row],[NONPOTABLE_DEMAND_RESIDENTIAL_RECYCLED_WATER_GAL]:[NONPOTABLE_DEMAND_NONRESIDENTIAL_METERED_IRRIGATION_GAL]])</f>
        <v>0</v>
      </c>
      <c r="X3079" t="str">
        <f>IFERROR(INDEX(Crosswalk_API!$H$2:$H$527, MATCH(POTABLE_NONPOTABLE_API[[#This Row],[PWSID]], CW_PWSID_LIST, 0)), "")</f>
        <v>No</v>
      </c>
    </row>
    <row r="3080" spans="1:24" x14ac:dyDescent="0.25">
      <c r="A3080" t="s">
        <v>1643</v>
      </c>
      <c r="B3080" t="s">
        <v>1644</v>
      </c>
      <c r="C3080" t="s">
        <v>1645</v>
      </c>
      <c r="D3080" t="s">
        <v>1646</v>
      </c>
      <c r="E3080" s="9">
        <v>45292</v>
      </c>
      <c r="F3080" s="9">
        <v>45322</v>
      </c>
      <c r="G3080">
        <v>24605009.010000002</v>
      </c>
      <c r="H3080">
        <v>263939.31</v>
      </c>
      <c r="I3080">
        <v>808110.48</v>
      </c>
      <c r="J3080">
        <v>61911.69</v>
      </c>
      <c r="K3080">
        <v>0</v>
      </c>
      <c r="L3080">
        <v>3258.51</v>
      </c>
      <c r="M3080">
        <v>0</v>
      </c>
      <c r="T3080" s="9">
        <v>45108</v>
      </c>
      <c r="U3080" s="9">
        <v>45473</v>
      </c>
      <c r="V3080">
        <f>SUM(POTABLE_NONPOTABLE_API[[#This Row],[RESIDENTIAL_SINGLEFAMILY_GAL]:[OTHER_GAL]])</f>
        <v>25742229.000000004</v>
      </c>
      <c r="W3080">
        <f>SUM(POTABLE_NONPOTABLE_API[[#This Row],[NONPOTABLE_DEMAND_RESIDENTIAL_RECYCLED_WATER_GAL]:[NONPOTABLE_DEMAND_NONRESIDENTIAL_METERED_IRRIGATION_GAL]])</f>
        <v>0</v>
      </c>
      <c r="X3080" t="str">
        <f>IFERROR(INDEX(Crosswalk_API!$H$2:$H$527, MATCH(POTABLE_NONPOTABLE_API[[#This Row],[PWSID]], CW_PWSID_LIST, 0)), "")</f>
        <v>No</v>
      </c>
    </row>
    <row r="3081" spans="1:24" x14ac:dyDescent="0.25">
      <c r="A3081" t="s">
        <v>1643</v>
      </c>
      <c r="B3081" t="s">
        <v>1644</v>
      </c>
      <c r="C3081" t="s">
        <v>1645</v>
      </c>
      <c r="D3081" t="s">
        <v>1646</v>
      </c>
      <c r="E3081" s="9">
        <v>45323</v>
      </c>
      <c r="F3081" s="9">
        <v>45351</v>
      </c>
      <c r="G3081">
        <v>24605009.010000002</v>
      </c>
      <c r="H3081">
        <v>263939.31</v>
      </c>
      <c r="I3081">
        <v>808110.48</v>
      </c>
      <c r="J3081">
        <v>61911.69</v>
      </c>
      <c r="K3081">
        <v>0</v>
      </c>
      <c r="L3081">
        <v>3258.51</v>
      </c>
      <c r="M3081">
        <v>0</v>
      </c>
      <c r="T3081" s="9">
        <v>45108</v>
      </c>
      <c r="U3081" s="9">
        <v>45473</v>
      </c>
      <c r="V3081">
        <f>SUM(POTABLE_NONPOTABLE_API[[#This Row],[RESIDENTIAL_SINGLEFAMILY_GAL]:[OTHER_GAL]])</f>
        <v>25742229.000000004</v>
      </c>
      <c r="W3081">
        <f>SUM(POTABLE_NONPOTABLE_API[[#This Row],[NONPOTABLE_DEMAND_RESIDENTIAL_RECYCLED_WATER_GAL]:[NONPOTABLE_DEMAND_NONRESIDENTIAL_METERED_IRRIGATION_GAL]])</f>
        <v>0</v>
      </c>
      <c r="X3081" t="str">
        <f>IFERROR(INDEX(Crosswalk_API!$H$2:$H$527, MATCH(POTABLE_NONPOTABLE_API[[#This Row],[PWSID]], CW_PWSID_LIST, 0)), "")</f>
        <v>No</v>
      </c>
    </row>
    <row r="3082" spans="1:24" x14ac:dyDescent="0.25">
      <c r="A3082" t="s">
        <v>1643</v>
      </c>
      <c r="B3082" t="s">
        <v>1644</v>
      </c>
      <c r="C3082" t="s">
        <v>1645</v>
      </c>
      <c r="D3082" t="s">
        <v>1646</v>
      </c>
      <c r="E3082" s="9">
        <v>45352</v>
      </c>
      <c r="F3082" s="9">
        <v>45382</v>
      </c>
      <c r="G3082">
        <v>25204574.849999998</v>
      </c>
      <c r="H3082">
        <v>237871.22999999998</v>
      </c>
      <c r="I3082">
        <v>821144.52</v>
      </c>
      <c r="J3082">
        <v>48877.65</v>
      </c>
      <c r="K3082">
        <v>0</v>
      </c>
      <c r="L3082">
        <v>6517.02</v>
      </c>
      <c r="M3082">
        <v>0</v>
      </c>
      <c r="T3082" s="9">
        <v>45108</v>
      </c>
      <c r="U3082" s="9">
        <v>45473</v>
      </c>
      <c r="V3082">
        <f>SUM(POTABLE_NONPOTABLE_API[[#This Row],[RESIDENTIAL_SINGLEFAMILY_GAL]:[OTHER_GAL]])</f>
        <v>26318985.269999996</v>
      </c>
      <c r="W3082">
        <f>SUM(POTABLE_NONPOTABLE_API[[#This Row],[NONPOTABLE_DEMAND_RESIDENTIAL_RECYCLED_WATER_GAL]:[NONPOTABLE_DEMAND_NONRESIDENTIAL_METERED_IRRIGATION_GAL]])</f>
        <v>0</v>
      </c>
      <c r="X3082" t="str">
        <f>IFERROR(INDEX(Crosswalk_API!$H$2:$H$527, MATCH(POTABLE_NONPOTABLE_API[[#This Row],[PWSID]], CW_PWSID_LIST, 0)), "")</f>
        <v>No</v>
      </c>
    </row>
    <row r="3083" spans="1:24" x14ac:dyDescent="0.25">
      <c r="A3083" t="s">
        <v>1643</v>
      </c>
      <c r="B3083" t="s">
        <v>1644</v>
      </c>
      <c r="C3083" t="s">
        <v>1645</v>
      </c>
      <c r="D3083" t="s">
        <v>1646</v>
      </c>
      <c r="E3083" s="9">
        <v>45383</v>
      </c>
      <c r="F3083" s="9">
        <v>45412</v>
      </c>
      <c r="G3083">
        <v>25204574.849999998</v>
      </c>
      <c r="H3083">
        <v>237871.22999999998</v>
      </c>
      <c r="I3083">
        <v>821144.52</v>
      </c>
      <c r="J3083">
        <v>48877.65</v>
      </c>
      <c r="K3083">
        <v>0</v>
      </c>
      <c r="L3083">
        <v>6517.02</v>
      </c>
      <c r="M3083">
        <v>0</v>
      </c>
      <c r="T3083" s="9">
        <v>45108</v>
      </c>
      <c r="U3083" s="9">
        <v>45473</v>
      </c>
      <c r="V3083">
        <f>SUM(POTABLE_NONPOTABLE_API[[#This Row],[RESIDENTIAL_SINGLEFAMILY_GAL]:[OTHER_GAL]])</f>
        <v>26318985.269999996</v>
      </c>
      <c r="W3083">
        <f>SUM(POTABLE_NONPOTABLE_API[[#This Row],[NONPOTABLE_DEMAND_RESIDENTIAL_RECYCLED_WATER_GAL]:[NONPOTABLE_DEMAND_NONRESIDENTIAL_METERED_IRRIGATION_GAL]])</f>
        <v>0</v>
      </c>
      <c r="X3083" t="str">
        <f>IFERROR(INDEX(Crosswalk_API!$H$2:$H$527, MATCH(POTABLE_NONPOTABLE_API[[#This Row],[PWSID]], CW_PWSID_LIST, 0)), "")</f>
        <v>No</v>
      </c>
    </row>
    <row r="3084" spans="1:24" x14ac:dyDescent="0.25">
      <c r="A3084" t="s">
        <v>1643</v>
      </c>
      <c r="B3084" t="s">
        <v>1644</v>
      </c>
      <c r="C3084" t="s">
        <v>1645</v>
      </c>
      <c r="D3084" t="s">
        <v>1646</v>
      </c>
      <c r="E3084" s="9">
        <v>45413</v>
      </c>
      <c r="F3084" s="9">
        <v>45443</v>
      </c>
      <c r="G3084">
        <v>39118412.549999997</v>
      </c>
      <c r="H3084">
        <v>404055.24</v>
      </c>
      <c r="I3084">
        <v>1743302.8499999999</v>
      </c>
      <c r="J3084">
        <v>1153512.54</v>
      </c>
      <c r="K3084">
        <v>0</v>
      </c>
      <c r="L3084">
        <v>19551.059999999998</v>
      </c>
      <c r="M3084">
        <v>0</v>
      </c>
      <c r="T3084" s="9">
        <v>45108</v>
      </c>
      <c r="U3084" s="9">
        <v>45473</v>
      </c>
      <c r="V3084">
        <f>SUM(POTABLE_NONPOTABLE_API[[#This Row],[RESIDENTIAL_SINGLEFAMILY_GAL]:[OTHER_GAL]])</f>
        <v>42438834.240000002</v>
      </c>
      <c r="W3084">
        <f>SUM(POTABLE_NONPOTABLE_API[[#This Row],[NONPOTABLE_DEMAND_RESIDENTIAL_RECYCLED_WATER_GAL]:[NONPOTABLE_DEMAND_NONRESIDENTIAL_METERED_IRRIGATION_GAL]])</f>
        <v>0</v>
      </c>
      <c r="X3084" t="str">
        <f>IFERROR(INDEX(Crosswalk_API!$H$2:$H$527, MATCH(POTABLE_NONPOTABLE_API[[#This Row],[PWSID]], CW_PWSID_LIST, 0)), "")</f>
        <v>No</v>
      </c>
    </row>
    <row r="3085" spans="1:24" x14ac:dyDescent="0.25">
      <c r="A3085" t="s">
        <v>1643</v>
      </c>
      <c r="B3085" t="s">
        <v>1644</v>
      </c>
      <c r="C3085" t="s">
        <v>1645</v>
      </c>
      <c r="D3085" t="s">
        <v>1646</v>
      </c>
      <c r="E3085" s="9">
        <v>45444</v>
      </c>
      <c r="F3085" s="9">
        <v>45473</v>
      </c>
      <c r="G3085">
        <v>39118412.549999997</v>
      </c>
      <c r="H3085">
        <v>404055.24</v>
      </c>
      <c r="I3085">
        <v>1743302.8499999999</v>
      </c>
      <c r="J3085">
        <v>1153512.54</v>
      </c>
      <c r="K3085">
        <v>0</v>
      </c>
      <c r="L3085">
        <v>19551.059999999998</v>
      </c>
      <c r="M3085">
        <v>0</v>
      </c>
      <c r="T3085" s="9">
        <v>45108</v>
      </c>
      <c r="U3085" s="9">
        <v>45473</v>
      </c>
      <c r="V3085">
        <f>SUM(POTABLE_NONPOTABLE_API[[#This Row],[RESIDENTIAL_SINGLEFAMILY_GAL]:[OTHER_GAL]])</f>
        <v>42438834.240000002</v>
      </c>
      <c r="W3085">
        <f>SUM(POTABLE_NONPOTABLE_API[[#This Row],[NONPOTABLE_DEMAND_RESIDENTIAL_RECYCLED_WATER_GAL]:[NONPOTABLE_DEMAND_NONRESIDENTIAL_METERED_IRRIGATION_GAL]])</f>
        <v>0</v>
      </c>
      <c r="X3085" t="str">
        <f>IFERROR(INDEX(Crosswalk_API!$H$2:$H$527, MATCH(POTABLE_NONPOTABLE_API[[#This Row],[PWSID]], CW_PWSID_LIST, 0)), "")</f>
        <v>No</v>
      </c>
    </row>
    <row r="3086" spans="1:24" x14ac:dyDescent="0.25">
      <c r="A3086" t="s">
        <v>1643</v>
      </c>
      <c r="B3086" t="s">
        <v>1644</v>
      </c>
      <c r="C3086" t="s">
        <v>1647</v>
      </c>
      <c r="D3086" t="s">
        <v>1648</v>
      </c>
      <c r="E3086" s="9">
        <v>45108</v>
      </c>
      <c r="F3086" s="9">
        <v>45138</v>
      </c>
      <c r="G3086">
        <v>4245838.5299999993</v>
      </c>
      <c r="H3086">
        <v>583273.29</v>
      </c>
      <c r="I3086">
        <v>687545.61</v>
      </c>
      <c r="J3086">
        <v>0</v>
      </c>
      <c r="K3086">
        <v>0</v>
      </c>
      <c r="L3086">
        <v>0</v>
      </c>
      <c r="M3086">
        <v>0</v>
      </c>
      <c r="T3086" s="9">
        <v>45108</v>
      </c>
      <c r="U3086" s="9">
        <v>45473</v>
      </c>
      <c r="V3086">
        <f>SUM(POTABLE_NONPOTABLE_API[[#This Row],[RESIDENTIAL_SINGLEFAMILY_GAL]:[OTHER_GAL]])</f>
        <v>5516657.4299999997</v>
      </c>
      <c r="W3086">
        <f>SUM(POTABLE_NONPOTABLE_API[[#This Row],[NONPOTABLE_DEMAND_RESIDENTIAL_RECYCLED_WATER_GAL]:[NONPOTABLE_DEMAND_NONRESIDENTIAL_METERED_IRRIGATION_GAL]])</f>
        <v>0</v>
      </c>
      <c r="X3086" t="str">
        <f>IFERROR(INDEX(Crosswalk_API!$H$2:$H$527, MATCH(POTABLE_NONPOTABLE_API[[#This Row],[PWSID]], CW_PWSID_LIST, 0)), "")</f>
        <v>No</v>
      </c>
    </row>
    <row r="3087" spans="1:24" x14ac:dyDescent="0.25">
      <c r="A3087" t="s">
        <v>1643</v>
      </c>
      <c r="B3087" t="s">
        <v>1644</v>
      </c>
      <c r="C3087" t="s">
        <v>1647</v>
      </c>
      <c r="D3087" t="s">
        <v>1648</v>
      </c>
      <c r="E3087" s="9">
        <v>45139</v>
      </c>
      <c r="F3087" s="9">
        <v>45169</v>
      </c>
      <c r="G3087">
        <v>4245838.5299999993</v>
      </c>
      <c r="H3087">
        <v>583273.29</v>
      </c>
      <c r="I3087">
        <v>687545.61</v>
      </c>
      <c r="J3087">
        <v>0</v>
      </c>
      <c r="K3087">
        <v>0</v>
      </c>
      <c r="L3087">
        <v>0</v>
      </c>
      <c r="M3087">
        <v>0</v>
      </c>
      <c r="T3087" s="9">
        <v>45108</v>
      </c>
      <c r="U3087" s="9">
        <v>45473</v>
      </c>
      <c r="V3087">
        <f>SUM(POTABLE_NONPOTABLE_API[[#This Row],[RESIDENTIAL_SINGLEFAMILY_GAL]:[OTHER_GAL]])</f>
        <v>5516657.4299999997</v>
      </c>
      <c r="W3087">
        <f>SUM(POTABLE_NONPOTABLE_API[[#This Row],[NONPOTABLE_DEMAND_RESIDENTIAL_RECYCLED_WATER_GAL]:[NONPOTABLE_DEMAND_NONRESIDENTIAL_METERED_IRRIGATION_GAL]])</f>
        <v>0</v>
      </c>
      <c r="X3087" t="str">
        <f>IFERROR(INDEX(Crosswalk_API!$H$2:$H$527, MATCH(POTABLE_NONPOTABLE_API[[#This Row],[PWSID]], CW_PWSID_LIST, 0)), "")</f>
        <v>No</v>
      </c>
    </row>
    <row r="3088" spans="1:24" x14ac:dyDescent="0.25">
      <c r="A3088" t="s">
        <v>1643</v>
      </c>
      <c r="B3088" t="s">
        <v>1644</v>
      </c>
      <c r="C3088" t="s">
        <v>1647</v>
      </c>
      <c r="D3088" t="s">
        <v>1648</v>
      </c>
      <c r="E3088" s="9">
        <v>45170</v>
      </c>
      <c r="F3088" s="9">
        <v>45199</v>
      </c>
      <c r="G3088">
        <v>3177047.25</v>
      </c>
      <c r="H3088">
        <v>387762.69</v>
      </c>
      <c r="I3088">
        <v>606082.86</v>
      </c>
      <c r="J3088">
        <v>0</v>
      </c>
      <c r="K3088">
        <v>0</v>
      </c>
      <c r="L3088">
        <v>0</v>
      </c>
      <c r="M3088">
        <v>0</v>
      </c>
      <c r="T3088" s="9">
        <v>45108</v>
      </c>
      <c r="U3088" s="9">
        <v>45473</v>
      </c>
      <c r="V3088">
        <f>SUM(POTABLE_NONPOTABLE_API[[#This Row],[RESIDENTIAL_SINGLEFAMILY_GAL]:[OTHER_GAL]])</f>
        <v>4170892.8</v>
      </c>
      <c r="W3088">
        <f>SUM(POTABLE_NONPOTABLE_API[[#This Row],[NONPOTABLE_DEMAND_RESIDENTIAL_RECYCLED_WATER_GAL]:[NONPOTABLE_DEMAND_NONRESIDENTIAL_METERED_IRRIGATION_GAL]])</f>
        <v>0</v>
      </c>
      <c r="X3088" t="str">
        <f>IFERROR(INDEX(Crosswalk_API!$H$2:$H$527, MATCH(POTABLE_NONPOTABLE_API[[#This Row],[PWSID]], CW_PWSID_LIST, 0)), "")</f>
        <v>No</v>
      </c>
    </row>
    <row r="3089" spans="1:24" x14ac:dyDescent="0.25">
      <c r="A3089" t="s">
        <v>1643</v>
      </c>
      <c r="B3089" t="s">
        <v>1644</v>
      </c>
      <c r="C3089" t="s">
        <v>1647</v>
      </c>
      <c r="D3089" t="s">
        <v>1648</v>
      </c>
      <c r="E3089" s="9">
        <v>45200</v>
      </c>
      <c r="F3089" s="9">
        <v>45230</v>
      </c>
      <c r="G3089">
        <v>3177047.25</v>
      </c>
      <c r="H3089">
        <v>387762.69</v>
      </c>
      <c r="I3089">
        <v>606082.86</v>
      </c>
      <c r="J3089">
        <v>0</v>
      </c>
      <c r="K3089">
        <v>0</v>
      </c>
      <c r="L3089">
        <v>0</v>
      </c>
      <c r="M3089">
        <v>0</v>
      </c>
      <c r="T3089" s="9">
        <v>45108</v>
      </c>
      <c r="U3089" s="9">
        <v>45473</v>
      </c>
      <c r="V3089">
        <f>SUM(POTABLE_NONPOTABLE_API[[#This Row],[RESIDENTIAL_SINGLEFAMILY_GAL]:[OTHER_GAL]])</f>
        <v>4170892.8</v>
      </c>
      <c r="W3089">
        <f>SUM(POTABLE_NONPOTABLE_API[[#This Row],[NONPOTABLE_DEMAND_RESIDENTIAL_RECYCLED_WATER_GAL]:[NONPOTABLE_DEMAND_NONRESIDENTIAL_METERED_IRRIGATION_GAL]])</f>
        <v>0</v>
      </c>
      <c r="X3089" t="str">
        <f>IFERROR(INDEX(Crosswalk_API!$H$2:$H$527, MATCH(POTABLE_NONPOTABLE_API[[#This Row],[PWSID]], CW_PWSID_LIST, 0)), "")</f>
        <v>No</v>
      </c>
    </row>
    <row r="3090" spans="1:24" x14ac:dyDescent="0.25">
      <c r="A3090" t="s">
        <v>1643</v>
      </c>
      <c r="B3090" t="s">
        <v>1644</v>
      </c>
      <c r="C3090" t="s">
        <v>1647</v>
      </c>
      <c r="D3090" t="s">
        <v>1648</v>
      </c>
      <c r="E3090" s="9">
        <v>45231</v>
      </c>
      <c r="F3090" s="9">
        <v>45260</v>
      </c>
      <c r="G3090">
        <v>2000725.14</v>
      </c>
      <c r="H3090">
        <v>188993.58</v>
      </c>
      <c r="I3090">
        <v>179218.05000000002</v>
      </c>
      <c r="J3090">
        <v>0</v>
      </c>
      <c r="K3090">
        <v>0</v>
      </c>
      <c r="L3090">
        <v>9775.5299999999988</v>
      </c>
      <c r="M3090">
        <v>0</v>
      </c>
      <c r="T3090" s="9">
        <v>45108</v>
      </c>
      <c r="U3090" s="9">
        <v>45473</v>
      </c>
      <c r="V3090">
        <f>SUM(POTABLE_NONPOTABLE_API[[#This Row],[RESIDENTIAL_SINGLEFAMILY_GAL]:[OTHER_GAL]])</f>
        <v>2378712.2999999993</v>
      </c>
      <c r="W3090">
        <f>SUM(POTABLE_NONPOTABLE_API[[#This Row],[NONPOTABLE_DEMAND_RESIDENTIAL_RECYCLED_WATER_GAL]:[NONPOTABLE_DEMAND_NONRESIDENTIAL_METERED_IRRIGATION_GAL]])</f>
        <v>0</v>
      </c>
      <c r="X3090" t="str">
        <f>IFERROR(INDEX(Crosswalk_API!$H$2:$H$527, MATCH(POTABLE_NONPOTABLE_API[[#This Row],[PWSID]], CW_PWSID_LIST, 0)), "")</f>
        <v>No</v>
      </c>
    </row>
    <row r="3091" spans="1:24" x14ac:dyDescent="0.25">
      <c r="A3091" t="s">
        <v>1643</v>
      </c>
      <c r="B3091" t="s">
        <v>1644</v>
      </c>
      <c r="C3091" t="s">
        <v>1647</v>
      </c>
      <c r="D3091" t="s">
        <v>1648</v>
      </c>
      <c r="E3091" s="9">
        <v>45261</v>
      </c>
      <c r="F3091" s="9">
        <v>45291</v>
      </c>
      <c r="G3091">
        <v>2000725.14</v>
      </c>
      <c r="H3091">
        <v>188993.58</v>
      </c>
      <c r="I3091">
        <v>179218.05000000002</v>
      </c>
      <c r="J3091">
        <v>0</v>
      </c>
      <c r="K3091">
        <v>0</v>
      </c>
      <c r="L3091">
        <v>9775.5299999999988</v>
      </c>
      <c r="M3091">
        <v>0</v>
      </c>
      <c r="T3091" s="9">
        <v>45108</v>
      </c>
      <c r="U3091" s="9">
        <v>45473</v>
      </c>
      <c r="V3091">
        <f>SUM(POTABLE_NONPOTABLE_API[[#This Row],[RESIDENTIAL_SINGLEFAMILY_GAL]:[OTHER_GAL]])</f>
        <v>2378712.2999999993</v>
      </c>
      <c r="W3091">
        <f>SUM(POTABLE_NONPOTABLE_API[[#This Row],[NONPOTABLE_DEMAND_RESIDENTIAL_RECYCLED_WATER_GAL]:[NONPOTABLE_DEMAND_NONRESIDENTIAL_METERED_IRRIGATION_GAL]])</f>
        <v>0</v>
      </c>
      <c r="X3091" t="str">
        <f>IFERROR(INDEX(Crosswalk_API!$H$2:$H$527, MATCH(POTABLE_NONPOTABLE_API[[#This Row],[PWSID]], CW_PWSID_LIST, 0)), "")</f>
        <v>No</v>
      </c>
    </row>
    <row r="3092" spans="1:24" x14ac:dyDescent="0.25">
      <c r="A3092" t="s">
        <v>1643</v>
      </c>
      <c r="B3092" t="s">
        <v>1644</v>
      </c>
      <c r="C3092" t="s">
        <v>1647</v>
      </c>
      <c r="D3092" t="s">
        <v>1648</v>
      </c>
      <c r="E3092" s="9">
        <v>45292</v>
      </c>
      <c r="F3092" s="9">
        <v>45322</v>
      </c>
      <c r="G3092">
        <v>2199494.25</v>
      </c>
      <c r="H3092">
        <v>198769.11</v>
      </c>
      <c r="I3092">
        <v>335626.53</v>
      </c>
      <c r="J3092">
        <v>0</v>
      </c>
      <c r="K3092">
        <v>0</v>
      </c>
      <c r="L3092">
        <v>3258.51</v>
      </c>
      <c r="M3092">
        <v>0</v>
      </c>
      <c r="T3092" s="9">
        <v>45108</v>
      </c>
      <c r="U3092" s="9">
        <v>45473</v>
      </c>
      <c r="V3092">
        <f>SUM(POTABLE_NONPOTABLE_API[[#This Row],[RESIDENTIAL_SINGLEFAMILY_GAL]:[OTHER_GAL]])</f>
        <v>2737148.3999999994</v>
      </c>
      <c r="W3092">
        <f>SUM(POTABLE_NONPOTABLE_API[[#This Row],[NONPOTABLE_DEMAND_RESIDENTIAL_RECYCLED_WATER_GAL]:[NONPOTABLE_DEMAND_NONRESIDENTIAL_METERED_IRRIGATION_GAL]])</f>
        <v>0</v>
      </c>
      <c r="X3092" t="str">
        <f>IFERROR(INDEX(Crosswalk_API!$H$2:$H$527, MATCH(POTABLE_NONPOTABLE_API[[#This Row],[PWSID]], CW_PWSID_LIST, 0)), "")</f>
        <v>No</v>
      </c>
    </row>
    <row r="3093" spans="1:24" x14ac:dyDescent="0.25">
      <c r="A3093" t="s">
        <v>1643</v>
      </c>
      <c r="B3093" t="s">
        <v>1644</v>
      </c>
      <c r="C3093" t="s">
        <v>1647</v>
      </c>
      <c r="D3093" t="s">
        <v>1648</v>
      </c>
      <c r="E3093" s="9">
        <v>45323</v>
      </c>
      <c r="F3093" s="9">
        <v>45351</v>
      </c>
      <c r="G3093">
        <v>2199494.25</v>
      </c>
      <c r="H3093">
        <v>198769.11</v>
      </c>
      <c r="I3093">
        <v>335626.53</v>
      </c>
      <c r="J3093">
        <v>0</v>
      </c>
      <c r="K3093">
        <v>0</v>
      </c>
      <c r="L3093">
        <v>3258.51</v>
      </c>
      <c r="M3093">
        <v>0</v>
      </c>
      <c r="T3093" s="9">
        <v>45108</v>
      </c>
      <c r="U3093" s="9">
        <v>45473</v>
      </c>
      <c r="V3093">
        <f>SUM(POTABLE_NONPOTABLE_API[[#This Row],[RESIDENTIAL_SINGLEFAMILY_GAL]:[OTHER_GAL]])</f>
        <v>2737148.3999999994</v>
      </c>
      <c r="W3093">
        <f>SUM(POTABLE_NONPOTABLE_API[[#This Row],[NONPOTABLE_DEMAND_RESIDENTIAL_RECYCLED_WATER_GAL]:[NONPOTABLE_DEMAND_NONRESIDENTIAL_METERED_IRRIGATION_GAL]])</f>
        <v>0</v>
      </c>
      <c r="X3093" t="str">
        <f>IFERROR(INDEX(Crosswalk_API!$H$2:$H$527, MATCH(POTABLE_NONPOTABLE_API[[#This Row],[PWSID]], CW_PWSID_LIST, 0)), "")</f>
        <v>No</v>
      </c>
    </row>
    <row r="3094" spans="1:24" x14ac:dyDescent="0.25">
      <c r="A3094" t="s">
        <v>1643</v>
      </c>
      <c r="B3094" t="s">
        <v>1644</v>
      </c>
      <c r="C3094" t="s">
        <v>1647</v>
      </c>
      <c r="D3094" t="s">
        <v>1648</v>
      </c>
      <c r="E3094" s="9">
        <v>45352</v>
      </c>
      <c r="F3094" s="9">
        <v>45382</v>
      </c>
      <c r="G3094">
        <v>3131428.11</v>
      </c>
      <c r="H3094">
        <v>221578.68000000002</v>
      </c>
      <c r="I3094">
        <v>586531.80000000005</v>
      </c>
      <c r="J3094">
        <v>0</v>
      </c>
      <c r="K3094">
        <v>0</v>
      </c>
      <c r="L3094">
        <v>29326.59</v>
      </c>
      <c r="M3094">
        <v>0</v>
      </c>
      <c r="T3094" s="9">
        <v>45108</v>
      </c>
      <c r="U3094" s="9">
        <v>45473</v>
      </c>
      <c r="V3094">
        <f>SUM(POTABLE_NONPOTABLE_API[[#This Row],[RESIDENTIAL_SINGLEFAMILY_GAL]:[OTHER_GAL]])</f>
        <v>3968865.1799999997</v>
      </c>
      <c r="W3094">
        <f>SUM(POTABLE_NONPOTABLE_API[[#This Row],[NONPOTABLE_DEMAND_RESIDENTIAL_RECYCLED_WATER_GAL]:[NONPOTABLE_DEMAND_NONRESIDENTIAL_METERED_IRRIGATION_GAL]])</f>
        <v>0</v>
      </c>
      <c r="X3094" t="str">
        <f>IFERROR(INDEX(Crosswalk_API!$H$2:$H$527, MATCH(POTABLE_NONPOTABLE_API[[#This Row],[PWSID]], CW_PWSID_LIST, 0)), "")</f>
        <v>No</v>
      </c>
    </row>
    <row r="3095" spans="1:24" x14ac:dyDescent="0.25">
      <c r="A3095" t="s">
        <v>1643</v>
      </c>
      <c r="B3095" t="s">
        <v>1644</v>
      </c>
      <c r="C3095" t="s">
        <v>1647</v>
      </c>
      <c r="D3095" t="s">
        <v>1648</v>
      </c>
      <c r="E3095" s="9">
        <v>45383</v>
      </c>
      <c r="F3095" s="9">
        <v>45412</v>
      </c>
      <c r="G3095">
        <v>3131428.11</v>
      </c>
      <c r="H3095">
        <v>221578.68000000002</v>
      </c>
      <c r="I3095">
        <v>586531.80000000005</v>
      </c>
      <c r="J3095">
        <v>0</v>
      </c>
      <c r="K3095">
        <v>0</v>
      </c>
      <c r="L3095">
        <v>29326.59</v>
      </c>
      <c r="M3095">
        <v>0</v>
      </c>
      <c r="T3095" s="9">
        <v>45108</v>
      </c>
      <c r="U3095" s="9">
        <v>45473</v>
      </c>
      <c r="V3095">
        <f>SUM(POTABLE_NONPOTABLE_API[[#This Row],[RESIDENTIAL_SINGLEFAMILY_GAL]:[OTHER_GAL]])</f>
        <v>3968865.1799999997</v>
      </c>
      <c r="W3095">
        <f>SUM(POTABLE_NONPOTABLE_API[[#This Row],[NONPOTABLE_DEMAND_RESIDENTIAL_RECYCLED_WATER_GAL]:[NONPOTABLE_DEMAND_NONRESIDENTIAL_METERED_IRRIGATION_GAL]])</f>
        <v>0</v>
      </c>
      <c r="X3095" t="str">
        <f>IFERROR(INDEX(Crosswalk_API!$H$2:$H$527, MATCH(POTABLE_NONPOTABLE_API[[#This Row],[PWSID]], CW_PWSID_LIST, 0)), "")</f>
        <v>No</v>
      </c>
    </row>
    <row r="3096" spans="1:24" x14ac:dyDescent="0.25">
      <c r="A3096" t="s">
        <v>1643</v>
      </c>
      <c r="B3096" t="s">
        <v>1644</v>
      </c>
      <c r="C3096" t="s">
        <v>1647</v>
      </c>
      <c r="D3096" t="s">
        <v>1648</v>
      </c>
      <c r="E3096" s="9">
        <v>45413</v>
      </c>
      <c r="F3096" s="9">
        <v>45443</v>
      </c>
      <c r="G3096">
        <v>4688995.8900000006</v>
      </c>
      <c r="H3096">
        <v>368211.62999999995</v>
      </c>
      <c r="I3096">
        <v>928675.35</v>
      </c>
      <c r="J3096">
        <v>0</v>
      </c>
      <c r="K3096">
        <v>0</v>
      </c>
      <c r="L3096">
        <v>3258.51</v>
      </c>
      <c r="M3096">
        <v>0</v>
      </c>
      <c r="T3096" s="9">
        <v>45108</v>
      </c>
      <c r="U3096" s="9">
        <v>45473</v>
      </c>
      <c r="V3096">
        <f>SUM(POTABLE_NONPOTABLE_API[[#This Row],[RESIDENTIAL_SINGLEFAMILY_GAL]:[OTHER_GAL]])</f>
        <v>5989141.3799999999</v>
      </c>
      <c r="W3096">
        <f>SUM(POTABLE_NONPOTABLE_API[[#This Row],[NONPOTABLE_DEMAND_RESIDENTIAL_RECYCLED_WATER_GAL]:[NONPOTABLE_DEMAND_NONRESIDENTIAL_METERED_IRRIGATION_GAL]])</f>
        <v>0</v>
      </c>
      <c r="X3096" t="str">
        <f>IFERROR(INDEX(Crosswalk_API!$H$2:$H$527, MATCH(POTABLE_NONPOTABLE_API[[#This Row],[PWSID]], CW_PWSID_LIST, 0)), "")</f>
        <v>No</v>
      </c>
    </row>
    <row r="3097" spans="1:24" x14ac:dyDescent="0.25">
      <c r="A3097" t="s">
        <v>1643</v>
      </c>
      <c r="B3097" t="s">
        <v>1644</v>
      </c>
      <c r="C3097" t="s">
        <v>1647</v>
      </c>
      <c r="D3097" t="s">
        <v>1648</v>
      </c>
      <c r="E3097" s="9">
        <v>45444</v>
      </c>
      <c r="F3097" s="9">
        <v>45473</v>
      </c>
      <c r="G3097">
        <v>4688995.8900000006</v>
      </c>
      <c r="H3097">
        <v>368211.62999999995</v>
      </c>
      <c r="I3097">
        <v>928675.35</v>
      </c>
      <c r="J3097">
        <v>0</v>
      </c>
      <c r="K3097">
        <v>0</v>
      </c>
      <c r="L3097">
        <v>3258.51</v>
      </c>
      <c r="M3097">
        <v>0</v>
      </c>
      <c r="T3097" s="9">
        <v>45108</v>
      </c>
      <c r="U3097" s="9">
        <v>45473</v>
      </c>
      <c r="V3097">
        <f>SUM(POTABLE_NONPOTABLE_API[[#This Row],[RESIDENTIAL_SINGLEFAMILY_GAL]:[OTHER_GAL]])</f>
        <v>5989141.3799999999</v>
      </c>
      <c r="W3097">
        <f>SUM(POTABLE_NONPOTABLE_API[[#This Row],[NONPOTABLE_DEMAND_RESIDENTIAL_RECYCLED_WATER_GAL]:[NONPOTABLE_DEMAND_NONRESIDENTIAL_METERED_IRRIGATION_GAL]])</f>
        <v>0</v>
      </c>
      <c r="X3097" t="str">
        <f>IFERROR(INDEX(Crosswalk_API!$H$2:$H$527, MATCH(POTABLE_NONPOTABLE_API[[#This Row],[PWSID]], CW_PWSID_LIST, 0)), "")</f>
        <v>No</v>
      </c>
    </row>
    <row r="3098" spans="1:24" x14ac:dyDescent="0.25">
      <c r="A3098" t="s">
        <v>1643</v>
      </c>
      <c r="B3098" t="s">
        <v>1644</v>
      </c>
      <c r="C3098" t="s">
        <v>1649</v>
      </c>
      <c r="D3098" t="s">
        <v>1650</v>
      </c>
      <c r="E3098" s="9">
        <v>45108</v>
      </c>
      <c r="F3098" s="9">
        <v>45138</v>
      </c>
      <c r="G3098">
        <v>3251992.98</v>
      </c>
      <c r="H3098">
        <v>475742.45999999996</v>
      </c>
      <c r="I3098">
        <v>2235337.8600000003</v>
      </c>
      <c r="J3098">
        <v>0</v>
      </c>
      <c r="K3098">
        <v>0</v>
      </c>
      <c r="L3098">
        <v>0</v>
      </c>
      <c r="M3098">
        <v>0</v>
      </c>
      <c r="T3098" s="9">
        <v>45108</v>
      </c>
      <c r="U3098" s="9">
        <v>45473</v>
      </c>
      <c r="V3098">
        <f>SUM(POTABLE_NONPOTABLE_API[[#This Row],[RESIDENTIAL_SINGLEFAMILY_GAL]:[OTHER_GAL]])</f>
        <v>5963073.3000000007</v>
      </c>
      <c r="W3098">
        <f>SUM(POTABLE_NONPOTABLE_API[[#This Row],[NONPOTABLE_DEMAND_RESIDENTIAL_RECYCLED_WATER_GAL]:[NONPOTABLE_DEMAND_NONRESIDENTIAL_METERED_IRRIGATION_GAL]])</f>
        <v>0</v>
      </c>
      <c r="X3098" t="str">
        <f>IFERROR(INDEX(Crosswalk_API!$H$2:$H$527, MATCH(POTABLE_NONPOTABLE_API[[#This Row],[PWSID]], CW_PWSID_LIST, 0)), "")</f>
        <v>No</v>
      </c>
    </row>
    <row r="3099" spans="1:24" x14ac:dyDescent="0.25">
      <c r="A3099" t="s">
        <v>1643</v>
      </c>
      <c r="B3099" t="s">
        <v>1644</v>
      </c>
      <c r="C3099" t="s">
        <v>1649</v>
      </c>
      <c r="D3099" t="s">
        <v>1650</v>
      </c>
      <c r="E3099" s="9">
        <v>45139</v>
      </c>
      <c r="F3099" s="9">
        <v>45169</v>
      </c>
      <c r="G3099">
        <v>3251992.98</v>
      </c>
      <c r="H3099">
        <v>475742.45999999996</v>
      </c>
      <c r="I3099">
        <v>2235337.8600000003</v>
      </c>
      <c r="J3099">
        <v>0</v>
      </c>
      <c r="K3099">
        <v>0</v>
      </c>
      <c r="L3099">
        <v>0</v>
      </c>
      <c r="M3099">
        <v>0</v>
      </c>
      <c r="T3099" s="9">
        <v>45108</v>
      </c>
      <c r="U3099" s="9">
        <v>45473</v>
      </c>
      <c r="V3099">
        <f>SUM(POTABLE_NONPOTABLE_API[[#This Row],[RESIDENTIAL_SINGLEFAMILY_GAL]:[OTHER_GAL]])</f>
        <v>5963073.3000000007</v>
      </c>
      <c r="W3099">
        <f>SUM(POTABLE_NONPOTABLE_API[[#This Row],[NONPOTABLE_DEMAND_RESIDENTIAL_RECYCLED_WATER_GAL]:[NONPOTABLE_DEMAND_NONRESIDENTIAL_METERED_IRRIGATION_GAL]])</f>
        <v>0</v>
      </c>
      <c r="X3099" t="str">
        <f>IFERROR(INDEX(Crosswalk_API!$H$2:$H$527, MATCH(POTABLE_NONPOTABLE_API[[#This Row],[PWSID]], CW_PWSID_LIST, 0)), "")</f>
        <v>No</v>
      </c>
    </row>
    <row r="3100" spans="1:24" x14ac:dyDescent="0.25">
      <c r="A3100" t="s">
        <v>1643</v>
      </c>
      <c r="B3100" t="s">
        <v>1644</v>
      </c>
      <c r="C3100" t="s">
        <v>1649</v>
      </c>
      <c r="D3100" t="s">
        <v>1650</v>
      </c>
      <c r="E3100" s="9">
        <v>45170</v>
      </c>
      <c r="F3100" s="9">
        <v>45199</v>
      </c>
      <c r="G3100">
        <v>2267922.96</v>
      </c>
      <c r="H3100">
        <v>319333.98</v>
      </c>
      <c r="I3100">
        <v>2271181.4699999997</v>
      </c>
      <c r="J3100">
        <v>0</v>
      </c>
      <c r="K3100">
        <v>0</v>
      </c>
      <c r="L3100">
        <v>0</v>
      </c>
      <c r="M3100">
        <v>0</v>
      </c>
      <c r="T3100" s="9">
        <v>45108</v>
      </c>
      <c r="U3100" s="9">
        <v>45473</v>
      </c>
      <c r="V3100">
        <f>SUM(POTABLE_NONPOTABLE_API[[#This Row],[RESIDENTIAL_SINGLEFAMILY_GAL]:[OTHER_GAL]])</f>
        <v>4858438.41</v>
      </c>
      <c r="W3100">
        <f>SUM(POTABLE_NONPOTABLE_API[[#This Row],[NONPOTABLE_DEMAND_RESIDENTIAL_RECYCLED_WATER_GAL]:[NONPOTABLE_DEMAND_NONRESIDENTIAL_METERED_IRRIGATION_GAL]])</f>
        <v>0</v>
      </c>
      <c r="X3100" t="str">
        <f>IFERROR(INDEX(Crosswalk_API!$H$2:$H$527, MATCH(POTABLE_NONPOTABLE_API[[#This Row],[PWSID]], CW_PWSID_LIST, 0)), "")</f>
        <v>No</v>
      </c>
    </row>
    <row r="3101" spans="1:24" x14ac:dyDescent="0.25">
      <c r="A3101" t="s">
        <v>1643</v>
      </c>
      <c r="B3101" t="s">
        <v>1644</v>
      </c>
      <c r="C3101" t="s">
        <v>1649</v>
      </c>
      <c r="D3101" t="s">
        <v>1650</v>
      </c>
      <c r="E3101" s="9">
        <v>45200</v>
      </c>
      <c r="F3101" s="9">
        <v>45230</v>
      </c>
      <c r="G3101">
        <v>2267922.96</v>
      </c>
      <c r="H3101">
        <v>319333.98</v>
      </c>
      <c r="I3101">
        <v>2271181.4699999997</v>
      </c>
      <c r="J3101">
        <v>0</v>
      </c>
      <c r="K3101">
        <v>0</v>
      </c>
      <c r="L3101">
        <v>0</v>
      </c>
      <c r="M3101">
        <v>0</v>
      </c>
      <c r="T3101" s="9">
        <v>45108</v>
      </c>
      <c r="U3101" s="9">
        <v>45473</v>
      </c>
      <c r="V3101">
        <f>SUM(POTABLE_NONPOTABLE_API[[#This Row],[RESIDENTIAL_SINGLEFAMILY_GAL]:[OTHER_GAL]])</f>
        <v>4858438.41</v>
      </c>
      <c r="W3101">
        <f>SUM(POTABLE_NONPOTABLE_API[[#This Row],[NONPOTABLE_DEMAND_RESIDENTIAL_RECYCLED_WATER_GAL]:[NONPOTABLE_DEMAND_NONRESIDENTIAL_METERED_IRRIGATION_GAL]])</f>
        <v>0</v>
      </c>
      <c r="X3101" t="str">
        <f>IFERROR(INDEX(Crosswalk_API!$H$2:$H$527, MATCH(POTABLE_NONPOTABLE_API[[#This Row],[PWSID]], CW_PWSID_LIST, 0)), "")</f>
        <v>No</v>
      </c>
    </row>
    <row r="3102" spans="1:24" x14ac:dyDescent="0.25">
      <c r="A3102" t="s">
        <v>1643</v>
      </c>
      <c r="B3102" t="s">
        <v>1644</v>
      </c>
      <c r="C3102" t="s">
        <v>1649</v>
      </c>
      <c r="D3102" t="s">
        <v>1650</v>
      </c>
      <c r="E3102" s="9">
        <v>45231</v>
      </c>
      <c r="F3102" s="9">
        <v>45260</v>
      </c>
      <c r="G3102">
        <v>1368574.2</v>
      </c>
      <c r="H3102">
        <v>179218.05000000002</v>
      </c>
      <c r="I3102">
        <v>2241854.88</v>
      </c>
      <c r="J3102">
        <v>0</v>
      </c>
      <c r="K3102">
        <v>0</v>
      </c>
      <c r="L3102">
        <v>0</v>
      </c>
      <c r="M3102">
        <v>0</v>
      </c>
      <c r="T3102" s="9">
        <v>45108</v>
      </c>
      <c r="U3102" s="9">
        <v>45473</v>
      </c>
      <c r="V3102">
        <f>SUM(POTABLE_NONPOTABLE_API[[#This Row],[RESIDENTIAL_SINGLEFAMILY_GAL]:[OTHER_GAL]])</f>
        <v>3789647.13</v>
      </c>
      <c r="W3102">
        <f>SUM(POTABLE_NONPOTABLE_API[[#This Row],[NONPOTABLE_DEMAND_RESIDENTIAL_RECYCLED_WATER_GAL]:[NONPOTABLE_DEMAND_NONRESIDENTIAL_METERED_IRRIGATION_GAL]])</f>
        <v>0</v>
      </c>
      <c r="X3102" t="str">
        <f>IFERROR(INDEX(Crosswalk_API!$H$2:$H$527, MATCH(POTABLE_NONPOTABLE_API[[#This Row],[PWSID]], CW_PWSID_LIST, 0)), "")</f>
        <v>No</v>
      </c>
    </row>
    <row r="3103" spans="1:24" x14ac:dyDescent="0.25">
      <c r="A3103" t="s">
        <v>1643</v>
      </c>
      <c r="B3103" t="s">
        <v>1644</v>
      </c>
      <c r="C3103" t="s">
        <v>1649</v>
      </c>
      <c r="D3103" t="s">
        <v>1650</v>
      </c>
      <c r="E3103" s="9">
        <v>45261</v>
      </c>
      <c r="F3103" s="9">
        <v>45291</v>
      </c>
      <c r="G3103">
        <v>1368574.2</v>
      </c>
      <c r="H3103">
        <v>179218.05000000002</v>
      </c>
      <c r="I3103">
        <v>2241854.88</v>
      </c>
      <c r="J3103">
        <v>0</v>
      </c>
      <c r="K3103">
        <v>0</v>
      </c>
      <c r="L3103">
        <v>0</v>
      </c>
      <c r="M3103">
        <v>0</v>
      </c>
      <c r="T3103" s="9">
        <v>45108</v>
      </c>
      <c r="U3103" s="9">
        <v>45473</v>
      </c>
      <c r="V3103">
        <f>SUM(POTABLE_NONPOTABLE_API[[#This Row],[RESIDENTIAL_SINGLEFAMILY_GAL]:[OTHER_GAL]])</f>
        <v>3789647.13</v>
      </c>
      <c r="W3103">
        <f>SUM(POTABLE_NONPOTABLE_API[[#This Row],[NONPOTABLE_DEMAND_RESIDENTIAL_RECYCLED_WATER_GAL]:[NONPOTABLE_DEMAND_NONRESIDENTIAL_METERED_IRRIGATION_GAL]])</f>
        <v>0</v>
      </c>
      <c r="X3103" t="str">
        <f>IFERROR(INDEX(Crosswalk_API!$H$2:$H$527, MATCH(POTABLE_NONPOTABLE_API[[#This Row],[PWSID]], CW_PWSID_LIST, 0)), "")</f>
        <v>No</v>
      </c>
    </row>
    <row r="3104" spans="1:24" x14ac:dyDescent="0.25">
      <c r="A3104" t="s">
        <v>1643</v>
      </c>
      <c r="B3104" t="s">
        <v>1644</v>
      </c>
      <c r="C3104" t="s">
        <v>1649</v>
      </c>
      <c r="D3104" t="s">
        <v>1650</v>
      </c>
      <c r="E3104" s="9">
        <v>45292</v>
      </c>
      <c r="F3104" s="9">
        <v>45322</v>
      </c>
      <c r="G3104">
        <v>1335989.0999999999</v>
      </c>
      <c r="H3104">
        <v>166184.01</v>
      </c>
      <c r="I3104">
        <v>1368574.2</v>
      </c>
      <c r="J3104">
        <v>0</v>
      </c>
      <c r="K3104">
        <v>0</v>
      </c>
      <c r="L3104">
        <v>0</v>
      </c>
      <c r="M3104">
        <v>0</v>
      </c>
      <c r="T3104" s="9">
        <v>45108</v>
      </c>
      <c r="U3104" s="9">
        <v>45473</v>
      </c>
      <c r="V3104">
        <f>SUM(POTABLE_NONPOTABLE_API[[#This Row],[RESIDENTIAL_SINGLEFAMILY_GAL]:[OTHER_GAL]])</f>
        <v>2870747.3099999996</v>
      </c>
      <c r="W3104">
        <f>SUM(POTABLE_NONPOTABLE_API[[#This Row],[NONPOTABLE_DEMAND_RESIDENTIAL_RECYCLED_WATER_GAL]:[NONPOTABLE_DEMAND_NONRESIDENTIAL_METERED_IRRIGATION_GAL]])</f>
        <v>0</v>
      </c>
      <c r="X3104" t="str">
        <f>IFERROR(INDEX(Crosswalk_API!$H$2:$H$527, MATCH(POTABLE_NONPOTABLE_API[[#This Row],[PWSID]], CW_PWSID_LIST, 0)), "")</f>
        <v>No</v>
      </c>
    </row>
    <row r="3105" spans="1:24" x14ac:dyDescent="0.25">
      <c r="A3105" t="s">
        <v>1643</v>
      </c>
      <c r="B3105" t="s">
        <v>1644</v>
      </c>
      <c r="C3105" t="s">
        <v>1649</v>
      </c>
      <c r="D3105" t="s">
        <v>1650</v>
      </c>
      <c r="E3105" s="9">
        <v>45323</v>
      </c>
      <c r="F3105" s="9">
        <v>45351</v>
      </c>
      <c r="G3105">
        <v>1335989.0999999999</v>
      </c>
      <c r="H3105">
        <v>166184.01</v>
      </c>
      <c r="I3105">
        <v>1368574.2</v>
      </c>
      <c r="J3105">
        <v>0</v>
      </c>
      <c r="K3105">
        <v>0</v>
      </c>
      <c r="L3105">
        <v>0</v>
      </c>
      <c r="M3105">
        <v>0</v>
      </c>
      <c r="T3105" s="9">
        <v>45108</v>
      </c>
      <c r="U3105" s="9">
        <v>45473</v>
      </c>
      <c r="V3105">
        <f>SUM(POTABLE_NONPOTABLE_API[[#This Row],[RESIDENTIAL_SINGLEFAMILY_GAL]:[OTHER_GAL]])</f>
        <v>2870747.3099999996</v>
      </c>
      <c r="W3105">
        <f>SUM(POTABLE_NONPOTABLE_API[[#This Row],[NONPOTABLE_DEMAND_RESIDENTIAL_RECYCLED_WATER_GAL]:[NONPOTABLE_DEMAND_NONRESIDENTIAL_METERED_IRRIGATION_GAL]])</f>
        <v>0</v>
      </c>
      <c r="X3105" t="str">
        <f>IFERROR(INDEX(Crosswalk_API!$H$2:$H$527, MATCH(POTABLE_NONPOTABLE_API[[#This Row],[PWSID]], CW_PWSID_LIST, 0)), "")</f>
        <v>No</v>
      </c>
    </row>
    <row r="3106" spans="1:24" x14ac:dyDescent="0.25">
      <c r="A3106" t="s">
        <v>1643</v>
      </c>
      <c r="B3106" t="s">
        <v>1644</v>
      </c>
      <c r="C3106" t="s">
        <v>1649</v>
      </c>
      <c r="D3106" t="s">
        <v>1650</v>
      </c>
      <c r="E3106" s="9">
        <v>45352</v>
      </c>
      <c r="F3106" s="9">
        <v>45382</v>
      </c>
      <c r="G3106">
        <v>2391746.34</v>
      </c>
      <c r="H3106">
        <v>267197.82</v>
      </c>
      <c r="I3106">
        <v>1453295.46</v>
      </c>
      <c r="J3106">
        <v>0</v>
      </c>
      <c r="K3106">
        <v>0</v>
      </c>
      <c r="L3106">
        <v>0</v>
      </c>
      <c r="M3106">
        <v>0</v>
      </c>
      <c r="T3106" s="9">
        <v>45108</v>
      </c>
      <c r="U3106" s="9">
        <v>45473</v>
      </c>
      <c r="V3106">
        <f>SUM(POTABLE_NONPOTABLE_API[[#This Row],[RESIDENTIAL_SINGLEFAMILY_GAL]:[OTHER_GAL]])</f>
        <v>4112239.6199999996</v>
      </c>
      <c r="W3106">
        <f>SUM(POTABLE_NONPOTABLE_API[[#This Row],[NONPOTABLE_DEMAND_RESIDENTIAL_RECYCLED_WATER_GAL]:[NONPOTABLE_DEMAND_NONRESIDENTIAL_METERED_IRRIGATION_GAL]])</f>
        <v>0</v>
      </c>
      <c r="X3106" t="str">
        <f>IFERROR(INDEX(Crosswalk_API!$H$2:$H$527, MATCH(POTABLE_NONPOTABLE_API[[#This Row],[PWSID]], CW_PWSID_LIST, 0)), "")</f>
        <v>No</v>
      </c>
    </row>
    <row r="3107" spans="1:24" x14ac:dyDescent="0.25">
      <c r="A3107" t="s">
        <v>1643</v>
      </c>
      <c r="B3107" t="s">
        <v>1644</v>
      </c>
      <c r="C3107" t="s">
        <v>1649</v>
      </c>
      <c r="D3107" t="s">
        <v>1650</v>
      </c>
      <c r="E3107" s="9">
        <v>45383</v>
      </c>
      <c r="F3107" s="9">
        <v>45412</v>
      </c>
      <c r="G3107">
        <v>2391746.34</v>
      </c>
      <c r="H3107">
        <v>267197.82</v>
      </c>
      <c r="I3107">
        <v>1453295.46</v>
      </c>
      <c r="J3107">
        <v>0</v>
      </c>
      <c r="K3107">
        <v>0</v>
      </c>
      <c r="L3107">
        <v>0</v>
      </c>
      <c r="M3107">
        <v>0</v>
      </c>
      <c r="T3107" s="9">
        <v>45108</v>
      </c>
      <c r="U3107" s="9">
        <v>45473</v>
      </c>
      <c r="V3107">
        <f>SUM(POTABLE_NONPOTABLE_API[[#This Row],[RESIDENTIAL_SINGLEFAMILY_GAL]:[OTHER_GAL]])</f>
        <v>4112239.6199999996</v>
      </c>
      <c r="W3107">
        <f>SUM(POTABLE_NONPOTABLE_API[[#This Row],[NONPOTABLE_DEMAND_RESIDENTIAL_RECYCLED_WATER_GAL]:[NONPOTABLE_DEMAND_NONRESIDENTIAL_METERED_IRRIGATION_GAL]])</f>
        <v>0</v>
      </c>
      <c r="X3107" t="str">
        <f>IFERROR(INDEX(Crosswalk_API!$H$2:$H$527, MATCH(POTABLE_NONPOTABLE_API[[#This Row],[PWSID]], CW_PWSID_LIST, 0)), "")</f>
        <v>No</v>
      </c>
    </row>
    <row r="3108" spans="1:24" x14ac:dyDescent="0.25">
      <c r="A3108" t="s">
        <v>1643</v>
      </c>
      <c r="B3108" t="s">
        <v>1644</v>
      </c>
      <c r="C3108" t="s">
        <v>1649</v>
      </c>
      <c r="D3108" t="s">
        <v>1650</v>
      </c>
      <c r="E3108" s="9">
        <v>45413</v>
      </c>
      <c r="F3108" s="9">
        <v>45443</v>
      </c>
      <c r="G3108">
        <v>3858075.84</v>
      </c>
      <c r="H3108">
        <v>505069.05</v>
      </c>
      <c r="I3108">
        <v>1648806.0599999998</v>
      </c>
      <c r="J3108">
        <v>0</v>
      </c>
      <c r="K3108">
        <v>0</v>
      </c>
      <c r="L3108">
        <v>0</v>
      </c>
      <c r="M3108">
        <v>0</v>
      </c>
      <c r="T3108" s="9">
        <v>45108</v>
      </c>
      <c r="U3108" s="9">
        <v>45473</v>
      </c>
      <c r="V3108">
        <f>SUM(POTABLE_NONPOTABLE_API[[#This Row],[RESIDENTIAL_SINGLEFAMILY_GAL]:[OTHER_GAL]])</f>
        <v>6011950.9499999993</v>
      </c>
      <c r="W3108">
        <f>SUM(POTABLE_NONPOTABLE_API[[#This Row],[NONPOTABLE_DEMAND_RESIDENTIAL_RECYCLED_WATER_GAL]:[NONPOTABLE_DEMAND_NONRESIDENTIAL_METERED_IRRIGATION_GAL]])</f>
        <v>0</v>
      </c>
      <c r="X3108" t="str">
        <f>IFERROR(INDEX(Crosswalk_API!$H$2:$H$527, MATCH(POTABLE_NONPOTABLE_API[[#This Row],[PWSID]], CW_PWSID_LIST, 0)), "")</f>
        <v>No</v>
      </c>
    </row>
    <row r="3109" spans="1:24" x14ac:dyDescent="0.25">
      <c r="A3109" t="s">
        <v>1643</v>
      </c>
      <c r="B3109" t="s">
        <v>1644</v>
      </c>
      <c r="C3109" t="s">
        <v>1649</v>
      </c>
      <c r="D3109" t="s">
        <v>1650</v>
      </c>
      <c r="E3109" s="9">
        <v>45444</v>
      </c>
      <c r="F3109" s="9">
        <v>45473</v>
      </c>
      <c r="G3109">
        <v>3858075.84</v>
      </c>
      <c r="H3109">
        <v>505069.05</v>
      </c>
      <c r="I3109">
        <v>1648806.0599999998</v>
      </c>
      <c r="J3109">
        <v>0</v>
      </c>
      <c r="K3109">
        <v>0</v>
      </c>
      <c r="L3109">
        <v>0</v>
      </c>
      <c r="M3109">
        <v>0</v>
      </c>
      <c r="T3109" s="9">
        <v>45108</v>
      </c>
      <c r="U3109" s="9">
        <v>45473</v>
      </c>
      <c r="V3109">
        <f>SUM(POTABLE_NONPOTABLE_API[[#This Row],[RESIDENTIAL_SINGLEFAMILY_GAL]:[OTHER_GAL]])</f>
        <v>6011950.9499999993</v>
      </c>
      <c r="W3109">
        <f>SUM(POTABLE_NONPOTABLE_API[[#This Row],[NONPOTABLE_DEMAND_RESIDENTIAL_RECYCLED_WATER_GAL]:[NONPOTABLE_DEMAND_NONRESIDENTIAL_METERED_IRRIGATION_GAL]])</f>
        <v>0</v>
      </c>
      <c r="X3109" t="str">
        <f>IFERROR(INDEX(Crosswalk_API!$H$2:$H$527, MATCH(POTABLE_NONPOTABLE_API[[#This Row],[PWSID]], CW_PWSID_LIST, 0)), "")</f>
        <v>No</v>
      </c>
    </row>
    <row r="3110" spans="1:24" x14ac:dyDescent="0.25">
      <c r="A3110" t="s">
        <v>1643</v>
      </c>
      <c r="B3110" t="s">
        <v>1644</v>
      </c>
      <c r="C3110" t="s">
        <v>1651</v>
      </c>
      <c r="D3110" t="s">
        <v>1652</v>
      </c>
      <c r="E3110" s="9">
        <v>45108</v>
      </c>
      <c r="F3110" s="9">
        <v>45138</v>
      </c>
      <c r="G3110">
        <v>863990667.98999989</v>
      </c>
      <c r="H3110">
        <v>143152861.31999999</v>
      </c>
      <c r="I3110">
        <v>211493591.54999998</v>
      </c>
      <c r="J3110">
        <v>131660096.55</v>
      </c>
      <c r="K3110">
        <v>1759595.4000000001</v>
      </c>
      <c r="L3110">
        <v>5301595.7699999996</v>
      </c>
      <c r="M3110">
        <v>0</v>
      </c>
      <c r="T3110" s="9">
        <v>45108</v>
      </c>
      <c r="U3110" s="9">
        <v>45473</v>
      </c>
      <c r="V3110">
        <f>SUM(POTABLE_NONPOTABLE_API[[#This Row],[RESIDENTIAL_SINGLEFAMILY_GAL]:[OTHER_GAL]])</f>
        <v>1357358408.5799999</v>
      </c>
      <c r="W3110">
        <f>SUM(POTABLE_NONPOTABLE_API[[#This Row],[NONPOTABLE_DEMAND_RESIDENTIAL_RECYCLED_WATER_GAL]:[NONPOTABLE_DEMAND_NONRESIDENTIAL_METERED_IRRIGATION_GAL]])</f>
        <v>0</v>
      </c>
      <c r="X3110" t="str">
        <f>IFERROR(INDEX(Crosswalk_API!$H$2:$H$527, MATCH(POTABLE_NONPOTABLE_API[[#This Row],[PWSID]], CW_PWSID_LIST, 0)), "")</f>
        <v>No</v>
      </c>
    </row>
    <row r="3111" spans="1:24" x14ac:dyDescent="0.25">
      <c r="A3111" t="s">
        <v>1643</v>
      </c>
      <c r="B3111" t="s">
        <v>1644</v>
      </c>
      <c r="C3111" t="s">
        <v>1651</v>
      </c>
      <c r="D3111" t="s">
        <v>1652</v>
      </c>
      <c r="E3111" s="9">
        <v>45139</v>
      </c>
      <c r="F3111" s="9">
        <v>45169</v>
      </c>
      <c r="G3111">
        <v>863990667.98999989</v>
      </c>
      <c r="H3111">
        <v>143152861.31999999</v>
      </c>
      <c r="I3111">
        <v>211493591.54999998</v>
      </c>
      <c r="J3111">
        <v>131660096.55</v>
      </c>
      <c r="K3111">
        <v>1759595.4000000001</v>
      </c>
      <c r="L3111">
        <v>5301595.7699999996</v>
      </c>
      <c r="M3111">
        <v>0</v>
      </c>
      <c r="T3111" s="9">
        <v>45108</v>
      </c>
      <c r="U3111" s="9">
        <v>45473</v>
      </c>
      <c r="V3111">
        <f>SUM(POTABLE_NONPOTABLE_API[[#This Row],[RESIDENTIAL_SINGLEFAMILY_GAL]:[OTHER_GAL]])</f>
        <v>1357358408.5799999</v>
      </c>
      <c r="W3111">
        <f>SUM(POTABLE_NONPOTABLE_API[[#This Row],[NONPOTABLE_DEMAND_RESIDENTIAL_RECYCLED_WATER_GAL]:[NONPOTABLE_DEMAND_NONRESIDENTIAL_METERED_IRRIGATION_GAL]])</f>
        <v>0</v>
      </c>
      <c r="X3111" t="str">
        <f>IFERROR(INDEX(Crosswalk_API!$H$2:$H$527, MATCH(POTABLE_NONPOTABLE_API[[#This Row],[PWSID]], CW_PWSID_LIST, 0)), "")</f>
        <v>No</v>
      </c>
    </row>
    <row r="3112" spans="1:24" x14ac:dyDescent="0.25">
      <c r="A3112" t="s">
        <v>1643</v>
      </c>
      <c r="B3112" t="s">
        <v>1644</v>
      </c>
      <c r="C3112" t="s">
        <v>1651</v>
      </c>
      <c r="D3112" t="s">
        <v>1652</v>
      </c>
      <c r="E3112" s="9">
        <v>45170</v>
      </c>
      <c r="F3112" s="9">
        <v>45199</v>
      </c>
      <c r="G3112">
        <v>730649180.28000009</v>
      </c>
      <c r="H3112">
        <v>122197383.50999999</v>
      </c>
      <c r="I3112">
        <v>184386046.86000001</v>
      </c>
      <c r="J3112">
        <v>100375142.04000001</v>
      </c>
      <c r="K3112">
        <v>1684649.67</v>
      </c>
      <c r="L3112">
        <v>5454745.7399999993</v>
      </c>
      <c r="M3112">
        <v>0</v>
      </c>
      <c r="T3112" s="9">
        <v>45108</v>
      </c>
      <c r="U3112" s="9">
        <v>45473</v>
      </c>
      <c r="V3112">
        <f>SUM(POTABLE_NONPOTABLE_API[[#This Row],[RESIDENTIAL_SINGLEFAMILY_GAL]:[OTHER_GAL]])</f>
        <v>1144747148.1000001</v>
      </c>
      <c r="W3112">
        <f>SUM(POTABLE_NONPOTABLE_API[[#This Row],[NONPOTABLE_DEMAND_RESIDENTIAL_RECYCLED_WATER_GAL]:[NONPOTABLE_DEMAND_NONRESIDENTIAL_METERED_IRRIGATION_GAL]])</f>
        <v>0</v>
      </c>
      <c r="X3112" t="str">
        <f>IFERROR(INDEX(Crosswalk_API!$H$2:$H$527, MATCH(POTABLE_NONPOTABLE_API[[#This Row],[PWSID]], CW_PWSID_LIST, 0)), "")</f>
        <v>No</v>
      </c>
    </row>
    <row r="3113" spans="1:24" x14ac:dyDescent="0.25">
      <c r="A3113" t="s">
        <v>1643</v>
      </c>
      <c r="B3113" t="s">
        <v>1644</v>
      </c>
      <c r="C3113" t="s">
        <v>1651</v>
      </c>
      <c r="D3113" t="s">
        <v>1652</v>
      </c>
      <c r="E3113" s="9">
        <v>45200</v>
      </c>
      <c r="F3113" s="9">
        <v>45230</v>
      </c>
      <c r="G3113">
        <v>730649180.28000009</v>
      </c>
      <c r="H3113">
        <v>122197383.50999999</v>
      </c>
      <c r="I3113">
        <v>184386046.86000001</v>
      </c>
      <c r="J3113">
        <v>100375142.04000001</v>
      </c>
      <c r="K3113">
        <v>1684649.67</v>
      </c>
      <c r="L3113">
        <v>5454745.7399999993</v>
      </c>
      <c r="M3113">
        <v>0</v>
      </c>
      <c r="T3113" s="9">
        <v>45108</v>
      </c>
      <c r="U3113" s="9">
        <v>45473</v>
      </c>
      <c r="V3113">
        <f>SUM(POTABLE_NONPOTABLE_API[[#This Row],[RESIDENTIAL_SINGLEFAMILY_GAL]:[OTHER_GAL]])</f>
        <v>1144747148.1000001</v>
      </c>
      <c r="W3113">
        <f>SUM(POTABLE_NONPOTABLE_API[[#This Row],[NONPOTABLE_DEMAND_RESIDENTIAL_RECYCLED_WATER_GAL]:[NONPOTABLE_DEMAND_NONRESIDENTIAL_METERED_IRRIGATION_GAL]])</f>
        <v>0</v>
      </c>
      <c r="X3113" t="str">
        <f>IFERROR(INDEX(Crosswalk_API!$H$2:$H$527, MATCH(POTABLE_NONPOTABLE_API[[#This Row],[PWSID]], CW_PWSID_LIST, 0)), "")</f>
        <v>No</v>
      </c>
    </row>
    <row r="3114" spans="1:24" x14ac:dyDescent="0.25">
      <c r="A3114" t="s">
        <v>1643</v>
      </c>
      <c r="B3114" t="s">
        <v>1644</v>
      </c>
      <c r="C3114" t="s">
        <v>1651</v>
      </c>
      <c r="D3114" t="s">
        <v>1652</v>
      </c>
      <c r="E3114" s="9">
        <v>45231</v>
      </c>
      <c r="F3114" s="9">
        <v>45260</v>
      </c>
      <c r="G3114">
        <v>485729793.15000004</v>
      </c>
      <c r="H3114">
        <v>87598524.329999998</v>
      </c>
      <c r="I3114">
        <v>120323740.25999999</v>
      </c>
      <c r="J3114">
        <v>40868232.420000002</v>
      </c>
      <c r="K3114">
        <v>1182839.1299999999</v>
      </c>
      <c r="L3114">
        <v>6184651.9800000004</v>
      </c>
      <c r="M3114">
        <v>0</v>
      </c>
      <c r="T3114" s="9">
        <v>45108</v>
      </c>
      <c r="U3114" s="9">
        <v>45473</v>
      </c>
      <c r="V3114">
        <f>SUM(POTABLE_NONPOTABLE_API[[#This Row],[RESIDENTIAL_SINGLEFAMILY_GAL]:[OTHER_GAL]])</f>
        <v>741887781.26999998</v>
      </c>
      <c r="W3114">
        <f>SUM(POTABLE_NONPOTABLE_API[[#This Row],[NONPOTABLE_DEMAND_RESIDENTIAL_RECYCLED_WATER_GAL]:[NONPOTABLE_DEMAND_NONRESIDENTIAL_METERED_IRRIGATION_GAL]])</f>
        <v>0</v>
      </c>
      <c r="X3114" t="str">
        <f>IFERROR(INDEX(Crosswalk_API!$H$2:$H$527, MATCH(POTABLE_NONPOTABLE_API[[#This Row],[PWSID]], CW_PWSID_LIST, 0)), "")</f>
        <v>No</v>
      </c>
    </row>
    <row r="3115" spans="1:24" x14ac:dyDescent="0.25">
      <c r="A3115" t="s">
        <v>1643</v>
      </c>
      <c r="B3115" t="s">
        <v>1644</v>
      </c>
      <c r="C3115" t="s">
        <v>1651</v>
      </c>
      <c r="D3115" t="s">
        <v>1652</v>
      </c>
      <c r="E3115" s="9">
        <v>45261</v>
      </c>
      <c r="F3115" s="9">
        <v>45291</v>
      </c>
      <c r="G3115">
        <v>485729793.15000004</v>
      </c>
      <c r="H3115">
        <v>87598524.329999998</v>
      </c>
      <c r="I3115">
        <v>120323740.25999999</v>
      </c>
      <c r="J3115">
        <v>40868232.420000002</v>
      </c>
      <c r="K3115">
        <v>1182839.1299999999</v>
      </c>
      <c r="L3115">
        <v>6184651.9800000004</v>
      </c>
      <c r="M3115">
        <v>0</v>
      </c>
      <c r="T3115" s="9">
        <v>45108</v>
      </c>
      <c r="U3115" s="9">
        <v>45473</v>
      </c>
      <c r="V3115">
        <f>SUM(POTABLE_NONPOTABLE_API[[#This Row],[RESIDENTIAL_SINGLEFAMILY_GAL]:[OTHER_GAL]])</f>
        <v>741887781.26999998</v>
      </c>
      <c r="W3115">
        <f>SUM(POTABLE_NONPOTABLE_API[[#This Row],[NONPOTABLE_DEMAND_RESIDENTIAL_RECYCLED_WATER_GAL]:[NONPOTABLE_DEMAND_NONRESIDENTIAL_METERED_IRRIGATION_GAL]])</f>
        <v>0</v>
      </c>
      <c r="X3115" t="str">
        <f>IFERROR(INDEX(Crosswalk_API!$H$2:$H$527, MATCH(POTABLE_NONPOTABLE_API[[#This Row],[PWSID]], CW_PWSID_LIST, 0)), "")</f>
        <v>No</v>
      </c>
    </row>
    <row r="3116" spans="1:24" x14ac:dyDescent="0.25">
      <c r="A3116" t="s">
        <v>1643</v>
      </c>
      <c r="B3116" t="s">
        <v>1644</v>
      </c>
      <c r="C3116" t="s">
        <v>1651</v>
      </c>
      <c r="D3116" t="s">
        <v>1652</v>
      </c>
      <c r="E3116" s="9">
        <v>45292</v>
      </c>
      <c r="F3116" s="9">
        <v>45322</v>
      </c>
      <c r="G3116">
        <v>377315906.94</v>
      </c>
      <c r="H3116">
        <v>77549279.49000001</v>
      </c>
      <c r="I3116">
        <v>110756754.89999999</v>
      </c>
      <c r="J3116">
        <v>16641210.57</v>
      </c>
      <c r="K3116">
        <v>856988.13</v>
      </c>
      <c r="L3116">
        <v>5187547.92</v>
      </c>
      <c r="M3116">
        <v>0</v>
      </c>
      <c r="T3116" s="9">
        <v>45108</v>
      </c>
      <c r="U3116" s="9">
        <v>45473</v>
      </c>
      <c r="V3116">
        <f>SUM(POTABLE_NONPOTABLE_API[[#This Row],[RESIDENTIAL_SINGLEFAMILY_GAL]:[OTHER_GAL]])</f>
        <v>588307687.95000005</v>
      </c>
      <c r="W3116">
        <f>SUM(POTABLE_NONPOTABLE_API[[#This Row],[NONPOTABLE_DEMAND_RESIDENTIAL_RECYCLED_WATER_GAL]:[NONPOTABLE_DEMAND_NONRESIDENTIAL_METERED_IRRIGATION_GAL]])</f>
        <v>0</v>
      </c>
      <c r="X3116" t="str">
        <f>IFERROR(INDEX(Crosswalk_API!$H$2:$H$527, MATCH(POTABLE_NONPOTABLE_API[[#This Row],[PWSID]], CW_PWSID_LIST, 0)), "")</f>
        <v>No</v>
      </c>
    </row>
    <row r="3117" spans="1:24" x14ac:dyDescent="0.25">
      <c r="A3117" t="s">
        <v>1643</v>
      </c>
      <c r="B3117" t="s">
        <v>1644</v>
      </c>
      <c r="C3117" t="s">
        <v>1651</v>
      </c>
      <c r="D3117" t="s">
        <v>1652</v>
      </c>
      <c r="E3117" s="9">
        <v>45323</v>
      </c>
      <c r="F3117" s="9">
        <v>45351</v>
      </c>
      <c r="G3117">
        <v>377315906.94</v>
      </c>
      <c r="H3117">
        <v>77549279.49000001</v>
      </c>
      <c r="I3117">
        <v>110756754.89999999</v>
      </c>
      <c r="J3117">
        <v>16641210.57</v>
      </c>
      <c r="K3117">
        <v>856988.13</v>
      </c>
      <c r="L3117">
        <v>5187547.92</v>
      </c>
      <c r="M3117">
        <v>0</v>
      </c>
      <c r="T3117" s="9">
        <v>45108</v>
      </c>
      <c r="U3117" s="9">
        <v>45473</v>
      </c>
      <c r="V3117">
        <f>SUM(POTABLE_NONPOTABLE_API[[#This Row],[RESIDENTIAL_SINGLEFAMILY_GAL]:[OTHER_GAL]])</f>
        <v>588307687.95000005</v>
      </c>
      <c r="W3117">
        <f>SUM(POTABLE_NONPOTABLE_API[[#This Row],[NONPOTABLE_DEMAND_RESIDENTIAL_RECYCLED_WATER_GAL]:[NONPOTABLE_DEMAND_NONRESIDENTIAL_METERED_IRRIGATION_GAL]])</f>
        <v>0</v>
      </c>
      <c r="X3117" t="str">
        <f>IFERROR(INDEX(Crosswalk_API!$H$2:$H$527, MATCH(POTABLE_NONPOTABLE_API[[#This Row],[PWSID]], CW_PWSID_LIST, 0)), "")</f>
        <v>No</v>
      </c>
    </row>
    <row r="3118" spans="1:24" x14ac:dyDescent="0.25">
      <c r="A3118" t="s">
        <v>1643</v>
      </c>
      <c r="B3118" t="s">
        <v>1644</v>
      </c>
      <c r="C3118" t="s">
        <v>1651</v>
      </c>
      <c r="D3118" t="s">
        <v>1652</v>
      </c>
      <c r="E3118" s="9">
        <v>45352</v>
      </c>
      <c r="F3118" s="9">
        <v>45382</v>
      </c>
      <c r="G3118">
        <v>452193208.23000002</v>
      </c>
      <c r="H3118">
        <v>89446099.5</v>
      </c>
      <c r="I3118">
        <v>138929832.36000001</v>
      </c>
      <c r="J3118">
        <v>42973229.879999995</v>
      </c>
      <c r="K3118">
        <v>935192.37</v>
      </c>
      <c r="L3118">
        <v>5663290.3799999999</v>
      </c>
      <c r="M3118">
        <v>0</v>
      </c>
      <c r="T3118" s="9">
        <v>45108</v>
      </c>
      <c r="U3118" s="9">
        <v>45473</v>
      </c>
      <c r="V3118">
        <f>SUM(POTABLE_NONPOTABLE_API[[#This Row],[RESIDENTIAL_SINGLEFAMILY_GAL]:[OTHER_GAL]])</f>
        <v>730140852.72000003</v>
      </c>
      <c r="W3118">
        <f>SUM(POTABLE_NONPOTABLE_API[[#This Row],[NONPOTABLE_DEMAND_RESIDENTIAL_RECYCLED_WATER_GAL]:[NONPOTABLE_DEMAND_NONRESIDENTIAL_METERED_IRRIGATION_GAL]])</f>
        <v>0</v>
      </c>
      <c r="X3118" t="str">
        <f>IFERROR(INDEX(Crosswalk_API!$H$2:$H$527, MATCH(POTABLE_NONPOTABLE_API[[#This Row],[PWSID]], CW_PWSID_LIST, 0)), "")</f>
        <v>No</v>
      </c>
    </row>
    <row r="3119" spans="1:24" x14ac:dyDescent="0.25">
      <c r="A3119" t="s">
        <v>1643</v>
      </c>
      <c r="B3119" t="s">
        <v>1644</v>
      </c>
      <c r="C3119" t="s">
        <v>1651</v>
      </c>
      <c r="D3119" t="s">
        <v>1652</v>
      </c>
      <c r="E3119" s="9">
        <v>45383</v>
      </c>
      <c r="F3119" s="9">
        <v>45412</v>
      </c>
      <c r="G3119">
        <v>452193208.23000002</v>
      </c>
      <c r="H3119">
        <v>89446099.5</v>
      </c>
      <c r="I3119">
        <v>138929832.36000001</v>
      </c>
      <c r="J3119">
        <v>42973229.879999995</v>
      </c>
      <c r="K3119">
        <v>935192.37</v>
      </c>
      <c r="L3119">
        <v>5663290.3799999999</v>
      </c>
      <c r="M3119">
        <v>0</v>
      </c>
      <c r="T3119" s="9">
        <v>45108</v>
      </c>
      <c r="U3119" s="9">
        <v>45473</v>
      </c>
      <c r="V3119">
        <f>SUM(POTABLE_NONPOTABLE_API[[#This Row],[RESIDENTIAL_SINGLEFAMILY_GAL]:[OTHER_GAL]])</f>
        <v>730140852.72000003</v>
      </c>
      <c r="W3119">
        <f>SUM(POTABLE_NONPOTABLE_API[[#This Row],[NONPOTABLE_DEMAND_RESIDENTIAL_RECYCLED_WATER_GAL]:[NONPOTABLE_DEMAND_NONRESIDENTIAL_METERED_IRRIGATION_GAL]])</f>
        <v>0</v>
      </c>
      <c r="X3119" t="str">
        <f>IFERROR(INDEX(Crosswalk_API!$H$2:$H$527, MATCH(POTABLE_NONPOTABLE_API[[#This Row],[PWSID]], CW_PWSID_LIST, 0)), "")</f>
        <v>No</v>
      </c>
    </row>
    <row r="3120" spans="1:24" x14ac:dyDescent="0.25">
      <c r="A3120" t="s">
        <v>1643</v>
      </c>
      <c r="B3120" t="s">
        <v>1644</v>
      </c>
      <c r="C3120" t="s">
        <v>1651</v>
      </c>
      <c r="D3120" t="s">
        <v>1652</v>
      </c>
      <c r="E3120" s="9">
        <v>45413</v>
      </c>
      <c r="F3120" s="9">
        <v>45443</v>
      </c>
      <c r="G3120">
        <v>802932707.61000001</v>
      </c>
      <c r="H3120">
        <v>130734679.70999999</v>
      </c>
      <c r="I3120">
        <v>203236527.21000001</v>
      </c>
      <c r="J3120">
        <v>113321202.27</v>
      </c>
      <c r="K3120">
        <v>1062274.26</v>
      </c>
      <c r="L3120">
        <v>11456921.159999998</v>
      </c>
      <c r="M3120">
        <v>0</v>
      </c>
      <c r="T3120" s="9">
        <v>45108</v>
      </c>
      <c r="U3120" s="9">
        <v>45473</v>
      </c>
      <c r="V3120">
        <f>SUM(POTABLE_NONPOTABLE_API[[#This Row],[RESIDENTIAL_SINGLEFAMILY_GAL]:[OTHER_GAL]])</f>
        <v>1262744312.22</v>
      </c>
      <c r="W3120">
        <f>SUM(POTABLE_NONPOTABLE_API[[#This Row],[NONPOTABLE_DEMAND_RESIDENTIAL_RECYCLED_WATER_GAL]:[NONPOTABLE_DEMAND_NONRESIDENTIAL_METERED_IRRIGATION_GAL]])</f>
        <v>0</v>
      </c>
      <c r="X3120" t="str">
        <f>IFERROR(INDEX(Crosswalk_API!$H$2:$H$527, MATCH(POTABLE_NONPOTABLE_API[[#This Row],[PWSID]], CW_PWSID_LIST, 0)), "")</f>
        <v>No</v>
      </c>
    </row>
    <row r="3121" spans="1:24" x14ac:dyDescent="0.25">
      <c r="A3121" t="s">
        <v>1643</v>
      </c>
      <c r="B3121" t="s">
        <v>1644</v>
      </c>
      <c r="C3121" t="s">
        <v>1651</v>
      </c>
      <c r="D3121" t="s">
        <v>1652</v>
      </c>
      <c r="E3121" s="9">
        <v>45444</v>
      </c>
      <c r="F3121" s="9">
        <v>45473</v>
      </c>
      <c r="G3121">
        <v>802932707.61000001</v>
      </c>
      <c r="H3121">
        <v>130734679.70999999</v>
      </c>
      <c r="I3121">
        <v>203236527.21000001</v>
      </c>
      <c r="J3121">
        <v>113321202.27</v>
      </c>
      <c r="K3121">
        <v>1062274.26</v>
      </c>
      <c r="L3121">
        <v>11456921.159999998</v>
      </c>
      <c r="M3121">
        <v>0</v>
      </c>
      <c r="T3121" s="9">
        <v>45108</v>
      </c>
      <c r="U3121" s="9">
        <v>45473</v>
      </c>
      <c r="V3121">
        <f>SUM(POTABLE_NONPOTABLE_API[[#This Row],[RESIDENTIAL_SINGLEFAMILY_GAL]:[OTHER_GAL]])</f>
        <v>1262744312.22</v>
      </c>
      <c r="W3121">
        <f>SUM(POTABLE_NONPOTABLE_API[[#This Row],[NONPOTABLE_DEMAND_RESIDENTIAL_RECYCLED_WATER_GAL]:[NONPOTABLE_DEMAND_NONRESIDENTIAL_METERED_IRRIGATION_GAL]])</f>
        <v>0</v>
      </c>
      <c r="X3121" t="str">
        <f>IFERROR(INDEX(Crosswalk_API!$H$2:$H$527, MATCH(POTABLE_NONPOTABLE_API[[#This Row],[PWSID]], CW_PWSID_LIST, 0)), "")</f>
        <v>No</v>
      </c>
    </row>
    <row r="3122" spans="1:24" x14ac:dyDescent="0.25">
      <c r="A3122" t="s">
        <v>1643</v>
      </c>
      <c r="B3122" t="s">
        <v>1644</v>
      </c>
      <c r="C3122" t="s">
        <v>1653</v>
      </c>
      <c r="D3122" t="s">
        <v>1654</v>
      </c>
      <c r="E3122" s="9">
        <v>45108</v>
      </c>
      <c r="F3122" s="9">
        <v>45138</v>
      </c>
      <c r="G3122">
        <v>49513059.449999996</v>
      </c>
      <c r="H3122">
        <v>3095584.5</v>
      </c>
      <c r="I3122">
        <v>30199870.680000003</v>
      </c>
      <c r="J3122">
        <v>97755.3</v>
      </c>
      <c r="K3122">
        <v>149891.46000000002</v>
      </c>
      <c r="L3122">
        <v>827661.54</v>
      </c>
      <c r="M3122">
        <v>0</v>
      </c>
      <c r="T3122" s="9">
        <v>45108</v>
      </c>
      <c r="U3122" s="9">
        <v>45473</v>
      </c>
      <c r="V3122">
        <f>SUM(POTABLE_NONPOTABLE_API[[#This Row],[RESIDENTIAL_SINGLEFAMILY_GAL]:[OTHER_GAL]])</f>
        <v>83883822.929999992</v>
      </c>
      <c r="W3122">
        <f>SUM(POTABLE_NONPOTABLE_API[[#This Row],[NONPOTABLE_DEMAND_RESIDENTIAL_RECYCLED_WATER_GAL]:[NONPOTABLE_DEMAND_NONRESIDENTIAL_METERED_IRRIGATION_GAL]])</f>
        <v>0</v>
      </c>
      <c r="X3122" t="str">
        <f>IFERROR(INDEX(Crosswalk_API!$H$2:$H$527, MATCH(POTABLE_NONPOTABLE_API[[#This Row],[PWSID]], CW_PWSID_LIST, 0)), "")</f>
        <v>No</v>
      </c>
    </row>
    <row r="3123" spans="1:24" x14ac:dyDescent="0.25">
      <c r="A3123" t="s">
        <v>1643</v>
      </c>
      <c r="B3123" t="s">
        <v>1644</v>
      </c>
      <c r="C3123" t="s">
        <v>1653</v>
      </c>
      <c r="D3123" t="s">
        <v>1654</v>
      </c>
      <c r="E3123" s="9">
        <v>45139</v>
      </c>
      <c r="F3123" s="9">
        <v>45169</v>
      </c>
      <c r="G3123">
        <v>49513059.449999996</v>
      </c>
      <c r="H3123">
        <v>3095584.5</v>
      </c>
      <c r="I3123">
        <v>30199870.680000003</v>
      </c>
      <c r="J3123">
        <v>97755.3</v>
      </c>
      <c r="K3123">
        <v>149891.46000000002</v>
      </c>
      <c r="L3123">
        <v>827661.54</v>
      </c>
      <c r="M3123">
        <v>0</v>
      </c>
      <c r="T3123" s="9">
        <v>45108</v>
      </c>
      <c r="U3123" s="9">
        <v>45473</v>
      </c>
      <c r="V3123">
        <f>SUM(POTABLE_NONPOTABLE_API[[#This Row],[RESIDENTIAL_SINGLEFAMILY_GAL]:[OTHER_GAL]])</f>
        <v>83883822.929999992</v>
      </c>
      <c r="W3123">
        <f>SUM(POTABLE_NONPOTABLE_API[[#This Row],[NONPOTABLE_DEMAND_RESIDENTIAL_RECYCLED_WATER_GAL]:[NONPOTABLE_DEMAND_NONRESIDENTIAL_METERED_IRRIGATION_GAL]])</f>
        <v>0</v>
      </c>
      <c r="X3123" t="str">
        <f>IFERROR(INDEX(Crosswalk_API!$H$2:$H$527, MATCH(POTABLE_NONPOTABLE_API[[#This Row],[PWSID]], CW_PWSID_LIST, 0)), "")</f>
        <v>No</v>
      </c>
    </row>
    <row r="3124" spans="1:24" x14ac:dyDescent="0.25">
      <c r="A3124" t="s">
        <v>1643</v>
      </c>
      <c r="B3124" t="s">
        <v>1644</v>
      </c>
      <c r="C3124" t="s">
        <v>1653</v>
      </c>
      <c r="D3124" t="s">
        <v>1654</v>
      </c>
      <c r="E3124" s="9">
        <v>45170</v>
      </c>
      <c r="F3124" s="9">
        <v>45199</v>
      </c>
      <c r="G3124">
        <v>37665117.090000004</v>
      </c>
      <c r="H3124">
        <v>2300508.06</v>
      </c>
      <c r="I3124">
        <v>24960186.599999998</v>
      </c>
      <c r="J3124">
        <v>87979.77</v>
      </c>
      <c r="K3124">
        <v>322592.49</v>
      </c>
      <c r="L3124">
        <v>127081.89</v>
      </c>
      <c r="M3124">
        <v>0</v>
      </c>
      <c r="T3124" s="9">
        <v>45108</v>
      </c>
      <c r="U3124" s="9">
        <v>45473</v>
      </c>
      <c r="V3124">
        <f>SUM(POTABLE_NONPOTABLE_API[[#This Row],[RESIDENTIAL_SINGLEFAMILY_GAL]:[OTHER_GAL]])</f>
        <v>65463465.900000006</v>
      </c>
      <c r="W3124">
        <f>SUM(POTABLE_NONPOTABLE_API[[#This Row],[NONPOTABLE_DEMAND_RESIDENTIAL_RECYCLED_WATER_GAL]:[NONPOTABLE_DEMAND_NONRESIDENTIAL_METERED_IRRIGATION_GAL]])</f>
        <v>0</v>
      </c>
      <c r="X3124" t="str">
        <f>IFERROR(INDEX(Crosswalk_API!$H$2:$H$527, MATCH(POTABLE_NONPOTABLE_API[[#This Row],[PWSID]], CW_PWSID_LIST, 0)), "")</f>
        <v>No</v>
      </c>
    </row>
    <row r="3125" spans="1:24" x14ac:dyDescent="0.25">
      <c r="A3125" t="s">
        <v>1643</v>
      </c>
      <c r="B3125" t="s">
        <v>1644</v>
      </c>
      <c r="C3125" t="s">
        <v>1653</v>
      </c>
      <c r="D3125" t="s">
        <v>1654</v>
      </c>
      <c r="E3125" s="9">
        <v>45200</v>
      </c>
      <c r="F3125" s="9">
        <v>45230</v>
      </c>
      <c r="G3125">
        <v>37665117.090000004</v>
      </c>
      <c r="H3125">
        <v>2300508.06</v>
      </c>
      <c r="I3125">
        <v>24960186.599999998</v>
      </c>
      <c r="J3125">
        <v>87979.77</v>
      </c>
      <c r="K3125">
        <v>322592.49</v>
      </c>
      <c r="L3125">
        <v>127081.89</v>
      </c>
      <c r="M3125">
        <v>0</v>
      </c>
      <c r="T3125" s="9">
        <v>45108</v>
      </c>
      <c r="U3125" s="9">
        <v>45473</v>
      </c>
      <c r="V3125">
        <f>SUM(POTABLE_NONPOTABLE_API[[#This Row],[RESIDENTIAL_SINGLEFAMILY_GAL]:[OTHER_GAL]])</f>
        <v>65463465.900000006</v>
      </c>
      <c r="W3125">
        <f>SUM(POTABLE_NONPOTABLE_API[[#This Row],[NONPOTABLE_DEMAND_RESIDENTIAL_RECYCLED_WATER_GAL]:[NONPOTABLE_DEMAND_NONRESIDENTIAL_METERED_IRRIGATION_GAL]])</f>
        <v>0</v>
      </c>
      <c r="X3125" t="str">
        <f>IFERROR(INDEX(Crosswalk_API!$H$2:$H$527, MATCH(POTABLE_NONPOTABLE_API[[#This Row],[PWSID]], CW_PWSID_LIST, 0)), "")</f>
        <v>No</v>
      </c>
    </row>
    <row r="3126" spans="1:24" x14ac:dyDescent="0.25">
      <c r="A3126" t="s">
        <v>1643</v>
      </c>
      <c r="B3126" t="s">
        <v>1644</v>
      </c>
      <c r="C3126" t="s">
        <v>1653</v>
      </c>
      <c r="D3126" t="s">
        <v>1654</v>
      </c>
      <c r="E3126" s="9">
        <v>45231</v>
      </c>
      <c r="F3126" s="9">
        <v>45260</v>
      </c>
      <c r="G3126">
        <v>24184661.219999999</v>
      </c>
      <c r="H3126">
        <v>1818248.58</v>
      </c>
      <c r="I3126">
        <v>12398630.549999999</v>
      </c>
      <c r="J3126">
        <v>48877.65</v>
      </c>
      <c r="K3126">
        <v>169442.52000000002</v>
      </c>
      <c r="L3126">
        <v>296524.41000000003</v>
      </c>
      <c r="M3126">
        <v>0</v>
      </c>
      <c r="T3126" s="9">
        <v>45108</v>
      </c>
      <c r="U3126" s="9">
        <v>45473</v>
      </c>
      <c r="V3126">
        <f>SUM(POTABLE_NONPOTABLE_API[[#This Row],[RESIDENTIAL_SINGLEFAMILY_GAL]:[OTHER_GAL]])</f>
        <v>38916384.929999992</v>
      </c>
      <c r="W3126">
        <f>SUM(POTABLE_NONPOTABLE_API[[#This Row],[NONPOTABLE_DEMAND_RESIDENTIAL_RECYCLED_WATER_GAL]:[NONPOTABLE_DEMAND_NONRESIDENTIAL_METERED_IRRIGATION_GAL]])</f>
        <v>0</v>
      </c>
      <c r="X3126" t="str">
        <f>IFERROR(INDEX(Crosswalk_API!$H$2:$H$527, MATCH(POTABLE_NONPOTABLE_API[[#This Row],[PWSID]], CW_PWSID_LIST, 0)), "")</f>
        <v>No</v>
      </c>
    </row>
    <row r="3127" spans="1:24" x14ac:dyDescent="0.25">
      <c r="A3127" t="s">
        <v>1643</v>
      </c>
      <c r="B3127" t="s">
        <v>1644</v>
      </c>
      <c r="C3127" t="s">
        <v>1653</v>
      </c>
      <c r="D3127" t="s">
        <v>1654</v>
      </c>
      <c r="E3127" s="9">
        <v>45261</v>
      </c>
      <c r="F3127" s="9">
        <v>45291</v>
      </c>
      <c r="G3127">
        <v>24184661.219999999</v>
      </c>
      <c r="H3127">
        <v>1818248.58</v>
      </c>
      <c r="I3127">
        <v>12398630.549999999</v>
      </c>
      <c r="J3127">
        <v>48877.65</v>
      </c>
      <c r="K3127">
        <v>169442.52000000002</v>
      </c>
      <c r="L3127">
        <v>296524.41000000003</v>
      </c>
      <c r="M3127">
        <v>0</v>
      </c>
      <c r="T3127" s="9">
        <v>45108</v>
      </c>
      <c r="U3127" s="9">
        <v>45473</v>
      </c>
      <c r="V3127">
        <f>SUM(POTABLE_NONPOTABLE_API[[#This Row],[RESIDENTIAL_SINGLEFAMILY_GAL]:[OTHER_GAL]])</f>
        <v>38916384.929999992</v>
      </c>
      <c r="W3127">
        <f>SUM(POTABLE_NONPOTABLE_API[[#This Row],[NONPOTABLE_DEMAND_RESIDENTIAL_RECYCLED_WATER_GAL]:[NONPOTABLE_DEMAND_NONRESIDENTIAL_METERED_IRRIGATION_GAL]])</f>
        <v>0</v>
      </c>
      <c r="X3127" t="str">
        <f>IFERROR(INDEX(Crosswalk_API!$H$2:$H$527, MATCH(POTABLE_NONPOTABLE_API[[#This Row],[PWSID]], CW_PWSID_LIST, 0)), "")</f>
        <v>No</v>
      </c>
    </row>
    <row r="3128" spans="1:24" x14ac:dyDescent="0.25">
      <c r="A3128" t="s">
        <v>1643</v>
      </c>
      <c r="B3128" t="s">
        <v>1644</v>
      </c>
      <c r="C3128" t="s">
        <v>1653</v>
      </c>
      <c r="D3128" t="s">
        <v>1654</v>
      </c>
      <c r="E3128" s="9">
        <v>45292</v>
      </c>
      <c r="F3128" s="9">
        <v>45322</v>
      </c>
      <c r="G3128">
        <v>20864239.530000001</v>
      </c>
      <c r="H3128">
        <v>1469588.01</v>
      </c>
      <c r="I3128">
        <v>11482989.24</v>
      </c>
      <c r="J3128">
        <v>26068.080000000002</v>
      </c>
      <c r="K3128">
        <v>104272.32000000001</v>
      </c>
      <c r="L3128">
        <v>511586.07</v>
      </c>
      <c r="M3128">
        <v>0</v>
      </c>
      <c r="T3128" s="9">
        <v>45108</v>
      </c>
      <c r="U3128" s="9">
        <v>45473</v>
      </c>
      <c r="V3128">
        <f>SUM(POTABLE_NONPOTABLE_API[[#This Row],[RESIDENTIAL_SINGLEFAMILY_GAL]:[OTHER_GAL]])</f>
        <v>34458743.25</v>
      </c>
      <c r="W3128">
        <f>SUM(POTABLE_NONPOTABLE_API[[#This Row],[NONPOTABLE_DEMAND_RESIDENTIAL_RECYCLED_WATER_GAL]:[NONPOTABLE_DEMAND_NONRESIDENTIAL_METERED_IRRIGATION_GAL]])</f>
        <v>0</v>
      </c>
      <c r="X3128" t="str">
        <f>IFERROR(INDEX(Crosswalk_API!$H$2:$H$527, MATCH(POTABLE_NONPOTABLE_API[[#This Row],[PWSID]], CW_PWSID_LIST, 0)), "")</f>
        <v>No</v>
      </c>
    </row>
    <row r="3129" spans="1:24" x14ac:dyDescent="0.25">
      <c r="A3129" t="s">
        <v>1643</v>
      </c>
      <c r="B3129" t="s">
        <v>1644</v>
      </c>
      <c r="C3129" t="s">
        <v>1653</v>
      </c>
      <c r="D3129" t="s">
        <v>1654</v>
      </c>
      <c r="E3129" s="9">
        <v>45323</v>
      </c>
      <c r="F3129" s="9">
        <v>45351</v>
      </c>
      <c r="G3129">
        <v>20864239.530000001</v>
      </c>
      <c r="H3129">
        <v>1469588.01</v>
      </c>
      <c r="I3129">
        <v>11482989.24</v>
      </c>
      <c r="J3129">
        <v>26068.080000000002</v>
      </c>
      <c r="K3129">
        <v>104272.32000000001</v>
      </c>
      <c r="L3129">
        <v>511586.07</v>
      </c>
      <c r="M3129">
        <v>0</v>
      </c>
      <c r="T3129" s="9">
        <v>45108</v>
      </c>
      <c r="U3129" s="9">
        <v>45473</v>
      </c>
      <c r="V3129">
        <f>SUM(POTABLE_NONPOTABLE_API[[#This Row],[RESIDENTIAL_SINGLEFAMILY_GAL]:[OTHER_GAL]])</f>
        <v>34458743.25</v>
      </c>
      <c r="W3129">
        <f>SUM(POTABLE_NONPOTABLE_API[[#This Row],[NONPOTABLE_DEMAND_RESIDENTIAL_RECYCLED_WATER_GAL]:[NONPOTABLE_DEMAND_NONRESIDENTIAL_METERED_IRRIGATION_GAL]])</f>
        <v>0</v>
      </c>
      <c r="X3129" t="str">
        <f>IFERROR(INDEX(Crosswalk_API!$H$2:$H$527, MATCH(POTABLE_NONPOTABLE_API[[#This Row],[PWSID]], CW_PWSID_LIST, 0)), "")</f>
        <v>No</v>
      </c>
    </row>
    <row r="3130" spans="1:24" x14ac:dyDescent="0.25">
      <c r="A3130" t="s">
        <v>1643</v>
      </c>
      <c r="B3130" t="s">
        <v>1644</v>
      </c>
      <c r="C3130" t="s">
        <v>1653</v>
      </c>
      <c r="D3130" t="s">
        <v>1654</v>
      </c>
      <c r="E3130" s="9">
        <v>45352</v>
      </c>
      <c r="F3130" s="9">
        <v>45382</v>
      </c>
      <c r="G3130">
        <v>28384880.609999999</v>
      </c>
      <c r="H3130">
        <v>1772629.4400000002</v>
      </c>
      <c r="I3130">
        <v>17195157.27</v>
      </c>
      <c r="J3130">
        <v>26068.080000000002</v>
      </c>
      <c r="K3130">
        <v>104272.32000000001</v>
      </c>
      <c r="L3130">
        <v>417089.28000000003</v>
      </c>
      <c r="M3130">
        <v>0</v>
      </c>
      <c r="T3130" s="9">
        <v>45108</v>
      </c>
      <c r="U3130" s="9">
        <v>45473</v>
      </c>
      <c r="V3130">
        <f>SUM(POTABLE_NONPOTABLE_API[[#This Row],[RESIDENTIAL_SINGLEFAMILY_GAL]:[OTHER_GAL]])</f>
        <v>47900097</v>
      </c>
      <c r="W3130">
        <f>SUM(POTABLE_NONPOTABLE_API[[#This Row],[NONPOTABLE_DEMAND_RESIDENTIAL_RECYCLED_WATER_GAL]:[NONPOTABLE_DEMAND_NONRESIDENTIAL_METERED_IRRIGATION_GAL]])</f>
        <v>0</v>
      </c>
      <c r="X3130" t="str">
        <f>IFERROR(INDEX(Crosswalk_API!$H$2:$H$527, MATCH(POTABLE_NONPOTABLE_API[[#This Row],[PWSID]], CW_PWSID_LIST, 0)), "")</f>
        <v>No</v>
      </c>
    </row>
    <row r="3131" spans="1:24" x14ac:dyDescent="0.25">
      <c r="A3131" t="s">
        <v>1643</v>
      </c>
      <c r="B3131" t="s">
        <v>1644</v>
      </c>
      <c r="C3131" t="s">
        <v>1653</v>
      </c>
      <c r="D3131" t="s">
        <v>1654</v>
      </c>
      <c r="E3131" s="9">
        <v>45383</v>
      </c>
      <c r="F3131" s="9">
        <v>45412</v>
      </c>
      <c r="G3131">
        <v>28384880.609999999</v>
      </c>
      <c r="H3131">
        <v>1772629.4400000002</v>
      </c>
      <c r="I3131">
        <v>17195157.27</v>
      </c>
      <c r="J3131">
        <v>26068.080000000002</v>
      </c>
      <c r="K3131">
        <v>104272.32000000001</v>
      </c>
      <c r="L3131">
        <v>417089.28000000003</v>
      </c>
      <c r="M3131">
        <v>0</v>
      </c>
      <c r="T3131" s="9">
        <v>45108</v>
      </c>
      <c r="U3131" s="9">
        <v>45473</v>
      </c>
      <c r="V3131">
        <f>SUM(POTABLE_NONPOTABLE_API[[#This Row],[RESIDENTIAL_SINGLEFAMILY_GAL]:[OTHER_GAL]])</f>
        <v>47900097</v>
      </c>
      <c r="W3131">
        <f>SUM(POTABLE_NONPOTABLE_API[[#This Row],[NONPOTABLE_DEMAND_RESIDENTIAL_RECYCLED_WATER_GAL]:[NONPOTABLE_DEMAND_NONRESIDENTIAL_METERED_IRRIGATION_GAL]])</f>
        <v>0</v>
      </c>
      <c r="X3131" t="str">
        <f>IFERROR(INDEX(Crosswalk_API!$H$2:$H$527, MATCH(POTABLE_NONPOTABLE_API[[#This Row],[PWSID]], CW_PWSID_LIST, 0)), "")</f>
        <v>No</v>
      </c>
    </row>
    <row r="3132" spans="1:24" x14ac:dyDescent="0.25">
      <c r="A3132" t="s">
        <v>1643</v>
      </c>
      <c r="B3132" t="s">
        <v>1644</v>
      </c>
      <c r="C3132" t="s">
        <v>1653</v>
      </c>
      <c r="D3132" t="s">
        <v>1654</v>
      </c>
      <c r="E3132" s="9">
        <v>45413</v>
      </c>
      <c r="F3132" s="9">
        <v>45443</v>
      </c>
      <c r="G3132">
        <v>48757085.129999995</v>
      </c>
      <c r="H3132">
        <v>2717597.34</v>
      </c>
      <c r="I3132">
        <v>30828763.109999999</v>
      </c>
      <c r="J3132">
        <v>26068.080000000002</v>
      </c>
      <c r="K3132">
        <v>286748.88</v>
      </c>
      <c r="L3132">
        <v>387762.69</v>
      </c>
      <c r="M3132">
        <v>0</v>
      </c>
      <c r="T3132" s="9">
        <v>45108</v>
      </c>
      <c r="U3132" s="9">
        <v>45473</v>
      </c>
      <c r="V3132">
        <f>SUM(POTABLE_NONPOTABLE_API[[#This Row],[RESIDENTIAL_SINGLEFAMILY_GAL]:[OTHER_GAL]])</f>
        <v>83004025.229999989</v>
      </c>
      <c r="W3132">
        <f>SUM(POTABLE_NONPOTABLE_API[[#This Row],[NONPOTABLE_DEMAND_RESIDENTIAL_RECYCLED_WATER_GAL]:[NONPOTABLE_DEMAND_NONRESIDENTIAL_METERED_IRRIGATION_GAL]])</f>
        <v>0</v>
      </c>
      <c r="X3132" t="str">
        <f>IFERROR(INDEX(Crosswalk_API!$H$2:$H$527, MATCH(POTABLE_NONPOTABLE_API[[#This Row],[PWSID]], CW_PWSID_LIST, 0)), "")</f>
        <v>No</v>
      </c>
    </row>
    <row r="3133" spans="1:24" x14ac:dyDescent="0.25">
      <c r="A3133" t="s">
        <v>1643</v>
      </c>
      <c r="B3133" t="s">
        <v>1644</v>
      </c>
      <c r="C3133" t="s">
        <v>1653</v>
      </c>
      <c r="D3133" t="s">
        <v>1654</v>
      </c>
      <c r="E3133" s="9">
        <v>45444</v>
      </c>
      <c r="F3133" s="9">
        <v>45473</v>
      </c>
      <c r="G3133">
        <v>48757085.129999995</v>
      </c>
      <c r="H3133">
        <v>2717597.34</v>
      </c>
      <c r="I3133">
        <v>30828763.109999999</v>
      </c>
      <c r="J3133">
        <v>26068.080000000002</v>
      </c>
      <c r="K3133">
        <v>286748.88</v>
      </c>
      <c r="L3133">
        <v>387762.69</v>
      </c>
      <c r="M3133">
        <v>0</v>
      </c>
      <c r="T3133" s="9">
        <v>45108</v>
      </c>
      <c r="U3133" s="9">
        <v>45473</v>
      </c>
      <c r="V3133">
        <f>SUM(POTABLE_NONPOTABLE_API[[#This Row],[RESIDENTIAL_SINGLEFAMILY_GAL]:[OTHER_GAL]])</f>
        <v>83004025.229999989</v>
      </c>
      <c r="W3133">
        <f>SUM(POTABLE_NONPOTABLE_API[[#This Row],[NONPOTABLE_DEMAND_RESIDENTIAL_RECYCLED_WATER_GAL]:[NONPOTABLE_DEMAND_NONRESIDENTIAL_METERED_IRRIGATION_GAL]])</f>
        <v>0</v>
      </c>
      <c r="X3133" t="str">
        <f>IFERROR(INDEX(Crosswalk_API!$H$2:$H$527, MATCH(POTABLE_NONPOTABLE_API[[#This Row],[PWSID]], CW_PWSID_LIST, 0)), "")</f>
        <v>No</v>
      </c>
    </row>
    <row r="3134" spans="1:24" x14ac:dyDescent="0.25">
      <c r="A3134" t="s">
        <v>1655</v>
      </c>
      <c r="B3134" t="s">
        <v>1656</v>
      </c>
      <c r="C3134" t="s">
        <v>1657</v>
      </c>
      <c r="D3134" t="s">
        <v>1658</v>
      </c>
      <c r="E3134" s="9">
        <v>45108</v>
      </c>
      <c r="F3134" s="9">
        <v>45138</v>
      </c>
      <c r="G3134">
        <v>155031228</v>
      </c>
      <c r="H3134">
        <v>12238028</v>
      </c>
      <c r="I3134">
        <v>42181964</v>
      </c>
      <c r="J3134">
        <v>25204608</v>
      </c>
      <c r="K3134">
        <v>0</v>
      </c>
      <c r="L3134">
        <v>0</v>
      </c>
      <c r="M3134">
        <v>0</v>
      </c>
      <c r="T3134" s="9">
        <v>45108</v>
      </c>
      <c r="U3134" s="9">
        <v>45473</v>
      </c>
      <c r="V3134">
        <f>SUM(POTABLE_NONPOTABLE_API[[#This Row],[RESIDENTIAL_SINGLEFAMILY_GAL]:[OTHER_GAL]])</f>
        <v>234655828</v>
      </c>
      <c r="W3134">
        <f>SUM(POTABLE_NONPOTABLE_API[[#This Row],[NONPOTABLE_DEMAND_RESIDENTIAL_RECYCLED_WATER_GAL]:[NONPOTABLE_DEMAND_NONRESIDENTIAL_METERED_IRRIGATION_GAL]])</f>
        <v>0</v>
      </c>
      <c r="X3134" t="str">
        <f>IFERROR(INDEX(Crosswalk_API!$H$2:$H$527, MATCH(POTABLE_NONPOTABLE_API[[#This Row],[PWSID]], CW_PWSID_LIST, 0)), "")</f>
        <v>No</v>
      </c>
    </row>
    <row r="3135" spans="1:24" x14ac:dyDescent="0.25">
      <c r="A3135" t="s">
        <v>1655</v>
      </c>
      <c r="B3135" t="s">
        <v>1656</v>
      </c>
      <c r="C3135" t="s">
        <v>1657</v>
      </c>
      <c r="D3135" t="s">
        <v>1658</v>
      </c>
      <c r="E3135" s="9">
        <v>45139</v>
      </c>
      <c r="F3135" s="9">
        <v>45169</v>
      </c>
      <c r="G3135">
        <v>170938196</v>
      </c>
      <c r="H3135">
        <v>15122316</v>
      </c>
      <c r="I3135">
        <v>46453792</v>
      </c>
      <c r="J3135">
        <v>35408076</v>
      </c>
      <c r="K3135">
        <v>0</v>
      </c>
      <c r="L3135">
        <v>0</v>
      </c>
      <c r="M3135">
        <v>0</v>
      </c>
      <c r="T3135" s="9">
        <v>45108</v>
      </c>
      <c r="U3135" s="9">
        <v>45473</v>
      </c>
      <c r="V3135">
        <f>SUM(POTABLE_NONPOTABLE_API[[#This Row],[RESIDENTIAL_SINGLEFAMILY_GAL]:[OTHER_GAL]])</f>
        <v>267922380</v>
      </c>
      <c r="W3135">
        <f>SUM(POTABLE_NONPOTABLE_API[[#This Row],[NONPOTABLE_DEMAND_RESIDENTIAL_RECYCLED_WATER_GAL]:[NONPOTABLE_DEMAND_NONRESIDENTIAL_METERED_IRRIGATION_GAL]])</f>
        <v>0</v>
      </c>
      <c r="X3135" t="str">
        <f>IFERROR(INDEX(Crosswalk_API!$H$2:$H$527, MATCH(POTABLE_NONPOTABLE_API[[#This Row],[PWSID]], CW_PWSID_LIST, 0)), "")</f>
        <v>No</v>
      </c>
    </row>
    <row r="3136" spans="1:24" x14ac:dyDescent="0.25">
      <c r="A3136" t="s">
        <v>1655</v>
      </c>
      <c r="B3136" t="s">
        <v>1656</v>
      </c>
      <c r="C3136" t="s">
        <v>1657</v>
      </c>
      <c r="D3136" t="s">
        <v>1658</v>
      </c>
      <c r="E3136" s="9">
        <v>45170</v>
      </c>
      <c r="F3136" s="9">
        <v>45199</v>
      </c>
      <c r="G3136">
        <v>157020160</v>
      </c>
      <c r="H3136">
        <v>13627064</v>
      </c>
      <c r="I3136">
        <v>43152868</v>
      </c>
      <c r="J3136">
        <v>36034152</v>
      </c>
      <c r="K3136">
        <v>0</v>
      </c>
      <c r="L3136">
        <v>0</v>
      </c>
      <c r="M3136">
        <v>0</v>
      </c>
      <c r="T3136" s="9">
        <v>45108</v>
      </c>
      <c r="U3136" s="9">
        <v>45473</v>
      </c>
      <c r="V3136">
        <f>SUM(POTABLE_NONPOTABLE_API[[#This Row],[RESIDENTIAL_SINGLEFAMILY_GAL]:[OTHER_GAL]])</f>
        <v>249834244</v>
      </c>
      <c r="W3136">
        <f>SUM(POTABLE_NONPOTABLE_API[[#This Row],[NONPOTABLE_DEMAND_RESIDENTIAL_RECYCLED_WATER_GAL]:[NONPOTABLE_DEMAND_NONRESIDENTIAL_METERED_IRRIGATION_GAL]])</f>
        <v>0</v>
      </c>
      <c r="X3136" t="str">
        <f>IFERROR(INDEX(Crosswalk_API!$H$2:$H$527, MATCH(POTABLE_NONPOTABLE_API[[#This Row],[PWSID]], CW_PWSID_LIST, 0)), "")</f>
        <v>No</v>
      </c>
    </row>
    <row r="3137" spans="1:24" x14ac:dyDescent="0.25">
      <c r="A3137" t="s">
        <v>1655</v>
      </c>
      <c r="B3137" t="s">
        <v>1656</v>
      </c>
      <c r="C3137" t="s">
        <v>1657</v>
      </c>
      <c r="D3137" t="s">
        <v>1658</v>
      </c>
      <c r="E3137" s="9">
        <v>45200</v>
      </c>
      <c r="F3137" s="9">
        <v>45230</v>
      </c>
      <c r="G3137">
        <v>136290088</v>
      </c>
      <c r="H3137">
        <v>10345588</v>
      </c>
      <c r="I3137">
        <v>35156748</v>
      </c>
      <c r="J3137">
        <v>21303040</v>
      </c>
      <c r="K3137">
        <v>0</v>
      </c>
      <c r="L3137">
        <v>0</v>
      </c>
      <c r="M3137">
        <v>0</v>
      </c>
      <c r="T3137" s="9">
        <v>45108</v>
      </c>
      <c r="U3137" s="9">
        <v>45473</v>
      </c>
      <c r="V3137">
        <f>SUM(POTABLE_NONPOTABLE_API[[#This Row],[RESIDENTIAL_SINGLEFAMILY_GAL]:[OTHER_GAL]])</f>
        <v>203095464</v>
      </c>
      <c r="W3137">
        <f>SUM(POTABLE_NONPOTABLE_API[[#This Row],[NONPOTABLE_DEMAND_RESIDENTIAL_RECYCLED_WATER_GAL]:[NONPOTABLE_DEMAND_NONRESIDENTIAL_METERED_IRRIGATION_GAL]])</f>
        <v>0</v>
      </c>
      <c r="X3137" t="str">
        <f>IFERROR(INDEX(Crosswalk_API!$H$2:$H$527, MATCH(POTABLE_NONPOTABLE_API[[#This Row],[PWSID]], CW_PWSID_LIST, 0)), "")</f>
        <v>No</v>
      </c>
    </row>
    <row r="3138" spans="1:24" x14ac:dyDescent="0.25">
      <c r="A3138" t="s">
        <v>1655</v>
      </c>
      <c r="B3138" t="s">
        <v>1656</v>
      </c>
      <c r="C3138" t="s">
        <v>1657</v>
      </c>
      <c r="D3138" t="s">
        <v>1658</v>
      </c>
      <c r="E3138" s="9">
        <v>45231</v>
      </c>
      <c r="F3138" s="9">
        <v>45260</v>
      </c>
      <c r="G3138">
        <v>134361744</v>
      </c>
      <c r="H3138">
        <v>10050876</v>
      </c>
      <c r="I3138">
        <v>41505772</v>
      </c>
      <c r="J3138">
        <v>19373948</v>
      </c>
      <c r="K3138">
        <v>0</v>
      </c>
      <c r="L3138">
        <v>0</v>
      </c>
      <c r="M3138">
        <v>0</v>
      </c>
      <c r="T3138" s="9">
        <v>45108</v>
      </c>
      <c r="U3138" s="9">
        <v>45473</v>
      </c>
      <c r="V3138">
        <f>SUM(POTABLE_NONPOTABLE_API[[#This Row],[RESIDENTIAL_SINGLEFAMILY_GAL]:[OTHER_GAL]])</f>
        <v>205292340</v>
      </c>
      <c r="W3138">
        <f>SUM(POTABLE_NONPOTABLE_API[[#This Row],[NONPOTABLE_DEMAND_RESIDENTIAL_RECYCLED_WATER_GAL]:[NONPOTABLE_DEMAND_NONRESIDENTIAL_METERED_IRRIGATION_GAL]])</f>
        <v>0</v>
      </c>
      <c r="X3138" t="str">
        <f>IFERROR(INDEX(Crosswalk_API!$H$2:$H$527, MATCH(POTABLE_NONPOTABLE_API[[#This Row],[PWSID]], CW_PWSID_LIST, 0)), "")</f>
        <v>No</v>
      </c>
    </row>
    <row r="3139" spans="1:24" x14ac:dyDescent="0.25">
      <c r="A3139" t="s">
        <v>1655</v>
      </c>
      <c r="B3139" t="s">
        <v>1656</v>
      </c>
      <c r="C3139" t="s">
        <v>1657</v>
      </c>
      <c r="D3139" t="s">
        <v>1658</v>
      </c>
      <c r="E3139" s="9">
        <v>45261</v>
      </c>
      <c r="F3139" s="9">
        <v>45291</v>
      </c>
      <c r="G3139">
        <v>93295796</v>
      </c>
      <c r="H3139">
        <v>5970536</v>
      </c>
      <c r="I3139">
        <v>34907664</v>
      </c>
      <c r="J3139">
        <v>3852200</v>
      </c>
      <c r="K3139">
        <v>0</v>
      </c>
      <c r="L3139">
        <v>0</v>
      </c>
      <c r="M3139">
        <v>0</v>
      </c>
      <c r="T3139" s="9">
        <v>45108</v>
      </c>
      <c r="U3139" s="9">
        <v>45473</v>
      </c>
      <c r="V3139">
        <f>SUM(POTABLE_NONPOTABLE_API[[#This Row],[RESIDENTIAL_SINGLEFAMILY_GAL]:[OTHER_GAL]])</f>
        <v>138026196</v>
      </c>
      <c r="W3139">
        <f>SUM(POTABLE_NONPOTABLE_API[[#This Row],[NONPOTABLE_DEMAND_RESIDENTIAL_RECYCLED_WATER_GAL]:[NONPOTABLE_DEMAND_NONRESIDENTIAL_METERED_IRRIGATION_GAL]])</f>
        <v>0</v>
      </c>
      <c r="X3139" t="str">
        <f>IFERROR(INDEX(Crosswalk_API!$H$2:$H$527, MATCH(POTABLE_NONPOTABLE_API[[#This Row],[PWSID]], CW_PWSID_LIST, 0)), "")</f>
        <v>No</v>
      </c>
    </row>
    <row r="3140" spans="1:24" x14ac:dyDescent="0.25">
      <c r="A3140" t="s">
        <v>1655</v>
      </c>
      <c r="B3140" t="s">
        <v>1656</v>
      </c>
      <c r="C3140" t="s">
        <v>1657</v>
      </c>
      <c r="D3140" t="s">
        <v>1658</v>
      </c>
      <c r="E3140" s="9">
        <v>45292</v>
      </c>
      <c r="F3140" s="9">
        <v>45322</v>
      </c>
      <c r="G3140">
        <v>81221580</v>
      </c>
      <c r="H3140">
        <v>5654132</v>
      </c>
      <c r="I3140">
        <v>25674352</v>
      </c>
      <c r="J3140">
        <v>2342736</v>
      </c>
      <c r="K3140">
        <v>0</v>
      </c>
      <c r="L3140">
        <v>0</v>
      </c>
      <c r="M3140">
        <v>0</v>
      </c>
      <c r="T3140" s="9">
        <v>45108</v>
      </c>
      <c r="U3140" s="9">
        <v>45473</v>
      </c>
      <c r="V3140">
        <f>SUM(POTABLE_NONPOTABLE_API[[#This Row],[RESIDENTIAL_SINGLEFAMILY_GAL]:[OTHER_GAL]])</f>
        <v>114892800</v>
      </c>
      <c r="W3140">
        <f>SUM(POTABLE_NONPOTABLE_API[[#This Row],[NONPOTABLE_DEMAND_RESIDENTIAL_RECYCLED_WATER_GAL]:[NONPOTABLE_DEMAND_NONRESIDENTIAL_METERED_IRRIGATION_GAL]])</f>
        <v>0</v>
      </c>
      <c r="X3140" t="str">
        <f>IFERROR(INDEX(Crosswalk_API!$H$2:$H$527, MATCH(POTABLE_NONPOTABLE_API[[#This Row],[PWSID]], CW_PWSID_LIST, 0)), "")</f>
        <v>No</v>
      </c>
    </row>
    <row r="3141" spans="1:24" x14ac:dyDescent="0.25">
      <c r="A3141" t="s">
        <v>1655</v>
      </c>
      <c r="B3141" t="s">
        <v>1656</v>
      </c>
      <c r="C3141" t="s">
        <v>1657</v>
      </c>
      <c r="D3141" t="s">
        <v>1658</v>
      </c>
      <c r="E3141" s="9">
        <v>45323</v>
      </c>
      <c r="F3141" s="9">
        <v>45351</v>
      </c>
      <c r="G3141">
        <v>75648980</v>
      </c>
      <c r="H3141">
        <v>5656376</v>
      </c>
      <c r="I3141">
        <v>24075876</v>
      </c>
      <c r="J3141">
        <v>1917124</v>
      </c>
      <c r="K3141">
        <v>0</v>
      </c>
      <c r="L3141">
        <v>0</v>
      </c>
      <c r="M3141">
        <v>0</v>
      </c>
      <c r="T3141" s="9">
        <v>45108</v>
      </c>
      <c r="U3141" s="9">
        <v>45473</v>
      </c>
      <c r="V3141">
        <f>SUM(POTABLE_NONPOTABLE_API[[#This Row],[RESIDENTIAL_SINGLEFAMILY_GAL]:[OTHER_GAL]])</f>
        <v>107298356</v>
      </c>
      <c r="W3141">
        <f>SUM(POTABLE_NONPOTABLE_API[[#This Row],[NONPOTABLE_DEMAND_RESIDENTIAL_RECYCLED_WATER_GAL]:[NONPOTABLE_DEMAND_NONRESIDENTIAL_METERED_IRRIGATION_GAL]])</f>
        <v>0</v>
      </c>
      <c r="X3141" t="str">
        <f>IFERROR(INDEX(Crosswalk_API!$H$2:$H$527, MATCH(POTABLE_NONPOTABLE_API[[#This Row],[PWSID]], CW_PWSID_LIST, 0)), "")</f>
        <v>No</v>
      </c>
    </row>
    <row r="3142" spans="1:24" x14ac:dyDescent="0.25">
      <c r="A3142" t="s">
        <v>1655</v>
      </c>
      <c r="B3142" t="s">
        <v>1656</v>
      </c>
      <c r="C3142" t="s">
        <v>1657</v>
      </c>
      <c r="D3142" t="s">
        <v>1658</v>
      </c>
      <c r="E3142" s="9">
        <v>45352</v>
      </c>
      <c r="F3142" s="9">
        <v>45382</v>
      </c>
      <c r="G3142">
        <v>71940396</v>
      </c>
      <c r="H3142">
        <v>4790940</v>
      </c>
      <c r="I3142">
        <v>23222408</v>
      </c>
      <c r="J3142">
        <v>2598552</v>
      </c>
      <c r="K3142">
        <v>0</v>
      </c>
      <c r="L3142">
        <v>0</v>
      </c>
      <c r="M3142">
        <v>0</v>
      </c>
      <c r="T3142" s="9">
        <v>45108</v>
      </c>
      <c r="U3142" s="9">
        <v>45473</v>
      </c>
      <c r="V3142">
        <f>SUM(POTABLE_NONPOTABLE_API[[#This Row],[RESIDENTIAL_SINGLEFAMILY_GAL]:[OTHER_GAL]])</f>
        <v>102552296</v>
      </c>
      <c r="W3142">
        <f>SUM(POTABLE_NONPOTABLE_API[[#This Row],[NONPOTABLE_DEMAND_RESIDENTIAL_RECYCLED_WATER_GAL]:[NONPOTABLE_DEMAND_NONRESIDENTIAL_METERED_IRRIGATION_GAL]])</f>
        <v>0</v>
      </c>
      <c r="X3142" t="str">
        <f>IFERROR(INDEX(Crosswalk_API!$H$2:$H$527, MATCH(POTABLE_NONPOTABLE_API[[#This Row],[PWSID]], CW_PWSID_LIST, 0)), "")</f>
        <v>No</v>
      </c>
    </row>
    <row r="3143" spans="1:24" x14ac:dyDescent="0.25">
      <c r="A3143" t="s">
        <v>1655</v>
      </c>
      <c r="B3143" t="s">
        <v>1656</v>
      </c>
      <c r="C3143" t="s">
        <v>1657</v>
      </c>
      <c r="D3143" t="s">
        <v>1658</v>
      </c>
      <c r="E3143" s="9">
        <v>45383</v>
      </c>
      <c r="F3143" s="9">
        <v>45412</v>
      </c>
      <c r="G3143">
        <v>90068176</v>
      </c>
      <c r="H3143">
        <v>7185288</v>
      </c>
      <c r="I3143">
        <v>28346208</v>
      </c>
      <c r="J3143">
        <v>9312600</v>
      </c>
      <c r="K3143">
        <v>0</v>
      </c>
      <c r="L3143">
        <v>0</v>
      </c>
      <c r="M3143">
        <v>0</v>
      </c>
      <c r="T3143" s="9">
        <v>45108</v>
      </c>
      <c r="U3143" s="9">
        <v>45473</v>
      </c>
      <c r="V3143">
        <f>SUM(POTABLE_NONPOTABLE_API[[#This Row],[RESIDENTIAL_SINGLEFAMILY_GAL]:[OTHER_GAL]])</f>
        <v>134912272</v>
      </c>
      <c r="W3143">
        <f>SUM(POTABLE_NONPOTABLE_API[[#This Row],[NONPOTABLE_DEMAND_RESIDENTIAL_RECYCLED_WATER_GAL]:[NONPOTABLE_DEMAND_NONRESIDENTIAL_METERED_IRRIGATION_GAL]])</f>
        <v>0</v>
      </c>
      <c r="X3143" t="str">
        <f>IFERROR(INDEX(Crosswalk_API!$H$2:$H$527, MATCH(POTABLE_NONPOTABLE_API[[#This Row],[PWSID]], CW_PWSID_LIST, 0)), "")</f>
        <v>No</v>
      </c>
    </row>
    <row r="3144" spans="1:24" x14ac:dyDescent="0.25">
      <c r="A3144" t="s">
        <v>1655</v>
      </c>
      <c r="B3144" t="s">
        <v>1656</v>
      </c>
      <c r="C3144" t="s">
        <v>1657</v>
      </c>
      <c r="D3144" t="s">
        <v>1658</v>
      </c>
      <c r="E3144" s="9">
        <v>45413</v>
      </c>
      <c r="F3144" s="9">
        <v>45443</v>
      </c>
      <c r="G3144">
        <v>112045912</v>
      </c>
      <c r="H3144">
        <v>8197332</v>
      </c>
      <c r="I3144">
        <v>26177756</v>
      </c>
      <c r="J3144">
        <v>15462656</v>
      </c>
      <c r="K3144">
        <v>0</v>
      </c>
      <c r="L3144">
        <v>0</v>
      </c>
      <c r="M3144">
        <v>0</v>
      </c>
      <c r="T3144" s="9">
        <v>45108</v>
      </c>
      <c r="U3144" s="9">
        <v>45473</v>
      </c>
      <c r="V3144">
        <f>SUM(POTABLE_NONPOTABLE_API[[#This Row],[RESIDENTIAL_SINGLEFAMILY_GAL]:[OTHER_GAL]])</f>
        <v>161883656</v>
      </c>
      <c r="W3144">
        <f>SUM(POTABLE_NONPOTABLE_API[[#This Row],[NONPOTABLE_DEMAND_RESIDENTIAL_RECYCLED_WATER_GAL]:[NONPOTABLE_DEMAND_NONRESIDENTIAL_METERED_IRRIGATION_GAL]])</f>
        <v>0</v>
      </c>
      <c r="X3144" t="str">
        <f>IFERROR(INDEX(Crosswalk_API!$H$2:$H$527, MATCH(POTABLE_NONPOTABLE_API[[#This Row],[PWSID]], CW_PWSID_LIST, 0)), "")</f>
        <v>No</v>
      </c>
    </row>
    <row r="3145" spans="1:24" x14ac:dyDescent="0.25">
      <c r="A3145" t="s">
        <v>1655</v>
      </c>
      <c r="B3145" t="s">
        <v>1656</v>
      </c>
      <c r="C3145" t="s">
        <v>1657</v>
      </c>
      <c r="D3145" t="s">
        <v>1658</v>
      </c>
      <c r="E3145" s="9">
        <v>45444</v>
      </c>
      <c r="F3145" s="9">
        <v>45473</v>
      </c>
      <c r="G3145">
        <v>150601572</v>
      </c>
      <c r="H3145">
        <v>12424280</v>
      </c>
      <c r="I3145">
        <v>29848940</v>
      </c>
      <c r="J3145">
        <v>21916400</v>
      </c>
      <c r="K3145">
        <v>0</v>
      </c>
      <c r="L3145">
        <v>0</v>
      </c>
      <c r="M3145">
        <v>0</v>
      </c>
      <c r="T3145" s="9">
        <v>45108</v>
      </c>
      <c r="U3145" s="9">
        <v>45473</v>
      </c>
      <c r="V3145">
        <f>SUM(POTABLE_NONPOTABLE_API[[#This Row],[RESIDENTIAL_SINGLEFAMILY_GAL]:[OTHER_GAL]])</f>
        <v>214791192</v>
      </c>
      <c r="W3145">
        <f>SUM(POTABLE_NONPOTABLE_API[[#This Row],[NONPOTABLE_DEMAND_RESIDENTIAL_RECYCLED_WATER_GAL]:[NONPOTABLE_DEMAND_NONRESIDENTIAL_METERED_IRRIGATION_GAL]])</f>
        <v>0</v>
      </c>
      <c r="X3145" t="str">
        <f>IFERROR(INDEX(Crosswalk_API!$H$2:$H$527, MATCH(POTABLE_NONPOTABLE_API[[#This Row],[PWSID]], CW_PWSID_LIST, 0)), "")</f>
        <v>No</v>
      </c>
    </row>
    <row r="3146" spans="1:24" x14ac:dyDescent="0.25">
      <c r="A3146" t="s">
        <v>1659</v>
      </c>
      <c r="B3146" t="s">
        <v>1660</v>
      </c>
      <c r="C3146" t="s">
        <v>1661</v>
      </c>
      <c r="D3146" t="s">
        <v>1662</v>
      </c>
      <c r="E3146" s="9">
        <v>45108</v>
      </c>
      <c r="F3146" s="9">
        <v>45138</v>
      </c>
      <c r="G3146">
        <v>49715087.07</v>
      </c>
      <c r="H3146">
        <v>19114419.66</v>
      </c>
      <c r="I3146">
        <v>47763239.580000006</v>
      </c>
      <c r="J3146">
        <v>19551.059999999998</v>
      </c>
      <c r="K3146">
        <v>0</v>
      </c>
      <c r="L3146">
        <v>0</v>
      </c>
      <c r="M3146">
        <v>0</v>
      </c>
      <c r="T3146" s="9">
        <v>45108</v>
      </c>
      <c r="U3146" s="9">
        <v>45473</v>
      </c>
      <c r="V3146">
        <f>SUM(POTABLE_NONPOTABLE_API[[#This Row],[RESIDENTIAL_SINGLEFAMILY_GAL]:[OTHER_GAL]])</f>
        <v>116612297.37</v>
      </c>
      <c r="W3146">
        <f>SUM(POTABLE_NONPOTABLE_API[[#This Row],[NONPOTABLE_DEMAND_RESIDENTIAL_RECYCLED_WATER_GAL]:[NONPOTABLE_DEMAND_NONRESIDENTIAL_METERED_IRRIGATION_GAL]])</f>
        <v>0</v>
      </c>
      <c r="X3146" t="str">
        <f>IFERROR(INDEX(Crosswalk_API!$H$2:$H$527, MATCH(POTABLE_NONPOTABLE_API[[#This Row],[PWSID]], CW_PWSID_LIST, 0)), "")</f>
        <v>No</v>
      </c>
    </row>
    <row r="3147" spans="1:24" x14ac:dyDescent="0.25">
      <c r="A3147" t="s">
        <v>1659</v>
      </c>
      <c r="B3147" t="s">
        <v>1660</v>
      </c>
      <c r="C3147" t="s">
        <v>1661</v>
      </c>
      <c r="D3147" t="s">
        <v>1662</v>
      </c>
      <c r="E3147" s="9">
        <v>45139</v>
      </c>
      <c r="F3147" s="9">
        <v>45169</v>
      </c>
      <c r="G3147">
        <v>60129285.030000001</v>
      </c>
      <c r="H3147">
        <v>13607537.76</v>
      </c>
      <c r="I3147">
        <v>58786778.909999996</v>
      </c>
      <c r="J3147">
        <v>0</v>
      </c>
      <c r="K3147">
        <v>0</v>
      </c>
      <c r="L3147">
        <v>0</v>
      </c>
      <c r="M3147">
        <v>0</v>
      </c>
      <c r="T3147" s="9">
        <v>45108</v>
      </c>
      <c r="U3147" s="9">
        <v>45473</v>
      </c>
      <c r="V3147">
        <f>SUM(POTABLE_NONPOTABLE_API[[#This Row],[RESIDENTIAL_SINGLEFAMILY_GAL]:[OTHER_GAL]])</f>
        <v>132523601.7</v>
      </c>
      <c r="W3147">
        <f>SUM(POTABLE_NONPOTABLE_API[[#This Row],[NONPOTABLE_DEMAND_RESIDENTIAL_RECYCLED_WATER_GAL]:[NONPOTABLE_DEMAND_NONRESIDENTIAL_METERED_IRRIGATION_GAL]])</f>
        <v>0</v>
      </c>
      <c r="X3147" t="str">
        <f>IFERROR(INDEX(Crosswalk_API!$H$2:$H$527, MATCH(POTABLE_NONPOTABLE_API[[#This Row],[PWSID]], CW_PWSID_LIST, 0)), "")</f>
        <v>No</v>
      </c>
    </row>
    <row r="3148" spans="1:24" x14ac:dyDescent="0.25">
      <c r="A3148" t="s">
        <v>1659</v>
      </c>
      <c r="B3148" t="s">
        <v>1660</v>
      </c>
      <c r="C3148" t="s">
        <v>1661</v>
      </c>
      <c r="D3148" t="s">
        <v>1662</v>
      </c>
      <c r="E3148" s="9">
        <v>45170</v>
      </c>
      <c r="F3148" s="9">
        <v>45199</v>
      </c>
      <c r="G3148">
        <v>52194813.18</v>
      </c>
      <c r="H3148">
        <v>20065904.579999998</v>
      </c>
      <c r="I3148">
        <v>66160787.039999999</v>
      </c>
      <c r="J3148">
        <v>16292.550000000001</v>
      </c>
      <c r="K3148">
        <v>0</v>
      </c>
      <c r="L3148">
        <v>0</v>
      </c>
      <c r="M3148">
        <v>0</v>
      </c>
      <c r="T3148" s="9">
        <v>45108</v>
      </c>
      <c r="U3148" s="9">
        <v>45473</v>
      </c>
      <c r="V3148">
        <f>SUM(POTABLE_NONPOTABLE_API[[#This Row],[RESIDENTIAL_SINGLEFAMILY_GAL]:[OTHER_GAL]])</f>
        <v>138437797.34999999</v>
      </c>
      <c r="W3148">
        <f>SUM(POTABLE_NONPOTABLE_API[[#This Row],[NONPOTABLE_DEMAND_RESIDENTIAL_RECYCLED_WATER_GAL]:[NONPOTABLE_DEMAND_NONRESIDENTIAL_METERED_IRRIGATION_GAL]])</f>
        <v>0</v>
      </c>
      <c r="X3148" t="str">
        <f>IFERROR(INDEX(Crosswalk_API!$H$2:$H$527, MATCH(POTABLE_NONPOTABLE_API[[#This Row],[PWSID]], CW_PWSID_LIST, 0)), "")</f>
        <v>No</v>
      </c>
    </row>
    <row r="3149" spans="1:24" x14ac:dyDescent="0.25">
      <c r="A3149" t="s">
        <v>1659</v>
      </c>
      <c r="B3149" t="s">
        <v>1660</v>
      </c>
      <c r="C3149" t="s">
        <v>1661</v>
      </c>
      <c r="D3149" t="s">
        <v>1662</v>
      </c>
      <c r="E3149" s="9">
        <v>45200</v>
      </c>
      <c r="F3149" s="9">
        <v>45230</v>
      </c>
      <c r="G3149">
        <v>55723779.509999998</v>
      </c>
      <c r="H3149">
        <v>13773721.770000001</v>
      </c>
      <c r="I3149">
        <v>64368606.539999999</v>
      </c>
      <c r="J3149">
        <v>0</v>
      </c>
      <c r="K3149">
        <v>0</v>
      </c>
      <c r="L3149">
        <v>0</v>
      </c>
      <c r="M3149">
        <v>0</v>
      </c>
      <c r="T3149" s="9">
        <v>45108</v>
      </c>
      <c r="U3149" s="9">
        <v>45473</v>
      </c>
      <c r="V3149">
        <f>SUM(POTABLE_NONPOTABLE_API[[#This Row],[RESIDENTIAL_SINGLEFAMILY_GAL]:[OTHER_GAL]])</f>
        <v>133866107.81999999</v>
      </c>
      <c r="W3149">
        <f>SUM(POTABLE_NONPOTABLE_API[[#This Row],[NONPOTABLE_DEMAND_RESIDENTIAL_RECYCLED_WATER_GAL]:[NONPOTABLE_DEMAND_NONRESIDENTIAL_METERED_IRRIGATION_GAL]])</f>
        <v>0</v>
      </c>
      <c r="X3149" t="str">
        <f>IFERROR(INDEX(Crosswalk_API!$H$2:$H$527, MATCH(POTABLE_NONPOTABLE_API[[#This Row],[PWSID]], CW_PWSID_LIST, 0)), "")</f>
        <v>No</v>
      </c>
    </row>
    <row r="3150" spans="1:24" x14ac:dyDescent="0.25">
      <c r="A3150" t="s">
        <v>1659</v>
      </c>
      <c r="B3150" t="s">
        <v>1660</v>
      </c>
      <c r="C3150" t="s">
        <v>1661</v>
      </c>
      <c r="D3150" t="s">
        <v>1662</v>
      </c>
      <c r="E3150" s="9">
        <v>45231</v>
      </c>
      <c r="F3150" s="9">
        <v>45260</v>
      </c>
      <c r="G3150">
        <v>50487353.939999998</v>
      </c>
      <c r="H3150">
        <v>17371116.810000002</v>
      </c>
      <c r="I3150">
        <v>42670188.449999996</v>
      </c>
      <c r="J3150">
        <v>29326.59</v>
      </c>
      <c r="K3150">
        <v>0</v>
      </c>
      <c r="L3150">
        <v>0</v>
      </c>
      <c r="M3150">
        <v>0</v>
      </c>
      <c r="T3150" s="9">
        <v>45108</v>
      </c>
      <c r="U3150" s="9">
        <v>45473</v>
      </c>
      <c r="V3150">
        <f>SUM(POTABLE_NONPOTABLE_API[[#This Row],[RESIDENTIAL_SINGLEFAMILY_GAL]:[OTHER_GAL]])</f>
        <v>110557985.78999999</v>
      </c>
      <c r="W3150">
        <f>SUM(POTABLE_NONPOTABLE_API[[#This Row],[NONPOTABLE_DEMAND_RESIDENTIAL_RECYCLED_WATER_GAL]:[NONPOTABLE_DEMAND_NONRESIDENTIAL_METERED_IRRIGATION_GAL]])</f>
        <v>0</v>
      </c>
      <c r="X3150" t="str">
        <f>IFERROR(INDEX(Crosswalk_API!$H$2:$H$527, MATCH(POTABLE_NONPOTABLE_API[[#This Row],[PWSID]], CW_PWSID_LIST, 0)), "")</f>
        <v>No</v>
      </c>
    </row>
    <row r="3151" spans="1:24" x14ac:dyDescent="0.25">
      <c r="A3151" t="s">
        <v>1659</v>
      </c>
      <c r="B3151" t="s">
        <v>1660</v>
      </c>
      <c r="C3151" t="s">
        <v>1661</v>
      </c>
      <c r="D3151" t="s">
        <v>1662</v>
      </c>
      <c r="E3151" s="9">
        <v>45261</v>
      </c>
      <c r="F3151" s="9">
        <v>45291</v>
      </c>
      <c r="G3151">
        <v>51497492.039999999</v>
      </c>
      <c r="H3151">
        <v>12421440.119999999</v>
      </c>
      <c r="I3151">
        <v>55153540.259999998</v>
      </c>
      <c r="J3151">
        <v>0</v>
      </c>
      <c r="K3151">
        <v>0</v>
      </c>
      <c r="L3151">
        <v>0</v>
      </c>
      <c r="M3151">
        <v>0</v>
      </c>
      <c r="T3151" s="9">
        <v>45108</v>
      </c>
      <c r="U3151" s="9">
        <v>45473</v>
      </c>
      <c r="V3151">
        <f>SUM(POTABLE_NONPOTABLE_API[[#This Row],[RESIDENTIAL_SINGLEFAMILY_GAL]:[OTHER_GAL]])</f>
        <v>119072472.41999999</v>
      </c>
      <c r="W3151">
        <f>SUM(POTABLE_NONPOTABLE_API[[#This Row],[NONPOTABLE_DEMAND_RESIDENTIAL_RECYCLED_WATER_GAL]:[NONPOTABLE_DEMAND_NONRESIDENTIAL_METERED_IRRIGATION_GAL]])</f>
        <v>0</v>
      </c>
      <c r="X3151" t="str">
        <f>IFERROR(INDEX(Crosswalk_API!$H$2:$H$527, MATCH(POTABLE_NONPOTABLE_API[[#This Row],[PWSID]], CW_PWSID_LIST, 0)), "")</f>
        <v>No</v>
      </c>
    </row>
    <row r="3152" spans="1:24" x14ac:dyDescent="0.25">
      <c r="A3152" t="s">
        <v>1659</v>
      </c>
      <c r="B3152" t="s">
        <v>1660</v>
      </c>
      <c r="C3152" t="s">
        <v>1661</v>
      </c>
      <c r="D3152" t="s">
        <v>1662</v>
      </c>
      <c r="E3152" s="9">
        <v>45292</v>
      </c>
      <c r="F3152" s="9">
        <v>45322</v>
      </c>
      <c r="G3152">
        <v>41894663.07</v>
      </c>
      <c r="H3152">
        <v>17009422.199999999</v>
      </c>
      <c r="I3152">
        <v>42220514.07</v>
      </c>
      <c r="J3152">
        <v>127081.89</v>
      </c>
      <c r="K3152">
        <v>0</v>
      </c>
      <c r="L3152">
        <v>0</v>
      </c>
      <c r="M3152">
        <v>0</v>
      </c>
      <c r="T3152" s="9">
        <v>45108</v>
      </c>
      <c r="U3152" s="9">
        <v>45473</v>
      </c>
      <c r="V3152">
        <f>SUM(POTABLE_NONPOTABLE_API[[#This Row],[RESIDENTIAL_SINGLEFAMILY_GAL]:[OTHER_GAL]])</f>
        <v>101251681.23</v>
      </c>
      <c r="W3152">
        <f>SUM(POTABLE_NONPOTABLE_API[[#This Row],[NONPOTABLE_DEMAND_RESIDENTIAL_RECYCLED_WATER_GAL]:[NONPOTABLE_DEMAND_NONRESIDENTIAL_METERED_IRRIGATION_GAL]])</f>
        <v>0</v>
      </c>
      <c r="X3152" t="str">
        <f>IFERROR(INDEX(Crosswalk_API!$H$2:$H$527, MATCH(POTABLE_NONPOTABLE_API[[#This Row],[PWSID]], CW_PWSID_LIST, 0)), "")</f>
        <v>No</v>
      </c>
    </row>
    <row r="3153" spans="1:24" x14ac:dyDescent="0.25">
      <c r="A3153" t="s">
        <v>1659</v>
      </c>
      <c r="B3153" t="s">
        <v>1660</v>
      </c>
      <c r="C3153" t="s">
        <v>1661</v>
      </c>
      <c r="D3153" t="s">
        <v>1662</v>
      </c>
      <c r="E3153" s="9">
        <v>45323</v>
      </c>
      <c r="F3153" s="9">
        <v>45351</v>
      </c>
      <c r="G3153">
        <v>47619865.139999993</v>
      </c>
      <c r="H3153">
        <v>12362786.939999999</v>
      </c>
      <c r="I3153">
        <v>57665851.469999999</v>
      </c>
      <c r="J3153">
        <v>0</v>
      </c>
      <c r="K3153">
        <v>0</v>
      </c>
      <c r="L3153">
        <v>0</v>
      </c>
      <c r="M3153">
        <v>0</v>
      </c>
      <c r="T3153" s="9">
        <v>45108</v>
      </c>
      <c r="U3153" s="9">
        <v>45473</v>
      </c>
      <c r="V3153">
        <f>SUM(POTABLE_NONPOTABLE_API[[#This Row],[RESIDENTIAL_SINGLEFAMILY_GAL]:[OTHER_GAL]])</f>
        <v>117648503.54999998</v>
      </c>
      <c r="W3153">
        <f>SUM(POTABLE_NONPOTABLE_API[[#This Row],[NONPOTABLE_DEMAND_RESIDENTIAL_RECYCLED_WATER_GAL]:[NONPOTABLE_DEMAND_NONRESIDENTIAL_METERED_IRRIGATION_GAL]])</f>
        <v>0</v>
      </c>
      <c r="X3153" t="str">
        <f>IFERROR(INDEX(Crosswalk_API!$H$2:$H$527, MATCH(POTABLE_NONPOTABLE_API[[#This Row],[PWSID]], CW_PWSID_LIST, 0)), "")</f>
        <v>No</v>
      </c>
    </row>
    <row r="3154" spans="1:24" x14ac:dyDescent="0.25">
      <c r="A3154" t="s">
        <v>1659</v>
      </c>
      <c r="B3154" t="s">
        <v>1660</v>
      </c>
      <c r="C3154" t="s">
        <v>1661</v>
      </c>
      <c r="D3154" t="s">
        <v>1662</v>
      </c>
      <c r="E3154" s="9">
        <v>45352</v>
      </c>
      <c r="F3154" s="9">
        <v>45382</v>
      </c>
      <c r="G3154">
        <v>37221959.730000004</v>
      </c>
      <c r="H3154">
        <v>15940630.92</v>
      </c>
      <c r="I3154">
        <v>72961297.409999996</v>
      </c>
      <c r="J3154">
        <v>0</v>
      </c>
      <c r="K3154">
        <v>0</v>
      </c>
      <c r="L3154">
        <v>0</v>
      </c>
      <c r="M3154">
        <v>0</v>
      </c>
      <c r="T3154" s="9">
        <v>45108</v>
      </c>
      <c r="U3154" s="9">
        <v>45473</v>
      </c>
      <c r="V3154">
        <f>SUM(POTABLE_NONPOTABLE_API[[#This Row],[RESIDENTIAL_SINGLEFAMILY_GAL]:[OTHER_GAL]])</f>
        <v>126123888.06</v>
      </c>
      <c r="W3154">
        <f>SUM(POTABLE_NONPOTABLE_API[[#This Row],[NONPOTABLE_DEMAND_RESIDENTIAL_RECYCLED_WATER_GAL]:[NONPOTABLE_DEMAND_NONRESIDENTIAL_METERED_IRRIGATION_GAL]])</f>
        <v>0</v>
      </c>
      <c r="X3154" t="str">
        <f>IFERROR(INDEX(Crosswalk_API!$H$2:$H$527, MATCH(POTABLE_NONPOTABLE_API[[#This Row],[PWSID]], CW_PWSID_LIST, 0)), "")</f>
        <v>No</v>
      </c>
    </row>
    <row r="3155" spans="1:24" x14ac:dyDescent="0.25">
      <c r="A3155" t="s">
        <v>1659</v>
      </c>
      <c r="B3155" t="s">
        <v>1660</v>
      </c>
      <c r="C3155" t="s">
        <v>1661</v>
      </c>
      <c r="D3155" t="s">
        <v>1662</v>
      </c>
      <c r="E3155" s="9">
        <v>45383</v>
      </c>
      <c r="F3155" s="9">
        <v>45412</v>
      </c>
      <c r="G3155">
        <v>43690102.080000006</v>
      </c>
      <c r="H3155">
        <v>11997833.82</v>
      </c>
      <c r="I3155">
        <v>53315740.620000005</v>
      </c>
      <c r="J3155">
        <v>0</v>
      </c>
      <c r="K3155">
        <v>0</v>
      </c>
      <c r="L3155">
        <v>0</v>
      </c>
      <c r="M3155">
        <v>0</v>
      </c>
      <c r="T3155" s="9">
        <v>45108</v>
      </c>
      <c r="U3155" s="9">
        <v>45473</v>
      </c>
      <c r="V3155">
        <f>SUM(POTABLE_NONPOTABLE_API[[#This Row],[RESIDENTIAL_SINGLEFAMILY_GAL]:[OTHER_GAL]])</f>
        <v>109003676.52000001</v>
      </c>
      <c r="W3155">
        <f>SUM(POTABLE_NONPOTABLE_API[[#This Row],[NONPOTABLE_DEMAND_RESIDENTIAL_RECYCLED_WATER_GAL]:[NONPOTABLE_DEMAND_NONRESIDENTIAL_METERED_IRRIGATION_GAL]])</f>
        <v>0</v>
      </c>
      <c r="X3155" t="str">
        <f>IFERROR(INDEX(Crosswalk_API!$H$2:$H$527, MATCH(POTABLE_NONPOTABLE_API[[#This Row],[PWSID]], CW_PWSID_LIST, 0)), "")</f>
        <v>No</v>
      </c>
    </row>
    <row r="3156" spans="1:24" x14ac:dyDescent="0.25">
      <c r="A3156" t="s">
        <v>1659</v>
      </c>
      <c r="B3156" t="s">
        <v>1660</v>
      </c>
      <c r="C3156" t="s">
        <v>1661</v>
      </c>
      <c r="D3156" t="s">
        <v>1662</v>
      </c>
      <c r="E3156" s="9">
        <v>45413</v>
      </c>
      <c r="F3156" s="9">
        <v>45443</v>
      </c>
      <c r="G3156">
        <v>40936661.129999995</v>
      </c>
      <c r="H3156">
        <v>17009422.199999999</v>
      </c>
      <c r="I3156">
        <v>56046372</v>
      </c>
      <c r="J3156">
        <v>1756336.89</v>
      </c>
      <c r="K3156">
        <v>0</v>
      </c>
      <c r="L3156">
        <v>0</v>
      </c>
      <c r="M3156">
        <v>0</v>
      </c>
      <c r="T3156" s="9">
        <v>45108</v>
      </c>
      <c r="U3156" s="9">
        <v>45473</v>
      </c>
      <c r="V3156">
        <f>SUM(POTABLE_NONPOTABLE_API[[#This Row],[RESIDENTIAL_SINGLEFAMILY_GAL]:[OTHER_GAL]])</f>
        <v>115748792.22</v>
      </c>
      <c r="W3156">
        <f>SUM(POTABLE_NONPOTABLE_API[[#This Row],[NONPOTABLE_DEMAND_RESIDENTIAL_RECYCLED_WATER_GAL]:[NONPOTABLE_DEMAND_NONRESIDENTIAL_METERED_IRRIGATION_GAL]])</f>
        <v>0</v>
      </c>
      <c r="X3156" t="str">
        <f>IFERROR(INDEX(Crosswalk_API!$H$2:$H$527, MATCH(POTABLE_NONPOTABLE_API[[#This Row],[PWSID]], CW_PWSID_LIST, 0)), "")</f>
        <v>No</v>
      </c>
    </row>
    <row r="3157" spans="1:24" x14ac:dyDescent="0.25">
      <c r="A3157" t="s">
        <v>1659</v>
      </c>
      <c r="B3157" t="s">
        <v>1660</v>
      </c>
      <c r="C3157" t="s">
        <v>1661</v>
      </c>
      <c r="D3157" t="s">
        <v>1662</v>
      </c>
      <c r="E3157" s="9">
        <v>45444</v>
      </c>
      <c r="F3157" s="9">
        <v>45473</v>
      </c>
      <c r="G3157">
        <v>49024282.949999996</v>
      </c>
      <c r="H3157">
        <v>11896820.01</v>
      </c>
      <c r="I3157">
        <v>48766860.659999996</v>
      </c>
      <c r="J3157">
        <v>1391383.7699999998</v>
      </c>
      <c r="K3157">
        <v>0</v>
      </c>
      <c r="L3157">
        <v>4493485.29</v>
      </c>
      <c r="M3157">
        <v>0</v>
      </c>
      <c r="T3157" s="9">
        <v>45108</v>
      </c>
      <c r="U3157" s="9">
        <v>45473</v>
      </c>
      <c r="V3157">
        <f>SUM(POTABLE_NONPOTABLE_API[[#This Row],[RESIDENTIAL_SINGLEFAMILY_GAL]:[OTHER_GAL]])</f>
        <v>115572832.67999999</v>
      </c>
      <c r="W3157">
        <f>SUM(POTABLE_NONPOTABLE_API[[#This Row],[NONPOTABLE_DEMAND_RESIDENTIAL_RECYCLED_WATER_GAL]:[NONPOTABLE_DEMAND_NONRESIDENTIAL_METERED_IRRIGATION_GAL]])</f>
        <v>0</v>
      </c>
      <c r="X3157" t="str">
        <f>IFERROR(INDEX(Crosswalk_API!$H$2:$H$527, MATCH(POTABLE_NONPOTABLE_API[[#This Row],[PWSID]], CW_PWSID_LIST, 0)), "")</f>
        <v>No</v>
      </c>
    </row>
    <row r="3158" spans="1:24" x14ac:dyDescent="0.25">
      <c r="A3158" t="s">
        <v>1663</v>
      </c>
      <c r="B3158" t="s">
        <v>1664</v>
      </c>
      <c r="C3158" t="s">
        <v>1665</v>
      </c>
      <c r="D3158" t="s">
        <v>1666</v>
      </c>
      <c r="E3158" s="9">
        <v>45108</v>
      </c>
      <c r="F3158" s="9">
        <v>45138</v>
      </c>
      <c r="G3158">
        <v>188880885.84400001</v>
      </c>
      <c r="H3158">
        <v>36035160.943999998</v>
      </c>
      <c r="I3158">
        <v>31242391.780000001</v>
      </c>
      <c r="J3158">
        <v>27063773.308000002</v>
      </c>
      <c r="K3158">
        <v>4710483.4440000001</v>
      </c>
      <c r="L3158">
        <v>0</v>
      </c>
      <c r="M3158">
        <v>0</v>
      </c>
      <c r="T3158" s="9">
        <v>45108</v>
      </c>
      <c r="U3158" s="9">
        <v>45473</v>
      </c>
      <c r="V3158">
        <f>SUM(POTABLE_NONPOTABLE_API[[#This Row],[RESIDENTIAL_SINGLEFAMILY_GAL]:[OTHER_GAL]])</f>
        <v>287932695.32000005</v>
      </c>
      <c r="W3158">
        <f>SUM(POTABLE_NONPOTABLE_API[[#This Row],[NONPOTABLE_DEMAND_RESIDENTIAL_RECYCLED_WATER_GAL]:[NONPOTABLE_DEMAND_NONRESIDENTIAL_METERED_IRRIGATION_GAL]])</f>
        <v>0</v>
      </c>
      <c r="X3158" t="str">
        <f>IFERROR(INDEX(Crosswalk_API!$H$2:$H$527, MATCH(POTABLE_NONPOTABLE_API[[#This Row],[PWSID]], CW_PWSID_LIST, 0)), "")</f>
        <v>No</v>
      </c>
    </row>
    <row r="3159" spans="1:24" x14ac:dyDescent="0.25">
      <c r="A3159" t="s">
        <v>1663</v>
      </c>
      <c r="B3159" t="s">
        <v>1664</v>
      </c>
      <c r="C3159" t="s">
        <v>1665</v>
      </c>
      <c r="D3159" t="s">
        <v>1666</v>
      </c>
      <c r="E3159" s="9">
        <v>45139</v>
      </c>
      <c r="F3159" s="9">
        <v>45169</v>
      </c>
      <c r="G3159">
        <v>189563109.26800001</v>
      </c>
      <c r="H3159">
        <v>39462735.208000004</v>
      </c>
      <c r="I3159">
        <v>56774154.592</v>
      </c>
      <c r="J3159">
        <v>24827097.828000002</v>
      </c>
      <c r="K3159">
        <v>5532592.5920000002</v>
      </c>
      <c r="L3159">
        <v>0</v>
      </c>
      <c r="M3159">
        <v>0</v>
      </c>
      <c r="T3159" s="9">
        <v>45108</v>
      </c>
      <c r="U3159" s="9">
        <v>45473</v>
      </c>
      <c r="V3159">
        <f>SUM(POTABLE_NONPOTABLE_API[[#This Row],[RESIDENTIAL_SINGLEFAMILY_GAL]:[OTHER_GAL]])</f>
        <v>316159689.48800004</v>
      </c>
      <c r="W3159">
        <f>SUM(POTABLE_NONPOTABLE_API[[#This Row],[NONPOTABLE_DEMAND_RESIDENTIAL_RECYCLED_WATER_GAL]:[NONPOTABLE_DEMAND_NONRESIDENTIAL_METERED_IRRIGATION_GAL]])</f>
        <v>0</v>
      </c>
      <c r="X3159" t="str">
        <f>IFERROR(INDEX(Crosswalk_API!$H$2:$H$527, MATCH(POTABLE_NONPOTABLE_API[[#This Row],[PWSID]], CW_PWSID_LIST, 0)), "")</f>
        <v>No</v>
      </c>
    </row>
    <row r="3160" spans="1:24" x14ac:dyDescent="0.25">
      <c r="A3160" t="s">
        <v>1663</v>
      </c>
      <c r="B3160" t="s">
        <v>1664</v>
      </c>
      <c r="C3160" t="s">
        <v>1665</v>
      </c>
      <c r="D3160" t="s">
        <v>1666</v>
      </c>
      <c r="E3160" s="9">
        <v>45170</v>
      </c>
      <c r="F3160" s="9">
        <v>45199</v>
      </c>
      <c r="G3160">
        <v>172146214.55200002</v>
      </c>
      <c r="H3160">
        <v>35547431.039999999</v>
      </c>
      <c r="I3160">
        <v>42497582.171999998</v>
      </c>
      <c r="J3160">
        <v>14764302.324000001</v>
      </c>
      <c r="K3160">
        <v>4896748.392</v>
      </c>
      <c r="L3160">
        <v>0</v>
      </c>
      <c r="M3160">
        <v>0</v>
      </c>
      <c r="T3160" s="9">
        <v>45108</v>
      </c>
      <c r="U3160" s="9">
        <v>45473</v>
      </c>
      <c r="V3160">
        <f>SUM(POTABLE_NONPOTABLE_API[[#This Row],[RESIDENTIAL_SINGLEFAMILY_GAL]:[OTHER_GAL]])</f>
        <v>269852278.48000002</v>
      </c>
      <c r="W3160">
        <f>SUM(POTABLE_NONPOTABLE_API[[#This Row],[NONPOTABLE_DEMAND_RESIDENTIAL_RECYCLED_WATER_GAL]:[NONPOTABLE_DEMAND_NONRESIDENTIAL_METERED_IRRIGATION_GAL]])</f>
        <v>0</v>
      </c>
      <c r="X3160" t="str">
        <f>IFERROR(INDEX(Crosswalk_API!$H$2:$H$527, MATCH(POTABLE_NONPOTABLE_API[[#This Row],[PWSID]], CW_PWSID_LIST, 0)), "")</f>
        <v>No</v>
      </c>
    </row>
    <row r="3161" spans="1:24" x14ac:dyDescent="0.25">
      <c r="A3161" t="s">
        <v>1663</v>
      </c>
      <c r="B3161" t="s">
        <v>1664</v>
      </c>
      <c r="C3161" t="s">
        <v>1665</v>
      </c>
      <c r="D3161" t="s">
        <v>1666</v>
      </c>
      <c r="E3161" s="9">
        <v>45200</v>
      </c>
      <c r="F3161" s="9">
        <v>45230</v>
      </c>
      <c r="G3161">
        <v>142766472.252</v>
      </c>
      <c r="H3161">
        <v>32430298.356000002</v>
      </c>
      <c r="I3161">
        <v>29791170.900000002</v>
      </c>
      <c r="J3161">
        <v>14557091.92</v>
      </c>
      <c r="K3161">
        <v>5948509.5039999997</v>
      </c>
      <c r="L3161">
        <v>0</v>
      </c>
      <c r="M3161">
        <v>0</v>
      </c>
      <c r="T3161" s="9">
        <v>45108</v>
      </c>
      <c r="U3161" s="9">
        <v>45473</v>
      </c>
      <c r="V3161">
        <f>SUM(POTABLE_NONPOTABLE_API[[#This Row],[RESIDENTIAL_SINGLEFAMILY_GAL]:[OTHER_GAL]])</f>
        <v>225493542.93200001</v>
      </c>
      <c r="W3161">
        <f>SUM(POTABLE_NONPOTABLE_API[[#This Row],[NONPOTABLE_DEMAND_RESIDENTIAL_RECYCLED_WATER_GAL]:[NONPOTABLE_DEMAND_NONRESIDENTIAL_METERED_IRRIGATION_GAL]])</f>
        <v>0</v>
      </c>
      <c r="X3161" t="str">
        <f>IFERROR(INDEX(Crosswalk_API!$H$2:$H$527, MATCH(POTABLE_NONPOTABLE_API[[#This Row],[PWSID]], CW_PWSID_LIST, 0)), "")</f>
        <v>No</v>
      </c>
    </row>
    <row r="3162" spans="1:24" x14ac:dyDescent="0.25">
      <c r="A3162" t="s">
        <v>1663</v>
      </c>
      <c r="B3162" t="s">
        <v>1664</v>
      </c>
      <c r="C3162" t="s">
        <v>1665</v>
      </c>
      <c r="D3162" t="s">
        <v>1666</v>
      </c>
      <c r="E3162" s="9">
        <v>45231</v>
      </c>
      <c r="F3162" s="9">
        <v>45260</v>
      </c>
      <c r="G3162">
        <v>117560112.06</v>
      </c>
      <c r="H3162">
        <v>26044178.432</v>
      </c>
      <c r="I3162">
        <v>20759939.104000002</v>
      </c>
      <c r="J3162">
        <v>10980655.308</v>
      </c>
      <c r="K3162">
        <v>4326732.7680000002</v>
      </c>
      <c r="L3162">
        <v>0</v>
      </c>
      <c r="M3162">
        <v>0</v>
      </c>
      <c r="T3162" s="9">
        <v>45108</v>
      </c>
      <c r="U3162" s="9">
        <v>45473</v>
      </c>
      <c r="V3162">
        <f>SUM(POTABLE_NONPOTABLE_API[[#This Row],[RESIDENTIAL_SINGLEFAMILY_GAL]:[OTHER_GAL]])</f>
        <v>179671617.67200002</v>
      </c>
      <c r="W3162">
        <f>SUM(POTABLE_NONPOTABLE_API[[#This Row],[NONPOTABLE_DEMAND_RESIDENTIAL_RECYCLED_WATER_GAL]:[NONPOTABLE_DEMAND_NONRESIDENTIAL_METERED_IRRIGATION_GAL]])</f>
        <v>0</v>
      </c>
      <c r="X3162" t="str">
        <f>IFERROR(INDEX(Crosswalk_API!$H$2:$H$527, MATCH(POTABLE_NONPOTABLE_API[[#This Row],[PWSID]], CW_PWSID_LIST, 0)), "")</f>
        <v>No</v>
      </c>
    </row>
    <row r="3163" spans="1:24" x14ac:dyDescent="0.25">
      <c r="A3163" t="s">
        <v>1663</v>
      </c>
      <c r="B3163" t="s">
        <v>1664</v>
      </c>
      <c r="C3163" t="s">
        <v>1665</v>
      </c>
      <c r="D3163" t="s">
        <v>1666</v>
      </c>
      <c r="E3163" s="9">
        <v>45261</v>
      </c>
      <c r="F3163" s="9">
        <v>45291</v>
      </c>
      <c r="G3163">
        <v>77325387.188000008</v>
      </c>
      <c r="H3163">
        <v>19797944.232000001</v>
      </c>
      <c r="I3163">
        <v>16943377.800000001</v>
      </c>
      <c r="J3163">
        <v>4655875.648</v>
      </c>
      <c r="K3163">
        <v>2691491.0959999999</v>
      </c>
      <c r="L3163">
        <v>0</v>
      </c>
      <c r="M3163">
        <v>0</v>
      </c>
      <c r="T3163" s="9">
        <v>45108</v>
      </c>
      <c r="U3163" s="9">
        <v>45473</v>
      </c>
      <c r="V3163">
        <f>SUM(POTABLE_NONPOTABLE_API[[#This Row],[RESIDENTIAL_SINGLEFAMILY_GAL]:[OTHER_GAL]])</f>
        <v>121414075.96400002</v>
      </c>
      <c r="W3163">
        <f>SUM(POTABLE_NONPOTABLE_API[[#This Row],[NONPOTABLE_DEMAND_RESIDENTIAL_RECYCLED_WATER_GAL]:[NONPOTABLE_DEMAND_NONRESIDENTIAL_METERED_IRRIGATION_GAL]])</f>
        <v>0</v>
      </c>
      <c r="X3163" t="str">
        <f>IFERROR(INDEX(Crosswalk_API!$H$2:$H$527, MATCH(POTABLE_NONPOTABLE_API[[#This Row],[PWSID]], CW_PWSID_LIST, 0)), "")</f>
        <v>No</v>
      </c>
    </row>
    <row r="3164" spans="1:24" x14ac:dyDescent="0.25">
      <c r="A3164" t="s">
        <v>1663</v>
      </c>
      <c r="B3164" t="s">
        <v>1664</v>
      </c>
      <c r="C3164" t="s">
        <v>1665</v>
      </c>
      <c r="D3164" t="s">
        <v>1666</v>
      </c>
      <c r="E3164" s="9">
        <v>45292</v>
      </c>
      <c r="F3164" s="9">
        <v>45322</v>
      </c>
      <c r="G3164">
        <v>103389763.024</v>
      </c>
      <c r="H3164">
        <v>27543274.640000001</v>
      </c>
      <c r="I3164">
        <v>21408500.188000001</v>
      </c>
      <c r="J3164">
        <v>4789028.9040000001</v>
      </c>
      <c r="K3164">
        <v>3803844.42</v>
      </c>
      <c r="L3164">
        <v>0</v>
      </c>
      <c r="M3164">
        <v>0</v>
      </c>
      <c r="T3164" s="9">
        <v>45108</v>
      </c>
      <c r="U3164" s="9">
        <v>45473</v>
      </c>
      <c r="V3164">
        <f>SUM(POTABLE_NONPOTABLE_API[[#This Row],[RESIDENTIAL_SINGLEFAMILY_GAL]:[OTHER_GAL]])</f>
        <v>160934411.176</v>
      </c>
      <c r="W3164">
        <f>SUM(POTABLE_NONPOTABLE_API[[#This Row],[NONPOTABLE_DEMAND_RESIDENTIAL_RECYCLED_WATER_GAL]:[NONPOTABLE_DEMAND_NONRESIDENTIAL_METERED_IRRIGATION_GAL]])</f>
        <v>0</v>
      </c>
      <c r="X3164" t="str">
        <f>IFERROR(INDEX(Crosswalk_API!$H$2:$H$527, MATCH(POTABLE_NONPOTABLE_API[[#This Row],[PWSID]], CW_PWSID_LIST, 0)), "")</f>
        <v>No</v>
      </c>
    </row>
    <row r="3165" spans="1:24" x14ac:dyDescent="0.25">
      <c r="A3165" t="s">
        <v>1663</v>
      </c>
      <c r="B3165" t="s">
        <v>1664</v>
      </c>
      <c r="C3165" t="s">
        <v>1665</v>
      </c>
      <c r="D3165" t="s">
        <v>1666</v>
      </c>
      <c r="E3165" s="9">
        <v>45323</v>
      </c>
      <c r="F3165" s="9">
        <v>45351</v>
      </c>
      <c r="G3165">
        <v>81349906.947999999</v>
      </c>
      <c r="H3165">
        <v>23198588.624000002</v>
      </c>
      <c r="I3165">
        <v>16532697.252</v>
      </c>
      <c r="J3165">
        <v>1459449.452</v>
      </c>
      <c r="K3165">
        <v>3999085.9920000001</v>
      </c>
      <c r="L3165">
        <v>0</v>
      </c>
      <c r="M3165">
        <v>0</v>
      </c>
      <c r="T3165" s="9">
        <v>45108</v>
      </c>
      <c r="U3165" s="9">
        <v>45473</v>
      </c>
      <c r="V3165">
        <f>SUM(POTABLE_NONPOTABLE_API[[#This Row],[RESIDENTIAL_SINGLEFAMILY_GAL]:[OTHER_GAL]])</f>
        <v>126539728.26800001</v>
      </c>
      <c r="W3165">
        <f>SUM(POTABLE_NONPOTABLE_API[[#This Row],[NONPOTABLE_DEMAND_RESIDENTIAL_RECYCLED_WATER_GAL]:[NONPOTABLE_DEMAND_NONRESIDENTIAL_METERED_IRRIGATION_GAL]])</f>
        <v>0</v>
      </c>
      <c r="X3165" t="str">
        <f>IFERROR(INDEX(Crosswalk_API!$H$2:$H$527, MATCH(POTABLE_NONPOTABLE_API[[#This Row],[PWSID]], CW_PWSID_LIST, 0)), "")</f>
        <v>No</v>
      </c>
    </row>
    <row r="3166" spans="1:24" x14ac:dyDescent="0.25">
      <c r="A3166" t="s">
        <v>1663</v>
      </c>
      <c r="B3166" t="s">
        <v>1664</v>
      </c>
      <c r="C3166" t="s">
        <v>1665</v>
      </c>
      <c r="D3166" t="s">
        <v>1666</v>
      </c>
      <c r="E3166" s="9">
        <v>45352</v>
      </c>
      <c r="F3166" s="9">
        <v>45382</v>
      </c>
      <c r="G3166">
        <v>83536462.944000006</v>
      </c>
      <c r="H3166">
        <v>22832043.144000001</v>
      </c>
      <c r="I3166">
        <v>19607939.024</v>
      </c>
      <c r="J3166">
        <v>2469319.6520000002</v>
      </c>
      <c r="K3166">
        <v>3892114.5560000003</v>
      </c>
      <c r="L3166">
        <v>0</v>
      </c>
      <c r="M3166">
        <v>0</v>
      </c>
      <c r="T3166" s="9">
        <v>45108</v>
      </c>
      <c r="U3166" s="9">
        <v>45473</v>
      </c>
      <c r="V3166">
        <f>SUM(POTABLE_NONPOTABLE_API[[#This Row],[RESIDENTIAL_SINGLEFAMILY_GAL]:[OTHER_GAL]])</f>
        <v>132337879.31999999</v>
      </c>
      <c r="W3166">
        <f>SUM(POTABLE_NONPOTABLE_API[[#This Row],[NONPOTABLE_DEMAND_RESIDENTIAL_RECYCLED_WATER_GAL]:[NONPOTABLE_DEMAND_NONRESIDENTIAL_METERED_IRRIGATION_GAL]])</f>
        <v>0</v>
      </c>
      <c r="X3166" t="str">
        <f>IFERROR(INDEX(Crosswalk_API!$H$2:$H$527, MATCH(POTABLE_NONPOTABLE_API[[#This Row],[PWSID]], CW_PWSID_LIST, 0)), "")</f>
        <v>No</v>
      </c>
    </row>
    <row r="3167" spans="1:24" x14ac:dyDescent="0.25">
      <c r="A3167" t="s">
        <v>1663</v>
      </c>
      <c r="B3167" t="s">
        <v>1664</v>
      </c>
      <c r="C3167" t="s">
        <v>1665</v>
      </c>
      <c r="D3167" t="s">
        <v>1666</v>
      </c>
      <c r="E3167" s="9">
        <v>45383</v>
      </c>
      <c r="F3167" s="9">
        <v>45412</v>
      </c>
      <c r="G3167">
        <v>99413118.592000008</v>
      </c>
      <c r="H3167">
        <v>27214131.760000002</v>
      </c>
      <c r="I3167">
        <v>30627493.036000002</v>
      </c>
      <c r="J3167">
        <v>7660052.4800000004</v>
      </c>
      <c r="K3167">
        <v>3994597.68</v>
      </c>
      <c r="L3167">
        <v>0</v>
      </c>
      <c r="M3167">
        <v>0</v>
      </c>
      <c r="T3167" s="9">
        <v>45108</v>
      </c>
      <c r="U3167" s="9">
        <v>45473</v>
      </c>
      <c r="V3167">
        <f>SUM(POTABLE_NONPOTABLE_API[[#This Row],[RESIDENTIAL_SINGLEFAMILY_GAL]:[OTHER_GAL]])</f>
        <v>168909393.54800001</v>
      </c>
      <c r="W3167">
        <f>SUM(POTABLE_NONPOTABLE_API[[#This Row],[NONPOTABLE_DEMAND_RESIDENTIAL_RECYCLED_WATER_GAL]:[NONPOTABLE_DEMAND_NONRESIDENTIAL_METERED_IRRIGATION_GAL]])</f>
        <v>0</v>
      </c>
      <c r="X3167" t="str">
        <f>IFERROR(INDEX(Crosswalk_API!$H$2:$H$527, MATCH(POTABLE_NONPOTABLE_API[[#This Row],[PWSID]], CW_PWSID_LIST, 0)), "")</f>
        <v>No</v>
      </c>
    </row>
    <row r="3168" spans="1:24" x14ac:dyDescent="0.25">
      <c r="A3168" t="s">
        <v>1663</v>
      </c>
      <c r="B3168" t="s">
        <v>1664</v>
      </c>
      <c r="C3168" t="s">
        <v>1665</v>
      </c>
      <c r="D3168" t="s">
        <v>1666</v>
      </c>
      <c r="E3168" s="9">
        <v>45413</v>
      </c>
      <c r="F3168" s="9">
        <v>45443</v>
      </c>
      <c r="G3168">
        <v>107343965.896</v>
      </c>
      <c r="H3168">
        <v>24159835.444000002</v>
      </c>
      <c r="I3168">
        <v>28105809.743999999</v>
      </c>
      <c r="J3168">
        <v>13046774.932</v>
      </c>
      <c r="K3168">
        <v>3550254.7919999999</v>
      </c>
      <c r="L3168">
        <v>0</v>
      </c>
      <c r="M3168">
        <v>0</v>
      </c>
      <c r="T3168" s="9">
        <v>45108</v>
      </c>
      <c r="U3168" s="9">
        <v>45473</v>
      </c>
      <c r="V3168">
        <f>SUM(POTABLE_NONPOTABLE_API[[#This Row],[RESIDENTIAL_SINGLEFAMILY_GAL]:[OTHER_GAL]])</f>
        <v>176206640.808</v>
      </c>
      <c r="W3168">
        <f>SUM(POTABLE_NONPOTABLE_API[[#This Row],[NONPOTABLE_DEMAND_RESIDENTIAL_RECYCLED_WATER_GAL]:[NONPOTABLE_DEMAND_NONRESIDENTIAL_METERED_IRRIGATION_GAL]])</f>
        <v>0</v>
      </c>
      <c r="X3168" t="str">
        <f>IFERROR(INDEX(Crosswalk_API!$H$2:$H$527, MATCH(POTABLE_NONPOTABLE_API[[#This Row],[PWSID]], CW_PWSID_LIST, 0)), "")</f>
        <v>No</v>
      </c>
    </row>
    <row r="3169" spans="1:24" x14ac:dyDescent="0.25">
      <c r="A3169" t="s">
        <v>1663</v>
      </c>
      <c r="B3169" t="s">
        <v>1664</v>
      </c>
      <c r="C3169" t="s">
        <v>1665</v>
      </c>
      <c r="D3169" t="s">
        <v>1666</v>
      </c>
      <c r="E3169" s="9">
        <v>45444</v>
      </c>
      <c r="F3169" s="9">
        <v>45473</v>
      </c>
      <c r="G3169">
        <v>193033322.49599999</v>
      </c>
      <c r="H3169">
        <v>37820761.068000004</v>
      </c>
      <c r="I3169">
        <v>47638195.516000003</v>
      </c>
      <c r="J3169">
        <v>25387388.776000001</v>
      </c>
      <c r="K3169">
        <v>6377143.2999999998</v>
      </c>
      <c r="L3169">
        <v>0</v>
      </c>
      <c r="M3169">
        <v>0</v>
      </c>
      <c r="T3169" s="9">
        <v>45108</v>
      </c>
      <c r="U3169" s="9">
        <v>45473</v>
      </c>
      <c r="V3169">
        <f>SUM(POTABLE_NONPOTABLE_API[[#This Row],[RESIDENTIAL_SINGLEFAMILY_GAL]:[OTHER_GAL]])</f>
        <v>310256811.15600008</v>
      </c>
      <c r="W3169">
        <f>SUM(POTABLE_NONPOTABLE_API[[#This Row],[NONPOTABLE_DEMAND_RESIDENTIAL_RECYCLED_WATER_GAL]:[NONPOTABLE_DEMAND_NONRESIDENTIAL_METERED_IRRIGATION_GAL]])</f>
        <v>0</v>
      </c>
      <c r="X3169" t="str">
        <f>IFERROR(INDEX(Crosswalk_API!$H$2:$H$527, MATCH(POTABLE_NONPOTABLE_API[[#This Row],[PWSID]], CW_PWSID_LIST, 0)), "")</f>
        <v>No</v>
      </c>
    </row>
    <row r="3170" spans="1:24" x14ac:dyDescent="0.25">
      <c r="A3170" t="s">
        <v>1668</v>
      </c>
      <c r="B3170" t="s">
        <v>1669</v>
      </c>
      <c r="C3170" t="s">
        <v>1670</v>
      </c>
      <c r="D3170" t="s">
        <v>1671</v>
      </c>
      <c r="E3170" s="9">
        <v>45108</v>
      </c>
      <c r="F3170" s="9">
        <v>45138</v>
      </c>
      <c r="G3170">
        <v>22176000</v>
      </c>
      <c r="H3170">
        <v>19854000</v>
      </c>
      <c r="I3170">
        <v>12562000</v>
      </c>
      <c r="J3170">
        <v>26675000</v>
      </c>
      <c r="K3170">
        <v>0</v>
      </c>
      <c r="L3170">
        <v>3161000</v>
      </c>
      <c r="M3170">
        <v>0</v>
      </c>
      <c r="N3170">
        <v>0</v>
      </c>
      <c r="O3170">
        <v>0</v>
      </c>
      <c r="Q3170">
        <v>0</v>
      </c>
      <c r="R3170">
        <v>0</v>
      </c>
      <c r="S3170">
        <v>11717000</v>
      </c>
      <c r="T3170" s="9">
        <v>45108</v>
      </c>
      <c r="U3170" s="9">
        <v>45473</v>
      </c>
      <c r="V3170">
        <f>SUM(POTABLE_NONPOTABLE_API[[#This Row],[RESIDENTIAL_SINGLEFAMILY_GAL]:[OTHER_GAL]])</f>
        <v>84428000</v>
      </c>
      <c r="W3170">
        <f>SUM(POTABLE_NONPOTABLE_API[[#This Row],[NONPOTABLE_DEMAND_RESIDENTIAL_RECYCLED_WATER_GAL]:[NONPOTABLE_DEMAND_NONRESIDENTIAL_METERED_IRRIGATION_GAL]])</f>
        <v>11717000</v>
      </c>
      <c r="X3170" t="str">
        <f>IFERROR(INDEX(Crosswalk_API!$H$2:$H$527, MATCH(POTABLE_NONPOTABLE_API[[#This Row],[PWSID]], CW_PWSID_LIST, 0)), "")</f>
        <v>No</v>
      </c>
    </row>
    <row r="3171" spans="1:24" x14ac:dyDescent="0.25">
      <c r="A3171" t="s">
        <v>1668</v>
      </c>
      <c r="B3171" t="s">
        <v>1669</v>
      </c>
      <c r="C3171" t="s">
        <v>1670</v>
      </c>
      <c r="D3171" t="s">
        <v>1671</v>
      </c>
      <c r="E3171" s="9">
        <v>45139</v>
      </c>
      <c r="F3171" s="9">
        <v>45169</v>
      </c>
      <c r="G3171">
        <v>23290000</v>
      </c>
      <c r="H3171">
        <v>18108000</v>
      </c>
      <c r="I3171">
        <v>10969000</v>
      </c>
      <c r="J3171">
        <v>24558000</v>
      </c>
      <c r="K3171">
        <v>0</v>
      </c>
      <c r="L3171">
        <v>3200000</v>
      </c>
      <c r="M3171">
        <v>0</v>
      </c>
      <c r="N3171">
        <v>0</v>
      </c>
      <c r="O3171">
        <v>0</v>
      </c>
      <c r="P3171">
        <v>0</v>
      </c>
      <c r="Q3171">
        <v>0</v>
      </c>
      <c r="R3171">
        <v>0</v>
      </c>
      <c r="S3171">
        <v>6586000</v>
      </c>
      <c r="T3171" s="9">
        <v>45108</v>
      </c>
      <c r="U3171" s="9">
        <v>45473</v>
      </c>
      <c r="V3171">
        <f>SUM(POTABLE_NONPOTABLE_API[[#This Row],[RESIDENTIAL_SINGLEFAMILY_GAL]:[OTHER_GAL]])</f>
        <v>80125000</v>
      </c>
      <c r="W3171">
        <f>SUM(POTABLE_NONPOTABLE_API[[#This Row],[NONPOTABLE_DEMAND_RESIDENTIAL_RECYCLED_WATER_GAL]:[NONPOTABLE_DEMAND_NONRESIDENTIAL_METERED_IRRIGATION_GAL]])</f>
        <v>6586000</v>
      </c>
      <c r="X3171" t="str">
        <f>IFERROR(INDEX(Crosswalk_API!$H$2:$H$527, MATCH(POTABLE_NONPOTABLE_API[[#This Row],[PWSID]], CW_PWSID_LIST, 0)), "")</f>
        <v>No</v>
      </c>
    </row>
    <row r="3172" spans="1:24" x14ac:dyDescent="0.25">
      <c r="A3172" t="s">
        <v>1668</v>
      </c>
      <c r="B3172" t="s">
        <v>1669</v>
      </c>
      <c r="C3172" t="s">
        <v>1670</v>
      </c>
      <c r="D3172" t="s">
        <v>1671</v>
      </c>
      <c r="E3172" s="9">
        <v>45170</v>
      </c>
      <c r="F3172" s="9">
        <v>45199</v>
      </c>
      <c r="G3172">
        <v>18400000</v>
      </c>
      <c r="H3172">
        <v>15395000</v>
      </c>
      <c r="I3172">
        <v>10006000</v>
      </c>
      <c r="J3172">
        <v>18832000</v>
      </c>
      <c r="K3172">
        <v>0</v>
      </c>
      <c r="L3172">
        <v>3470000</v>
      </c>
      <c r="M3172">
        <v>0</v>
      </c>
      <c r="N3172">
        <v>0</v>
      </c>
      <c r="O3172">
        <v>0</v>
      </c>
      <c r="P3172">
        <v>0</v>
      </c>
      <c r="Q3172">
        <v>6738000</v>
      </c>
      <c r="R3172">
        <v>0</v>
      </c>
      <c r="S3172">
        <v>272000</v>
      </c>
      <c r="T3172" s="9">
        <v>45108</v>
      </c>
      <c r="U3172" s="9">
        <v>45473</v>
      </c>
      <c r="V3172">
        <f>SUM(POTABLE_NONPOTABLE_API[[#This Row],[RESIDENTIAL_SINGLEFAMILY_GAL]:[OTHER_GAL]])</f>
        <v>66103000</v>
      </c>
      <c r="W3172">
        <f>SUM(POTABLE_NONPOTABLE_API[[#This Row],[NONPOTABLE_DEMAND_RESIDENTIAL_RECYCLED_WATER_GAL]:[NONPOTABLE_DEMAND_NONRESIDENTIAL_METERED_IRRIGATION_GAL]])</f>
        <v>7010000</v>
      </c>
      <c r="X3172" t="str">
        <f>IFERROR(INDEX(Crosswalk_API!$H$2:$H$527, MATCH(POTABLE_NONPOTABLE_API[[#This Row],[PWSID]], CW_PWSID_LIST, 0)), "")</f>
        <v>No</v>
      </c>
    </row>
    <row r="3173" spans="1:24" x14ac:dyDescent="0.25">
      <c r="A3173" t="s">
        <v>1668</v>
      </c>
      <c r="B3173" t="s">
        <v>1669</v>
      </c>
      <c r="C3173" t="s">
        <v>1670</v>
      </c>
      <c r="D3173" t="s">
        <v>1671</v>
      </c>
      <c r="E3173" s="9">
        <v>45200</v>
      </c>
      <c r="F3173" s="9">
        <v>45230</v>
      </c>
      <c r="G3173">
        <v>7887000</v>
      </c>
      <c r="H3173">
        <v>9706000</v>
      </c>
      <c r="I3173">
        <v>8564000</v>
      </c>
      <c r="J3173">
        <v>6892000</v>
      </c>
      <c r="K3173">
        <v>0</v>
      </c>
      <c r="L3173">
        <v>2014000</v>
      </c>
      <c r="M3173">
        <v>0</v>
      </c>
      <c r="N3173">
        <v>0</v>
      </c>
      <c r="O3173">
        <v>0</v>
      </c>
      <c r="P3173">
        <v>0</v>
      </c>
      <c r="Q3173">
        <v>0</v>
      </c>
      <c r="R3173">
        <v>0</v>
      </c>
      <c r="S3173">
        <v>0</v>
      </c>
      <c r="T3173" s="9">
        <v>45108</v>
      </c>
      <c r="U3173" s="9">
        <v>45473</v>
      </c>
      <c r="V3173">
        <f>SUM(POTABLE_NONPOTABLE_API[[#This Row],[RESIDENTIAL_SINGLEFAMILY_GAL]:[OTHER_GAL]])</f>
        <v>35063000</v>
      </c>
      <c r="W3173">
        <f>SUM(POTABLE_NONPOTABLE_API[[#This Row],[NONPOTABLE_DEMAND_RESIDENTIAL_RECYCLED_WATER_GAL]:[NONPOTABLE_DEMAND_NONRESIDENTIAL_METERED_IRRIGATION_GAL]])</f>
        <v>0</v>
      </c>
      <c r="X3173" t="str">
        <f>IFERROR(INDEX(Crosswalk_API!$H$2:$H$527, MATCH(POTABLE_NONPOTABLE_API[[#This Row],[PWSID]], CW_PWSID_LIST, 0)), "")</f>
        <v>No</v>
      </c>
    </row>
    <row r="3174" spans="1:24" x14ac:dyDescent="0.25">
      <c r="A3174" t="s">
        <v>1668</v>
      </c>
      <c r="B3174" t="s">
        <v>1669</v>
      </c>
      <c r="C3174" t="s">
        <v>1670</v>
      </c>
      <c r="D3174" t="s">
        <v>1671</v>
      </c>
      <c r="E3174" s="9">
        <v>45231</v>
      </c>
      <c r="F3174" s="9">
        <v>45260</v>
      </c>
      <c r="G3174">
        <v>4577000</v>
      </c>
      <c r="H3174">
        <v>9111000</v>
      </c>
      <c r="I3174">
        <v>7189000</v>
      </c>
      <c r="J3174">
        <v>3984000</v>
      </c>
      <c r="K3174">
        <v>0</v>
      </c>
      <c r="L3174">
        <v>1069000</v>
      </c>
      <c r="M3174">
        <v>0</v>
      </c>
      <c r="N3174">
        <v>0</v>
      </c>
      <c r="O3174">
        <v>0</v>
      </c>
      <c r="P3174">
        <v>0</v>
      </c>
      <c r="Q3174">
        <v>0</v>
      </c>
      <c r="R3174">
        <v>0</v>
      </c>
      <c r="T3174" s="9">
        <v>45108</v>
      </c>
      <c r="U3174" s="9">
        <v>45473</v>
      </c>
      <c r="V3174">
        <f>SUM(POTABLE_NONPOTABLE_API[[#This Row],[RESIDENTIAL_SINGLEFAMILY_GAL]:[OTHER_GAL]])</f>
        <v>25930000</v>
      </c>
      <c r="W3174">
        <f>SUM(POTABLE_NONPOTABLE_API[[#This Row],[NONPOTABLE_DEMAND_RESIDENTIAL_RECYCLED_WATER_GAL]:[NONPOTABLE_DEMAND_NONRESIDENTIAL_METERED_IRRIGATION_GAL]])</f>
        <v>0</v>
      </c>
      <c r="X3174" t="str">
        <f>IFERROR(INDEX(Crosswalk_API!$H$2:$H$527, MATCH(POTABLE_NONPOTABLE_API[[#This Row],[PWSID]], CW_PWSID_LIST, 0)), "")</f>
        <v>No</v>
      </c>
    </row>
    <row r="3175" spans="1:24" x14ac:dyDescent="0.25">
      <c r="A3175" t="s">
        <v>1668</v>
      </c>
      <c r="B3175" t="s">
        <v>1669</v>
      </c>
      <c r="C3175" t="s">
        <v>1670</v>
      </c>
      <c r="D3175" t="s">
        <v>1671</v>
      </c>
      <c r="E3175" s="9">
        <v>45261</v>
      </c>
      <c r="F3175" s="9">
        <v>45291</v>
      </c>
      <c r="G3175">
        <v>5843000</v>
      </c>
      <c r="H3175">
        <v>11128000</v>
      </c>
      <c r="I3175">
        <v>8393000</v>
      </c>
      <c r="J3175">
        <v>5220000</v>
      </c>
      <c r="K3175">
        <v>0</v>
      </c>
      <c r="L3175">
        <v>1278000</v>
      </c>
      <c r="M3175">
        <v>0</v>
      </c>
      <c r="N3175">
        <v>0</v>
      </c>
      <c r="O3175">
        <v>0</v>
      </c>
      <c r="P3175">
        <v>0</v>
      </c>
      <c r="Q3175">
        <v>0</v>
      </c>
      <c r="R3175">
        <v>0</v>
      </c>
      <c r="S3175">
        <v>0</v>
      </c>
      <c r="T3175" s="9">
        <v>45108</v>
      </c>
      <c r="U3175" s="9">
        <v>45473</v>
      </c>
      <c r="V3175">
        <f>SUM(POTABLE_NONPOTABLE_API[[#This Row],[RESIDENTIAL_SINGLEFAMILY_GAL]:[OTHER_GAL]])</f>
        <v>31862000</v>
      </c>
      <c r="W3175">
        <f>SUM(POTABLE_NONPOTABLE_API[[#This Row],[NONPOTABLE_DEMAND_RESIDENTIAL_RECYCLED_WATER_GAL]:[NONPOTABLE_DEMAND_NONRESIDENTIAL_METERED_IRRIGATION_GAL]])</f>
        <v>0</v>
      </c>
      <c r="X3175" t="str">
        <f>IFERROR(INDEX(Crosswalk_API!$H$2:$H$527, MATCH(POTABLE_NONPOTABLE_API[[#This Row],[PWSID]], CW_PWSID_LIST, 0)), "")</f>
        <v>No</v>
      </c>
    </row>
    <row r="3176" spans="1:24" x14ac:dyDescent="0.25">
      <c r="A3176" t="s">
        <v>1668</v>
      </c>
      <c r="B3176" t="s">
        <v>1669</v>
      </c>
      <c r="C3176" t="s">
        <v>1670</v>
      </c>
      <c r="D3176" t="s">
        <v>1671</v>
      </c>
      <c r="E3176" s="9">
        <v>45292</v>
      </c>
      <c r="F3176" s="9">
        <v>45322</v>
      </c>
      <c r="G3176">
        <v>5940000</v>
      </c>
      <c r="H3176">
        <v>12084000</v>
      </c>
      <c r="I3176">
        <v>10060000</v>
      </c>
      <c r="J3176">
        <v>6205000</v>
      </c>
      <c r="K3176">
        <v>0</v>
      </c>
      <c r="L3176">
        <v>1293000</v>
      </c>
      <c r="M3176">
        <v>0</v>
      </c>
      <c r="N3176">
        <v>0</v>
      </c>
      <c r="O3176">
        <v>0</v>
      </c>
      <c r="Q3176">
        <v>0</v>
      </c>
      <c r="R3176">
        <v>0</v>
      </c>
      <c r="T3176" s="9">
        <v>45108</v>
      </c>
      <c r="U3176" s="9">
        <v>45473</v>
      </c>
      <c r="V3176">
        <f>SUM(POTABLE_NONPOTABLE_API[[#This Row],[RESIDENTIAL_SINGLEFAMILY_GAL]:[OTHER_GAL]])</f>
        <v>35582000</v>
      </c>
      <c r="W3176">
        <f>SUM(POTABLE_NONPOTABLE_API[[#This Row],[NONPOTABLE_DEMAND_RESIDENTIAL_RECYCLED_WATER_GAL]:[NONPOTABLE_DEMAND_NONRESIDENTIAL_METERED_IRRIGATION_GAL]])</f>
        <v>0</v>
      </c>
      <c r="X3176" t="str">
        <f>IFERROR(INDEX(Crosswalk_API!$H$2:$H$527, MATCH(POTABLE_NONPOTABLE_API[[#This Row],[PWSID]], CW_PWSID_LIST, 0)), "")</f>
        <v>No</v>
      </c>
    </row>
    <row r="3177" spans="1:24" x14ac:dyDescent="0.25">
      <c r="A3177" t="s">
        <v>1668</v>
      </c>
      <c r="B3177" t="s">
        <v>1669</v>
      </c>
      <c r="C3177" t="s">
        <v>1670</v>
      </c>
      <c r="D3177" t="s">
        <v>1671</v>
      </c>
      <c r="E3177" s="9">
        <v>45323</v>
      </c>
      <c r="F3177" s="9">
        <v>45351</v>
      </c>
      <c r="G3177">
        <v>5324000</v>
      </c>
      <c r="H3177">
        <v>11433000</v>
      </c>
      <c r="I3177">
        <v>9500000</v>
      </c>
      <c r="J3177">
        <v>5540000</v>
      </c>
      <c r="K3177">
        <v>0</v>
      </c>
      <c r="L3177">
        <v>1054000</v>
      </c>
      <c r="M3177">
        <v>0</v>
      </c>
      <c r="N3177">
        <v>0</v>
      </c>
      <c r="O3177">
        <v>0</v>
      </c>
      <c r="Q3177">
        <v>0</v>
      </c>
      <c r="R3177">
        <v>0</v>
      </c>
      <c r="T3177" s="9">
        <v>45108</v>
      </c>
      <c r="U3177" s="9">
        <v>45473</v>
      </c>
      <c r="V3177">
        <f>SUM(POTABLE_NONPOTABLE_API[[#This Row],[RESIDENTIAL_SINGLEFAMILY_GAL]:[OTHER_GAL]])</f>
        <v>32851000</v>
      </c>
      <c r="W3177">
        <f>SUM(POTABLE_NONPOTABLE_API[[#This Row],[NONPOTABLE_DEMAND_RESIDENTIAL_RECYCLED_WATER_GAL]:[NONPOTABLE_DEMAND_NONRESIDENTIAL_METERED_IRRIGATION_GAL]])</f>
        <v>0</v>
      </c>
      <c r="X3177" t="str">
        <f>IFERROR(INDEX(Crosswalk_API!$H$2:$H$527, MATCH(POTABLE_NONPOTABLE_API[[#This Row],[PWSID]], CW_PWSID_LIST, 0)), "")</f>
        <v>No</v>
      </c>
    </row>
    <row r="3178" spans="1:24" x14ac:dyDescent="0.25">
      <c r="A3178" t="s">
        <v>1668</v>
      </c>
      <c r="B3178" t="s">
        <v>1669</v>
      </c>
      <c r="C3178" t="s">
        <v>1670</v>
      </c>
      <c r="D3178" t="s">
        <v>1671</v>
      </c>
      <c r="E3178" s="9">
        <v>45352</v>
      </c>
      <c r="F3178" s="9">
        <v>45382</v>
      </c>
      <c r="G3178">
        <v>5641000</v>
      </c>
      <c r="H3178">
        <v>12452000</v>
      </c>
      <c r="I3178">
        <v>10220000</v>
      </c>
      <c r="J3178">
        <v>6125000</v>
      </c>
      <c r="K3178">
        <v>0</v>
      </c>
      <c r="L3178">
        <v>1076000</v>
      </c>
      <c r="M3178">
        <v>0</v>
      </c>
      <c r="N3178">
        <v>0</v>
      </c>
      <c r="O3178">
        <v>0</v>
      </c>
      <c r="Q3178">
        <v>0</v>
      </c>
      <c r="R3178">
        <v>0</v>
      </c>
      <c r="T3178" s="9">
        <v>45108</v>
      </c>
      <c r="U3178" s="9">
        <v>45473</v>
      </c>
      <c r="V3178">
        <f>SUM(POTABLE_NONPOTABLE_API[[#This Row],[RESIDENTIAL_SINGLEFAMILY_GAL]:[OTHER_GAL]])</f>
        <v>35514000</v>
      </c>
      <c r="W3178">
        <f>SUM(POTABLE_NONPOTABLE_API[[#This Row],[NONPOTABLE_DEMAND_RESIDENTIAL_RECYCLED_WATER_GAL]:[NONPOTABLE_DEMAND_NONRESIDENTIAL_METERED_IRRIGATION_GAL]])</f>
        <v>0</v>
      </c>
      <c r="X3178" t="str">
        <f>IFERROR(INDEX(Crosswalk_API!$H$2:$H$527, MATCH(POTABLE_NONPOTABLE_API[[#This Row],[PWSID]], CW_PWSID_LIST, 0)), "")</f>
        <v>No</v>
      </c>
    </row>
    <row r="3179" spans="1:24" x14ac:dyDescent="0.25">
      <c r="A3179" t="s">
        <v>1668</v>
      </c>
      <c r="B3179" t="s">
        <v>1669</v>
      </c>
      <c r="C3179" t="s">
        <v>1670</v>
      </c>
      <c r="D3179" t="s">
        <v>1671</v>
      </c>
      <c r="E3179" s="9">
        <v>45383</v>
      </c>
      <c r="F3179" s="9">
        <v>45412</v>
      </c>
      <c r="G3179">
        <v>4621000</v>
      </c>
      <c r="H3179">
        <v>10211000</v>
      </c>
      <c r="I3179">
        <v>8745000</v>
      </c>
      <c r="J3179">
        <v>4751000</v>
      </c>
      <c r="K3179">
        <v>0</v>
      </c>
      <c r="L3179">
        <v>1179000</v>
      </c>
      <c r="M3179">
        <v>0</v>
      </c>
      <c r="N3179">
        <v>0</v>
      </c>
      <c r="O3179">
        <v>0</v>
      </c>
      <c r="Q3179">
        <v>0</v>
      </c>
      <c r="R3179">
        <v>0</v>
      </c>
      <c r="T3179" s="9">
        <v>45108</v>
      </c>
      <c r="U3179" s="9">
        <v>45473</v>
      </c>
      <c r="V3179">
        <f>SUM(POTABLE_NONPOTABLE_API[[#This Row],[RESIDENTIAL_SINGLEFAMILY_GAL]:[OTHER_GAL]])</f>
        <v>29507000</v>
      </c>
      <c r="W3179">
        <f>SUM(POTABLE_NONPOTABLE_API[[#This Row],[NONPOTABLE_DEMAND_RESIDENTIAL_RECYCLED_WATER_GAL]:[NONPOTABLE_DEMAND_NONRESIDENTIAL_METERED_IRRIGATION_GAL]])</f>
        <v>0</v>
      </c>
      <c r="X3179" t="str">
        <f>IFERROR(INDEX(Crosswalk_API!$H$2:$H$527, MATCH(POTABLE_NONPOTABLE_API[[#This Row],[PWSID]], CW_PWSID_LIST, 0)), "")</f>
        <v>No</v>
      </c>
    </row>
    <row r="3180" spans="1:24" x14ac:dyDescent="0.25">
      <c r="A3180" t="s">
        <v>1668</v>
      </c>
      <c r="B3180" t="s">
        <v>1669</v>
      </c>
      <c r="C3180" t="s">
        <v>1670</v>
      </c>
      <c r="D3180" t="s">
        <v>1671</v>
      </c>
      <c r="E3180" s="9">
        <v>45413</v>
      </c>
      <c r="F3180" s="9">
        <v>45443</v>
      </c>
      <c r="G3180">
        <v>8431000</v>
      </c>
      <c r="H3180">
        <v>11157000</v>
      </c>
      <c r="I3180">
        <v>7800000</v>
      </c>
      <c r="J3180">
        <v>12044000</v>
      </c>
      <c r="K3180">
        <v>0</v>
      </c>
      <c r="L3180">
        <v>1952000</v>
      </c>
      <c r="M3180">
        <v>0</v>
      </c>
      <c r="N3180">
        <v>0</v>
      </c>
      <c r="O3180">
        <v>0</v>
      </c>
      <c r="Q3180">
        <v>3927500</v>
      </c>
      <c r="R3180">
        <v>0</v>
      </c>
      <c r="T3180" s="9">
        <v>45108</v>
      </c>
      <c r="U3180" s="9">
        <v>45473</v>
      </c>
      <c r="V3180">
        <f>SUM(POTABLE_NONPOTABLE_API[[#This Row],[RESIDENTIAL_SINGLEFAMILY_GAL]:[OTHER_GAL]])</f>
        <v>41384000</v>
      </c>
      <c r="W3180">
        <f>SUM(POTABLE_NONPOTABLE_API[[#This Row],[NONPOTABLE_DEMAND_RESIDENTIAL_RECYCLED_WATER_GAL]:[NONPOTABLE_DEMAND_NONRESIDENTIAL_METERED_IRRIGATION_GAL]])</f>
        <v>3927500</v>
      </c>
      <c r="X3180" t="str">
        <f>IFERROR(INDEX(Crosswalk_API!$H$2:$H$527, MATCH(POTABLE_NONPOTABLE_API[[#This Row],[PWSID]], CW_PWSID_LIST, 0)), "")</f>
        <v>No</v>
      </c>
    </row>
    <row r="3181" spans="1:24" x14ac:dyDescent="0.25">
      <c r="A3181" t="s">
        <v>1668</v>
      </c>
      <c r="B3181" t="s">
        <v>1669</v>
      </c>
      <c r="C3181" t="s">
        <v>1670</v>
      </c>
      <c r="D3181" t="s">
        <v>1671</v>
      </c>
      <c r="E3181" s="9">
        <v>45444</v>
      </c>
      <c r="F3181" s="9">
        <v>45473</v>
      </c>
      <c r="G3181">
        <v>20762000</v>
      </c>
      <c r="H3181">
        <v>16799000</v>
      </c>
      <c r="I3181">
        <v>9379000</v>
      </c>
      <c r="J3181">
        <v>25212000</v>
      </c>
      <c r="K3181">
        <v>0</v>
      </c>
      <c r="L3181">
        <v>2677000</v>
      </c>
      <c r="M3181">
        <v>0</v>
      </c>
      <c r="N3181">
        <v>0</v>
      </c>
      <c r="O3181">
        <v>0</v>
      </c>
      <c r="P3181">
        <v>0</v>
      </c>
      <c r="Q3181">
        <v>10550000</v>
      </c>
      <c r="R3181">
        <v>0</v>
      </c>
      <c r="S3181">
        <v>140000</v>
      </c>
      <c r="T3181" s="9">
        <v>45108</v>
      </c>
      <c r="U3181" s="9">
        <v>45473</v>
      </c>
      <c r="V3181">
        <f>SUM(POTABLE_NONPOTABLE_API[[#This Row],[RESIDENTIAL_SINGLEFAMILY_GAL]:[OTHER_GAL]])</f>
        <v>74829000</v>
      </c>
      <c r="W3181">
        <f>SUM(POTABLE_NONPOTABLE_API[[#This Row],[NONPOTABLE_DEMAND_RESIDENTIAL_RECYCLED_WATER_GAL]:[NONPOTABLE_DEMAND_NONRESIDENTIAL_METERED_IRRIGATION_GAL]])</f>
        <v>10690000</v>
      </c>
      <c r="X3181" t="str">
        <f>IFERROR(INDEX(Crosswalk_API!$H$2:$H$527, MATCH(POTABLE_NONPOTABLE_API[[#This Row],[PWSID]], CW_PWSID_LIST, 0)), "")</f>
        <v>No</v>
      </c>
    </row>
    <row r="3182" spans="1:24" x14ac:dyDescent="0.25">
      <c r="A3182" t="s">
        <v>1673</v>
      </c>
      <c r="B3182" t="s">
        <v>1674</v>
      </c>
      <c r="C3182" t="s">
        <v>1675</v>
      </c>
      <c r="D3182" t="s">
        <v>1676</v>
      </c>
      <c r="E3182" s="9">
        <v>45108</v>
      </c>
      <c r="F3182" s="9">
        <v>45138</v>
      </c>
      <c r="G3182">
        <v>99366739.368000001</v>
      </c>
      <c r="H3182">
        <v>7766275.8640000001</v>
      </c>
      <c r="I3182">
        <v>23829944.512000002</v>
      </c>
      <c r="J3182">
        <v>7597964.1639999999</v>
      </c>
      <c r="K3182">
        <v>12606172.304</v>
      </c>
      <c r="L3182">
        <v>18592832.460000001</v>
      </c>
      <c r="M3182">
        <v>0</v>
      </c>
      <c r="N3182">
        <v>0</v>
      </c>
      <c r="O3182">
        <v>0</v>
      </c>
      <c r="P3182">
        <v>0</v>
      </c>
      <c r="Q3182">
        <v>11333097.780000001</v>
      </c>
      <c r="R3182">
        <v>0</v>
      </c>
      <c r="S3182">
        <v>0</v>
      </c>
      <c r="T3182" s="9">
        <v>45108</v>
      </c>
      <c r="U3182" s="9">
        <v>45473</v>
      </c>
      <c r="V3182">
        <f>SUM(POTABLE_NONPOTABLE_API[[#This Row],[RESIDENTIAL_SINGLEFAMILY_GAL]:[OTHER_GAL]])</f>
        <v>169759928.67199999</v>
      </c>
      <c r="W3182">
        <f>SUM(POTABLE_NONPOTABLE_API[[#This Row],[NONPOTABLE_DEMAND_RESIDENTIAL_RECYCLED_WATER_GAL]:[NONPOTABLE_DEMAND_NONRESIDENTIAL_METERED_IRRIGATION_GAL]])</f>
        <v>11333097.780000001</v>
      </c>
      <c r="X3182" t="str">
        <f>IFERROR(INDEX(Crosswalk_API!$H$2:$H$527, MATCH(POTABLE_NONPOTABLE_API[[#This Row],[PWSID]], CW_PWSID_LIST, 0)), "")</f>
        <v>No</v>
      </c>
    </row>
    <row r="3183" spans="1:24" x14ac:dyDescent="0.25">
      <c r="A3183" t="s">
        <v>1673</v>
      </c>
      <c r="B3183" t="s">
        <v>1674</v>
      </c>
      <c r="C3183" t="s">
        <v>1675</v>
      </c>
      <c r="D3183" t="s">
        <v>1676</v>
      </c>
      <c r="E3183" s="9">
        <v>45139</v>
      </c>
      <c r="F3183" s="9">
        <v>45169</v>
      </c>
      <c r="G3183">
        <v>63447526.484000005</v>
      </c>
      <c r="H3183">
        <v>10647772.168</v>
      </c>
      <c r="I3183">
        <v>11190857.92</v>
      </c>
      <c r="J3183">
        <v>4315511.9879999999</v>
      </c>
      <c r="K3183">
        <v>0</v>
      </c>
      <c r="L3183">
        <v>0</v>
      </c>
      <c r="M3183">
        <v>0</v>
      </c>
      <c r="N3183">
        <v>0</v>
      </c>
      <c r="O3183">
        <v>0</v>
      </c>
      <c r="Q3183">
        <v>4291457.67</v>
      </c>
      <c r="R3183">
        <v>0</v>
      </c>
      <c r="S3183">
        <v>0</v>
      </c>
      <c r="T3183" s="9">
        <v>45108</v>
      </c>
      <c r="U3183" s="9">
        <v>45473</v>
      </c>
      <c r="V3183">
        <f>SUM(POTABLE_NONPOTABLE_API[[#This Row],[RESIDENTIAL_SINGLEFAMILY_GAL]:[OTHER_GAL]])</f>
        <v>89601668.560000017</v>
      </c>
      <c r="W3183">
        <f>SUM(POTABLE_NONPOTABLE_API[[#This Row],[NONPOTABLE_DEMAND_RESIDENTIAL_RECYCLED_WATER_GAL]:[NONPOTABLE_DEMAND_NONRESIDENTIAL_METERED_IRRIGATION_GAL]])</f>
        <v>4291457.67</v>
      </c>
      <c r="X3183" t="str">
        <f>IFERROR(INDEX(Crosswalk_API!$H$2:$H$527, MATCH(POTABLE_NONPOTABLE_API[[#This Row],[PWSID]], CW_PWSID_LIST, 0)), "")</f>
        <v>No</v>
      </c>
    </row>
    <row r="3184" spans="1:24" x14ac:dyDescent="0.25">
      <c r="A3184" t="s">
        <v>1673</v>
      </c>
      <c r="B3184" t="s">
        <v>1674</v>
      </c>
      <c r="C3184" t="s">
        <v>1675</v>
      </c>
      <c r="D3184" t="s">
        <v>1676</v>
      </c>
      <c r="E3184" s="9">
        <v>45170</v>
      </c>
      <c r="F3184" s="9">
        <v>45199</v>
      </c>
      <c r="G3184">
        <v>100603269.324</v>
      </c>
      <c r="H3184">
        <v>7799938.2039999999</v>
      </c>
      <c r="I3184">
        <v>21509487.208000001</v>
      </c>
      <c r="J3184">
        <v>8996073.352</v>
      </c>
      <c r="K3184">
        <v>14123969.812000001</v>
      </c>
      <c r="L3184">
        <v>0</v>
      </c>
      <c r="M3184">
        <v>0</v>
      </c>
      <c r="N3184">
        <v>0</v>
      </c>
      <c r="O3184">
        <v>0</v>
      </c>
      <c r="P3184">
        <v>0</v>
      </c>
      <c r="Q3184">
        <v>13584728.189999999</v>
      </c>
      <c r="R3184">
        <v>0</v>
      </c>
      <c r="S3184">
        <v>0</v>
      </c>
      <c r="T3184" s="9">
        <v>45108</v>
      </c>
      <c r="U3184" s="9">
        <v>45473</v>
      </c>
      <c r="V3184">
        <f>SUM(POTABLE_NONPOTABLE_API[[#This Row],[RESIDENTIAL_SINGLEFAMILY_GAL]:[OTHER_GAL]])</f>
        <v>153032737.90000001</v>
      </c>
      <c r="W3184">
        <f>SUM(POTABLE_NONPOTABLE_API[[#This Row],[NONPOTABLE_DEMAND_RESIDENTIAL_RECYCLED_WATER_GAL]:[NONPOTABLE_DEMAND_NONRESIDENTIAL_METERED_IRRIGATION_GAL]])</f>
        <v>13584728.189999999</v>
      </c>
      <c r="X3184" t="str">
        <f>IFERROR(INDEX(Crosswalk_API!$H$2:$H$527, MATCH(POTABLE_NONPOTABLE_API[[#This Row],[PWSID]], CW_PWSID_LIST, 0)), "")</f>
        <v>No</v>
      </c>
    </row>
    <row r="3185" spans="1:24" x14ac:dyDescent="0.25">
      <c r="A3185" t="s">
        <v>1673</v>
      </c>
      <c r="B3185" t="s">
        <v>1674</v>
      </c>
      <c r="C3185" t="s">
        <v>1675</v>
      </c>
      <c r="D3185" t="s">
        <v>1676</v>
      </c>
      <c r="E3185" s="9">
        <v>45200</v>
      </c>
      <c r="F3185" s="9">
        <v>45230</v>
      </c>
      <c r="G3185">
        <v>60894425.008000001</v>
      </c>
      <c r="H3185">
        <v>10083740.960000001</v>
      </c>
      <c r="I3185">
        <v>10920811.148</v>
      </c>
      <c r="J3185">
        <v>2411719.648</v>
      </c>
      <c r="K3185">
        <v>0</v>
      </c>
      <c r="L3185">
        <v>0</v>
      </c>
      <c r="M3185">
        <v>0</v>
      </c>
      <c r="N3185">
        <v>0</v>
      </c>
      <c r="O3185">
        <v>0</v>
      </c>
      <c r="P3185">
        <v>0</v>
      </c>
      <c r="Q3185">
        <v>10362061.800000001</v>
      </c>
      <c r="R3185">
        <v>0</v>
      </c>
      <c r="S3185">
        <v>0</v>
      </c>
      <c r="T3185" s="9">
        <v>45108</v>
      </c>
      <c r="U3185" s="9">
        <v>45473</v>
      </c>
      <c r="V3185">
        <f>SUM(POTABLE_NONPOTABLE_API[[#This Row],[RESIDENTIAL_SINGLEFAMILY_GAL]:[OTHER_GAL]])</f>
        <v>84310696.763999999</v>
      </c>
      <c r="W3185">
        <f>SUM(POTABLE_NONPOTABLE_API[[#This Row],[NONPOTABLE_DEMAND_RESIDENTIAL_RECYCLED_WATER_GAL]:[NONPOTABLE_DEMAND_NONRESIDENTIAL_METERED_IRRIGATION_GAL]])</f>
        <v>10362061.800000001</v>
      </c>
      <c r="X3185" t="str">
        <f>IFERROR(INDEX(Crosswalk_API!$H$2:$H$527, MATCH(POTABLE_NONPOTABLE_API[[#This Row],[PWSID]], CW_PWSID_LIST, 0)), "")</f>
        <v>No</v>
      </c>
    </row>
    <row r="3186" spans="1:24" x14ac:dyDescent="0.25">
      <c r="A3186" t="s">
        <v>1673</v>
      </c>
      <c r="B3186" t="s">
        <v>1674</v>
      </c>
      <c r="C3186" t="s">
        <v>1675</v>
      </c>
      <c r="D3186" t="s">
        <v>1676</v>
      </c>
      <c r="E3186" s="9">
        <v>45231</v>
      </c>
      <c r="F3186" s="9">
        <v>45260</v>
      </c>
      <c r="G3186">
        <v>100512006.98</v>
      </c>
      <c r="H3186">
        <v>7795449.892</v>
      </c>
      <c r="I3186">
        <v>24391731.563999999</v>
      </c>
      <c r="J3186">
        <v>7876987.5600000005</v>
      </c>
      <c r="K3186">
        <v>13514307.432</v>
      </c>
      <c r="L3186">
        <v>0</v>
      </c>
      <c r="M3186">
        <v>0</v>
      </c>
      <c r="N3186">
        <v>0</v>
      </c>
      <c r="O3186">
        <v>0</v>
      </c>
      <c r="P3186">
        <v>0</v>
      </c>
      <c r="Q3186">
        <v>10362061.800000001</v>
      </c>
      <c r="R3186">
        <v>0</v>
      </c>
      <c r="S3186">
        <v>0</v>
      </c>
      <c r="T3186" s="9">
        <v>45108</v>
      </c>
      <c r="U3186" s="9">
        <v>45473</v>
      </c>
      <c r="V3186">
        <f>SUM(POTABLE_NONPOTABLE_API[[#This Row],[RESIDENTIAL_SINGLEFAMILY_GAL]:[OTHER_GAL]])</f>
        <v>154090483.428</v>
      </c>
      <c r="W3186">
        <f>SUM(POTABLE_NONPOTABLE_API[[#This Row],[NONPOTABLE_DEMAND_RESIDENTIAL_RECYCLED_WATER_GAL]:[NONPOTABLE_DEMAND_NONRESIDENTIAL_METERED_IRRIGATION_GAL]])</f>
        <v>10362061.800000001</v>
      </c>
      <c r="X3186" t="str">
        <f>IFERROR(INDEX(Crosswalk_API!$H$2:$H$527, MATCH(POTABLE_NONPOTABLE_API[[#This Row],[PWSID]], CW_PWSID_LIST, 0)), "")</f>
        <v>No</v>
      </c>
    </row>
    <row r="3187" spans="1:24" x14ac:dyDescent="0.25">
      <c r="A3187" t="s">
        <v>1673</v>
      </c>
      <c r="B3187" t="s">
        <v>1674</v>
      </c>
      <c r="C3187" t="s">
        <v>1675</v>
      </c>
      <c r="D3187" t="s">
        <v>1676</v>
      </c>
      <c r="E3187" s="9">
        <v>45261</v>
      </c>
      <c r="F3187" s="9">
        <v>45291</v>
      </c>
      <c r="G3187">
        <v>58784170.316</v>
      </c>
      <c r="H3187">
        <v>10454026.700000001</v>
      </c>
      <c r="I3187">
        <v>10436821.504000001</v>
      </c>
      <c r="J3187">
        <v>1571657.2520000001</v>
      </c>
      <c r="K3187">
        <v>0</v>
      </c>
      <c r="L3187">
        <v>0</v>
      </c>
      <c r="M3187">
        <v>0</v>
      </c>
      <c r="N3187">
        <v>0</v>
      </c>
      <c r="O3187">
        <v>0</v>
      </c>
      <c r="P3187">
        <v>0</v>
      </c>
      <c r="Q3187">
        <v>0</v>
      </c>
      <c r="R3187">
        <v>0</v>
      </c>
      <c r="S3187">
        <v>0</v>
      </c>
      <c r="T3187" s="9">
        <v>45108</v>
      </c>
      <c r="U3187" s="9">
        <v>45473</v>
      </c>
      <c r="V3187">
        <f>SUM(POTABLE_NONPOTABLE_API[[#This Row],[RESIDENTIAL_SINGLEFAMILY_GAL]:[OTHER_GAL]])</f>
        <v>81246675.772000015</v>
      </c>
      <c r="W3187">
        <f>SUM(POTABLE_NONPOTABLE_API[[#This Row],[NONPOTABLE_DEMAND_RESIDENTIAL_RECYCLED_WATER_GAL]:[NONPOTABLE_DEMAND_NONRESIDENTIAL_METERED_IRRIGATION_GAL]])</f>
        <v>0</v>
      </c>
      <c r="X3187" t="str">
        <f>IFERROR(INDEX(Crosswalk_API!$H$2:$H$527, MATCH(POTABLE_NONPOTABLE_API[[#This Row],[PWSID]], CW_PWSID_LIST, 0)), "")</f>
        <v>No</v>
      </c>
    </row>
    <row r="3188" spans="1:24" x14ac:dyDescent="0.25">
      <c r="A3188" t="s">
        <v>1673</v>
      </c>
      <c r="B3188" t="s">
        <v>1674</v>
      </c>
      <c r="C3188" t="s">
        <v>1675</v>
      </c>
      <c r="D3188" t="s">
        <v>1676</v>
      </c>
      <c r="E3188" s="9">
        <v>45292</v>
      </c>
      <c r="F3188" s="9">
        <v>45322</v>
      </c>
      <c r="G3188">
        <v>88498291.859999999</v>
      </c>
      <c r="H3188">
        <v>7311460.2480000006</v>
      </c>
      <c r="I3188">
        <v>19768770.204</v>
      </c>
      <c r="J3188">
        <v>5696415.9800000004</v>
      </c>
      <c r="K3188">
        <v>9324468.1799999997</v>
      </c>
      <c r="L3188">
        <v>9801725.3560000006</v>
      </c>
      <c r="M3188">
        <v>0</v>
      </c>
      <c r="N3188">
        <v>0</v>
      </c>
      <c r="O3188">
        <v>0</v>
      </c>
      <c r="P3188">
        <v>0</v>
      </c>
      <c r="Q3188">
        <v>0</v>
      </c>
      <c r="R3188">
        <v>0</v>
      </c>
      <c r="S3188">
        <v>0</v>
      </c>
      <c r="T3188" s="9">
        <v>45108</v>
      </c>
      <c r="U3188" s="9">
        <v>45473</v>
      </c>
      <c r="V3188">
        <f>SUM(POTABLE_NONPOTABLE_API[[#This Row],[RESIDENTIAL_SINGLEFAMILY_GAL]:[OTHER_GAL]])</f>
        <v>140401131.82800001</v>
      </c>
      <c r="W3188">
        <f>SUM(POTABLE_NONPOTABLE_API[[#This Row],[NONPOTABLE_DEMAND_RESIDENTIAL_RECYCLED_WATER_GAL]:[NONPOTABLE_DEMAND_NONRESIDENTIAL_METERED_IRRIGATION_GAL]])</f>
        <v>0</v>
      </c>
      <c r="X3188" t="str">
        <f>IFERROR(INDEX(Crosswalk_API!$H$2:$H$527, MATCH(POTABLE_NONPOTABLE_API[[#This Row],[PWSID]], CW_PWSID_LIST, 0)), "")</f>
        <v>No</v>
      </c>
    </row>
    <row r="3189" spans="1:24" x14ac:dyDescent="0.25">
      <c r="A3189" t="s">
        <v>1673</v>
      </c>
      <c r="B3189" t="s">
        <v>1674</v>
      </c>
      <c r="C3189" t="s">
        <v>1675</v>
      </c>
      <c r="D3189" t="s">
        <v>1676</v>
      </c>
      <c r="E3189" s="9">
        <v>45323</v>
      </c>
      <c r="F3189" s="9">
        <v>45351</v>
      </c>
      <c r="G3189">
        <v>53133.385507999999</v>
      </c>
      <c r="H3189">
        <v>9465850.0079999994</v>
      </c>
      <c r="I3189">
        <v>8839730.4840000011</v>
      </c>
      <c r="J3189">
        <v>958254.61200000008</v>
      </c>
      <c r="K3189">
        <v>0</v>
      </c>
      <c r="L3189">
        <v>0</v>
      </c>
      <c r="M3189">
        <v>0</v>
      </c>
      <c r="N3189">
        <v>0</v>
      </c>
      <c r="O3189">
        <v>0</v>
      </c>
      <c r="P3189">
        <v>0</v>
      </c>
      <c r="Q3189">
        <v>0</v>
      </c>
      <c r="R3189">
        <v>0</v>
      </c>
      <c r="S3189">
        <v>0</v>
      </c>
      <c r="T3189" s="9">
        <v>45108</v>
      </c>
      <c r="U3189" s="9">
        <v>45473</v>
      </c>
      <c r="V3189">
        <f>SUM(POTABLE_NONPOTABLE_API[[#This Row],[RESIDENTIAL_SINGLEFAMILY_GAL]:[OTHER_GAL]])</f>
        <v>19316968.489507999</v>
      </c>
      <c r="W3189">
        <f>SUM(POTABLE_NONPOTABLE_API[[#This Row],[NONPOTABLE_DEMAND_RESIDENTIAL_RECYCLED_WATER_GAL]:[NONPOTABLE_DEMAND_NONRESIDENTIAL_METERED_IRRIGATION_GAL]])</f>
        <v>0</v>
      </c>
      <c r="X3189" t="str">
        <f>IFERROR(INDEX(Crosswalk_API!$H$2:$H$527, MATCH(POTABLE_NONPOTABLE_API[[#This Row],[PWSID]], CW_PWSID_LIST, 0)), "")</f>
        <v>No</v>
      </c>
    </row>
    <row r="3190" spans="1:24" x14ac:dyDescent="0.25">
      <c r="A3190" t="s">
        <v>1673</v>
      </c>
      <c r="B3190" t="s">
        <v>1674</v>
      </c>
      <c r="C3190" t="s">
        <v>1675</v>
      </c>
      <c r="D3190" t="s">
        <v>1676</v>
      </c>
      <c r="E3190" s="9">
        <v>45352</v>
      </c>
      <c r="F3190" s="9">
        <v>45382</v>
      </c>
      <c r="G3190">
        <v>69479817.812000006</v>
      </c>
      <c r="H3190">
        <v>7299491.4160000002</v>
      </c>
      <c r="I3190">
        <v>17497684.332000002</v>
      </c>
      <c r="J3190">
        <v>2008519.62</v>
      </c>
      <c r="K3190">
        <v>10004447.448000001</v>
      </c>
      <c r="L3190">
        <v>0</v>
      </c>
      <c r="M3190">
        <v>0</v>
      </c>
      <c r="N3190">
        <v>0</v>
      </c>
      <c r="O3190">
        <v>0</v>
      </c>
      <c r="P3190">
        <v>0</v>
      </c>
      <c r="Q3190">
        <v>0</v>
      </c>
      <c r="R3190">
        <v>0</v>
      </c>
      <c r="S3190">
        <v>0</v>
      </c>
      <c r="T3190" s="9">
        <v>45108</v>
      </c>
      <c r="U3190" s="9">
        <v>45473</v>
      </c>
      <c r="V3190">
        <f>SUM(POTABLE_NONPOTABLE_API[[#This Row],[RESIDENTIAL_SINGLEFAMILY_GAL]:[OTHER_GAL]])</f>
        <v>106289960.62800001</v>
      </c>
      <c r="W3190">
        <f>SUM(POTABLE_NONPOTABLE_API[[#This Row],[NONPOTABLE_DEMAND_RESIDENTIAL_RECYCLED_WATER_GAL]:[NONPOTABLE_DEMAND_NONRESIDENTIAL_METERED_IRRIGATION_GAL]])</f>
        <v>0</v>
      </c>
      <c r="X3190" t="str">
        <f>IFERROR(INDEX(Crosswalk_API!$H$2:$H$527, MATCH(POTABLE_NONPOTABLE_API[[#This Row],[PWSID]], CW_PWSID_LIST, 0)), "")</f>
        <v>No</v>
      </c>
    </row>
    <row r="3191" spans="1:24" x14ac:dyDescent="0.25">
      <c r="A3191" t="s">
        <v>1673</v>
      </c>
      <c r="B3191" t="s">
        <v>1674</v>
      </c>
      <c r="C3191" t="s">
        <v>1675</v>
      </c>
      <c r="D3191" t="s">
        <v>1676</v>
      </c>
      <c r="E3191" s="9">
        <v>45383</v>
      </c>
      <c r="F3191" s="9">
        <v>45412</v>
      </c>
      <c r="G3191">
        <v>48408689.076000005</v>
      </c>
      <c r="H3191">
        <v>8538265.5280000009</v>
      </c>
      <c r="I3191">
        <v>8607086.3120000008</v>
      </c>
      <c r="J3191">
        <v>769745.50800000003</v>
      </c>
      <c r="K3191">
        <v>0</v>
      </c>
      <c r="L3191">
        <v>0</v>
      </c>
      <c r="M3191">
        <v>0</v>
      </c>
      <c r="N3191">
        <v>0</v>
      </c>
      <c r="O3191">
        <v>0</v>
      </c>
      <c r="P3191">
        <v>0</v>
      </c>
      <c r="Q3191">
        <v>0</v>
      </c>
      <c r="R3191">
        <v>0</v>
      </c>
      <c r="S3191">
        <v>0</v>
      </c>
      <c r="T3191" s="9">
        <v>45108</v>
      </c>
      <c r="U3191" s="9">
        <v>45473</v>
      </c>
      <c r="V3191">
        <f>SUM(POTABLE_NONPOTABLE_API[[#This Row],[RESIDENTIAL_SINGLEFAMILY_GAL]:[OTHER_GAL]])</f>
        <v>66323786.424000002</v>
      </c>
      <c r="W3191">
        <f>SUM(POTABLE_NONPOTABLE_API[[#This Row],[NONPOTABLE_DEMAND_RESIDENTIAL_RECYCLED_WATER_GAL]:[NONPOTABLE_DEMAND_NONRESIDENTIAL_METERED_IRRIGATION_GAL]])</f>
        <v>0</v>
      </c>
      <c r="X3191" t="str">
        <f>IFERROR(INDEX(Crosswalk_API!$H$2:$H$527, MATCH(POTABLE_NONPOTABLE_API[[#This Row],[PWSID]], CW_PWSID_LIST, 0)), "")</f>
        <v>No</v>
      </c>
    </row>
    <row r="3192" spans="1:24" x14ac:dyDescent="0.25">
      <c r="A3192" t="s">
        <v>1673</v>
      </c>
      <c r="B3192" t="s">
        <v>1674</v>
      </c>
      <c r="C3192" t="s">
        <v>1675</v>
      </c>
      <c r="D3192" t="s">
        <v>1676</v>
      </c>
      <c r="E3192" s="9">
        <v>45413</v>
      </c>
      <c r="F3192" s="9">
        <v>45443</v>
      </c>
      <c r="G3192">
        <v>80461969.224000007</v>
      </c>
      <c r="H3192">
        <v>7479023.8960000006</v>
      </c>
      <c r="I3192">
        <v>20409102.716000002</v>
      </c>
      <c r="J3192">
        <v>5545309.4759999998</v>
      </c>
      <c r="K3192">
        <v>11679335.876</v>
      </c>
      <c r="L3192">
        <v>0</v>
      </c>
      <c r="M3192">
        <v>0</v>
      </c>
      <c r="N3192">
        <v>0</v>
      </c>
      <c r="O3192">
        <v>0</v>
      </c>
      <c r="P3192">
        <v>0</v>
      </c>
      <c r="Q3192">
        <v>0</v>
      </c>
      <c r="R3192">
        <v>0</v>
      </c>
      <c r="S3192">
        <v>0</v>
      </c>
      <c r="T3192" s="9">
        <v>45108</v>
      </c>
      <c r="U3192" s="9">
        <v>45473</v>
      </c>
      <c r="V3192">
        <f>SUM(POTABLE_NONPOTABLE_API[[#This Row],[RESIDENTIAL_SINGLEFAMILY_GAL]:[OTHER_GAL]])</f>
        <v>125574741.18800001</v>
      </c>
      <c r="W3192">
        <f>SUM(POTABLE_NONPOTABLE_API[[#This Row],[NONPOTABLE_DEMAND_RESIDENTIAL_RECYCLED_WATER_GAL]:[NONPOTABLE_DEMAND_NONRESIDENTIAL_METERED_IRRIGATION_GAL]])</f>
        <v>0</v>
      </c>
      <c r="X3192" t="str">
        <f>IFERROR(INDEX(Crosswalk_API!$H$2:$H$527, MATCH(POTABLE_NONPOTABLE_API[[#This Row],[PWSID]], CW_PWSID_LIST, 0)), "")</f>
        <v>No</v>
      </c>
    </row>
    <row r="3193" spans="1:24" x14ac:dyDescent="0.25">
      <c r="A3193" t="s">
        <v>1673</v>
      </c>
      <c r="B3193" t="s">
        <v>1674</v>
      </c>
      <c r="C3193" t="s">
        <v>1675</v>
      </c>
      <c r="D3193" t="s">
        <v>1676</v>
      </c>
      <c r="E3193" s="9">
        <v>45444</v>
      </c>
      <c r="F3193" s="9">
        <v>45473</v>
      </c>
      <c r="G3193">
        <v>59371391.136</v>
      </c>
      <c r="H3193">
        <v>9610972.0960000008</v>
      </c>
      <c r="I3193">
        <v>10273746.168</v>
      </c>
      <c r="J3193">
        <v>2199272.88</v>
      </c>
      <c r="K3193">
        <v>0</v>
      </c>
      <c r="L3193">
        <v>0</v>
      </c>
      <c r="M3193">
        <v>0</v>
      </c>
      <c r="N3193">
        <v>0</v>
      </c>
      <c r="O3193">
        <v>0</v>
      </c>
      <c r="Q3193">
        <v>0</v>
      </c>
      <c r="R3193">
        <v>0</v>
      </c>
      <c r="T3193" s="9">
        <v>45108</v>
      </c>
      <c r="U3193" s="9">
        <v>45473</v>
      </c>
      <c r="V3193">
        <f>SUM(POTABLE_NONPOTABLE_API[[#This Row],[RESIDENTIAL_SINGLEFAMILY_GAL]:[OTHER_GAL]])</f>
        <v>81455382.279999986</v>
      </c>
      <c r="W3193">
        <f>SUM(POTABLE_NONPOTABLE_API[[#This Row],[NONPOTABLE_DEMAND_RESIDENTIAL_RECYCLED_WATER_GAL]:[NONPOTABLE_DEMAND_NONRESIDENTIAL_METERED_IRRIGATION_GAL]])</f>
        <v>0</v>
      </c>
      <c r="X3193" t="str">
        <f>IFERROR(INDEX(Crosswalk_API!$H$2:$H$527, MATCH(POTABLE_NONPOTABLE_API[[#This Row],[PWSID]], CW_PWSID_LIST, 0)), "")</f>
        <v>No</v>
      </c>
    </row>
    <row r="3194" spans="1:24" x14ac:dyDescent="0.25">
      <c r="A3194" t="s">
        <v>1677</v>
      </c>
      <c r="B3194" t="s">
        <v>1678</v>
      </c>
      <c r="C3194" t="s">
        <v>1679</v>
      </c>
      <c r="D3194" t="s">
        <v>1680</v>
      </c>
      <c r="E3194" s="9">
        <v>45108</v>
      </c>
      <c r="F3194" s="9">
        <v>45138</v>
      </c>
      <c r="G3194">
        <v>362760000</v>
      </c>
      <c r="H3194">
        <v>105954000</v>
      </c>
      <c r="I3194">
        <v>80176000</v>
      </c>
      <c r="J3194">
        <v>0</v>
      </c>
      <c r="K3194">
        <v>0</v>
      </c>
      <c r="L3194">
        <v>0</v>
      </c>
      <c r="M3194">
        <v>0</v>
      </c>
      <c r="N3194">
        <v>2441</v>
      </c>
      <c r="O3194">
        <v>0</v>
      </c>
      <c r="P3194">
        <v>0</v>
      </c>
      <c r="Q3194">
        <v>13702440</v>
      </c>
      <c r="R3194">
        <v>0</v>
      </c>
      <c r="S3194">
        <v>1636034</v>
      </c>
      <c r="T3194" s="9">
        <v>45108</v>
      </c>
      <c r="U3194" s="9">
        <v>45473</v>
      </c>
      <c r="V3194">
        <f>SUM(POTABLE_NONPOTABLE_API[[#This Row],[RESIDENTIAL_SINGLEFAMILY_GAL]:[OTHER_GAL]])</f>
        <v>548890000</v>
      </c>
      <c r="W3194">
        <f>SUM(POTABLE_NONPOTABLE_API[[#This Row],[NONPOTABLE_DEMAND_RESIDENTIAL_RECYCLED_WATER_GAL]:[NONPOTABLE_DEMAND_NONRESIDENTIAL_METERED_IRRIGATION_GAL]])</f>
        <v>15340915</v>
      </c>
      <c r="X3194" t="str">
        <f>IFERROR(INDEX(Crosswalk_API!$H$2:$H$527, MATCH(POTABLE_NONPOTABLE_API[[#This Row],[PWSID]], CW_PWSID_LIST, 0)), "")</f>
        <v>No</v>
      </c>
    </row>
    <row r="3195" spans="1:24" x14ac:dyDescent="0.25">
      <c r="A3195" t="s">
        <v>1677</v>
      </c>
      <c r="B3195" t="s">
        <v>1678</v>
      </c>
      <c r="C3195" t="s">
        <v>1679</v>
      </c>
      <c r="D3195" t="s">
        <v>1680</v>
      </c>
      <c r="E3195" s="9">
        <v>45139</v>
      </c>
      <c r="F3195" s="9">
        <v>45169</v>
      </c>
      <c r="G3195">
        <v>369670000</v>
      </c>
      <c r="H3195">
        <v>113364000</v>
      </c>
      <c r="I3195">
        <v>76308000</v>
      </c>
      <c r="J3195">
        <v>0</v>
      </c>
      <c r="K3195">
        <v>0</v>
      </c>
      <c r="L3195">
        <v>0</v>
      </c>
      <c r="M3195">
        <v>0</v>
      </c>
      <c r="N3195">
        <v>0</v>
      </c>
      <c r="O3195">
        <v>0</v>
      </c>
      <c r="P3195">
        <v>0</v>
      </c>
      <c r="Q3195">
        <v>13121012</v>
      </c>
      <c r="R3195">
        <v>0</v>
      </c>
      <c r="S3195">
        <v>377142</v>
      </c>
      <c r="T3195" s="9">
        <v>45108</v>
      </c>
      <c r="U3195" s="9">
        <v>45473</v>
      </c>
      <c r="V3195">
        <f>SUM(POTABLE_NONPOTABLE_API[[#This Row],[RESIDENTIAL_SINGLEFAMILY_GAL]:[OTHER_GAL]])</f>
        <v>559342000</v>
      </c>
      <c r="W3195">
        <f>SUM(POTABLE_NONPOTABLE_API[[#This Row],[NONPOTABLE_DEMAND_RESIDENTIAL_RECYCLED_WATER_GAL]:[NONPOTABLE_DEMAND_NONRESIDENTIAL_METERED_IRRIGATION_GAL]])</f>
        <v>13498154</v>
      </c>
      <c r="X3195" t="str">
        <f>IFERROR(INDEX(Crosswalk_API!$H$2:$H$527, MATCH(POTABLE_NONPOTABLE_API[[#This Row],[PWSID]], CW_PWSID_LIST, 0)), "")</f>
        <v>No</v>
      </c>
    </row>
    <row r="3196" spans="1:24" x14ac:dyDescent="0.25">
      <c r="A3196" t="s">
        <v>1677</v>
      </c>
      <c r="B3196" t="s">
        <v>1678</v>
      </c>
      <c r="C3196" t="s">
        <v>1679</v>
      </c>
      <c r="D3196" t="s">
        <v>1680</v>
      </c>
      <c r="E3196" s="9">
        <v>45170</v>
      </c>
      <c r="F3196" s="9">
        <v>45199</v>
      </c>
      <c r="G3196">
        <v>316530000</v>
      </c>
      <c r="H3196">
        <v>92272000</v>
      </c>
      <c r="I3196">
        <v>70133000</v>
      </c>
      <c r="J3196">
        <v>0</v>
      </c>
      <c r="K3196">
        <v>0</v>
      </c>
      <c r="L3196">
        <v>0</v>
      </c>
      <c r="M3196">
        <v>0</v>
      </c>
      <c r="N3196">
        <v>0</v>
      </c>
      <c r="O3196">
        <v>0</v>
      </c>
      <c r="P3196">
        <v>0</v>
      </c>
      <c r="Q3196">
        <v>11742383</v>
      </c>
      <c r="R3196">
        <v>0</v>
      </c>
      <c r="S3196">
        <v>892535</v>
      </c>
      <c r="T3196" s="9">
        <v>45108</v>
      </c>
      <c r="U3196" s="9">
        <v>45473</v>
      </c>
      <c r="V3196">
        <f>SUM(POTABLE_NONPOTABLE_API[[#This Row],[RESIDENTIAL_SINGLEFAMILY_GAL]:[OTHER_GAL]])</f>
        <v>478935000</v>
      </c>
      <c r="W3196">
        <f>SUM(POTABLE_NONPOTABLE_API[[#This Row],[NONPOTABLE_DEMAND_RESIDENTIAL_RECYCLED_WATER_GAL]:[NONPOTABLE_DEMAND_NONRESIDENTIAL_METERED_IRRIGATION_GAL]])</f>
        <v>12634918</v>
      </c>
      <c r="X3196" t="str">
        <f>IFERROR(INDEX(Crosswalk_API!$H$2:$H$527, MATCH(POTABLE_NONPOTABLE_API[[#This Row],[PWSID]], CW_PWSID_LIST, 0)), "")</f>
        <v>No</v>
      </c>
    </row>
    <row r="3197" spans="1:24" x14ac:dyDescent="0.25">
      <c r="A3197" t="s">
        <v>1677</v>
      </c>
      <c r="B3197" t="s">
        <v>1678</v>
      </c>
      <c r="C3197" t="s">
        <v>1679</v>
      </c>
      <c r="D3197" t="s">
        <v>1680</v>
      </c>
      <c r="E3197" s="9">
        <v>45200</v>
      </c>
      <c r="F3197" s="9">
        <v>45230</v>
      </c>
      <c r="G3197">
        <v>285230000</v>
      </c>
      <c r="H3197">
        <v>82409000</v>
      </c>
      <c r="I3197">
        <v>63938600</v>
      </c>
      <c r="J3197">
        <v>0</v>
      </c>
      <c r="K3197">
        <v>0</v>
      </c>
      <c r="L3197">
        <v>0</v>
      </c>
      <c r="M3197">
        <v>0</v>
      </c>
      <c r="N3197">
        <v>0</v>
      </c>
      <c r="O3197">
        <v>0</v>
      </c>
      <c r="P3197">
        <v>0</v>
      </c>
      <c r="Q3197">
        <v>12929926</v>
      </c>
      <c r="R3197">
        <v>0</v>
      </c>
      <c r="S3197">
        <v>702466</v>
      </c>
      <c r="T3197" s="9">
        <v>45108</v>
      </c>
      <c r="U3197" s="9">
        <v>45473</v>
      </c>
      <c r="V3197">
        <f>SUM(POTABLE_NONPOTABLE_API[[#This Row],[RESIDENTIAL_SINGLEFAMILY_GAL]:[OTHER_GAL]])</f>
        <v>431577600</v>
      </c>
      <c r="W3197">
        <f>SUM(POTABLE_NONPOTABLE_API[[#This Row],[NONPOTABLE_DEMAND_RESIDENTIAL_RECYCLED_WATER_GAL]:[NONPOTABLE_DEMAND_NONRESIDENTIAL_METERED_IRRIGATION_GAL]])</f>
        <v>13632392</v>
      </c>
      <c r="X3197" t="str">
        <f>IFERROR(INDEX(Crosswalk_API!$H$2:$H$527, MATCH(POTABLE_NONPOTABLE_API[[#This Row],[PWSID]], CW_PWSID_LIST, 0)), "")</f>
        <v>No</v>
      </c>
    </row>
    <row r="3198" spans="1:24" x14ac:dyDescent="0.25">
      <c r="A3198" t="s">
        <v>1677</v>
      </c>
      <c r="B3198" t="s">
        <v>1678</v>
      </c>
      <c r="C3198" t="s">
        <v>1679</v>
      </c>
      <c r="D3198" t="s">
        <v>1680</v>
      </c>
      <c r="E3198" s="9">
        <v>45231</v>
      </c>
      <c r="F3198" s="9">
        <v>45260</v>
      </c>
      <c r="G3198">
        <v>210560000</v>
      </c>
      <c r="H3198">
        <v>58632500</v>
      </c>
      <c r="I3198">
        <v>49403400</v>
      </c>
      <c r="J3198">
        <v>0</v>
      </c>
      <c r="K3198">
        <v>0</v>
      </c>
      <c r="L3198">
        <v>0</v>
      </c>
      <c r="M3198">
        <v>0</v>
      </c>
      <c r="N3198">
        <v>0</v>
      </c>
      <c r="O3198">
        <v>0</v>
      </c>
      <c r="P3198">
        <v>0</v>
      </c>
      <c r="Q3198">
        <v>11876120</v>
      </c>
      <c r="R3198">
        <v>0</v>
      </c>
      <c r="S3198">
        <v>189815</v>
      </c>
      <c r="T3198" s="9">
        <v>45108</v>
      </c>
      <c r="U3198" s="9">
        <v>45473</v>
      </c>
      <c r="V3198">
        <f>SUM(POTABLE_NONPOTABLE_API[[#This Row],[RESIDENTIAL_SINGLEFAMILY_GAL]:[OTHER_GAL]])</f>
        <v>318595900</v>
      </c>
      <c r="W3198">
        <f>SUM(POTABLE_NONPOTABLE_API[[#This Row],[NONPOTABLE_DEMAND_RESIDENTIAL_RECYCLED_WATER_GAL]:[NONPOTABLE_DEMAND_NONRESIDENTIAL_METERED_IRRIGATION_GAL]])</f>
        <v>12065935</v>
      </c>
      <c r="X3198" t="str">
        <f>IFERROR(INDEX(Crosswalk_API!$H$2:$H$527, MATCH(POTABLE_NONPOTABLE_API[[#This Row],[PWSID]], CW_PWSID_LIST, 0)), "")</f>
        <v>No</v>
      </c>
    </row>
    <row r="3199" spans="1:24" x14ac:dyDescent="0.25">
      <c r="A3199" t="s">
        <v>1677</v>
      </c>
      <c r="B3199" t="s">
        <v>1678</v>
      </c>
      <c r="C3199" t="s">
        <v>1679</v>
      </c>
      <c r="D3199" t="s">
        <v>1680</v>
      </c>
      <c r="E3199" s="9">
        <v>45261</v>
      </c>
      <c r="F3199" s="9">
        <v>45291</v>
      </c>
      <c r="G3199">
        <v>174350000</v>
      </c>
      <c r="H3199">
        <v>54195500</v>
      </c>
      <c r="I3199">
        <v>35263900</v>
      </c>
      <c r="J3199">
        <v>0</v>
      </c>
      <c r="K3199">
        <v>0</v>
      </c>
      <c r="L3199">
        <v>0</v>
      </c>
      <c r="M3199">
        <v>0</v>
      </c>
      <c r="N3199">
        <v>0</v>
      </c>
      <c r="O3199">
        <v>0</v>
      </c>
      <c r="P3199">
        <v>0</v>
      </c>
      <c r="Q3199">
        <v>13920691</v>
      </c>
      <c r="R3199">
        <v>0</v>
      </c>
      <c r="S3199">
        <v>113022</v>
      </c>
      <c r="T3199" s="9">
        <v>45108</v>
      </c>
      <c r="U3199" s="9">
        <v>45473</v>
      </c>
      <c r="V3199">
        <f>SUM(POTABLE_NONPOTABLE_API[[#This Row],[RESIDENTIAL_SINGLEFAMILY_GAL]:[OTHER_GAL]])</f>
        <v>263809400</v>
      </c>
      <c r="W3199">
        <f>SUM(POTABLE_NONPOTABLE_API[[#This Row],[NONPOTABLE_DEMAND_RESIDENTIAL_RECYCLED_WATER_GAL]:[NONPOTABLE_DEMAND_NONRESIDENTIAL_METERED_IRRIGATION_GAL]])</f>
        <v>14033713</v>
      </c>
      <c r="X3199" t="str">
        <f>IFERROR(INDEX(Crosswalk_API!$H$2:$H$527, MATCH(POTABLE_NONPOTABLE_API[[#This Row],[PWSID]], CW_PWSID_LIST, 0)), "")</f>
        <v>No</v>
      </c>
    </row>
    <row r="3200" spans="1:24" x14ac:dyDescent="0.25">
      <c r="A3200" t="s">
        <v>1677</v>
      </c>
      <c r="B3200" t="s">
        <v>1678</v>
      </c>
      <c r="C3200" t="s">
        <v>1679</v>
      </c>
      <c r="D3200" t="s">
        <v>1680</v>
      </c>
      <c r="E3200" s="9">
        <v>45292</v>
      </c>
      <c r="F3200" s="9">
        <v>45322</v>
      </c>
      <c r="G3200">
        <v>154410000</v>
      </c>
      <c r="H3200">
        <v>48047400</v>
      </c>
      <c r="I3200">
        <v>31178200</v>
      </c>
      <c r="J3200">
        <v>0</v>
      </c>
      <c r="K3200">
        <v>0</v>
      </c>
      <c r="L3200">
        <v>0</v>
      </c>
      <c r="M3200">
        <v>0</v>
      </c>
      <c r="N3200">
        <v>0</v>
      </c>
      <c r="O3200">
        <v>0</v>
      </c>
      <c r="P3200">
        <v>0</v>
      </c>
      <c r="Q3200">
        <v>14199844</v>
      </c>
      <c r="R3200">
        <v>0</v>
      </c>
      <c r="S3200">
        <v>3709</v>
      </c>
      <c r="T3200" s="9">
        <v>45108</v>
      </c>
      <c r="U3200" s="9">
        <v>45473</v>
      </c>
      <c r="V3200">
        <f>SUM(POTABLE_NONPOTABLE_API[[#This Row],[RESIDENTIAL_SINGLEFAMILY_GAL]:[OTHER_GAL]])</f>
        <v>233635600</v>
      </c>
      <c r="W3200">
        <f>SUM(POTABLE_NONPOTABLE_API[[#This Row],[NONPOTABLE_DEMAND_RESIDENTIAL_RECYCLED_WATER_GAL]:[NONPOTABLE_DEMAND_NONRESIDENTIAL_METERED_IRRIGATION_GAL]])</f>
        <v>14203553</v>
      </c>
      <c r="X3200" t="str">
        <f>IFERROR(INDEX(Crosswalk_API!$H$2:$H$527, MATCH(POTABLE_NONPOTABLE_API[[#This Row],[PWSID]], CW_PWSID_LIST, 0)), "")</f>
        <v>No</v>
      </c>
    </row>
    <row r="3201" spans="1:24" x14ac:dyDescent="0.25">
      <c r="A3201" t="s">
        <v>1677</v>
      </c>
      <c r="B3201" t="s">
        <v>1678</v>
      </c>
      <c r="C3201" t="s">
        <v>1679</v>
      </c>
      <c r="D3201" t="s">
        <v>1680</v>
      </c>
      <c r="E3201" s="9">
        <v>45323</v>
      </c>
      <c r="F3201" s="9">
        <v>45351</v>
      </c>
      <c r="G3201">
        <v>139681000</v>
      </c>
      <c r="H3201">
        <v>44601900</v>
      </c>
      <c r="I3201">
        <v>27066900</v>
      </c>
      <c r="J3201">
        <v>0</v>
      </c>
      <c r="K3201">
        <v>0</v>
      </c>
      <c r="L3201">
        <v>0</v>
      </c>
      <c r="M3201">
        <v>0</v>
      </c>
      <c r="N3201">
        <v>0</v>
      </c>
      <c r="O3201">
        <v>0</v>
      </c>
      <c r="P3201">
        <v>0</v>
      </c>
      <c r="Q3201">
        <v>14161268</v>
      </c>
      <c r="R3201">
        <v>0</v>
      </c>
      <c r="S3201">
        <v>781</v>
      </c>
      <c r="T3201" s="9">
        <v>45108</v>
      </c>
      <c r="U3201" s="9">
        <v>45473</v>
      </c>
      <c r="V3201">
        <f>SUM(POTABLE_NONPOTABLE_API[[#This Row],[RESIDENTIAL_SINGLEFAMILY_GAL]:[OTHER_GAL]])</f>
        <v>211349800</v>
      </c>
      <c r="W3201">
        <f>SUM(POTABLE_NONPOTABLE_API[[#This Row],[NONPOTABLE_DEMAND_RESIDENTIAL_RECYCLED_WATER_GAL]:[NONPOTABLE_DEMAND_NONRESIDENTIAL_METERED_IRRIGATION_GAL]])</f>
        <v>14162049</v>
      </c>
      <c r="X3201" t="str">
        <f>IFERROR(INDEX(Crosswalk_API!$H$2:$H$527, MATCH(POTABLE_NONPOTABLE_API[[#This Row],[PWSID]], CW_PWSID_LIST, 0)), "")</f>
        <v>No</v>
      </c>
    </row>
    <row r="3202" spans="1:24" x14ac:dyDescent="0.25">
      <c r="A3202" t="s">
        <v>1677</v>
      </c>
      <c r="B3202" t="s">
        <v>1678</v>
      </c>
      <c r="C3202" t="s">
        <v>1679</v>
      </c>
      <c r="D3202" t="s">
        <v>1680</v>
      </c>
      <c r="E3202" s="9">
        <v>45352</v>
      </c>
      <c r="F3202" s="9">
        <v>45382</v>
      </c>
      <c r="G3202">
        <v>181020000</v>
      </c>
      <c r="H3202">
        <v>52354500</v>
      </c>
      <c r="I3202">
        <v>40525300</v>
      </c>
      <c r="J3202">
        <v>0</v>
      </c>
      <c r="K3202">
        <v>0</v>
      </c>
      <c r="L3202">
        <v>0</v>
      </c>
      <c r="M3202">
        <v>0</v>
      </c>
      <c r="N3202">
        <v>0</v>
      </c>
      <c r="O3202">
        <v>0</v>
      </c>
      <c r="P3202">
        <v>0</v>
      </c>
      <c r="Q3202">
        <v>16398139</v>
      </c>
      <c r="R3202">
        <v>0</v>
      </c>
      <c r="S3202">
        <v>130057</v>
      </c>
      <c r="T3202" s="9">
        <v>45108</v>
      </c>
      <c r="U3202" s="9">
        <v>45473</v>
      </c>
      <c r="V3202">
        <f>SUM(POTABLE_NONPOTABLE_API[[#This Row],[RESIDENTIAL_SINGLEFAMILY_GAL]:[OTHER_GAL]])</f>
        <v>273899800</v>
      </c>
      <c r="W3202">
        <f>SUM(POTABLE_NONPOTABLE_API[[#This Row],[NONPOTABLE_DEMAND_RESIDENTIAL_RECYCLED_WATER_GAL]:[NONPOTABLE_DEMAND_NONRESIDENTIAL_METERED_IRRIGATION_GAL]])</f>
        <v>16528196</v>
      </c>
      <c r="X3202" t="str">
        <f>IFERROR(INDEX(Crosswalk_API!$H$2:$H$527, MATCH(POTABLE_NONPOTABLE_API[[#This Row],[PWSID]], CW_PWSID_LIST, 0)), "")</f>
        <v>No</v>
      </c>
    </row>
    <row r="3203" spans="1:24" x14ac:dyDescent="0.25">
      <c r="A3203" t="s">
        <v>1677</v>
      </c>
      <c r="B3203" t="s">
        <v>1678</v>
      </c>
      <c r="C3203" t="s">
        <v>1679</v>
      </c>
      <c r="D3203" t="s">
        <v>1680</v>
      </c>
      <c r="E3203" s="9">
        <v>45383</v>
      </c>
      <c r="F3203" s="9">
        <v>45412</v>
      </c>
      <c r="G3203">
        <v>216270000</v>
      </c>
      <c r="H3203">
        <v>65632400</v>
      </c>
      <c r="I3203">
        <v>45335700</v>
      </c>
      <c r="J3203">
        <v>0</v>
      </c>
      <c r="K3203">
        <v>0</v>
      </c>
      <c r="L3203">
        <v>0</v>
      </c>
      <c r="M3203">
        <v>0</v>
      </c>
      <c r="N3203">
        <v>0</v>
      </c>
      <c r="O3203">
        <v>0</v>
      </c>
      <c r="P3203">
        <v>0</v>
      </c>
      <c r="Q3203">
        <v>13407431</v>
      </c>
      <c r="R3203">
        <v>0</v>
      </c>
      <c r="S3203">
        <v>371425</v>
      </c>
      <c r="T3203" s="9">
        <v>45108</v>
      </c>
      <c r="U3203" s="9">
        <v>45473</v>
      </c>
      <c r="V3203">
        <f>SUM(POTABLE_NONPOTABLE_API[[#This Row],[RESIDENTIAL_SINGLEFAMILY_GAL]:[OTHER_GAL]])</f>
        <v>327238100</v>
      </c>
      <c r="W3203">
        <f>SUM(POTABLE_NONPOTABLE_API[[#This Row],[NONPOTABLE_DEMAND_RESIDENTIAL_RECYCLED_WATER_GAL]:[NONPOTABLE_DEMAND_NONRESIDENTIAL_METERED_IRRIGATION_GAL]])</f>
        <v>13778856</v>
      </c>
      <c r="X3203" t="str">
        <f>IFERROR(INDEX(Crosswalk_API!$H$2:$H$527, MATCH(POTABLE_NONPOTABLE_API[[#This Row],[PWSID]], CW_PWSID_LIST, 0)), "")</f>
        <v>No</v>
      </c>
    </row>
    <row r="3204" spans="1:24" x14ac:dyDescent="0.25">
      <c r="A3204" t="s">
        <v>1677</v>
      </c>
      <c r="B3204" t="s">
        <v>1678</v>
      </c>
      <c r="C3204" t="s">
        <v>1679</v>
      </c>
      <c r="D3204" t="s">
        <v>1680</v>
      </c>
      <c r="E3204" s="9">
        <v>45413</v>
      </c>
      <c r="F3204" s="9">
        <v>45443</v>
      </c>
      <c r="G3204">
        <v>315970000</v>
      </c>
      <c r="H3204">
        <v>87725800</v>
      </c>
      <c r="I3204">
        <v>74395500</v>
      </c>
      <c r="J3204">
        <v>0</v>
      </c>
      <c r="K3204">
        <v>0</v>
      </c>
      <c r="L3204">
        <v>0</v>
      </c>
      <c r="M3204">
        <v>0</v>
      </c>
      <c r="N3204">
        <v>0</v>
      </c>
      <c r="O3204">
        <v>0</v>
      </c>
      <c r="P3204">
        <v>0</v>
      </c>
      <c r="Q3204">
        <v>17735971</v>
      </c>
      <c r="R3204">
        <v>0</v>
      </c>
      <c r="S3204">
        <v>930605</v>
      </c>
      <c r="T3204" s="9">
        <v>45108</v>
      </c>
      <c r="U3204" s="9">
        <v>45473</v>
      </c>
      <c r="V3204">
        <f>SUM(POTABLE_NONPOTABLE_API[[#This Row],[RESIDENTIAL_SINGLEFAMILY_GAL]:[OTHER_GAL]])</f>
        <v>478091300</v>
      </c>
      <c r="W3204">
        <f>SUM(POTABLE_NONPOTABLE_API[[#This Row],[NONPOTABLE_DEMAND_RESIDENTIAL_RECYCLED_WATER_GAL]:[NONPOTABLE_DEMAND_NONRESIDENTIAL_METERED_IRRIGATION_GAL]])</f>
        <v>18666576</v>
      </c>
      <c r="X3204" t="str">
        <f>IFERROR(INDEX(Crosswalk_API!$H$2:$H$527, MATCH(POTABLE_NONPOTABLE_API[[#This Row],[PWSID]], CW_PWSID_LIST, 0)), "")</f>
        <v>No</v>
      </c>
    </row>
    <row r="3205" spans="1:24" x14ac:dyDescent="0.25">
      <c r="A3205" t="s">
        <v>1677</v>
      </c>
      <c r="B3205" t="s">
        <v>1678</v>
      </c>
      <c r="C3205" t="s">
        <v>1679</v>
      </c>
      <c r="D3205" t="s">
        <v>1680</v>
      </c>
      <c r="E3205" s="9">
        <v>45444</v>
      </c>
      <c r="F3205" s="9">
        <v>45473</v>
      </c>
      <c r="G3205">
        <v>366540000</v>
      </c>
      <c r="H3205">
        <v>114562900</v>
      </c>
      <c r="I3205">
        <v>73506300</v>
      </c>
      <c r="J3205">
        <v>0</v>
      </c>
      <c r="K3205">
        <v>0</v>
      </c>
      <c r="L3205">
        <v>0</v>
      </c>
      <c r="M3205">
        <v>0</v>
      </c>
      <c r="N3205">
        <v>0</v>
      </c>
      <c r="O3205">
        <v>0</v>
      </c>
      <c r="P3205">
        <v>0</v>
      </c>
      <c r="Q3205">
        <v>17523921</v>
      </c>
      <c r="R3205">
        <v>0</v>
      </c>
      <c r="S3205">
        <v>1088784</v>
      </c>
      <c r="T3205" s="9">
        <v>45108</v>
      </c>
      <c r="U3205" s="9">
        <v>45473</v>
      </c>
      <c r="V3205">
        <f>SUM(POTABLE_NONPOTABLE_API[[#This Row],[RESIDENTIAL_SINGLEFAMILY_GAL]:[OTHER_GAL]])</f>
        <v>554609200</v>
      </c>
      <c r="W3205">
        <f>SUM(POTABLE_NONPOTABLE_API[[#This Row],[NONPOTABLE_DEMAND_RESIDENTIAL_RECYCLED_WATER_GAL]:[NONPOTABLE_DEMAND_NONRESIDENTIAL_METERED_IRRIGATION_GAL]])</f>
        <v>18612705</v>
      </c>
      <c r="X3205" t="str">
        <f>IFERROR(INDEX(Crosswalk_API!$H$2:$H$527, MATCH(POTABLE_NONPOTABLE_API[[#This Row],[PWSID]], CW_PWSID_LIST, 0)), "")</f>
        <v>No</v>
      </c>
    </row>
    <row r="3206" spans="1:24" x14ac:dyDescent="0.25">
      <c r="A3206" t="s">
        <v>1681</v>
      </c>
      <c r="B3206" t="s">
        <v>1682</v>
      </c>
      <c r="C3206" t="s">
        <v>1683</v>
      </c>
      <c r="D3206" t="s">
        <v>1684</v>
      </c>
      <c r="E3206" s="9">
        <v>45108</v>
      </c>
      <c r="F3206" s="9">
        <v>45138</v>
      </c>
      <c r="G3206">
        <v>376559656</v>
      </c>
      <c r="H3206">
        <v>38656640</v>
      </c>
      <c r="I3206">
        <v>85419356</v>
      </c>
      <c r="J3206">
        <v>35586100</v>
      </c>
      <c r="K3206">
        <v>0</v>
      </c>
      <c r="L3206">
        <v>143616</v>
      </c>
      <c r="M3206">
        <v>0</v>
      </c>
      <c r="N3206">
        <v>0</v>
      </c>
      <c r="O3206">
        <v>0</v>
      </c>
      <c r="P3206">
        <v>0</v>
      </c>
      <c r="Q3206">
        <v>0</v>
      </c>
      <c r="R3206">
        <v>10904344</v>
      </c>
      <c r="S3206">
        <v>32736594</v>
      </c>
      <c r="T3206" s="9">
        <v>45108</v>
      </c>
      <c r="U3206" s="9">
        <v>45473</v>
      </c>
      <c r="V3206">
        <f>SUM(POTABLE_NONPOTABLE_API[[#This Row],[RESIDENTIAL_SINGLEFAMILY_GAL]:[OTHER_GAL]])</f>
        <v>536365368</v>
      </c>
      <c r="W3206">
        <f>SUM(POTABLE_NONPOTABLE_API[[#This Row],[NONPOTABLE_DEMAND_RESIDENTIAL_RECYCLED_WATER_GAL]:[NONPOTABLE_DEMAND_NONRESIDENTIAL_METERED_IRRIGATION_GAL]])</f>
        <v>43640938</v>
      </c>
      <c r="X3206" t="str">
        <f>IFERROR(INDEX(Crosswalk_API!$H$2:$H$527, MATCH(POTABLE_NONPOTABLE_API[[#This Row],[PWSID]], CW_PWSID_LIST, 0)), "")</f>
        <v>No</v>
      </c>
    </row>
    <row r="3207" spans="1:24" x14ac:dyDescent="0.25">
      <c r="A3207" t="s">
        <v>1681</v>
      </c>
      <c r="B3207" t="s">
        <v>1682</v>
      </c>
      <c r="C3207" t="s">
        <v>1683</v>
      </c>
      <c r="D3207" t="s">
        <v>1684</v>
      </c>
      <c r="E3207" s="9">
        <v>45139</v>
      </c>
      <c r="F3207" s="9">
        <v>45169</v>
      </c>
      <c r="G3207">
        <v>461874292</v>
      </c>
      <c r="H3207">
        <v>129482540</v>
      </c>
      <c r="I3207">
        <v>136331976</v>
      </c>
      <c r="J3207">
        <v>82840252</v>
      </c>
      <c r="K3207">
        <v>0</v>
      </c>
      <c r="L3207">
        <v>729300</v>
      </c>
      <c r="M3207">
        <v>0</v>
      </c>
      <c r="N3207">
        <v>0</v>
      </c>
      <c r="O3207">
        <v>0</v>
      </c>
      <c r="P3207">
        <v>0</v>
      </c>
      <c r="Q3207">
        <v>0</v>
      </c>
      <c r="R3207">
        <v>11252912</v>
      </c>
      <c r="S3207">
        <v>32736594</v>
      </c>
      <c r="T3207" s="9">
        <v>45108</v>
      </c>
      <c r="U3207" s="9">
        <v>45473</v>
      </c>
      <c r="V3207">
        <f>SUM(POTABLE_NONPOTABLE_API[[#This Row],[RESIDENTIAL_SINGLEFAMILY_GAL]:[OTHER_GAL]])</f>
        <v>811258360</v>
      </c>
      <c r="W3207">
        <f>SUM(POTABLE_NONPOTABLE_API[[#This Row],[NONPOTABLE_DEMAND_RESIDENTIAL_RECYCLED_WATER_GAL]:[NONPOTABLE_DEMAND_NONRESIDENTIAL_METERED_IRRIGATION_GAL]])</f>
        <v>43989506</v>
      </c>
      <c r="X3207" t="str">
        <f>IFERROR(INDEX(Crosswalk_API!$H$2:$H$527, MATCH(POTABLE_NONPOTABLE_API[[#This Row],[PWSID]], CW_PWSID_LIST, 0)), "")</f>
        <v>No</v>
      </c>
    </row>
    <row r="3208" spans="1:24" x14ac:dyDescent="0.25">
      <c r="A3208" t="s">
        <v>1681</v>
      </c>
      <c r="B3208" t="s">
        <v>1682</v>
      </c>
      <c r="C3208" t="s">
        <v>1683</v>
      </c>
      <c r="D3208" t="s">
        <v>1684</v>
      </c>
      <c r="E3208" s="9">
        <v>45170</v>
      </c>
      <c r="F3208" s="9">
        <v>45199</v>
      </c>
      <c r="G3208">
        <v>411165876</v>
      </c>
      <c r="H3208">
        <v>39021664</v>
      </c>
      <c r="I3208">
        <v>94927932</v>
      </c>
      <c r="J3208">
        <v>41642656</v>
      </c>
      <c r="K3208">
        <v>0</v>
      </c>
      <c r="L3208">
        <v>186252</v>
      </c>
      <c r="M3208">
        <v>0</v>
      </c>
      <c r="N3208">
        <v>0</v>
      </c>
      <c r="O3208">
        <v>0</v>
      </c>
      <c r="P3208">
        <v>0</v>
      </c>
      <c r="Q3208">
        <v>0</v>
      </c>
      <c r="R3208">
        <v>10133156</v>
      </c>
      <c r="S3208">
        <v>27778476</v>
      </c>
      <c r="T3208" s="9">
        <v>45108</v>
      </c>
      <c r="U3208" s="9">
        <v>45473</v>
      </c>
      <c r="V3208">
        <f>SUM(POTABLE_NONPOTABLE_API[[#This Row],[RESIDENTIAL_SINGLEFAMILY_GAL]:[OTHER_GAL]])</f>
        <v>586944380</v>
      </c>
      <c r="W3208">
        <f>SUM(POTABLE_NONPOTABLE_API[[#This Row],[NONPOTABLE_DEMAND_RESIDENTIAL_RECYCLED_WATER_GAL]:[NONPOTABLE_DEMAND_NONRESIDENTIAL_METERED_IRRIGATION_GAL]])</f>
        <v>37911632</v>
      </c>
      <c r="X3208" t="str">
        <f>IFERROR(INDEX(Crosswalk_API!$H$2:$H$527, MATCH(POTABLE_NONPOTABLE_API[[#This Row],[PWSID]], CW_PWSID_LIST, 0)), "")</f>
        <v>No</v>
      </c>
    </row>
    <row r="3209" spans="1:24" x14ac:dyDescent="0.25">
      <c r="A3209" t="s">
        <v>1681</v>
      </c>
      <c r="B3209" t="s">
        <v>1682</v>
      </c>
      <c r="C3209" t="s">
        <v>1683</v>
      </c>
      <c r="D3209" t="s">
        <v>1684</v>
      </c>
      <c r="E3209" s="9">
        <v>45200</v>
      </c>
      <c r="F3209" s="9">
        <v>45230</v>
      </c>
      <c r="G3209">
        <v>454213276</v>
      </c>
      <c r="H3209">
        <v>133853852</v>
      </c>
      <c r="I3209">
        <v>140100400</v>
      </c>
      <c r="J3209">
        <v>76316944</v>
      </c>
      <c r="K3209">
        <v>0</v>
      </c>
      <c r="L3209">
        <v>1641860</v>
      </c>
      <c r="M3209">
        <v>0</v>
      </c>
      <c r="N3209">
        <v>0</v>
      </c>
      <c r="O3209">
        <v>0</v>
      </c>
      <c r="P3209">
        <v>0</v>
      </c>
      <c r="Q3209">
        <v>0</v>
      </c>
      <c r="R3209">
        <v>5734916</v>
      </c>
      <c r="S3209">
        <v>27778476</v>
      </c>
      <c r="T3209" s="9">
        <v>45108</v>
      </c>
      <c r="U3209" s="9">
        <v>45473</v>
      </c>
      <c r="V3209">
        <f>SUM(POTABLE_NONPOTABLE_API[[#This Row],[RESIDENTIAL_SINGLEFAMILY_GAL]:[OTHER_GAL]])</f>
        <v>806126332</v>
      </c>
      <c r="W3209">
        <f>SUM(POTABLE_NONPOTABLE_API[[#This Row],[NONPOTABLE_DEMAND_RESIDENTIAL_RECYCLED_WATER_GAL]:[NONPOTABLE_DEMAND_NONRESIDENTIAL_METERED_IRRIGATION_GAL]])</f>
        <v>33513392</v>
      </c>
      <c r="X3209" t="str">
        <f>IFERROR(INDEX(Crosswalk_API!$H$2:$H$527, MATCH(POTABLE_NONPOTABLE_API[[#This Row],[PWSID]], CW_PWSID_LIST, 0)), "")</f>
        <v>No</v>
      </c>
    </row>
    <row r="3210" spans="1:24" x14ac:dyDescent="0.25">
      <c r="A3210" t="s">
        <v>1681</v>
      </c>
      <c r="B3210" t="s">
        <v>1682</v>
      </c>
      <c r="C3210" t="s">
        <v>1683</v>
      </c>
      <c r="D3210" t="s">
        <v>1684</v>
      </c>
      <c r="E3210" s="9">
        <v>45231</v>
      </c>
      <c r="F3210" s="9">
        <v>45260</v>
      </c>
      <c r="G3210">
        <v>323749360</v>
      </c>
      <c r="H3210">
        <v>34958528</v>
      </c>
      <c r="I3210">
        <v>76624372</v>
      </c>
      <c r="J3210">
        <v>20747276</v>
      </c>
      <c r="K3210">
        <v>0</v>
      </c>
      <c r="L3210">
        <v>109208</v>
      </c>
      <c r="M3210">
        <v>0</v>
      </c>
      <c r="N3210">
        <v>0</v>
      </c>
      <c r="O3210">
        <v>0</v>
      </c>
      <c r="P3210">
        <v>0</v>
      </c>
      <c r="Q3210">
        <v>0</v>
      </c>
      <c r="R3210">
        <v>830280</v>
      </c>
      <c r="S3210">
        <v>8136370</v>
      </c>
      <c r="T3210" s="9">
        <v>45108</v>
      </c>
      <c r="U3210" s="9">
        <v>45473</v>
      </c>
      <c r="V3210">
        <f>SUM(POTABLE_NONPOTABLE_API[[#This Row],[RESIDENTIAL_SINGLEFAMILY_GAL]:[OTHER_GAL]])</f>
        <v>456188744</v>
      </c>
      <c r="W3210">
        <f>SUM(POTABLE_NONPOTABLE_API[[#This Row],[NONPOTABLE_DEMAND_RESIDENTIAL_RECYCLED_WATER_GAL]:[NONPOTABLE_DEMAND_NONRESIDENTIAL_METERED_IRRIGATION_GAL]])</f>
        <v>8966650</v>
      </c>
      <c r="X3210" t="str">
        <f>IFERROR(INDEX(Crosswalk_API!$H$2:$H$527, MATCH(POTABLE_NONPOTABLE_API[[#This Row],[PWSID]], CW_PWSID_LIST, 0)), "")</f>
        <v>No</v>
      </c>
    </row>
    <row r="3211" spans="1:24" x14ac:dyDescent="0.25">
      <c r="A3211" t="s">
        <v>1681</v>
      </c>
      <c r="B3211" t="s">
        <v>1682</v>
      </c>
      <c r="C3211" t="s">
        <v>1683</v>
      </c>
      <c r="D3211" t="s">
        <v>1684</v>
      </c>
      <c r="E3211" s="9">
        <v>45261</v>
      </c>
      <c r="F3211" s="9">
        <v>45291</v>
      </c>
      <c r="G3211">
        <v>309357840</v>
      </c>
      <c r="H3211">
        <v>122640584</v>
      </c>
      <c r="I3211">
        <v>117139792</v>
      </c>
      <c r="J3211">
        <v>25287636</v>
      </c>
      <c r="K3211">
        <v>0</v>
      </c>
      <c r="L3211">
        <v>700128</v>
      </c>
      <c r="M3211">
        <v>0</v>
      </c>
      <c r="N3211">
        <v>0</v>
      </c>
      <c r="O3211">
        <v>0</v>
      </c>
      <c r="P3211">
        <v>0</v>
      </c>
      <c r="Q3211">
        <v>0</v>
      </c>
      <c r="R3211">
        <v>0</v>
      </c>
      <c r="S3211">
        <v>8136370</v>
      </c>
      <c r="T3211" s="9">
        <v>45108</v>
      </c>
      <c r="U3211" s="9">
        <v>45473</v>
      </c>
      <c r="V3211">
        <f>SUM(POTABLE_NONPOTABLE_API[[#This Row],[RESIDENTIAL_SINGLEFAMILY_GAL]:[OTHER_GAL]])</f>
        <v>575125980</v>
      </c>
      <c r="W3211">
        <f>SUM(POTABLE_NONPOTABLE_API[[#This Row],[NONPOTABLE_DEMAND_RESIDENTIAL_RECYCLED_WATER_GAL]:[NONPOTABLE_DEMAND_NONRESIDENTIAL_METERED_IRRIGATION_GAL]])</f>
        <v>8136370</v>
      </c>
      <c r="X3211" t="str">
        <f>IFERROR(INDEX(Crosswalk_API!$H$2:$H$527, MATCH(POTABLE_NONPOTABLE_API[[#This Row],[PWSID]], CW_PWSID_LIST, 0)), "")</f>
        <v>No</v>
      </c>
    </row>
    <row r="3212" spans="1:24" x14ac:dyDescent="0.25">
      <c r="A3212" t="s">
        <v>1681</v>
      </c>
      <c r="B3212" t="s">
        <v>1682</v>
      </c>
      <c r="C3212" t="s">
        <v>1683</v>
      </c>
      <c r="D3212" t="s">
        <v>1684</v>
      </c>
      <c r="E3212" s="9">
        <v>45292</v>
      </c>
      <c r="F3212" s="9">
        <v>45322</v>
      </c>
      <c r="G3212">
        <v>201268100</v>
      </c>
      <c r="H3212">
        <v>33598664</v>
      </c>
      <c r="I3212">
        <v>66292248</v>
      </c>
      <c r="J3212">
        <v>3462492</v>
      </c>
      <c r="K3212">
        <v>0</v>
      </c>
      <c r="L3212">
        <v>79288</v>
      </c>
      <c r="M3212">
        <v>0</v>
      </c>
      <c r="N3212">
        <v>0</v>
      </c>
      <c r="O3212">
        <v>0</v>
      </c>
      <c r="P3212">
        <v>0</v>
      </c>
      <c r="Q3212">
        <v>0</v>
      </c>
      <c r="R3212">
        <v>0</v>
      </c>
      <c r="S3212">
        <v>2979284</v>
      </c>
      <c r="T3212" s="9">
        <v>45108</v>
      </c>
      <c r="U3212" s="9">
        <v>45473</v>
      </c>
      <c r="V3212">
        <f>SUM(POTABLE_NONPOTABLE_API[[#This Row],[RESIDENTIAL_SINGLEFAMILY_GAL]:[OTHER_GAL]])</f>
        <v>304700792</v>
      </c>
      <c r="W3212">
        <f>SUM(POTABLE_NONPOTABLE_API[[#This Row],[NONPOTABLE_DEMAND_RESIDENTIAL_RECYCLED_WATER_GAL]:[NONPOTABLE_DEMAND_NONRESIDENTIAL_METERED_IRRIGATION_GAL]])</f>
        <v>2979284</v>
      </c>
      <c r="X3212" t="str">
        <f>IFERROR(INDEX(Crosswalk_API!$H$2:$H$527, MATCH(POTABLE_NONPOTABLE_API[[#This Row],[PWSID]], CW_PWSID_LIST, 0)), "")</f>
        <v>No</v>
      </c>
    </row>
    <row r="3213" spans="1:24" x14ac:dyDescent="0.25">
      <c r="A3213" t="s">
        <v>1681</v>
      </c>
      <c r="B3213" t="s">
        <v>1682</v>
      </c>
      <c r="C3213" t="s">
        <v>1683</v>
      </c>
      <c r="D3213" t="s">
        <v>1684</v>
      </c>
      <c r="E3213" s="9">
        <v>45323</v>
      </c>
      <c r="F3213" s="9">
        <v>45351</v>
      </c>
      <c r="G3213">
        <v>217732328</v>
      </c>
      <c r="H3213">
        <v>121800580</v>
      </c>
      <c r="I3213">
        <v>115636312</v>
      </c>
      <c r="J3213">
        <v>5135020</v>
      </c>
      <c r="K3213">
        <v>0</v>
      </c>
      <c r="L3213">
        <v>1298528</v>
      </c>
      <c r="M3213">
        <v>0</v>
      </c>
      <c r="N3213">
        <v>0</v>
      </c>
      <c r="O3213">
        <v>0</v>
      </c>
      <c r="P3213">
        <v>0</v>
      </c>
      <c r="Q3213">
        <v>0</v>
      </c>
      <c r="R3213">
        <v>0</v>
      </c>
      <c r="S3213">
        <v>2979284</v>
      </c>
      <c r="T3213" s="9">
        <v>45108</v>
      </c>
      <c r="U3213" s="9">
        <v>45473</v>
      </c>
      <c r="V3213">
        <f>SUM(POTABLE_NONPOTABLE_API[[#This Row],[RESIDENTIAL_SINGLEFAMILY_GAL]:[OTHER_GAL]])</f>
        <v>461602768</v>
      </c>
      <c r="W3213">
        <f>SUM(POTABLE_NONPOTABLE_API[[#This Row],[NONPOTABLE_DEMAND_RESIDENTIAL_RECYCLED_WATER_GAL]:[NONPOTABLE_DEMAND_NONRESIDENTIAL_METERED_IRRIGATION_GAL]])</f>
        <v>2979284</v>
      </c>
      <c r="X3213" t="str">
        <f>IFERROR(INDEX(Crosswalk_API!$H$2:$H$527, MATCH(POTABLE_NONPOTABLE_API[[#This Row],[PWSID]], CW_PWSID_LIST, 0)), "")</f>
        <v>No</v>
      </c>
    </row>
    <row r="3214" spans="1:24" x14ac:dyDescent="0.25">
      <c r="A3214" t="s">
        <v>1681</v>
      </c>
      <c r="B3214" t="s">
        <v>1682</v>
      </c>
      <c r="C3214" t="s">
        <v>1683</v>
      </c>
      <c r="D3214" t="s">
        <v>1684</v>
      </c>
      <c r="E3214" s="9">
        <v>45352</v>
      </c>
      <c r="F3214" s="9">
        <v>45382</v>
      </c>
      <c r="G3214">
        <v>163881564</v>
      </c>
      <c r="H3214">
        <v>30944012</v>
      </c>
      <c r="I3214">
        <v>67153196</v>
      </c>
      <c r="J3214">
        <v>2253724</v>
      </c>
      <c r="K3214">
        <v>0</v>
      </c>
      <c r="L3214">
        <v>218416</v>
      </c>
      <c r="M3214">
        <v>0</v>
      </c>
      <c r="N3214">
        <v>0</v>
      </c>
      <c r="O3214">
        <v>0</v>
      </c>
      <c r="P3214">
        <v>0</v>
      </c>
      <c r="Q3214">
        <v>0</v>
      </c>
      <c r="R3214">
        <v>0</v>
      </c>
      <c r="S3214">
        <v>3591148</v>
      </c>
      <c r="T3214" s="9">
        <v>45108</v>
      </c>
      <c r="U3214" s="9">
        <v>45473</v>
      </c>
      <c r="V3214">
        <f>SUM(POTABLE_NONPOTABLE_API[[#This Row],[RESIDENTIAL_SINGLEFAMILY_GAL]:[OTHER_GAL]])</f>
        <v>264450912</v>
      </c>
      <c r="W3214">
        <f>SUM(POTABLE_NONPOTABLE_API[[#This Row],[NONPOTABLE_DEMAND_RESIDENTIAL_RECYCLED_WATER_GAL]:[NONPOTABLE_DEMAND_NONRESIDENTIAL_METERED_IRRIGATION_GAL]])</f>
        <v>3591148</v>
      </c>
      <c r="X3214" t="str">
        <f>IFERROR(INDEX(Crosswalk_API!$H$2:$H$527, MATCH(POTABLE_NONPOTABLE_API[[#This Row],[PWSID]], CW_PWSID_LIST, 0)), "")</f>
        <v>No</v>
      </c>
    </row>
    <row r="3215" spans="1:24" x14ac:dyDescent="0.25">
      <c r="A3215" t="s">
        <v>1681</v>
      </c>
      <c r="B3215" t="s">
        <v>1682</v>
      </c>
      <c r="C3215" t="s">
        <v>1683</v>
      </c>
      <c r="D3215" t="s">
        <v>1684</v>
      </c>
      <c r="E3215" s="9">
        <v>45383</v>
      </c>
      <c r="F3215" s="9">
        <v>45412</v>
      </c>
      <c r="G3215">
        <v>204468044</v>
      </c>
      <c r="H3215">
        <v>115377504</v>
      </c>
      <c r="I3215">
        <v>117536980</v>
      </c>
      <c r="J3215">
        <v>6352016</v>
      </c>
      <c r="K3215">
        <v>0</v>
      </c>
      <c r="L3215">
        <v>1371084</v>
      </c>
      <c r="M3215">
        <v>0</v>
      </c>
      <c r="N3215">
        <v>0</v>
      </c>
      <c r="O3215">
        <v>0</v>
      </c>
      <c r="P3215">
        <v>0</v>
      </c>
      <c r="Q3215">
        <v>0</v>
      </c>
      <c r="R3215">
        <v>0</v>
      </c>
      <c r="S3215">
        <v>3591148</v>
      </c>
      <c r="T3215" s="9">
        <v>45108</v>
      </c>
      <c r="U3215" s="9">
        <v>45473</v>
      </c>
      <c r="V3215">
        <f>SUM(POTABLE_NONPOTABLE_API[[#This Row],[RESIDENTIAL_SINGLEFAMILY_GAL]:[OTHER_GAL]])</f>
        <v>445105628</v>
      </c>
      <c r="W3215">
        <f>SUM(POTABLE_NONPOTABLE_API[[#This Row],[NONPOTABLE_DEMAND_RESIDENTIAL_RECYCLED_WATER_GAL]:[NONPOTABLE_DEMAND_NONRESIDENTIAL_METERED_IRRIGATION_GAL]])</f>
        <v>3591148</v>
      </c>
      <c r="X3215" t="str">
        <f>IFERROR(INDEX(Crosswalk_API!$H$2:$H$527, MATCH(POTABLE_NONPOTABLE_API[[#This Row],[PWSID]], CW_PWSID_LIST, 0)), "")</f>
        <v>No</v>
      </c>
    </row>
    <row r="3216" spans="1:24" x14ac:dyDescent="0.25">
      <c r="A3216" t="s">
        <v>1681</v>
      </c>
      <c r="B3216" t="s">
        <v>1682</v>
      </c>
      <c r="C3216" t="s">
        <v>1683</v>
      </c>
      <c r="D3216" t="s">
        <v>1684</v>
      </c>
      <c r="E3216" s="9">
        <v>45413</v>
      </c>
      <c r="F3216" s="9">
        <v>45443</v>
      </c>
      <c r="G3216">
        <v>218962040</v>
      </c>
      <c r="H3216">
        <v>32933692</v>
      </c>
      <c r="I3216">
        <v>77228756</v>
      </c>
      <c r="J3216">
        <v>12560416</v>
      </c>
      <c r="K3216">
        <v>0</v>
      </c>
      <c r="L3216">
        <v>101728</v>
      </c>
      <c r="M3216">
        <v>0</v>
      </c>
      <c r="N3216">
        <v>0</v>
      </c>
      <c r="O3216">
        <v>0</v>
      </c>
      <c r="P3216">
        <v>0</v>
      </c>
      <c r="Q3216">
        <v>0</v>
      </c>
      <c r="R3216">
        <v>3922512</v>
      </c>
      <c r="S3216">
        <v>24239314</v>
      </c>
      <c r="T3216" s="9">
        <v>45108</v>
      </c>
      <c r="U3216" s="9">
        <v>45473</v>
      </c>
      <c r="V3216">
        <f>SUM(POTABLE_NONPOTABLE_API[[#This Row],[RESIDENTIAL_SINGLEFAMILY_GAL]:[OTHER_GAL]])</f>
        <v>341786632</v>
      </c>
      <c r="W3216">
        <f>SUM(POTABLE_NONPOTABLE_API[[#This Row],[NONPOTABLE_DEMAND_RESIDENTIAL_RECYCLED_WATER_GAL]:[NONPOTABLE_DEMAND_NONRESIDENTIAL_METERED_IRRIGATION_GAL]])</f>
        <v>28161826</v>
      </c>
      <c r="X3216" t="str">
        <f>IFERROR(INDEX(Crosswalk_API!$H$2:$H$527, MATCH(POTABLE_NONPOTABLE_API[[#This Row],[PWSID]], CW_PWSID_LIST, 0)), "")</f>
        <v>No</v>
      </c>
    </row>
    <row r="3217" spans="1:24" x14ac:dyDescent="0.25">
      <c r="A3217" t="s">
        <v>1681</v>
      </c>
      <c r="B3217" t="s">
        <v>1682</v>
      </c>
      <c r="C3217" t="s">
        <v>1683</v>
      </c>
      <c r="D3217" t="s">
        <v>1684</v>
      </c>
      <c r="E3217" s="9">
        <v>45444</v>
      </c>
      <c r="F3217" s="9">
        <v>45473</v>
      </c>
      <c r="G3217">
        <v>369476096</v>
      </c>
      <c r="H3217">
        <v>126158428</v>
      </c>
      <c r="I3217">
        <v>134153800</v>
      </c>
      <c r="J3217">
        <v>53872456</v>
      </c>
      <c r="K3217">
        <v>0</v>
      </c>
      <c r="L3217">
        <v>1303016</v>
      </c>
      <c r="M3217">
        <v>0</v>
      </c>
      <c r="N3217">
        <v>0</v>
      </c>
      <c r="O3217">
        <v>0</v>
      </c>
      <c r="P3217">
        <v>0</v>
      </c>
      <c r="Q3217">
        <v>0</v>
      </c>
      <c r="R3217">
        <v>11004576</v>
      </c>
      <c r="S3217">
        <v>24239314</v>
      </c>
      <c r="T3217" s="9">
        <v>45108</v>
      </c>
      <c r="U3217" s="9">
        <v>45473</v>
      </c>
      <c r="V3217">
        <f>SUM(POTABLE_NONPOTABLE_API[[#This Row],[RESIDENTIAL_SINGLEFAMILY_GAL]:[OTHER_GAL]])</f>
        <v>684963796</v>
      </c>
      <c r="W3217">
        <f>SUM(POTABLE_NONPOTABLE_API[[#This Row],[NONPOTABLE_DEMAND_RESIDENTIAL_RECYCLED_WATER_GAL]:[NONPOTABLE_DEMAND_NONRESIDENTIAL_METERED_IRRIGATION_GAL]])</f>
        <v>35243890</v>
      </c>
      <c r="X3217" t="str">
        <f>IFERROR(INDEX(Crosswalk_API!$H$2:$H$527, MATCH(POTABLE_NONPOTABLE_API[[#This Row],[PWSID]], CW_PWSID_LIST, 0)), "")</f>
        <v>No</v>
      </c>
    </row>
    <row r="3218" spans="1:24" x14ac:dyDescent="0.25">
      <c r="A3218" t="s">
        <v>1686</v>
      </c>
      <c r="B3218" t="s">
        <v>1687</v>
      </c>
      <c r="C3218" t="s">
        <v>1688</v>
      </c>
      <c r="D3218" t="s">
        <v>1689</v>
      </c>
      <c r="E3218" s="9">
        <v>45108</v>
      </c>
      <c r="F3218" s="9">
        <v>45138</v>
      </c>
      <c r="G3218">
        <v>36599889</v>
      </c>
      <c r="H3218">
        <v>28256681</v>
      </c>
      <c r="I3218">
        <v>14133106</v>
      </c>
      <c r="J3218">
        <v>12897147</v>
      </c>
      <c r="K3218">
        <v>163075</v>
      </c>
      <c r="L3218">
        <v>84404</v>
      </c>
      <c r="M3218">
        <v>0</v>
      </c>
      <c r="N3218">
        <v>0</v>
      </c>
      <c r="O3218">
        <v>0</v>
      </c>
      <c r="P3218">
        <v>0</v>
      </c>
      <c r="Q3218">
        <v>23653371</v>
      </c>
      <c r="R3218">
        <v>0</v>
      </c>
      <c r="S3218">
        <v>0</v>
      </c>
      <c r="T3218" s="9">
        <v>45108</v>
      </c>
      <c r="U3218" s="9">
        <v>45473</v>
      </c>
      <c r="V3218">
        <f>SUM(POTABLE_NONPOTABLE_API[[#This Row],[RESIDENTIAL_SINGLEFAMILY_GAL]:[OTHER_GAL]])</f>
        <v>92134302</v>
      </c>
      <c r="W3218">
        <f>SUM(POTABLE_NONPOTABLE_API[[#This Row],[NONPOTABLE_DEMAND_RESIDENTIAL_RECYCLED_WATER_GAL]:[NONPOTABLE_DEMAND_NONRESIDENTIAL_METERED_IRRIGATION_GAL]])</f>
        <v>23653371</v>
      </c>
      <c r="X3218" t="str">
        <f>IFERROR(INDEX(Crosswalk_API!$H$2:$H$527, MATCH(POTABLE_NONPOTABLE_API[[#This Row],[PWSID]], CW_PWSID_LIST, 0)), "")</f>
        <v>No</v>
      </c>
    </row>
    <row r="3219" spans="1:24" x14ac:dyDescent="0.25">
      <c r="A3219" t="s">
        <v>1686</v>
      </c>
      <c r="B3219" t="s">
        <v>1687</v>
      </c>
      <c r="C3219" t="s">
        <v>1688</v>
      </c>
      <c r="D3219" t="s">
        <v>1689</v>
      </c>
      <c r="E3219" s="9">
        <v>45139</v>
      </c>
      <c r="F3219" s="9">
        <v>45169</v>
      </c>
      <c r="G3219">
        <v>34587632</v>
      </c>
      <c r="H3219">
        <v>28264509</v>
      </c>
      <c r="I3219">
        <v>15832774</v>
      </c>
      <c r="J3219">
        <v>12949510</v>
      </c>
      <c r="K3219">
        <v>83034</v>
      </c>
      <c r="L3219">
        <v>205003</v>
      </c>
      <c r="M3219">
        <v>0</v>
      </c>
      <c r="N3219">
        <v>0</v>
      </c>
      <c r="O3219">
        <v>0</v>
      </c>
      <c r="P3219">
        <v>0</v>
      </c>
      <c r="Q3219">
        <v>19704410</v>
      </c>
      <c r="R3219">
        <v>0</v>
      </c>
      <c r="S3219">
        <v>0</v>
      </c>
      <c r="T3219" s="9">
        <v>45108</v>
      </c>
      <c r="U3219" s="9">
        <v>45473</v>
      </c>
      <c r="V3219">
        <f>SUM(POTABLE_NONPOTABLE_API[[#This Row],[RESIDENTIAL_SINGLEFAMILY_GAL]:[OTHER_GAL]])</f>
        <v>91922462</v>
      </c>
      <c r="W3219">
        <f>SUM(POTABLE_NONPOTABLE_API[[#This Row],[NONPOTABLE_DEMAND_RESIDENTIAL_RECYCLED_WATER_GAL]:[NONPOTABLE_DEMAND_NONRESIDENTIAL_METERED_IRRIGATION_GAL]])</f>
        <v>19704410</v>
      </c>
      <c r="X3219" t="str">
        <f>IFERROR(INDEX(Crosswalk_API!$H$2:$H$527, MATCH(POTABLE_NONPOTABLE_API[[#This Row],[PWSID]], CW_PWSID_LIST, 0)), "")</f>
        <v>No</v>
      </c>
    </row>
    <row r="3220" spans="1:24" x14ac:dyDescent="0.25">
      <c r="A3220" t="s">
        <v>1686</v>
      </c>
      <c r="B3220" t="s">
        <v>1687</v>
      </c>
      <c r="C3220" t="s">
        <v>1688</v>
      </c>
      <c r="D3220" t="s">
        <v>1689</v>
      </c>
      <c r="E3220" s="9">
        <v>45170</v>
      </c>
      <c r="F3220" s="9">
        <v>45199</v>
      </c>
      <c r="G3220">
        <v>40074586</v>
      </c>
      <c r="H3220">
        <v>33370367</v>
      </c>
      <c r="I3220">
        <v>19679523</v>
      </c>
      <c r="J3220">
        <v>14250371</v>
      </c>
      <c r="K3220">
        <v>94254</v>
      </c>
      <c r="L3220">
        <v>296915</v>
      </c>
      <c r="M3220">
        <v>0</v>
      </c>
      <c r="N3220">
        <v>0</v>
      </c>
      <c r="O3220">
        <v>0</v>
      </c>
      <c r="P3220">
        <v>0</v>
      </c>
      <c r="Q3220">
        <v>14717903</v>
      </c>
      <c r="R3220">
        <v>0</v>
      </c>
      <c r="S3220">
        <v>0</v>
      </c>
      <c r="T3220" s="9">
        <v>45108</v>
      </c>
      <c r="U3220" s="9">
        <v>45473</v>
      </c>
      <c r="V3220">
        <f>SUM(POTABLE_NONPOTABLE_API[[#This Row],[RESIDENTIAL_SINGLEFAMILY_GAL]:[OTHER_GAL]])</f>
        <v>107766016</v>
      </c>
      <c r="W3220">
        <f>SUM(POTABLE_NONPOTABLE_API[[#This Row],[NONPOTABLE_DEMAND_RESIDENTIAL_RECYCLED_WATER_GAL]:[NONPOTABLE_DEMAND_NONRESIDENTIAL_METERED_IRRIGATION_GAL]])</f>
        <v>14717903</v>
      </c>
      <c r="X3220" t="str">
        <f>IFERROR(INDEX(Crosswalk_API!$H$2:$H$527, MATCH(POTABLE_NONPOTABLE_API[[#This Row],[PWSID]], CW_PWSID_LIST, 0)), "")</f>
        <v>No</v>
      </c>
    </row>
    <row r="3221" spans="1:24" x14ac:dyDescent="0.25">
      <c r="A3221" t="s">
        <v>1686</v>
      </c>
      <c r="B3221" t="s">
        <v>1687</v>
      </c>
      <c r="C3221" t="s">
        <v>1688</v>
      </c>
      <c r="D3221" t="s">
        <v>1689</v>
      </c>
      <c r="E3221" s="9">
        <v>45200</v>
      </c>
      <c r="F3221" s="9">
        <v>45230</v>
      </c>
      <c r="G3221">
        <v>33823872</v>
      </c>
      <c r="H3221">
        <v>28954668</v>
      </c>
      <c r="I3221">
        <v>15865456</v>
      </c>
      <c r="J3221">
        <v>11894010</v>
      </c>
      <c r="K3221">
        <v>94254</v>
      </c>
      <c r="L3221">
        <v>171339</v>
      </c>
      <c r="M3221">
        <v>0</v>
      </c>
      <c r="N3221">
        <v>0</v>
      </c>
      <c r="O3221">
        <v>0</v>
      </c>
      <c r="P3221">
        <v>0</v>
      </c>
      <c r="Q3221">
        <v>12628596</v>
      </c>
      <c r="R3221">
        <v>0</v>
      </c>
      <c r="S3221">
        <v>0</v>
      </c>
      <c r="T3221" s="9">
        <v>45108</v>
      </c>
      <c r="U3221" s="9">
        <v>45473</v>
      </c>
      <c r="V3221">
        <f>SUM(POTABLE_NONPOTABLE_API[[#This Row],[RESIDENTIAL_SINGLEFAMILY_GAL]:[OTHER_GAL]])</f>
        <v>90803599</v>
      </c>
      <c r="W3221">
        <f>SUM(POTABLE_NONPOTABLE_API[[#This Row],[NONPOTABLE_DEMAND_RESIDENTIAL_RECYCLED_WATER_GAL]:[NONPOTABLE_DEMAND_NONRESIDENTIAL_METERED_IRRIGATION_GAL]])</f>
        <v>12628596</v>
      </c>
      <c r="X3221" t="str">
        <f>IFERROR(INDEX(Crosswalk_API!$H$2:$H$527, MATCH(POTABLE_NONPOTABLE_API[[#This Row],[PWSID]], CW_PWSID_LIST, 0)), "")</f>
        <v>No</v>
      </c>
    </row>
    <row r="3222" spans="1:24" x14ac:dyDescent="0.25">
      <c r="A3222" t="s">
        <v>1686</v>
      </c>
      <c r="B3222" t="s">
        <v>1687</v>
      </c>
      <c r="C3222" t="s">
        <v>1688</v>
      </c>
      <c r="D3222" t="s">
        <v>1689</v>
      </c>
      <c r="E3222" s="9">
        <v>45231</v>
      </c>
      <c r="F3222" s="9">
        <v>45260</v>
      </c>
      <c r="G3222">
        <v>34650468</v>
      </c>
      <c r="H3222">
        <v>30094142</v>
      </c>
      <c r="I3222">
        <v>15436934</v>
      </c>
      <c r="J3222">
        <v>10988121</v>
      </c>
      <c r="K3222">
        <v>196737</v>
      </c>
      <c r="L3222">
        <v>404815</v>
      </c>
      <c r="M3222">
        <v>0</v>
      </c>
      <c r="N3222">
        <v>0</v>
      </c>
      <c r="O3222">
        <v>0</v>
      </c>
      <c r="P3222">
        <v>0</v>
      </c>
      <c r="Q3222">
        <v>5884917</v>
      </c>
      <c r="R3222">
        <v>0</v>
      </c>
      <c r="S3222">
        <v>0</v>
      </c>
      <c r="T3222" s="9">
        <v>45108</v>
      </c>
      <c r="U3222" s="9">
        <v>45473</v>
      </c>
      <c r="V3222">
        <f>SUM(POTABLE_NONPOTABLE_API[[#This Row],[RESIDENTIAL_SINGLEFAMILY_GAL]:[OTHER_GAL]])</f>
        <v>91771217</v>
      </c>
      <c r="W3222">
        <f>SUM(POTABLE_NONPOTABLE_API[[#This Row],[NONPOTABLE_DEMAND_RESIDENTIAL_RECYCLED_WATER_GAL]:[NONPOTABLE_DEMAND_NONRESIDENTIAL_METERED_IRRIGATION_GAL]])</f>
        <v>5884917</v>
      </c>
      <c r="X3222" t="str">
        <f>IFERROR(INDEX(Crosswalk_API!$H$2:$H$527, MATCH(POTABLE_NONPOTABLE_API[[#This Row],[PWSID]], CW_PWSID_LIST, 0)), "")</f>
        <v>No</v>
      </c>
    </row>
    <row r="3223" spans="1:24" x14ac:dyDescent="0.25">
      <c r="A3223" t="s">
        <v>1686</v>
      </c>
      <c r="B3223" t="s">
        <v>1687</v>
      </c>
      <c r="C3223" t="s">
        <v>1688</v>
      </c>
      <c r="D3223" t="s">
        <v>1689</v>
      </c>
      <c r="E3223" s="9">
        <v>45261</v>
      </c>
      <c r="F3223" s="9">
        <v>45291</v>
      </c>
      <c r="G3223">
        <v>29104419</v>
      </c>
      <c r="H3223">
        <v>23307176</v>
      </c>
      <c r="I3223">
        <v>12278092</v>
      </c>
      <c r="J3223">
        <v>6407056</v>
      </c>
      <c r="K3223">
        <v>70317</v>
      </c>
      <c r="L3223">
        <v>168175</v>
      </c>
      <c r="M3223">
        <v>0</v>
      </c>
      <c r="N3223">
        <v>0</v>
      </c>
      <c r="O3223">
        <v>0</v>
      </c>
      <c r="P3223">
        <v>0</v>
      </c>
      <c r="Q3223">
        <v>2391519</v>
      </c>
      <c r="R3223">
        <v>0</v>
      </c>
      <c r="S3223">
        <v>0</v>
      </c>
      <c r="T3223" s="9">
        <v>45108</v>
      </c>
      <c r="U3223" s="9">
        <v>45473</v>
      </c>
      <c r="V3223">
        <f>SUM(POTABLE_NONPOTABLE_API[[#This Row],[RESIDENTIAL_SINGLEFAMILY_GAL]:[OTHER_GAL]])</f>
        <v>71335235</v>
      </c>
      <c r="W3223">
        <f>SUM(POTABLE_NONPOTABLE_API[[#This Row],[NONPOTABLE_DEMAND_RESIDENTIAL_RECYCLED_WATER_GAL]:[NONPOTABLE_DEMAND_NONRESIDENTIAL_METERED_IRRIGATION_GAL]])</f>
        <v>2391519</v>
      </c>
      <c r="X3223" t="str">
        <f>IFERROR(INDEX(Crosswalk_API!$H$2:$H$527, MATCH(POTABLE_NONPOTABLE_API[[#This Row],[PWSID]], CW_PWSID_LIST, 0)), "")</f>
        <v>No</v>
      </c>
    </row>
    <row r="3224" spans="1:24" x14ac:dyDescent="0.25">
      <c r="A3224" t="s">
        <v>1686</v>
      </c>
      <c r="B3224" t="s">
        <v>1687</v>
      </c>
      <c r="C3224" t="s">
        <v>1688</v>
      </c>
      <c r="D3224" t="s">
        <v>1689</v>
      </c>
      <c r="E3224" s="9">
        <v>45292</v>
      </c>
      <c r="F3224" s="9">
        <v>45322</v>
      </c>
      <c r="G3224">
        <v>27895568.219999999</v>
      </c>
      <c r="H3224">
        <v>20893015.170000002</v>
      </c>
      <c r="I3224">
        <v>9386858.9900000002</v>
      </c>
      <c r="J3224">
        <v>1472164.28</v>
      </c>
      <c r="K3224">
        <v>29922.04</v>
      </c>
      <c r="L3224">
        <v>177516.68</v>
      </c>
      <c r="M3224">
        <v>0</v>
      </c>
      <c r="N3224">
        <v>0</v>
      </c>
      <c r="O3224">
        <v>0</v>
      </c>
      <c r="P3224">
        <v>0</v>
      </c>
      <c r="Q3224">
        <v>746554.85</v>
      </c>
      <c r="R3224">
        <v>0</v>
      </c>
      <c r="T3224" s="9">
        <v>45108</v>
      </c>
      <c r="U3224" s="9">
        <v>45473</v>
      </c>
      <c r="V3224">
        <f>SUM(POTABLE_NONPOTABLE_API[[#This Row],[RESIDENTIAL_SINGLEFAMILY_GAL]:[OTHER_GAL]])</f>
        <v>59855045.380000003</v>
      </c>
      <c r="W3224">
        <f>SUM(POTABLE_NONPOTABLE_API[[#This Row],[NONPOTABLE_DEMAND_RESIDENTIAL_RECYCLED_WATER_GAL]:[NONPOTABLE_DEMAND_NONRESIDENTIAL_METERED_IRRIGATION_GAL]])</f>
        <v>746554.85</v>
      </c>
      <c r="X3224" t="str">
        <f>IFERROR(INDEX(Crosswalk_API!$H$2:$H$527, MATCH(POTABLE_NONPOTABLE_API[[#This Row],[PWSID]], CW_PWSID_LIST, 0)), "")</f>
        <v>No</v>
      </c>
    </row>
    <row r="3225" spans="1:24" x14ac:dyDescent="0.25">
      <c r="A3225" t="s">
        <v>1686</v>
      </c>
      <c r="B3225" t="s">
        <v>1687</v>
      </c>
      <c r="C3225" t="s">
        <v>1688</v>
      </c>
      <c r="D3225" t="s">
        <v>1689</v>
      </c>
      <c r="E3225" s="9">
        <v>45323</v>
      </c>
      <c r="F3225" s="9">
        <v>45351</v>
      </c>
      <c r="G3225">
        <v>28088831.670000002</v>
      </c>
      <c r="H3225">
        <v>24737849.030000001</v>
      </c>
      <c r="I3225">
        <v>11168095.59</v>
      </c>
      <c r="J3225">
        <v>1003884.38</v>
      </c>
      <c r="K3225">
        <v>49371.360000000001</v>
      </c>
      <c r="L3225">
        <v>166128.79999999999</v>
      </c>
      <c r="M3225">
        <v>0</v>
      </c>
      <c r="N3225">
        <v>0</v>
      </c>
      <c r="O3225">
        <v>0</v>
      </c>
      <c r="P3225">
        <v>0</v>
      </c>
      <c r="Q3225">
        <v>130160.87</v>
      </c>
      <c r="R3225">
        <v>0</v>
      </c>
      <c r="S3225">
        <v>0</v>
      </c>
      <c r="T3225" s="9">
        <v>45108</v>
      </c>
      <c r="U3225" s="9">
        <v>45473</v>
      </c>
      <c r="V3225">
        <f>SUM(POTABLE_NONPOTABLE_API[[#This Row],[RESIDENTIAL_SINGLEFAMILY_GAL]:[OTHER_GAL]])</f>
        <v>65214160.830000006</v>
      </c>
      <c r="W3225">
        <f>SUM(POTABLE_NONPOTABLE_API[[#This Row],[NONPOTABLE_DEMAND_RESIDENTIAL_RECYCLED_WATER_GAL]:[NONPOTABLE_DEMAND_NONRESIDENTIAL_METERED_IRRIGATION_GAL]])</f>
        <v>130160.87</v>
      </c>
      <c r="X3225" t="str">
        <f>IFERROR(INDEX(Crosswalk_API!$H$2:$H$527, MATCH(POTABLE_NONPOTABLE_API[[#This Row],[PWSID]], CW_PWSID_LIST, 0)), "")</f>
        <v>No</v>
      </c>
    </row>
    <row r="3226" spans="1:24" x14ac:dyDescent="0.25">
      <c r="A3226" t="s">
        <v>1686</v>
      </c>
      <c r="B3226" t="s">
        <v>1687</v>
      </c>
      <c r="C3226" t="s">
        <v>1688</v>
      </c>
      <c r="D3226" t="s">
        <v>1689</v>
      </c>
      <c r="E3226" s="9">
        <v>45352</v>
      </c>
      <c r="F3226" s="9">
        <v>45382</v>
      </c>
      <c r="G3226">
        <v>25895279.960000001</v>
      </c>
      <c r="H3226">
        <v>21057090.27</v>
      </c>
      <c r="I3226">
        <v>11243200.68</v>
      </c>
      <c r="J3226">
        <v>1442990.3</v>
      </c>
      <c r="K3226">
        <v>126420.61</v>
      </c>
      <c r="L3226">
        <v>168140.32</v>
      </c>
      <c r="M3226">
        <v>0</v>
      </c>
      <c r="N3226">
        <v>0</v>
      </c>
      <c r="O3226">
        <v>0</v>
      </c>
      <c r="P3226">
        <v>0</v>
      </c>
      <c r="Q3226">
        <v>3311621.58</v>
      </c>
      <c r="R3226">
        <v>0</v>
      </c>
      <c r="S3226">
        <v>0</v>
      </c>
      <c r="T3226" s="9">
        <v>45108</v>
      </c>
      <c r="U3226" s="9">
        <v>45473</v>
      </c>
      <c r="V3226">
        <f>SUM(POTABLE_NONPOTABLE_API[[#This Row],[RESIDENTIAL_SINGLEFAMILY_GAL]:[OTHER_GAL]])</f>
        <v>59933122.140000001</v>
      </c>
      <c r="W3226">
        <f>SUM(POTABLE_NONPOTABLE_API[[#This Row],[NONPOTABLE_DEMAND_RESIDENTIAL_RECYCLED_WATER_GAL]:[NONPOTABLE_DEMAND_NONRESIDENTIAL_METERED_IRRIGATION_GAL]])</f>
        <v>3311621.58</v>
      </c>
      <c r="X3226" t="str">
        <f>IFERROR(INDEX(Crosswalk_API!$H$2:$H$527, MATCH(POTABLE_NONPOTABLE_API[[#This Row],[PWSID]], CW_PWSID_LIST, 0)), "")</f>
        <v>No</v>
      </c>
    </row>
    <row r="3227" spans="1:24" x14ac:dyDescent="0.25">
      <c r="A3227" t="s">
        <v>1686</v>
      </c>
      <c r="B3227" t="s">
        <v>1687</v>
      </c>
      <c r="C3227" t="s">
        <v>1688</v>
      </c>
      <c r="D3227" t="s">
        <v>1689</v>
      </c>
      <c r="E3227" s="9">
        <v>45383</v>
      </c>
      <c r="F3227" s="9">
        <v>45412</v>
      </c>
      <c r="G3227">
        <v>26717387.960000001</v>
      </c>
      <c r="H3227">
        <v>22613732.359999999</v>
      </c>
      <c r="I3227">
        <v>12275503.210000001</v>
      </c>
      <c r="J3227">
        <v>3135829.61</v>
      </c>
      <c r="K3227">
        <v>83781.710000000006</v>
      </c>
      <c r="L3227">
        <v>132250.72</v>
      </c>
      <c r="M3227">
        <v>0</v>
      </c>
      <c r="N3227">
        <v>0</v>
      </c>
      <c r="O3227">
        <v>0</v>
      </c>
      <c r="P3227">
        <v>0</v>
      </c>
      <c r="Q3227">
        <v>6701040.4699999997</v>
      </c>
      <c r="R3227">
        <v>0</v>
      </c>
      <c r="S3227">
        <v>0</v>
      </c>
      <c r="T3227" s="9">
        <v>45108</v>
      </c>
      <c r="U3227" s="9">
        <v>45473</v>
      </c>
      <c r="V3227">
        <f>SUM(POTABLE_NONPOTABLE_API[[#This Row],[RESIDENTIAL_SINGLEFAMILY_GAL]:[OTHER_GAL]])</f>
        <v>64958485.57</v>
      </c>
      <c r="W3227">
        <f>SUM(POTABLE_NONPOTABLE_API[[#This Row],[NONPOTABLE_DEMAND_RESIDENTIAL_RECYCLED_WATER_GAL]:[NONPOTABLE_DEMAND_NONRESIDENTIAL_METERED_IRRIGATION_GAL]])</f>
        <v>6701040.4699999997</v>
      </c>
      <c r="X3227" t="str">
        <f>IFERROR(INDEX(Crosswalk_API!$H$2:$H$527, MATCH(POTABLE_NONPOTABLE_API[[#This Row],[PWSID]], CW_PWSID_LIST, 0)), "")</f>
        <v>No</v>
      </c>
    </row>
    <row r="3228" spans="1:24" x14ac:dyDescent="0.25">
      <c r="A3228" t="s">
        <v>1686</v>
      </c>
      <c r="B3228" t="s">
        <v>1687</v>
      </c>
      <c r="C3228" t="s">
        <v>1688</v>
      </c>
      <c r="D3228" t="s">
        <v>1689</v>
      </c>
      <c r="E3228" s="9">
        <v>45413</v>
      </c>
      <c r="F3228" s="9">
        <v>45443</v>
      </c>
      <c r="G3228">
        <v>31884923.969999999</v>
      </c>
      <c r="H3228">
        <v>25319532.670000002</v>
      </c>
      <c r="I3228">
        <v>14823012.82</v>
      </c>
      <c r="J3228">
        <v>7876976.5700000003</v>
      </c>
      <c r="K3228">
        <v>141381.63</v>
      </c>
      <c r="L3228">
        <v>152571</v>
      </c>
      <c r="M3228">
        <v>0</v>
      </c>
      <c r="N3228">
        <v>0</v>
      </c>
      <c r="O3228">
        <v>0</v>
      </c>
      <c r="P3228">
        <v>0</v>
      </c>
      <c r="Q3228">
        <v>13081167.08</v>
      </c>
      <c r="R3228">
        <v>0</v>
      </c>
      <c r="S3228">
        <v>0</v>
      </c>
      <c r="T3228" s="9">
        <v>45108</v>
      </c>
      <c r="U3228" s="9">
        <v>45473</v>
      </c>
      <c r="V3228">
        <f>SUM(POTABLE_NONPOTABLE_API[[#This Row],[RESIDENTIAL_SINGLEFAMILY_GAL]:[OTHER_GAL]])</f>
        <v>80198398.659999996</v>
      </c>
      <c r="W3228">
        <f>SUM(POTABLE_NONPOTABLE_API[[#This Row],[NONPOTABLE_DEMAND_RESIDENTIAL_RECYCLED_WATER_GAL]:[NONPOTABLE_DEMAND_NONRESIDENTIAL_METERED_IRRIGATION_GAL]])</f>
        <v>13081167.08</v>
      </c>
      <c r="X3228" t="str">
        <f>IFERROR(INDEX(Crosswalk_API!$H$2:$H$527, MATCH(POTABLE_NONPOTABLE_API[[#This Row],[PWSID]], CW_PWSID_LIST, 0)), "")</f>
        <v>No</v>
      </c>
    </row>
    <row r="3229" spans="1:24" x14ac:dyDescent="0.25">
      <c r="A3229" t="s">
        <v>1686</v>
      </c>
      <c r="B3229" t="s">
        <v>1687</v>
      </c>
      <c r="C3229" t="s">
        <v>1688</v>
      </c>
      <c r="D3229" t="s">
        <v>1689</v>
      </c>
      <c r="E3229" s="9">
        <v>45444</v>
      </c>
      <c r="F3229" s="9">
        <v>45473</v>
      </c>
      <c r="G3229">
        <v>40783738.149999999</v>
      </c>
      <c r="H3229">
        <v>33498173.780000001</v>
      </c>
      <c r="I3229">
        <v>17891777.579999998</v>
      </c>
      <c r="J3229">
        <v>12570996.33</v>
      </c>
      <c r="K3229">
        <v>201973.76000000001</v>
      </c>
      <c r="L3229">
        <v>232725.92</v>
      </c>
      <c r="M3229">
        <v>0</v>
      </c>
      <c r="N3229">
        <v>0</v>
      </c>
      <c r="O3229">
        <v>0</v>
      </c>
      <c r="P3229">
        <v>0</v>
      </c>
      <c r="Q3229">
        <v>22974889.030000001</v>
      </c>
      <c r="R3229">
        <v>0</v>
      </c>
      <c r="S3229">
        <v>0</v>
      </c>
      <c r="T3229" s="9">
        <v>45108</v>
      </c>
      <c r="U3229" s="9">
        <v>45473</v>
      </c>
      <c r="V3229">
        <f>SUM(POTABLE_NONPOTABLE_API[[#This Row],[RESIDENTIAL_SINGLEFAMILY_GAL]:[OTHER_GAL]])</f>
        <v>105179385.52000001</v>
      </c>
      <c r="W3229">
        <f>SUM(POTABLE_NONPOTABLE_API[[#This Row],[NONPOTABLE_DEMAND_RESIDENTIAL_RECYCLED_WATER_GAL]:[NONPOTABLE_DEMAND_NONRESIDENTIAL_METERED_IRRIGATION_GAL]])</f>
        <v>22974889.030000001</v>
      </c>
      <c r="X3229" t="str">
        <f>IFERROR(INDEX(Crosswalk_API!$H$2:$H$527, MATCH(POTABLE_NONPOTABLE_API[[#This Row],[PWSID]], CW_PWSID_LIST, 0)), "")</f>
        <v>No</v>
      </c>
    </row>
    <row r="3230" spans="1:24" x14ac:dyDescent="0.25">
      <c r="A3230" t="s">
        <v>1690</v>
      </c>
      <c r="B3230" t="s">
        <v>1691</v>
      </c>
      <c r="C3230" t="s">
        <v>1692</v>
      </c>
      <c r="D3230" t="s">
        <v>1693</v>
      </c>
      <c r="E3230" s="9">
        <v>45108</v>
      </c>
      <c r="F3230" s="9">
        <v>45138</v>
      </c>
      <c r="G3230">
        <v>70466000</v>
      </c>
      <c r="H3230">
        <v>11893000</v>
      </c>
      <c r="I3230">
        <v>20525000</v>
      </c>
      <c r="J3230">
        <v>12739000</v>
      </c>
      <c r="K3230">
        <v>5749000</v>
      </c>
      <c r="L3230">
        <v>19284000</v>
      </c>
      <c r="M3230">
        <v>0</v>
      </c>
      <c r="T3230" s="9">
        <v>45108</v>
      </c>
      <c r="U3230" s="9">
        <v>45473</v>
      </c>
      <c r="V3230">
        <f>SUM(POTABLE_NONPOTABLE_API[[#This Row],[RESIDENTIAL_SINGLEFAMILY_GAL]:[OTHER_GAL]])</f>
        <v>140656000</v>
      </c>
      <c r="W3230">
        <f>SUM(POTABLE_NONPOTABLE_API[[#This Row],[NONPOTABLE_DEMAND_RESIDENTIAL_RECYCLED_WATER_GAL]:[NONPOTABLE_DEMAND_NONRESIDENTIAL_METERED_IRRIGATION_GAL]])</f>
        <v>0</v>
      </c>
      <c r="X3230" t="str">
        <f>IFERROR(INDEX(Crosswalk_API!$H$2:$H$527, MATCH(POTABLE_NONPOTABLE_API[[#This Row],[PWSID]], CW_PWSID_LIST, 0)), "")</f>
        <v>No</v>
      </c>
    </row>
    <row r="3231" spans="1:24" x14ac:dyDescent="0.25">
      <c r="A3231" t="s">
        <v>1690</v>
      </c>
      <c r="B3231" t="s">
        <v>1691</v>
      </c>
      <c r="C3231" t="s">
        <v>1692</v>
      </c>
      <c r="D3231" t="s">
        <v>1693</v>
      </c>
      <c r="E3231" s="9">
        <v>45139</v>
      </c>
      <c r="F3231" s="9">
        <v>45169</v>
      </c>
      <c r="G3231">
        <v>77325000</v>
      </c>
      <c r="H3231">
        <v>12413000</v>
      </c>
      <c r="I3231">
        <v>23430000</v>
      </c>
      <c r="J3231">
        <v>14994000</v>
      </c>
      <c r="K3231">
        <v>6457000</v>
      </c>
      <c r="L3231">
        <v>19676000</v>
      </c>
      <c r="M3231">
        <v>0</v>
      </c>
      <c r="T3231" s="9">
        <v>45108</v>
      </c>
      <c r="U3231" s="9">
        <v>45473</v>
      </c>
      <c r="V3231">
        <f>SUM(POTABLE_NONPOTABLE_API[[#This Row],[RESIDENTIAL_SINGLEFAMILY_GAL]:[OTHER_GAL]])</f>
        <v>154295000</v>
      </c>
      <c r="W3231">
        <f>SUM(POTABLE_NONPOTABLE_API[[#This Row],[NONPOTABLE_DEMAND_RESIDENTIAL_RECYCLED_WATER_GAL]:[NONPOTABLE_DEMAND_NONRESIDENTIAL_METERED_IRRIGATION_GAL]])</f>
        <v>0</v>
      </c>
      <c r="X3231" t="str">
        <f>IFERROR(INDEX(Crosswalk_API!$H$2:$H$527, MATCH(POTABLE_NONPOTABLE_API[[#This Row],[PWSID]], CW_PWSID_LIST, 0)), "")</f>
        <v>No</v>
      </c>
    </row>
    <row r="3232" spans="1:24" x14ac:dyDescent="0.25">
      <c r="A3232" t="s">
        <v>1690</v>
      </c>
      <c r="B3232" t="s">
        <v>1691</v>
      </c>
      <c r="C3232" t="s">
        <v>1692</v>
      </c>
      <c r="D3232" t="s">
        <v>1693</v>
      </c>
      <c r="E3232" s="9">
        <v>45170</v>
      </c>
      <c r="F3232" s="9">
        <v>45199</v>
      </c>
      <c r="G3232">
        <v>70991000</v>
      </c>
      <c r="H3232">
        <v>11980000</v>
      </c>
      <c r="I3232">
        <v>22863000</v>
      </c>
      <c r="J3232">
        <v>12240000</v>
      </c>
      <c r="K3232">
        <v>4509000</v>
      </c>
      <c r="L3232">
        <v>16951000</v>
      </c>
      <c r="M3232">
        <v>0</v>
      </c>
      <c r="T3232" s="9">
        <v>45108</v>
      </c>
      <c r="U3232" s="9">
        <v>45473</v>
      </c>
      <c r="V3232">
        <f>SUM(POTABLE_NONPOTABLE_API[[#This Row],[RESIDENTIAL_SINGLEFAMILY_GAL]:[OTHER_GAL]])</f>
        <v>139534000</v>
      </c>
      <c r="W3232">
        <f>SUM(POTABLE_NONPOTABLE_API[[#This Row],[NONPOTABLE_DEMAND_RESIDENTIAL_RECYCLED_WATER_GAL]:[NONPOTABLE_DEMAND_NONRESIDENTIAL_METERED_IRRIGATION_GAL]])</f>
        <v>0</v>
      </c>
      <c r="X3232" t="str">
        <f>IFERROR(INDEX(Crosswalk_API!$H$2:$H$527, MATCH(POTABLE_NONPOTABLE_API[[#This Row],[PWSID]], CW_PWSID_LIST, 0)), "")</f>
        <v>No</v>
      </c>
    </row>
    <row r="3233" spans="1:24" x14ac:dyDescent="0.25">
      <c r="A3233" t="s">
        <v>1690</v>
      </c>
      <c r="B3233" t="s">
        <v>1691</v>
      </c>
      <c r="C3233" t="s">
        <v>1692</v>
      </c>
      <c r="D3233" t="s">
        <v>1693</v>
      </c>
      <c r="E3233" s="9">
        <v>45200</v>
      </c>
      <c r="F3233" s="9">
        <v>45230</v>
      </c>
      <c r="G3233">
        <v>62153000</v>
      </c>
      <c r="H3233">
        <v>11840000</v>
      </c>
      <c r="I3233">
        <v>20113000</v>
      </c>
      <c r="J3233">
        <v>9378000</v>
      </c>
      <c r="K3233">
        <v>3839000</v>
      </c>
      <c r="L3233">
        <v>14313000</v>
      </c>
      <c r="M3233">
        <v>0</v>
      </c>
      <c r="T3233" s="9">
        <v>45108</v>
      </c>
      <c r="U3233" s="9">
        <v>45473</v>
      </c>
      <c r="V3233">
        <f>SUM(POTABLE_NONPOTABLE_API[[#This Row],[RESIDENTIAL_SINGLEFAMILY_GAL]:[OTHER_GAL]])</f>
        <v>121636000</v>
      </c>
      <c r="W3233">
        <f>SUM(POTABLE_NONPOTABLE_API[[#This Row],[NONPOTABLE_DEMAND_RESIDENTIAL_RECYCLED_WATER_GAL]:[NONPOTABLE_DEMAND_NONRESIDENTIAL_METERED_IRRIGATION_GAL]])</f>
        <v>0</v>
      </c>
      <c r="X3233" t="str">
        <f>IFERROR(INDEX(Crosswalk_API!$H$2:$H$527, MATCH(POTABLE_NONPOTABLE_API[[#This Row],[PWSID]], CW_PWSID_LIST, 0)), "")</f>
        <v>No</v>
      </c>
    </row>
    <row r="3234" spans="1:24" x14ac:dyDescent="0.25">
      <c r="A3234" t="s">
        <v>1690</v>
      </c>
      <c r="B3234" t="s">
        <v>1691</v>
      </c>
      <c r="C3234" t="s">
        <v>1692</v>
      </c>
      <c r="D3234" t="s">
        <v>1693</v>
      </c>
      <c r="E3234" s="9">
        <v>45231</v>
      </c>
      <c r="F3234" s="9">
        <v>45260</v>
      </c>
      <c r="G3234">
        <v>50497000</v>
      </c>
      <c r="H3234">
        <v>9963000</v>
      </c>
      <c r="I3234">
        <v>16015000</v>
      </c>
      <c r="J3234">
        <v>8295999.9999999991</v>
      </c>
      <c r="K3234">
        <v>2987000</v>
      </c>
      <c r="L3234">
        <v>9560000</v>
      </c>
      <c r="M3234">
        <v>0</v>
      </c>
      <c r="T3234" s="9">
        <v>45108</v>
      </c>
      <c r="U3234" s="9">
        <v>45473</v>
      </c>
      <c r="V3234">
        <f>SUM(POTABLE_NONPOTABLE_API[[#This Row],[RESIDENTIAL_SINGLEFAMILY_GAL]:[OTHER_GAL]])</f>
        <v>97318000</v>
      </c>
      <c r="W3234">
        <f>SUM(POTABLE_NONPOTABLE_API[[#This Row],[NONPOTABLE_DEMAND_RESIDENTIAL_RECYCLED_WATER_GAL]:[NONPOTABLE_DEMAND_NONRESIDENTIAL_METERED_IRRIGATION_GAL]])</f>
        <v>0</v>
      </c>
      <c r="X3234" t="str">
        <f>IFERROR(INDEX(Crosswalk_API!$H$2:$H$527, MATCH(POTABLE_NONPOTABLE_API[[#This Row],[PWSID]], CW_PWSID_LIST, 0)), "")</f>
        <v>No</v>
      </c>
    </row>
    <row r="3235" spans="1:24" x14ac:dyDescent="0.25">
      <c r="A3235" t="s">
        <v>1690</v>
      </c>
      <c r="B3235" t="s">
        <v>1691</v>
      </c>
      <c r="C3235" t="s">
        <v>1692</v>
      </c>
      <c r="D3235" t="s">
        <v>1693</v>
      </c>
      <c r="E3235" s="9">
        <v>45261</v>
      </c>
      <c r="F3235" s="9">
        <v>45291</v>
      </c>
      <c r="G3235">
        <v>42417000</v>
      </c>
      <c r="H3235">
        <v>12504000</v>
      </c>
      <c r="I3235">
        <v>16995000</v>
      </c>
      <c r="J3235">
        <v>4652000</v>
      </c>
      <c r="K3235">
        <v>3377000</v>
      </c>
      <c r="L3235">
        <v>4863000</v>
      </c>
      <c r="M3235">
        <v>0</v>
      </c>
      <c r="T3235" s="9">
        <v>45108</v>
      </c>
      <c r="U3235" s="9">
        <v>45473</v>
      </c>
      <c r="V3235">
        <f>SUM(POTABLE_NONPOTABLE_API[[#This Row],[RESIDENTIAL_SINGLEFAMILY_GAL]:[OTHER_GAL]])</f>
        <v>84808000</v>
      </c>
      <c r="W3235">
        <f>SUM(POTABLE_NONPOTABLE_API[[#This Row],[NONPOTABLE_DEMAND_RESIDENTIAL_RECYCLED_WATER_GAL]:[NONPOTABLE_DEMAND_NONRESIDENTIAL_METERED_IRRIGATION_GAL]])</f>
        <v>0</v>
      </c>
      <c r="X3235" t="str">
        <f>IFERROR(INDEX(Crosswalk_API!$H$2:$H$527, MATCH(POTABLE_NONPOTABLE_API[[#This Row],[PWSID]], CW_PWSID_LIST, 0)), "")</f>
        <v>No</v>
      </c>
    </row>
    <row r="3236" spans="1:24" x14ac:dyDescent="0.25">
      <c r="A3236" t="s">
        <v>1690</v>
      </c>
      <c r="B3236" t="s">
        <v>1691</v>
      </c>
      <c r="C3236" t="s">
        <v>1692</v>
      </c>
      <c r="D3236" t="s">
        <v>1693</v>
      </c>
      <c r="E3236" s="9">
        <v>45292</v>
      </c>
      <c r="F3236" s="9">
        <v>45322</v>
      </c>
      <c r="G3236">
        <v>39333000</v>
      </c>
      <c r="H3236">
        <v>10711000</v>
      </c>
      <c r="I3236">
        <v>17377000</v>
      </c>
      <c r="J3236">
        <v>2663000</v>
      </c>
      <c r="K3236">
        <v>4212000</v>
      </c>
      <c r="L3236">
        <v>5925000</v>
      </c>
      <c r="M3236">
        <v>0</v>
      </c>
      <c r="T3236" s="9">
        <v>45108</v>
      </c>
      <c r="U3236" s="9">
        <v>45473</v>
      </c>
      <c r="V3236">
        <f>SUM(POTABLE_NONPOTABLE_API[[#This Row],[RESIDENTIAL_SINGLEFAMILY_GAL]:[OTHER_GAL]])</f>
        <v>80221000</v>
      </c>
      <c r="W3236">
        <f>SUM(POTABLE_NONPOTABLE_API[[#This Row],[NONPOTABLE_DEMAND_RESIDENTIAL_RECYCLED_WATER_GAL]:[NONPOTABLE_DEMAND_NONRESIDENTIAL_METERED_IRRIGATION_GAL]])</f>
        <v>0</v>
      </c>
      <c r="X3236" t="str">
        <f>IFERROR(INDEX(Crosswalk_API!$H$2:$H$527, MATCH(POTABLE_NONPOTABLE_API[[#This Row],[PWSID]], CW_PWSID_LIST, 0)), "")</f>
        <v>No</v>
      </c>
    </row>
    <row r="3237" spans="1:24" x14ac:dyDescent="0.25">
      <c r="A3237" t="s">
        <v>1690</v>
      </c>
      <c r="B3237" t="s">
        <v>1691</v>
      </c>
      <c r="C3237" t="s">
        <v>1692</v>
      </c>
      <c r="D3237" t="s">
        <v>1693</v>
      </c>
      <c r="E3237" s="9">
        <v>45323</v>
      </c>
      <c r="F3237" s="9">
        <v>45351</v>
      </c>
      <c r="G3237">
        <v>31049000</v>
      </c>
      <c r="H3237">
        <v>9153000</v>
      </c>
      <c r="I3237">
        <v>14155000</v>
      </c>
      <c r="J3237">
        <v>1676000</v>
      </c>
      <c r="K3237">
        <v>3480000</v>
      </c>
      <c r="L3237">
        <v>2891000</v>
      </c>
      <c r="M3237">
        <v>0</v>
      </c>
      <c r="T3237" s="9">
        <v>45108</v>
      </c>
      <c r="U3237" s="9">
        <v>45473</v>
      </c>
      <c r="V3237">
        <f>SUM(POTABLE_NONPOTABLE_API[[#This Row],[RESIDENTIAL_SINGLEFAMILY_GAL]:[OTHER_GAL]])</f>
        <v>62404000</v>
      </c>
      <c r="W3237">
        <f>SUM(POTABLE_NONPOTABLE_API[[#This Row],[NONPOTABLE_DEMAND_RESIDENTIAL_RECYCLED_WATER_GAL]:[NONPOTABLE_DEMAND_NONRESIDENTIAL_METERED_IRRIGATION_GAL]])</f>
        <v>0</v>
      </c>
      <c r="X3237" t="str">
        <f>IFERROR(INDEX(Crosswalk_API!$H$2:$H$527, MATCH(POTABLE_NONPOTABLE_API[[#This Row],[PWSID]], CW_PWSID_LIST, 0)), "")</f>
        <v>No</v>
      </c>
    </row>
    <row r="3238" spans="1:24" x14ac:dyDescent="0.25">
      <c r="A3238" t="s">
        <v>1690</v>
      </c>
      <c r="B3238" t="s">
        <v>1691</v>
      </c>
      <c r="C3238" t="s">
        <v>1692</v>
      </c>
      <c r="D3238" t="s">
        <v>1693</v>
      </c>
      <c r="E3238" s="9">
        <v>45352</v>
      </c>
      <c r="F3238" s="9">
        <v>45382</v>
      </c>
      <c r="G3238">
        <v>34455000</v>
      </c>
      <c r="H3238">
        <v>9457000</v>
      </c>
      <c r="I3238">
        <v>14888000</v>
      </c>
      <c r="J3238">
        <v>1732000</v>
      </c>
      <c r="K3238">
        <v>3415000</v>
      </c>
      <c r="L3238">
        <v>5981000</v>
      </c>
      <c r="M3238">
        <v>0</v>
      </c>
      <c r="T3238" s="9">
        <v>45108</v>
      </c>
      <c r="U3238" s="9">
        <v>45473</v>
      </c>
      <c r="V3238">
        <f>SUM(POTABLE_NONPOTABLE_API[[#This Row],[RESIDENTIAL_SINGLEFAMILY_GAL]:[OTHER_GAL]])</f>
        <v>69928000</v>
      </c>
      <c r="W3238">
        <f>SUM(POTABLE_NONPOTABLE_API[[#This Row],[NONPOTABLE_DEMAND_RESIDENTIAL_RECYCLED_WATER_GAL]:[NONPOTABLE_DEMAND_NONRESIDENTIAL_METERED_IRRIGATION_GAL]])</f>
        <v>0</v>
      </c>
      <c r="X3238" t="str">
        <f>IFERROR(INDEX(Crosswalk_API!$H$2:$H$527, MATCH(POTABLE_NONPOTABLE_API[[#This Row],[PWSID]], CW_PWSID_LIST, 0)), "")</f>
        <v>No</v>
      </c>
    </row>
    <row r="3239" spans="1:24" x14ac:dyDescent="0.25">
      <c r="A3239" t="s">
        <v>1690</v>
      </c>
      <c r="B3239" t="s">
        <v>1691</v>
      </c>
      <c r="C3239" t="s">
        <v>1692</v>
      </c>
      <c r="D3239" t="s">
        <v>1693</v>
      </c>
      <c r="E3239" s="9">
        <v>45383</v>
      </c>
      <c r="F3239" s="9">
        <v>45412</v>
      </c>
      <c r="G3239">
        <v>39063000</v>
      </c>
      <c r="H3239">
        <v>9463000</v>
      </c>
      <c r="I3239">
        <v>14407000</v>
      </c>
      <c r="J3239">
        <v>3469000</v>
      </c>
      <c r="K3239">
        <v>3425000</v>
      </c>
      <c r="L3239">
        <v>5933000</v>
      </c>
      <c r="M3239">
        <v>0</v>
      </c>
      <c r="T3239" s="9">
        <v>45108</v>
      </c>
      <c r="U3239" s="9">
        <v>45473</v>
      </c>
      <c r="V3239">
        <f>SUM(POTABLE_NONPOTABLE_API[[#This Row],[RESIDENTIAL_SINGLEFAMILY_GAL]:[OTHER_GAL]])</f>
        <v>75760000</v>
      </c>
      <c r="W3239">
        <f>SUM(POTABLE_NONPOTABLE_API[[#This Row],[NONPOTABLE_DEMAND_RESIDENTIAL_RECYCLED_WATER_GAL]:[NONPOTABLE_DEMAND_NONRESIDENTIAL_METERED_IRRIGATION_GAL]])</f>
        <v>0</v>
      </c>
      <c r="X3239" t="str">
        <f>IFERROR(INDEX(Crosswalk_API!$H$2:$H$527, MATCH(POTABLE_NONPOTABLE_API[[#This Row],[PWSID]], CW_PWSID_LIST, 0)), "")</f>
        <v>No</v>
      </c>
    </row>
    <row r="3240" spans="1:24" x14ac:dyDescent="0.25">
      <c r="A3240" t="s">
        <v>1690</v>
      </c>
      <c r="B3240" t="s">
        <v>1691</v>
      </c>
      <c r="C3240" t="s">
        <v>1692</v>
      </c>
      <c r="D3240" t="s">
        <v>1693</v>
      </c>
      <c r="E3240" s="9">
        <v>45413</v>
      </c>
      <c r="F3240" s="9">
        <v>45443</v>
      </c>
      <c r="G3240">
        <v>50593000</v>
      </c>
      <c r="H3240">
        <v>10180000</v>
      </c>
      <c r="I3240">
        <v>18287000</v>
      </c>
      <c r="J3240">
        <v>6733000</v>
      </c>
      <c r="K3240">
        <v>3933000</v>
      </c>
      <c r="L3240">
        <v>6419000</v>
      </c>
      <c r="M3240">
        <v>0</v>
      </c>
      <c r="T3240" s="9">
        <v>45108</v>
      </c>
      <c r="U3240" s="9">
        <v>45473</v>
      </c>
      <c r="V3240">
        <f>SUM(POTABLE_NONPOTABLE_API[[#This Row],[RESIDENTIAL_SINGLEFAMILY_GAL]:[OTHER_GAL]])</f>
        <v>96145000</v>
      </c>
      <c r="W3240">
        <f>SUM(POTABLE_NONPOTABLE_API[[#This Row],[NONPOTABLE_DEMAND_RESIDENTIAL_RECYCLED_WATER_GAL]:[NONPOTABLE_DEMAND_NONRESIDENTIAL_METERED_IRRIGATION_GAL]])</f>
        <v>0</v>
      </c>
      <c r="X3240" t="str">
        <f>IFERROR(INDEX(Crosswalk_API!$H$2:$H$527, MATCH(POTABLE_NONPOTABLE_API[[#This Row],[PWSID]], CW_PWSID_LIST, 0)), "")</f>
        <v>No</v>
      </c>
    </row>
    <row r="3241" spans="1:24" x14ac:dyDescent="0.25">
      <c r="A3241" t="s">
        <v>1690</v>
      </c>
      <c r="B3241" t="s">
        <v>1691</v>
      </c>
      <c r="C3241" t="s">
        <v>1692</v>
      </c>
      <c r="D3241" t="s">
        <v>1693</v>
      </c>
      <c r="E3241" s="9">
        <v>45444</v>
      </c>
      <c r="F3241" s="9">
        <v>45473</v>
      </c>
      <c r="G3241">
        <v>67741000</v>
      </c>
      <c r="H3241">
        <v>11032000</v>
      </c>
      <c r="I3241">
        <v>19713000</v>
      </c>
      <c r="J3241">
        <v>14001000</v>
      </c>
      <c r="K3241">
        <v>4120000</v>
      </c>
      <c r="L3241">
        <v>15495000</v>
      </c>
      <c r="M3241">
        <v>0</v>
      </c>
      <c r="T3241" s="9">
        <v>45108</v>
      </c>
      <c r="U3241" s="9">
        <v>45473</v>
      </c>
      <c r="V3241">
        <f>SUM(POTABLE_NONPOTABLE_API[[#This Row],[RESIDENTIAL_SINGLEFAMILY_GAL]:[OTHER_GAL]])</f>
        <v>132102000</v>
      </c>
      <c r="W3241">
        <f>SUM(POTABLE_NONPOTABLE_API[[#This Row],[NONPOTABLE_DEMAND_RESIDENTIAL_RECYCLED_WATER_GAL]:[NONPOTABLE_DEMAND_NONRESIDENTIAL_METERED_IRRIGATION_GAL]])</f>
        <v>0</v>
      </c>
      <c r="X3241" t="str">
        <f>IFERROR(INDEX(Crosswalk_API!$H$2:$H$527, MATCH(POTABLE_NONPOTABLE_API[[#This Row],[PWSID]], CW_PWSID_LIST, 0)), "")</f>
        <v>No</v>
      </c>
    </row>
    <row r="3242" spans="1:24" x14ac:dyDescent="0.25">
      <c r="A3242" t="s">
        <v>1694</v>
      </c>
      <c r="B3242" t="s">
        <v>1695</v>
      </c>
      <c r="C3242" t="s">
        <v>1696</v>
      </c>
      <c r="D3242" t="s">
        <v>1697</v>
      </c>
      <c r="E3242" s="9">
        <v>45108</v>
      </c>
      <c r="F3242" s="9">
        <v>45138</v>
      </c>
      <c r="G3242">
        <v>26229000</v>
      </c>
      <c r="H3242">
        <v>7311000</v>
      </c>
      <c r="I3242">
        <v>4459000</v>
      </c>
      <c r="J3242">
        <v>0</v>
      </c>
      <c r="K3242">
        <v>0</v>
      </c>
      <c r="L3242">
        <v>2248000</v>
      </c>
      <c r="M3242">
        <v>0</v>
      </c>
      <c r="T3242" s="9">
        <v>45108</v>
      </c>
      <c r="U3242" s="9">
        <v>45473</v>
      </c>
      <c r="V3242">
        <f>SUM(POTABLE_NONPOTABLE_API[[#This Row],[RESIDENTIAL_SINGLEFAMILY_GAL]:[OTHER_GAL]])</f>
        <v>40247000</v>
      </c>
      <c r="W3242">
        <f>SUM(POTABLE_NONPOTABLE_API[[#This Row],[NONPOTABLE_DEMAND_RESIDENTIAL_RECYCLED_WATER_GAL]:[NONPOTABLE_DEMAND_NONRESIDENTIAL_METERED_IRRIGATION_GAL]])</f>
        <v>0</v>
      </c>
      <c r="X3242" t="str">
        <f>IFERROR(INDEX(Crosswalk_API!$H$2:$H$527, MATCH(POTABLE_NONPOTABLE_API[[#This Row],[PWSID]], CW_PWSID_LIST, 0)), "")</f>
        <v>No</v>
      </c>
    </row>
    <row r="3243" spans="1:24" x14ac:dyDescent="0.25">
      <c r="A3243" t="s">
        <v>1694</v>
      </c>
      <c r="B3243" t="s">
        <v>1695</v>
      </c>
      <c r="C3243" t="s">
        <v>1696</v>
      </c>
      <c r="D3243" t="s">
        <v>1697</v>
      </c>
      <c r="E3243" s="9">
        <v>45139</v>
      </c>
      <c r="F3243" s="9">
        <v>45169</v>
      </c>
      <c r="G3243">
        <v>28075367</v>
      </c>
      <c r="H3243">
        <v>8095924</v>
      </c>
      <c r="I3243">
        <v>4473296</v>
      </c>
      <c r="J3243">
        <v>0</v>
      </c>
      <c r="K3243">
        <v>0</v>
      </c>
      <c r="L3243">
        <v>2628194</v>
      </c>
      <c r="M3243">
        <v>0</v>
      </c>
      <c r="T3243" s="9">
        <v>45108</v>
      </c>
      <c r="U3243" s="9">
        <v>45473</v>
      </c>
      <c r="V3243">
        <f>SUM(POTABLE_NONPOTABLE_API[[#This Row],[RESIDENTIAL_SINGLEFAMILY_GAL]:[OTHER_GAL]])</f>
        <v>43272781</v>
      </c>
      <c r="W3243">
        <f>SUM(POTABLE_NONPOTABLE_API[[#This Row],[NONPOTABLE_DEMAND_RESIDENTIAL_RECYCLED_WATER_GAL]:[NONPOTABLE_DEMAND_NONRESIDENTIAL_METERED_IRRIGATION_GAL]])</f>
        <v>0</v>
      </c>
      <c r="X3243" t="str">
        <f>IFERROR(INDEX(Crosswalk_API!$H$2:$H$527, MATCH(POTABLE_NONPOTABLE_API[[#This Row],[PWSID]], CW_PWSID_LIST, 0)), "")</f>
        <v>No</v>
      </c>
    </row>
    <row r="3244" spans="1:24" x14ac:dyDescent="0.25">
      <c r="A3244" t="s">
        <v>1694</v>
      </c>
      <c r="B3244" t="s">
        <v>1695</v>
      </c>
      <c r="C3244" t="s">
        <v>1696</v>
      </c>
      <c r="D3244" t="s">
        <v>1697</v>
      </c>
      <c r="E3244" s="9">
        <v>45170</v>
      </c>
      <c r="F3244" s="9">
        <v>45199</v>
      </c>
      <c r="G3244">
        <v>26646000</v>
      </c>
      <c r="H3244">
        <v>8145000</v>
      </c>
      <c r="I3244">
        <v>4733000</v>
      </c>
      <c r="J3244">
        <v>0</v>
      </c>
      <c r="K3244">
        <v>0</v>
      </c>
      <c r="L3244">
        <v>2371000</v>
      </c>
      <c r="M3244">
        <v>0</v>
      </c>
      <c r="T3244" s="9">
        <v>45108</v>
      </c>
      <c r="U3244" s="9">
        <v>45473</v>
      </c>
      <c r="V3244">
        <f>SUM(POTABLE_NONPOTABLE_API[[#This Row],[RESIDENTIAL_SINGLEFAMILY_GAL]:[OTHER_GAL]])</f>
        <v>41895000</v>
      </c>
      <c r="W3244">
        <f>SUM(POTABLE_NONPOTABLE_API[[#This Row],[NONPOTABLE_DEMAND_RESIDENTIAL_RECYCLED_WATER_GAL]:[NONPOTABLE_DEMAND_NONRESIDENTIAL_METERED_IRRIGATION_GAL]])</f>
        <v>0</v>
      </c>
      <c r="X3244" t="str">
        <f>IFERROR(INDEX(Crosswalk_API!$H$2:$H$527, MATCH(POTABLE_NONPOTABLE_API[[#This Row],[PWSID]], CW_PWSID_LIST, 0)), "")</f>
        <v>No</v>
      </c>
    </row>
    <row r="3245" spans="1:24" x14ac:dyDescent="0.25">
      <c r="A3245" t="s">
        <v>1694</v>
      </c>
      <c r="B3245" t="s">
        <v>1695</v>
      </c>
      <c r="C3245" t="s">
        <v>1696</v>
      </c>
      <c r="D3245" t="s">
        <v>1697</v>
      </c>
      <c r="E3245" s="9">
        <v>45200</v>
      </c>
      <c r="F3245" s="9">
        <v>45230</v>
      </c>
      <c r="G3245">
        <v>23445000</v>
      </c>
      <c r="H3245">
        <v>7603000</v>
      </c>
      <c r="I3245">
        <v>4511000</v>
      </c>
      <c r="J3245">
        <v>0</v>
      </c>
      <c r="K3245">
        <v>0</v>
      </c>
      <c r="L3245">
        <v>2236000</v>
      </c>
      <c r="M3245">
        <v>0</v>
      </c>
      <c r="T3245" s="9">
        <v>45108</v>
      </c>
      <c r="U3245" s="9">
        <v>45473</v>
      </c>
      <c r="V3245">
        <f>SUM(POTABLE_NONPOTABLE_API[[#This Row],[RESIDENTIAL_SINGLEFAMILY_GAL]:[OTHER_GAL]])</f>
        <v>37795000</v>
      </c>
      <c r="W3245">
        <f>SUM(POTABLE_NONPOTABLE_API[[#This Row],[NONPOTABLE_DEMAND_RESIDENTIAL_RECYCLED_WATER_GAL]:[NONPOTABLE_DEMAND_NONRESIDENTIAL_METERED_IRRIGATION_GAL]])</f>
        <v>0</v>
      </c>
      <c r="X3245" t="str">
        <f>IFERROR(INDEX(Crosswalk_API!$H$2:$H$527, MATCH(POTABLE_NONPOTABLE_API[[#This Row],[PWSID]], CW_PWSID_LIST, 0)), "")</f>
        <v>No</v>
      </c>
    </row>
    <row r="3246" spans="1:24" x14ac:dyDescent="0.25">
      <c r="A3246" t="s">
        <v>1694</v>
      </c>
      <c r="B3246" t="s">
        <v>1695</v>
      </c>
      <c r="C3246" t="s">
        <v>1696</v>
      </c>
      <c r="D3246" t="s">
        <v>1697</v>
      </c>
      <c r="E3246" s="9">
        <v>45231</v>
      </c>
      <c r="F3246" s="9">
        <v>45260</v>
      </c>
      <c r="G3246">
        <v>18857000</v>
      </c>
      <c r="H3246">
        <v>6667000</v>
      </c>
      <c r="I3246">
        <v>3304000</v>
      </c>
      <c r="J3246">
        <v>0</v>
      </c>
      <c r="K3246">
        <v>0</v>
      </c>
      <c r="L3246">
        <v>5401000</v>
      </c>
      <c r="M3246">
        <v>0</v>
      </c>
      <c r="T3246" s="9">
        <v>45108</v>
      </c>
      <c r="U3246" s="9">
        <v>45473</v>
      </c>
      <c r="V3246">
        <f>SUM(POTABLE_NONPOTABLE_API[[#This Row],[RESIDENTIAL_SINGLEFAMILY_GAL]:[OTHER_GAL]])</f>
        <v>34229000</v>
      </c>
      <c r="W3246">
        <f>SUM(POTABLE_NONPOTABLE_API[[#This Row],[NONPOTABLE_DEMAND_RESIDENTIAL_RECYCLED_WATER_GAL]:[NONPOTABLE_DEMAND_NONRESIDENTIAL_METERED_IRRIGATION_GAL]])</f>
        <v>0</v>
      </c>
      <c r="X3246" t="str">
        <f>IFERROR(INDEX(Crosswalk_API!$H$2:$H$527, MATCH(POTABLE_NONPOTABLE_API[[#This Row],[PWSID]], CW_PWSID_LIST, 0)), "")</f>
        <v>No</v>
      </c>
    </row>
    <row r="3247" spans="1:24" x14ac:dyDescent="0.25">
      <c r="A3247" t="s">
        <v>1694</v>
      </c>
      <c r="B3247" t="s">
        <v>1695</v>
      </c>
      <c r="C3247" t="s">
        <v>1696</v>
      </c>
      <c r="D3247" t="s">
        <v>1697</v>
      </c>
      <c r="E3247" s="9">
        <v>45261</v>
      </c>
      <c r="F3247" s="9">
        <v>45291</v>
      </c>
      <c r="G3247">
        <v>19153288</v>
      </c>
      <c r="H3247">
        <v>6474420</v>
      </c>
      <c r="I3247">
        <v>3253773</v>
      </c>
      <c r="J3247">
        <v>0</v>
      </c>
      <c r="K3247">
        <v>0</v>
      </c>
      <c r="L3247">
        <v>5470000</v>
      </c>
      <c r="M3247">
        <v>0</v>
      </c>
      <c r="T3247" s="9">
        <v>45108</v>
      </c>
      <c r="U3247" s="9">
        <v>45473</v>
      </c>
      <c r="V3247">
        <f>SUM(POTABLE_NONPOTABLE_API[[#This Row],[RESIDENTIAL_SINGLEFAMILY_GAL]:[OTHER_GAL]])</f>
        <v>34351481</v>
      </c>
      <c r="W3247">
        <f>SUM(POTABLE_NONPOTABLE_API[[#This Row],[NONPOTABLE_DEMAND_RESIDENTIAL_RECYCLED_WATER_GAL]:[NONPOTABLE_DEMAND_NONRESIDENTIAL_METERED_IRRIGATION_GAL]])</f>
        <v>0</v>
      </c>
      <c r="X3247" t="str">
        <f>IFERROR(INDEX(Crosswalk_API!$H$2:$H$527, MATCH(POTABLE_NONPOTABLE_API[[#This Row],[PWSID]], CW_PWSID_LIST, 0)), "")</f>
        <v>No</v>
      </c>
    </row>
    <row r="3248" spans="1:24" x14ac:dyDescent="0.25">
      <c r="A3248" t="s">
        <v>1694</v>
      </c>
      <c r="B3248" t="s">
        <v>1695</v>
      </c>
      <c r="C3248" t="s">
        <v>1696</v>
      </c>
      <c r="D3248" t="s">
        <v>1697</v>
      </c>
      <c r="E3248" s="9">
        <v>45292</v>
      </c>
      <c r="F3248" s="9">
        <v>45322</v>
      </c>
      <c r="G3248">
        <v>19015759</v>
      </c>
      <c r="H3248">
        <v>6439867</v>
      </c>
      <c r="I3248">
        <v>3174357</v>
      </c>
      <c r="J3248">
        <v>0</v>
      </c>
      <c r="K3248">
        <v>0</v>
      </c>
      <c r="L3248">
        <v>1730872</v>
      </c>
      <c r="M3248">
        <v>0</v>
      </c>
      <c r="T3248" s="9">
        <v>45108</v>
      </c>
      <c r="U3248" s="9">
        <v>45473</v>
      </c>
      <c r="V3248">
        <f>SUM(POTABLE_NONPOTABLE_API[[#This Row],[RESIDENTIAL_SINGLEFAMILY_GAL]:[OTHER_GAL]])</f>
        <v>30360855</v>
      </c>
      <c r="W3248">
        <f>SUM(POTABLE_NONPOTABLE_API[[#This Row],[NONPOTABLE_DEMAND_RESIDENTIAL_RECYCLED_WATER_GAL]:[NONPOTABLE_DEMAND_NONRESIDENTIAL_METERED_IRRIGATION_GAL]])</f>
        <v>0</v>
      </c>
      <c r="X3248" t="str">
        <f>IFERROR(INDEX(Crosswalk_API!$H$2:$H$527, MATCH(POTABLE_NONPOTABLE_API[[#This Row],[PWSID]], CW_PWSID_LIST, 0)), "")</f>
        <v>No</v>
      </c>
    </row>
    <row r="3249" spans="1:24" x14ac:dyDescent="0.25">
      <c r="A3249" t="s">
        <v>1694</v>
      </c>
      <c r="B3249" t="s">
        <v>1695</v>
      </c>
      <c r="C3249" t="s">
        <v>1696</v>
      </c>
      <c r="D3249" t="s">
        <v>1697</v>
      </c>
      <c r="E3249" s="9">
        <v>45323</v>
      </c>
      <c r="F3249" s="9">
        <v>45351</v>
      </c>
      <c r="G3249">
        <v>17441000</v>
      </c>
      <c r="H3249">
        <v>6401000</v>
      </c>
      <c r="I3249">
        <v>3075000</v>
      </c>
      <c r="J3249">
        <v>0</v>
      </c>
      <c r="K3249">
        <v>0</v>
      </c>
      <c r="L3249">
        <v>2175000</v>
      </c>
      <c r="M3249">
        <v>0</v>
      </c>
      <c r="T3249" s="9">
        <v>45108</v>
      </c>
      <c r="U3249" s="9">
        <v>45473</v>
      </c>
      <c r="V3249">
        <f>SUM(POTABLE_NONPOTABLE_API[[#This Row],[RESIDENTIAL_SINGLEFAMILY_GAL]:[OTHER_GAL]])</f>
        <v>29092000</v>
      </c>
      <c r="W3249">
        <f>SUM(POTABLE_NONPOTABLE_API[[#This Row],[NONPOTABLE_DEMAND_RESIDENTIAL_RECYCLED_WATER_GAL]:[NONPOTABLE_DEMAND_NONRESIDENTIAL_METERED_IRRIGATION_GAL]])</f>
        <v>0</v>
      </c>
      <c r="X3249" t="str">
        <f>IFERROR(INDEX(Crosswalk_API!$H$2:$H$527, MATCH(POTABLE_NONPOTABLE_API[[#This Row],[PWSID]], CW_PWSID_LIST, 0)), "")</f>
        <v>No</v>
      </c>
    </row>
    <row r="3250" spans="1:24" x14ac:dyDescent="0.25">
      <c r="A3250" t="s">
        <v>1694</v>
      </c>
      <c r="B3250" t="s">
        <v>1695</v>
      </c>
      <c r="C3250" t="s">
        <v>1696</v>
      </c>
      <c r="D3250" t="s">
        <v>1697</v>
      </c>
      <c r="E3250" s="9">
        <v>45352</v>
      </c>
      <c r="F3250" s="9">
        <v>45382</v>
      </c>
      <c r="G3250">
        <v>18641000</v>
      </c>
      <c r="H3250">
        <v>7095000</v>
      </c>
      <c r="I3250">
        <v>3338000</v>
      </c>
      <c r="J3250">
        <v>0</v>
      </c>
      <c r="K3250">
        <v>0</v>
      </c>
      <c r="L3250">
        <v>1634000</v>
      </c>
      <c r="M3250">
        <v>0</v>
      </c>
      <c r="T3250" s="9">
        <v>45108</v>
      </c>
      <c r="U3250" s="9">
        <v>45473</v>
      </c>
      <c r="V3250">
        <f>SUM(POTABLE_NONPOTABLE_API[[#This Row],[RESIDENTIAL_SINGLEFAMILY_GAL]:[OTHER_GAL]])</f>
        <v>30708000</v>
      </c>
      <c r="W3250">
        <f>SUM(POTABLE_NONPOTABLE_API[[#This Row],[NONPOTABLE_DEMAND_RESIDENTIAL_RECYCLED_WATER_GAL]:[NONPOTABLE_DEMAND_NONRESIDENTIAL_METERED_IRRIGATION_GAL]])</f>
        <v>0</v>
      </c>
      <c r="X3250" t="str">
        <f>IFERROR(INDEX(Crosswalk_API!$H$2:$H$527, MATCH(POTABLE_NONPOTABLE_API[[#This Row],[PWSID]], CW_PWSID_LIST, 0)), "")</f>
        <v>No</v>
      </c>
    </row>
    <row r="3251" spans="1:24" x14ac:dyDescent="0.25">
      <c r="A3251" t="s">
        <v>1694</v>
      </c>
      <c r="B3251" t="s">
        <v>1695</v>
      </c>
      <c r="C3251" t="s">
        <v>1696</v>
      </c>
      <c r="D3251" t="s">
        <v>1697</v>
      </c>
      <c r="E3251" s="9">
        <v>45383</v>
      </c>
      <c r="F3251" s="9">
        <v>45412</v>
      </c>
      <c r="G3251">
        <v>18433000</v>
      </c>
      <c r="H3251">
        <v>6312000</v>
      </c>
      <c r="I3251">
        <v>3426000</v>
      </c>
      <c r="J3251">
        <v>0</v>
      </c>
      <c r="K3251">
        <v>0</v>
      </c>
      <c r="L3251">
        <v>1006000</v>
      </c>
      <c r="M3251">
        <v>0</v>
      </c>
      <c r="T3251" s="9">
        <v>45108</v>
      </c>
      <c r="U3251" s="9">
        <v>45473</v>
      </c>
      <c r="V3251">
        <f>SUM(POTABLE_NONPOTABLE_API[[#This Row],[RESIDENTIAL_SINGLEFAMILY_GAL]:[OTHER_GAL]])</f>
        <v>29177000</v>
      </c>
      <c r="W3251">
        <f>SUM(POTABLE_NONPOTABLE_API[[#This Row],[NONPOTABLE_DEMAND_RESIDENTIAL_RECYCLED_WATER_GAL]:[NONPOTABLE_DEMAND_NONRESIDENTIAL_METERED_IRRIGATION_GAL]])</f>
        <v>0</v>
      </c>
      <c r="X3251" t="str">
        <f>IFERROR(INDEX(Crosswalk_API!$H$2:$H$527, MATCH(POTABLE_NONPOTABLE_API[[#This Row],[PWSID]], CW_PWSID_LIST, 0)), "")</f>
        <v>No</v>
      </c>
    </row>
    <row r="3252" spans="1:24" x14ac:dyDescent="0.25">
      <c r="A3252" t="s">
        <v>1694</v>
      </c>
      <c r="B3252" t="s">
        <v>1695</v>
      </c>
      <c r="C3252" t="s">
        <v>1696</v>
      </c>
      <c r="D3252" t="s">
        <v>1697</v>
      </c>
      <c r="E3252" s="9">
        <v>45413</v>
      </c>
      <c r="F3252" s="9">
        <v>45443</v>
      </c>
      <c r="G3252">
        <v>19017000</v>
      </c>
      <c r="H3252">
        <v>6826000</v>
      </c>
      <c r="I3252">
        <v>3591000</v>
      </c>
      <c r="J3252">
        <v>0</v>
      </c>
      <c r="K3252">
        <v>0</v>
      </c>
      <c r="L3252">
        <v>1731000</v>
      </c>
      <c r="M3252">
        <v>0</v>
      </c>
      <c r="T3252" s="9">
        <v>45108</v>
      </c>
      <c r="U3252" s="9">
        <v>45473</v>
      </c>
      <c r="V3252">
        <f>SUM(POTABLE_NONPOTABLE_API[[#This Row],[RESIDENTIAL_SINGLEFAMILY_GAL]:[OTHER_GAL]])</f>
        <v>31165000</v>
      </c>
      <c r="W3252">
        <f>SUM(POTABLE_NONPOTABLE_API[[#This Row],[NONPOTABLE_DEMAND_RESIDENTIAL_RECYCLED_WATER_GAL]:[NONPOTABLE_DEMAND_NONRESIDENTIAL_METERED_IRRIGATION_GAL]])</f>
        <v>0</v>
      </c>
      <c r="X3252" t="str">
        <f>IFERROR(INDEX(Crosswalk_API!$H$2:$H$527, MATCH(POTABLE_NONPOTABLE_API[[#This Row],[PWSID]], CW_PWSID_LIST, 0)), "")</f>
        <v>No</v>
      </c>
    </row>
    <row r="3253" spans="1:24" x14ac:dyDescent="0.25">
      <c r="A3253" t="s">
        <v>1694</v>
      </c>
      <c r="B3253" t="s">
        <v>1695</v>
      </c>
      <c r="C3253" t="s">
        <v>1696</v>
      </c>
      <c r="D3253" t="s">
        <v>1697</v>
      </c>
      <c r="E3253" s="9">
        <v>45444</v>
      </c>
      <c r="F3253" s="9">
        <v>45473</v>
      </c>
      <c r="G3253">
        <v>22780000</v>
      </c>
      <c r="H3253">
        <v>7038000</v>
      </c>
      <c r="I3253">
        <v>3555000</v>
      </c>
      <c r="J3253">
        <v>0</v>
      </c>
      <c r="K3253">
        <v>0</v>
      </c>
      <c r="L3253">
        <v>2221000</v>
      </c>
      <c r="M3253">
        <v>0</v>
      </c>
      <c r="T3253" s="9">
        <v>45108</v>
      </c>
      <c r="U3253" s="9">
        <v>45473</v>
      </c>
      <c r="V3253">
        <f>SUM(POTABLE_NONPOTABLE_API[[#This Row],[RESIDENTIAL_SINGLEFAMILY_GAL]:[OTHER_GAL]])</f>
        <v>35594000</v>
      </c>
      <c r="W3253">
        <f>SUM(POTABLE_NONPOTABLE_API[[#This Row],[NONPOTABLE_DEMAND_RESIDENTIAL_RECYCLED_WATER_GAL]:[NONPOTABLE_DEMAND_NONRESIDENTIAL_METERED_IRRIGATION_GAL]])</f>
        <v>0</v>
      </c>
      <c r="X3253" t="str">
        <f>IFERROR(INDEX(Crosswalk_API!$H$2:$H$527, MATCH(POTABLE_NONPOTABLE_API[[#This Row],[PWSID]], CW_PWSID_LIST, 0)), "")</f>
        <v>No</v>
      </c>
    </row>
    <row r="3254" spans="1:24" x14ac:dyDescent="0.25">
      <c r="A3254" t="s">
        <v>1698</v>
      </c>
      <c r="B3254" t="s">
        <v>1699</v>
      </c>
      <c r="C3254" t="s">
        <v>1700</v>
      </c>
      <c r="D3254" t="s">
        <v>1701</v>
      </c>
      <c r="E3254" s="9">
        <v>45108</v>
      </c>
      <c r="F3254" s="9">
        <v>45138</v>
      </c>
      <c r="G3254">
        <v>25402349.816</v>
      </c>
      <c r="H3254">
        <v>8977372.0520000011</v>
      </c>
      <c r="I3254">
        <v>34374485.504000001</v>
      </c>
      <c r="J3254">
        <v>9236946.0960000008</v>
      </c>
      <c r="K3254">
        <v>11179637.140000001</v>
      </c>
      <c r="L3254">
        <v>99490.915999999997</v>
      </c>
      <c r="M3254">
        <v>0</v>
      </c>
      <c r="T3254" s="9">
        <v>45108</v>
      </c>
      <c r="U3254" s="9">
        <v>45473</v>
      </c>
      <c r="V3254">
        <f>SUM(POTABLE_NONPOTABLE_API[[#This Row],[RESIDENTIAL_SINGLEFAMILY_GAL]:[OTHER_GAL]])</f>
        <v>89270281.524000004</v>
      </c>
      <c r="W3254">
        <f>SUM(POTABLE_NONPOTABLE_API[[#This Row],[NONPOTABLE_DEMAND_RESIDENTIAL_RECYCLED_WATER_GAL]:[NONPOTABLE_DEMAND_NONRESIDENTIAL_METERED_IRRIGATION_GAL]])</f>
        <v>0</v>
      </c>
      <c r="X3254" t="str">
        <f>IFERROR(INDEX(Crosswalk_API!$H$2:$H$527, MATCH(POTABLE_NONPOTABLE_API[[#This Row],[PWSID]], CW_PWSID_LIST, 0)), "")</f>
        <v>No</v>
      </c>
    </row>
    <row r="3255" spans="1:24" x14ac:dyDescent="0.25">
      <c r="A3255" t="s">
        <v>1698</v>
      </c>
      <c r="B3255" t="s">
        <v>1699</v>
      </c>
      <c r="C3255" t="s">
        <v>1700</v>
      </c>
      <c r="D3255" t="s">
        <v>1701</v>
      </c>
      <c r="E3255" s="9">
        <v>45139</v>
      </c>
      <c r="F3255" s="9">
        <v>45169</v>
      </c>
      <c r="G3255">
        <v>33523202.328000002</v>
      </c>
      <c r="H3255">
        <v>10635055.284</v>
      </c>
      <c r="I3255">
        <v>24166567.912</v>
      </c>
      <c r="J3255">
        <v>10637299.439999999</v>
      </c>
      <c r="K3255">
        <v>16638920.636</v>
      </c>
      <c r="L3255">
        <v>255085.73200000002</v>
      </c>
      <c r="M3255">
        <v>0</v>
      </c>
      <c r="T3255" s="9">
        <v>45108</v>
      </c>
      <c r="U3255" s="9">
        <v>45473</v>
      </c>
      <c r="V3255">
        <f>SUM(POTABLE_NONPOTABLE_API[[#This Row],[RESIDENTIAL_SINGLEFAMILY_GAL]:[OTHER_GAL]])</f>
        <v>95856131.331999987</v>
      </c>
      <c r="W3255">
        <f>SUM(POTABLE_NONPOTABLE_API[[#This Row],[NONPOTABLE_DEMAND_RESIDENTIAL_RECYCLED_WATER_GAL]:[NONPOTABLE_DEMAND_NONRESIDENTIAL_METERED_IRRIGATION_GAL]])</f>
        <v>0</v>
      </c>
      <c r="X3255" t="str">
        <f>IFERROR(INDEX(Crosswalk_API!$H$2:$H$527, MATCH(POTABLE_NONPOTABLE_API[[#This Row],[PWSID]], CW_PWSID_LIST, 0)), "")</f>
        <v>No</v>
      </c>
    </row>
    <row r="3256" spans="1:24" x14ac:dyDescent="0.25">
      <c r="A3256" t="s">
        <v>1698</v>
      </c>
      <c r="B3256" t="s">
        <v>1699</v>
      </c>
      <c r="C3256" t="s">
        <v>1700</v>
      </c>
      <c r="D3256" t="s">
        <v>1701</v>
      </c>
      <c r="E3256" s="9">
        <v>45170</v>
      </c>
      <c r="F3256" s="9">
        <v>45199</v>
      </c>
      <c r="G3256">
        <v>29072292.927999999</v>
      </c>
      <c r="H3256">
        <v>9475574.6840000004</v>
      </c>
      <c r="I3256">
        <v>28807482.52</v>
      </c>
      <c r="J3256">
        <v>10558753.98</v>
      </c>
      <c r="K3256">
        <v>14840603.628</v>
      </c>
      <c r="L3256">
        <v>264810.408</v>
      </c>
      <c r="M3256">
        <v>0</v>
      </c>
      <c r="T3256" s="9">
        <v>45108</v>
      </c>
      <c r="U3256" s="9">
        <v>45473</v>
      </c>
      <c r="V3256">
        <f>SUM(POTABLE_NONPOTABLE_API[[#This Row],[RESIDENTIAL_SINGLEFAMILY_GAL]:[OTHER_GAL]])</f>
        <v>93019518.148000017</v>
      </c>
      <c r="W3256">
        <f>SUM(POTABLE_NONPOTABLE_API[[#This Row],[NONPOTABLE_DEMAND_RESIDENTIAL_RECYCLED_WATER_GAL]:[NONPOTABLE_DEMAND_NONRESIDENTIAL_METERED_IRRIGATION_GAL]])</f>
        <v>0</v>
      </c>
      <c r="X3256" t="str">
        <f>IFERROR(INDEX(Crosswalk_API!$H$2:$H$527, MATCH(POTABLE_NONPOTABLE_API[[#This Row],[PWSID]], CW_PWSID_LIST, 0)), "")</f>
        <v>No</v>
      </c>
    </row>
    <row r="3257" spans="1:24" x14ac:dyDescent="0.25">
      <c r="A3257" t="s">
        <v>1698</v>
      </c>
      <c r="B3257" t="s">
        <v>1699</v>
      </c>
      <c r="C3257" t="s">
        <v>1700</v>
      </c>
      <c r="D3257" t="s">
        <v>1701</v>
      </c>
      <c r="E3257" s="9">
        <v>45200</v>
      </c>
      <c r="F3257" s="9">
        <v>45230</v>
      </c>
      <c r="G3257">
        <v>25165217.332000002</v>
      </c>
      <c r="H3257">
        <v>9097808.4240000006</v>
      </c>
      <c r="I3257">
        <v>31232667.104000002</v>
      </c>
      <c r="J3257">
        <v>9771803.2760000005</v>
      </c>
      <c r="K3257">
        <v>14171845.140000001</v>
      </c>
      <c r="L3257">
        <v>338867.55599999998</v>
      </c>
      <c r="M3257">
        <v>0</v>
      </c>
      <c r="T3257" s="9">
        <v>45108</v>
      </c>
      <c r="U3257" s="9">
        <v>45473</v>
      </c>
      <c r="V3257">
        <f>SUM(POTABLE_NONPOTABLE_API[[#This Row],[RESIDENTIAL_SINGLEFAMILY_GAL]:[OTHER_GAL]])</f>
        <v>89778208.832000002</v>
      </c>
      <c r="W3257">
        <f>SUM(POTABLE_NONPOTABLE_API[[#This Row],[NONPOTABLE_DEMAND_RESIDENTIAL_RECYCLED_WATER_GAL]:[NONPOTABLE_DEMAND_NONRESIDENTIAL_METERED_IRRIGATION_GAL]])</f>
        <v>0</v>
      </c>
      <c r="X3257" t="str">
        <f>IFERROR(INDEX(Crosswalk_API!$H$2:$H$527, MATCH(POTABLE_NONPOTABLE_API[[#This Row],[PWSID]], CW_PWSID_LIST, 0)), "")</f>
        <v>No</v>
      </c>
    </row>
    <row r="3258" spans="1:24" x14ac:dyDescent="0.25">
      <c r="A3258" t="s">
        <v>1698</v>
      </c>
      <c r="B3258" t="s">
        <v>1699</v>
      </c>
      <c r="C3258" t="s">
        <v>1700</v>
      </c>
      <c r="D3258" t="s">
        <v>1701</v>
      </c>
      <c r="E3258" s="9">
        <v>45231</v>
      </c>
      <c r="F3258" s="9">
        <v>45260</v>
      </c>
      <c r="G3258">
        <v>29159066.960000001</v>
      </c>
      <c r="H3258">
        <v>9340925.324000001</v>
      </c>
      <c r="I3258">
        <v>18704292.208000001</v>
      </c>
      <c r="J3258">
        <v>7542608.3160000006</v>
      </c>
      <c r="K3258">
        <v>14691741.280000001</v>
      </c>
      <c r="L3258">
        <v>563283.15599999996</v>
      </c>
      <c r="M3258">
        <v>0</v>
      </c>
      <c r="T3258" s="9">
        <v>45108</v>
      </c>
      <c r="U3258" s="9">
        <v>45473</v>
      </c>
      <c r="V3258">
        <f>SUM(POTABLE_NONPOTABLE_API[[#This Row],[RESIDENTIAL_SINGLEFAMILY_GAL]:[OTHER_GAL]])</f>
        <v>80001917.244000003</v>
      </c>
      <c r="W3258">
        <f>SUM(POTABLE_NONPOTABLE_API[[#This Row],[NONPOTABLE_DEMAND_RESIDENTIAL_RECYCLED_WATER_GAL]:[NONPOTABLE_DEMAND_NONRESIDENTIAL_METERED_IRRIGATION_GAL]])</f>
        <v>0</v>
      </c>
      <c r="X3258" t="str">
        <f>IFERROR(INDEX(Crosswalk_API!$H$2:$H$527, MATCH(POTABLE_NONPOTABLE_API[[#This Row],[PWSID]], CW_PWSID_LIST, 0)), "")</f>
        <v>No</v>
      </c>
    </row>
    <row r="3259" spans="1:24" x14ac:dyDescent="0.25">
      <c r="A3259" t="s">
        <v>1698</v>
      </c>
      <c r="B3259" t="s">
        <v>1699</v>
      </c>
      <c r="C3259" t="s">
        <v>1700</v>
      </c>
      <c r="D3259" t="s">
        <v>1701</v>
      </c>
      <c r="E3259" s="9">
        <v>45261</v>
      </c>
      <c r="F3259" s="9">
        <v>45291</v>
      </c>
      <c r="G3259">
        <v>17652531.096000001</v>
      </c>
      <c r="H3259">
        <v>6428758.8880000003</v>
      </c>
      <c r="I3259">
        <v>14162120.464</v>
      </c>
      <c r="J3259">
        <v>2534400.176</v>
      </c>
      <c r="K3259">
        <v>9499512.3480000012</v>
      </c>
      <c r="L3259">
        <v>405444.18400000001</v>
      </c>
      <c r="M3259">
        <v>0</v>
      </c>
      <c r="T3259" s="9">
        <v>45108</v>
      </c>
      <c r="U3259" s="9">
        <v>45473</v>
      </c>
      <c r="V3259">
        <f>SUM(POTABLE_NONPOTABLE_API[[#This Row],[RESIDENTIAL_SINGLEFAMILY_GAL]:[OTHER_GAL]])</f>
        <v>50682767.156000003</v>
      </c>
      <c r="W3259">
        <f>SUM(POTABLE_NONPOTABLE_API[[#This Row],[NONPOTABLE_DEMAND_RESIDENTIAL_RECYCLED_WATER_GAL]:[NONPOTABLE_DEMAND_NONRESIDENTIAL_METERED_IRRIGATION_GAL]])</f>
        <v>0</v>
      </c>
      <c r="X3259" t="str">
        <f>IFERROR(INDEX(Crosswalk_API!$H$2:$H$527, MATCH(POTABLE_NONPOTABLE_API[[#This Row],[PWSID]], CW_PWSID_LIST, 0)), "")</f>
        <v>No</v>
      </c>
    </row>
    <row r="3260" spans="1:24" x14ac:dyDescent="0.25">
      <c r="A3260" t="s">
        <v>1698</v>
      </c>
      <c r="B3260" t="s">
        <v>1699</v>
      </c>
      <c r="C3260" t="s">
        <v>1700</v>
      </c>
      <c r="D3260" t="s">
        <v>1701</v>
      </c>
      <c r="E3260" s="9">
        <v>45292</v>
      </c>
      <c r="F3260" s="9">
        <v>45322</v>
      </c>
      <c r="G3260">
        <v>13144021.692</v>
      </c>
      <c r="H3260">
        <v>5961974.4400000004</v>
      </c>
      <c r="I3260">
        <v>14150151.632000001</v>
      </c>
      <c r="J3260">
        <v>1273932.5560000001</v>
      </c>
      <c r="K3260">
        <v>7216457.6440000003</v>
      </c>
      <c r="L3260">
        <v>37402.6</v>
      </c>
      <c r="M3260">
        <v>0</v>
      </c>
      <c r="T3260" s="9">
        <v>45108</v>
      </c>
      <c r="U3260" s="9">
        <v>45473</v>
      </c>
      <c r="V3260">
        <f>SUM(POTABLE_NONPOTABLE_API[[#This Row],[RESIDENTIAL_SINGLEFAMILY_GAL]:[OTHER_GAL]])</f>
        <v>41783940.564000003</v>
      </c>
      <c r="W3260">
        <f>SUM(POTABLE_NONPOTABLE_API[[#This Row],[NONPOTABLE_DEMAND_RESIDENTIAL_RECYCLED_WATER_GAL]:[NONPOTABLE_DEMAND_NONRESIDENTIAL_METERED_IRRIGATION_GAL]])</f>
        <v>0</v>
      </c>
      <c r="X3260" t="str">
        <f>IFERROR(INDEX(Crosswalk_API!$H$2:$H$527, MATCH(POTABLE_NONPOTABLE_API[[#This Row],[PWSID]], CW_PWSID_LIST, 0)), "")</f>
        <v>No</v>
      </c>
    </row>
    <row r="3261" spans="1:24" x14ac:dyDescent="0.25">
      <c r="A3261" t="s">
        <v>1698</v>
      </c>
      <c r="B3261" t="s">
        <v>1699</v>
      </c>
      <c r="C3261" t="s">
        <v>1700</v>
      </c>
      <c r="D3261" t="s">
        <v>1701</v>
      </c>
      <c r="E3261" s="9">
        <v>45323</v>
      </c>
      <c r="F3261" s="9">
        <v>45351</v>
      </c>
      <c r="G3261">
        <v>19041663.66</v>
      </c>
      <c r="H3261">
        <v>8613818.7799999993</v>
      </c>
      <c r="I3261">
        <v>13132800.912</v>
      </c>
      <c r="J3261">
        <v>1828239.088</v>
      </c>
      <c r="K3261">
        <v>10281226.688000001</v>
      </c>
      <c r="L3261">
        <v>478005.228</v>
      </c>
      <c r="M3261">
        <v>0</v>
      </c>
      <c r="T3261" s="9">
        <v>45108</v>
      </c>
      <c r="U3261" s="9">
        <v>45473</v>
      </c>
      <c r="V3261">
        <f>SUM(POTABLE_NONPOTABLE_API[[#This Row],[RESIDENTIAL_SINGLEFAMILY_GAL]:[OTHER_GAL]])</f>
        <v>53375754.355999999</v>
      </c>
      <c r="W3261">
        <f>SUM(POTABLE_NONPOTABLE_API[[#This Row],[NONPOTABLE_DEMAND_RESIDENTIAL_RECYCLED_WATER_GAL]:[NONPOTABLE_DEMAND_NONRESIDENTIAL_METERED_IRRIGATION_GAL]])</f>
        <v>0</v>
      </c>
      <c r="X3261" t="str">
        <f>IFERROR(INDEX(Crosswalk_API!$H$2:$H$527, MATCH(POTABLE_NONPOTABLE_API[[#This Row],[PWSID]], CW_PWSID_LIST, 0)), "")</f>
        <v>No</v>
      </c>
    </row>
    <row r="3262" spans="1:24" x14ac:dyDescent="0.25">
      <c r="A3262" t="s">
        <v>1698</v>
      </c>
      <c r="B3262" t="s">
        <v>1699</v>
      </c>
      <c r="C3262" t="s">
        <v>1700</v>
      </c>
      <c r="D3262" t="s">
        <v>1701</v>
      </c>
      <c r="E3262" s="9">
        <v>45352</v>
      </c>
      <c r="F3262" s="9">
        <v>45382</v>
      </c>
      <c r="G3262">
        <v>13463439.896</v>
      </c>
      <c r="H3262">
        <v>6025558.8600000003</v>
      </c>
      <c r="I3262">
        <v>12317424.232000001</v>
      </c>
      <c r="J3262">
        <v>1187158.524</v>
      </c>
      <c r="K3262">
        <v>8324322.6560000004</v>
      </c>
      <c r="L3262">
        <v>174296.11600000001</v>
      </c>
      <c r="M3262">
        <v>0</v>
      </c>
      <c r="T3262" s="9">
        <v>45108</v>
      </c>
      <c r="U3262" s="9">
        <v>45473</v>
      </c>
      <c r="V3262">
        <f>SUM(POTABLE_NONPOTABLE_API[[#This Row],[RESIDENTIAL_SINGLEFAMILY_GAL]:[OTHER_GAL]])</f>
        <v>41492200.284000002</v>
      </c>
      <c r="W3262">
        <f>SUM(POTABLE_NONPOTABLE_API[[#This Row],[NONPOTABLE_DEMAND_RESIDENTIAL_RECYCLED_WATER_GAL]:[NONPOTABLE_DEMAND_NONRESIDENTIAL_METERED_IRRIGATION_GAL]])</f>
        <v>0</v>
      </c>
      <c r="X3262" t="str">
        <f>IFERROR(INDEX(Crosswalk_API!$H$2:$H$527, MATCH(POTABLE_NONPOTABLE_API[[#This Row],[PWSID]], CW_PWSID_LIST, 0)), "")</f>
        <v>No</v>
      </c>
    </row>
    <row r="3263" spans="1:24" x14ac:dyDescent="0.25">
      <c r="A3263" t="s">
        <v>1698</v>
      </c>
      <c r="B3263" t="s">
        <v>1699</v>
      </c>
      <c r="C3263" t="s">
        <v>1700</v>
      </c>
      <c r="D3263" t="s">
        <v>1701</v>
      </c>
      <c r="E3263" s="9">
        <v>45383</v>
      </c>
      <c r="F3263" s="9">
        <v>45412</v>
      </c>
      <c r="G3263">
        <v>13922743.824000001</v>
      </c>
      <c r="H3263">
        <v>6235761.4720000001</v>
      </c>
      <c r="I3263">
        <v>16163159.564000001</v>
      </c>
      <c r="J3263">
        <v>1790088.436</v>
      </c>
      <c r="K3263">
        <v>10379221.5</v>
      </c>
      <c r="L3263">
        <v>231148.068</v>
      </c>
      <c r="M3263">
        <v>0</v>
      </c>
      <c r="T3263" s="9">
        <v>45108</v>
      </c>
      <c r="U3263" s="9">
        <v>45473</v>
      </c>
      <c r="V3263">
        <f>SUM(POTABLE_NONPOTABLE_API[[#This Row],[RESIDENTIAL_SINGLEFAMILY_GAL]:[OTHER_GAL]])</f>
        <v>48722122.864</v>
      </c>
      <c r="W3263">
        <f>SUM(POTABLE_NONPOTABLE_API[[#This Row],[NONPOTABLE_DEMAND_RESIDENTIAL_RECYCLED_WATER_GAL]:[NONPOTABLE_DEMAND_NONRESIDENTIAL_METERED_IRRIGATION_GAL]])</f>
        <v>0</v>
      </c>
      <c r="X3263" t="str">
        <f>IFERROR(INDEX(Crosswalk_API!$H$2:$H$527, MATCH(POTABLE_NONPOTABLE_API[[#This Row],[PWSID]], CW_PWSID_LIST, 0)), "")</f>
        <v>No</v>
      </c>
    </row>
    <row r="3264" spans="1:24" x14ac:dyDescent="0.25">
      <c r="A3264" t="s">
        <v>1698</v>
      </c>
      <c r="B3264" t="s">
        <v>1699</v>
      </c>
      <c r="C3264" t="s">
        <v>1700</v>
      </c>
      <c r="D3264" t="s">
        <v>1701</v>
      </c>
      <c r="E3264" s="9">
        <v>45413</v>
      </c>
      <c r="F3264" s="9">
        <v>45443</v>
      </c>
      <c r="G3264">
        <v>28301799.368000001</v>
      </c>
      <c r="H3264">
        <v>9245174.6679999996</v>
      </c>
      <c r="I3264">
        <v>18099118.140000001</v>
      </c>
      <c r="J3264">
        <v>12320416.439999999</v>
      </c>
      <c r="K3264">
        <v>9753850.0280000009</v>
      </c>
      <c r="L3264">
        <v>207210.40400000001</v>
      </c>
      <c r="M3264">
        <v>0</v>
      </c>
      <c r="T3264" s="9">
        <v>45108</v>
      </c>
      <c r="U3264" s="9">
        <v>45473</v>
      </c>
      <c r="V3264">
        <f>SUM(POTABLE_NONPOTABLE_API[[#This Row],[RESIDENTIAL_SINGLEFAMILY_GAL]:[OTHER_GAL]])</f>
        <v>77927569.047999993</v>
      </c>
      <c r="W3264">
        <f>SUM(POTABLE_NONPOTABLE_API[[#This Row],[NONPOTABLE_DEMAND_RESIDENTIAL_RECYCLED_WATER_GAL]:[NONPOTABLE_DEMAND_NONRESIDENTIAL_METERED_IRRIGATION_GAL]])</f>
        <v>0</v>
      </c>
      <c r="X3264" t="str">
        <f>IFERROR(INDEX(Crosswalk_API!$H$2:$H$527, MATCH(POTABLE_NONPOTABLE_API[[#This Row],[PWSID]], CW_PWSID_LIST, 0)), "")</f>
        <v>No</v>
      </c>
    </row>
    <row r="3265" spans="1:24" x14ac:dyDescent="0.25">
      <c r="A3265" t="s">
        <v>1698</v>
      </c>
      <c r="B3265" t="s">
        <v>1699</v>
      </c>
      <c r="C3265" t="s">
        <v>1700</v>
      </c>
      <c r="D3265" t="s">
        <v>1701</v>
      </c>
      <c r="E3265" s="9">
        <v>45444</v>
      </c>
      <c r="F3265" s="9">
        <v>45473</v>
      </c>
      <c r="G3265">
        <v>26749591.468000002</v>
      </c>
      <c r="H3265">
        <v>3165756.0640000002</v>
      </c>
      <c r="I3265">
        <v>20290162.447999999</v>
      </c>
      <c r="J3265">
        <v>26126464.152000003</v>
      </c>
      <c r="K3265">
        <v>15972406.304</v>
      </c>
      <c r="L3265">
        <v>275283.136</v>
      </c>
      <c r="M3265">
        <v>0</v>
      </c>
      <c r="T3265" s="9">
        <v>45108</v>
      </c>
      <c r="U3265" s="9">
        <v>45473</v>
      </c>
      <c r="V3265">
        <f>SUM(POTABLE_NONPOTABLE_API[[#This Row],[RESIDENTIAL_SINGLEFAMILY_GAL]:[OTHER_GAL]])</f>
        <v>92579663.572000012</v>
      </c>
      <c r="W3265">
        <f>SUM(POTABLE_NONPOTABLE_API[[#This Row],[NONPOTABLE_DEMAND_RESIDENTIAL_RECYCLED_WATER_GAL]:[NONPOTABLE_DEMAND_NONRESIDENTIAL_METERED_IRRIGATION_GAL]])</f>
        <v>0</v>
      </c>
      <c r="X3265" t="str">
        <f>IFERROR(INDEX(Crosswalk_API!$H$2:$H$527, MATCH(POTABLE_NONPOTABLE_API[[#This Row],[PWSID]], CW_PWSID_LIST, 0)), "")</f>
        <v>No</v>
      </c>
    </row>
    <row r="3266" spans="1:24" x14ac:dyDescent="0.25">
      <c r="A3266" t="s">
        <v>1702</v>
      </c>
      <c r="B3266" t="s">
        <v>1703</v>
      </c>
      <c r="C3266" t="s">
        <v>1704</v>
      </c>
      <c r="D3266" t="s">
        <v>1705</v>
      </c>
      <c r="E3266" s="9">
        <v>45108</v>
      </c>
      <c r="F3266" s="9">
        <v>45138</v>
      </c>
      <c r="G3266">
        <v>344528813.53600001</v>
      </c>
      <c r="H3266">
        <v>87902842.46800001</v>
      </c>
      <c r="I3266">
        <v>102281149.96000001</v>
      </c>
      <c r="J3266">
        <v>67364326.755999997</v>
      </c>
      <c r="K3266">
        <v>11196094.284</v>
      </c>
      <c r="L3266">
        <v>0</v>
      </c>
      <c r="M3266">
        <v>0</v>
      </c>
      <c r="T3266" s="9">
        <v>45108</v>
      </c>
      <c r="U3266" s="9">
        <v>45473</v>
      </c>
      <c r="V3266">
        <f>SUM(POTABLE_NONPOTABLE_API[[#This Row],[RESIDENTIAL_SINGLEFAMILY_GAL]:[OTHER_GAL]])</f>
        <v>613273227.00400007</v>
      </c>
      <c r="W3266">
        <f>SUM(POTABLE_NONPOTABLE_API[[#This Row],[NONPOTABLE_DEMAND_RESIDENTIAL_RECYCLED_WATER_GAL]:[NONPOTABLE_DEMAND_NONRESIDENTIAL_METERED_IRRIGATION_GAL]])</f>
        <v>0</v>
      </c>
      <c r="X3266" t="str">
        <f>IFERROR(INDEX(Crosswalk_API!$H$2:$H$527, MATCH(POTABLE_NONPOTABLE_API[[#This Row],[PWSID]], CW_PWSID_LIST, 0)), "")</f>
        <v>No</v>
      </c>
    </row>
    <row r="3267" spans="1:24" x14ac:dyDescent="0.25">
      <c r="A3267" t="s">
        <v>1702</v>
      </c>
      <c r="B3267" t="s">
        <v>1703</v>
      </c>
      <c r="C3267" t="s">
        <v>1704</v>
      </c>
      <c r="D3267" t="s">
        <v>1705</v>
      </c>
      <c r="E3267" s="9">
        <v>45139</v>
      </c>
      <c r="F3267" s="9">
        <v>45169</v>
      </c>
      <c r="G3267">
        <v>383745439.63600004</v>
      </c>
      <c r="H3267">
        <v>94257544.208000004</v>
      </c>
      <c r="I3267">
        <v>95407300.131999999</v>
      </c>
      <c r="J3267">
        <v>86520442.372000009</v>
      </c>
      <c r="K3267">
        <v>7942068.0839999998</v>
      </c>
      <c r="L3267">
        <v>0</v>
      </c>
      <c r="M3267">
        <v>0</v>
      </c>
      <c r="T3267" s="9">
        <v>45108</v>
      </c>
      <c r="U3267" s="9">
        <v>45473</v>
      </c>
      <c r="V3267">
        <f>SUM(POTABLE_NONPOTABLE_API[[#This Row],[RESIDENTIAL_SINGLEFAMILY_GAL]:[OTHER_GAL]])</f>
        <v>667872794.43200004</v>
      </c>
      <c r="W3267">
        <f>SUM(POTABLE_NONPOTABLE_API[[#This Row],[NONPOTABLE_DEMAND_RESIDENTIAL_RECYCLED_WATER_GAL]:[NONPOTABLE_DEMAND_NONRESIDENTIAL_METERED_IRRIGATION_GAL]])</f>
        <v>0</v>
      </c>
      <c r="X3267" t="str">
        <f>IFERROR(INDEX(Crosswalk_API!$H$2:$H$527, MATCH(POTABLE_NONPOTABLE_API[[#This Row],[PWSID]], CW_PWSID_LIST, 0)), "")</f>
        <v>No</v>
      </c>
    </row>
    <row r="3268" spans="1:24" x14ac:dyDescent="0.25">
      <c r="A3268" t="s">
        <v>1702</v>
      </c>
      <c r="B3268" t="s">
        <v>1703</v>
      </c>
      <c r="C3268" t="s">
        <v>1704</v>
      </c>
      <c r="D3268" t="s">
        <v>1705</v>
      </c>
      <c r="E3268" s="9">
        <v>45170</v>
      </c>
      <c r="F3268" s="9">
        <v>45199</v>
      </c>
      <c r="G3268">
        <v>412762376.71600002</v>
      </c>
      <c r="H3268">
        <v>100063923.832</v>
      </c>
      <c r="I3268">
        <v>124032257.964</v>
      </c>
      <c r="J3268">
        <v>83140743.436000004</v>
      </c>
      <c r="K3268">
        <v>10200437.072000001</v>
      </c>
      <c r="L3268">
        <v>0</v>
      </c>
      <c r="M3268">
        <v>0</v>
      </c>
      <c r="T3268" s="9">
        <v>45108</v>
      </c>
      <c r="U3268" s="9">
        <v>45473</v>
      </c>
      <c r="V3268">
        <f>SUM(POTABLE_NONPOTABLE_API[[#This Row],[RESIDENTIAL_SINGLEFAMILY_GAL]:[OTHER_GAL]])</f>
        <v>730199739.0200001</v>
      </c>
      <c r="W3268">
        <f>SUM(POTABLE_NONPOTABLE_API[[#This Row],[NONPOTABLE_DEMAND_RESIDENTIAL_RECYCLED_WATER_GAL]:[NONPOTABLE_DEMAND_NONRESIDENTIAL_METERED_IRRIGATION_GAL]])</f>
        <v>0</v>
      </c>
      <c r="X3268" t="str">
        <f>IFERROR(INDEX(Crosswalk_API!$H$2:$H$527, MATCH(POTABLE_NONPOTABLE_API[[#This Row],[PWSID]], CW_PWSID_LIST, 0)), "")</f>
        <v>No</v>
      </c>
    </row>
    <row r="3269" spans="1:24" x14ac:dyDescent="0.25">
      <c r="A3269" t="s">
        <v>1702</v>
      </c>
      <c r="B3269" t="s">
        <v>1703</v>
      </c>
      <c r="C3269" t="s">
        <v>1704</v>
      </c>
      <c r="D3269" t="s">
        <v>1705</v>
      </c>
      <c r="E3269" s="9">
        <v>45200</v>
      </c>
      <c r="F3269" s="9">
        <v>45230</v>
      </c>
      <c r="G3269">
        <v>379952815.99599999</v>
      </c>
      <c r="H3269">
        <v>96992422.320000008</v>
      </c>
      <c r="I3269">
        <v>118726325.12800001</v>
      </c>
      <c r="J3269">
        <v>71885553.044</v>
      </c>
      <c r="K3269">
        <v>11512520.280000001</v>
      </c>
      <c r="L3269">
        <v>0</v>
      </c>
      <c r="M3269">
        <v>0</v>
      </c>
      <c r="T3269" s="9">
        <v>45108</v>
      </c>
      <c r="U3269" s="9">
        <v>45473</v>
      </c>
      <c r="V3269">
        <f>SUM(POTABLE_NONPOTABLE_API[[#This Row],[RESIDENTIAL_SINGLEFAMILY_GAL]:[OTHER_GAL]])</f>
        <v>679069636.76800001</v>
      </c>
      <c r="W3269">
        <f>SUM(POTABLE_NONPOTABLE_API[[#This Row],[NONPOTABLE_DEMAND_RESIDENTIAL_RECYCLED_WATER_GAL]:[NONPOTABLE_DEMAND_NONRESIDENTIAL_METERED_IRRIGATION_GAL]])</f>
        <v>0</v>
      </c>
      <c r="X3269" t="str">
        <f>IFERROR(INDEX(Crosswalk_API!$H$2:$H$527, MATCH(POTABLE_NONPOTABLE_API[[#This Row],[PWSID]], CW_PWSID_LIST, 0)), "")</f>
        <v>No</v>
      </c>
    </row>
    <row r="3270" spans="1:24" x14ac:dyDescent="0.25">
      <c r="A3270" t="s">
        <v>1702</v>
      </c>
      <c r="B3270" t="s">
        <v>1703</v>
      </c>
      <c r="C3270" t="s">
        <v>1704</v>
      </c>
      <c r="D3270" t="s">
        <v>1705</v>
      </c>
      <c r="E3270" s="9">
        <v>45231</v>
      </c>
      <c r="F3270" s="9">
        <v>45260</v>
      </c>
      <c r="G3270">
        <v>321101321</v>
      </c>
      <c r="H3270">
        <v>87198925.535999998</v>
      </c>
      <c r="I3270">
        <v>100602521.272</v>
      </c>
      <c r="J3270">
        <v>58833541.748000003</v>
      </c>
      <c r="K3270">
        <v>8376686.2960000001</v>
      </c>
      <c r="L3270">
        <v>0</v>
      </c>
      <c r="M3270">
        <v>0</v>
      </c>
      <c r="T3270" s="9">
        <v>45108</v>
      </c>
      <c r="U3270" s="9">
        <v>45473</v>
      </c>
      <c r="V3270">
        <f>SUM(POTABLE_NONPOTABLE_API[[#This Row],[RESIDENTIAL_SINGLEFAMILY_GAL]:[OTHER_GAL]])</f>
        <v>576112995.852</v>
      </c>
      <c r="W3270">
        <f>SUM(POTABLE_NONPOTABLE_API[[#This Row],[NONPOTABLE_DEMAND_RESIDENTIAL_RECYCLED_WATER_GAL]:[NONPOTABLE_DEMAND_NONRESIDENTIAL_METERED_IRRIGATION_GAL]])</f>
        <v>0</v>
      </c>
      <c r="X3270" t="str">
        <f>IFERROR(INDEX(Crosswalk_API!$H$2:$H$527, MATCH(POTABLE_NONPOTABLE_API[[#This Row],[PWSID]], CW_PWSID_LIST, 0)), "")</f>
        <v>No</v>
      </c>
    </row>
    <row r="3271" spans="1:24" x14ac:dyDescent="0.25">
      <c r="A3271" t="s">
        <v>1702</v>
      </c>
      <c r="B3271" t="s">
        <v>1703</v>
      </c>
      <c r="C3271" t="s">
        <v>1704</v>
      </c>
      <c r="D3271" t="s">
        <v>1705</v>
      </c>
      <c r="E3271" s="9">
        <v>45261</v>
      </c>
      <c r="F3271" s="9">
        <v>45291</v>
      </c>
      <c r="G3271">
        <v>256317773.64399999</v>
      </c>
      <c r="H3271">
        <v>78067454.772</v>
      </c>
      <c r="I3271">
        <v>76401542.967999995</v>
      </c>
      <c r="J3271">
        <v>92149533.672000006</v>
      </c>
      <c r="K3271">
        <v>9633413.6559999995</v>
      </c>
      <c r="L3271">
        <v>0</v>
      </c>
      <c r="M3271">
        <v>0</v>
      </c>
      <c r="T3271" s="9">
        <v>45108</v>
      </c>
      <c r="U3271" s="9">
        <v>45473</v>
      </c>
      <c r="V3271">
        <f>SUM(POTABLE_NONPOTABLE_API[[#This Row],[RESIDENTIAL_SINGLEFAMILY_GAL]:[OTHER_GAL]])</f>
        <v>512569718.71200001</v>
      </c>
      <c r="W3271">
        <f>SUM(POTABLE_NONPOTABLE_API[[#This Row],[NONPOTABLE_DEMAND_RESIDENTIAL_RECYCLED_WATER_GAL]:[NONPOTABLE_DEMAND_NONRESIDENTIAL_METERED_IRRIGATION_GAL]])</f>
        <v>0</v>
      </c>
      <c r="X3271" t="str">
        <f>IFERROR(INDEX(Crosswalk_API!$H$2:$H$527, MATCH(POTABLE_NONPOTABLE_API[[#This Row],[PWSID]], CW_PWSID_LIST, 0)), "")</f>
        <v>No</v>
      </c>
    </row>
    <row r="3272" spans="1:24" x14ac:dyDescent="0.25">
      <c r="A3272" t="s">
        <v>1702</v>
      </c>
      <c r="B3272" t="s">
        <v>1703</v>
      </c>
      <c r="C3272" t="s">
        <v>1704</v>
      </c>
      <c r="D3272" t="s">
        <v>1705</v>
      </c>
      <c r="E3272" s="9">
        <v>45292</v>
      </c>
      <c r="F3272" s="9">
        <v>45322</v>
      </c>
      <c r="G3272">
        <v>186238766.18000001</v>
      </c>
      <c r="H3272">
        <v>67836347.568000004</v>
      </c>
      <c r="I3272">
        <v>52801998.472000003</v>
      </c>
      <c r="J3272">
        <v>13013860.644000001</v>
      </c>
      <c r="K3272">
        <v>5308176.9920000006</v>
      </c>
      <c r="L3272">
        <v>0</v>
      </c>
      <c r="M3272">
        <v>0</v>
      </c>
      <c r="T3272" s="9">
        <v>45108</v>
      </c>
      <c r="U3272" s="9">
        <v>45473</v>
      </c>
      <c r="V3272">
        <f>SUM(POTABLE_NONPOTABLE_API[[#This Row],[RESIDENTIAL_SINGLEFAMILY_GAL]:[OTHER_GAL]])</f>
        <v>325199149.85600001</v>
      </c>
      <c r="W3272">
        <f>SUM(POTABLE_NONPOTABLE_API[[#This Row],[NONPOTABLE_DEMAND_RESIDENTIAL_RECYCLED_WATER_GAL]:[NONPOTABLE_DEMAND_NONRESIDENTIAL_METERED_IRRIGATION_GAL]])</f>
        <v>0</v>
      </c>
      <c r="X3272" t="str">
        <f>IFERROR(INDEX(Crosswalk_API!$H$2:$H$527, MATCH(POTABLE_NONPOTABLE_API[[#This Row],[PWSID]], CW_PWSID_LIST, 0)), "")</f>
        <v>No</v>
      </c>
    </row>
    <row r="3273" spans="1:24" x14ac:dyDescent="0.25">
      <c r="A3273" t="s">
        <v>1702</v>
      </c>
      <c r="B3273" t="s">
        <v>1703</v>
      </c>
      <c r="C3273" t="s">
        <v>1704</v>
      </c>
      <c r="D3273" t="s">
        <v>1705</v>
      </c>
      <c r="E3273" s="9">
        <v>45323</v>
      </c>
      <c r="F3273" s="9">
        <v>45351</v>
      </c>
      <c r="G3273">
        <v>160421247.50400001</v>
      </c>
      <c r="H3273">
        <v>61934965.340000004</v>
      </c>
      <c r="I3273">
        <v>41927566.548</v>
      </c>
      <c r="J3273">
        <v>8583148.648</v>
      </c>
      <c r="K3273">
        <v>4139719.7680000002</v>
      </c>
      <c r="L3273">
        <v>0</v>
      </c>
      <c r="M3273">
        <v>0</v>
      </c>
      <c r="T3273" s="9">
        <v>45108</v>
      </c>
      <c r="U3273" s="9">
        <v>45473</v>
      </c>
      <c r="V3273">
        <f>SUM(POTABLE_NONPOTABLE_API[[#This Row],[RESIDENTIAL_SINGLEFAMILY_GAL]:[OTHER_GAL]])</f>
        <v>277006647.80800003</v>
      </c>
      <c r="W3273">
        <f>SUM(POTABLE_NONPOTABLE_API[[#This Row],[NONPOTABLE_DEMAND_RESIDENTIAL_RECYCLED_WATER_GAL]:[NONPOTABLE_DEMAND_NONRESIDENTIAL_METERED_IRRIGATION_GAL]])</f>
        <v>0</v>
      </c>
      <c r="X3273" t="str">
        <f>IFERROR(INDEX(Crosswalk_API!$H$2:$H$527, MATCH(POTABLE_NONPOTABLE_API[[#This Row],[PWSID]], CW_PWSID_LIST, 0)), "")</f>
        <v>No</v>
      </c>
    </row>
    <row r="3274" spans="1:24" x14ac:dyDescent="0.25">
      <c r="A3274" t="s">
        <v>1702</v>
      </c>
      <c r="B3274" t="s">
        <v>1703</v>
      </c>
      <c r="C3274" t="s">
        <v>1704</v>
      </c>
      <c r="D3274" t="s">
        <v>1705</v>
      </c>
      <c r="E3274" s="9">
        <v>45352</v>
      </c>
      <c r="F3274" s="9">
        <v>45382</v>
      </c>
      <c r="G3274">
        <v>149479490.90000001</v>
      </c>
      <c r="H3274">
        <v>61335775.688000001</v>
      </c>
      <c r="I3274">
        <v>46144335.671999998</v>
      </c>
      <c r="J3274">
        <v>5908114.6960000005</v>
      </c>
      <c r="K3274">
        <v>5885673.1359999999</v>
      </c>
      <c r="L3274">
        <v>0</v>
      </c>
      <c r="M3274">
        <v>0</v>
      </c>
      <c r="T3274" s="9">
        <v>45108</v>
      </c>
      <c r="U3274" s="9">
        <v>45473</v>
      </c>
      <c r="V3274">
        <f>SUM(POTABLE_NONPOTABLE_API[[#This Row],[RESIDENTIAL_SINGLEFAMILY_GAL]:[OTHER_GAL]])</f>
        <v>268753390.09200001</v>
      </c>
      <c r="W3274">
        <f>SUM(POTABLE_NONPOTABLE_API[[#This Row],[NONPOTABLE_DEMAND_RESIDENTIAL_RECYCLED_WATER_GAL]:[NONPOTABLE_DEMAND_NONRESIDENTIAL_METERED_IRRIGATION_GAL]])</f>
        <v>0</v>
      </c>
      <c r="X3274" t="str">
        <f>IFERROR(INDEX(Crosswalk_API!$H$2:$H$527, MATCH(POTABLE_NONPOTABLE_API[[#This Row],[PWSID]], CW_PWSID_LIST, 0)), "")</f>
        <v>No</v>
      </c>
    </row>
    <row r="3275" spans="1:24" x14ac:dyDescent="0.25">
      <c r="A3275" t="s">
        <v>1702</v>
      </c>
      <c r="B3275" t="s">
        <v>1703</v>
      </c>
      <c r="C3275" t="s">
        <v>1704</v>
      </c>
      <c r="D3275" t="s">
        <v>1705</v>
      </c>
      <c r="E3275" s="9">
        <v>45383</v>
      </c>
      <c r="F3275" s="9">
        <v>45412</v>
      </c>
      <c r="G3275">
        <v>141296550.072</v>
      </c>
      <c r="H3275">
        <v>56203390.916000001</v>
      </c>
      <c r="I3275">
        <v>45526444.719999999</v>
      </c>
      <c r="J3275">
        <v>4628197.7240000004</v>
      </c>
      <c r="K3275">
        <v>4496540.5719999997</v>
      </c>
      <c r="L3275">
        <v>0</v>
      </c>
      <c r="M3275">
        <v>0</v>
      </c>
      <c r="T3275" s="9">
        <v>45108</v>
      </c>
      <c r="U3275" s="9">
        <v>45473</v>
      </c>
      <c r="V3275">
        <f>SUM(POTABLE_NONPOTABLE_API[[#This Row],[RESIDENTIAL_SINGLEFAMILY_GAL]:[OTHER_GAL]])</f>
        <v>252151124.00400001</v>
      </c>
      <c r="W3275">
        <f>SUM(POTABLE_NONPOTABLE_API[[#This Row],[NONPOTABLE_DEMAND_RESIDENTIAL_RECYCLED_WATER_GAL]:[NONPOTABLE_DEMAND_NONRESIDENTIAL_METERED_IRRIGATION_GAL]])</f>
        <v>0</v>
      </c>
      <c r="X3275" t="str">
        <f>IFERROR(INDEX(Crosswalk_API!$H$2:$H$527, MATCH(POTABLE_NONPOTABLE_API[[#This Row],[PWSID]], CW_PWSID_LIST, 0)), "")</f>
        <v>No</v>
      </c>
    </row>
    <row r="3276" spans="1:24" x14ac:dyDescent="0.25">
      <c r="A3276" t="s">
        <v>1702</v>
      </c>
      <c r="B3276" t="s">
        <v>1703</v>
      </c>
      <c r="C3276" t="s">
        <v>1704</v>
      </c>
      <c r="D3276" t="s">
        <v>1705</v>
      </c>
      <c r="E3276" s="9">
        <v>45413</v>
      </c>
      <c r="F3276" s="9">
        <v>45443</v>
      </c>
      <c r="G3276">
        <v>176147544.70000002</v>
      </c>
      <c r="H3276">
        <v>62773531.631999999</v>
      </c>
      <c r="I3276">
        <v>50563826.888000004</v>
      </c>
      <c r="J3276">
        <v>12154348.896</v>
      </c>
      <c r="K3276">
        <v>4995491.2560000001</v>
      </c>
      <c r="L3276">
        <v>0</v>
      </c>
      <c r="M3276">
        <v>0</v>
      </c>
      <c r="T3276" s="9">
        <v>45108</v>
      </c>
      <c r="U3276" s="9">
        <v>45473</v>
      </c>
      <c r="V3276">
        <f>SUM(POTABLE_NONPOTABLE_API[[#This Row],[RESIDENTIAL_SINGLEFAMILY_GAL]:[OTHER_GAL]])</f>
        <v>306634743.37200004</v>
      </c>
      <c r="W3276">
        <f>SUM(POTABLE_NONPOTABLE_API[[#This Row],[NONPOTABLE_DEMAND_RESIDENTIAL_RECYCLED_WATER_GAL]:[NONPOTABLE_DEMAND_NONRESIDENTIAL_METERED_IRRIGATION_GAL]])</f>
        <v>0</v>
      </c>
      <c r="X3276" t="str">
        <f>IFERROR(INDEX(Crosswalk_API!$H$2:$H$527, MATCH(POTABLE_NONPOTABLE_API[[#This Row],[PWSID]], CW_PWSID_LIST, 0)), "")</f>
        <v>No</v>
      </c>
    </row>
    <row r="3277" spans="1:24" x14ac:dyDescent="0.25">
      <c r="A3277" t="s">
        <v>1702</v>
      </c>
      <c r="B3277" t="s">
        <v>1703</v>
      </c>
      <c r="C3277" t="s">
        <v>1704</v>
      </c>
      <c r="D3277" t="s">
        <v>1705</v>
      </c>
      <c r="E3277" s="9">
        <v>45444</v>
      </c>
      <c r="F3277" s="9">
        <v>45473</v>
      </c>
      <c r="G3277">
        <v>239233014.016</v>
      </c>
      <c r="H3277">
        <v>68755703.475999996</v>
      </c>
      <c r="I3277">
        <v>336385519.46399999</v>
      </c>
      <c r="J3277">
        <v>32502111.348000001</v>
      </c>
      <c r="K3277">
        <v>5436093.8840000005</v>
      </c>
      <c r="L3277">
        <v>0</v>
      </c>
      <c r="M3277">
        <v>0</v>
      </c>
      <c r="T3277" s="9">
        <v>45108</v>
      </c>
      <c r="U3277" s="9">
        <v>45473</v>
      </c>
      <c r="V3277">
        <f>SUM(POTABLE_NONPOTABLE_API[[#This Row],[RESIDENTIAL_SINGLEFAMILY_GAL]:[OTHER_GAL]])</f>
        <v>682312442.18799996</v>
      </c>
      <c r="W3277">
        <f>SUM(POTABLE_NONPOTABLE_API[[#This Row],[NONPOTABLE_DEMAND_RESIDENTIAL_RECYCLED_WATER_GAL]:[NONPOTABLE_DEMAND_NONRESIDENTIAL_METERED_IRRIGATION_GAL]])</f>
        <v>0</v>
      </c>
      <c r="X3277" t="str">
        <f>IFERROR(INDEX(Crosswalk_API!$H$2:$H$527, MATCH(POTABLE_NONPOTABLE_API[[#This Row],[PWSID]], CW_PWSID_LIST, 0)), "")</f>
        <v>No</v>
      </c>
    </row>
    <row r="3278" spans="1:24" x14ac:dyDescent="0.25">
      <c r="A3278" t="s">
        <v>1706</v>
      </c>
      <c r="B3278" t="s">
        <v>1707</v>
      </c>
      <c r="C3278" t="s">
        <v>1708</v>
      </c>
      <c r="D3278" t="s">
        <v>1709</v>
      </c>
      <c r="E3278" s="9">
        <v>45108</v>
      </c>
      <c r="F3278" s="9">
        <v>45138</v>
      </c>
      <c r="G3278">
        <v>169324562.40799999</v>
      </c>
      <c r="H3278">
        <v>133637245.64400001</v>
      </c>
      <c r="I3278">
        <v>104909804.68800001</v>
      </c>
      <c r="J3278">
        <v>38021987.056000002</v>
      </c>
      <c r="K3278">
        <v>1972613.1240000001</v>
      </c>
      <c r="L3278">
        <v>137641.568</v>
      </c>
      <c r="M3278">
        <v>26181.82</v>
      </c>
      <c r="N3278">
        <v>0</v>
      </c>
      <c r="O3278">
        <v>0</v>
      </c>
      <c r="Q3278">
        <v>0</v>
      </c>
      <c r="R3278">
        <v>0</v>
      </c>
      <c r="T3278" s="9">
        <v>45108</v>
      </c>
      <c r="U3278" s="9">
        <v>45473</v>
      </c>
      <c r="V3278">
        <f>SUM(POTABLE_NONPOTABLE_API[[#This Row],[RESIDENTIAL_SINGLEFAMILY_GAL]:[OTHER_GAL]])</f>
        <v>448003854.48800004</v>
      </c>
      <c r="W3278">
        <f>SUM(POTABLE_NONPOTABLE_API[[#This Row],[NONPOTABLE_DEMAND_RESIDENTIAL_RECYCLED_WATER_GAL]:[NONPOTABLE_DEMAND_NONRESIDENTIAL_METERED_IRRIGATION_GAL]])</f>
        <v>0</v>
      </c>
      <c r="X3278" t="str">
        <f>IFERROR(INDEX(Crosswalk_API!$H$2:$H$527, MATCH(POTABLE_NONPOTABLE_API[[#This Row],[PWSID]], CW_PWSID_LIST, 0)), "")</f>
        <v>No</v>
      </c>
    </row>
    <row r="3279" spans="1:24" x14ac:dyDescent="0.25">
      <c r="A3279" t="s">
        <v>1706</v>
      </c>
      <c r="B3279" t="s">
        <v>1707</v>
      </c>
      <c r="C3279" t="s">
        <v>1708</v>
      </c>
      <c r="D3279" t="s">
        <v>1709</v>
      </c>
      <c r="E3279" s="9">
        <v>45139</v>
      </c>
      <c r="F3279" s="9">
        <v>45169</v>
      </c>
      <c r="G3279">
        <v>113331374.104</v>
      </c>
      <c r="H3279">
        <v>165567097.21200001</v>
      </c>
      <c r="I3279">
        <v>116044558.708</v>
      </c>
      <c r="J3279">
        <v>103016485.07600001</v>
      </c>
      <c r="K3279">
        <v>11375626.764</v>
      </c>
      <c r="L3279">
        <v>91262.343999999997</v>
      </c>
      <c r="M3279">
        <v>52363.64</v>
      </c>
      <c r="N3279">
        <v>0</v>
      </c>
      <c r="O3279">
        <v>0</v>
      </c>
      <c r="P3279">
        <v>0</v>
      </c>
      <c r="Q3279">
        <v>0</v>
      </c>
      <c r="R3279">
        <v>0</v>
      </c>
      <c r="S3279">
        <v>0</v>
      </c>
      <c r="T3279" s="9">
        <v>45108</v>
      </c>
      <c r="U3279" s="9">
        <v>45473</v>
      </c>
      <c r="V3279">
        <f>SUM(POTABLE_NONPOTABLE_API[[#This Row],[RESIDENTIAL_SINGLEFAMILY_GAL]:[OTHER_GAL]])</f>
        <v>509426404.208</v>
      </c>
      <c r="W3279">
        <f>SUM(POTABLE_NONPOTABLE_API[[#This Row],[NONPOTABLE_DEMAND_RESIDENTIAL_RECYCLED_WATER_GAL]:[NONPOTABLE_DEMAND_NONRESIDENTIAL_METERED_IRRIGATION_GAL]])</f>
        <v>0</v>
      </c>
      <c r="X3279" t="str">
        <f>IFERROR(INDEX(Crosswalk_API!$H$2:$H$527, MATCH(POTABLE_NONPOTABLE_API[[#This Row],[PWSID]], CW_PWSID_LIST, 0)), "")</f>
        <v>No</v>
      </c>
    </row>
    <row r="3280" spans="1:24" x14ac:dyDescent="0.25">
      <c r="A3280" t="s">
        <v>1706</v>
      </c>
      <c r="B3280" t="s">
        <v>1707</v>
      </c>
      <c r="C3280" t="s">
        <v>1708</v>
      </c>
      <c r="D3280" t="s">
        <v>1709</v>
      </c>
      <c r="E3280" s="9">
        <v>45170</v>
      </c>
      <c r="F3280" s="9">
        <v>45199</v>
      </c>
      <c r="G3280">
        <v>174500334.19600001</v>
      </c>
      <c r="H3280">
        <v>140861183.808</v>
      </c>
      <c r="I3280">
        <v>107949888.016</v>
      </c>
      <c r="J3280">
        <v>40273623.575999998</v>
      </c>
      <c r="K3280">
        <v>2167106.6439999999</v>
      </c>
      <c r="L3280">
        <v>160831.18</v>
      </c>
      <c r="M3280">
        <v>28425.976000000002</v>
      </c>
      <c r="N3280">
        <v>0</v>
      </c>
      <c r="O3280">
        <v>0</v>
      </c>
      <c r="P3280">
        <v>0</v>
      </c>
      <c r="Q3280">
        <v>0</v>
      </c>
      <c r="R3280">
        <v>0</v>
      </c>
      <c r="S3280">
        <v>0</v>
      </c>
      <c r="T3280" s="9">
        <v>45108</v>
      </c>
      <c r="U3280" s="9">
        <v>45473</v>
      </c>
      <c r="V3280">
        <f>SUM(POTABLE_NONPOTABLE_API[[#This Row],[RESIDENTIAL_SINGLEFAMILY_GAL]:[OTHER_GAL]])</f>
        <v>465912967.41999996</v>
      </c>
      <c r="W3280">
        <f>SUM(POTABLE_NONPOTABLE_API[[#This Row],[NONPOTABLE_DEMAND_RESIDENTIAL_RECYCLED_WATER_GAL]:[NONPOTABLE_DEMAND_NONRESIDENTIAL_METERED_IRRIGATION_GAL]])</f>
        <v>0</v>
      </c>
      <c r="X3280" t="str">
        <f>IFERROR(INDEX(Crosswalk_API!$H$2:$H$527, MATCH(POTABLE_NONPOTABLE_API[[#This Row],[PWSID]], CW_PWSID_LIST, 0)), "")</f>
        <v>No</v>
      </c>
    </row>
    <row r="3281" spans="1:24" x14ac:dyDescent="0.25">
      <c r="A3281" t="s">
        <v>1706</v>
      </c>
      <c r="B3281" t="s">
        <v>1707</v>
      </c>
      <c r="C3281" t="s">
        <v>1708</v>
      </c>
      <c r="D3281" t="s">
        <v>1709</v>
      </c>
      <c r="E3281" s="9">
        <v>45200</v>
      </c>
      <c r="F3281" s="9">
        <v>45230</v>
      </c>
      <c r="G3281">
        <v>100058687.46800001</v>
      </c>
      <c r="H3281">
        <v>155613517.30000001</v>
      </c>
      <c r="I3281">
        <v>103770521.492</v>
      </c>
      <c r="J3281">
        <v>24449331.568</v>
      </c>
      <c r="K3281">
        <v>11243221.560000001</v>
      </c>
      <c r="L3281">
        <v>50119.484000000004</v>
      </c>
      <c r="M3281">
        <v>25433.768</v>
      </c>
      <c r="N3281">
        <v>0</v>
      </c>
      <c r="O3281">
        <v>0</v>
      </c>
      <c r="P3281">
        <v>0</v>
      </c>
      <c r="Q3281">
        <v>0</v>
      </c>
      <c r="R3281">
        <v>0</v>
      </c>
      <c r="S3281">
        <v>0</v>
      </c>
      <c r="T3281" s="9">
        <v>45108</v>
      </c>
      <c r="U3281" s="9">
        <v>45473</v>
      </c>
      <c r="V3281">
        <f>SUM(POTABLE_NONPOTABLE_API[[#This Row],[RESIDENTIAL_SINGLEFAMILY_GAL]:[OTHER_GAL]])</f>
        <v>395185398.87200004</v>
      </c>
      <c r="W3281">
        <f>SUM(POTABLE_NONPOTABLE_API[[#This Row],[NONPOTABLE_DEMAND_RESIDENTIAL_RECYCLED_WATER_GAL]:[NONPOTABLE_DEMAND_NONRESIDENTIAL_METERED_IRRIGATION_GAL]])</f>
        <v>0</v>
      </c>
      <c r="X3281" t="str">
        <f>IFERROR(INDEX(Crosswalk_API!$H$2:$H$527, MATCH(POTABLE_NONPOTABLE_API[[#This Row],[PWSID]], CW_PWSID_LIST, 0)), "")</f>
        <v>No</v>
      </c>
    </row>
    <row r="3282" spans="1:24" x14ac:dyDescent="0.25">
      <c r="A3282" t="s">
        <v>1706</v>
      </c>
      <c r="B3282" t="s">
        <v>1707</v>
      </c>
      <c r="C3282" t="s">
        <v>1708</v>
      </c>
      <c r="D3282" t="s">
        <v>1709</v>
      </c>
      <c r="E3282" s="9">
        <v>45231</v>
      </c>
      <c r="F3282" s="9">
        <v>45260</v>
      </c>
      <c r="G3282">
        <v>147898857.02400002</v>
      </c>
      <c r="H3282">
        <v>127030450.38000001</v>
      </c>
      <c r="I3282">
        <v>95966094.975999996</v>
      </c>
      <c r="J3282">
        <v>32686880.192000002</v>
      </c>
      <c r="K3282">
        <v>2682514.4720000001</v>
      </c>
      <c r="L3282">
        <v>87522.084000000003</v>
      </c>
      <c r="M3282">
        <v>35158.444000000003</v>
      </c>
      <c r="N3282">
        <v>0</v>
      </c>
      <c r="O3282">
        <v>0</v>
      </c>
      <c r="P3282">
        <v>0</v>
      </c>
      <c r="Q3282">
        <v>0</v>
      </c>
      <c r="R3282">
        <v>0</v>
      </c>
      <c r="S3282">
        <v>0</v>
      </c>
      <c r="T3282" s="9">
        <v>45108</v>
      </c>
      <c r="U3282" s="9">
        <v>45473</v>
      </c>
      <c r="V3282">
        <f>SUM(POTABLE_NONPOTABLE_API[[#This Row],[RESIDENTIAL_SINGLEFAMILY_GAL]:[OTHER_GAL]])</f>
        <v>406352319.12800002</v>
      </c>
      <c r="W3282">
        <f>SUM(POTABLE_NONPOTABLE_API[[#This Row],[NONPOTABLE_DEMAND_RESIDENTIAL_RECYCLED_WATER_GAL]:[NONPOTABLE_DEMAND_NONRESIDENTIAL_METERED_IRRIGATION_GAL]])</f>
        <v>0</v>
      </c>
      <c r="X3282" t="str">
        <f>IFERROR(INDEX(Crosswalk_API!$H$2:$H$527, MATCH(POTABLE_NONPOTABLE_API[[#This Row],[PWSID]], CW_PWSID_LIST, 0)), "")</f>
        <v>No</v>
      </c>
    </row>
    <row r="3283" spans="1:24" x14ac:dyDescent="0.25">
      <c r="A3283" t="s">
        <v>1706</v>
      </c>
      <c r="B3283" t="s">
        <v>1707</v>
      </c>
      <c r="C3283" t="s">
        <v>1708</v>
      </c>
      <c r="D3283" t="s">
        <v>1709</v>
      </c>
      <c r="E3283" s="9">
        <v>45261</v>
      </c>
      <c r="F3283" s="9">
        <v>45291</v>
      </c>
      <c r="G3283">
        <v>94473731.236000001</v>
      </c>
      <c r="H3283">
        <v>155834940.692</v>
      </c>
      <c r="I3283">
        <v>90433502.384000003</v>
      </c>
      <c r="J3283">
        <v>32375690.560000002</v>
      </c>
      <c r="K3283">
        <v>10351543.575999999</v>
      </c>
      <c r="L3283">
        <v>83033.771999999997</v>
      </c>
      <c r="M3283">
        <v>2992.2080000000001</v>
      </c>
      <c r="N3283">
        <v>0</v>
      </c>
      <c r="O3283">
        <v>0</v>
      </c>
      <c r="P3283">
        <v>0</v>
      </c>
      <c r="Q3283">
        <v>0</v>
      </c>
      <c r="R3283">
        <v>0</v>
      </c>
      <c r="S3283">
        <v>0</v>
      </c>
      <c r="T3283" s="9">
        <v>45108</v>
      </c>
      <c r="U3283" s="9">
        <v>45473</v>
      </c>
      <c r="V3283">
        <f>SUM(POTABLE_NONPOTABLE_API[[#This Row],[RESIDENTIAL_SINGLEFAMILY_GAL]:[OTHER_GAL]])</f>
        <v>383552442.22000003</v>
      </c>
      <c r="W3283">
        <f>SUM(POTABLE_NONPOTABLE_API[[#This Row],[NONPOTABLE_DEMAND_RESIDENTIAL_RECYCLED_WATER_GAL]:[NONPOTABLE_DEMAND_NONRESIDENTIAL_METERED_IRRIGATION_GAL]])</f>
        <v>0</v>
      </c>
      <c r="X3283" t="str">
        <f>IFERROR(INDEX(Crosswalk_API!$H$2:$H$527, MATCH(POTABLE_NONPOTABLE_API[[#This Row],[PWSID]], CW_PWSID_LIST, 0)), "")</f>
        <v>No</v>
      </c>
    </row>
    <row r="3284" spans="1:24" x14ac:dyDescent="0.25">
      <c r="A3284" t="s">
        <v>1706</v>
      </c>
      <c r="B3284" t="s">
        <v>1707</v>
      </c>
      <c r="C3284" t="s">
        <v>1708</v>
      </c>
      <c r="D3284" t="s">
        <v>1709</v>
      </c>
      <c r="E3284" s="9">
        <v>45292</v>
      </c>
      <c r="F3284" s="9">
        <v>45322</v>
      </c>
      <c r="G3284">
        <v>130216403.848</v>
      </c>
      <c r="H3284">
        <v>116841234.088</v>
      </c>
      <c r="I3284">
        <v>82551278.460000008</v>
      </c>
      <c r="J3284">
        <v>21616458.644000001</v>
      </c>
      <c r="K3284">
        <v>2238919.6359999999</v>
      </c>
      <c r="L3284">
        <v>273787.03200000001</v>
      </c>
      <c r="M3284">
        <v>1496.104</v>
      </c>
      <c r="N3284">
        <v>0</v>
      </c>
      <c r="O3284">
        <v>0</v>
      </c>
      <c r="P3284">
        <v>0</v>
      </c>
      <c r="Q3284">
        <v>0</v>
      </c>
      <c r="R3284">
        <v>0</v>
      </c>
      <c r="S3284">
        <v>0</v>
      </c>
      <c r="T3284" s="9">
        <v>45108</v>
      </c>
      <c r="U3284" s="9">
        <v>45473</v>
      </c>
      <c r="V3284">
        <f>SUM(POTABLE_NONPOTABLE_API[[#This Row],[RESIDENTIAL_SINGLEFAMILY_GAL]:[OTHER_GAL]])</f>
        <v>353738081.708</v>
      </c>
      <c r="W3284">
        <f>SUM(POTABLE_NONPOTABLE_API[[#This Row],[NONPOTABLE_DEMAND_RESIDENTIAL_RECYCLED_WATER_GAL]:[NONPOTABLE_DEMAND_NONRESIDENTIAL_METERED_IRRIGATION_GAL]])</f>
        <v>0</v>
      </c>
      <c r="X3284" t="str">
        <f>IFERROR(INDEX(Crosswalk_API!$H$2:$H$527, MATCH(POTABLE_NONPOTABLE_API[[#This Row],[PWSID]], CW_PWSID_LIST, 0)), "")</f>
        <v>No</v>
      </c>
    </row>
    <row r="3285" spans="1:24" x14ac:dyDescent="0.25">
      <c r="A3285" t="s">
        <v>1706</v>
      </c>
      <c r="B3285" t="s">
        <v>1707</v>
      </c>
      <c r="C3285" t="s">
        <v>1708</v>
      </c>
      <c r="D3285" t="s">
        <v>1709</v>
      </c>
      <c r="E3285" s="9">
        <v>45323</v>
      </c>
      <c r="F3285" s="9">
        <v>45351</v>
      </c>
      <c r="G3285">
        <v>77524369.019999996</v>
      </c>
      <c r="H3285">
        <v>144727116.544</v>
      </c>
      <c r="I3285">
        <v>72579745.299999997</v>
      </c>
      <c r="J3285">
        <v>15440541.332</v>
      </c>
      <c r="K3285">
        <v>8583896.7000000011</v>
      </c>
      <c r="L3285">
        <v>106223.38400000001</v>
      </c>
      <c r="M3285">
        <v>56851.952000000005</v>
      </c>
      <c r="N3285">
        <v>0</v>
      </c>
      <c r="O3285">
        <v>0</v>
      </c>
      <c r="P3285">
        <v>0</v>
      </c>
      <c r="Q3285">
        <v>0</v>
      </c>
      <c r="R3285">
        <v>0</v>
      </c>
      <c r="S3285">
        <v>0</v>
      </c>
      <c r="T3285" s="9">
        <v>45108</v>
      </c>
      <c r="U3285" s="9">
        <v>45473</v>
      </c>
      <c r="V3285">
        <f>SUM(POTABLE_NONPOTABLE_API[[#This Row],[RESIDENTIAL_SINGLEFAMILY_GAL]:[OTHER_GAL]])</f>
        <v>318961892.28000003</v>
      </c>
      <c r="W3285">
        <f>SUM(POTABLE_NONPOTABLE_API[[#This Row],[NONPOTABLE_DEMAND_RESIDENTIAL_RECYCLED_WATER_GAL]:[NONPOTABLE_DEMAND_NONRESIDENTIAL_METERED_IRRIGATION_GAL]])</f>
        <v>0</v>
      </c>
      <c r="X3285" t="str">
        <f>IFERROR(INDEX(Crosswalk_API!$H$2:$H$527, MATCH(POTABLE_NONPOTABLE_API[[#This Row],[PWSID]], CW_PWSID_LIST, 0)), "")</f>
        <v>No</v>
      </c>
    </row>
    <row r="3286" spans="1:24" x14ac:dyDescent="0.25">
      <c r="A3286" t="s">
        <v>1706</v>
      </c>
      <c r="B3286" t="s">
        <v>1707</v>
      </c>
      <c r="C3286" t="s">
        <v>1708</v>
      </c>
      <c r="D3286" t="s">
        <v>1709</v>
      </c>
      <c r="E3286" s="9">
        <v>45352</v>
      </c>
      <c r="F3286" s="9">
        <v>45382</v>
      </c>
      <c r="G3286">
        <v>87687403.491999999</v>
      </c>
      <c r="H3286">
        <v>103598469.53200001</v>
      </c>
      <c r="I3286">
        <v>62069614.700000003</v>
      </c>
      <c r="J3286">
        <v>7280790.1160000004</v>
      </c>
      <c r="K3286">
        <v>1603823.4880000001</v>
      </c>
      <c r="L3286">
        <v>55355.847999999998</v>
      </c>
      <c r="M3286">
        <v>2992.2080000000001</v>
      </c>
      <c r="N3286">
        <v>0</v>
      </c>
      <c r="O3286">
        <v>0</v>
      </c>
      <c r="P3286">
        <v>0</v>
      </c>
      <c r="Q3286">
        <v>0</v>
      </c>
      <c r="R3286">
        <v>0</v>
      </c>
      <c r="S3286">
        <v>0</v>
      </c>
      <c r="T3286" s="9">
        <v>45108</v>
      </c>
      <c r="U3286" s="9">
        <v>45473</v>
      </c>
      <c r="V3286">
        <f>SUM(POTABLE_NONPOTABLE_API[[#This Row],[RESIDENTIAL_SINGLEFAMILY_GAL]:[OTHER_GAL]])</f>
        <v>262295457.17599997</v>
      </c>
      <c r="W3286">
        <f>SUM(POTABLE_NONPOTABLE_API[[#This Row],[NONPOTABLE_DEMAND_RESIDENTIAL_RECYCLED_WATER_GAL]:[NONPOTABLE_DEMAND_NONRESIDENTIAL_METERED_IRRIGATION_GAL]])</f>
        <v>0</v>
      </c>
      <c r="X3286" t="str">
        <f>IFERROR(INDEX(Crosswalk_API!$H$2:$H$527, MATCH(POTABLE_NONPOTABLE_API[[#This Row],[PWSID]], CW_PWSID_LIST, 0)), "")</f>
        <v>No</v>
      </c>
    </row>
    <row r="3287" spans="1:24" x14ac:dyDescent="0.25">
      <c r="A3287" t="s">
        <v>1706</v>
      </c>
      <c r="B3287" t="s">
        <v>1707</v>
      </c>
      <c r="C3287" t="s">
        <v>1708</v>
      </c>
      <c r="D3287" t="s">
        <v>1709</v>
      </c>
      <c r="E3287" s="9">
        <v>45383</v>
      </c>
      <c r="F3287" s="9">
        <v>45412</v>
      </c>
      <c r="G3287">
        <v>67543859.236000001</v>
      </c>
      <c r="H3287">
        <v>136693038.06400001</v>
      </c>
      <c r="I3287">
        <v>78570145.716000006</v>
      </c>
      <c r="J3287">
        <v>29256313.720000003</v>
      </c>
      <c r="K3287">
        <v>9235449.9920000006</v>
      </c>
      <c r="L3287">
        <v>77797.407999999996</v>
      </c>
      <c r="M3287">
        <v>3740.26</v>
      </c>
      <c r="N3287">
        <v>0</v>
      </c>
      <c r="O3287">
        <v>0</v>
      </c>
      <c r="P3287">
        <v>0</v>
      </c>
      <c r="Q3287">
        <v>0</v>
      </c>
      <c r="R3287">
        <v>0</v>
      </c>
      <c r="S3287">
        <v>0</v>
      </c>
      <c r="T3287" s="9">
        <v>45108</v>
      </c>
      <c r="U3287" s="9">
        <v>45473</v>
      </c>
      <c r="V3287">
        <f>SUM(POTABLE_NONPOTABLE_API[[#This Row],[RESIDENTIAL_SINGLEFAMILY_GAL]:[OTHER_GAL]])</f>
        <v>321376604.13600004</v>
      </c>
      <c r="W3287">
        <f>SUM(POTABLE_NONPOTABLE_API[[#This Row],[NONPOTABLE_DEMAND_RESIDENTIAL_RECYCLED_WATER_GAL]:[NONPOTABLE_DEMAND_NONRESIDENTIAL_METERED_IRRIGATION_GAL]])</f>
        <v>0</v>
      </c>
      <c r="X3287" t="str">
        <f>IFERROR(INDEX(Crosswalk_API!$H$2:$H$527, MATCH(POTABLE_NONPOTABLE_API[[#This Row],[PWSID]], CW_PWSID_LIST, 0)), "")</f>
        <v>No</v>
      </c>
    </row>
    <row r="3288" spans="1:24" x14ac:dyDescent="0.25">
      <c r="A3288" t="s">
        <v>1706</v>
      </c>
      <c r="B3288" t="s">
        <v>1707</v>
      </c>
      <c r="C3288" t="s">
        <v>1708</v>
      </c>
      <c r="D3288" t="s">
        <v>1709</v>
      </c>
      <c r="E3288" s="9">
        <v>45413</v>
      </c>
      <c r="F3288" s="9">
        <v>45443</v>
      </c>
      <c r="G3288">
        <v>117309514.64</v>
      </c>
      <c r="H3288">
        <v>101234625.212</v>
      </c>
      <c r="I3288">
        <v>78641958.708000004</v>
      </c>
      <c r="J3288">
        <v>22735544.436000001</v>
      </c>
      <c r="K3288">
        <v>2583023.5559999999</v>
      </c>
      <c r="L3288">
        <v>1352478.0160000001</v>
      </c>
      <c r="M3288">
        <v>23189.612000000001</v>
      </c>
      <c r="N3288">
        <v>0</v>
      </c>
      <c r="O3288">
        <v>0</v>
      </c>
      <c r="P3288">
        <v>0</v>
      </c>
      <c r="Q3288">
        <v>0</v>
      </c>
      <c r="R3288">
        <v>0</v>
      </c>
      <c r="S3288">
        <v>0</v>
      </c>
      <c r="T3288" s="9">
        <v>45108</v>
      </c>
      <c r="U3288" s="9">
        <v>45473</v>
      </c>
      <c r="V3288">
        <f>SUM(POTABLE_NONPOTABLE_API[[#This Row],[RESIDENTIAL_SINGLEFAMILY_GAL]:[OTHER_GAL]])</f>
        <v>323857144.56799996</v>
      </c>
      <c r="W3288">
        <f>SUM(POTABLE_NONPOTABLE_API[[#This Row],[NONPOTABLE_DEMAND_RESIDENTIAL_RECYCLED_WATER_GAL]:[NONPOTABLE_DEMAND_NONRESIDENTIAL_METERED_IRRIGATION_GAL]])</f>
        <v>0</v>
      </c>
      <c r="X3288" t="str">
        <f>IFERROR(INDEX(Crosswalk_API!$H$2:$H$527, MATCH(POTABLE_NONPOTABLE_API[[#This Row],[PWSID]], CW_PWSID_LIST, 0)), "")</f>
        <v>No</v>
      </c>
    </row>
    <row r="3289" spans="1:24" x14ac:dyDescent="0.25">
      <c r="A3289" t="s">
        <v>1706</v>
      </c>
      <c r="B3289" t="s">
        <v>1707</v>
      </c>
      <c r="C3289" t="s">
        <v>1708</v>
      </c>
      <c r="D3289" t="s">
        <v>1709</v>
      </c>
      <c r="E3289" s="9">
        <v>45444</v>
      </c>
      <c r="F3289" s="9">
        <v>45473</v>
      </c>
      <c r="G3289">
        <v>91943071.320000008</v>
      </c>
      <c r="H3289">
        <v>147623573.88800001</v>
      </c>
      <c r="I3289">
        <v>99119882.208000004</v>
      </c>
      <c r="J3289">
        <v>19025206.515999999</v>
      </c>
      <c r="K3289">
        <v>9539159.1040000003</v>
      </c>
      <c r="L3289">
        <v>61340.264000000003</v>
      </c>
      <c r="M3289">
        <v>160083.128</v>
      </c>
      <c r="N3289">
        <v>0</v>
      </c>
      <c r="O3289">
        <v>0</v>
      </c>
      <c r="P3289">
        <v>0</v>
      </c>
      <c r="Q3289">
        <v>0</v>
      </c>
      <c r="R3289">
        <v>0</v>
      </c>
      <c r="S3289">
        <v>0</v>
      </c>
      <c r="T3289" s="9">
        <v>45108</v>
      </c>
      <c r="U3289" s="9">
        <v>45473</v>
      </c>
      <c r="V3289">
        <f>SUM(POTABLE_NONPOTABLE_API[[#This Row],[RESIDENTIAL_SINGLEFAMILY_GAL]:[OTHER_GAL]])</f>
        <v>367312233.29999995</v>
      </c>
      <c r="W3289">
        <f>SUM(POTABLE_NONPOTABLE_API[[#This Row],[NONPOTABLE_DEMAND_RESIDENTIAL_RECYCLED_WATER_GAL]:[NONPOTABLE_DEMAND_NONRESIDENTIAL_METERED_IRRIGATION_GAL]])</f>
        <v>0</v>
      </c>
      <c r="X3289" t="str">
        <f>IFERROR(INDEX(Crosswalk_API!$H$2:$H$527, MATCH(POTABLE_NONPOTABLE_API[[#This Row],[PWSID]], CW_PWSID_LIST, 0)), "")</f>
        <v>No</v>
      </c>
    </row>
    <row r="3290" spans="1:24" x14ac:dyDescent="0.25">
      <c r="A3290" t="s">
        <v>1710</v>
      </c>
      <c r="B3290" t="s">
        <v>1711</v>
      </c>
      <c r="C3290" t="s">
        <v>1712</v>
      </c>
      <c r="D3290" t="s">
        <v>1713</v>
      </c>
      <c r="E3290" s="9">
        <v>45108</v>
      </c>
      <c r="F3290" s="9">
        <v>45138</v>
      </c>
      <c r="G3290">
        <v>42125864</v>
      </c>
      <c r="H3290">
        <v>12060752</v>
      </c>
      <c r="I3290">
        <v>10912572</v>
      </c>
      <c r="J3290">
        <v>7610900</v>
      </c>
      <c r="K3290">
        <v>1473560</v>
      </c>
      <c r="L3290">
        <v>53856</v>
      </c>
      <c r="M3290">
        <v>0</v>
      </c>
      <c r="T3290" s="9">
        <v>45108</v>
      </c>
      <c r="U3290" s="9">
        <v>45473</v>
      </c>
      <c r="V3290">
        <f>SUM(POTABLE_NONPOTABLE_API[[#This Row],[RESIDENTIAL_SINGLEFAMILY_GAL]:[OTHER_GAL]])</f>
        <v>74237504</v>
      </c>
      <c r="W3290">
        <f>SUM(POTABLE_NONPOTABLE_API[[#This Row],[NONPOTABLE_DEMAND_RESIDENTIAL_RECYCLED_WATER_GAL]:[NONPOTABLE_DEMAND_NONRESIDENTIAL_METERED_IRRIGATION_GAL]])</f>
        <v>0</v>
      </c>
      <c r="X3290" t="str">
        <f>IFERROR(INDEX(Crosswalk_API!$H$2:$H$527, MATCH(POTABLE_NONPOTABLE_API[[#This Row],[PWSID]], CW_PWSID_LIST, 0)), "")</f>
        <v>No</v>
      </c>
    </row>
    <row r="3291" spans="1:24" x14ac:dyDescent="0.25">
      <c r="A3291" t="s">
        <v>1710</v>
      </c>
      <c r="B3291" t="s">
        <v>1711</v>
      </c>
      <c r="C3291" t="s">
        <v>1712</v>
      </c>
      <c r="D3291" t="s">
        <v>1713</v>
      </c>
      <c r="E3291" s="9">
        <v>45139</v>
      </c>
      <c r="F3291" s="9">
        <v>45169</v>
      </c>
      <c r="G3291">
        <v>48449456</v>
      </c>
      <c r="H3291">
        <v>13453528</v>
      </c>
      <c r="I3291">
        <v>12899260</v>
      </c>
      <c r="J3291">
        <v>9054540</v>
      </c>
      <c r="K3291">
        <v>2116840</v>
      </c>
      <c r="L3291">
        <v>89012</v>
      </c>
      <c r="M3291">
        <v>0</v>
      </c>
      <c r="T3291" s="9">
        <v>45108</v>
      </c>
      <c r="U3291" s="9">
        <v>45473</v>
      </c>
      <c r="V3291">
        <f>SUM(POTABLE_NONPOTABLE_API[[#This Row],[RESIDENTIAL_SINGLEFAMILY_GAL]:[OTHER_GAL]])</f>
        <v>86062636</v>
      </c>
      <c r="W3291">
        <f>SUM(POTABLE_NONPOTABLE_API[[#This Row],[NONPOTABLE_DEMAND_RESIDENTIAL_RECYCLED_WATER_GAL]:[NONPOTABLE_DEMAND_NONRESIDENTIAL_METERED_IRRIGATION_GAL]])</f>
        <v>0</v>
      </c>
      <c r="X3291" t="str">
        <f>IFERROR(INDEX(Crosswalk_API!$H$2:$H$527, MATCH(POTABLE_NONPOTABLE_API[[#This Row],[PWSID]], CW_PWSID_LIST, 0)), "")</f>
        <v>No</v>
      </c>
    </row>
    <row r="3292" spans="1:24" x14ac:dyDescent="0.25">
      <c r="A3292" t="s">
        <v>1710</v>
      </c>
      <c r="B3292" t="s">
        <v>1711</v>
      </c>
      <c r="C3292" t="s">
        <v>1712</v>
      </c>
      <c r="D3292" t="s">
        <v>1713</v>
      </c>
      <c r="E3292" s="9">
        <v>45170</v>
      </c>
      <c r="F3292" s="9">
        <v>45199</v>
      </c>
      <c r="G3292">
        <v>44607728</v>
      </c>
      <c r="H3292">
        <v>13247828</v>
      </c>
      <c r="I3292">
        <v>11341176</v>
      </c>
      <c r="J3292">
        <v>6358748</v>
      </c>
      <c r="K3292">
        <v>1735360</v>
      </c>
      <c r="L3292">
        <v>8228</v>
      </c>
      <c r="M3292">
        <v>0</v>
      </c>
      <c r="T3292" s="9">
        <v>45108</v>
      </c>
      <c r="U3292" s="9">
        <v>45473</v>
      </c>
      <c r="V3292">
        <f>SUM(POTABLE_NONPOTABLE_API[[#This Row],[RESIDENTIAL_SINGLEFAMILY_GAL]:[OTHER_GAL]])</f>
        <v>77299068</v>
      </c>
      <c r="W3292">
        <f>SUM(POTABLE_NONPOTABLE_API[[#This Row],[NONPOTABLE_DEMAND_RESIDENTIAL_RECYCLED_WATER_GAL]:[NONPOTABLE_DEMAND_NONRESIDENTIAL_METERED_IRRIGATION_GAL]])</f>
        <v>0</v>
      </c>
      <c r="X3292" t="str">
        <f>IFERROR(INDEX(Crosswalk_API!$H$2:$H$527, MATCH(POTABLE_NONPOTABLE_API[[#This Row],[PWSID]], CW_PWSID_LIST, 0)), "")</f>
        <v>No</v>
      </c>
    </row>
    <row r="3293" spans="1:24" x14ac:dyDescent="0.25">
      <c r="A3293" t="s">
        <v>1710</v>
      </c>
      <c r="B3293" t="s">
        <v>1711</v>
      </c>
      <c r="C3293" t="s">
        <v>1712</v>
      </c>
      <c r="D3293" t="s">
        <v>1713</v>
      </c>
      <c r="E3293" s="9">
        <v>45200</v>
      </c>
      <c r="F3293" s="9">
        <v>45230</v>
      </c>
      <c r="G3293">
        <v>43450572</v>
      </c>
      <c r="H3293">
        <v>13728044</v>
      </c>
      <c r="I3293">
        <v>12043548</v>
      </c>
      <c r="J3293">
        <v>6670664</v>
      </c>
      <c r="K3293">
        <v>1944800</v>
      </c>
      <c r="L3293">
        <v>3740</v>
      </c>
      <c r="M3293">
        <v>0</v>
      </c>
      <c r="T3293" s="9">
        <v>45108</v>
      </c>
      <c r="U3293" s="9">
        <v>45473</v>
      </c>
      <c r="V3293">
        <f>SUM(POTABLE_NONPOTABLE_API[[#This Row],[RESIDENTIAL_SINGLEFAMILY_GAL]:[OTHER_GAL]])</f>
        <v>77841368</v>
      </c>
      <c r="W3293">
        <f>SUM(POTABLE_NONPOTABLE_API[[#This Row],[NONPOTABLE_DEMAND_RESIDENTIAL_RECYCLED_WATER_GAL]:[NONPOTABLE_DEMAND_NONRESIDENTIAL_METERED_IRRIGATION_GAL]])</f>
        <v>0</v>
      </c>
      <c r="X3293" t="str">
        <f>IFERROR(INDEX(Crosswalk_API!$H$2:$H$527, MATCH(POTABLE_NONPOTABLE_API[[#This Row],[PWSID]], CW_PWSID_LIST, 0)), "")</f>
        <v>No</v>
      </c>
    </row>
    <row r="3294" spans="1:24" x14ac:dyDescent="0.25">
      <c r="A3294" t="s">
        <v>1710</v>
      </c>
      <c r="B3294" t="s">
        <v>1711</v>
      </c>
      <c r="C3294" t="s">
        <v>1712</v>
      </c>
      <c r="D3294" t="s">
        <v>1713</v>
      </c>
      <c r="E3294" s="9">
        <v>45231</v>
      </c>
      <c r="F3294" s="9">
        <v>45260</v>
      </c>
      <c r="G3294">
        <v>34874004</v>
      </c>
      <c r="H3294">
        <v>12763124</v>
      </c>
      <c r="I3294">
        <v>9220596</v>
      </c>
      <c r="J3294">
        <v>2869328</v>
      </c>
      <c r="K3294">
        <v>1474308</v>
      </c>
      <c r="L3294">
        <v>0</v>
      </c>
      <c r="M3294">
        <v>0</v>
      </c>
      <c r="T3294" s="9">
        <v>45108</v>
      </c>
      <c r="U3294" s="9">
        <v>45473</v>
      </c>
      <c r="V3294">
        <f>SUM(POTABLE_NONPOTABLE_API[[#This Row],[RESIDENTIAL_SINGLEFAMILY_GAL]:[OTHER_GAL]])</f>
        <v>61201360</v>
      </c>
      <c r="W3294">
        <f>SUM(POTABLE_NONPOTABLE_API[[#This Row],[NONPOTABLE_DEMAND_RESIDENTIAL_RECYCLED_WATER_GAL]:[NONPOTABLE_DEMAND_NONRESIDENTIAL_METERED_IRRIGATION_GAL]])</f>
        <v>0</v>
      </c>
      <c r="X3294" t="str">
        <f>IFERROR(INDEX(Crosswalk_API!$H$2:$H$527, MATCH(POTABLE_NONPOTABLE_API[[#This Row],[PWSID]], CW_PWSID_LIST, 0)), "")</f>
        <v>No</v>
      </c>
    </row>
    <row r="3295" spans="1:24" x14ac:dyDescent="0.25">
      <c r="A3295" t="s">
        <v>1710</v>
      </c>
      <c r="B3295" t="s">
        <v>1711</v>
      </c>
      <c r="C3295" t="s">
        <v>1712</v>
      </c>
      <c r="D3295" t="s">
        <v>1713</v>
      </c>
      <c r="E3295" s="9">
        <v>45261</v>
      </c>
      <c r="F3295" s="9">
        <v>45291</v>
      </c>
      <c r="G3295">
        <v>30262584</v>
      </c>
      <c r="H3295">
        <v>12511796</v>
      </c>
      <c r="I3295">
        <v>9183944</v>
      </c>
      <c r="J3295">
        <v>1605208</v>
      </c>
      <c r="K3295">
        <v>1231956</v>
      </c>
      <c r="L3295">
        <v>0</v>
      </c>
      <c r="M3295">
        <v>0</v>
      </c>
      <c r="T3295" s="9">
        <v>45108</v>
      </c>
      <c r="U3295" s="9">
        <v>45473</v>
      </c>
      <c r="V3295">
        <f>SUM(POTABLE_NONPOTABLE_API[[#This Row],[RESIDENTIAL_SINGLEFAMILY_GAL]:[OTHER_GAL]])</f>
        <v>54795488</v>
      </c>
      <c r="W3295">
        <f>SUM(POTABLE_NONPOTABLE_API[[#This Row],[NONPOTABLE_DEMAND_RESIDENTIAL_RECYCLED_WATER_GAL]:[NONPOTABLE_DEMAND_NONRESIDENTIAL_METERED_IRRIGATION_GAL]])</f>
        <v>0</v>
      </c>
      <c r="X3295" t="str">
        <f>IFERROR(INDEX(Crosswalk_API!$H$2:$H$527, MATCH(POTABLE_NONPOTABLE_API[[#This Row],[PWSID]], CW_PWSID_LIST, 0)), "")</f>
        <v>No</v>
      </c>
    </row>
    <row r="3296" spans="1:24" x14ac:dyDescent="0.25">
      <c r="A3296" t="s">
        <v>1710</v>
      </c>
      <c r="B3296" t="s">
        <v>1711</v>
      </c>
      <c r="C3296" t="s">
        <v>1712</v>
      </c>
      <c r="D3296" t="s">
        <v>1713</v>
      </c>
      <c r="E3296" s="9">
        <v>45292</v>
      </c>
      <c r="F3296" s="9">
        <v>45322</v>
      </c>
      <c r="G3296">
        <v>27857016</v>
      </c>
      <c r="H3296">
        <v>12442232</v>
      </c>
      <c r="I3296">
        <v>8703728</v>
      </c>
      <c r="J3296">
        <v>1037476</v>
      </c>
      <c r="K3296">
        <v>1079364</v>
      </c>
      <c r="L3296">
        <v>27676</v>
      </c>
      <c r="M3296">
        <v>0</v>
      </c>
      <c r="T3296" s="9">
        <v>45108</v>
      </c>
      <c r="U3296" s="9">
        <v>45473</v>
      </c>
      <c r="V3296">
        <f>SUM(POTABLE_NONPOTABLE_API[[#This Row],[RESIDENTIAL_SINGLEFAMILY_GAL]:[OTHER_GAL]])</f>
        <v>51147492</v>
      </c>
      <c r="W3296">
        <f>SUM(POTABLE_NONPOTABLE_API[[#This Row],[NONPOTABLE_DEMAND_RESIDENTIAL_RECYCLED_WATER_GAL]:[NONPOTABLE_DEMAND_NONRESIDENTIAL_METERED_IRRIGATION_GAL]])</f>
        <v>0</v>
      </c>
      <c r="X3296" t="str">
        <f>IFERROR(INDEX(Crosswalk_API!$H$2:$H$527, MATCH(POTABLE_NONPOTABLE_API[[#This Row],[PWSID]], CW_PWSID_LIST, 0)), "")</f>
        <v>No</v>
      </c>
    </row>
    <row r="3297" spans="1:24" x14ac:dyDescent="0.25">
      <c r="A3297" t="s">
        <v>1710</v>
      </c>
      <c r="B3297" t="s">
        <v>1711</v>
      </c>
      <c r="C3297" t="s">
        <v>1712</v>
      </c>
      <c r="D3297" t="s">
        <v>1713</v>
      </c>
      <c r="E3297" s="9">
        <v>45323</v>
      </c>
      <c r="F3297" s="9">
        <v>45351</v>
      </c>
      <c r="G3297">
        <v>25915956</v>
      </c>
      <c r="H3297">
        <v>11763048</v>
      </c>
      <c r="I3297">
        <v>8396300</v>
      </c>
      <c r="J3297">
        <v>1085348</v>
      </c>
      <c r="K3297">
        <v>1182588</v>
      </c>
      <c r="L3297">
        <v>0</v>
      </c>
      <c r="M3297">
        <v>0</v>
      </c>
      <c r="T3297" s="9">
        <v>45108</v>
      </c>
      <c r="U3297" s="9">
        <v>45473</v>
      </c>
      <c r="V3297">
        <f>SUM(POTABLE_NONPOTABLE_API[[#This Row],[RESIDENTIAL_SINGLEFAMILY_GAL]:[OTHER_GAL]])</f>
        <v>48343240</v>
      </c>
      <c r="W3297">
        <f>SUM(POTABLE_NONPOTABLE_API[[#This Row],[NONPOTABLE_DEMAND_RESIDENTIAL_RECYCLED_WATER_GAL]:[NONPOTABLE_DEMAND_NONRESIDENTIAL_METERED_IRRIGATION_GAL]])</f>
        <v>0</v>
      </c>
      <c r="X3297" t="str">
        <f>IFERROR(INDEX(Crosswalk_API!$H$2:$H$527, MATCH(POTABLE_NONPOTABLE_API[[#This Row],[PWSID]], CW_PWSID_LIST, 0)), "")</f>
        <v>No</v>
      </c>
    </row>
    <row r="3298" spans="1:24" x14ac:dyDescent="0.25">
      <c r="A3298" t="s">
        <v>1710</v>
      </c>
      <c r="B3298" t="s">
        <v>1711</v>
      </c>
      <c r="C3298" t="s">
        <v>1712</v>
      </c>
      <c r="D3298" t="s">
        <v>1713</v>
      </c>
      <c r="E3298" s="9">
        <v>45352</v>
      </c>
      <c r="F3298" s="9">
        <v>45382</v>
      </c>
      <c r="G3298">
        <v>29163772</v>
      </c>
      <c r="H3298">
        <v>12495340</v>
      </c>
      <c r="I3298">
        <v>9091940</v>
      </c>
      <c r="J3298">
        <v>1145188</v>
      </c>
      <c r="K3298">
        <v>1297780</v>
      </c>
      <c r="L3298">
        <v>11220</v>
      </c>
      <c r="M3298">
        <v>0</v>
      </c>
      <c r="T3298" s="9">
        <v>45108</v>
      </c>
      <c r="U3298" s="9">
        <v>45473</v>
      </c>
      <c r="V3298">
        <f>SUM(POTABLE_NONPOTABLE_API[[#This Row],[RESIDENTIAL_SINGLEFAMILY_GAL]:[OTHER_GAL]])</f>
        <v>53205240</v>
      </c>
      <c r="W3298">
        <f>SUM(POTABLE_NONPOTABLE_API[[#This Row],[NONPOTABLE_DEMAND_RESIDENTIAL_RECYCLED_WATER_GAL]:[NONPOTABLE_DEMAND_NONRESIDENTIAL_METERED_IRRIGATION_GAL]])</f>
        <v>0</v>
      </c>
      <c r="X3298" t="str">
        <f>IFERROR(INDEX(Crosswalk_API!$H$2:$H$527, MATCH(POTABLE_NONPOTABLE_API[[#This Row],[PWSID]], CW_PWSID_LIST, 0)), "")</f>
        <v>No</v>
      </c>
    </row>
    <row r="3299" spans="1:24" x14ac:dyDescent="0.25">
      <c r="A3299" t="s">
        <v>1710</v>
      </c>
      <c r="B3299" t="s">
        <v>1711</v>
      </c>
      <c r="C3299" t="s">
        <v>1712</v>
      </c>
      <c r="D3299" t="s">
        <v>1713</v>
      </c>
      <c r="E3299" s="9">
        <v>45383</v>
      </c>
      <c r="F3299" s="9">
        <v>45412</v>
      </c>
      <c r="G3299">
        <v>30911848</v>
      </c>
      <c r="H3299">
        <v>12279168</v>
      </c>
      <c r="I3299">
        <v>9173472</v>
      </c>
      <c r="J3299">
        <v>2673352</v>
      </c>
      <c r="K3299">
        <v>1288056</v>
      </c>
      <c r="L3299">
        <v>0</v>
      </c>
      <c r="M3299">
        <v>0</v>
      </c>
      <c r="T3299" s="9">
        <v>45108</v>
      </c>
      <c r="U3299" s="9">
        <v>45473</v>
      </c>
      <c r="V3299">
        <f>SUM(POTABLE_NONPOTABLE_API[[#This Row],[RESIDENTIAL_SINGLEFAMILY_GAL]:[OTHER_GAL]])</f>
        <v>56325896</v>
      </c>
      <c r="W3299">
        <f>SUM(POTABLE_NONPOTABLE_API[[#This Row],[NONPOTABLE_DEMAND_RESIDENTIAL_RECYCLED_WATER_GAL]:[NONPOTABLE_DEMAND_NONRESIDENTIAL_METERED_IRRIGATION_GAL]])</f>
        <v>0</v>
      </c>
      <c r="X3299" t="str">
        <f>IFERROR(INDEX(Crosswalk_API!$H$2:$H$527, MATCH(POTABLE_NONPOTABLE_API[[#This Row],[PWSID]], CW_PWSID_LIST, 0)), "")</f>
        <v>No</v>
      </c>
    </row>
    <row r="3300" spans="1:24" x14ac:dyDescent="0.25">
      <c r="A3300" t="s">
        <v>1710</v>
      </c>
      <c r="B3300" t="s">
        <v>1711</v>
      </c>
      <c r="C3300" t="s">
        <v>1712</v>
      </c>
      <c r="D3300" t="s">
        <v>1713</v>
      </c>
      <c r="E3300" s="9">
        <v>45413</v>
      </c>
      <c r="F3300" s="9">
        <v>45443</v>
      </c>
      <c r="G3300">
        <v>43339868</v>
      </c>
      <c r="H3300">
        <v>14230700</v>
      </c>
      <c r="I3300">
        <v>12227556</v>
      </c>
      <c r="J3300">
        <v>6097696</v>
      </c>
      <c r="K3300">
        <v>1706188</v>
      </c>
      <c r="L3300">
        <v>157080</v>
      </c>
      <c r="M3300">
        <v>0</v>
      </c>
      <c r="T3300" s="9">
        <v>45108</v>
      </c>
      <c r="U3300" s="9">
        <v>45473</v>
      </c>
      <c r="V3300">
        <f>SUM(POTABLE_NONPOTABLE_API[[#This Row],[RESIDENTIAL_SINGLEFAMILY_GAL]:[OTHER_GAL]])</f>
        <v>77759088</v>
      </c>
      <c r="W3300">
        <f>SUM(POTABLE_NONPOTABLE_API[[#This Row],[NONPOTABLE_DEMAND_RESIDENTIAL_RECYCLED_WATER_GAL]:[NONPOTABLE_DEMAND_NONRESIDENTIAL_METERED_IRRIGATION_GAL]])</f>
        <v>0</v>
      </c>
      <c r="X3300" t="str">
        <f>IFERROR(INDEX(Crosswalk_API!$H$2:$H$527, MATCH(POTABLE_NONPOTABLE_API[[#This Row],[PWSID]], CW_PWSID_LIST, 0)), "")</f>
        <v>No</v>
      </c>
    </row>
    <row r="3301" spans="1:24" x14ac:dyDescent="0.25">
      <c r="A3301" t="s">
        <v>1710</v>
      </c>
      <c r="B3301" t="s">
        <v>1711</v>
      </c>
      <c r="C3301" t="s">
        <v>1712</v>
      </c>
      <c r="D3301" t="s">
        <v>1713</v>
      </c>
      <c r="E3301" s="9">
        <v>45444</v>
      </c>
      <c r="F3301" s="9">
        <v>45473</v>
      </c>
      <c r="G3301">
        <v>46916056</v>
      </c>
      <c r="H3301">
        <v>13773672</v>
      </c>
      <c r="I3301">
        <v>13047364</v>
      </c>
      <c r="J3301">
        <v>7572004</v>
      </c>
      <c r="K3301">
        <v>1914132</v>
      </c>
      <c r="L3301">
        <v>748</v>
      </c>
      <c r="M3301">
        <v>0</v>
      </c>
      <c r="T3301" s="9">
        <v>45108</v>
      </c>
      <c r="U3301" s="9">
        <v>45473</v>
      </c>
      <c r="V3301">
        <f>SUM(POTABLE_NONPOTABLE_API[[#This Row],[RESIDENTIAL_SINGLEFAMILY_GAL]:[OTHER_GAL]])</f>
        <v>83223976</v>
      </c>
      <c r="W3301">
        <f>SUM(POTABLE_NONPOTABLE_API[[#This Row],[NONPOTABLE_DEMAND_RESIDENTIAL_RECYCLED_WATER_GAL]:[NONPOTABLE_DEMAND_NONRESIDENTIAL_METERED_IRRIGATION_GAL]])</f>
        <v>0</v>
      </c>
      <c r="X3301" t="str">
        <f>IFERROR(INDEX(Crosswalk_API!$H$2:$H$527, MATCH(POTABLE_NONPOTABLE_API[[#This Row],[PWSID]], CW_PWSID_LIST, 0)), "")</f>
        <v>No</v>
      </c>
    </row>
    <row r="3302" spans="1:24" x14ac:dyDescent="0.25">
      <c r="A3302" t="s">
        <v>1714</v>
      </c>
      <c r="B3302" t="s">
        <v>1715</v>
      </c>
      <c r="C3302" t="s">
        <v>1716</v>
      </c>
      <c r="D3302" t="s">
        <v>1717</v>
      </c>
      <c r="E3302" s="9">
        <v>45108</v>
      </c>
      <c r="F3302" s="9">
        <v>45138</v>
      </c>
      <c r="G3302">
        <v>26000000</v>
      </c>
      <c r="H3302">
        <v>10000000</v>
      </c>
      <c r="I3302">
        <v>13000000</v>
      </c>
      <c r="J3302">
        <v>10000000</v>
      </c>
      <c r="K3302">
        <v>0</v>
      </c>
      <c r="L3302">
        <v>0</v>
      </c>
      <c r="M3302">
        <v>0</v>
      </c>
      <c r="T3302" s="9">
        <v>45108</v>
      </c>
      <c r="U3302" s="9">
        <v>45473</v>
      </c>
      <c r="V3302">
        <f>SUM(POTABLE_NONPOTABLE_API[[#This Row],[RESIDENTIAL_SINGLEFAMILY_GAL]:[OTHER_GAL]])</f>
        <v>59000000</v>
      </c>
      <c r="W3302">
        <f>SUM(POTABLE_NONPOTABLE_API[[#This Row],[NONPOTABLE_DEMAND_RESIDENTIAL_RECYCLED_WATER_GAL]:[NONPOTABLE_DEMAND_NONRESIDENTIAL_METERED_IRRIGATION_GAL]])</f>
        <v>0</v>
      </c>
      <c r="X3302" t="str">
        <f>IFERROR(INDEX(Crosswalk_API!$H$2:$H$527, MATCH(POTABLE_NONPOTABLE_API[[#This Row],[PWSID]], CW_PWSID_LIST, 0)), "")</f>
        <v>No</v>
      </c>
    </row>
    <row r="3303" spans="1:24" x14ac:dyDescent="0.25">
      <c r="A3303" t="s">
        <v>1714</v>
      </c>
      <c r="B3303" t="s">
        <v>1715</v>
      </c>
      <c r="C3303" t="s">
        <v>1716</v>
      </c>
      <c r="D3303" t="s">
        <v>1717</v>
      </c>
      <c r="E3303" s="9">
        <v>45139</v>
      </c>
      <c r="F3303" s="9">
        <v>45169</v>
      </c>
      <c r="G3303">
        <v>36000000</v>
      </c>
      <c r="H3303">
        <v>11000000</v>
      </c>
      <c r="I3303">
        <v>13000000</v>
      </c>
      <c r="J3303">
        <v>4000000</v>
      </c>
      <c r="K3303">
        <v>0</v>
      </c>
      <c r="L3303">
        <v>0</v>
      </c>
      <c r="M3303">
        <v>0</v>
      </c>
      <c r="T3303" s="9">
        <v>45108</v>
      </c>
      <c r="U3303" s="9">
        <v>45473</v>
      </c>
      <c r="V3303">
        <f>SUM(POTABLE_NONPOTABLE_API[[#This Row],[RESIDENTIAL_SINGLEFAMILY_GAL]:[OTHER_GAL]])</f>
        <v>64000000</v>
      </c>
      <c r="W3303">
        <f>SUM(POTABLE_NONPOTABLE_API[[#This Row],[NONPOTABLE_DEMAND_RESIDENTIAL_RECYCLED_WATER_GAL]:[NONPOTABLE_DEMAND_NONRESIDENTIAL_METERED_IRRIGATION_GAL]])</f>
        <v>0</v>
      </c>
      <c r="X3303" t="str">
        <f>IFERROR(INDEX(Crosswalk_API!$H$2:$H$527, MATCH(POTABLE_NONPOTABLE_API[[#This Row],[PWSID]], CW_PWSID_LIST, 0)), "")</f>
        <v>No</v>
      </c>
    </row>
    <row r="3304" spans="1:24" x14ac:dyDescent="0.25">
      <c r="A3304" t="s">
        <v>1714</v>
      </c>
      <c r="B3304" t="s">
        <v>1715</v>
      </c>
      <c r="C3304" t="s">
        <v>1716</v>
      </c>
      <c r="D3304" t="s">
        <v>1717</v>
      </c>
      <c r="E3304" s="9">
        <v>45170</v>
      </c>
      <c r="F3304" s="9">
        <v>45199</v>
      </c>
      <c r="G3304">
        <v>26000000</v>
      </c>
      <c r="H3304">
        <v>11000000</v>
      </c>
      <c r="I3304">
        <v>15000000</v>
      </c>
      <c r="J3304">
        <v>16000000</v>
      </c>
      <c r="K3304">
        <v>0</v>
      </c>
      <c r="L3304">
        <v>1000000</v>
      </c>
      <c r="M3304">
        <v>0</v>
      </c>
      <c r="T3304" s="9">
        <v>45108</v>
      </c>
      <c r="U3304" s="9">
        <v>45473</v>
      </c>
      <c r="V3304">
        <f>SUM(POTABLE_NONPOTABLE_API[[#This Row],[RESIDENTIAL_SINGLEFAMILY_GAL]:[OTHER_GAL]])</f>
        <v>69000000</v>
      </c>
      <c r="W3304">
        <f>SUM(POTABLE_NONPOTABLE_API[[#This Row],[NONPOTABLE_DEMAND_RESIDENTIAL_RECYCLED_WATER_GAL]:[NONPOTABLE_DEMAND_NONRESIDENTIAL_METERED_IRRIGATION_GAL]])</f>
        <v>0</v>
      </c>
      <c r="X3304" t="str">
        <f>IFERROR(INDEX(Crosswalk_API!$H$2:$H$527, MATCH(POTABLE_NONPOTABLE_API[[#This Row],[PWSID]], CW_PWSID_LIST, 0)), "")</f>
        <v>No</v>
      </c>
    </row>
    <row r="3305" spans="1:24" x14ac:dyDescent="0.25">
      <c r="A3305" t="s">
        <v>1714</v>
      </c>
      <c r="B3305" t="s">
        <v>1715</v>
      </c>
      <c r="C3305" t="s">
        <v>1716</v>
      </c>
      <c r="D3305" t="s">
        <v>1717</v>
      </c>
      <c r="E3305" s="9">
        <v>45200</v>
      </c>
      <c r="F3305" s="9">
        <v>45230</v>
      </c>
      <c r="G3305">
        <v>31000000</v>
      </c>
      <c r="H3305">
        <v>11000000</v>
      </c>
      <c r="I3305">
        <v>8000000</v>
      </c>
      <c r="J3305">
        <v>4000000</v>
      </c>
      <c r="K3305">
        <v>0</v>
      </c>
      <c r="L3305">
        <v>0</v>
      </c>
      <c r="M3305">
        <v>0</v>
      </c>
      <c r="T3305" s="9">
        <v>45108</v>
      </c>
      <c r="U3305" s="9">
        <v>45473</v>
      </c>
      <c r="V3305">
        <f>SUM(POTABLE_NONPOTABLE_API[[#This Row],[RESIDENTIAL_SINGLEFAMILY_GAL]:[OTHER_GAL]])</f>
        <v>54000000</v>
      </c>
      <c r="W3305">
        <f>SUM(POTABLE_NONPOTABLE_API[[#This Row],[NONPOTABLE_DEMAND_RESIDENTIAL_RECYCLED_WATER_GAL]:[NONPOTABLE_DEMAND_NONRESIDENTIAL_METERED_IRRIGATION_GAL]])</f>
        <v>0</v>
      </c>
      <c r="X3305" t="str">
        <f>IFERROR(INDEX(Crosswalk_API!$H$2:$H$527, MATCH(POTABLE_NONPOTABLE_API[[#This Row],[PWSID]], CW_PWSID_LIST, 0)), "")</f>
        <v>No</v>
      </c>
    </row>
    <row r="3306" spans="1:24" x14ac:dyDescent="0.25">
      <c r="A3306" t="s">
        <v>1714</v>
      </c>
      <c r="B3306" t="s">
        <v>1715</v>
      </c>
      <c r="C3306" t="s">
        <v>1716</v>
      </c>
      <c r="D3306" t="s">
        <v>1717</v>
      </c>
      <c r="E3306" s="9">
        <v>45231</v>
      </c>
      <c r="F3306" s="9">
        <v>45260</v>
      </c>
      <c r="G3306">
        <v>14000000</v>
      </c>
      <c r="H3306">
        <v>9000000</v>
      </c>
      <c r="I3306">
        <v>11000000</v>
      </c>
      <c r="J3306">
        <v>4000000</v>
      </c>
      <c r="K3306">
        <v>0</v>
      </c>
      <c r="L3306">
        <v>0</v>
      </c>
      <c r="M3306">
        <v>0</v>
      </c>
      <c r="T3306" s="9">
        <v>45108</v>
      </c>
      <c r="U3306" s="9">
        <v>45473</v>
      </c>
      <c r="V3306">
        <f>SUM(POTABLE_NONPOTABLE_API[[#This Row],[RESIDENTIAL_SINGLEFAMILY_GAL]:[OTHER_GAL]])</f>
        <v>38000000</v>
      </c>
      <c r="W3306">
        <f>SUM(POTABLE_NONPOTABLE_API[[#This Row],[NONPOTABLE_DEMAND_RESIDENTIAL_RECYCLED_WATER_GAL]:[NONPOTABLE_DEMAND_NONRESIDENTIAL_METERED_IRRIGATION_GAL]])</f>
        <v>0</v>
      </c>
      <c r="X3306" t="str">
        <f>IFERROR(INDEX(Crosswalk_API!$H$2:$H$527, MATCH(POTABLE_NONPOTABLE_API[[#This Row],[PWSID]], CW_PWSID_LIST, 0)), "")</f>
        <v>No</v>
      </c>
    </row>
    <row r="3307" spans="1:24" x14ac:dyDescent="0.25">
      <c r="A3307" t="s">
        <v>1714</v>
      </c>
      <c r="B3307" t="s">
        <v>1715</v>
      </c>
      <c r="C3307" t="s">
        <v>1716</v>
      </c>
      <c r="D3307" t="s">
        <v>1717</v>
      </c>
      <c r="E3307" s="9">
        <v>45261</v>
      </c>
      <c r="F3307" s="9">
        <v>45291</v>
      </c>
      <c r="G3307">
        <v>26000000</v>
      </c>
      <c r="H3307">
        <v>11000000</v>
      </c>
      <c r="I3307">
        <v>8000000</v>
      </c>
      <c r="J3307">
        <v>2000000</v>
      </c>
      <c r="K3307">
        <v>0</v>
      </c>
      <c r="L3307">
        <v>0</v>
      </c>
      <c r="M3307">
        <v>0</v>
      </c>
      <c r="T3307" s="9">
        <v>45108</v>
      </c>
      <c r="U3307" s="9">
        <v>45473</v>
      </c>
      <c r="V3307">
        <f>SUM(POTABLE_NONPOTABLE_API[[#This Row],[RESIDENTIAL_SINGLEFAMILY_GAL]:[OTHER_GAL]])</f>
        <v>47000000</v>
      </c>
      <c r="W3307">
        <f>SUM(POTABLE_NONPOTABLE_API[[#This Row],[NONPOTABLE_DEMAND_RESIDENTIAL_RECYCLED_WATER_GAL]:[NONPOTABLE_DEMAND_NONRESIDENTIAL_METERED_IRRIGATION_GAL]])</f>
        <v>0</v>
      </c>
      <c r="X3307" t="str">
        <f>IFERROR(INDEX(Crosswalk_API!$H$2:$H$527, MATCH(POTABLE_NONPOTABLE_API[[#This Row],[PWSID]], CW_PWSID_LIST, 0)), "")</f>
        <v>No</v>
      </c>
    </row>
    <row r="3308" spans="1:24" x14ac:dyDescent="0.25">
      <c r="A3308" t="s">
        <v>1714</v>
      </c>
      <c r="B3308" t="s">
        <v>1715</v>
      </c>
      <c r="C3308" t="s">
        <v>1716</v>
      </c>
      <c r="D3308" t="s">
        <v>1717</v>
      </c>
      <c r="E3308" s="9">
        <v>45292</v>
      </c>
      <c r="F3308" s="9">
        <v>45322</v>
      </c>
      <c r="G3308">
        <v>28000000</v>
      </c>
      <c r="H3308">
        <v>13000000</v>
      </c>
      <c r="I3308">
        <v>6000000</v>
      </c>
      <c r="J3308">
        <v>1000000</v>
      </c>
      <c r="K3308">
        <v>0</v>
      </c>
      <c r="L3308">
        <v>0</v>
      </c>
      <c r="M3308">
        <v>0</v>
      </c>
      <c r="T3308" s="9">
        <v>45108</v>
      </c>
      <c r="U3308" s="9">
        <v>45473</v>
      </c>
      <c r="V3308">
        <f>SUM(POTABLE_NONPOTABLE_API[[#This Row],[RESIDENTIAL_SINGLEFAMILY_GAL]:[OTHER_GAL]])</f>
        <v>48000000</v>
      </c>
      <c r="W3308">
        <f>SUM(POTABLE_NONPOTABLE_API[[#This Row],[NONPOTABLE_DEMAND_RESIDENTIAL_RECYCLED_WATER_GAL]:[NONPOTABLE_DEMAND_NONRESIDENTIAL_METERED_IRRIGATION_GAL]])</f>
        <v>0</v>
      </c>
      <c r="X3308" t="str">
        <f>IFERROR(INDEX(Crosswalk_API!$H$2:$H$527, MATCH(POTABLE_NONPOTABLE_API[[#This Row],[PWSID]], CW_PWSID_LIST, 0)), "")</f>
        <v>No</v>
      </c>
    </row>
    <row r="3309" spans="1:24" x14ac:dyDescent="0.25">
      <c r="A3309" t="s">
        <v>1714</v>
      </c>
      <c r="B3309" t="s">
        <v>1715</v>
      </c>
      <c r="C3309" t="s">
        <v>1716</v>
      </c>
      <c r="D3309" t="s">
        <v>1717</v>
      </c>
      <c r="E3309" s="9">
        <v>45323</v>
      </c>
      <c r="F3309" s="9">
        <v>45351</v>
      </c>
      <c r="G3309">
        <v>22000000</v>
      </c>
      <c r="H3309">
        <v>8000000</v>
      </c>
      <c r="I3309">
        <v>6000000</v>
      </c>
      <c r="J3309">
        <v>1000000</v>
      </c>
      <c r="K3309">
        <v>0</v>
      </c>
      <c r="L3309">
        <v>0</v>
      </c>
      <c r="M3309">
        <v>0</v>
      </c>
      <c r="T3309" s="9">
        <v>45108</v>
      </c>
      <c r="U3309" s="9">
        <v>45473</v>
      </c>
      <c r="V3309">
        <f>SUM(POTABLE_NONPOTABLE_API[[#This Row],[RESIDENTIAL_SINGLEFAMILY_GAL]:[OTHER_GAL]])</f>
        <v>37000000</v>
      </c>
      <c r="W3309">
        <f>SUM(POTABLE_NONPOTABLE_API[[#This Row],[NONPOTABLE_DEMAND_RESIDENTIAL_RECYCLED_WATER_GAL]:[NONPOTABLE_DEMAND_NONRESIDENTIAL_METERED_IRRIGATION_GAL]])</f>
        <v>0</v>
      </c>
      <c r="X3309" t="str">
        <f>IFERROR(INDEX(Crosswalk_API!$H$2:$H$527, MATCH(POTABLE_NONPOTABLE_API[[#This Row],[PWSID]], CW_PWSID_LIST, 0)), "")</f>
        <v>No</v>
      </c>
    </row>
    <row r="3310" spans="1:24" x14ac:dyDescent="0.25">
      <c r="A3310" t="s">
        <v>1714</v>
      </c>
      <c r="B3310" t="s">
        <v>1715</v>
      </c>
      <c r="C3310" t="s">
        <v>1716</v>
      </c>
      <c r="D3310" t="s">
        <v>1717</v>
      </c>
      <c r="E3310" s="9">
        <v>45352</v>
      </c>
      <c r="F3310" s="9">
        <v>45382</v>
      </c>
      <c r="G3310">
        <v>20000000</v>
      </c>
      <c r="H3310">
        <v>8000000</v>
      </c>
      <c r="I3310">
        <v>10000000</v>
      </c>
      <c r="J3310">
        <v>1000000</v>
      </c>
      <c r="K3310">
        <v>0</v>
      </c>
      <c r="L3310">
        <v>0</v>
      </c>
      <c r="M3310">
        <v>0</v>
      </c>
      <c r="T3310" s="9">
        <v>45108</v>
      </c>
      <c r="U3310" s="9">
        <v>45473</v>
      </c>
      <c r="V3310">
        <f>SUM(POTABLE_NONPOTABLE_API[[#This Row],[RESIDENTIAL_SINGLEFAMILY_GAL]:[OTHER_GAL]])</f>
        <v>39000000</v>
      </c>
      <c r="W3310">
        <f>SUM(POTABLE_NONPOTABLE_API[[#This Row],[NONPOTABLE_DEMAND_RESIDENTIAL_RECYCLED_WATER_GAL]:[NONPOTABLE_DEMAND_NONRESIDENTIAL_METERED_IRRIGATION_GAL]])</f>
        <v>0</v>
      </c>
      <c r="X3310" t="str">
        <f>IFERROR(INDEX(Crosswalk_API!$H$2:$H$527, MATCH(POTABLE_NONPOTABLE_API[[#This Row],[PWSID]], CW_PWSID_LIST, 0)), "")</f>
        <v>No</v>
      </c>
    </row>
    <row r="3311" spans="1:24" x14ac:dyDescent="0.25">
      <c r="A3311" t="s">
        <v>1714</v>
      </c>
      <c r="B3311" t="s">
        <v>1715</v>
      </c>
      <c r="C3311" t="s">
        <v>1716</v>
      </c>
      <c r="D3311" t="s">
        <v>1717</v>
      </c>
      <c r="E3311" s="9">
        <v>45383</v>
      </c>
      <c r="F3311" s="9">
        <v>45412</v>
      </c>
      <c r="G3311">
        <v>18000000</v>
      </c>
      <c r="H3311">
        <v>12000000</v>
      </c>
      <c r="I3311">
        <v>9000000</v>
      </c>
      <c r="J3311">
        <v>1000000</v>
      </c>
      <c r="K3311">
        <v>0</v>
      </c>
      <c r="L3311">
        <v>0</v>
      </c>
      <c r="M3311">
        <v>0</v>
      </c>
      <c r="T3311" s="9">
        <v>45108</v>
      </c>
      <c r="U3311" s="9">
        <v>45473</v>
      </c>
      <c r="V3311">
        <f>SUM(POTABLE_NONPOTABLE_API[[#This Row],[RESIDENTIAL_SINGLEFAMILY_GAL]:[OTHER_GAL]])</f>
        <v>40000000</v>
      </c>
      <c r="W3311">
        <f>SUM(POTABLE_NONPOTABLE_API[[#This Row],[NONPOTABLE_DEMAND_RESIDENTIAL_RECYCLED_WATER_GAL]:[NONPOTABLE_DEMAND_NONRESIDENTIAL_METERED_IRRIGATION_GAL]])</f>
        <v>0</v>
      </c>
      <c r="X3311" t="str">
        <f>IFERROR(INDEX(Crosswalk_API!$H$2:$H$527, MATCH(POTABLE_NONPOTABLE_API[[#This Row],[PWSID]], CW_PWSID_LIST, 0)), "")</f>
        <v>No</v>
      </c>
    </row>
    <row r="3312" spans="1:24" x14ac:dyDescent="0.25">
      <c r="A3312" t="s">
        <v>1714</v>
      </c>
      <c r="B3312" t="s">
        <v>1715</v>
      </c>
      <c r="C3312" t="s">
        <v>1716</v>
      </c>
      <c r="D3312" t="s">
        <v>1717</v>
      </c>
      <c r="E3312" s="9">
        <v>45413</v>
      </c>
      <c r="F3312" s="9">
        <v>45443</v>
      </c>
      <c r="G3312">
        <v>20000000</v>
      </c>
      <c r="H3312">
        <v>9000000</v>
      </c>
      <c r="I3312">
        <v>11000000</v>
      </c>
      <c r="J3312">
        <v>1000000</v>
      </c>
      <c r="K3312">
        <v>0</v>
      </c>
      <c r="L3312">
        <v>0</v>
      </c>
      <c r="M3312">
        <v>0</v>
      </c>
      <c r="T3312" s="9">
        <v>45108</v>
      </c>
      <c r="U3312" s="9">
        <v>45473</v>
      </c>
      <c r="V3312">
        <f>SUM(POTABLE_NONPOTABLE_API[[#This Row],[RESIDENTIAL_SINGLEFAMILY_GAL]:[OTHER_GAL]])</f>
        <v>41000000</v>
      </c>
      <c r="W3312">
        <f>SUM(POTABLE_NONPOTABLE_API[[#This Row],[NONPOTABLE_DEMAND_RESIDENTIAL_RECYCLED_WATER_GAL]:[NONPOTABLE_DEMAND_NONRESIDENTIAL_METERED_IRRIGATION_GAL]])</f>
        <v>0</v>
      </c>
      <c r="X3312" t="str">
        <f>IFERROR(INDEX(Crosswalk_API!$H$2:$H$527, MATCH(POTABLE_NONPOTABLE_API[[#This Row],[PWSID]], CW_PWSID_LIST, 0)), "")</f>
        <v>No</v>
      </c>
    </row>
    <row r="3313" spans="1:24" x14ac:dyDescent="0.25">
      <c r="A3313" t="s">
        <v>1714</v>
      </c>
      <c r="B3313" t="s">
        <v>1715</v>
      </c>
      <c r="C3313" t="s">
        <v>1716</v>
      </c>
      <c r="D3313" t="s">
        <v>1717</v>
      </c>
      <c r="E3313" s="9">
        <v>45444</v>
      </c>
      <c r="F3313" s="9">
        <v>45473</v>
      </c>
      <c r="G3313">
        <v>26000000</v>
      </c>
      <c r="H3313">
        <v>12000000</v>
      </c>
      <c r="I3313">
        <v>8000000</v>
      </c>
      <c r="J3313">
        <v>3000000</v>
      </c>
      <c r="K3313">
        <v>0</v>
      </c>
      <c r="L3313">
        <v>0</v>
      </c>
      <c r="M3313">
        <v>0</v>
      </c>
      <c r="T3313" s="9">
        <v>45108</v>
      </c>
      <c r="U3313" s="9">
        <v>45473</v>
      </c>
      <c r="V3313">
        <f>SUM(POTABLE_NONPOTABLE_API[[#This Row],[RESIDENTIAL_SINGLEFAMILY_GAL]:[OTHER_GAL]])</f>
        <v>49000000</v>
      </c>
      <c r="W3313">
        <f>SUM(POTABLE_NONPOTABLE_API[[#This Row],[NONPOTABLE_DEMAND_RESIDENTIAL_RECYCLED_WATER_GAL]:[NONPOTABLE_DEMAND_NONRESIDENTIAL_METERED_IRRIGATION_GAL]])</f>
        <v>0</v>
      </c>
      <c r="X3313" t="str">
        <f>IFERROR(INDEX(Crosswalk_API!$H$2:$H$527, MATCH(POTABLE_NONPOTABLE_API[[#This Row],[PWSID]], CW_PWSID_LIST, 0)), "")</f>
        <v>No</v>
      </c>
    </row>
    <row r="3314" spans="1:24" x14ac:dyDescent="0.25">
      <c r="A3314" t="s">
        <v>1718</v>
      </c>
      <c r="B3314" t="s">
        <v>1719</v>
      </c>
      <c r="C3314" t="s">
        <v>1720</v>
      </c>
      <c r="D3314" t="s">
        <v>1721</v>
      </c>
      <c r="E3314" s="9">
        <v>45108</v>
      </c>
      <c r="F3314" s="9">
        <v>45138</v>
      </c>
      <c r="G3314">
        <v>78555184.675999999</v>
      </c>
      <c r="H3314">
        <v>58607630.044</v>
      </c>
      <c r="I3314">
        <v>36286506.416000001</v>
      </c>
      <c r="J3314">
        <v>31394246.335999999</v>
      </c>
      <c r="K3314">
        <v>20676157.280000001</v>
      </c>
      <c r="L3314">
        <v>78545.460000000006</v>
      </c>
      <c r="M3314">
        <v>0</v>
      </c>
      <c r="N3314">
        <v>0</v>
      </c>
      <c r="O3314">
        <v>0</v>
      </c>
      <c r="Q3314">
        <v>37225311.675999999</v>
      </c>
      <c r="R3314">
        <v>0</v>
      </c>
      <c r="T3314" s="9">
        <v>45108</v>
      </c>
      <c r="U3314" s="9">
        <v>45473</v>
      </c>
      <c r="V3314">
        <f>SUM(POTABLE_NONPOTABLE_API[[#This Row],[RESIDENTIAL_SINGLEFAMILY_GAL]:[OTHER_GAL]])</f>
        <v>225598270.21200001</v>
      </c>
      <c r="W3314">
        <f>SUM(POTABLE_NONPOTABLE_API[[#This Row],[NONPOTABLE_DEMAND_RESIDENTIAL_RECYCLED_WATER_GAL]:[NONPOTABLE_DEMAND_NONRESIDENTIAL_METERED_IRRIGATION_GAL]])</f>
        <v>37225311.675999999</v>
      </c>
      <c r="X3314" t="str">
        <f>IFERROR(INDEX(Crosswalk_API!$H$2:$H$527, MATCH(POTABLE_NONPOTABLE_API[[#This Row],[PWSID]], CW_PWSID_LIST, 0)), "")</f>
        <v>No</v>
      </c>
    </row>
    <row r="3315" spans="1:24" x14ac:dyDescent="0.25">
      <c r="A3315" t="s">
        <v>1718</v>
      </c>
      <c r="B3315" t="s">
        <v>1719</v>
      </c>
      <c r="C3315" t="s">
        <v>1720</v>
      </c>
      <c r="D3315" t="s">
        <v>1721</v>
      </c>
      <c r="E3315" s="9">
        <v>45139</v>
      </c>
      <c r="F3315" s="9">
        <v>45169</v>
      </c>
      <c r="G3315">
        <v>80167984.788000003</v>
      </c>
      <c r="H3315">
        <v>59908492.472000003</v>
      </c>
      <c r="I3315">
        <v>36397966.164000005</v>
      </c>
      <c r="J3315">
        <v>31291763.212000001</v>
      </c>
      <c r="K3315">
        <v>21148926.144000001</v>
      </c>
      <c r="L3315">
        <v>303709.11200000002</v>
      </c>
      <c r="M3315">
        <v>0</v>
      </c>
      <c r="N3315">
        <v>0</v>
      </c>
      <c r="O3315">
        <v>0</v>
      </c>
      <c r="Q3315">
        <v>34333342.644000001</v>
      </c>
      <c r="R3315">
        <v>0</v>
      </c>
      <c r="T3315" s="9">
        <v>45108</v>
      </c>
      <c r="U3315" s="9">
        <v>45473</v>
      </c>
      <c r="V3315">
        <f>SUM(POTABLE_NONPOTABLE_API[[#This Row],[RESIDENTIAL_SINGLEFAMILY_GAL]:[OTHER_GAL]])</f>
        <v>229218841.89199999</v>
      </c>
      <c r="W3315">
        <f>SUM(POTABLE_NONPOTABLE_API[[#This Row],[NONPOTABLE_DEMAND_RESIDENTIAL_RECYCLED_WATER_GAL]:[NONPOTABLE_DEMAND_NONRESIDENTIAL_METERED_IRRIGATION_GAL]])</f>
        <v>34333342.644000001</v>
      </c>
      <c r="X3315" t="str">
        <f>IFERROR(INDEX(Crosswalk_API!$H$2:$H$527, MATCH(POTABLE_NONPOTABLE_API[[#This Row],[PWSID]], CW_PWSID_LIST, 0)), "")</f>
        <v>No</v>
      </c>
    </row>
    <row r="3316" spans="1:24" x14ac:dyDescent="0.25">
      <c r="A3316" t="s">
        <v>1718</v>
      </c>
      <c r="B3316" t="s">
        <v>1719</v>
      </c>
      <c r="C3316" t="s">
        <v>1720</v>
      </c>
      <c r="D3316" t="s">
        <v>1721</v>
      </c>
      <c r="E3316" s="9">
        <v>45170</v>
      </c>
      <c r="F3316" s="9">
        <v>45199</v>
      </c>
      <c r="G3316">
        <v>74304753.211999997</v>
      </c>
      <c r="H3316">
        <v>58174507.936000004</v>
      </c>
      <c r="I3316">
        <v>34769456.960000001</v>
      </c>
      <c r="J3316">
        <v>28783544.856000002</v>
      </c>
      <c r="K3316">
        <v>20982858.600000001</v>
      </c>
      <c r="L3316">
        <v>329142.88</v>
      </c>
      <c r="M3316">
        <v>0</v>
      </c>
      <c r="N3316">
        <v>0</v>
      </c>
      <c r="O3316">
        <v>0</v>
      </c>
      <c r="Q3316">
        <v>28899492.916000001</v>
      </c>
      <c r="R3316">
        <v>0</v>
      </c>
      <c r="T3316" s="9">
        <v>45108</v>
      </c>
      <c r="U3316" s="9">
        <v>45473</v>
      </c>
      <c r="V3316">
        <f>SUM(POTABLE_NONPOTABLE_API[[#This Row],[RESIDENTIAL_SINGLEFAMILY_GAL]:[OTHER_GAL]])</f>
        <v>217344264.44400001</v>
      </c>
      <c r="W3316">
        <f>SUM(POTABLE_NONPOTABLE_API[[#This Row],[NONPOTABLE_DEMAND_RESIDENTIAL_RECYCLED_WATER_GAL]:[NONPOTABLE_DEMAND_NONRESIDENTIAL_METERED_IRRIGATION_GAL]])</f>
        <v>28899492.916000001</v>
      </c>
      <c r="X3316" t="str">
        <f>IFERROR(INDEX(Crosswalk_API!$H$2:$H$527, MATCH(POTABLE_NONPOTABLE_API[[#This Row],[PWSID]], CW_PWSID_LIST, 0)), "")</f>
        <v>No</v>
      </c>
    </row>
    <row r="3317" spans="1:24" x14ac:dyDescent="0.25">
      <c r="A3317" t="s">
        <v>1718</v>
      </c>
      <c r="B3317" t="s">
        <v>1719</v>
      </c>
      <c r="C3317" t="s">
        <v>1720</v>
      </c>
      <c r="D3317" t="s">
        <v>1721</v>
      </c>
      <c r="E3317" s="9">
        <v>45200</v>
      </c>
      <c r="F3317" s="9">
        <v>45230</v>
      </c>
      <c r="G3317">
        <v>71432233.532000005</v>
      </c>
      <c r="H3317">
        <v>57145188.384000003</v>
      </c>
      <c r="I3317">
        <v>35165176.468000002</v>
      </c>
      <c r="J3317">
        <v>23660884.760000002</v>
      </c>
      <c r="K3317">
        <v>21208770.304000001</v>
      </c>
      <c r="L3317">
        <v>127168.84</v>
      </c>
      <c r="M3317">
        <v>0</v>
      </c>
      <c r="N3317">
        <v>0</v>
      </c>
      <c r="O3317">
        <v>0</v>
      </c>
      <c r="Q3317">
        <v>26222214.808000002</v>
      </c>
      <c r="R3317">
        <v>0</v>
      </c>
      <c r="T3317" s="9">
        <v>45108</v>
      </c>
      <c r="U3317" s="9">
        <v>45473</v>
      </c>
      <c r="V3317">
        <f>SUM(POTABLE_NONPOTABLE_API[[#This Row],[RESIDENTIAL_SINGLEFAMILY_GAL]:[OTHER_GAL]])</f>
        <v>208739422.28799999</v>
      </c>
      <c r="W3317">
        <f>SUM(POTABLE_NONPOTABLE_API[[#This Row],[NONPOTABLE_DEMAND_RESIDENTIAL_RECYCLED_WATER_GAL]:[NONPOTABLE_DEMAND_NONRESIDENTIAL_METERED_IRRIGATION_GAL]])</f>
        <v>26222214.808000002</v>
      </c>
      <c r="X3317" t="str">
        <f>IFERROR(INDEX(Crosswalk_API!$H$2:$H$527, MATCH(POTABLE_NONPOTABLE_API[[#This Row],[PWSID]], CW_PWSID_LIST, 0)), "")</f>
        <v>No</v>
      </c>
    </row>
    <row r="3318" spans="1:24" x14ac:dyDescent="0.25">
      <c r="A3318" t="s">
        <v>1718</v>
      </c>
      <c r="B3318" t="s">
        <v>1719</v>
      </c>
      <c r="C3318" t="s">
        <v>1720</v>
      </c>
      <c r="D3318" t="s">
        <v>1721</v>
      </c>
      <c r="E3318" s="9">
        <v>45231</v>
      </c>
      <c r="F3318" s="9">
        <v>45260</v>
      </c>
      <c r="G3318">
        <v>63882892.748000003</v>
      </c>
      <c r="H3318">
        <v>53032398.487999998</v>
      </c>
      <c r="I3318">
        <v>32397384.068</v>
      </c>
      <c r="J3318">
        <v>18881580.532000002</v>
      </c>
      <c r="K3318">
        <v>19829362.416000001</v>
      </c>
      <c r="L3318">
        <v>86774.032000000007</v>
      </c>
      <c r="M3318">
        <v>0</v>
      </c>
      <c r="N3318">
        <v>0</v>
      </c>
      <c r="O3318">
        <v>0</v>
      </c>
      <c r="P3318">
        <v>0</v>
      </c>
      <c r="Q3318">
        <v>21026993.668000001</v>
      </c>
      <c r="R3318">
        <v>0</v>
      </c>
      <c r="T3318" s="9">
        <v>45108</v>
      </c>
      <c r="U3318" s="9">
        <v>45473</v>
      </c>
      <c r="V3318">
        <f>SUM(POTABLE_NONPOTABLE_API[[#This Row],[RESIDENTIAL_SINGLEFAMILY_GAL]:[OTHER_GAL]])</f>
        <v>188110392.28400001</v>
      </c>
      <c r="W3318">
        <f>SUM(POTABLE_NONPOTABLE_API[[#This Row],[NONPOTABLE_DEMAND_RESIDENTIAL_RECYCLED_WATER_GAL]:[NONPOTABLE_DEMAND_NONRESIDENTIAL_METERED_IRRIGATION_GAL]])</f>
        <v>21026993.668000001</v>
      </c>
      <c r="X3318" t="str">
        <f>IFERROR(INDEX(Crosswalk_API!$H$2:$H$527, MATCH(POTABLE_NONPOTABLE_API[[#This Row],[PWSID]], CW_PWSID_LIST, 0)), "")</f>
        <v>No</v>
      </c>
    </row>
    <row r="3319" spans="1:24" x14ac:dyDescent="0.25">
      <c r="A3319" t="s">
        <v>1718</v>
      </c>
      <c r="B3319" t="s">
        <v>1719</v>
      </c>
      <c r="C3319" t="s">
        <v>1720</v>
      </c>
      <c r="D3319" t="s">
        <v>1721</v>
      </c>
      <c r="E3319" s="9">
        <v>45261</v>
      </c>
      <c r="F3319" s="9">
        <v>45291</v>
      </c>
      <c r="G3319">
        <v>61447983.487999998</v>
      </c>
      <c r="H3319">
        <v>51174237.32</v>
      </c>
      <c r="I3319">
        <v>33376584.136</v>
      </c>
      <c r="J3319">
        <v>11759377.439999999</v>
      </c>
      <c r="K3319">
        <v>20409850.767999999</v>
      </c>
      <c r="L3319">
        <v>149610.4</v>
      </c>
      <c r="M3319">
        <v>0</v>
      </c>
      <c r="N3319">
        <v>0</v>
      </c>
      <c r="O3319">
        <v>0</v>
      </c>
      <c r="P3319">
        <v>0</v>
      </c>
      <c r="Q3319">
        <v>13325798.328</v>
      </c>
      <c r="R3319">
        <v>0</v>
      </c>
      <c r="S3319">
        <v>0</v>
      </c>
      <c r="T3319" s="9">
        <v>45108</v>
      </c>
      <c r="U3319" s="9">
        <v>45473</v>
      </c>
      <c r="V3319">
        <f>SUM(POTABLE_NONPOTABLE_API[[#This Row],[RESIDENTIAL_SINGLEFAMILY_GAL]:[OTHER_GAL]])</f>
        <v>178317643.55200002</v>
      </c>
      <c r="W3319">
        <f>SUM(POTABLE_NONPOTABLE_API[[#This Row],[NONPOTABLE_DEMAND_RESIDENTIAL_RECYCLED_WATER_GAL]:[NONPOTABLE_DEMAND_NONRESIDENTIAL_METERED_IRRIGATION_GAL]])</f>
        <v>13325798.328</v>
      </c>
      <c r="X3319" t="str">
        <f>IFERROR(INDEX(Crosswalk_API!$H$2:$H$527, MATCH(POTABLE_NONPOTABLE_API[[#This Row],[PWSID]], CW_PWSID_LIST, 0)), "")</f>
        <v>No</v>
      </c>
    </row>
    <row r="3320" spans="1:24" x14ac:dyDescent="0.25">
      <c r="A3320" t="s">
        <v>1718</v>
      </c>
      <c r="B3320" t="s">
        <v>1719</v>
      </c>
      <c r="C3320" t="s">
        <v>1720</v>
      </c>
      <c r="D3320" t="s">
        <v>1721</v>
      </c>
      <c r="E3320" s="9">
        <v>45292</v>
      </c>
      <c r="F3320" s="9">
        <v>45322</v>
      </c>
      <c r="G3320">
        <v>58841022.267999999</v>
      </c>
      <c r="H3320">
        <v>53627847.880000003</v>
      </c>
      <c r="I3320">
        <v>32219347.692000002</v>
      </c>
      <c r="J3320">
        <v>7469299.2200000007</v>
      </c>
      <c r="K3320">
        <v>19958027.359999999</v>
      </c>
      <c r="L3320">
        <v>192249.364</v>
      </c>
      <c r="M3320">
        <v>0</v>
      </c>
      <c r="N3320">
        <v>0</v>
      </c>
      <c r="O3320">
        <v>0</v>
      </c>
      <c r="P3320">
        <v>0</v>
      </c>
      <c r="Q3320">
        <v>7648083.648</v>
      </c>
      <c r="R3320">
        <v>0</v>
      </c>
      <c r="T3320" s="9">
        <v>45108</v>
      </c>
      <c r="U3320" s="9">
        <v>45473</v>
      </c>
      <c r="V3320">
        <f>SUM(POTABLE_NONPOTABLE_API[[#This Row],[RESIDENTIAL_SINGLEFAMILY_GAL]:[OTHER_GAL]])</f>
        <v>172307793.78400001</v>
      </c>
      <c r="W3320">
        <f>SUM(POTABLE_NONPOTABLE_API[[#This Row],[NONPOTABLE_DEMAND_RESIDENTIAL_RECYCLED_WATER_GAL]:[NONPOTABLE_DEMAND_NONRESIDENTIAL_METERED_IRRIGATION_GAL]])</f>
        <v>7648083.648</v>
      </c>
      <c r="X3320" t="str">
        <f>IFERROR(INDEX(Crosswalk_API!$H$2:$H$527, MATCH(POTABLE_NONPOTABLE_API[[#This Row],[PWSID]], CW_PWSID_LIST, 0)), "")</f>
        <v>No</v>
      </c>
    </row>
    <row r="3321" spans="1:24" x14ac:dyDescent="0.25">
      <c r="A3321" t="s">
        <v>1718</v>
      </c>
      <c r="B3321" t="s">
        <v>1719</v>
      </c>
      <c r="C3321" t="s">
        <v>1720</v>
      </c>
      <c r="D3321" t="s">
        <v>1721</v>
      </c>
      <c r="E3321" s="9">
        <v>45323</v>
      </c>
      <c r="F3321" s="9">
        <v>45351</v>
      </c>
      <c r="G3321">
        <v>53972699.851999998</v>
      </c>
      <c r="H3321">
        <v>50570559.355999999</v>
      </c>
      <c r="I3321">
        <v>31151129.436000001</v>
      </c>
      <c r="J3321">
        <v>6105600.4240000006</v>
      </c>
      <c r="K3321">
        <v>21363617.068</v>
      </c>
      <c r="L3321">
        <v>222919.49600000001</v>
      </c>
      <c r="M3321">
        <v>0</v>
      </c>
      <c r="N3321">
        <v>0</v>
      </c>
      <c r="O3321">
        <v>0</v>
      </c>
      <c r="Q3321">
        <v>9952831.8599999994</v>
      </c>
      <c r="R3321">
        <v>0</v>
      </c>
      <c r="T3321" s="9">
        <v>45108</v>
      </c>
      <c r="U3321" s="9">
        <v>45473</v>
      </c>
      <c r="V3321">
        <f>SUM(POTABLE_NONPOTABLE_API[[#This Row],[RESIDENTIAL_SINGLEFAMILY_GAL]:[OTHER_GAL]])</f>
        <v>163386525.63199997</v>
      </c>
      <c r="W3321">
        <f>SUM(POTABLE_NONPOTABLE_API[[#This Row],[NONPOTABLE_DEMAND_RESIDENTIAL_RECYCLED_WATER_GAL]:[NONPOTABLE_DEMAND_NONRESIDENTIAL_METERED_IRRIGATION_GAL]])</f>
        <v>9952831.8599999994</v>
      </c>
      <c r="X3321" t="str">
        <f>IFERROR(INDEX(Crosswalk_API!$H$2:$H$527, MATCH(POTABLE_NONPOTABLE_API[[#This Row],[PWSID]], CW_PWSID_LIST, 0)), "")</f>
        <v>No</v>
      </c>
    </row>
    <row r="3322" spans="1:24" x14ac:dyDescent="0.25">
      <c r="A3322" t="s">
        <v>1718</v>
      </c>
      <c r="B3322" t="s">
        <v>1719</v>
      </c>
      <c r="C3322" t="s">
        <v>1720</v>
      </c>
      <c r="D3322" t="s">
        <v>1721</v>
      </c>
      <c r="E3322" s="9">
        <v>45352</v>
      </c>
      <c r="F3322" s="9">
        <v>45382</v>
      </c>
      <c r="G3322">
        <v>59271900.219999999</v>
      </c>
      <c r="H3322">
        <v>54559172.620000005</v>
      </c>
      <c r="I3322">
        <v>33935378.980000004</v>
      </c>
      <c r="J3322">
        <v>7071335.5559999999</v>
      </c>
      <c r="K3322">
        <v>30505560.560000002</v>
      </c>
      <c r="L3322">
        <v>279771.44800000003</v>
      </c>
      <c r="M3322">
        <v>0</v>
      </c>
      <c r="N3322">
        <v>0</v>
      </c>
      <c r="O3322">
        <v>0</v>
      </c>
      <c r="Q3322">
        <v>12265060.592</v>
      </c>
      <c r="R3322">
        <v>0</v>
      </c>
      <c r="T3322" s="9">
        <v>45108</v>
      </c>
      <c r="U3322" s="9">
        <v>45473</v>
      </c>
      <c r="V3322">
        <f>SUM(POTABLE_NONPOTABLE_API[[#This Row],[RESIDENTIAL_SINGLEFAMILY_GAL]:[OTHER_GAL]])</f>
        <v>185623119.384</v>
      </c>
      <c r="W3322">
        <f>SUM(POTABLE_NONPOTABLE_API[[#This Row],[NONPOTABLE_DEMAND_RESIDENTIAL_RECYCLED_WATER_GAL]:[NONPOTABLE_DEMAND_NONRESIDENTIAL_METERED_IRRIGATION_GAL]])</f>
        <v>12265060.592</v>
      </c>
      <c r="X3322" t="str">
        <f>IFERROR(INDEX(Crosswalk_API!$H$2:$H$527, MATCH(POTABLE_NONPOTABLE_API[[#This Row],[PWSID]], CW_PWSID_LIST, 0)), "")</f>
        <v>No</v>
      </c>
    </row>
    <row r="3323" spans="1:24" x14ac:dyDescent="0.25">
      <c r="A3323" t="s">
        <v>1718</v>
      </c>
      <c r="B3323" t="s">
        <v>1719</v>
      </c>
      <c r="C3323" t="s">
        <v>1720</v>
      </c>
      <c r="D3323" t="s">
        <v>1721</v>
      </c>
      <c r="E3323" s="9">
        <v>45383</v>
      </c>
      <c r="F3323" s="9">
        <v>45412</v>
      </c>
      <c r="G3323">
        <v>61758425.068000004</v>
      </c>
      <c r="H3323">
        <v>57665084.524000004</v>
      </c>
      <c r="I3323">
        <v>35024542.692000002</v>
      </c>
      <c r="J3323">
        <v>12431128.136</v>
      </c>
      <c r="K3323">
        <v>28602516.272</v>
      </c>
      <c r="L3323">
        <v>192997.416</v>
      </c>
      <c r="M3323">
        <v>0</v>
      </c>
      <c r="N3323">
        <v>0</v>
      </c>
      <c r="O3323">
        <v>0</v>
      </c>
      <c r="Q3323">
        <v>18114827.232000001</v>
      </c>
      <c r="R3323">
        <v>0</v>
      </c>
      <c r="T3323" s="9">
        <v>45108</v>
      </c>
      <c r="U3323" s="9">
        <v>45473</v>
      </c>
      <c r="V3323">
        <f>SUM(POTABLE_NONPOTABLE_API[[#This Row],[RESIDENTIAL_SINGLEFAMILY_GAL]:[OTHER_GAL]])</f>
        <v>195674694.10800004</v>
      </c>
      <c r="W3323">
        <f>SUM(POTABLE_NONPOTABLE_API[[#This Row],[NONPOTABLE_DEMAND_RESIDENTIAL_RECYCLED_WATER_GAL]:[NONPOTABLE_DEMAND_NONRESIDENTIAL_METERED_IRRIGATION_GAL]])</f>
        <v>18114827.232000001</v>
      </c>
      <c r="X3323" t="str">
        <f>IFERROR(INDEX(Crosswalk_API!$H$2:$H$527, MATCH(POTABLE_NONPOTABLE_API[[#This Row],[PWSID]], CW_PWSID_LIST, 0)), "")</f>
        <v>No</v>
      </c>
    </row>
    <row r="3324" spans="1:24" x14ac:dyDescent="0.25">
      <c r="A3324" t="s">
        <v>1718</v>
      </c>
      <c r="B3324" t="s">
        <v>1719</v>
      </c>
      <c r="C3324" t="s">
        <v>1720</v>
      </c>
      <c r="D3324" t="s">
        <v>1721</v>
      </c>
      <c r="E3324" s="9">
        <v>45413</v>
      </c>
      <c r="F3324" s="9">
        <v>45443</v>
      </c>
      <c r="G3324">
        <v>71703776.408000007</v>
      </c>
      <c r="H3324">
        <v>62083079.636</v>
      </c>
      <c r="I3324">
        <v>37450475.328000002</v>
      </c>
      <c r="J3324">
        <v>19135170.16</v>
      </c>
      <c r="K3324">
        <v>25456209.560000002</v>
      </c>
      <c r="L3324">
        <v>193745.46799999999</v>
      </c>
      <c r="M3324">
        <v>0</v>
      </c>
      <c r="N3324">
        <v>0</v>
      </c>
      <c r="O3324">
        <v>0</v>
      </c>
      <c r="Q3324">
        <v>26262609.616</v>
      </c>
      <c r="R3324">
        <v>0</v>
      </c>
      <c r="T3324" s="9">
        <v>45108</v>
      </c>
      <c r="U3324" s="9">
        <v>45473</v>
      </c>
      <c r="V3324">
        <f>SUM(POTABLE_NONPOTABLE_API[[#This Row],[RESIDENTIAL_SINGLEFAMILY_GAL]:[OTHER_GAL]])</f>
        <v>216022456.56</v>
      </c>
      <c r="W3324">
        <f>SUM(POTABLE_NONPOTABLE_API[[#This Row],[NONPOTABLE_DEMAND_RESIDENTIAL_RECYCLED_WATER_GAL]:[NONPOTABLE_DEMAND_NONRESIDENTIAL_METERED_IRRIGATION_GAL]])</f>
        <v>26262609.616</v>
      </c>
      <c r="X3324" t="str">
        <f>IFERROR(INDEX(Crosswalk_API!$H$2:$H$527, MATCH(POTABLE_NONPOTABLE_API[[#This Row],[PWSID]], CW_PWSID_LIST, 0)), "")</f>
        <v>No</v>
      </c>
    </row>
    <row r="3325" spans="1:24" x14ac:dyDescent="0.25">
      <c r="A3325" t="s">
        <v>1718</v>
      </c>
      <c r="B3325" t="s">
        <v>1719</v>
      </c>
      <c r="C3325" t="s">
        <v>1720</v>
      </c>
      <c r="D3325" t="s">
        <v>1721</v>
      </c>
      <c r="E3325" s="9">
        <v>45444</v>
      </c>
      <c r="F3325" s="9">
        <v>45473</v>
      </c>
      <c r="G3325">
        <v>77425626.156000003</v>
      </c>
      <c r="H3325">
        <v>57193811.763999999</v>
      </c>
      <c r="I3325">
        <v>37006132.439999998</v>
      </c>
      <c r="J3325">
        <v>27664459.063999999</v>
      </c>
      <c r="K3325">
        <v>25856417.379999999</v>
      </c>
      <c r="L3325">
        <v>65080.524000000005</v>
      </c>
      <c r="M3325">
        <v>0</v>
      </c>
      <c r="N3325">
        <v>0</v>
      </c>
      <c r="O3325">
        <v>0</v>
      </c>
      <c r="Q3325">
        <v>33711711.432000004</v>
      </c>
      <c r="R3325">
        <v>0</v>
      </c>
      <c r="T3325" s="9">
        <v>45108</v>
      </c>
      <c r="U3325" s="9">
        <v>45473</v>
      </c>
      <c r="V3325">
        <f>SUM(POTABLE_NONPOTABLE_API[[#This Row],[RESIDENTIAL_SINGLEFAMILY_GAL]:[OTHER_GAL]])</f>
        <v>225211527.32800001</v>
      </c>
      <c r="W3325">
        <f>SUM(POTABLE_NONPOTABLE_API[[#This Row],[NONPOTABLE_DEMAND_RESIDENTIAL_RECYCLED_WATER_GAL]:[NONPOTABLE_DEMAND_NONRESIDENTIAL_METERED_IRRIGATION_GAL]])</f>
        <v>33711711.432000004</v>
      </c>
      <c r="X3325" t="str">
        <f>IFERROR(INDEX(Crosswalk_API!$H$2:$H$527, MATCH(POTABLE_NONPOTABLE_API[[#This Row],[PWSID]], CW_PWSID_LIST, 0)), "")</f>
        <v>No</v>
      </c>
    </row>
    <row r="3326" spans="1:24" x14ac:dyDescent="0.25">
      <c r="A3326" t="s">
        <v>1722</v>
      </c>
      <c r="B3326" t="s">
        <v>1723</v>
      </c>
      <c r="C3326" t="s">
        <v>1724</v>
      </c>
      <c r="D3326" t="s">
        <v>1725</v>
      </c>
      <c r="E3326" s="9">
        <v>45108</v>
      </c>
      <c r="F3326" s="9">
        <v>45138</v>
      </c>
      <c r="G3326">
        <v>148115968</v>
      </c>
      <c r="H3326">
        <v>39769664</v>
      </c>
      <c r="I3326">
        <v>23024936</v>
      </c>
      <c r="J3326">
        <v>26144096</v>
      </c>
      <c r="K3326">
        <v>0</v>
      </c>
      <c r="L3326">
        <v>2393600</v>
      </c>
      <c r="M3326">
        <v>0</v>
      </c>
      <c r="T3326" s="9">
        <v>45108</v>
      </c>
      <c r="U3326" s="9">
        <v>45473</v>
      </c>
      <c r="V3326">
        <f>SUM(POTABLE_NONPOTABLE_API[[#This Row],[RESIDENTIAL_SINGLEFAMILY_GAL]:[OTHER_GAL]])</f>
        <v>239448264</v>
      </c>
      <c r="W3326">
        <f>SUM(POTABLE_NONPOTABLE_API[[#This Row],[NONPOTABLE_DEMAND_RESIDENTIAL_RECYCLED_WATER_GAL]:[NONPOTABLE_DEMAND_NONRESIDENTIAL_METERED_IRRIGATION_GAL]])</f>
        <v>0</v>
      </c>
      <c r="X3326" t="str">
        <f>IFERROR(INDEX(Crosswalk_API!$H$2:$H$527, MATCH(POTABLE_NONPOTABLE_API[[#This Row],[PWSID]], CW_PWSID_LIST, 0)), "")</f>
        <v>No</v>
      </c>
    </row>
    <row r="3327" spans="1:24" x14ac:dyDescent="0.25">
      <c r="A3327" t="s">
        <v>1722</v>
      </c>
      <c r="B3327" t="s">
        <v>1723</v>
      </c>
      <c r="C3327" t="s">
        <v>1724</v>
      </c>
      <c r="D3327" t="s">
        <v>1725</v>
      </c>
      <c r="E3327" s="9">
        <v>45139</v>
      </c>
      <c r="F3327" s="9">
        <v>45169</v>
      </c>
      <c r="G3327">
        <v>122191036</v>
      </c>
      <c r="H3327">
        <v>32885072</v>
      </c>
      <c r="I3327">
        <v>22163240</v>
      </c>
      <c r="J3327">
        <v>26887608</v>
      </c>
      <c r="K3327">
        <v>0</v>
      </c>
      <c r="L3327">
        <v>4292772</v>
      </c>
      <c r="M3327">
        <v>0</v>
      </c>
      <c r="T3327" s="9">
        <v>45108</v>
      </c>
      <c r="U3327" s="9">
        <v>45473</v>
      </c>
      <c r="V3327">
        <f>SUM(POTABLE_NONPOTABLE_API[[#This Row],[RESIDENTIAL_SINGLEFAMILY_GAL]:[OTHER_GAL]])</f>
        <v>208419728</v>
      </c>
      <c r="W3327">
        <f>SUM(POTABLE_NONPOTABLE_API[[#This Row],[NONPOTABLE_DEMAND_RESIDENTIAL_RECYCLED_WATER_GAL]:[NONPOTABLE_DEMAND_NONRESIDENTIAL_METERED_IRRIGATION_GAL]])</f>
        <v>0</v>
      </c>
      <c r="X3327" t="str">
        <f>IFERROR(INDEX(Crosswalk_API!$H$2:$H$527, MATCH(POTABLE_NONPOTABLE_API[[#This Row],[PWSID]], CW_PWSID_LIST, 0)), "")</f>
        <v>No</v>
      </c>
    </row>
    <row r="3328" spans="1:24" x14ac:dyDescent="0.25">
      <c r="A3328" t="s">
        <v>1722</v>
      </c>
      <c r="B3328" t="s">
        <v>1723</v>
      </c>
      <c r="C3328" t="s">
        <v>1724</v>
      </c>
      <c r="D3328" t="s">
        <v>1725</v>
      </c>
      <c r="E3328" s="9">
        <v>45170</v>
      </c>
      <c r="F3328" s="9">
        <v>45199</v>
      </c>
      <c r="G3328">
        <v>138865452</v>
      </c>
      <c r="H3328">
        <v>40121972</v>
      </c>
      <c r="I3328">
        <v>24123000</v>
      </c>
      <c r="J3328">
        <v>28947600</v>
      </c>
      <c r="K3328">
        <v>0</v>
      </c>
      <c r="L3328">
        <v>4550084</v>
      </c>
      <c r="M3328">
        <v>0</v>
      </c>
      <c r="T3328" s="9">
        <v>45108</v>
      </c>
      <c r="U3328" s="9">
        <v>45473</v>
      </c>
      <c r="V3328">
        <f>SUM(POTABLE_NONPOTABLE_API[[#This Row],[RESIDENTIAL_SINGLEFAMILY_GAL]:[OTHER_GAL]])</f>
        <v>236608108</v>
      </c>
      <c r="W3328">
        <f>SUM(POTABLE_NONPOTABLE_API[[#This Row],[NONPOTABLE_DEMAND_RESIDENTIAL_RECYCLED_WATER_GAL]:[NONPOTABLE_DEMAND_NONRESIDENTIAL_METERED_IRRIGATION_GAL]])</f>
        <v>0</v>
      </c>
      <c r="X3328" t="str">
        <f>IFERROR(INDEX(Crosswalk_API!$H$2:$H$527, MATCH(POTABLE_NONPOTABLE_API[[#This Row],[PWSID]], CW_PWSID_LIST, 0)), "")</f>
        <v>No</v>
      </c>
    </row>
    <row r="3329" spans="1:24" x14ac:dyDescent="0.25">
      <c r="A3329" t="s">
        <v>1722</v>
      </c>
      <c r="B3329" t="s">
        <v>1723</v>
      </c>
      <c r="C3329" t="s">
        <v>1724</v>
      </c>
      <c r="D3329" t="s">
        <v>1725</v>
      </c>
      <c r="E3329" s="9">
        <v>45200</v>
      </c>
      <c r="F3329" s="9">
        <v>45230</v>
      </c>
      <c r="G3329">
        <v>115411912</v>
      </c>
      <c r="H3329">
        <v>33750508</v>
      </c>
      <c r="I3329">
        <v>22270952</v>
      </c>
      <c r="J3329">
        <v>22664400</v>
      </c>
      <c r="K3329">
        <v>0</v>
      </c>
      <c r="L3329">
        <v>7679716</v>
      </c>
      <c r="M3329">
        <v>0</v>
      </c>
      <c r="T3329" s="9">
        <v>45108</v>
      </c>
      <c r="U3329" s="9">
        <v>45473</v>
      </c>
      <c r="V3329">
        <f>SUM(POTABLE_NONPOTABLE_API[[#This Row],[RESIDENTIAL_SINGLEFAMILY_GAL]:[OTHER_GAL]])</f>
        <v>201777488</v>
      </c>
      <c r="W3329">
        <f>SUM(POTABLE_NONPOTABLE_API[[#This Row],[NONPOTABLE_DEMAND_RESIDENTIAL_RECYCLED_WATER_GAL]:[NONPOTABLE_DEMAND_NONRESIDENTIAL_METERED_IRRIGATION_GAL]])</f>
        <v>0</v>
      </c>
      <c r="X3329" t="str">
        <f>IFERROR(INDEX(Crosswalk_API!$H$2:$H$527, MATCH(POTABLE_NONPOTABLE_API[[#This Row],[PWSID]], CW_PWSID_LIST, 0)), "")</f>
        <v>No</v>
      </c>
    </row>
    <row r="3330" spans="1:24" x14ac:dyDescent="0.25">
      <c r="A3330" t="s">
        <v>1722</v>
      </c>
      <c r="B3330" t="s">
        <v>1723</v>
      </c>
      <c r="C3330" t="s">
        <v>1724</v>
      </c>
      <c r="D3330" t="s">
        <v>1725</v>
      </c>
      <c r="E3330" s="9">
        <v>45231</v>
      </c>
      <c r="F3330" s="9">
        <v>45260</v>
      </c>
      <c r="G3330">
        <v>118896096</v>
      </c>
      <c r="H3330">
        <v>35081200</v>
      </c>
      <c r="I3330">
        <v>22745184</v>
      </c>
      <c r="J3330">
        <v>20833296</v>
      </c>
      <c r="K3330">
        <v>0</v>
      </c>
      <c r="L3330">
        <v>10120440</v>
      </c>
      <c r="M3330">
        <v>0</v>
      </c>
      <c r="T3330" s="9">
        <v>45108</v>
      </c>
      <c r="U3330" s="9">
        <v>45473</v>
      </c>
      <c r="V3330">
        <f>SUM(POTABLE_NONPOTABLE_API[[#This Row],[RESIDENTIAL_SINGLEFAMILY_GAL]:[OTHER_GAL]])</f>
        <v>207676216</v>
      </c>
      <c r="W3330">
        <f>SUM(POTABLE_NONPOTABLE_API[[#This Row],[NONPOTABLE_DEMAND_RESIDENTIAL_RECYCLED_WATER_GAL]:[NONPOTABLE_DEMAND_NONRESIDENTIAL_METERED_IRRIGATION_GAL]])</f>
        <v>0</v>
      </c>
      <c r="X3330" t="str">
        <f>IFERROR(INDEX(Crosswalk_API!$H$2:$H$527, MATCH(POTABLE_NONPOTABLE_API[[#This Row],[PWSID]], CW_PWSID_LIST, 0)), "")</f>
        <v>No</v>
      </c>
    </row>
    <row r="3331" spans="1:24" x14ac:dyDescent="0.25">
      <c r="A3331" t="s">
        <v>1722</v>
      </c>
      <c r="B3331" t="s">
        <v>1723</v>
      </c>
      <c r="C3331" t="s">
        <v>1724</v>
      </c>
      <c r="D3331" t="s">
        <v>1725</v>
      </c>
      <c r="E3331" s="9">
        <v>45261</v>
      </c>
      <c r="F3331" s="9">
        <v>45291</v>
      </c>
      <c r="G3331">
        <v>111586640</v>
      </c>
      <c r="H3331">
        <v>33729564</v>
      </c>
      <c r="I3331">
        <v>21410752</v>
      </c>
      <c r="J3331">
        <v>19777120</v>
      </c>
      <c r="K3331">
        <v>0</v>
      </c>
      <c r="L3331">
        <v>4751296</v>
      </c>
      <c r="M3331">
        <v>0</v>
      </c>
      <c r="T3331" s="9">
        <v>45108</v>
      </c>
      <c r="U3331" s="9">
        <v>45473</v>
      </c>
      <c r="V3331">
        <f>SUM(POTABLE_NONPOTABLE_API[[#This Row],[RESIDENTIAL_SINGLEFAMILY_GAL]:[OTHER_GAL]])</f>
        <v>191255372</v>
      </c>
      <c r="W3331">
        <f>SUM(POTABLE_NONPOTABLE_API[[#This Row],[NONPOTABLE_DEMAND_RESIDENTIAL_RECYCLED_WATER_GAL]:[NONPOTABLE_DEMAND_NONRESIDENTIAL_METERED_IRRIGATION_GAL]])</f>
        <v>0</v>
      </c>
      <c r="X3331" t="str">
        <f>IFERROR(INDEX(Crosswalk_API!$H$2:$H$527, MATCH(POTABLE_NONPOTABLE_API[[#This Row],[PWSID]], CW_PWSID_LIST, 0)), "")</f>
        <v>No</v>
      </c>
    </row>
    <row r="3332" spans="1:24" x14ac:dyDescent="0.25">
      <c r="A3332" t="s">
        <v>1722</v>
      </c>
      <c r="B3332" t="s">
        <v>1723</v>
      </c>
      <c r="C3332" t="s">
        <v>1724</v>
      </c>
      <c r="D3332" t="s">
        <v>1725</v>
      </c>
      <c r="E3332" s="9">
        <v>45292</v>
      </c>
      <c r="F3332" s="9">
        <v>45322</v>
      </c>
      <c r="G3332">
        <v>95023676</v>
      </c>
      <c r="H3332">
        <v>30276796</v>
      </c>
      <c r="I3332">
        <v>18141992</v>
      </c>
      <c r="J3332">
        <v>17115736</v>
      </c>
      <c r="K3332">
        <v>0</v>
      </c>
      <c r="L3332">
        <v>2516272</v>
      </c>
      <c r="M3332">
        <v>0</v>
      </c>
      <c r="T3332" s="9">
        <v>45108</v>
      </c>
      <c r="U3332" s="9">
        <v>45473</v>
      </c>
      <c r="V3332">
        <f>SUM(POTABLE_NONPOTABLE_API[[#This Row],[RESIDENTIAL_SINGLEFAMILY_GAL]:[OTHER_GAL]])</f>
        <v>163074472</v>
      </c>
      <c r="W3332">
        <f>SUM(POTABLE_NONPOTABLE_API[[#This Row],[NONPOTABLE_DEMAND_RESIDENTIAL_RECYCLED_WATER_GAL]:[NONPOTABLE_DEMAND_NONRESIDENTIAL_METERED_IRRIGATION_GAL]])</f>
        <v>0</v>
      </c>
      <c r="X3332" t="str">
        <f>IFERROR(INDEX(Crosswalk_API!$H$2:$H$527, MATCH(POTABLE_NONPOTABLE_API[[#This Row],[PWSID]], CW_PWSID_LIST, 0)), "")</f>
        <v>No</v>
      </c>
    </row>
    <row r="3333" spans="1:24" x14ac:dyDescent="0.25">
      <c r="A3333" t="s">
        <v>1722</v>
      </c>
      <c r="B3333" t="s">
        <v>1723</v>
      </c>
      <c r="C3333" t="s">
        <v>1724</v>
      </c>
      <c r="D3333" t="s">
        <v>1725</v>
      </c>
      <c r="E3333" s="9">
        <v>45323</v>
      </c>
      <c r="F3333" s="9">
        <v>45351</v>
      </c>
      <c r="G3333">
        <v>99268576</v>
      </c>
      <c r="H3333">
        <v>32736968</v>
      </c>
      <c r="I3333">
        <v>19963372</v>
      </c>
      <c r="J3333">
        <v>15921180</v>
      </c>
      <c r="K3333">
        <v>0</v>
      </c>
      <c r="L3333">
        <v>7069348</v>
      </c>
      <c r="M3333">
        <v>0</v>
      </c>
      <c r="T3333" s="9">
        <v>45108</v>
      </c>
      <c r="U3333" s="9">
        <v>45473</v>
      </c>
      <c r="V3333">
        <f>SUM(POTABLE_NONPOTABLE_API[[#This Row],[RESIDENTIAL_SINGLEFAMILY_GAL]:[OTHER_GAL]])</f>
        <v>174959444</v>
      </c>
      <c r="W3333">
        <f>SUM(POTABLE_NONPOTABLE_API[[#This Row],[NONPOTABLE_DEMAND_RESIDENTIAL_RECYCLED_WATER_GAL]:[NONPOTABLE_DEMAND_NONRESIDENTIAL_METERED_IRRIGATION_GAL]])</f>
        <v>0</v>
      </c>
      <c r="X3333" t="str">
        <f>IFERROR(INDEX(Crosswalk_API!$H$2:$H$527, MATCH(POTABLE_NONPOTABLE_API[[#This Row],[PWSID]], CW_PWSID_LIST, 0)), "")</f>
        <v>No</v>
      </c>
    </row>
    <row r="3334" spans="1:24" x14ac:dyDescent="0.25">
      <c r="A3334" t="s">
        <v>1722</v>
      </c>
      <c r="B3334" t="s">
        <v>1723</v>
      </c>
      <c r="C3334" t="s">
        <v>1724</v>
      </c>
      <c r="D3334" t="s">
        <v>1725</v>
      </c>
      <c r="E3334" s="9">
        <v>45352</v>
      </c>
      <c r="F3334" s="9">
        <v>45382</v>
      </c>
      <c r="G3334">
        <v>84819460</v>
      </c>
      <c r="H3334">
        <v>29338056</v>
      </c>
      <c r="I3334">
        <v>18554140</v>
      </c>
      <c r="J3334">
        <v>11817652</v>
      </c>
      <c r="K3334">
        <v>0</v>
      </c>
      <c r="L3334">
        <v>7440356</v>
      </c>
      <c r="M3334">
        <v>0</v>
      </c>
      <c r="T3334" s="9">
        <v>45108</v>
      </c>
      <c r="U3334" s="9">
        <v>45473</v>
      </c>
      <c r="V3334">
        <f>SUM(POTABLE_NONPOTABLE_API[[#This Row],[RESIDENTIAL_SINGLEFAMILY_GAL]:[OTHER_GAL]])</f>
        <v>151969664</v>
      </c>
      <c r="W3334">
        <f>SUM(POTABLE_NONPOTABLE_API[[#This Row],[NONPOTABLE_DEMAND_RESIDENTIAL_RECYCLED_WATER_GAL]:[NONPOTABLE_DEMAND_NONRESIDENTIAL_METERED_IRRIGATION_GAL]])</f>
        <v>0</v>
      </c>
      <c r="X3334" t="str">
        <f>IFERROR(INDEX(Crosswalk_API!$H$2:$H$527, MATCH(POTABLE_NONPOTABLE_API[[#This Row],[PWSID]], CW_PWSID_LIST, 0)), "")</f>
        <v>No</v>
      </c>
    </row>
    <row r="3335" spans="1:24" x14ac:dyDescent="0.25">
      <c r="A3335" t="s">
        <v>1722</v>
      </c>
      <c r="B3335" t="s">
        <v>1723</v>
      </c>
      <c r="C3335" t="s">
        <v>1724</v>
      </c>
      <c r="D3335" t="s">
        <v>1725</v>
      </c>
      <c r="E3335" s="9">
        <v>45383</v>
      </c>
      <c r="F3335" s="9">
        <v>45412</v>
      </c>
      <c r="G3335">
        <v>94277172</v>
      </c>
      <c r="H3335">
        <v>29670916</v>
      </c>
      <c r="I3335">
        <v>20047896</v>
      </c>
      <c r="J3335">
        <v>17343128</v>
      </c>
      <c r="K3335">
        <v>0</v>
      </c>
      <c r="L3335">
        <v>7933288</v>
      </c>
      <c r="M3335">
        <v>0</v>
      </c>
      <c r="T3335" s="9">
        <v>45108</v>
      </c>
      <c r="U3335" s="9">
        <v>45473</v>
      </c>
      <c r="V3335">
        <f>SUM(POTABLE_NONPOTABLE_API[[#This Row],[RESIDENTIAL_SINGLEFAMILY_GAL]:[OTHER_GAL]])</f>
        <v>169272400</v>
      </c>
      <c r="W3335">
        <f>SUM(POTABLE_NONPOTABLE_API[[#This Row],[NONPOTABLE_DEMAND_RESIDENTIAL_RECYCLED_WATER_GAL]:[NONPOTABLE_DEMAND_NONRESIDENTIAL_METERED_IRRIGATION_GAL]])</f>
        <v>0</v>
      </c>
      <c r="X3335" t="str">
        <f>IFERROR(INDEX(Crosswalk_API!$H$2:$H$527, MATCH(POTABLE_NONPOTABLE_API[[#This Row],[PWSID]], CW_PWSID_LIST, 0)), "")</f>
        <v>No</v>
      </c>
    </row>
    <row r="3336" spans="1:24" x14ac:dyDescent="0.25">
      <c r="A3336" t="s">
        <v>1722</v>
      </c>
      <c r="B3336" t="s">
        <v>1723</v>
      </c>
      <c r="C3336" t="s">
        <v>1724</v>
      </c>
      <c r="D3336" t="s">
        <v>1725</v>
      </c>
      <c r="E3336" s="9">
        <v>45413</v>
      </c>
      <c r="F3336" s="9">
        <v>45443</v>
      </c>
      <c r="G3336">
        <v>108847464</v>
      </c>
      <c r="H3336">
        <v>32846176</v>
      </c>
      <c r="I3336">
        <v>22288156</v>
      </c>
      <c r="J3336">
        <v>20969432</v>
      </c>
      <c r="K3336">
        <v>0</v>
      </c>
      <c r="L3336">
        <v>15058736</v>
      </c>
      <c r="M3336">
        <v>0</v>
      </c>
      <c r="T3336" s="9">
        <v>45108</v>
      </c>
      <c r="U3336" s="9">
        <v>45473</v>
      </c>
      <c r="V3336">
        <f>SUM(POTABLE_NONPOTABLE_API[[#This Row],[RESIDENTIAL_SINGLEFAMILY_GAL]:[OTHER_GAL]])</f>
        <v>200009964</v>
      </c>
      <c r="W3336">
        <f>SUM(POTABLE_NONPOTABLE_API[[#This Row],[NONPOTABLE_DEMAND_RESIDENTIAL_RECYCLED_WATER_GAL]:[NONPOTABLE_DEMAND_NONRESIDENTIAL_METERED_IRRIGATION_GAL]])</f>
        <v>0</v>
      </c>
      <c r="X3336" t="str">
        <f>IFERROR(INDEX(Crosswalk_API!$H$2:$H$527, MATCH(POTABLE_NONPOTABLE_API[[#This Row],[PWSID]], CW_PWSID_LIST, 0)), "")</f>
        <v>No</v>
      </c>
    </row>
    <row r="3337" spans="1:24" x14ac:dyDescent="0.25">
      <c r="A3337" t="s">
        <v>1722</v>
      </c>
      <c r="B3337" t="s">
        <v>1723</v>
      </c>
      <c r="C3337" t="s">
        <v>1724</v>
      </c>
      <c r="D3337" t="s">
        <v>1725</v>
      </c>
      <c r="E3337" s="9">
        <v>45444</v>
      </c>
      <c r="F3337" s="9">
        <v>45473</v>
      </c>
      <c r="G3337">
        <v>133506780</v>
      </c>
      <c r="H3337">
        <v>38542944</v>
      </c>
      <c r="I3337">
        <v>24726636</v>
      </c>
      <c r="J3337">
        <v>26410384</v>
      </c>
      <c r="K3337">
        <v>0</v>
      </c>
      <c r="L3337">
        <v>13178264</v>
      </c>
      <c r="M3337">
        <v>0</v>
      </c>
      <c r="T3337" s="9">
        <v>45108</v>
      </c>
      <c r="U3337" s="9">
        <v>45473</v>
      </c>
      <c r="V3337">
        <f>SUM(POTABLE_NONPOTABLE_API[[#This Row],[RESIDENTIAL_SINGLEFAMILY_GAL]:[OTHER_GAL]])</f>
        <v>236365008</v>
      </c>
      <c r="W3337">
        <f>SUM(POTABLE_NONPOTABLE_API[[#This Row],[NONPOTABLE_DEMAND_RESIDENTIAL_RECYCLED_WATER_GAL]:[NONPOTABLE_DEMAND_NONRESIDENTIAL_METERED_IRRIGATION_GAL]])</f>
        <v>0</v>
      </c>
      <c r="X3337" t="str">
        <f>IFERROR(INDEX(Crosswalk_API!$H$2:$H$527, MATCH(POTABLE_NONPOTABLE_API[[#This Row],[PWSID]], CW_PWSID_LIST, 0)), "")</f>
        <v>No</v>
      </c>
    </row>
    <row r="3338" spans="1:24" x14ac:dyDescent="0.25">
      <c r="A3338" t="s">
        <v>1722</v>
      </c>
      <c r="B3338" t="s">
        <v>1723</v>
      </c>
      <c r="C3338" t="s">
        <v>1726</v>
      </c>
      <c r="D3338" t="s">
        <v>1727</v>
      </c>
      <c r="E3338" s="9">
        <v>45108</v>
      </c>
      <c r="F3338" s="9">
        <v>45138</v>
      </c>
      <c r="G3338">
        <v>1776500</v>
      </c>
      <c r="H3338">
        <v>25432</v>
      </c>
      <c r="I3338">
        <v>0</v>
      </c>
      <c r="J3338">
        <v>0</v>
      </c>
      <c r="K3338">
        <v>0</v>
      </c>
      <c r="L3338">
        <v>923780</v>
      </c>
      <c r="M3338">
        <v>0</v>
      </c>
      <c r="T3338" s="9">
        <v>45108</v>
      </c>
      <c r="U3338" s="9">
        <v>45473</v>
      </c>
      <c r="V3338">
        <f>SUM(POTABLE_NONPOTABLE_API[[#This Row],[RESIDENTIAL_SINGLEFAMILY_GAL]:[OTHER_GAL]])</f>
        <v>2725712</v>
      </c>
      <c r="W3338">
        <f>SUM(POTABLE_NONPOTABLE_API[[#This Row],[NONPOTABLE_DEMAND_RESIDENTIAL_RECYCLED_WATER_GAL]:[NONPOTABLE_DEMAND_NONRESIDENTIAL_METERED_IRRIGATION_GAL]])</f>
        <v>0</v>
      </c>
      <c r="X3338" t="str">
        <f>IFERROR(INDEX(Crosswalk_API!$H$2:$H$527, MATCH(POTABLE_NONPOTABLE_API[[#This Row],[PWSID]], CW_PWSID_LIST, 0)), "")</f>
        <v>No</v>
      </c>
    </row>
    <row r="3339" spans="1:24" x14ac:dyDescent="0.25">
      <c r="A3339" t="s">
        <v>1722</v>
      </c>
      <c r="B3339" t="s">
        <v>1723</v>
      </c>
      <c r="C3339" t="s">
        <v>1726</v>
      </c>
      <c r="D3339" t="s">
        <v>1727</v>
      </c>
      <c r="E3339" s="9">
        <v>45139</v>
      </c>
      <c r="F3339" s="9">
        <v>45169</v>
      </c>
      <c r="G3339">
        <v>2004640</v>
      </c>
      <c r="H3339">
        <v>32912</v>
      </c>
      <c r="I3339">
        <v>0</v>
      </c>
      <c r="J3339">
        <v>0</v>
      </c>
      <c r="K3339">
        <v>0</v>
      </c>
      <c r="L3339">
        <v>1465332</v>
      </c>
      <c r="M3339">
        <v>0</v>
      </c>
      <c r="T3339" s="9">
        <v>45108</v>
      </c>
      <c r="U3339" s="9">
        <v>45473</v>
      </c>
      <c r="V3339">
        <f>SUM(POTABLE_NONPOTABLE_API[[#This Row],[RESIDENTIAL_SINGLEFAMILY_GAL]:[OTHER_GAL]])</f>
        <v>3502884</v>
      </c>
      <c r="W3339">
        <f>SUM(POTABLE_NONPOTABLE_API[[#This Row],[NONPOTABLE_DEMAND_RESIDENTIAL_RECYCLED_WATER_GAL]:[NONPOTABLE_DEMAND_NONRESIDENTIAL_METERED_IRRIGATION_GAL]])</f>
        <v>0</v>
      </c>
      <c r="X3339" t="str">
        <f>IFERROR(INDEX(Crosswalk_API!$H$2:$H$527, MATCH(POTABLE_NONPOTABLE_API[[#This Row],[PWSID]], CW_PWSID_LIST, 0)), "")</f>
        <v>No</v>
      </c>
    </row>
    <row r="3340" spans="1:24" x14ac:dyDescent="0.25">
      <c r="A3340" t="s">
        <v>1722</v>
      </c>
      <c r="B3340" t="s">
        <v>1723</v>
      </c>
      <c r="C3340" t="s">
        <v>1726</v>
      </c>
      <c r="D3340" t="s">
        <v>1727</v>
      </c>
      <c r="E3340" s="9">
        <v>45170</v>
      </c>
      <c r="F3340" s="9">
        <v>45199</v>
      </c>
      <c r="G3340">
        <v>1955272</v>
      </c>
      <c r="H3340">
        <v>37400</v>
      </c>
      <c r="I3340">
        <v>0</v>
      </c>
      <c r="J3340">
        <v>0</v>
      </c>
      <c r="K3340">
        <v>0</v>
      </c>
      <c r="L3340">
        <v>1341912</v>
      </c>
      <c r="M3340">
        <v>0</v>
      </c>
      <c r="T3340" s="9">
        <v>45108</v>
      </c>
      <c r="U3340" s="9">
        <v>45473</v>
      </c>
      <c r="V3340">
        <f>SUM(POTABLE_NONPOTABLE_API[[#This Row],[RESIDENTIAL_SINGLEFAMILY_GAL]:[OTHER_GAL]])</f>
        <v>3334584</v>
      </c>
      <c r="W3340">
        <f>SUM(POTABLE_NONPOTABLE_API[[#This Row],[NONPOTABLE_DEMAND_RESIDENTIAL_RECYCLED_WATER_GAL]:[NONPOTABLE_DEMAND_NONRESIDENTIAL_METERED_IRRIGATION_GAL]])</f>
        <v>0</v>
      </c>
      <c r="X3340" t="str">
        <f>IFERROR(INDEX(Crosswalk_API!$H$2:$H$527, MATCH(POTABLE_NONPOTABLE_API[[#This Row],[PWSID]], CW_PWSID_LIST, 0)), "")</f>
        <v>No</v>
      </c>
    </row>
    <row r="3341" spans="1:24" x14ac:dyDescent="0.25">
      <c r="A3341" t="s">
        <v>1722</v>
      </c>
      <c r="B3341" t="s">
        <v>1723</v>
      </c>
      <c r="C3341" t="s">
        <v>1726</v>
      </c>
      <c r="D3341" t="s">
        <v>1727</v>
      </c>
      <c r="E3341" s="9">
        <v>45200</v>
      </c>
      <c r="F3341" s="9">
        <v>45230</v>
      </c>
      <c r="G3341">
        <v>1513952</v>
      </c>
      <c r="H3341">
        <v>26180</v>
      </c>
      <c r="I3341">
        <v>0</v>
      </c>
      <c r="J3341">
        <v>0</v>
      </c>
      <c r="K3341">
        <v>0</v>
      </c>
      <c r="L3341">
        <v>2054008</v>
      </c>
      <c r="M3341">
        <v>0</v>
      </c>
      <c r="T3341" s="9">
        <v>45108</v>
      </c>
      <c r="U3341" s="9">
        <v>45473</v>
      </c>
      <c r="V3341">
        <f>SUM(POTABLE_NONPOTABLE_API[[#This Row],[RESIDENTIAL_SINGLEFAMILY_GAL]:[OTHER_GAL]])</f>
        <v>3594140</v>
      </c>
      <c r="W3341">
        <f>SUM(POTABLE_NONPOTABLE_API[[#This Row],[NONPOTABLE_DEMAND_RESIDENTIAL_RECYCLED_WATER_GAL]:[NONPOTABLE_DEMAND_NONRESIDENTIAL_METERED_IRRIGATION_GAL]])</f>
        <v>0</v>
      </c>
      <c r="X3341" t="str">
        <f>IFERROR(INDEX(Crosswalk_API!$H$2:$H$527, MATCH(POTABLE_NONPOTABLE_API[[#This Row],[PWSID]], CW_PWSID_LIST, 0)), "")</f>
        <v>No</v>
      </c>
    </row>
    <row r="3342" spans="1:24" x14ac:dyDescent="0.25">
      <c r="A3342" t="s">
        <v>1722</v>
      </c>
      <c r="B3342" t="s">
        <v>1723</v>
      </c>
      <c r="C3342" t="s">
        <v>1726</v>
      </c>
      <c r="D3342" t="s">
        <v>1727</v>
      </c>
      <c r="E3342" s="9">
        <v>45231</v>
      </c>
      <c r="F3342" s="9">
        <v>45260</v>
      </c>
      <c r="G3342">
        <v>1593988</v>
      </c>
      <c r="H3342">
        <v>21692</v>
      </c>
      <c r="I3342">
        <v>0</v>
      </c>
      <c r="J3342">
        <v>0</v>
      </c>
      <c r="K3342">
        <v>0</v>
      </c>
      <c r="L3342">
        <v>462264</v>
      </c>
      <c r="M3342">
        <v>0</v>
      </c>
      <c r="T3342" s="9">
        <v>45108</v>
      </c>
      <c r="U3342" s="9">
        <v>45473</v>
      </c>
      <c r="V3342">
        <f>SUM(POTABLE_NONPOTABLE_API[[#This Row],[RESIDENTIAL_SINGLEFAMILY_GAL]:[OTHER_GAL]])</f>
        <v>2077944</v>
      </c>
      <c r="W3342">
        <f>SUM(POTABLE_NONPOTABLE_API[[#This Row],[NONPOTABLE_DEMAND_RESIDENTIAL_RECYCLED_WATER_GAL]:[NONPOTABLE_DEMAND_NONRESIDENTIAL_METERED_IRRIGATION_GAL]])</f>
        <v>0</v>
      </c>
      <c r="X3342" t="str">
        <f>IFERROR(INDEX(Crosswalk_API!$H$2:$H$527, MATCH(POTABLE_NONPOTABLE_API[[#This Row],[PWSID]], CW_PWSID_LIST, 0)), "")</f>
        <v>No</v>
      </c>
    </row>
    <row r="3343" spans="1:24" x14ac:dyDescent="0.25">
      <c r="A3343" t="s">
        <v>1722</v>
      </c>
      <c r="B3343" t="s">
        <v>1723</v>
      </c>
      <c r="C3343" t="s">
        <v>1726</v>
      </c>
      <c r="D3343" t="s">
        <v>1727</v>
      </c>
      <c r="E3343" s="9">
        <v>45261</v>
      </c>
      <c r="F3343" s="9">
        <v>45291</v>
      </c>
      <c r="G3343">
        <v>1377068</v>
      </c>
      <c r="H3343">
        <v>13464</v>
      </c>
      <c r="I3343">
        <v>0</v>
      </c>
      <c r="J3343">
        <v>0</v>
      </c>
      <c r="K3343">
        <v>0</v>
      </c>
      <c r="L3343">
        <v>1113024</v>
      </c>
      <c r="M3343">
        <v>0</v>
      </c>
      <c r="T3343" s="9">
        <v>45108</v>
      </c>
      <c r="U3343" s="9">
        <v>45473</v>
      </c>
      <c r="V3343">
        <f>SUM(POTABLE_NONPOTABLE_API[[#This Row],[RESIDENTIAL_SINGLEFAMILY_GAL]:[OTHER_GAL]])</f>
        <v>2503556</v>
      </c>
      <c r="W3343">
        <f>SUM(POTABLE_NONPOTABLE_API[[#This Row],[NONPOTABLE_DEMAND_RESIDENTIAL_RECYCLED_WATER_GAL]:[NONPOTABLE_DEMAND_NONRESIDENTIAL_METERED_IRRIGATION_GAL]])</f>
        <v>0</v>
      </c>
      <c r="X3343" t="str">
        <f>IFERROR(INDEX(Crosswalk_API!$H$2:$H$527, MATCH(POTABLE_NONPOTABLE_API[[#This Row],[PWSID]], CW_PWSID_LIST, 0)), "")</f>
        <v>No</v>
      </c>
    </row>
    <row r="3344" spans="1:24" x14ac:dyDescent="0.25">
      <c r="A3344" t="s">
        <v>1722</v>
      </c>
      <c r="B3344" t="s">
        <v>1723</v>
      </c>
      <c r="C3344" t="s">
        <v>1726</v>
      </c>
      <c r="D3344" t="s">
        <v>1727</v>
      </c>
      <c r="E3344" s="9">
        <v>45292</v>
      </c>
      <c r="F3344" s="9">
        <v>45322</v>
      </c>
      <c r="G3344">
        <v>1222232</v>
      </c>
      <c r="H3344">
        <v>13464</v>
      </c>
      <c r="I3344">
        <v>0</v>
      </c>
      <c r="J3344">
        <v>0</v>
      </c>
      <c r="K3344">
        <v>0</v>
      </c>
      <c r="L3344">
        <v>813824</v>
      </c>
      <c r="M3344">
        <v>0</v>
      </c>
      <c r="T3344" s="9">
        <v>45108</v>
      </c>
      <c r="U3344" s="9">
        <v>45473</v>
      </c>
      <c r="V3344">
        <f>SUM(POTABLE_NONPOTABLE_API[[#This Row],[RESIDENTIAL_SINGLEFAMILY_GAL]:[OTHER_GAL]])</f>
        <v>2049520</v>
      </c>
      <c r="W3344">
        <f>SUM(POTABLE_NONPOTABLE_API[[#This Row],[NONPOTABLE_DEMAND_RESIDENTIAL_RECYCLED_WATER_GAL]:[NONPOTABLE_DEMAND_NONRESIDENTIAL_METERED_IRRIGATION_GAL]])</f>
        <v>0</v>
      </c>
      <c r="X3344" t="str">
        <f>IFERROR(INDEX(Crosswalk_API!$H$2:$H$527, MATCH(POTABLE_NONPOTABLE_API[[#This Row],[PWSID]], CW_PWSID_LIST, 0)), "")</f>
        <v>No</v>
      </c>
    </row>
    <row r="3345" spans="1:24" x14ac:dyDescent="0.25">
      <c r="A3345" t="s">
        <v>1722</v>
      </c>
      <c r="B3345" t="s">
        <v>1723</v>
      </c>
      <c r="C3345" t="s">
        <v>1726</v>
      </c>
      <c r="D3345" t="s">
        <v>1727</v>
      </c>
      <c r="E3345" s="9">
        <v>45323</v>
      </c>
      <c r="F3345" s="9">
        <v>45351</v>
      </c>
      <c r="G3345">
        <v>1356124</v>
      </c>
      <c r="H3345">
        <v>10472</v>
      </c>
      <c r="I3345">
        <v>0</v>
      </c>
      <c r="J3345">
        <v>0</v>
      </c>
      <c r="K3345">
        <v>0</v>
      </c>
      <c r="L3345">
        <v>674696</v>
      </c>
      <c r="M3345">
        <v>0</v>
      </c>
      <c r="T3345" s="9">
        <v>45108</v>
      </c>
      <c r="U3345" s="9">
        <v>45473</v>
      </c>
      <c r="V3345">
        <f>SUM(POTABLE_NONPOTABLE_API[[#This Row],[RESIDENTIAL_SINGLEFAMILY_GAL]:[OTHER_GAL]])</f>
        <v>2041292</v>
      </c>
      <c r="W3345">
        <f>SUM(POTABLE_NONPOTABLE_API[[#This Row],[NONPOTABLE_DEMAND_RESIDENTIAL_RECYCLED_WATER_GAL]:[NONPOTABLE_DEMAND_NONRESIDENTIAL_METERED_IRRIGATION_GAL]])</f>
        <v>0</v>
      </c>
      <c r="X3345" t="str">
        <f>IFERROR(INDEX(Crosswalk_API!$H$2:$H$527, MATCH(POTABLE_NONPOTABLE_API[[#This Row],[PWSID]], CW_PWSID_LIST, 0)), "")</f>
        <v>No</v>
      </c>
    </row>
    <row r="3346" spans="1:24" x14ac:dyDescent="0.25">
      <c r="A3346" t="s">
        <v>1722</v>
      </c>
      <c r="B3346" t="s">
        <v>1723</v>
      </c>
      <c r="C3346" t="s">
        <v>1726</v>
      </c>
      <c r="D3346" t="s">
        <v>1727</v>
      </c>
      <c r="E3346" s="9">
        <v>45352</v>
      </c>
      <c r="F3346" s="9">
        <v>45382</v>
      </c>
      <c r="G3346">
        <v>1251404</v>
      </c>
      <c r="H3346">
        <v>12716</v>
      </c>
      <c r="I3346">
        <v>0</v>
      </c>
      <c r="J3346">
        <v>0</v>
      </c>
      <c r="K3346">
        <v>0</v>
      </c>
      <c r="L3346">
        <v>1483284</v>
      </c>
      <c r="M3346">
        <v>0</v>
      </c>
      <c r="T3346" s="9">
        <v>45108</v>
      </c>
      <c r="U3346" s="9">
        <v>45473</v>
      </c>
      <c r="V3346">
        <f>SUM(POTABLE_NONPOTABLE_API[[#This Row],[RESIDENTIAL_SINGLEFAMILY_GAL]:[OTHER_GAL]])</f>
        <v>2747404</v>
      </c>
      <c r="W3346">
        <f>SUM(POTABLE_NONPOTABLE_API[[#This Row],[NONPOTABLE_DEMAND_RESIDENTIAL_RECYCLED_WATER_GAL]:[NONPOTABLE_DEMAND_NONRESIDENTIAL_METERED_IRRIGATION_GAL]])</f>
        <v>0</v>
      </c>
      <c r="X3346" t="str">
        <f>IFERROR(INDEX(Crosswalk_API!$H$2:$H$527, MATCH(POTABLE_NONPOTABLE_API[[#This Row],[PWSID]], CW_PWSID_LIST, 0)), "")</f>
        <v>No</v>
      </c>
    </row>
    <row r="3347" spans="1:24" x14ac:dyDescent="0.25">
      <c r="A3347" t="s">
        <v>1722</v>
      </c>
      <c r="B3347" t="s">
        <v>1723</v>
      </c>
      <c r="C3347" t="s">
        <v>1726</v>
      </c>
      <c r="D3347" t="s">
        <v>1727</v>
      </c>
      <c r="E3347" s="9">
        <v>45383</v>
      </c>
      <c r="F3347" s="9">
        <v>45412</v>
      </c>
      <c r="G3347">
        <v>1347148</v>
      </c>
      <c r="H3347">
        <v>18700</v>
      </c>
      <c r="I3347">
        <v>0</v>
      </c>
      <c r="J3347">
        <v>0</v>
      </c>
      <c r="K3347">
        <v>0</v>
      </c>
      <c r="L3347">
        <v>1624656</v>
      </c>
      <c r="M3347">
        <v>0</v>
      </c>
      <c r="T3347" s="9">
        <v>45108</v>
      </c>
      <c r="U3347" s="9">
        <v>45473</v>
      </c>
      <c r="V3347">
        <f>SUM(POTABLE_NONPOTABLE_API[[#This Row],[RESIDENTIAL_SINGLEFAMILY_GAL]:[OTHER_GAL]])</f>
        <v>2990504</v>
      </c>
      <c r="W3347">
        <f>SUM(POTABLE_NONPOTABLE_API[[#This Row],[NONPOTABLE_DEMAND_RESIDENTIAL_RECYCLED_WATER_GAL]:[NONPOTABLE_DEMAND_NONRESIDENTIAL_METERED_IRRIGATION_GAL]])</f>
        <v>0</v>
      </c>
      <c r="X3347" t="str">
        <f>IFERROR(INDEX(Crosswalk_API!$H$2:$H$527, MATCH(POTABLE_NONPOTABLE_API[[#This Row],[PWSID]], CW_PWSID_LIST, 0)), "")</f>
        <v>No</v>
      </c>
    </row>
    <row r="3348" spans="1:24" x14ac:dyDescent="0.25">
      <c r="A3348" t="s">
        <v>1722</v>
      </c>
      <c r="B3348" t="s">
        <v>1723</v>
      </c>
      <c r="C3348" t="s">
        <v>1726</v>
      </c>
      <c r="D3348" t="s">
        <v>1727</v>
      </c>
      <c r="E3348" s="9">
        <v>45413</v>
      </c>
      <c r="F3348" s="9">
        <v>45443</v>
      </c>
      <c r="G3348">
        <v>1485528</v>
      </c>
      <c r="H3348">
        <v>19448</v>
      </c>
      <c r="I3348">
        <v>0</v>
      </c>
      <c r="J3348">
        <v>0</v>
      </c>
      <c r="K3348">
        <v>0</v>
      </c>
      <c r="L3348">
        <v>955944</v>
      </c>
      <c r="M3348">
        <v>0</v>
      </c>
      <c r="T3348" s="9">
        <v>45108</v>
      </c>
      <c r="U3348" s="9">
        <v>45473</v>
      </c>
      <c r="V3348">
        <f>SUM(POTABLE_NONPOTABLE_API[[#This Row],[RESIDENTIAL_SINGLEFAMILY_GAL]:[OTHER_GAL]])</f>
        <v>2460920</v>
      </c>
      <c r="W3348">
        <f>SUM(POTABLE_NONPOTABLE_API[[#This Row],[NONPOTABLE_DEMAND_RESIDENTIAL_RECYCLED_WATER_GAL]:[NONPOTABLE_DEMAND_NONRESIDENTIAL_METERED_IRRIGATION_GAL]])</f>
        <v>0</v>
      </c>
      <c r="X3348" t="str">
        <f>IFERROR(INDEX(Crosswalk_API!$H$2:$H$527, MATCH(POTABLE_NONPOTABLE_API[[#This Row],[PWSID]], CW_PWSID_LIST, 0)), "")</f>
        <v>No</v>
      </c>
    </row>
    <row r="3349" spans="1:24" x14ac:dyDescent="0.25">
      <c r="A3349" t="s">
        <v>1722</v>
      </c>
      <c r="B3349" t="s">
        <v>1723</v>
      </c>
      <c r="C3349" t="s">
        <v>1726</v>
      </c>
      <c r="D3349" t="s">
        <v>1727</v>
      </c>
      <c r="E3349" s="9">
        <v>45444</v>
      </c>
      <c r="F3349" s="9">
        <v>45473</v>
      </c>
      <c r="G3349">
        <v>1849804</v>
      </c>
      <c r="H3349">
        <v>15708</v>
      </c>
      <c r="I3349">
        <v>0</v>
      </c>
      <c r="J3349">
        <v>0</v>
      </c>
      <c r="K3349">
        <v>0</v>
      </c>
      <c r="L3349">
        <v>42636</v>
      </c>
      <c r="M3349">
        <v>0</v>
      </c>
      <c r="T3349" s="9">
        <v>45108</v>
      </c>
      <c r="U3349" s="9">
        <v>45473</v>
      </c>
      <c r="V3349">
        <f>SUM(POTABLE_NONPOTABLE_API[[#This Row],[RESIDENTIAL_SINGLEFAMILY_GAL]:[OTHER_GAL]])</f>
        <v>1908148</v>
      </c>
      <c r="W3349">
        <f>SUM(POTABLE_NONPOTABLE_API[[#This Row],[NONPOTABLE_DEMAND_RESIDENTIAL_RECYCLED_WATER_GAL]:[NONPOTABLE_DEMAND_NONRESIDENTIAL_METERED_IRRIGATION_GAL]])</f>
        <v>0</v>
      </c>
      <c r="X3349" t="str">
        <f>IFERROR(INDEX(Crosswalk_API!$H$2:$H$527, MATCH(POTABLE_NONPOTABLE_API[[#This Row],[PWSID]], CW_PWSID_LIST, 0)), "")</f>
        <v>No</v>
      </c>
    </row>
    <row r="3350" spans="1:24" x14ac:dyDescent="0.25">
      <c r="A3350" t="s">
        <v>1722</v>
      </c>
      <c r="B3350" t="s">
        <v>1723</v>
      </c>
      <c r="C3350" t="s">
        <v>1728</v>
      </c>
      <c r="D3350" t="s">
        <v>1729</v>
      </c>
      <c r="E3350" s="9">
        <v>45108</v>
      </c>
      <c r="F3350" s="9">
        <v>45138</v>
      </c>
      <c r="G3350">
        <v>1300024</v>
      </c>
      <c r="H3350">
        <v>206448</v>
      </c>
      <c r="I3350">
        <v>7480</v>
      </c>
      <c r="J3350">
        <v>0</v>
      </c>
      <c r="K3350">
        <v>0</v>
      </c>
      <c r="L3350">
        <v>430848</v>
      </c>
      <c r="M3350">
        <v>0</v>
      </c>
      <c r="T3350" s="9">
        <v>45108</v>
      </c>
      <c r="U3350" s="9">
        <v>45473</v>
      </c>
      <c r="V3350">
        <f>SUM(POTABLE_NONPOTABLE_API[[#This Row],[RESIDENTIAL_SINGLEFAMILY_GAL]:[OTHER_GAL]])</f>
        <v>1944800</v>
      </c>
      <c r="W3350">
        <f>SUM(POTABLE_NONPOTABLE_API[[#This Row],[NONPOTABLE_DEMAND_RESIDENTIAL_RECYCLED_WATER_GAL]:[NONPOTABLE_DEMAND_NONRESIDENTIAL_METERED_IRRIGATION_GAL]])</f>
        <v>0</v>
      </c>
      <c r="X3350" t="str">
        <f>IFERROR(INDEX(Crosswalk_API!$H$2:$H$527, MATCH(POTABLE_NONPOTABLE_API[[#This Row],[PWSID]], CW_PWSID_LIST, 0)), "")</f>
        <v>No</v>
      </c>
    </row>
    <row r="3351" spans="1:24" x14ac:dyDescent="0.25">
      <c r="A3351" t="s">
        <v>1722</v>
      </c>
      <c r="B3351" t="s">
        <v>1723</v>
      </c>
      <c r="C3351" t="s">
        <v>1728</v>
      </c>
      <c r="D3351" t="s">
        <v>1729</v>
      </c>
      <c r="E3351" s="9">
        <v>45139</v>
      </c>
      <c r="F3351" s="9">
        <v>45169</v>
      </c>
      <c r="G3351">
        <v>1250656</v>
      </c>
      <c r="H3351">
        <v>267784</v>
      </c>
      <c r="I3351">
        <v>6732</v>
      </c>
      <c r="J3351">
        <v>0</v>
      </c>
      <c r="K3351">
        <v>0</v>
      </c>
      <c r="L3351">
        <v>311916</v>
      </c>
      <c r="M3351">
        <v>0</v>
      </c>
      <c r="T3351" s="9">
        <v>45108</v>
      </c>
      <c r="U3351" s="9">
        <v>45473</v>
      </c>
      <c r="V3351">
        <f>SUM(POTABLE_NONPOTABLE_API[[#This Row],[RESIDENTIAL_SINGLEFAMILY_GAL]:[OTHER_GAL]])</f>
        <v>1837088</v>
      </c>
      <c r="W3351">
        <f>SUM(POTABLE_NONPOTABLE_API[[#This Row],[NONPOTABLE_DEMAND_RESIDENTIAL_RECYCLED_WATER_GAL]:[NONPOTABLE_DEMAND_NONRESIDENTIAL_METERED_IRRIGATION_GAL]])</f>
        <v>0</v>
      </c>
      <c r="X3351" t="str">
        <f>IFERROR(INDEX(Crosswalk_API!$H$2:$H$527, MATCH(POTABLE_NONPOTABLE_API[[#This Row],[PWSID]], CW_PWSID_LIST, 0)), "")</f>
        <v>No</v>
      </c>
    </row>
    <row r="3352" spans="1:24" x14ac:dyDescent="0.25">
      <c r="A3352" t="s">
        <v>1722</v>
      </c>
      <c r="B3352" t="s">
        <v>1723</v>
      </c>
      <c r="C3352" t="s">
        <v>1728</v>
      </c>
      <c r="D3352" t="s">
        <v>1729</v>
      </c>
      <c r="E3352" s="9">
        <v>45170</v>
      </c>
      <c r="F3352" s="9">
        <v>45199</v>
      </c>
      <c r="G3352">
        <v>1276088</v>
      </c>
      <c r="H3352">
        <v>193732</v>
      </c>
      <c r="I3352">
        <v>7480</v>
      </c>
      <c r="J3352">
        <v>0</v>
      </c>
      <c r="K3352">
        <v>0</v>
      </c>
      <c r="L3352">
        <v>675444</v>
      </c>
      <c r="M3352">
        <v>0</v>
      </c>
      <c r="T3352" s="9">
        <v>45108</v>
      </c>
      <c r="U3352" s="9">
        <v>45473</v>
      </c>
      <c r="V3352">
        <f>SUM(POTABLE_NONPOTABLE_API[[#This Row],[RESIDENTIAL_SINGLEFAMILY_GAL]:[OTHER_GAL]])</f>
        <v>2152744</v>
      </c>
      <c r="W3352">
        <f>SUM(POTABLE_NONPOTABLE_API[[#This Row],[NONPOTABLE_DEMAND_RESIDENTIAL_RECYCLED_WATER_GAL]:[NONPOTABLE_DEMAND_NONRESIDENTIAL_METERED_IRRIGATION_GAL]])</f>
        <v>0</v>
      </c>
      <c r="X3352" t="str">
        <f>IFERROR(INDEX(Crosswalk_API!$H$2:$H$527, MATCH(POTABLE_NONPOTABLE_API[[#This Row],[PWSID]], CW_PWSID_LIST, 0)), "")</f>
        <v>No</v>
      </c>
    </row>
    <row r="3353" spans="1:24" x14ac:dyDescent="0.25">
      <c r="A3353" t="s">
        <v>1722</v>
      </c>
      <c r="B3353" t="s">
        <v>1723</v>
      </c>
      <c r="C3353" t="s">
        <v>1728</v>
      </c>
      <c r="D3353" t="s">
        <v>1729</v>
      </c>
      <c r="E3353" s="9">
        <v>45200</v>
      </c>
      <c r="F3353" s="9">
        <v>45230</v>
      </c>
      <c r="G3353">
        <v>1086844</v>
      </c>
      <c r="H3353">
        <v>106216</v>
      </c>
      <c r="I3353">
        <v>4488</v>
      </c>
      <c r="J3353">
        <v>0</v>
      </c>
      <c r="K3353">
        <v>0</v>
      </c>
      <c r="L3353">
        <v>111452</v>
      </c>
      <c r="M3353">
        <v>0</v>
      </c>
      <c r="T3353" s="9">
        <v>45108</v>
      </c>
      <c r="U3353" s="9">
        <v>45473</v>
      </c>
      <c r="V3353">
        <f>SUM(POTABLE_NONPOTABLE_API[[#This Row],[RESIDENTIAL_SINGLEFAMILY_GAL]:[OTHER_GAL]])</f>
        <v>1309000</v>
      </c>
      <c r="W3353">
        <f>SUM(POTABLE_NONPOTABLE_API[[#This Row],[NONPOTABLE_DEMAND_RESIDENTIAL_RECYCLED_WATER_GAL]:[NONPOTABLE_DEMAND_NONRESIDENTIAL_METERED_IRRIGATION_GAL]])</f>
        <v>0</v>
      </c>
      <c r="X3353" t="str">
        <f>IFERROR(INDEX(Crosswalk_API!$H$2:$H$527, MATCH(POTABLE_NONPOTABLE_API[[#This Row],[PWSID]], CW_PWSID_LIST, 0)), "")</f>
        <v>No</v>
      </c>
    </row>
    <row r="3354" spans="1:24" x14ac:dyDescent="0.25">
      <c r="A3354" t="s">
        <v>1722</v>
      </c>
      <c r="B3354" t="s">
        <v>1723</v>
      </c>
      <c r="C3354" t="s">
        <v>1728</v>
      </c>
      <c r="D3354" t="s">
        <v>1729</v>
      </c>
      <c r="E3354" s="9">
        <v>45231</v>
      </c>
      <c r="F3354" s="9">
        <v>45260</v>
      </c>
      <c r="G3354">
        <v>1091332</v>
      </c>
      <c r="H3354">
        <v>60588</v>
      </c>
      <c r="I3354">
        <v>2992</v>
      </c>
      <c r="J3354">
        <v>0</v>
      </c>
      <c r="K3354">
        <v>0</v>
      </c>
      <c r="L3354">
        <v>81532</v>
      </c>
      <c r="M3354">
        <v>0</v>
      </c>
      <c r="T3354" s="9">
        <v>45108</v>
      </c>
      <c r="U3354" s="9">
        <v>45473</v>
      </c>
      <c r="V3354">
        <f>SUM(POTABLE_NONPOTABLE_API[[#This Row],[RESIDENTIAL_SINGLEFAMILY_GAL]:[OTHER_GAL]])</f>
        <v>1236444</v>
      </c>
      <c r="W3354">
        <f>SUM(POTABLE_NONPOTABLE_API[[#This Row],[NONPOTABLE_DEMAND_RESIDENTIAL_RECYCLED_WATER_GAL]:[NONPOTABLE_DEMAND_NONRESIDENTIAL_METERED_IRRIGATION_GAL]])</f>
        <v>0</v>
      </c>
      <c r="X3354" t="str">
        <f>IFERROR(INDEX(Crosswalk_API!$H$2:$H$527, MATCH(POTABLE_NONPOTABLE_API[[#This Row],[PWSID]], CW_PWSID_LIST, 0)), "")</f>
        <v>No</v>
      </c>
    </row>
    <row r="3355" spans="1:24" x14ac:dyDescent="0.25">
      <c r="A3355" t="s">
        <v>1722</v>
      </c>
      <c r="B3355" t="s">
        <v>1723</v>
      </c>
      <c r="C3355" t="s">
        <v>1728</v>
      </c>
      <c r="D3355" t="s">
        <v>1729</v>
      </c>
      <c r="E3355" s="9">
        <v>45261</v>
      </c>
      <c r="F3355" s="9">
        <v>45291</v>
      </c>
      <c r="G3355">
        <v>1015036</v>
      </c>
      <c r="H3355">
        <v>30668</v>
      </c>
      <c r="I3355">
        <v>2992</v>
      </c>
      <c r="J3355">
        <v>0</v>
      </c>
      <c r="K3355">
        <v>0</v>
      </c>
      <c r="L3355">
        <v>0</v>
      </c>
      <c r="M3355">
        <v>0</v>
      </c>
      <c r="T3355" s="9">
        <v>45108</v>
      </c>
      <c r="U3355" s="9">
        <v>45473</v>
      </c>
      <c r="V3355">
        <f>SUM(POTABLE_NONPOTABLE_API[[#This Row],[RESIDENTIAL_SINGLEFAMILY_GAL]:[OTHER_GAL]])</f>
        <v>1048696</v>
      </c>
      <c r="W3355">
        <f>SUM(POTABLE_NONPOTABLE_API[[#This Row],[NONPOTABLE_DEMAND_RESIDENTIAL_RECYCLED_WATER_GAL]:[NONPOTABLE_DEMAND_NONRESIDENTIAL_METERED_IRRIGATION_GAL]])</f>
        <v>0</v>
      </c>
      <c r="X3355" t="str">
        <f>IFERROR(INDEX(Crosswalk_API!$H$2:$H$527, MATCH(POTABLE_NONPOTABLE_API[[#This Row],[PWSID]], CW_PWSID_LIST, 0)), "")</f>
        <v>No</v>
      </c>
    </row>
    <row r="3356" spans="1:24" x14ac:dyDescent="0.25">
      <c r="A3356" t="s">
        <v>1722</v>
      </c>
      <c r="B3356" t="s">
        <v>1723</v>
      </c>
      <c r="C3356" t="s">
        <v>1728</v>
      </c>
      <c r="D3356" t="s">
        <v>1729</v>
      </c>
      <c r="E3356" s="9">
        <v>45292</v>
      </c>
      <c r="F3356" s="9">
        <v>45322</v>
      </c>
      <c r="G3356">
        <v>877404</v>
      </c>
      <c r="H3356">
        <v>31416</v>
      </c>
      <c r="I3356">
        <v>4488</v>
      </c>
      <c r="J3356">
        <v>0</v>
      </c>
      <c r="K3356">
        <v>0</v>
      </c>
      <c r="L3356">
        <v>129404</v>
      </c>
      <c r="M3356">
        <v>0</v>
      </c>
      <c r="T3356" s="9">
        <v>45108</v>
      </c>
      <c r="U3356" s="9">
        <v>45473</v>
      </c>
      <c r="V3356">
        <f>SUM(POTABLE_NONPOTABLE_API[[#This Row],[RESIDENTIAL_SINGLEFAMILY_GAL]:[OTHER_GAL]])</f>
        <v>1042712</v>
      </c>
      <c r="W3356">
        <f>SUM(POTABLE_NONPOTABLE_API[[#This Row],[NONPOTABLE_DEMAND_RESIDENTIAL_RECYCLED_WATER_GAL]:[NONPOTABLE_DEMAND_NONRESIDENTIAL_METERED_IRRIGATION_GAL]])</f>
        <v>0</v>
      </c>
      <c r="X3356" t="str">
        <f>IFERROR(INDEX(Crosswalk_API!$H$2:$H$527, MATCH(POTABLE_NONPOTABLE_API[[#This Row],[PWSID]], CW_PWSID_LIST, 0)), "")</f>
        <v>No</v>
      </c>
    </row>
    <row r="3357" spans="1:24" x14ac:dyDescent="0.25">
      <c r="A3357" t="s">
        <v>1722</v>
      </c>
      <c r="B3357" t="s">
        <v>1723</v>
      </c>
      <c r="C3357" t="s">
        <v>1728</v>
      </c>
      <c r="D3357" t="s">
        <v>1729</v>
      </c>
      <c r="E3357" s="9">
        <v>45323</v>
      </c>
      <c r="F3357" s="9">
        <v>45351</v>
      </c>
      <c r="G3357">
        <v>1005312</v>
      </c>
      <c r="H3357">
        <v>49368</v>
      </c>
      <c r="I3357">
        <v>3740</v>
      </c>
      <c r="J3357">
        <v>0</v>
      </c>
      <c r="K3357">
        <v>0</v>
      </c>
      <c r="L3357">
        <v>0</v>
      </c>
      <c r="M3357">
        <v>0</v>
      </c>
      <c r="T3357" s="9">
        <v>45108</v>
      </c>
      <c r="U3357" s="9">
        <v>45473</v>
      </c>
      <c r="V3357">
        <f>SUM(POTABLE_NONPOTABLE_API[[#This Row],[RESIDENTIAL_SINGLEFAMILY_GAL]:[OTHER_GAL]])</f>
        <v>1058420</v>
      </c>
      <c r="W3357">
        <f>SUM(POTABLE_NONPOTABLE_API[[#This Row],[NONPOTABLE_DEMAND_RESIDENTIAL_RECYCLED_WATER_GAL]:[NONPOTABLE_DEMAND_NONRESIDENTIAL_METERED_IRRIGATION_GAL]])</f>
        <v>0</v>
      </c>
      <c r="X3357" t="str">
        <f>IFERROR(INDEX(Crosswalk_API!$H$2:$H$527, MATCH(POTABLE_NONPOTABLE_API[[#This Row],[PWSID]], CW_PWSID_LIST, 0)), "")</f>
        <v>No</v>
      </c>
    </row>
    <row r="3358" spans="1:24" x14ac:dyDescent="0.25">
      <c r="A3358" t="s">
        <v>1722</v>
      </c>
      <c r="B3358" t="s">
        <v>1723</v>
      </c>
      <c r="C3358" t="s">
        <v>1728</v>
      </c>
      <c r="D3358" t="s">
        <v>1729</v>
      </c>
      <c r="E3358" s="9">
        <v>45352</v>
      </c>
      <c r="F3358" s="9">
        <v>45382</v>
      </c>
      <c r="G3358">
        <v>826540</v>
      </c>
      <c r="H3358">
        <v>31416</v>
      </c>
      <c r="I3358">
        <v>3740</v>
      </c>
      <c r="J3358">
        <v>0</v>
      </c>
      <c r="K3358">
        <v>0</v>
      </c>
      <c r="L3358">
        <v>0</v>
      </c>
      <c r="M3358">
        <v>0</v>
      </c>
      <c r="T3358" s="9">
        <v>45108</v>
      </c>
      <c r="U3358" s="9">
        <v>45473</v>
      </c>
      <c r="V3358">
        <f>SUM(POTABLE_NONPOTABLE_API[[#This Row],[RESIDENTIAL_SINGLEFAMILY_GAL]:[OTHER_GAL]])</f>
        <v>861696</v>
      </c>
      <c r="W3358">
        <f>SUM(POTABLE_NONPOTABLE_API[[#This Row],[NONPOTABLE_DEMAND_RESIDENTIAL_RECYCLED_WATER_GAL]:[NONPOTABLE_DEMAND_NONRESIDENTIAL_METERED_IRRIGATION_GAL]])</f>
        <v>0</v>
      </c>
      <c r="X3358" t="str">
        <f>IFERROR(INDEX(Crosswalk_API!$H$2:$H$527, MATCH(POTABLE_NONPOTABLE_API[[#This Row],[PWSID]], CW_PWSID_LIST, 0)), "")</f>
        <v>No</v>
      </c>
    </row>
    <row r="3359" spans="1:24" x14ac:dyDescent="0.25">
      <c r="A3359" t="s">
        <v>1722</v>
      </c>
      <c r="B3359" t="s">
        <v>1723</v>
      </c>
      <c r="C3359" t="s">
        <v>1728</v>
      </c>
      <c r="D3359" t="s">
        <v>1729</v>
      </c>
      <c r="E3359" s="9">
        <v>45383</v>
      </c>
      <c r="F3359" s="9">
        <v>45412</v>
      </c>
      <c r="G3359">
        <v>828036</v>
      </c>
      <c r="H3359">
        <v>27676</v>
      </c>
      <c r="I3359">
        <v>2992</v>
      </c>
      <c r="J3359">
        <v>0</v>
      </c>
      <c r="K3359">
        <v>0</v>
      </c>
      <c r="L3359">
        <v>0</v>
      </c>
      <c r="M3359">
        <v>0</v>
      </c>
      <c r="T3359" s="9">
        <v>45108</v>
      </c>
      <c r="U3359" s="9">
        <v>45473</v>
      </c>
      <c r="V3359">
        <f>SUM(POTABLE_NONPOTABLE_API[[#This Row],[RESIDENTIAL_SINGLEFAMILY_GAL]:[OTHER_GAL]])</f>
        <v>858704</v>
      </c>
      <c r="W3359">
        <f>SUM(POTABLE_NONPOTABLE_API[[#This Row],[NONPOTABLE_DEMAND_RESIDENTIAL_RECYCLED_WATER_GAL]:[NONPOTABLE_DEMAND_NONRESIDENTIAL_METERED_IRRIGATION_GAL]])</f>
        <v>0</v>
      </c>
      <c r="X3359" t="str">
        <f>IFERROR(INDEX(Crosswalk_API!$H$2:$H$527, MATCH(POTABLE_NONPOTABLE_API[[#This Row],[PWSID]], CW_PWSID_LIST, 0)), "")</f>
        <v>No</v>
      </c>
    </row>
    <row r="3360" spans="1:24" x14ac:dyDescent="0.25">
      <c r="A3360" t="s">
        <v>1722</v>
      </c>
      <c r="B3360" t="s">
        <v>1723</v>
      </c>
      <c r="C3360" t="s">
        <v>1728</v>
      </c>
      <c r="D3360" t="s">
        <v>1729</v>
      </c>
      <c r="E3360" s="9">
        <v>45413</v>
      </c>
      <c r="F3360" s="9">
        <v>45443</v>
      </c>
      <c r="G3360">
        <v>1025508</v>
      </c>
      <c r="H3360">
        <v>50864</v>
      </c>
      <c r="I3360">
        <v>2992</v>
      </c>
      <c r="J3360">
        <v>0</v>
      </c>
      <c r="K3360">
        <v>0</v>
      </c>
      <c r="L3360">
        <v>0</v>
      </c>
      <c r="M3360">
        <v>0</v>
      </c>
      <c r="T3360" s="9">
        <v>45108</v>
      </c>
      <c r="U3360" s="9">
        <v>45473</v>
      </c>
      <c r="V3360">
        <f>SUM(POTABLE_NONPOTABLE_API[[#This Row],[RESIDENTIAL_SINGLEFAMILY_GAL]:[OTHER_GAL]])</f>
        <v>1079364</v>
      </c>
      <c r="W3360">
        <f>SUM(POTABLE_NONPOTABLE_API[[#This Row],[NONPOTABLE_DEMAND_RESIDENTIAL_RECYCLED_WATER_GAL]:[NONPOTABLE_DEMAND_NONRESIDENTIAL_METERED_IRRIGATION_GAL]])</f>
        <v>0</v>
      </c>
      <c r="X3360" t="str">
        <f>IFERROR(INDEX(Crosswalk_API!$H$2:$H$527, MATCH(POTABLE_NONPOTABLE_API[[#This Row],[PWSID]], CW_PWSID_LIST, 0)), "")</f>
        <v>No</v>
      </c>
    </row>
    <row r="3361" spans="1:24" x14ac:dyDescent="0.25">
      <c r="A3361" t="s">
        <v>1722</v>
      </c>
      <c r="B3361" t="s">
        <v>1723</v>
      </c>
      <c r="C3361" t="s">
        <v>1728</v>
      </c>
      <c r="D3361" t="s">
        <v>1729</v>
      </c>
      <c r="E3361" s="9">
        <v>45444</v>
      </c>
      <c r="F3361" s="9">
        <v>45473</v>
      </c>
      <c r="G3361">
        <v>1421948</v>
      </c>
      <c r="H3361">
        <v>141372</v>
      </c>
      <c r="I3361">
        <v>4488</v>
      </c>
      <c r="J3361">
        <v>0</v>
      </c>
      <c r="K3361">
        <v>0</v>
      </c>
      <c r="L3361">
        <v>0</v>
      </c>
      <c r="M3361">
        <v>0</v>
      </c>
      <c r="T3361" s="9">
        <v>45108</v>
      </c>
      <c r="U3361" s="9">
        <v>45473</v>
      </c>
      <c r="V3361">
        <f>SUM(POTABLE_NONPOTABLE_API[[#This Row],[RESIDENTIAL_SINGLEFAMILY_GAL]:[OTHER_GAL]])</f>
        <v>1567808</v>
      </c>
      <c r="W3361">
        <f>SUM(POTABLE_NONPOTABLE_API[[#This Row],[NONPOTABLE_DEMAND_RESIDENTIAL_RECYCLED_WATER_GAL]:[NONPOTABLE_DEMAND_NONRESIDENTIAL_METERED_IRRIGATION_GAL]])</f>
        <v>0</v>
      </c>
      <c r="X3361" t="str">
        <f>IFERROR(INDEX(Crosswalk_API!$H$2:$H$527, MATCH(POTABLE_NONPOTABLE_API[[#This Row],[PWSID]], CW_PWSID_LIST, 0)), "")</f>
        <v>No</v>
      </c>
    </row>
    <row r="3362" spans="1:24" x14ac:dyDescent="0.25">
      <c r="A3362" t="s">
        <v>1730</v>
      </c>
      <c r="B3362" t="s">
        <v>1731</v>
      </c>
      <c r="C3362" t="s">
        <v>1732</v>
      </c>
      <c r="D3362" t="s">
        <v>1733</v>
      </c>
      <c r="E3362" s="9">
        <v>45108</v>
      </c>
      <c r="F3362" s="9">
        <v>45138</v>
      </c>
      <c r="G3362">
        <v>52739158</v>
      </c>
      <c r="H3362">
        <v>808644</v>
      </c>
      <c r="I3362">
        <v>11062192</v>
      </c>
      <c r="J3362">
        <v>3505371</v>
      </c>
      <c r="K3362">
        <v>122681</v>
      </c>
      <c r="L3362">
        <v>3969912</v>
      </c>
      <c r="M3362">
        <v>0</v>
      </c>
      <c r="T3362" s="9">
        <v>45108</v>
      </c>
      <c r="U3362" s="9">
        <v>45473</v>
      </c>
      <c r="V3362">
        <f>SUM(POTABLE_NONPOTABLE_API[[#This Row],[RESIDENTIAL_SINGLEFAMILY_GAL]:[OTHER_GAL]])</f>
        <v>72207958</v>
      </c>
      <c r="W3362">
        <f>SUM(POTABLE_NONPOTABLE_API[[#This Row],[NONPOTABLE_DEMAND_RESIDENTIAL_RECYCLED_WATER_GAL]:[NONPOTABLE_DEMAND_NONRESIDENTIAL_METERED_IRRIGATION_GAL]])</f>
        <v>0</v>
      </c>
      <c r="X3362" t="str">
        <f>IFERROR(INDEX(Crosswalk_API!$H$2:$H$527, MATCH(POTABLE_NONPOTABLE_API[[#This Row],[PWSID]], CW_PWSID_LIST, 0)), "")</f>
        <v>No</v>
      </c>
    </row>
    <row r="3363" spans="1:24" x14ac:dyDescent="0.25">
      <c r="A3363" t="s">
        <v>1730</v>
      </c>
      <c r="B3363" t="s">
        <v>1731</v>
      </c>
      <c r="C3363" t="s">
        <v>1732</v>
      </c>
      <c r="D3363" t="s">
        <v>1733</v>
      </c>
      <c r="E3363" s="9">
        <v>45139</v>
      </c>
      <c r="F3363" s="9">
        <v>45169</v>
      </c>
      <c r="G3363">
        <v>55338639</v>
      </c>
      <c r="H3363">
        <v>842306</v>
      </c>
      <c r="I3363">
        <v>13038545</v>
      </c>
      <c r="J3363">
        <v>2927875</v>
      </c>
      <c r="K3363">
        <v>172800</v>
      </c>
      <c r="L3363">
        <v>4154681</v>
      </c>
      <c r="M3363">
        <v>0</v>
      </c>
      <c r="T3363" s="9">
        <v>45108</v>
      </c>
      <c r="U3363" s="9">
        <v>45473</v>
      </c>
      <c r="V3363">
        <f>SUM(POTABLE_NONPOTABLE_API[[#This Row],[RESIDENTIAL_SINGLEFAMILY_GAL]:[OTHER_GAL]])</f>
        <v>76474846</v>
      </c>
      <c r="W3363">
        <f>SUM(POTABLE_NONPOTABLE_API[[#This Row],[NONPOTABLE_DEMAND_RESIDENTIAL_RECYCLED_WATER_GAL]:[NONPOTABLE_DEMAND_NONRESIDENTIAL_METERED_IRRIGATION_GAL]])</f>
        <v>0</v>
      </c>
      <c r="X3363" t="str">
        <f>IFERROR(INDEX(Crosswalk_API!$H$2:$H$527, MATCH(POTABLE_NONPOTABLE_API[[#This Row],[PWSID]], CW_PWSID_LIST, 0)), "")</f>
        <v>No</v>
      </c>
    </row>
    <row r="3364" spans="1:24" x14ac:dyDescent="0.25">
      <c r="A3364" t="s">
        <v>1730</v>
      </c>
      <c r="B3364" t="s">
        <v>1731</v>
      </c>
      <c r="C3364" t="s">
        <v>1732</v>
      </c>
      <c r="D3364" t="s">
        <v>1733</v>
      </c>
      <c r="E3364" s="9">
        <v>45170</v>
      </c>
      <c r="F3364" s="9">
        <v>45199</v>
      </c>
      <c r="G3364">
        <v>50795080</v>
      </c>
      <c r="H3364">
        <v>885607</v>
      </c>
      <c r="I3364">
        <v>11779467</v>
      </c>
      <c r="J3364">
        <v>2161909</v>
      </c>
      <c r="K3364">
        <v>163753</v>
      </c>
      <c r="L3364">
        <v>5272647</v>
      </c>
      <c r="M3364">
        <v>0</v>
      </c>
      <c r="T3364" s="9">
        <v>45108</v>
      </c>
      <c r="U3364" s="9">
        <v>45473</v>
      </c>
      <c r="V3364">
        <f>SUM(POTABLE_NONPOTABLE_API[[#This Row],[RESIDENTIAL_SINGLEFAMILY_GAL]:[OTHER_GAL]])</f>
        <v>71058463</v>
      </c>
      <c r="W3364">
        <f>SUM(POTABLE_NONPOTABLE_API[[#This Row],[NONPOTABLE_DEMAND_RESIDENTIAL_RECYCLED_WATER_GAL]:[NONPOTABLE_DEMAND_NONRESIDENTIAL_METERED_IRRIGATION_GAL]])</f>
        <v>0</v>
      </c>
      <c r="X3364" t="str">
        <f>IFERROR(INDEX(Crosswalk_API!$H$2:$H$527, MATCH(POTABLE_NONPOTABLE_API[[#This Row],[PWSID]], CW_PWSID_LIST, 0)), "")</f>
        <v>No</v>
      </c>
    </row>
    <row r="3365" spans="1:24" x14ac:dyDescent="0.25">
      <c r="A3365" t="s">
        <v>1730</v>
      </c>
      <c r="B3365" t="s">
        <v>1731</v>
      </c>
      <c r="C3365" t="s">
        <v>1732</v>
      </c>
      <c r="D3365" t="s">
        <v>1733</v>
      </c>
      <c r="E3365" s="9">
        <v>45200</v>
      </c>
      <c r="F3365" s="9">
        <v>45230</v>
      </c>
      <c r="G3365">
        <v>45093681</v>
      </c>
      <c r="H3365">
        <v>861817</v>
      </c>
      <c r="I3365">
        <v>11286214</v>
      </c>
      <c r="J3365">
        <v>1787812</v>
      </c>
      <c r="K3365">
        <v>167376</v>
      </c>
      <c r="L3365">
        <v>3846862</v>
      </c>
      <c r="M3365">
        <v>0</v>
      </c>
      <c r="T3365" s="9">
        <v>45108</v>
      </c>
      <c r="U3365" s="9">
        <v>45473</v>
      </c>
      <c r="V3365">
        <f>SUM(POTABLE_NONPOTABLE_API[[#This Row],[RESIDENTIAL_SINGLEFAMILY_GAL]:[OTHER_GAL]])</f>
        <v>63043762</v>
      </c>
      <c r="W3365">
        <f>SUM(POTABLE_NONPOTABLE_API[[#This Row],[NONPOTABLE_DEMAND_RESIDENTIAL_RECYCLED_WATER_GAL]:[NONPOTABLE_DEMAND_NONRESIDENTIAL_METERED_IRRIGATION_GAL]])</f>
        <v>0</v>
      </c>
      <c r="X3365" t="str">
        <f>IFERROR(INDEX(Crosswalk_API!$H$2:$H$527, MATCH(POTABLE_NONPOTABLE_API[[#This Row],[PWSID]], CW_PWSID_LIST, 0)), "")</f>
        <v>No</v>
      </c>
    </row>
    <row r="3366" spans="1:24" x14ac:dyDescent="0.25">
      <c r="A3366" t="s">
        <v>1730</v>
      </c>
      <c r="B3366" t="s">
        <v>1731</v>
      </c>
      <c r="C3366" t="s">
        <v>1732</v>
      </c>
      <c r="D3366" t="s">
        <v>1733</v>
      </c>
      <c r="E3366" s="9">
        <v>45231</v>
      </c>
      <c r="F3366" s="9">
        <v>45260</v>
      </c>
      <c r="G3366">
        <v>35977324</v>
      </c>
      <c r="H3366">
        <v>719967</v>
      </c>
      <c r="I3366">
        <v>8614270</v>
      </c>
      <c r="J3366">
        <v>1058497</v>
      </c>
      <c r="K3366">
        <v>151641</v>
      </c>
      <c r="L3366">
        <v>1619724</v>
      </c>
      <c r="M3366">
        <v>0</v>
      </c>
      <c r="T3366" s="9">
        <v>45108</v>
      </c>
      <c r="U3366" s="9">
        <v>45473</v>
      </c>
      <c r="V3366">
        <f>SUM(POTABLE_NONPOTABLE_API[[#This Row],[RESIDENTIAL_SINGLEFAMILY_GAL]:[OTHER_GAL]])</f>
        <v>48141423</v>
      </c>
      <c r="W3366">
        <f>SUM(POTABLE_NONPOTABLE_API[[#This Row],[NONPOTABLE_DEMAND_RESIDENTIAL_RECYCLED_WATER_GAL]:[NONPOTABLE_DEMAND_NONRESIDENTIAL_METERED_IRRIGATION_GAL]])</f>
        <v>0</v>
      </c>
      <c r="X3366" t="str">
        <f>IFERROR(INDEX(Crosswalk_API!$H$2:$H$527, MATCH(POTABLE_NONPOTABLE_API[[#This Row],[PWSID]], CW_PWSID_LIST, 0)), "")</f>
        <v>No</v>
      </c>
    </row>
    <row r="3367" spans="1:24" x14ac:dyDescent="0.25">
      <c r="A3367" t="s">
        <v>1730</v>
      </c>
      <c r="B3367" t="s">
        <v>1731</v>
      </c>
      <c r="C3367" t="s">
        <v>1732</v>
      </c>
      <c r="D3367" t="s">
        <v>1733</v>
      </c>
      <c r="E3367" s="9">
        <v>45261</v>
      </c>
      <c r="F3367" s="9">
        <v>45291</v>
      </c>
      <c r="G3367">
        <v>30104900</v>
      </c>
      <c r="H3367">
        <v>594264</v>
      </c>
      <c r="I3367">
        <v>11883211</v>
      </c>
      <c r="J3367">
        <v>440456</v>
      </c>
      <c r="K3367">
        <v>112314</v>
      </c>
      <c r="L3367">
        <v>590851</v>
      </c>
      <c r="M3367">
        <v>0</v>
      </c>
      <c r="T3367" s="9">
        <v>45108</v>
      </c>
      <c r="U3367" s="9">
        <v>45473</v>
      </c>
      <c r="V3367">
        <f>SUM(POTABLE_NONPOTABLE_API[[#This Row],[RESIDENTIAL_SINGLEFAMILY_GAL]:[OTHER_GAL]])</f>
        <v>43725996</v>
      </c>
      <c r="W3367">
        <f>SUM(POTABLE_NONPOTABLE_API[[#This Row],[NONPOTABLE_DEMAND_RESIDENTIAL_RECYCLED_WATER_GAL]:[NONPOTABLE_DEMAND_NONRESIDENTIAL_METERED_IRRIGATION_GAL]])</f>
        <v>0</v>
      </c>
      <c r="X3367" t="str">
        <f>IFERROR(INDEX(Crosswalk_API!$H$2:$H$527, MATCH(POTABLE_NONPOTABLE_API[[#This Row],[PWSID]], CW_PWSID_LIST, 0)), "")</f>
        <v>No</v>
      </c>
    </row>
    <row r="3368" spans="1:24" x14ac:dyDescent="0.25">
      <c r="A3368" t="s">
        <v>1730</v>
      </c>
      <c r="B3368" t="s">
        <v>1731</v>
      </c>
      <c r="C3368" t="s">
        <v>1732</v>
      </c>
      <c r="D3368" t="s">
        <v>1733</v>
      </c>
      <c r="E3368" s="9">
        <v>45292</v>
      </c>
      <c r="F3368" s="9">
        <v>45322</v>
      </c>
      <c r="G3368">
        <v>27404868</v>
      </c>
      <c r="H3368">
        <v>543350</v>
      </c>
      <c r="I3368">
        <v>10563822</v>
      </c>
      <c r="J3368">
        <v>264557</v>
      </c>
      <c r="K3368">
        <v>140783</v>
      </c>
      <c r="L3368">
        <v>639677</v>
      </c>
      <c r="M3368">
        <v>0</v>
      </c>
      <c r="T3368" s="9">
        <v>45108</v>
      </c>
      <c r="U3368" s="9">
        <v>45473</v>
      </c>
      <c r="V3368">
        <f>SUM(POTABLE_NONPOTABLE_API[[#This Row],[RESIDENTIAL_SINGLEFAMILY_GAL]:[OTHER_GAL]])</f>
        <v>39557057</v>
      </c>
      <c r="W3368">
        <f>SUM(POTABLE_NONPOTABLE_API[[#This Row],[NONPOTABLE_DEMAND_RESIDENTIAL_RECYCLED_WATER_GAL]:[NONPOTABLE_DEMAND_NONRESIDENTIAL_METERED_IRRIGATION_GAL]])</f>
        <v>0</v>
      </c>
      <c r="X3368" t="str">
        <f>IFERROR(INDEX(Crosswalk_API!$H$2:$H$527, MATCH(POTABLE_NONPOTABLE_API[[#This Row],[PWSID]], CW_PWSID_LIST, 0)), "")</f>
        <v>No</v>
      </c>
    </row>
    <row r="3369" spans="1:24" x14ac:dyDescent="0.25">
      <c r="A3369" t="s">
        <v>1730</v>
      </c>
      <c r="B3369" t="s">
        <v>1731</v>
      </c>
      <c r="C3369" t="s">
        <v>1732</v>
      </c>
      <c r="D3369" t="s">
        <v>1733</v>
      </c>
      <c r="E3369" s="9">
        <v>45323</v>
      </c>
      <c r="F3369" s="9">
        <v>45351</v>
      </c>
      <c r="G3369">
        <v>30424020</v>
      </c>
      <c r="H3369">
        <v>608911</v>
      </c>
      <c r="I3369">
        <v>11174396</v>
      </c>
      <c r="J3369">
        <v>281267</v>
      </c>
      <c r="K3369">
        <v>178784</v>
      </c>
      <c r="L3369">
        <v>447333</v>
      </c>
      <c r="M3369">
        <v>0</v>
      </c>
      <c r="T3369" s="9">
        <v>45108</v>
      </c>
      <c r="U3369" s="9">
        <v>45473</v>
      </c>
      <c r="V3369">
        <f>SUM(POTABLE_NONPOTABLE_API[[#This Row],[RESIDENTIAL_SINGLEFAMILY_GAL]:[OTHER_GAL]])</f>
        <v>43114711</v>
      </c>
      <c r="W3369">
        <f>SUM(POTABLE_NONPOTABLE_API[[#This Row],[NONPOTABLE_DEMAND_RESIDENTIAL_RECYCLED_WATER_GAL]:[NONPOTABLE_DEMAND_NONRESIDENTIAL_METERED_IRRIGATION_GAL]])</f>
        <v>0</v>
      </c>
      <c r="X3369" t="str">
        <f>IFERROR(INDEX(Crosswalk_API!$H$2:$H$527, MATCH(POTABLE_NONPOTABLE_API[[#This Row],[PWSID]], CW_PWSID_LIST, 0)), "")</f>
        <v>No</v>
      </c>
    </row>
    <row r="3370" spans="1:24" x14ac:dyDescent="0.25">
      <c r="A3370" t="s">
        <v>1730</v>
      </c>
      <c r="B3370" t="s">
        <v>1731</v>
      </c>
      <c r="C3370" t="s">
        <v>1732</v>
      </c>
      <c r="D3370" t="s">
        <v>1733</v>
      </c>
      <c r="E3370" s="9">
        <v>45352</v>
      </c>
      <c r="F3370" s="9">
        <v>45382</v>
      </c>
      <c r="G3370">
        <v>24120186</v>
      </c>
      <c r="H3370">
        <v>522138</v>
      </c>
      <c r="I3370">
        <v>7778989</v>
      </c>
      <c r="J3370">
        <v>240872</v>
      </c>
      <c r="K3370">
        <v>123428</v>
      </c>
      <c r="L3370">
        <v>386740</v>
      </c>
      <c r="M3370">
        <v>0</v>
      </c>
      <c r="T3370" s="9">
        <v>45108</v>
      </c>
      <c r="U3370" s="9">
        <v>45473</v>
      </c>
      <c r="V3370">
        <f>SUM(POTABLE_NONPOTABLE_API[[#This Row],[RESIDENTIAL_SINGLEFAMILY_GAL]:[OTHER_GAL]])</f>
        <v>33172353</v>
      </c>
      <c r="W3370">
        <f>SUM(POTABLE_NONPOTABLE_API[[#This Row],[NONPOTABLE_DEMAND_RESIDENTIAL_RECYCLED_WATER_GAL]:[NONPOTABLE_DEMAND_NONRESIDENTIAL_METERED_IRRIGATION_GAL]])</f>
        <v>0</v>
      </c>
      <c r="X3370" t="str">
        <f>IFERROR(INDEX(Crosswalk_API!$H$2:$H$527, MATCH(POTABLE_NONPOTABLE_API[[#This Row],[PWSID]], CW_PWSID_LIST, 0)), "")</f>
        <v>No</v>
      </c>
    </row>
    <row r="3371" spans="1:24" x14ac:dyDescent="0.25">
      <c r="A3371" t="s">
        <v>1730</v>
      </c>
      <c r="B3371" t="s">
        <v>1731</v>
      </c>
      <c r="C3371" t="s">
        <v>1732</v>
      </c>
      <c r="D3371" t="s">
        <v>1733</v>
      </c>
      <c r="E3371" s="9">
        <v>45383</v>
      </c>
      <c r="F3371" s="9">
        <v>45412</v>
      </c>
      <c r="G3371">
        <v>27268737</v>
      </c>
      <c r="H3371">
        <v>519147</v>
      </c>
      <c r="I3371">
        <v>9129222</v>
      </c>
      <c r="J3371">
        <v>740570</v>
      </c>
      <c r="K3371">
        <v>154098</v>
      </c>
      <c r="L3371">
        <v>341857</v>
      </c>
      <c r="M3371">
        <v>0</v>
      </c>
      <c r="T3371" s="9">
        <v>45108</v>
      </c>
      <c r="U3371" s="9">
        <v>45473</v>
      </c>
      <c r="V3371">
        <f>SUM(POTABLE_NONPOTABLE_API[[#This Row],[RESIDENTIAL_SINGLEFAMILY_GAL]:[OTHER_GAL]])</f>
        <v>38153631</v>
      </c>
      <c r="W3371">
        <f>SUM(POTABLE_NONPOTABLE_API[[#This Row],[NONPOTABLE_DEMAND_RESIDENTIAL_RECYCLED_WATER_GAL]:[NONPOTABLE_DEMAND_NONRESIDENTIAL_METERED_IRRIGATION_GAL]])</f>
        <v>0</v>
      </c>
      <c r="X3371" t="str">
        <f>IFERROR(INDEX(Crosswalk_API!$H$2:$H$527, MATCH(POTABLE_NONPOTABLE_API[[#This Row],[PWSID]], CW_PWSID_LIST, 0)), "")</f>
        <v>No</v>
      </c>
    </row>
    <row r="3372" spans="1:24" x14ac:dyDescent="0.25">
      <c r="A3372" t="s">
        <v>1730</v>
      </c>
      <c r="B3372" t="s">
        <v>1731</v>
      </c>
      <c r="C3372" t="s">
        <v>1732</v>
      </c>
      <c r="D3372" t="s">
        <v>1733</v>
      </c>
      <c r="E3372" s="9">
        <v>45413</v>
      </c>
      <c r="F3372" s="9">
        <v>45443</v>
      </c>
      <c r="G3372">
        <v>43010742</v>
      </c>
      <c r="H3372">
        <v>679978</v>
      </c>
      <c r="I3372">
        <v>12731092</v>
      </c>
      <c r="J3372">
        <v>1135541</v>
      </c>
      <c r="K3372">
        <v>167563</v>
      </c>
      <c r="L3372">
        <v>1632247</v>
      </c>
      <c r="M3372">
        <v>0</v>
      </c>
      <c r="T3372" s="9">
        <v>45108</v>
      </c>
      <c r="U3372" s="9">
        <v>45473</v>
      </c>
      <c r="V3372">
        <f>SUM(POTABLE_NONPOTABLE_API[[#This Row],[RESIDENTIAL_SINGLEFAMILY_GAL]:[OTHER_GAL]])</f>
        <v>59357163</v>
      </c>
      <c r="W3372">
        <f>SUM(POTABLE_NONPOTABLE_API[[#This Row],[NONPOTABLE_DEMAND_RESIDENTIAL_RECYCLED_WATER_GAL]:[NONPOTABLE_DEMAND_NONRESIDENTIAL_METERED_IRRIGATION_GAL]])</f>
        <v>0</v>
      </c>
      <c r="X3372" t="str">
        <f>IFERROR(INDEX(Crosswalk_API!$H$2:$H$527, MATCH(POTABLE_NONPOTABLE_API[[#This Row],[PWSID]], CW_PWSID_LIST, 0)), "")</f>
        <v>No</v>
      </c>
    </row>
    <row r="3373" spans="1:24" x14ac:dyDescent="0.25">
      <c r="A3373" t="s">
        <v>1730</v>
      </c>
      <c r="B3373" t="s">
        <v>1731</v>
      </c>
      <c r="C3373" t="s">
        <v>1732</v>
      </c>
      <c r="D3373" t="s">
        <v>1733</v>
      </c>
      <c r="E3373" s="9">
        <v>45444</v>
      </c>
      <c r="F3373" s="9">
        <v>45473</v>
      </c>
      <c r="G3373">
        <v>49773134</v>
      </c>
      <c r="H3373">
        <v>683717</v>
      </c>
      <c r="I3373">
        <v>10890885</v>
      </c>
      <c r="J3373">
        <v>1936704</v>
      </c>
      <c r="K3373">
        <v>157838</v>
      </c>
      <c r="L3373">
        <v>3336309</v>
      </c>
      <c r="M3373">
        <v>0</v>
      </c>
      <c r="T3373" s="9">
        <v>45108</v>
      </c>
      <c r="U3373" s="9">
        <v>45473</v>
      </c>
      <c r="V3373">
        <f>SUM(POTABLE_NONPOTABLE_API[[#This Row],[RESIDENTIAL_SINGLEFAMILY_GAL]:[OTHER_GAL]])</f>
        <v>66778587</v>
      </c>
      <c r="W3373">
        <f>SUM(POTABLE_NONPOTABLE_API[[#This Row],[NONPOTABLE_DEMAND_RESIDENTIAL_RECYCLED_WATER_GAL]:[NONPOTABLE_DEMAND_NONRESIDENTIAL_METERED_IRRIGATION_GAL]])</f>
        <v>0</v>
      </c>
      <c r="X3373" t="str">
        <f>IFERROR(INDEX(Crosswalk_API!$H$2:$H$527, MATCH(POTABLE_NONPOTABLE_API[[#This Row],[PWSID]], CW_PWSID_LIST, 0)), "")</f>
        <v>No</v>
      </c>
    </row>
    <row r="3374" spans="1:24" x14ac:dyDescent="0.25">
      <c r="A3374" t="s">
        <v>1730</v>
      </c>
      <c r="B3374" t="s">
        <v>1731</v>
      </c>
      <c r="C3374" t="s">
        <v>1734</v>
      </c>
      <c r="D3374" t="s">
        <v>1735</v>
      </c>
      <c r="E3374" s="9">
        <v>45108</v>
      </c>
      <c r="F3374" s="9">
        <v>45138</v>
      </c>
      <c r="G3374">
        <v>778609122</v>
      </c>
      <c r="H3374">
        <v>150208083</v>
      </c>
      <c r="I3374">
        <v>209604904</v>
      </c>
      <c r="J3374">
        <v>96421652</v>
      </c>
      <c r="K3374">
        <v>51280457</v>
      </c>
      <c r="L3374">
        <v>78208831</v>
      </c>
      <c r="M3374">
        <v>0</v>
      </c>
      <c r="T3374" s="9">
        <v>45108</v>
      </c>
      <c r="U3374" s="9">
        <v>45473</v>
      </c>
      <c r="V3374">
        <f>SUM(POTABLE_NONPOTABLE_API[[#This Row],[RESIDENTIAL_SINGLEFAMILY_GAL]:[OTHER_GAL]])</f>
        <v>1364333049</v>
      </c>
      <c r="W3374">
        <f>SUM(POTABLE_NONPOTABLE_API[[#This Row],[NONPOTABLE_DEMAND_RESIDENTIAL_RECYCLED_WATER_GAL]:[NONPOTABLE_DEMAND_NONRESIDENTIAL_METERED_IRRIGATION_GAL]])</f>
        <v>0</v>
      </c>
      <c r="X3374" t="str">
        <f>IFERROR(INDEX(Crosswalk_API!$H$2:$H$527, MATCH(POTABLE_NONPOTABLE_API[[#This Row],[PWSID]], CW_PWSID_LIST, 0)), "")</f>
        <v>No</v>
      </c>
    </row>
    <row r="3375" spans="1:24" x14ac:dyDescent="0.25">
      <c r="A3375" t="s">
        <v>1730</v>
      </c>
      <c r="B3375" t="s">
        <v>1731</v>
      </c>
      <c r="C3375" t="s">
        <v>1734</v>
      </c>
      <c r="D3375" t="s">
        <v>1735</v>
      </c>
      <c r="E3375" s="9">
        <v>45139</v>
      </c>
      <c r="F3375" s="9">
        <v>45169</v>
      </c>
      <c r="G3375">
        <v>826830047</v>
      </c>
      <c r="H3375">
        <v>157805299</v>
      </c>
      <c r="I3375">
        <v>273974026</v>
      </c>
      <c r="J3375">
        <v>117436675</v>
      </c>
      <c r="K3375">
        <v>78714514</v>
      </c>
      <c r="L3375">
        <v>82843761</v>
      </c>
      <c r="M3375">
        <v>0</v>
      </c>
      <c r="T3375" s="9">
        <v>45108</v>
      </c>
      <c r="U3375" s="9">
        <v>45473</v>
      </c>
      <c r="V3375">
        <f>SUM(POTABLE_NONPOTABLE_API[[#This Row],[RESIDENTIAL_SINGLEFAMILY_GAL]:[OTHER_GAL]])</f>
        <v>1537604322</v>
      </c>
      <c r="W3375">
        <f>SUM(POTABLE_NONPOTABLE_API[[#This Row],[NONPOTABLE_DEMAND_RESIDENTIAL_RECYCLED_WATER_GAL]:[NONPOTABLE_DEMAND_NONRESIDENTIAL_METERED_IRRIGATION_GAL]])</f>
        <v>0</v>
      </c>
      <c r="X3375" t="str">
        <f>IFERROR(INDEX(Crosswalk_API!$H$2:$H$527, MATCH(POTABLE_NONPOTABLE_API[[#This Row],[PWSID]], CW_PWSID_LIST, 0)), "")</f>
        <v>No</v>
      </c>
    </row>
    <row r="3376" spans="1:24" x14ac:dyDescent="0.25">
      <c r="A3376" t="s">
        <v>1730</v>
      </c>
      <c r="B3376" t="s">
        <v>1731</v>
      </c>
      <c r="C3376" t="s">
        <v>1734</v>
      </c>
      <c r="D3376" t="s">
        <v>1735</v>
      </c>
      <c r="E3376" s="9">
        <v>45170</v>
      </c>
      <c r="F3376" s="9">
        <v>45199</v>
      </c>
      <c r="G3376">
        <v>648598064</v>
      </c>
      <c r="H3376">
        <v>159956912</v>
      </c>
      <c r="I3376">
        <v>301736203</v>
      </c>
      <c r="J3376">
        <v>97359247</v>
      </c>
      <c r="K3376">
        <v>103427290</v>
      </c>
      <c r="L3376">
        <v>76478047</v>
      </c>
      <c r="M3376">
        <v>0</v>
      </c>
      <c r="T3376" s="9">
        <v>45108</v>
      </c>
      <c r="U3376" s="9">
        <v>45473</v>
      </c>
      <c r="V3376">
        <f>SUM(POTABLE_NONPOTABLE_API[[#This Row],[RESIDENTIAL_SINGLEFAMILY_GAL]:[OTHER_GAL]])</f>
        <v>1387555763</v>
      </c>
      <c r="W3376">
        <f>SUM(POTABLE_NONPOTABLE_API[[#This Row],[NONPOTABLE_DEMAND_RESIDENTIAL_RECYCLED_WATER_GAL]:[NONPOTABLE_DEMAND_NONRESIDENTIAL_METERED_IRRIGATION_GAL]])</f>
        <v>0</v>
      </c>
      <c r="X3376" t="str">
        <f>IFERROR(INDEX(Crosswalk_API!$H$2:$H$527, MATCH(POTABLE_NONPOTABLE_API[[#This Row],[PWSID]], CW_PWSID_LIST, 0)), "")</f>
        <v>No</v>
      </c>
    </row>
    <row r="3377" spans="1:24" x14ac:dyDescent="0.25">
      <c r="A3377" t="s">
        <v>1730</v>
      </c>
      <c r="B3377" t="s">
        <v>1731</v>
      </c>
      <c r="C3377" t="s">
        <v>1734</v>
      </c>
      <c r="D3377" t="s">
        <v>1735</v>
      </c>
      <c r="E3377" s="9">
        <v>45200</v>
      </c>
      <c r="F3377" s="9">
        <v>45230</v>
      </c>
      <c r="G3377">
        <v>648053495</v>
      </c>
      <c r="H3377">
        <v>165801879</v>
      </c>
      <c r="I3377">
        <v>264324587</v>
      </c>
      <c r="J3377">
        <v>79234678</v>
      </c>
      <c r="K3377">
        <v>91109495</v>
      </c>
      <c r="L3377">
        <v>63321616</v>
      </c>
      <c r="M3377">
        <v>0</v>
      </c>
      <c r="T3377" s="9">
        <v>45108</v>
      </c>
      <c r="U3377" s="9">
        <v>45473</v>
      </c>
      <c r="V3377">
        <f>SUM(POTABLE_NONPOTABLE_API[[#This Row],[RESIDENTIAL_SINGLEFAMILY_GAL]:[OTHER_GAL]])</f>
        <v>1311845750</v>
      </c>
      <c r="W3377">
        <f>SUM(POTABLE_NONPOTABLE_API[[#This Row],[NONPOTABLE_DEMAND_RESIDENTIAL_RECYCLED_WATER_GAL]:[NONPOTABLE_DEMAND_NONRESIDENTIAL_METERED_IRRIGATION_GAL]])</f>
        <v>0</v>
      </c>
      <c r="X3377" t="str">
        <f>IFERROR(INDEX(Crosswalk_API!$H$2:$H$527, MATCH(POTABLE_NONPOTABLE_API[[#This Row],[PWSID]], CW_PWSID_LIST, 0)), "")</f>
        <v>No</v>
      </c>
    </row>
    <row r="3378" spans="1:24" x14ac:dyDescent="0.25">
      <c r="A3378" t="s">
        <v>1730</v>
      </c>
      <c r="B3378" t="s">
        <v>1731</v>
      </c>
      <c r="C3378" t="s">
        <v>1734</v>
      </c>
      <c r="D3378" t="s">
        <v>1735</v>
      </c>
      <c r="E3378" s="9">
        <v>45231</v>
      </c>
      <c r="F3378" s="9">
        <v>45260</v>
      </c>
      <c r="G3378">
        <v>505958809</v>
      </c>
      <c r="H3378">
        <v>135260902</v>
      </c>
      <c r="I3378">
        <v>205400360</v>
      </c>
      <c r="J3378">
        <v>40098381</v>
      </c>
      <c r="K3378">
        <v>46029773</v>
      </c>
      <c r="L3378">
        <v>30623019</v>
      </c>
      <c r="M3378">
        <v>0</v>
      </c>
      <c r="T3378" s="9">
        <v>45108</v>
      </c>
      <c r="U3378" s="9">
        <v>45473</v>
      </c>
      <c r="V3378">
        <f>SUM(POTABLE_NONPOTABLE_API[[#This Row],[RESIDENTIAL_SINGLEFAMILY_GAL]:[OTHER_GAL]])</f>
        <v>963371244</v>
      </c>
      <c r="W3378">
        <f>SUM(POTABLE_NONPOTABLE_API[[#This Row],[NONPOTABLE_DEMAND_RESIDENTIAL_RECYCLED_WATER_GAL]:[NONPOTABLE_DEMAND_NONRESIDENTIAL_METERED_IRRIGATION_GAL]])</f>
        <v>0</v>
      </c>
      <c r="X3378" t="str">
        <f>IFERROR(INDEX(Crosswalk_API!$H$2:$H$527, MATCH(POTABLE_NONPOTABLE_API[[#This Row],[PWSID]], CW_PWSID_LIST, 0)), "")</f>
        <v>No</v>
      </c>
    </row>
    <row r="3379" spans="1:24" x14ac:dyDescent="0.25">
      <c r="A3379" t="s">
        <v>1730</v>
      </c>
      <c r="B3379" t="s">
        <v>1731</v>
      </c>
      <c r="C3379" t="s">
        <v>1734</v>
      </c>
      <c r="D3379" t="s">
        <v>1735</v>
      </c>
      <c r="E3379" s="9">
        <v>45261</v>
      </c>
      <c r="F3379" s="9">
        <v>45291</v>
      </c>
      <c r="G3379">
        <v>416276185</v>
      </c>
      <c r="H3379">
        <v>127826041</v>
      </c>
      <c r="I3379">
        <v>196350196</v>
      </c>
      <c r="J3379">
        <v>23109513</v>
      </c>
      <c r="K3379">
        <v>43628381</v>
      </c>
      <c r="L3379">
        <v>18083319</v>
      </c>
      <c r="M3379">
        <v>0</v>
      </c>
      <c r="T3379" s="9">
        <v>45108</v>
      </c>
      <c r="U3379" s="9">
        <v>45473</v>
      </c>
      <c r="V3379">
        <f>SUM(POTABLE_NONPOTABLE_API[[#This Row],[RESIDENTIAL_SINGLEFAMILY_GAL]:[OTHER_GAL]])</f>
        <v>825273635</v>
      </c>
      <c r="W3379">
        <f>SUM(POTABLE_NONPOTABLE_API[[#This Row],[NONPOTABLE_DEMAND_RESIDENTIAL_RECYCLED_WATER_GAL]:[NONPOTABLE_DEMAND_NONRESIDENTIAL_METERED_IRRIGATION_GAL]])</f>
        <v>0</v>
      </c>
      <c r="X3379" t="str">
        <f>IFERROR(INDEX(Crosswalk_API!$H$2:$H$527, MATCH(POTABLE_NONPOTABLE_API[[#This Row],[PWSID]], CW_PWSID_LIST, 0)), "")</f>
        <v>No</v>
      </c>
    </row>
    <row r="3380" spans="1:24" x14ac:dyDescent="0.25">
      <c r="A3380" t="s">
        <v>1730</v>
      </c>
      <c r="B3380" t="s">
        <v>1731</v>
      </c>
      <c r="C3380" t="s">
        <v>1734</v>
      </c>
      <c r="D3380" t="s">
        <v>1735</v>
      </c>
      <c r="E3380" s="9">
        <v>45292</v>
      </c>
      <c r="F3380" s="9">
        <v>45322</v>
      </c>
      <c r="G3380">
        <v>364053539</v>
      </c>
      <c r="H3380">
        <v>123823212</v>
      </c>
      <c r="I3380">
        <v>195467427</v>
      </c>
      <c r="J3380">
        <v>123823212</v>
      </c>
      <c r="K3380">
        <v>46972343</v>
      </c>
      <c r="L3380">
        <v>15787064</v>
      </c>
      <c r="M3380">
        <v>0</v>
      </c>
      <c r="T3380" s="9">
        <v>45108</v>
      </c>
      <c r="U3380" s="9">
        <v>45473</v>
      </c>
      <c r="V3380">
        <f>SUM(POTABLE_NONPOTABLE_API[[#This Row],[RESIDENTIAL_SINGLEFAMILY_GAL]:[OTHER_GAL]])</f>
        <v>869926797</v>
      </c>
      <c r="W3380">
        <f>SUM(POTABLE_NONPOTABLE_API[[#This Row],[NONPOTABLE_DEMAND_RESIDENTIAL_RECYCLED_WATER_GAL]:[NONPOTABLE_DEMAND_NONRESIDENTIAL_METERED_IRRIGATION_GAL]])</f>
        <v>0</v>
      </c>
      <c r="X3380" t="str">
        <f>IFERROR(INDEX(Crosswalk_API!$H$2:$H$527, MATCH(POTABLE_NONPOTABLE_API[[#This Row],[PWSID]], CW_PWSID_LIST, 0)), "")</f>
        <v>No</v>
      </c>
    </row>
    <row r="3381" spans="1:24" x14ac:dyDescent="0.25">
      <c r="A3381" t="s">
        <v>1730</v>
      </c>
      <c r="B3381" t="s">
        <v>1731</v>
      </c>
      <c r="C3381" t="s">
        <v>1734</v>
      </c>
      <c r="D3381" t="s">
        <v>1735</v>
      </c>
      <c r="E3381" s="9">
        <v>45323</v>
      </c>
      <c r="F3381" s="9">
        <v>45351</v>
      </c>
      <c r="G3381">
        <v>400790541</v>
      </c>
      <c r="H3381">
        <v>114279894</v>
      </c>
      <c r="I3381">
        <v>187404218</v>
      </c>
      <c r="J3381">
        <v>11567122</v>
      </c>
      <c r="K3381">
        <v>47626967</v>
      </c>
      <c r="L3381">
        <v>12161816</v>
      </c>
      <c r="M3381">
        <v>0</v>
      </c>
      <c r="T3381" s="9">
        <v>45108</v>
      </c>
      <c r="U3381" s="9">
        <v>45473</v>
      </c>
      <c r="V3381">
        <f>SUM(POTABLE_NONPOTABLE_API[[#This Row],[RESIDENTIAL_SINGLEFAMILY_GAL]:[OTHER_GAL]])</f>
        <v>773830558</v>
      </c>
      <c r="W3381">
        <f>SUM(POTABLE_NONPOTABLE_API[[#This Row],[NONPOTABLE_DEMAND_RESIDENTIAL_RECYCLED_WATER_GAL]:[NONPOTABLE_DEMAND_NONRESIDENTIAL_METERED_IRRIGATION_GAL]])</f>
        <v>0</v>
      </c>
      <c r="X3381" t="str">
        <f>IFERROR(INDEX(Crosswalk_API!$H$2:$H$527, MATCH(POTABLE_NONPOTABLE_API[[#This Row],[PWSID]], CW_PWSID_LIST, 0)), "")</f>
        <v>No</v>
      </c>
    </row>
    <row r="3382" spans="1:24" x14ac:dyDescent="0.25">
      <c r="A3382" t="s">
        <v>1730</v>
      </c>
      <c r="B3382" t="s">
        <v>1731</v>
      </c>
      <c r="C3382" t="s">
        <v>1734</v>
      </c>
      <c r="D3382" t="s">
        <v>1735</v>
      </c>
      <c r="E3382" s="9">
        <v>45352</v>
      </c>
      <c r="F3382" s="9">
        <v>45382</v>
      </c>
      <c r="G3382">
        <v>326293537</v>
      </c>
      <c r="H3382">
        <v>91527142</v>
      </c>
      <c r="I3382">
        <v>144893919</v>
      </c>
      <c r="J3382">
        <v>11816224</v>
      </c>
      <c r="K3382">
        <v>36318664</v>
      </c>
      <c r="L3382">
        <v>11938147</v>
      </c>
      <c r="M3382">
        <v>0</v>
      </c>
      <c r="T3382" s="9">
        <v>45108</v>
      </c>
      <c r="U3382" s="9">
        <v>45473</v>
      </c>
      <c r="V3382">
        <f>SUM(POTABLE_NONPOTABLE_API[[#This Row],[RESIDENTIAL_SINGLEFAMILY_GAL]:[OTHER_GAL]])</f>
        <v>622787633</v>
      </c>
      <c r="W3382">
        <f>SUM(POTABLE_NONPOTABLE_API[[#This Row],[NONPOTABLE_DEMAND_RESIDENTIAL_RECYCLED_WATER_GAL]:[NONPOTABLE_DEMAND_NONRESIDENTIAL_METERED_IRRIGATION_GAL]])</f>
        <v>0</v>
      </c>
      <c r="X3382" t="str">
        <f>IFERROR(INDEX(Crosswalk_API!$H$2:$H$527, MATCH(POTABLE_NONPOTABLE_API[[#This Row],[PWSID]], CW_PWSID_LIST, 0)), "")</f>
        <v>No</v>
      </c>
    </row>
    <row r="3383" spans="1:24" x14ac:dyDescent="0.25">
      <c r="A3383" t="s">
        <v>1730</v>
      </c>
      <c r="B3383" t="s">
        <v>1731</v>
      </c>
      <c r="C3383" t="s">
        <v>1734</v>
      </c>
      <c r="D3383" t="s">
        <v>1735</v>
      </c>
      <c r="E3383" s="9">
        <v>45383</v>
      </c>
      <c r="F3383" s="9">
        <v>45412</v>
      </c>
      <c r="G3383">
        <v>381869313</v>
      </c>
      <c r="H3383">
        <v>102370156</v>
      </c>
      <c r="I3383">
        <v>160994237</v>
      </c>
      <c r="J3383">
        <v>21429436</v>
      </c>
      <c r="K3383">
        <v>37665157</v>
      </c>
      <c r="L3383">
        <v>18357927</v>
      </c>
      <c r="M3383">
        <v>0</v>
      </c>
      <c r="T3383" s="9">
        <v>45108</v>
      </c>
      <c r="U3383" s="9">
        <v>45473</v>
      </c>
      <c r="V3383">
        <f>SUM(POTABLE_NONPOTABLE_API[[#This Row],[RESIDENTIAL_SINGLEFAMILY_GAL]:[OTHER_GAL]])</f>
        <v>722686226</v>
      </c>
      <c r="W3383">
        <f>SUM(POTABLE_NONPOTABLE_API[[#This Row],[NONPOTABLE_DEMAND_RESIDENTIAL_RECYCLED_WATER_GAL]:[NONPOTABLE_DEMAND_NONRESIDENTIAL_METERED_IRRIGATION_GAL]])</f>
        <v>0</v>
      </c>
      <c r="X3383" t="str">
        <f>IFERROR(INDEX(Crosswalk_API!$H$2:$H$527, MATCH(POTABLE_NONPOTABLE_API[[#This Row],[PWSID]], CW_PWSID_LIST, 0)), "")</f>
        <v>No</v>
      </c>
    </row>
    <row r="3384" spans="1:24" x14ac:dyDescent="0.25">
      <c r="A3384" t="s">
        <v>1730</v>
      </c>
      <c r="B3384" t="s">
        <v>1731</v>
      </c>
      <c r="C3384" t="s">
        <v>1734</v>
      </c>
      <c r="D3384" t="s">
        <v>1735</v>
      </c>
      <c r="E3384" s="9">
        <v>45413</v>
      </c>
      <c r="F3384" s="9">
        <v>45443</v>
      </c>
      <c r="G3384">
        <v>630259982</v>
      </c>
      <c r="H3384">
        <v>143474868</v>
      </c>
      <c r="I3384">
        <v>213428948</v>
      </c>
      <c r="J3384">
        <v>58354780</v>
      </c>
      <c r="K3384">
        <v>52865574</v>
      </c>
      <c r="L3384">
        <v>44005637</v>
      </c>
      <c r="M3384">
        <v>0</v>
      </c>
      <c r="T3384" s="9">
        <v>45108</v>
      </c>
      <c r="U3384" s="9">
        <v>45473</v>
      </c>
      <c r="V3384">
        <f>SUM(POTABLE_NONPOTABLE_API[[#This Row],[RESIDENTIAL_SINGLEFAMILY_GAL]:[OTHER_GAL]])</f>
        <v>1142389789</v>
      </c>
      <c r="W3384">
        <f>SUM(POTABLE_NONPOTABLE_API[[#This Row],[NONPOTABLE_DEMAND_RESIDENTIAL_RECYCLED_WATER_GAL]:[NONPOTABLE_DEMAND_NONRESIDENTIAL_METERED_IRRIGATION_GAL]])</f>
        <v>0</v>
      </c>
      <c r="X3384" t="str">
        <f>IFERROR(INDEX(Crosswalk_API!$H$2:$H$527, MATCH(POTABLE_NONPOTABLE_API[[#This Row],[PWSID]], CW_PWSID_LIST, 0)), "")</f>
        <v>No</v>
      </c>
    </row>
    <row r="3385" spans="1:24" x14ac:dyDescent="0.25">
      <c r="A3385" t="s">
        <v>1730</v>
      </c>
      <c r="B3385" t="s">
        <v>1731</v>
      </c>
      <c r="C3385" t="s">
        <v>1734</v>
      </c>
      <c r="D3385" t="s">
        <v>1735</v>
      </c>
      <c r="E3385" s="9">
        <v>45444</v>
      </c>
      <c r="F3385" s="9">
        <v>45473</v>
      </c>
      <c r="G3385">
        <v>724902023</v>
      </c>
      <c r="H3385">
        <v>142649014</v>
      </c>
      <c r="I3385">
        <v>203258432</v>
      </c>
      <c r="J3385">
        <v>83375624</v>
      </c>
      <c r="K3385">
        <v>51150291</v>
      </c>
      <c r="L3385">
        <v>61083665</v>
      </c>
      <c r="M3385">
        <v>0</v>
      </c>
      <c r="T3385" s="9">
        <v>45108</v>
      </c>
      <c r="U3385" s="9">
        <v>45473</v>
      </c>
      <c r="V3385">
        <f>SUM(POTABLE_NONPOTABLE_API[[#This Row],[RESIDENTIAL_SINGLEFAMILY_GAL]:[OTHER_GAL]])</f>
        <v>1266419049</v>
      </c>
      <c r="W3385">
        <f>SUM(POTABLE_NONPOTABLE_API[[#This Row],[NONPOTABLE_DEMAND_RESIDENTIAL_RECYCLED_WATER_GAL]:[NONPOTABLE_DEMAND_NONRESIDENTIAL_METERED_IRRIGATION_GAL]])</f>
        <v>0</v>
      </c>
      <c r="X3385" t="str">
        <f>IFERROR(INDEX(Crosswalk_API!$H$2:$H$527, MATCH(POTABLE_NONPOTABLE_API[[#This Row],[PWSID]], CW_PWSID_LIST, 0)), "")</f>
        <v>No</v>
      </c>
    </row>
    <row r="3386" spans="1:24" x14ac:dyDescent="0.25">
      <c r="A3386" t="s">
        <v>1730</v>
      </c>
      <c r="B3386" t="s">
        <v>1731</v>
      </c>
      <c r="C3386" t="s">
        <v>1736</v>
      </c>
      <c r="D3386" t="s">
        <v>1737</v>
      </c>
      <c r="E3386" s="9">
        <v>45108</v>
      </c>
      <c r="F3386" s="9">
        <v>45138</v>
      </c>
      <c r="G3386">
        <v>4781548</v>
      </c>
      <c r="H3386">
        <v>206462</v>
      </c>
      <c r="I3386">
        <v>34410</v>
      </c>
      <c r="J3386">
        <v>0</v>
      </c>
      <c r="K3386">
        <v>0</v>
      </c>
      <c r="L3386">
        <v>0</v>
      </c>
      <c r="M3386">
        <v>0</v>
      </c>
      <c r="T3386" s="9">
        <v>45108</v>
      </c>
      <c r="U3386" s="9">
        <v>45473</v>
      </c>
      <c r="V3386">
        <f>SUM(POTABLE_NONPOTABLE_API[[#This Row],[RESIDENTIAL_SINGLEFAMILY_GAL]:[OTHER_GAL]])</f>
        <v>5022420</v>
      </c>
      <c r="W3386">
        <f>SUM(POTABLE_NONPOTABLE_API[[#This Row],[NONPOTABLE_DEMAND_RESIDENTIAL_RECYCLED_WATER_GAL]:[NONPOTABLE_DEMAND_NONRESIDENTIAL_METERED_IRRIGATION_GAL]])</f>
        <v>0</v>
      </c>
      <c r="X3386" t="str">
        <f>IFERROR(INDEX(Crosswalk_API!$H$2:$H$527, MATCH(POTABLE_NONPOTABLE_API[[#This Row],[PWSID]], CW_PWSID_LIST, 0)), "")</f>
        <v>No</v>
      </c>
    </row>
    <row r="3387" spans="1:24" x14ac:dyDescent="0.25">
      <c r="A3387" t="s">
        <v>1730</v>
      </c>
      <c r="B3387" t="s">
        <v>1731</v>
      </c>
      <c r="C3387" t="s">
        <v>1736</v>
      </c>
      <c r="D3387" t="s">
        <v>1737</v>
      </c>
      <c r="E3387" s="9">
        <v>45139</v>
      </c>
      <c r="F3387" s="9">
        <v>45169</v>
      </c>
      <c r="G3387">
        <v>4824187</v>
      </c>
      <c r="H3387">
        <v>247605</v>
      </c>
      <c r="I3387">
        <v>44135</v>
      </c>
      <c r="J3387">
        <v>0</v>
      </c>
      <c r="K3387">
        <v>0</v>
      </c>
      <c r="L3387">
        <v>0</v>
      </c>
      <c r="M3387">
        <v>0</v>
      </c>
      <c r="T3387" s="9">
        <v>45108</v>
      </c>
      <c r="U3387" s="9">
        <v>45473</v>
      </c>
      <c r="V3387">
        <f>SUM(POTABLE_NONPOTABLE_API[[#This Row],[RESIDENTIAL_SINGLEFAMILY_GAL]:[OTHER_GAL]])</f>
        <v>5115927</v>
      </c>
      <c r="W3387">
        <f>SUM(POTABLE_NONPOTABLE_API[[#This Row],[NONPOTABLE_DEMAND_RESIDENTIAL_RECYCLED_WATER_GAL]:[NONPOTABLE_DEMAND_NONRESIDENTIAL_METERED_IRRIGATION_GAL]])</f>
        <v>0</v>
      </c>
      <c r="X3387" t="str">
        <f>IFERROR(INDEX(Crosswalk_API!$H$2:$H$527, MATCH(POTABLE_NONPOTABLE_API[[#This Row],[PWSID]], CW_PWSID_LIST, 0)), "")</f>
        <v>No</v>
      </c>
    </row>
    <row r="3388" spans="1:24" x14ac:dyDescent="0.25">
      <c r="A3388" t="s">
        <v>1730</v>
      </c>
      <c r="B3388" t="s">
        <v>1731</v>
      </c>
      <c r="C3388" t="s">
        <v>1736</v>
      </c>
      <c r="D3388" t="s">
        <v>1737</v>
      </c>
      <c r="E3388" s="9">
        <v>45170</v>
      </c>
      <c r="F3388" s="9">
        <v>45199</v>
      </c>
      <c r="G3388">
        <v>4067389</v>
      </c>
      <c r="H3388">
        <v>197687</v>
      </c>
      <c r="I3388">
        <v>33296</v>
      </c>
      <c r="J3388">
        <v>0</v>
      </c>
      <c r="K3388">
        <v>0</v>
      </c>
      <c r="L3388">
        <v>0</v>
      </c>
      <c r="M3388">
        <v>0</v>
      </c>
      <c r="T3388" s="9">
        <v>45108</v>
      </c>
      <c r="U3388" s="9">
        <v>45473</v>
      </c>
      <c r="V3388">
        <f>SUM(POTABLE_NONPOTABLE_API[[#This Row],[RESIDENTIAL_SINGLEFAMILY_GAL]:[OTHER_GAL]])</f>
        <v>4298372</v>
      </c>
      <c r="W3388">
        <f>SUM(POTABLE_NONPOTABLE_API[[#This Row],[NONPOTABLE_DEMAND_RESIDENTIAL_RECYCLED_WATER_GAL]:[NONPOTABLE_DEMAND_NONRESIDENTIAL_METERED_IRRIGATION_GAL]])</f>
        <v>0</v>
      </c>
      <c r="X3388" t="str">
        <f>IFERROR(INDEX(Crosswalk_API!$H$2:$H$527, MATCH(POTABLE_NONPOTABLE_API[[#This Row],[PWSID]], CW_PWSID_LIST, 0)), "")</f>
        <v>No</v>
      </c>
    </row>
    <row r="3389" spans="1:24" x14ac:dyDescent="0.25">
      <c r="A3389" t="s">
        <v>1730</v>
      </c>
      <c r="B3389" t="s">
        <v>1731</v>
      </c>
      <c r="C3389" t="s">
        <v>1736</v>
      </c>
      <c r="D3389" t="s">
        <v>1737</v>
      </c>
      <c r="E3389" s="9">
        <v>45200</v>
      </c>
      <c r="F3389" s="9">
        <v>45230</v>
      </c>
      <c r="G3389">
        <v>3348855</v>
      </c>
      <c r="H3389">
        <v>190592</v>
      </c>
      <c r="I3389">
        <v>31097</v>
      </c>
      <c r="J3389">
        <v>0</v>
      </c>
      <c r="K3389">
        <v>0</v>
      </c>
      <c r="L3389">
        <v>0</v>
      </c>
      <c r="M3389">
        <v>0</v>
      </c>
      <c r="T3389" s="9">
        <v>45108</v>
      </c>
      <c r="U3389" s="9">
        <v>45473</v>
      </c>
      <c r="V3389">
        <f>SUM(POTABLE_NONPOTABLE_API[[#This Row],[RESIDENTIAL_SINGLEFAMILY_GAL]:[OTHER_GAL]])</f>
        <v>3570544</v>
      </c>
      <c r="W3389">
        <f>SUM(POTABLE_NONPOTABLE_API[[#This Row],[NONPOTABLE_DEMAND_RESIDENTIAL_RECYCLED_WATER_GAL]:[NONPOTABLE_DEMAND_NONRESIDENTIAL_METERED_IRRIGATION_GAL]])</f>
        <v>0</v>
      </c>
      <c r="X3389" t="str">
        <f>IFERROR(INDEX(Crosswalk_API!$H$2:$H$527, MATCH(POTABLE_NONPOTABLE_API[[#This Row],[PWSID]], CW_PWSID_LIST, 0)), "")</f>
        <v>No</v>
      </c>
    </row>
    <row r="3390" spans="1:24" x14ac:dyDescent="0.25">
      <c r="A3390" t="s">
        <v>1730</v>
      </c>
      <c r="B3390" t="s">
        <v>1731</v>
      </c>
      <c r="C3390" t="s">
        <v>1736</v>
      </c>
      <c r="D3390" t="s">
        <v>1737</v>
      </c>
      <c r="E3390" s="9">
        <v>45231</v>
      </c>
      <c r="F3390" s="9">
        <v>45260</v>
      </c>
      <c r="G3390">
        <v>2464329</v>
      </c>
      <c r="H3390">
        <v>167908</v>
      </c>
      <c r="I3390">
        <v>4432536</v>
      </c>
      <c r="J3390">
        <v>0</v>
      </c>
      <c r="K3390">
        <v>0</v>
      </c>
      <c r="L3390">
        <v>0</v>
      </c>
      <c r="M3390">
        <v>0</v>
      </c>
      <c r="T3390" s="9">
        <v>45108</v>
      </c>
      <c r="U3390" s="9">
        <v>45473</v>
      </c>
      <c r="V3390">
        <f>SUM(POTABLE_NONPOTABLE_API[[#This Row],[RESIDENTIAL_SINGLEFAMILY_GAL]:[OTHER_GAL]])</f>
        <v>7064773</v>
      </c>
      <c r="W3390">
        <f>SUM(POTABLE_NONPOTABLE_API[[#This Row],[NONPOTABLE_DEMAND_RESIDENTIAL_RECYCLED_WATER_GAL]:[NONPOTABLE_DEMAND_NONRESIDENTIAL_METERED_IRRIGATION_GAL]])</f>
        <v>0</v>
      </c>
      <c r="X3390" t="str">
        <f>IFERROR(INDEX(Crosswalk_API!$H$2:$H$527, MATCH(POTABLE_NONPOTABLE_API[[#This Row],[PWSID]], CW_PWSID_LIST, 0)), "")</f>
        <v>No</v>
      </c>
    </row>
    <row r="3391" spans="1:24" x14ac:dyDescent="0.25">
      <c r="A3391" t="s">
        <v>1730</v>
      </c>
      <c r="B3391" t="s">
        <v>1731</v>
      </c>
      <c r="C3391" t="s">
        <v>1736</v>
      </c>
      <c r="D3391" t="s">
        <v>1737</v>
      </c>
      <c r="E3391" s="9">
        <v>45261</v>
      </c>
      <c r="F3391" s="9">
        <v>45291</v>
      </c>
      <c r="G3391">
        <v>1893767</v>
      </c>
      <c r="H3391">
        <v>151452</v>
      </c>
      <c r="I3391">
        <v>505575</v>
      </c>
      <c r="J3391">
        <v>0</v>
      </c>
      <c r="K3391">
        <v>0</v>
      </c>
      <c r="L3391">
        <v>0</v>
      </c>
      <c r="M3391">
        <v>0</v>
      </c>
      <c r="T3391" s="9">
        <v>45108</v>
      </c>
      <c r="U3391" s="9">
        <v>45473</v>
      </c>
      <c r="V3391">
        <f>SUM(POTABLE_NONPOTABLE_API[[#This Row],[RESIDENTIAL_SINGLEFAMILY_GAL]:[OTHER_GAL]])</f>
        <v>2550794</v>
      </c>
      <c r="W3391">
        <f>SUM(POTABLE_NONPOTABLE_API[[#This Row],[NONPOTABLE_DEMAND_RESIDENTIAL_RECYCLED_WATER_GAL]:[NONPOTABLE_DEMAND_NONRESIDENTIAL_METERED_IRRIGATION_GAL]])</f>
        <v>0</v>
      </c>
      <c r="X3391" t="str">
        <f>IFERROR(INDEX(Crosswalk_API!$H$2:$H$527, MATCH(POTABLE_NONPOTABLE_API[[#This Row],[PWSID]], CW_PWSID_LIST, 0)), "")</f>
        <v>No</v>
      </c>
    </row>
    <row r="3392" spans="1:24" x14ac:dyDescent="0.25">
      <c r="A3392" t="s">
        <v>1730</v>
      </c>
      <c r="B3392" t="s">
        <v>1731</v>
      </c>
      <c r="C3392" t="s">
        <v>1736</v>
      </c>
      <c r="D3392" t="s">
        <v>1737</v>
      </c>
      <c r="E3392" s="9">
        <v>45292</v>
      </c>
      <c r="F3392" s="9">
        <v>45322</v>
      </c>
      <c r="G3392">
        <v>1714624</v>
      </c>
      <c r="H3392">
        <v>142887</v>
      </c>
      <c r="I3392">
        <v>539527</v>
      </c>
      <c r="J3392">
        <v>0</v>
      </c>
      <c r="K3392">
        <v>0</v>
      </c>
      <c r="L3392">
        <v>0</v>
      </c>
      <c r="M3392">
        <v>0</v>
      </c>
      <c r="T3392" s="9">
        <v>45108</v>
      </c>
      <c r="U3392" s="9">
        <v>45473</v>
      </c>
      <c r="V3392">
        <f>SUM(POTABLE_NONPOTABLE_API[[#This Row],[RESIDENTIAL_SINGLEFAMILY_GAL]:[OTHER_GAL]])</f>
        <v>2397038</v>
      </c>
      <c r="W3392">
        <f>SUM(POTABLE_NONPOTABLE_API[[#This Row],[NONPOTABLE_DEMAND_RESIDENTIAL_RECYCLED_WATER_GAL]:[NONPOTABLE_DEMAND_NONRESIDENTIAL_METERED_IRRIGATION_GAL]])</f>
        <v>0</v>
      </c>
      <c r="X3392" t="str">
        <f>IFERROR(INDEX(Crosswalk_API!$H$2:$H$527, MATCH(POTABLE_NONPOTABLE_API[[#This Row],[PWSID]], CW_PWSID_LIST, 0)), "")</f>
        <v>No</v>
      </c>
    </row>
    <row r="3393" spans="1:24" x14ac:dyDescent="0.25">
      <c r="A3393" t="s">
        <v>1730</v>
      </c>
      <c r="B3393" t="s">
        <v>1731</v>
      </c>
      <c r="C3393" t="s">
        <v>1736</v>
      </c>
      <c r="D3393" t="s">
        <v>1737</v>
      </c>
      <c r="E3393" s="9">
        <v>45323</v>
      </c>
      <c r="F3393" s="9">
        <v>45351</v>
      </c>
      <c r="G3393">
        <v>1920247</v>
      </c>
      <c r="H3393">
        <v>159333</v>
      </c>
      <c r="I3393">
        <v>606669</v>
      </c>
      <c r="J3393">
        <v>0</v>
      </c>
      <c r="K3393">
        <v>0</v>
      </c>
      <c r="L3393">
        <v>0</v>
      </c>
      <c r="M3393">
        <v>0</v>
      </c>
      <c r="T3393" s="9">
        <v>45108</v>
      </c>
      <c r="U3393" s="9">
        <v>45473</v>
      </c>
      <c r="V3393">
        <f>SUM(POTABLE_NONPOTABLE_API[[#This Row],[RESIDENTIAL_SINGLEFAMILY_GAL]:[OTHER_GAL]])</f>
        <v>2686249</v>
      </c>
      <c r="W3393">
        <f>SUM(POTABLE_NONPOTABLE_API[[#This Row],[NONPOTABLE_DEMAND_RESIDENTIAL_RECYCLED_WATER_GAL]:[NONPOTABLE_DEMAND_NONRESIDENTIAL_METERED_IRRIGATION_GAL]])</f>
        <v>0</v>
      </c>
      <c r="X3393" t="str">
        <f>IFERROR(INDEX(Crosswalk_API!$H$2:$H$527, MATCH(POTABLE_NONPOTABLE_API[[#This Row],[PWSID]], CW_PWSID_LIST, 0)), "")</f>
        <v>No</v>
      </c>
    </row>
    <row r="3394" spans="1:24" x14ac:dyDescent="0.25">
      <c r="A3394" t="s">
        <v>1730</v>
      </c>
      <c r="B3394" t="s">
        <v>1731</v>
      </c>
      <c r="C3394" t="s">
        <v>1736</v>
      </c>
      <c r="D3394" t="s">
        <v>1737</v>
      </c>
      <c r="E3394" s="9">
        <v>45352</v>
      </c>
      <c r="F3394" s="9">
        <v>45382</v>
      </c>
      <c r="G3394">
        <v>1668154</v>
      </c>
      <c r="H3394">
        <v>127168</v>
      </c>
      <c r="I3394">
        <v>412176</v>
      </c>
      <c r="J3394">
        <v>0</v>
      </c>
      <c r="K3394">
        <v>0</v>
      </c>
      <c r="L3394">
        <v>0</v>
      </c>
      <c r="M3394">
        <v>0</v>
      </c>
      <c r="T3394" s="9">
        <v>45108</v>
      </c>
      <c r="U3394" s="9">
        <v>45473</v>
      </c>
      <c r="V3394">
        <f>SUM(POTABLE_NONPOTABLE_API[[#This Row],[RESIDENTIAL_SINGLEFAMILY_GAL]:[OTHER_GAL]])</f>
        <v>2207498</v>
      </c>
      <c r="W3394">
        <f>SUM(POTABLE_NONPOTABLE_API[[#This Row],[NONPOTABLE_DEMAND_RESIDENTIAL_RECYCLED_WATER_GAL]:[NONPOTABLE_DEMAND_NONRESIDENTIAL_METERED_IRRIGATION_GAL]])</f>
        <v>0</v>
      </c>
      <c r="X3394" t="str">
        <f>IFERROR(INDEX(Crosswalk_API!$H$2:$H$527, MATCH(POTABLE_NONPOTABLE_API[[#This Row],[PWSID]], CW_PWSID_LIST, 0)), "")</f>
        <v>No</v>
      </c>
    </row>
    <row r="3395" spans="1:24" x14ac:dyDescent="0.25">
      <c r="A3395" t="s">
        <v>1730</v>
      </c>
      <c r="B3395" t="s">
        <v>1731</v>
      </c>
      <c r="C3395" t="s">
        <v>1736</v>
      </c>
      <c r="D3395" t="s">
        <v>1737</v>
      </c>
      <c r="E3395" s="9">
        <v>45383</v>
      </c>
      <c r="F3395" s="9">
        <v>45412</v>
      </c>
      <c r="G3395">
        <v>1930720</v>
      </c>
      <c r="H3395">
        <v>130908</v>
      </c>
      <c r="I3395">
        <v>552809</v>
      </c>
      <c r="J3395">
        <v>0</v>
      </c>
      <c r="K3395">
        <v>0</v>
      </c>
      <c r="L3395">
        <v>0</v>
      </c>
      <c r="M3395">
        <v>0</v>
      </c>
      <c r="T3395" s="9">
        <v>45108</v>
      </c>
      <c r="U3395" s="9">
        <v>45473</v>
      </c>
      <c r="V3395">
        <f>SUM(POTABLE_NONPOTABLE_API[[#This Row],[RESIDENTIAL_SINGLEFAMILY_GAL]:[OTHER_GAL]])</f>
        <v>2614437</v>
      </c>
      <c r="W3395">
        <f>SUM(POTABLE_NONPOTABLE_API[[#This Row],[NONPOTABLE_DEMAND_RESIDENTIAL_RECYCLED_WATER_GAL]:[NONPOTABLE_DEMAND_NONRESIDENTIAL_METERED_IRRIGATION_GAL]])</f>
        <v>0</v>
      </c>
      <c r="X3395" t="str">
        <f>IFERROR(INDEX(Crosswalk_API!$H$2:$H$527, MATCH(POTABLE_NONPOTABLE_API[[#This Row],[PWSID]], CW_PWSID_LIST, 0)), "")</f>
        <v>No</v>
      </c>
    </row>
    <row r="3396" spans="1:24" x14ac:dyDescent="0.25">
      <c r="A3396" t="s">
        <v>1730</v>
      </c>
      <c r="B3396" t="s">
        <v>1731</v>
      </c>
      <c r="C3396" t="s">
        <v>1736</v>
      </c>
      <c r="D3396" t="s">
        <v>1737</v>
      </c>
      <c r="E3396" s="9">
        <v>45413</v>
      </c>
      <c r="F3396" s="9">
        <v>45443</v>
      </c>
      <c r="G3396">
        <v>3453007</v>
      </c>
      <c r="H3396">
        <v>185515</v>
      </c>
      <c r="I3396">
        <v>1035303</v>
      </c>
      <c r="J3396">
        <v>0</v>
      </c>
      <c r="K3396">
        <v>0</v>
      </c>
      <c r="L3396">
        <v>0</v>
      </c>
      <c r="M3396">
        <v>0</v>
      </c>
      <c r="T3396" s="9">
        <v>45108</v>
      </c>
      <c r="U3396" s="9">
        <v>45473</v>
      </c>
      <c r="V3396">
        <f>SUM(POTABLE_NONPOTABLE_API[[#This Row],[RESIDENTIAL_SINGLEFAMILY_GAL]:[OTHER_GAL]])</f>
        <v>4673825</v>
      </c>
      <c r="W3396">
        <f>SUM(POTABLE_NONPOTABLE_API[[#This Row],[NONPOTABLE_DEMAND_RESIDENTIAL_RECYCLED_WATER_GAL]:[NONPOTABLE_DEMAND_NONRESIDENTIAL_METERED_IRRIGATION_GAL]])</f>
        <v>0</v>
      </c>
      <c r="X3396" t="str">
        <f>IFERROR(INDEX(Crosswalk_API!$H$2:$H$527, MATCH(POTABLE_NONPOTABLE_API[[#This Row],[PWSID]], CW_PWSID_LIST, 0)), "")</f>
        <v>No</v>
      </c>
    </row>
    <row r="3397" spans="1:24" x14ac:dyDescent="0.25">
      <c r="A3397" t="s">
        <v>1730</v>
      </c>
      <c r="B3397" t="s">
        <v>1731</v>
      </c>
      <c r="C3397" t="s">
        <v>1736</v>
      </c>
      <c r="D3397" t="s">
        <v>1737</v>
      </c>
      <c r="E3397" s="9">
        <v>45444</v>
      </c>
      <c r="F3397" s="9">
        <v>45473</v>
      </c>
      <c r="G3397">
        <v>4634181</v>
      </c>
      <c r="H3397">
        <v>225910</v>
      </c>
      <c r="I3397">
        <v>643323</v>
      </c>
      <c r="J3397">
        <v>0</v>
      </c>
      <c r="K3397">
        <v>0</v>
      </c>
      <c r="L3397">
        <v>0</v>
      </c>
      <c r="M3397">
        <v>0</v>
      </c>
      <c r="T3397" s="9">
        <v>45108</v>
      </c>
      <c r="U3397" s="9">
        <v>45473</v>
      </c>
      <c r="V3397">
        <f>SUM(POTABLE_NONPOTABLE_API[[#This Row],[RESIDENTIAL_SINGLEFAMILY_GAL]:[OTHER_GAL]])</f>
        <v>5503414</v>
      </c>
      <c r="W3397">
        <f>SUM(POTABLE_NONPOTABLE_API[[#This Row],[NONPOTABLE_DEMAND_RESIDENTIAL_RECYCLED_WATER_GAL]:[NONPOTABLE_DEMAND_NONRESIDENTIAL_METERED_IRRIGATION_GAL]])</f>
        <v>0</v>
      </c>
      <c r="X3397" t="str">
        <f>IFERROR(INDEX(Crosswalk_API!$H$2:$H$527, MATCH(POTABLE_NONPOTABLE_API[[#This Row],[PWSID]], CW_PWSID_LIST, 0)), "")</f>
        <v>No</v>
      </c>
    </row>
    <row r="3398" spans="1:24" x14ac:dyDescent="0.25">
      <c r="A3398" t="s">
        <v>1730</v>
      </c>
      <c r="B3398" t="s">
        <v>1731</v>
      </c>
      <c r="C3398" t="s">
        <v>1738</v>
      </c>
      <c r="D3398" t="s">
        <v>1739</v>
      </c>
      <c r="E3398" s="9">
        <v>45108</v>
      </c>
      <c r="F3398" s="9">
        <v>45138</v>
      </c>
      <c r="G3398">
        <v>23006338</v>
      </c>
      <c r="H3398">
        <v>0</v>
      </c>
      <c r="I3398">
        <v>233392</v>
      </c>
      <c r="J3398">
        <v>680727</v>
      </c>
      <c r="K3398">
        <v>0</v>
      </c>
      <c r="L3398">
        <v>0</v>
      </c>
      <c r="M3398">
        <v>0</v>
      </c>
      <c r="T3398" s="9">
        <v>45108</v>
      </c>
      <c r="U3398" s="9">
        <v>45473</v>
      </c>
      <c r="V3398">
        <f>SUM(POTABLE_NONPOTABLE_API[[#This Row],[RESIDENTIAL_SINGLEFAMILY_GAL]:[OTHER_GAL]])</f>
        <v>23920457</v>
      </c>
      <c r="W3398">
        <f>SUM(POTABLE_NONPOTABLE_API[[#This Row],[NONPOTABLE_DEMAND_RESIDENTIAL_RECYCLED_WATER_GAL]:[NONPOTABLE_DEMAND_NONRESIDENTIAL_METERED_IRRIGATION_GAL]])</f>
        <v>0</v>
      </c>
      <c r="X3398" t="str">
        <f>IFERROR(INDEX(Crosswalk_API!$H$2:$H$527, MATCH(POTABLE_NONPOTABLE_API[[#This Row],[PWSID]], CW_PWSID_LIST, 0)), "")</f>
        <v>No</v>
      </c>
    </row>
    <row r="3399" spans="1:24" x14ac:dyDescent="0.25">
      <c r="A3399" t="s">
        <v>1730</v>
      </c>
      <c r="B3399" t="s">
        <v>1731</v>
      </c>
      <c r="C3399" t="s">
        <v>1738</v>
      </c>
      <c r="D3399" t="s">
        <v>1739</v>
      </c>
      <c r="E3399" s="9">
        <v>45139</v>
      </c>
      <c r="F3399" s="9">
        <v>45169</v>
      </c>
      <c r="G3399">
        <v>24729849</v>
      </c>
      <c r="H3399">
        <v>0</v>
      </c>
      <c r="I3399">
        <v>213943</v>
      </c>
      <c r="J3399">
        <v>650805</v>
      </c>
      <c r="K3399">
        <v>0</v>
      </c>
      <c r="L3399">
        <v>0</v>
      </c>
      <c r="M3399">
        <v>0</v>
      </c>
      <c r="T3399" s="9">
        <v>45108</v>
      </c>
      <c r="U3399" s="9">
        <v>45473</v>
      </c>
      <c r="V3399">
        <f>SUM(POTABLE_NONPOTABLE_API[[#This Row],[RESIDENTIAL_SINGLEFAMILY_GAL]:[OTHER_GAL]])</f>
        <v>25594597</v>
      </c>
      <c r="W3399">
        <f>SUM(POTABLE_NONPOTABLE_API[[#This Row],[NONPOTABLE_DEMAND_RESIDENTIAL_RECYCLED_WATER_GAL]:[NONPOTABLE_DEMAND_NONRESIDENTIAL_METERED_IRRIGATION_GAL]])</f>
        <v>0</v>
      </c>
      <c r="X3399" t="str">
        <f>IFERROR(INDEX(Crosswalk_API!$H$2:$H$527, MATCH(POTABLE_NONPOTABLE_API[[#This Row],[PWSID]], CW_PWSID_LIST, 0)), "")</f>
        <v>No</v>
      </c>
    </row>
    <row r="3400" spans="1:24" x14ac:dyDescent="0.25">
      <c r="A3400" t="s">
        <v>1730</v>
      </c>
      <c r="B3400" t="s">
        <v>1731</v>
      </c>
      <c r="C3400" t="s">
        <v>1738</v>
      </c>
      <c r="D3400" t="s">
        <v>1739</v>
      </c>
      <c r="E3400" s="9">
        <v>45170</v>
      </c>
      <c r="F3400" s="9">
        <v>45199</v>
      </c>
      <c r="G3400">
        <v>22307177</v>
      </c>
      <c r="H3400">
        <v>0</v>
      </c>
      <c r="I3400">
        <v>361104</v>
      </c>
      <c r="J3400">
        <v>1649407</v>
      </c>
      <c r="K3400">
        <v>0</v>
      </c>
      <c r="L3400">
        <v>0</v>
      </c>
      <c r="M3400">
        <v>0</v>
      </c>
      <c r="T3400" s="9">
        <v>45108</v>
      </c>
      <c r="U3400" s="9">
        <v>45473</v>
      </c>
      <c r="V3400">
        <f>SUM(POTABLE_NONPOTABLE_API[[#This Row],[RESIDENTIAL_SINGLEFAMILY_GAL]:[OTHER_GAL]])</f>
        <v>24317688</v>
      </c>
      <c r="W3400">
        <f>SUM(POTABLE_NONPOTABLE_API[[#This Row],[NONPOTABLE_DEMAND_RESIDENTIAL_RECYCLED_WATER_GAL]:[NONPOTABLE_DEMAND_NONRESIDENTIAL_METERED_IRRIGATION_GAL]])</f>
        <v>0</v>
      </c>
      <c r="X3400" t="str">
        <f>IFERROR(INDEX(Crosswalk_API!$H$2:$H$527, MATCH(POTABLE_NONPOTABLE_API[[#This Row],[PWSID]], CW_PWSID_LIST, 0)), "")</f>
        <v>No</v>
      </c>
    </row>
    <row r="3401" spans="1:24" x14ac:dyDescent="0.25">
      <c r="A3401" t="s">
        <v>1730</v>
      </c>
      <c r="B3401" t="s">
        <v>1731</v>
      </c>
      <c r="C3401" t="s">
        <v>1738</v>
      </c>
      <c r="D3401" t="s">
        <v>1739</v>
      </c>
      <c r="E3401" s="9">
        <v>45200</v>
      </c>
      <c r="F3401" s="9">
        <v>45230</v>
      </c>
      <c r="G3401">
        <v>17926596</v>
      </c>
      <c r="H3401">
        <v>0</v>
      </c>
      <c r="I3401">
        <v>351026</v>
      </c>
      <c r="J3401">
        <v>212874</v>
      </c>
      <c r="K3401">
        <v>0</v>
      </c>
      <c r="L3401">
        <v>0</v>
      </c>
      <c r="M3401">
        <v>0</v>
      </c>
      <c r="T3401" s="9">
        <v>45108</v>
      </c>
      <c r="U3401" s="9">
        <v>45473</v>
      </c>
      <c r="V3401">
        <f>SUM(POTABLE_NONPOTABLE_API[[#This Row],[RESIDENTIAL_SINGLEFAMILY_GAL]:[OTHER_GAL]])</f>
        <v>18490496</v>
      </c>
      <c r="W3401">
        <f>SUM(POTABLE_NONPOTABLE_API[[#This Row],[NONPOTABLE_DEMAND_RESIDENTIAL_RECYCLED_WATER_GAL]:[NONPOTABLE_DEMAND_NONRESIDENTIAL_METERED_IRRIGATION_GAL]])</f>
        <v>0</v>
      </c>
      <c r="X3401" t="str">
        <f>IFERROR(INDEX(Crosswalk_API!$H$2:$H$527, MATCH(POTABLE_NONPOTABLE_API[[#This Row],[PWSID]], CW_PWSID_LIST, 0)), "")</f>
        <v>No</v>
      </c>
    </row>
    <row r="3402" spans="1:24" x14ac:dyDescent="0.25">
      <c r="A3402" t="s">
        <v>1730</v>
      </c>
      <c r="B3402" t="s">
        <v>1731</v>
      </c>
      <c r="C3402" t="s">
        <v>1738</v>
      </c>
      <c r="D3402" t="s">
        <v>1739</v>
      </c>
      <c r="E3402" s="9">
        <v>45231</v>
      </c>
      <c r="F3402" s="9">
        <v>45260</v>
      </c>
      <c r="G3402">
        <v>12322398</v>
      </c>
      <c r="H3402">
        <v>0</v>
      </c>
      <c r="I3402">
        <v>864296</v>
      </c>
      <c r="J3402">
        <v>120780</v>
      </c>
      <c r="K3402">
        <v>0</v>
      </c>
      <c r="L3402">
        <v>0</v>
      </c>
      <c r="M3402">
        <v>0</v>
      </c>
      <c r="T3402" s="9">
        <v>45108</v>
      </c>
      <c r="U3402" s="9">
        <v>45473</v>
      </c>
      <c r="V3402">
        <f>SUM(POTABLE_NONPOTABLE_API[[#This Row],[RESIDENTIAL_SINGLEFAMILY_GAL]:[OTHER_GAL]])</f>
        <v>13307474</v>
      </c>
      <c r="W3402">
        <f>SUM(POTABLE_NONPOTABLE_API[[#This Row],[NONPOTABLE_DEMAND_RESIDENTIAL_RECYCLED_WATER_GAL]:[NONPOTABLE_DEMAND_NONRESIDENTIAL_METERED_IRRIGATION_GAL]])</f>
        <v>0</v>
      </c>
      <c r="X3402" t="str">
        <f>IFERROR(INDEX(Crosswalk_API!$H$2:$H$527, MATCH(POTABLE_NONPOTABLE_API[[#This Row],[PWSID]], CW_PWSID_LIST, 0)), "")</f>
        <v>No</v>
      </c>
    </row>
    <row r="3403" spans="1:24" x14ac:dyDescent="0.25">
      <c r="A3403" t="s">
        <v>1730</v>
      </c>
      <c r="B3403" t="s">
        <v>1731</v>
      </c>
      <c r="C3403" t="s">
        <v>1738</v>
      </c>
      <c r="D3403" t="s">
        <v>1739</v>
      </c>
      <c r="E3403" s="9">
        <v>45261</v>
      </c>
      <c r="F3403" s="9">
        <v>45291</v>
      </c>
      <c r="G3403">
        <v>7464328</v>
      </c>
      <c r="H3403">
        <v>0</v>
      </c>
      <c r="I3403">
        <v>2996567</v>
      </c>
      <c r="J3403">
        <v>37053</v>
      </c>
      <c r="K3403">
        <v>0</v>
      </c>
      <c r="L3403">
        <v>0</v>
      </c>
      <c r="M3403">
        <v>0</v>
      </c>
      <c r="T3403" s="9">
        <v>45108</v>
      </c>
      <c r="U3403" s="9">
        <v>45473</v>
      </c>
      <c r="V3403">
        <f>SUM(POTABLE_NONPOTABLE_API[[#This Row],[RESIDENTIAL_SINGLEFAMILY_GAL]:[OTHER_GAL]])</f>
        <v>10497948</v>
      </c>
      <c r="W3403">
        <f>SUM(POTABLE_NONPOTABLE_API[[#This Row],[NONPOTABLE_DEMAND_RESIDENTIAL_RECYCLED_WATER_GAL]:[NONPOTABLE_DEMAND_NONRESIDENTIAL_METERED_IRRIGATION_GAL]])</f>
        <v>0</v>
      </c>
      <c r="X3403" t="str">
        <f>IFERROR(INDEX(Crosswalk_API!$H$2:$H$527, MATCH(POTABLE_NONPOTABLE_API[[#This Row],[PWSID]], CW_PWSID_LIST, 0)), "")</f>
        <v>No</v>
      </c>
    </row>
    <row r="3404" spans="1:24" x14ac:dyDescent="0.25">
      <c r="A3404" t="s">
        <v>1730</v>
      </c>
      <c r="B3404" t="s">
        <v>1731</v>
      </c>
      <c r="C3404" t="s">
        <v>1738</v>
      </c>
      <c r="D3404" t="s">
        <v>1739</v>
      </c>
      <c r="E3404" s="9">
        <v>45292</v>
      </c>
      <c r="F3404" s="9">
        <v>45322</v>
      </c>
      <c r="G3404">
        <v>5145237</v>
      </c>
      <c r="H3404">
        <v>0</v>
      </c>
      <c r="I3404">
        <v>2777249</v>
      </c>
      <c r="J3404">
        <v>10280</v>
      </c>
      <c r="K3404">
        <v>0</v>
      </c>
      <c r="L3404">
        <v>0</v>
      </c>
      <c r="M3404">
        <v>0</v>
      </c>
      <c r="T3404" s="9">
        <v>45108</v>
      </c>
      <c r="U3404" s="9">
        <v>45473</v>
      </c>
      <c r="V3404">
        <f>SUM(POTABLE_NONPOTABLE_API[[#This Row],[RESIDENTIAL_SINGLEFAMILY_GAL]:[OTHER_GAL]])</f>
        <v>7932766</v>
      </c>
      <c r="W3404">
        <f>SUM(POTABLE_NONPOTABLE_API[[#This Row],[NONPOTABLE_DEMAND_RESIDENTIAL_RECYCLED_WATER_GAL]:[NONPOTABLE_DEMAND_NONRESIDENTIAL_METERED_IRRIGATION_GAL]])</f>
        <v>0</v>
      </c>
      <c r="X3404" t="str">
        <f>IFERROR(INDEX(Crosswalk_API!$H$2:$H$527, MATCH(POTABLE_NONPOTABLE_API[[#This Row],[PWSID]], CW_PWSID_LIST, 0)), "")</f>
        <v>No</v>
      </c>
    </row>
    <row r="3405" spans="1:24" x14ac:dyDescent="0.25">
      <c r="A3405" t="s">
        <v>1730</v>
      </c>
      <c r="B3405" t="s">
        <v>1731</v>
      </c>
      <c r="C3405" t="s">
        <v>1738</v>
      </c>
      <c r="D3405" t="s">
        <v>1739</v>
      </c>
      <c r="E3405" s="9">
        <v>45323</v>
      </c>
      <c r="F3405" s="9">
        <v>45351</v>
      </c>
      <c r="G3405">
        <v>5255061</v>
      </c>
      <c r="H3405">
        <v>0</v>
      </c>
      <c r="I3405">
        <v>2790980</v>
      </c>
      <c r="J3405">
        <v>8228</v>
      </c>
      <c r="K3405">
        <v>0</v>
      </c>
      <c r="L3405">
        <v>0</v>
      </c>
      <c r="M3405">
        <v>0</v>
      </c>
      <c r="T3405" s="9">
        <v>45108</v>
      </c>
      <c r="U3405" s="9">
        <v>45473</v>
      </c>
      <c r="V3405">
        <f>SUM(POTABLE_NONPOTABLE_API[[#This Row],[RESIDENTIAL_SINGLEFAMILY_GAL]:[OTHER_GAL]])</f>
        <v>8054269</v>
      </c>
      <c r="W3405">
        <f>SUM(POTABLE_NONPOTABLE_API[[#This Row],[NONPOTABLE_DEMAND_RESIDENTIAL_RECYCLED_WATER_GAL]:[NONPOTABLE_DEMAND_NONRESIDENTIAL_METERED_IRRIGATION_GAL]])</f>
        <v>0</v>
      </c>
      <c r="X3405" t="str">
        <f>IFERROR(INDEX(Crosswalk_API!$H$2:$H$527, MATCH(POTABLE_NONPOTABLE_API[[#This Row],[PWSID]], CW_PWSID_LIST, 0)), "")</f>
        <v>No</v>
      </c>
    </row>
    <row r="3406" spans="1:24" x14ac:dyDescent="0.25">
      <c r="A3406" t="s">
        <v>1730</v>
      </c>
      <c r="B3406" t="s">
        <v>1731</v>
      </c>
      <c r="C3406" t="s">
        <v>1738</v>
      </c>
      <c r="D3406" t="s">
        <v>1739</v>
      </c>
      <c r="E3406" s="9">
        <v>45352</v>
      </c>
      <c r="F3406" s="9">
        <v>45382</v>
      </c>
      <c r="G3406">
        <v>4433702</v>
      </c>
      <c r="H3406">
        <v>0</v>
      </c>
      <c r="I3406">
        <v>2828382</v>
      </c>
      <c r="J3406">
        <v>11968</v>
      </c>
      <c r="K3406">
        <v>0</v>
      </c>
      <c r="L3406">
        <v>0</v>
      </c>
      <c r="M3406">
        <v>0</v>
      </c>
      <c r="T3406" s="9">
        <v>45108</v>
      </c>
      <c r="U3406" s="9">
        <v>45473</v>
      </c>
      <c r="V3406">
        <f>SUM(POTABLE_NONPOTABLE_API[[#This Row],[RESIDENTIAL_SINGLEFAMILY_GAL]:[OTHER_GAL]])</f>
        <v>7274052</v>
      </c>
      <c r="W3406">
        <f>SUM(POTABLE_NONPOTABLE_API[[#This Row],[NONPOTABLE_DEMAND_RESIDENTIAL_RECYCLED_WATER_GAL]:[NONPOTABLE_DEMAND_NONRESIDENTIAL_METERED_IRRIGATION_GAL]])</f>
        <v>0</v>
      </c>
      <c r="X3406" t="str">
        <f>IFERROR(INDEX(Crosswalk_API!$H$2:$H$527, MATCH(POTABLE_NONPOTABLE_API[[#This Row],[PWSID]], CW_PWSID_LIST, 0)), "")</f>
        <v>No</v>
      </c>
    </row>
    <row r="3407" spans="1:24" x14ac:dyDescent="0.25">
      <c r="A3407" t="s">
        <v>1730</v>
      </c>
      <c r="B3407" t="s">
        <v>1731</v>
      </c>
      <c r="C3407" t="s">
        <v>1738</v>
      </c>
      <c r="D3407" t="s">
        <v>1739</v>
      </c>
      <c r="E3407" s="9">
        <v>45383</v>
      </c>
      <c r="F3407" s="9">
        <v>45412</v>
      </c>
      <c r="G3407">
        <v>8984101</v>
      </c>
      <c r="H3407">
        <v>0</v>
      </c>
      <c r="I3407">
        <v>2201516</v>
      </c>
      <c r="J3407">
        <v>94253</v>
      </c>
      <c r="K3407">
        <v>0</v>
      </c>
      <c r="L3407">
        <v>0</v>
      </c>
      <c r="M3407">
        <v>0</v>
      </c>
      <c r="T3407" s="9">
        <v>45108</v>
      </c>
      <c r="U3407" s="9">
        <v>45473</v>
      </c>
      <c r="V3407">
        <f>SUM(POTABLE_NONPOTABLE_API[[#This Row],[RESIDENTIAL_SINGLEFAMILY_GAL]:[OTHER_GAL]])</f>
        <v>11279870</v>
      </c>
      <c r="W3407">
        <f>SUM(POTABLE_NONPOTABLE_API[[#This Row],[NONPOTABLE_DEMAND_RESIDENTIAL_RECYCLED_WATER_GAL]:[NONPOTABLE_DEMAND_NONRESIDENTIAL_METERED_IRRIGATION_GAL]])</f>
        <v>0</v>
      </c>
      <c r="X3407" t="str">
        <f>IFERROR(INDEX(Crosswalk_API!$H$2:$H$527, MATCH(POTABLE_NONPOTABLE_API[[#This Row],[PWSID]], CW_PWSID_LIST, 0)), "")</f>
        <v>No</v>
      </c>
    </row>
    <row r="3408" spans="1:24" x14ac:dyDescent="0.25">
      <c r="A3408" t="s">
        <v>1730</v>
      </c>
      <c r="B3408" t="s">
        <v>1731</v>
      </c>
      <c r="C3408" t="s">
        <v>1738</v>
      </c>
      <c r="D3408" t="s">
        <v>1739</v>
      </c>
      <c r="E3408" s="9">
        <v>45413</v>
      </c>
      <c r="F3408" s="9">
        <v>45443</v>
      </c>
      <c r="G3408">
        <v>16257411</v>
      </c>
      <c r="H3408">
        <v>0</v>
      </c>
      <c r="I3408">
        <v>2762555</v>
      </c>
      <c r="J3408">
        <v>231147</v>
      </c>
      <c r="K3408">
        <v>0</v>
      </c>
      <c r="L3408">
        <v>0</v>
      </c>
      <c r="M3408">
        <v>0</v>
      </c>
      <c r="T3408" s="9">
        <v>45108</v>
      </c>
      <c r="U3408" s="9">
        <v>45473</v>
      </c>
      <c r="V3408">
        <f>SUM(POTABLE_NONPOTABLE_API[[#This Row],[RESIDENTIAL_SINGLEFAMILY_GAL]:[OTHER_GAL]])</f>
        <v>19251113</v>
      </c>
      <c r="W3408">
        <f>SUM(POTABLE_NONPOTABLE_API[[#This Row],[NONPOTABLE_DEMAND_RESIDENTIAL_RECYCLED_WATER_GAL]:[NONPOTABLE_DEMAND_NONRESIDENTIAL_METERED_IRRIGATION_GAL]])</f>
        <v>0</v>
      </c>
      <c r="X3408" t="str">
        <f>IFERROR(INDEX(Crosswalk_API!$H$2:$H$527, MATCH(POTABLE_NONPOTABLE_API[[#This Row],[PWSID]], CW_PWSID_LIST, 0)), "")</f>
        <v>No</v>
      </c>
    </row>
    <row r="3409" spans="1:24" x14ac:dyDescent="0.25">
      <c r="A3409" t="s">
        <v>1730</v>
      </c>
      <c r="B3409" t="s">
        <v>1731</v>
      </c>
      <c r="C3409" t="s">
        <v>1738</v>
      </c>
      <c r="D3409" t="s">
        <v>1739</v>
      </c>
      <c r="E3409" s="9">
        <v>45444</v>
      </c>
      <c r="F3409" s="9">
        <v>45473</v>
      </c>
      <c r="G3409">
        <v>20904309</v>
      </c>
      <c r="H3409">
        <v>0</v>
      </c>
      <c r="I3409">
        <v>1876861</v>
      </c>
      <c r="J3409">
        <v>183271</v>
      </c>
      <c r="K3409">
        <v>0</v>
      </c>
      <c r="L3409">
        <v>0</v>
      </c>
      <c r="M3409">
        <v>0</v>
      </c>
      <c r="T3409" s="9">
        <v>45108</v>
      </c>
      <c r="U3409" s="9">
        <v>45473</v>
      </c>
      <c r="V3409">
        <f>SUM(POTABLE_NONPOTABLE_API[[#This Row],[RESIDENTIAL_SINGLEFAMILY_GAL]:[OTHER_GAL]])</f>
        <v>22964441</v>
      </c>
      <c r="W3409">
        <f>SUM(POTABLE_NONPOTABLE_API[[#This Row],[NONPOTABLE_DEMAND_RESIDENTIAL_RECYCLED_WATER_GAL]:[NONPOTABLE_DEMAND_NONRESIDENTIAL_METERED_IRRIGATION_GAL]])</f>
        <v>0</v>
      </c>
      <c r="X3409" t="str">
        <f>IFERROR(INDEX(Crosswalk_API!$H$2:$H$527, MATCH(POTABLE_NONPOTABLE_API[[#This Row],[PWSID]], CW_PWSID_LIST, 0)), "")</f>
        <v>No</v>
      </c>
    </row>
    <row r="3410" spans="1:24" x14ac:dyDescent="0.25">
      <c r="A3410" t="s">
        <v>1730</v>
      </c>
      <c r="B3410" t="s">
        <v>1731</v>
      </c>
      <c r="C3410" t="s">
        <v>1740</v>
      </c>
      <c r="D3410" t="s">
        <v>1741</v>
      </c>
      <c r="E3410" s="9">
        <v>45108</v>
      </c>
      <c r="F3410" s="9">
        <v>45138</v>
      </c>
      <c r="G3410">
        <v>1312831</v>
      </c>
      <c r="H3410">
        <v>0</v>
      </c>
      <c r="I3410">
        <v>0</v>
      </c>
      <c r="J3410">
        <v>0</v>
      </c>
      <c r="K3410">
        <v>0</v>
      </c>
      <c r="L3410">
        <v>0</v>
      </c>
      <c r="M3410">
        <v>0</v>
      </c>
      <c r="T3410" s="9">
        <v>45108</v>
      </c>
      <c r="U3410" s="9">
        <v>45473</v>
      </c>
      <c r="V3410">
        <f>SUM(POTABLE_NONPOTABLE_API[[#This Row],[RESIDENTIAL_SINGLEFAMILY_GAL]:[OTHER_GAL]])</f>
        <v>1312831</v>
      </c>
      <c r="W3410">
        <f>SUM(POTABLE_NONPOTABLE_API[[#This Row],[NONPOTABLE_DEMAND_RESIDENTIAL_RECYCLED_WATER_GAL]:[NONPOTABLE_DEMAND_NONRESIDENTIAL_METERED_IRRIGATION_GAL]])</f>
        <v>0</v>
      </c>
      <c r="X3410" t="str">
        <f>IFERROR(INDEX(Crosswalk_API!$H$2:$H$527, MATCH(POTABLE_NONPOTABLE_API[[#This Row],[PWSID]], CW_PWSID_LIST, 0)), "")</f>
        <v>No</v>
      </c>
    </row>
    <row r="3411" spans="1:24" x14ac:dyDescent="0.25">
      <c r="A3411" t="s">
        <v>1730</v>
      </c>
      <c r="B3411" t="s">
        <v>1731</v>
      </c>
      <c r="C3411" t="s">
        <v>1740</v>
      </c>
      <c r="D3411" t="s">
        <v>1741</v>
      </c>
      <c r="E3411" s="9">
        <v>45139</v>
      </c>
      <c r="F3411" s="9">
        <v>45169</v>
      </c>
      <c r="G3411">
        <v>1227553</v>
      </c>
      <c r="H3411">
        <v>0</v>
      </c>
      <c r="I3411">
        <v>0</v>
      </c>
      <c r="J3411">
        <v>0</v>
      </c>
      <c r="K3411">
        <v>0</v>
      </c>
      <c r="L3411">
        <v>0</v>
      </c>
      <c r="M3411">
        <v>0</v>
      </c>
      <c r="T3411" s="9">
        <v>45108</v>
      </c>
      <c r="U3411" s="9">
        <v>45473</v>
      </c>
      <c r="V3411">
        <f>SUM(POTABLE_NONPOTABLE_API[[#This Row],[RESIDENTIAL_SINGLEFAMILY_GAL]:[OTHER_GAL]])</f>
        <v>1227553</v>
      </c>
      <c r="W3411">
        <f>SUM(POTABLE_NONPOTABLE_API[[#This Row],[NONPOTABLE_DEMAND_RESIDENTIAL_RECYCLED_WATER_GAL]:[NONPOTABLE_DEMAND_NONRESIDENTIAL_METERED_IRRIGATION_GAL]])</f>
        <v>0</v>
      </c>
      <c r="X3411" t="str">
        <f>IFERROR(INDEX(Crosswalk_API!$H$2:$H$527, MATCH(POTABLE_NONPOTABLE_API[[#This Row],[PWSID]], CW_PWSID_LIST, 0)), "")</f>
        <v>No</v>
      </c>
    </row>
    <row r="3412" spans="1:24" x14ac:dyDescent="0.25">
      <c r="A3412" t="s">
        <v>1730</v>
      </c>
      <c r="B3412" t="s">
        <v>1731</v>
      </c>
      <c r="C3412" t="s">
        <v>1740</v>
      </c>
      <c r="D3412" t="s">
        <v>1741</v>
      </c>
      <c r="E3412" s="9">
        <v>45170</v>
      </c>
      <c r="F3412" s="9">
        <v>45199</v>
      </c>
      <c r="G3412">
        <v>1190462</v>
      </c>
      <c r="H3412">
        <v>0</v>
      </c>
      <c r="I3412">
        <v>0</v>
      </c>
      <c r="J3412">
        <v>0</v>
      </c>
      <c r="K3412">
        <v>0</v>
      </c>
      <c r="L3412">
        <v>0</v>
      </c>
      <c r="M3412">
        <v>0</v>
      </c>
      <c r="T3412" s="9">
        <v>45108</v>
      </c>
      <c r="U3412" s="9">
        <v>45473</v>
      </c>
      <c r="V3412">
        <f>SUM(POTABLE_NONPOTABLE_API[[#This Row],[RESIDENTIAL_SINGLEFAMILY_GAL]:[OTHER_GAL]])</f>
        <v>1190462</v>
      </c>
      <c r="W3412">
        <f>SUM(POTABLE_NONPOTABLE_API[[#This Row],[NONPOTABLE_DEMAND_RESIDENTIAL_RECYCLED_WATER_GAL]:[NONPOTABLE_DEMAND_NONRESIDENTIAL_METERED_IRRIGATION_GAL]])</f>
        <v>0</v>
      </c>
      <c r="X3412" t="str">
        <f>IFERROR(INDEX(Crosswalk_API!$H$2:$H$527, MATCH(POTABLE_NONPOTABLE_API[[#This Row],[PWSID]], CW_PWSID_LIST, 0)), "")</f>
        <v>No</v>
      </c>
    </row>
    <row r="3413" spans="1:24" x14ac:dyDescent="0.25">
      <c r="A3413" t="s">
        <v>1730</v>
      </c>
      <c r="B3413" t="s">
        <v>1731</v>
      </c>
      <c r="C3413" t="s">
        <v>1740</v>
      </c>
      <c r="D3413" t="s">
        <v>1741</v>
      </c>
      <c r="E3413" s="9">
        <v>45200</v>
      </c>
      <c r="F3413" s="9">
        <v>45230</v>
      </c>
      <c r="G3413">
        <v>1097851</v>
      </c>
      <c r="H3413">
        <v>0</v>
      </c>
      <c r="I3413">
        <v>0</v>
      </c>
      <c r="J3413">
        <v>0</v>
      </c>
      <c r="K3413">
        <v>0</v>
      </c>
      <c r="L3413">
        <v>0</v>
      </c>
      <c r="M3413">
        <v>0</v>
      </c>
      <c r="T3413" s="9">
        <v>45108</v>
      </c>
      <c r="U3413" s="9">
        <v>45473</v>
      </c>
      <c r="V3413">
        <f>SUM(POTABLE_NONPOTABLE_API[[#This Row],[RESIDENTIAL_SINGLEFAMILY_GAL]:[OTHER_GAL]])</f>
        <v>1097851</v>
      </c>
      <c r="W3413">
        <f>SUM(POTABLE_NONPOTABLE_API[[#This Row],[NONPOTABLE_DEMAND_RESIDENTIAL_RECYCLED_WATER_GAL]:[NONPOTABLE_DEMAND_NONRESIDENTIAL_METERED_IRRIGATION_GAL]])</f>
        <v>0</v>
      </c>
      <c r="X3413" t="str">
        <f>IFERROR(INDEX(Crosswalk_API!$H$2:$H$527, MATCH(POTABLE_NONPOTABLE_API[[#This Row],[PWSID]], CW_PWSID_LIST, 0)), "")</f>
        <v>No</v>
      </c>
    </row>
    <row r="3414" spans="1:24" x14ac:dyDescent="0.25">
      <c r="A3414" t="s">
        <v>1730</v>
      </c>
      <c r="B3414" t="s">
        <v>1731</v>
      </c>
      <c r="C3414" t="s">
        <v>1740</v>
      </c>
      <c r="D3414" t="s">
        <v>1741</v>
      </c>
      <c r="E3414" s="9">
        <v>45231</v>
      </c>
      <c r="F3414" s="9">
        <v>45260</v>
      </c>
      <c r="G3414">
        <v>689327</v>
      </c>
      <c r="H3414">
        <v>0</v>
      </c>
      <c r="I3414">
        <v>0</v>
      </c>
      <c r="J3414">
        <v>0</v>
      </c>
      <c r="K3414">
        <v>0</v>
      </c>
      <c r="L3414">
        <v>0</v>
      </c>
      <c r="M3414">
        <v>0</v>
      </c>
      <c r="T3414" s="9">
        <v>45108</v>
      </c>
      <c r="U3414" s="9">
        <v>45473</v>
      </c>
      <c r="V3414">
        <f>SUM(POTABLE_NONPOTABLE_API[[#This Row],[RESIDENTIAL_SINGLEFAMILY_GAL]:[OTHER_GAL]])</f>
        <v>689327</v>
      </c>
      <c r="W3414">
        <f>SUM(POTABLE_NONPOTABLE_API[[#This Row],[NONPOTABLE_DEMAND_RESIDENTIAL_RECYCLED_WATER_GAL]:[NONPOTABLE_DEMAND_NONRESIDENTIAL_METERED_IRRIGATION_GAL]])</f>
        <v>0</v>
      </c>
      <c r="X3414" t="str">
        <f>IFERROR(INDEX(Crosswalk_API!$H$2:$H$527, MATCH(POTABLE_NONPOTABLE_API[[#This Row],[PWSID]], CW_PWSID_LIST, 0)), "")</f>
        <v>No</v>
      </c>
    </row>
    <row r="3415" spans="1:24" x14ac:dyDescent="0.25">
      <c r="A3415" t="s">
        <v>1730</v>
      </c>
      <c r="B3415" t="s">
        <v>1731</v>
      </c>
      <c r="C3415" t="s">
        <v>1740</v>
      </c>
      <c r="D3415" t="s">
        <v>1741</v>
      </c>
      <c r="E3415" s="9">
        <v>45261</v>
      </c>
      <c r="F3415" s="9">
        <v>45291</v>
      </c>
      <c r="G3415">
        <v>537630</v>
      </c>
      <c r="H3415">
        <v>0</v>
      </c>
      <c r="I3415">
        <v>0</v>
      </c>
      <c r="J3415">
        <v>0</v>
      </c>
      <c r="K3415">
        <v>0</v>
      </c>
      <c r="L3415">
        <v>0</v>
      </c>
      <c r="M3415">
        <v>0</v>
      </c>
      <c r="T3415" s="9">
        <v>45108</v>
      </c>
      <c r="U3415" s="9">
        <v>45473</v>
      </c>
      <c r="V3415">
        <f>SUM(POTABLE_NONPOTABLE_API[[#This Row],[RESIDENTIAL_SINGLEFAMILY_GAL]:[OTHER_GAL]])</f>
        <v>537630</v>
      </c>
      <c r="W3415">
        <f>SUM(POTABLE_NONPOTABLE_API[[#This Row],[NONPOTABLE_DEMAND_RESIDENTIAL_RECYCLED_WATER_GAL]:[NONPOTABLE_DEMAND_NONRESIDENTIAL_METERED_IRRIGATION_GAL]])</f>
        <v>0</v>
      </c>
      <c r="X3415" t="str">
        <f>IFERROR(INDEX(Crosswalk_API!$H$2:$H$527, MATCH(POTABLE_NONPOTABLE_API[[#This Row],[PWSID]], CW_PWSID_LIST, 0)), "")</f>
        <v>No</v>
      </c>
    </row>
    <row r="3416" spans="1:24" x14ac:dyDescent="0.25">
      <c r="A3416" t="s">
        <v>1730</v>
      </c>
      <c r="B3416" t="s">
        <v>1731</v>
      </c>
      <c r="C3416" t="s">
        <v>1740</v>
      </c>
      <c r="D3416" t="s">
        <v>1741</v>
      </c>
      <c r="E3416" s="9">
        <v>45292</v>
      </c>
      <c r="F3416" s="9">
        <v>45322</v>
      </c>
      <c r="G3416">
        <v>402349</v>
      </c>
      <c r="H3416">
        <v>0</v>
      </c>
      <c r="I3416">
        <v>0</v>
      </c>
      <c r="J3416">
        <v>0</v>
      </c>
      <c r="K3416">
        <v>0</v>
      </c>
      <c r="L3416">
        <v>0</v>
      </c>
      <c r="M3416">
        <v>0</v>
      </c>
      <c r="T3416" s="9">
        <v>45108</v>
      </c>
      <c r="U3416" s="9">
        <v>45473</v>
      </c>
      <c r="V3416">
        <f>SUM(POTABLE_NONPOTABLE_API[[#This Row],[RESIDENTIAL_SINGLEFAMILY_GAL]:[OTHER_GAL]])</f>
        <v>402349</v>
      </c>
      <c r="W3416">
        <f>SUM(POTABLE_NONPOTABLE_API[[#This Row],[NONPOTABLE_DEMAND_RESIDENTIAL_RECYCLED_WATER_GAL]:[NONPOTABLE_DEMAND_NONRESIDENTIAL_METERED_IRRIGATION_GAL]])</f>
        <v>0</v>
      </c>
      <c r="X3416" t="str">
        <f>IFERROR(INDEX(Crosswalk_API!$H$2:$H$527, MATCH(POTABLE_NONPOTABLE_API[[#This Row],[PWSID]], CW_PWSID_LIST, 0)), "")</f>
        <v>No</v>
      </c>
    </row>
    <row r="3417" spans="1:24" x14ac:dyDescent="0.25">
      <c r="A3417" t="s">
        <v>1730</v>
      </c>
      <c r="B3417" t="s">
        <v>1731</v>
      </c>
      <c r="C3417" t="s">
        <v>1740</v>
      </c>
      <c r="D3417" t="s">
        <v>1741</v>
      </c>
      <c r="E3417" s="9">
        <v>45323</v>
      </c>
      <c r="F3417" s="9">
        <v>45351</v>
      </c>
      <c r="G3417">
        <v>388986</v>
      </c>
      <c r="H3417">
        <v>0</v>
      </c>
      <c r="I3417">
        <v>0</v>
      </c>
      <c r="J3417">
        <v>0</v>
      </c>
      <c r="K3417">
        <v>0</v>
      </c>
      <c r="L3417">
        <v>0</v>
      </c>
      <c r="M3417">
        <v>0</v>
      </c>
      <c r="T3417" s="9">
        <v>45108</v>
      </c>
      <c r="U3417" s="9">
        <v>45473</v>
      </c>
      <c r="V3417">
        <f>SUM(POTABLE_NONPOTABLE_API[[#This Row],[RESIDENTIAL_SINGLEFAMILY_GAL]:[OTHER_GAL]])</f>
        <v>388986</v>
      </c>
      <c r="W3417">
        <f>SUM(POTABLE_NONPOTABLE_API[[#This Row],[NONPOTABLE_DEMAND_RESIDENTIAL_RECYCLED_WATER_GAL]:[NONPOTABLE_DEMAND_NONRESIDENTIAL_METERED_IRRIGATION_GAL]])</f>
        <v>0</v>
      </c>
      <c r="X3417" t="str">
        <f>IFERROR(INDEX(Crosswalk_API!$H$2:$H$527, MATCH(POTABLE_NONPOTABLE_API[[#This Row],[PWSID]], CW_PWSID_LIST, 0)), "")</f>
        <v>No</v>
      </c>
    </row>
    <row r="3418" spans="1:24" x14ac:dyDescent="0.25">
      <c r="A3418" t="s">
        <v>1730</v>
      </c>
      <c r="B3418" t="s">
        <v>1731</v>
      </c>
      <c r="C3418" t="s">
        <v>1740</v>
      </c>
      <c r="D3418" t="s">
        <v>1741</v>
      </c>
      <c r="E3418" s="9">
        <v>45352</v>
      </c>
      <c r="F3418" s="9">
        <v>45382</v>
      </c>
      <c r="G3418">
        <v>374025</v>
      </c>
      <c r="H3418">
        <v>0</v>
      </c>
      <c r="I3418">
        <v>0</v>
      </c>
      <c r="J3418">
        <v>0</v>
      </c>
      <c r="K3418">
        <v>0</v>
      </c>
      <c r="L3418">
        <v>0</v>
      </c>
      <c r="M3418">
        <v>0</v>
      </c>
      <c r="T3418" s="9">
        <v>45108</v>
      </c>
      <c r="U3418" s="9">
        <v>45473</v>
      </c>
      <c r="V3418">
        <f>SUM(POTABLE_NONPOTABLE_API[[#This Row],[RESIDENTIAL_SINGLEFAMILY_GAL]:[OTHER_GAL]])</f>
        <v>374025</v>
      </c>
      <c r="W3418">
        <f>SUM(POTABLE_NONPOTABLE_API[[#This Row],[NONPOTABLE_DEMAND_RESIDENTIAL_RECYCLED_WATER_GAL]:[NONPOTABLE_DEMAND_NONRESIDENTIAL_METERED_IRRIGATION_GAL]])</f>
        <v>0</v>
      </c>
      <c r="X3418" t="str">
        <f>IFERROR(INDEX(Crosswalk_API!$H$2:$H$527, MATCH(POTABLE_NONPOTABLE_API[[#This Row],[PWSID]], CW_PWSID_LIST, 0)), "")</f>
        <v>No</v>
      </c>
    </row>
    <row r="3419" spans="1:24" x14ac:dyDescent="0.25">
      <c r="A3419" t="s">
        <v>1730</v>
      </c>
      <c r="B3419" t="s">
        <v>1731</v>
      </c>
      <c r="C3419" t="s">
        <v>1740</v>
      </c>
      <c r="D3419" t="s">
        <v>1741</v>
      </c>
      <c r="E3419" s="9">
        <v>45383</v>
      </c>
      <c r="F3419" s="9">
        <v>45412</v>
      </c>
      <c r="G3419">
        <v>429381</v>
      </c>
      <c r="H3419">
        <v>0</v>
      </c>
      <c r="I3419">
        <v>0</v>
      </c>
      <c r="J3419">
        <v>0</v>
      </c>
      <c r="K3419">
        <v>0</v>
      </c>
      <c r="L3419">
        <v>0</v>
      </c>
      <c r="M3419">
        <v>0</v>
      </c>
      <c r="T3419" s="9">
        <v>45108</v>
      </c>
      <c r="U3419" s="9">
        <v>45473</v>
      </c>
      <c r="V3419">
        <f>SUM(POTABLE_NONPOTABLE_API[[#This Row],[RESIDENTIAL_SINGLEFAMILY_GAL]:[OTHER_GAL]])</f>
        <v>429381</v>
      </c>
      <c r="W3419">
        <f>SUM(POTABLE_NONPOTABLE_API[[#This Row],[NONPOTABLE_DEMAND_RESIDENTIAL_RECYCLED_WATER_GAL]:[NONPOTABLE_DEMAND_NONRESIDENTIAL_METERED_IRRIGATION_GAL]])</f>
        <v>0</v>
      </c>
      <c r="X3419" t="str">
        <f>IFERROR(INDEX(Crosswalk_API!$H$2:$H$527, MATCH(POTABLE_NONPOTABLE_API[[#This Row],[PWSID]], CW_PWSID_LIST, 0)), "")</f>
        <v>No</v>
      </c>
    </row>
    <row r="3420" spans="1:24" x14ac:dyDescent="0.25">
      <c r="A3420" t="s">
        <v>1730</v>
      </c>
      <c r="B3420" t="s">
        <v>1731</v>
      </c>
      <c r="C3420" t="s">
        <v>1740</v>
      </c>
      <c r="D3420" t="s">
        <v>1741</v>
      </c>
      <c r="E3420" s="9">
        <v>45413</v>
      </c>
      <c r="F3420" s="9">
        <v>45443</v>
      </c>
      <c r="G3420">
        <v>1113100</v>
      </c>
      <c r="H3420">
        <v>0</v>
      </c>
      <c r="I3420">
        <v>0</v>
      </c>
      <c r="J3420">
        <v>0</v>
      </c>
      <c r="K3420">
        <v>0</v>
      </c>
      <c r="L3420">
        <v>0</v>
      </c>
      <c r="M3420">
        <v>0</v>
      </c>
      <c r="T3420" s="9">
        <v>45108</v>
      </c>
      <c r="U3420" s="9">
        <v>45473</v>
      </c>
      <c r="V3420">
        <f>SUM(POTABLE_NONPOTABLE_API[[#This Row],[RESIDENTIAL_SINGLEFAMILY_GAL]:[OTHER_GAL]])</f>
        <v>1113100</v>
      </c>
      <c r="W3420">
        <f>SUM(POTABLE_NONPOTABLE_API[[#This Row],[NONPOTABLE_DEMAND_RESIDENTIAL_RECYCLED_WATER_GAL]:[NONPOTABLE_DEMAND_NONRESIDENTIAL_METERED_IRRIGATION_GAL]])</f>
        <v>0</v>
      </c>
      <c r="X3420" t="str">
        <f>IFERROR(INDEX(Crosswalk_API!$H$2:$H$527, MATCH(POTABLE_NONPOTABLE_API[[#This Row],[PWSID]], CW_PWSID_LIST, 0)), "")</f>
        <v>No</v>
      </c>
    </row>
    <row r="3421" spans="1:24" x14ac:dyDescent="0.25">
      <c r="A3421" t="s">
        <v>1730</v>
      </c>
      <c r="B3421" t="s">
        <v>1731</v>
      </c>
      <c r="C3421" t="s">
        <v>1740</v>
      </c>
      <c r="D3421" t="s">
        <v>1741</v>
      </c>
      <c r="E3421" s="9">
        <v>45444</v>
      </c>
      <c r="F3421" s="9">
        <v>45473</v>
      </c>
      <c r="G3421">
        <v>1265703</v>
      </c>
      <c r="H3421">
        <v>0</v>
      </c>
      <c r="I3421">
        <v>0</v>
      </c>
      <c r="J3421">
        <v>0</v>
      </c>
      <c r="K3421">
        <v>0</v>
      </c>
      <c r="L3421">
        <v>0</v>
      </c>
      <c r="M3421">
        <v>0</v>
      </c>
      <c r="T3421" s="9">
        <v>45108</v>
      </c>
      <c r="U3421" s="9">
        <v>45473</v>
      </c>
      <c r="V3421">
        <f>SUM(POTABLE_NONPOTABLE_API[[#This Row],[RESIDENTIAL_SINGLEFAMILY_GAL]:[OTHER_GAL]])</f>
        <v>1265703</v>
      </c>
      <c r="W3421">
        <f>SUM(POTABLE_NONPOTABLE_API[[#This Row],[NONPOTABLE_DEMAND_RESIDENTIAL_RECYCLED_WATER_GAL]:[NONPOTABLE_DEMAND_NONRESIDENTIAL_METERED_IRRIGATION_GAL]])</f>
        <v>0</v>
      </c>
      <c r="X3421" t="str">
        <f>IFERROR(INDEX(Crosswalk_API!$H$2:$H$527, MATCH(POTABLE_NONPOTABLE_API[[#This Row],[PWSID]], CW_PWSID_LIST, 0)), "")</f>
        <v>No</v>
      </c>
    </row>
    <row r="3422" spans="1:24" x14ac:dyDescent="0.25">
      <c r="A3422" t="s">
        <v>1730</v>
      </c>
      <c r="B3422" t="s">
        <v>1731</v>
      </c>
      <c r="C3422" t="s">
        <v>1742</v>
      </c>
      <c r="D3422" t="s">
        <v>1743</v>
      </c>
      <c r="E3422" s="9">
        <v>45108</v>
      </c>
      <c r="F3422" s="9">
        <v>45138</v>
      </c>
      <c r="G3422">
        <v>2924883</v>
      </c>
      <c r="H3422">
        <v>32914</v>
      </c>
      <c r="I3422">
        <v>740571</v>
      </c>
      <c r="J3422">
        <v>0</v>
      </c>
      <c r="K3422">
        <v>0</v>
      </c>
      <c r="L3422">
        <v>20945</v>
      </c>
      <c r="M3422">
        <v>0</v>
      </c>
      <c r="T3422" s="9">
        <v>45108</v>
      </c>
      <c r="U3422" s="9">
        <v>45473</v>
      </c>
      <c r="V3422">
        <f>SUM(POTABLE_NONPOTABLE_API[[#This Row],[RESIDENTIAL_SINGLEFAMILY_GAL]:[OTHER_GAL]])</f>
        <v>3719313</v>
      </c>
      <c r="W3422">
        <f>SUM(POTABLE_NONPOTABLE_API[[#This Row],[NONPOTABLE_DEMAND_RESIDENTIAL_RECYCLED_WATER_GAL]:[NONPOTABLE_DEMAND_NONRESIDENTIAL_METERED_IRRIGATION_GAL]])</f>
        <v>0</v>
      </c>
      <c r="X3422" t="str">
        <f>IFERROR(INDEX(Crosswalk_API!$H$2:$H$527, MATCH(POTABLE_NONPOTABLE_API[[#This Row],[PWSID]], CW_PWSID_LIST, 0)), "")</f>
        <v>No</v>
      </c>
    </row>
    <row r="3423" spans="1:24" x14ac:dyDescent="0.25">
      <c r="A3423" t="s">
        <v>1730</v>
      </c>
      <c r="B3423" t="s">
        <v>1731</v>
      </c>
      <c r="C3423" t="s">
        <v>1742</v>
      </c>
      <c r="D3423" t="s">
        <v>1743</v>
      </c>
      <c r="E3423" s="9">
        <v>45139</v>
      </c>
      <c r="F3423" s="9">
        <v>45169</v>
      </c>
      <c r="G3423">
        <v>3002681</v>
      </c>
      <c r="H3423">
        <v>29174</v>
      </c>
      <c r="I3423">
        <v>857268</v>
      </c>
      <c r="J3423">
        <v>0</v>
      </c>
      <c r="K3423">
        <v>0</v>
      </c>
      <c r="L3423">
        <v>8977</v>
      </c>
      <c r="M3423">
        <v>0</v>
      </c>
      <c r="T3423" s="9">
        <v>45108</v>
      </c>
      <c r="U3423" s="9">
        <v>45473</v>
      </c>
      <c r="V3423">
        <f>SUM(POTABLE_NONPOTABLE_API[[#This Row],[RESIDENTIAL_SINGLEFAMILY_GAL]:[OTHER_GAL]])</f>
        <v>3898100</v>
      </c>
      <c r="W3423">
        <f>SUM(POTABLE_NONPOTABLE_API[[#This Row],[NONPOTABLE_DEMAND_RESIDENTIAL_RECYCLED_WATER_GAL]:[NONPOTABLE_DEMAND_NONRESIDENTIAL_METERED_IRRIGATION_GAL]])</f>
        <v>0</v>
      </c>
      <c r="X3423" t="str">
        <f>IFERROR(INDEX(Crosswalk_API!$H$2:$H$527, MATCH(POTABLE_NONPOTABLE_API[[#This Row],[PWSID]], CW_PWSID_LIST, 0)), "")</f>
        <v>No</v>
      </c>
    </row>
    <row r="3424" spans="1:24" x14ac:dyDescent="0.25">
      <c r="A3424" t="s">
        <v>1730</v>
      </c>
      <c r="B3424" t="s">
        <v>1731</v>
      </c>
      <c r="C3424" t="s">
        <v>1742</v>
      </c>
      <c r="D3424" t="s">
        <v>1743</v>
      </c>
      <c r="E3424" s="9">
        <v>45170</v>
      </c>
      <c r="F3424" s="9">
        <v>45199</v>
      </c>
      <c r="G3424">
        <v>2802976</v>
      </c>
      <c r="H3424">
        <v>27490</v>
      </c>
      <c r="I3424">
        <v>600918</v>
      </c>
      <c r="J3424">
        <v>0</v>
      </c>
      <c r="K3424">
        <v>0</v>
      </c>
      <c r="L3424">
        <v>9719</v>
      </c>
      <c r="M3424">
        <v>0</v>
      </c>
      <c r="T3424" s="9">
        <v>45108</v>
      </c>
      <c r="U3424" s="9">
        <v>45473</v>
      </c>
      <c r="V3424">
        <f>SUM(POTABLE_NONPOTABLE_API[[#This Row],[RESIDENTIAL_SINGLEFAMILY_GAL]:[OTHER_GAL]])</f>
        <v>3441103</v>
      </c>
      <c r="W3424">
        <f>SUM(POTABLE_NONPOTABLE_API[[#This Row],[NONPOTABLE_DEMAND_RESIDENTIAL_RECYCLED_WATER_GAL]:[NONPOTABLE_DEMAND_NONRESIDENTIAL_METERED_IRRIGATION_GAL]])</f>
        <v>0</v>
      </c>
      <c r="X3424" t="str">
        <f>IFERROR(INDEX(Crosswalk_API!$H$2:$H$527, MATCH(POTABLE_NONPOTABLE_API[[#This Row],[PWSID]], CW_PWSID_LIST, 0)), "")</f>
        <v>No</v>
      </c>
    </row>
    <row r="3425" spans="1:24" x14ac:dyDescent="0.25">
      <c r="A3425" t="s">
        <v>1730</v>
      </c>
      <c r="B3425" t="s">
        <v>1731</v>
      </c>
      <c r="C3425" t="s">
        <v>1742</v>
      </c>
      <c r="D3425" t="s">
        <v>1743</v>
      </c>
      <c r="E3425" s="9">
        <v>45200</v>
      </c>
      <c r="F3425" s="9">
        <v>45230</v>
      </c>
      <c r="G3425">
        <v>2506260</v>
      </c>
      <c r="H3425">
        <v>28507</v>
      </c>
      <c r="I3425">
        <v>484097</v>
      </c>
      <c r="J3425">
        <v>0</v>
      </c>
      <c r="K3425">
        <v>0</v>
      </c>
      <c r="L3425">
        <v>8789</v>
      </c>
      <c r="M3425">
        <v>0</v>
      </c>
      <c r="T3425" s="9">
        <v>45108</v>
      </c>
      <c r="U3425" s="9">
        <v>45473</v>
      </c>
      <c r="V3425">
        <f>SUM(POTABLE_NONPOTABLE_API[[#This Row],[RESIDENTIAL_SINGLEFAMILY_GAL]:[OTHER_GAL]])</f>
        <v>3027653</v>
      </c>
      <c r="W3425">
        <f>SUM(POTABLE_NONPOTABLE_API[[#This Row],[NONPOTABLE_DEMAND_RESIDENTIAL_RECYCLED_WATER_GAL]:[NONPOTABLE_DEMAND_NONRESIDENTIAL_METERED_IRRIGATION_GAL]])</f>
        <v>0</v>
      </c>
      <c r="X3425" t="str">
        <f>IFERROR(INDEX(Crosswalk_API!$H$2:$H$527, MATCH(POTABLE_NONPOTABLE_API[[#This Row],[PWSID]], CW_PWSID_LIST, 0)), "")</f>
        <v>No</v>
      </c>
    </row>
    <row r="3426" spans="1:24" x14ac:dyDescent="0.25">
      <c r="A3426" t="s">
        <v>1730</v>
      </c>
      <c r="B3426" t="s">
        <v>1731</v>
      </c>
      <c r="C3426" t="s">
        <v>1742</v>
      </c>
      <c r="D3426" t="s">
        <v>1743</v>
      </c>
      <c r="E3426" s="9">
        <v>45231</v>
      </c>
      <c r="F3426" s="9">
        <v>45260</v>
      </c>
      <c r="G3426">
        <v>2055278</v>
      </c>
      <c r="H3426">
        <v>30535</v>
      </c>
      <c r="I3426">
        <v>291335</v>
      </c>
      <c r="J3426">
        <v>0</v>
      </c>
      <c r="K3426">
        <v>0</v>
      </c>
      <c r="L3426">
        <v>8175</v>
      </c>
      <c r="M3426">
        <v>0</v>
      </c>
      <c r="T3426" s="9">
        <v>45108</v>
      </c>
      <c r="U3426" s="9">
        <v>45473</v>
      </c>
      <c r="V3426">
        <f>SUM(POTABLE_NONPOTABLE_API[[#This Row],[RESIDENTIAL_SINGLEFAMILY_GAL]:[OTHER_GAL]])</f>
        <v>2385323</v>
      </c>
      <c r="W3426">
        <f>SUM(POTABLE_NONPOTABLE_API[[#This Row],[NONPOTABLE_DEMAND_RESIDENTIAL_RECYCLED_WATER_GAL]:[NONPOTABLE_DEMAND_NONRESIDENTIAL_METERED_IRRIGATION_GAL]])</f>
        <v>0</v>
      </c>
      <c r="X3426" t="str">
        <f>IFERROR(INDEX(Crosswalk_API!$H$2:$H$527, MATCH(POTABLE_NONPOTABLE_API[[#This Row],[PWSID]], CW_PWSID_LIST, 0)), "")</f>
        <v>No</v>
      </c>
    </row>
    <row r="3427" spans="1:24" x14ac:dyDescent="0.25">
      <c r="A3427" t="s">
        <v>1730</v>
      </c>
      <c r="B3427" t="s">
        <v>1731</v>
      </c>
      <c r="C3427" t="s">
        <v>1742</v>
      </c>
      <c r="D3427" t="s">
        <v>1743</v>
      </c>
      <c r="E3427" s="9">
        <v>45261</v>
      </c>
      <c r="F3427" s="9">
        <v>45291</v>
      </c>
      <c r="G3427">
        <v>1786513</v>
      </c>
      <c r="H3427">
        <v>31551</v>
      </c>
      <c r="I3427">
        <v>120246</v>
      </c>
      <c r="J3427">
        <v>0</v>
      </c>
      <c r="K3427">
        <v>0</v>
      </c>
      <c r="L3427">
        <v>9029</v>
      </c>
      <c r="M3427">
        <v>0</v>
      </c>
      <c r="T3427" s="9">
        <v>45108</v>
      </c>
      <c r="U3427" s="9">
        <v>45473</v>
      </c>
      <c r="V3427">
        <f>SUM(POTABLE_NONPOTABLE_API[[#This Row],[RESIDENTIAL_SINGLEFAMILY_GAL]:[OTHER_GAL]])</f>
        <v>1947339</v>
      </c>
      <c r="W3427">
        <f>SUM(POTABLE_NONPOTABLE_API[[#This Row],[NONPOTABLE_DEMAND_RESIDENTIAL_RECYCLED_WATER_GAL]:[NONPOTABLE_DEMAND_NONRESIDENTIAL_METERED_IRRIGATION_GAL]])</f>
        <v>0</v>
      </c>
      <c r="X3427" t="str">
        <f>IFERROR(INDEX(Crosswalk_API!$H$2:$H$527, MATCH(POTABLE_NONPOTABLE_API[[#This Row],[PWSID]], CW_PWSID_LIST, 0)), "")</f>
        <v>No</v>
      </c>
    </row>
    <row r="3428" spans="1:24" x14ac:dyDescent="0.25">
      <c r="A3428" t="s">
        <v>1730</v>
      </c>
      <c r="B3428" t="s">
        <v>1731</v>
      </c>
      <c r="C3428" t="s">
        <v>1742</v>
      </c>
      <c r="D3428" t="s">
        <v>1743</v>
      </c>
      <c r="E3428" s="9">
        <v>45292</v>
      </c>
      <c r="F3428" s="9">
        <v>45322</v>
      </c>
      <c r="G3428">
        <v>1711250</v>
      </c>
      <c r="H3428">
        <v>33854</v>
      </c>
      <c r="I3428">
        <v>135516</v>
      </c>
      <c r="J3428">
        <v>0</v>
      </c>
      <c r="K3428">
        <v>0</v>
      </c>
      <c r="L3428">
        <v>9255</v>
      </c>
      <c r="M3428">
        <v>0</v>
      </c>
      <c r="T3428" s="9">
        <v>45108</v>
      </c>
      <c r="U3428" s="9">
        <v>45473</v>
      </c>
      <c r="V3428">
        <f>SUM(POTABLE_NONPOTABLE_API[[#This Row],[RESIDENTIAL_SINGLEFAMILY_GAL]:[OTHER_GAL]])</f>
        <v>1889875</v>
      </c>
      <c r="W3428">
        <f>SUM(POTABLE_NONPOTABLE_API[[#This Row],[NONPOTABLE_DEMAND_RESIDENTIAL_RECYCLED_WATER_GAL]:[NONPOTABLE_DEMAND_NONRESIDENTIAL_METERED_IRRIGATION_GAL]])</f>
        <v>0</v>
      </c>
      <c r="X3428" t="str">
        <f>IFERROR(INDEX(Crosswalk_API!$H$2:$H$527, MATCH(POTABLE_NONPOTABLE_API[[#This Row],[PWSID]], CW_PWSID_LIST, 0)), "")</f>
        <v>No</v>
      </c>
    </row>
    <row r="3429" spans="1:24" x14ac:dyDescent="0.25">
      <c r="A3429" t="s">
        <v>1730</v>
      </c>
      <c r="B3429" t="s">
        <v>1731</v>
      </c>
      <c r="C3429" t="s">
        <v>1742</v>
      </c>
      <c r="D3429" t="s">
        <v>1743</v>
      </c>
      <c r="E3429" s="9">
        <v>45323</v>
      </c>
      <c r="F3429" s="9">
        <v>45351</v>
      </c>
      <c r="G3429">
        <v>1918005</v>
      </c>
      <c r="H3429">
        <v>40394</v>
      </c>
      <c r="I3429">
        <v>163073</v>
      </c>
      <c r="J3429">
        <v>0</v>
      </c>
      <c r="K3429">
        <v>0</v>
      </c>
      <c r="L3429">
        <v>9724</v>
      </c>
      <c r="M3429">
        <v>0</v>
      </c>
      <c r="T3429" s="9">
        <v>45108</v>
      </c>
      <c r="U3429" s="9">
        <v>45473</v>
      </c>
      <c r="V3429">
        <f>SUM(POTABLE_NONPOTABLE_API[[#This Row],[RESIDENTIAL_SINGLEFAMILY_GAL]:[OTHER_GAL]])</f>
        <v>2131196</v>
      </c>
      <c r="W3429">
        <f>SUM(POTABLE_NONPOTABLE_API[[#This Row],[NONPOTABLE_DEMAND_RESIDENTIAL_RECYCLED_WATER_GAL]:[NONPOTABLE_DEMAND_NONRESIDENTIAL_METERED_IRRIGATION_GAL]])</f>
        <v>0</v>
      </c>
      <c r="X3429" t="str">
        <f>IFERROR(INDEX(Crosswalk_API!$H$2:$H$527, MATCH(POTABLE_NONPOTABLE_API[[#This Row],[PWSID]], CW_PWSID_LIST, 0)), "")</f>
        <v>No</v>
      </c>
    </row>
    <row r="3430" spans="1:24" x14ac:dyDescent="0.25">
      <c r="A3430" t="s">
        <v>1730</v>
      </c>
      <c r="B3430" t="s">
        <v>1731</v>
      </c>
      <c r="C3430" t="s">
        <v>1742</v>
      </c>
      <c r="D3430" t="s">
        <v>1743</v>
      </c>
      <c r="E3430" s="9">
        <v>45352</v>
      </c>
      <c r="F3430" s="9">
        <v>45382</v>
      </c>
      <c r="G3430">
        <v>1524529</v>
      </c>
      <c r="H3430">
        <v>50119</v>
      </c>
      <c r="I3430">
        <v>112206</v>
      </c>
      <c r="J3430">
        <v>0</v>
      </c>
      <c r="K3430">
        <v>0</v>
      </c>
      <c r="L3430">
        <v>8228</v>
      </c>
      <c r="M3430">
        <v>0</v>
      </c>
      <c r="T3430" s="9">
        <v>45108</v>
      </c>
      <c r="U3430" s="9">
        <v>45473</v>
      </c>
      <c r="V3430">
        <f>SUM(POTABLE_NONPOTABLE_API[[#This Row],[RESIDENTIAL_SINGLEFAMILY_GAL]:[OTHER_GAL]])</f>
        <v>1695082</v>
      </c>
      <c r="W3430">
        <f>SUM(POTABLE_NONPOTABLE_API[[#This Row],[NONPOTABLE_DEMAND_RESIDENTIAL_RECYCLED_WATER_GAL]:[NONPOTABLE_DEMAND_NONRESIDENTIAL_METERED_IRRIGATION_GAL]])</f>
        <v>0</v>
      </c>
      <c r="X3430" t="str">
        <f>IFERROR(INDEX(Crosswalk_API!$H$2:$H$527, MATCH(POTABLE_NONPOTABLE_API[[#This Row],[PWSID]], CW_PWSID_LIST, 0)), "")</f>
        <v>No</v>
      </c>
    </row>
    <row r="3431" spans="1:24" x14ac:dyDescent="0.25">
      <c r="A3431" t="s">
        <v>1730</v>
      </c>
      <c r="B3431" t="s">
        <v>1731</v>
      </c>
      <c r="C3431" t="s">
        <v>1742</v>
      </c>
      <c r="D3431" t="s">
        <v>1743</v>
      </c>
      <c r="E3431" s="9">
        <v>45383</v>
      </c>
      <c r="F3431" s="9">
        <v>45412</v>
      </c>
      <c r="G3431">
        <v>1731740</v>
      </c>
      <c r="H3431">
        <v>36654</v>
      </c>
      <c r="I3431">
        <v>284258</v>
      </c>
      <c r="J3431">
        <v>0</v>
      </c>
      <c r="K3431">
        <v>0</v>
      </c>
      <c r="L3431">
        <v>8228</v>
      </c>
      <c r="M3431">
        <v>0</v>
      </c>
      <c r="T3431" s="9">
        <v>45108</v>
      </c>
      <c r="U3431" s="9">
        <v>45473</v>
      </c>
      <c r="V3431">
        <f>SUM(POTABLE_NONPOTABLE_API[[#This Row],[RESIDENTIAL_SINGLEFAMILY_GAL]:[OTHER_GAL]])</f>
        <v>2060880</v>
      </c>
      <c r="W3431">
        <f>SUM(POTABLE_NONPOTABLE_API[[#This Row],[NONPOTABLE_DEMAND_RESIDENTIAL_RECYCLED_WATER_GAL]:[NONPOTABLE_DEMAND_NONRESIDENTIAL_METERED_IRRIGATION_GAL]])</f>
        <v>0</v>
      </c>
      <c r="X3431" t="str">
        <f>IFERROR(INDEX(Crosswalk_API!$H$2:$H$527, MATCH(POTABLE_NONPOTABLE_API[[#This Row],[PWSID]], CW_PWSID_LIST, 0)), "")</f>
        <v>No</v>
      </c>
    </row>
    <row r="3432" spans="1:24" x14ac:dyDescent="0.25">
      <c r="A3432" t="s">
        <v>1730</v>
      </c>
      <c r="B3432" t="s">
        <v>1731</v>
      </c>
      <c r="C3432" t="s">
        <v>1742</v>
      </c>
      <c r="D3432" t="s">
        <v>1743</v>
      </c>
      <c r="E3432" s="9">
        <v>45413</v>
      </c>
      <c r="F3432" s="9">
        <v>45443</v>
      </c>
      <c r="G3432">
        <v>2580779</v>
      </c>
      <c r="H3432">
        <v>35906</v>
      </c>
      <c r="I3432">
        <v>529618</v>
      </c>
      <c r="J3432">
        <v>0</v>
      </c>
      <c r="K3432">
        <v>0</v>
      </c>
      <c r="L3432">
        <v>11968</v>
      </c>
      <c r="M3432">
        <v>0</v>
      </c>
      <c r="T3432" s="9">
        <v>45108</v>
      </c>
      <c r="U3432" s="9">
        <v>45473</v>
      </c>
      <c r="V3432">
        <f>SUM(POTABLE_NONPOTABLE_API[[#This Row],[RESIDENTIAL_SINGLEFAMILY_GAL]:[OTHER_GAL]])</f>
        <v>3158271</v>
      </c>
      <c r="W3432">
        <f>SUM(POTABLE_NONPOTABLE_API[[#This Row],[NONPOTABLE_DEMAND_RESIDENTIAL_RECYCLED_WATER_GAL]:[NONPOTABLE_DEMAND_NONRESIDENTIAL_METERED_IRRIGATION_GAL]])</f>
        <v>0</v>
      </c>
      <c r="X3432" t="str">
        <f>IFERROR(INDEX(Crosswalk_API!$H$2:$H$527, MATCH(POTABLE_NONPOTABLE_API[[#This Row],[PWSID]], CW_PWSID_LIST, 0)), "")</f>
        <v>No</v>
      </c>
    </row>
    <row r="3433" spans="1:24" x14ac:dyDescent="0.25">
      <c r="A3433" t="s">
        <v>1730</v>
      </c>
      <c r="B3433" t="s">
        <v>1731</v>
      </c>
      <c r="C3433" t="s">
        <v>1742</v>
      </c>
      <c r="D3433" t="s">
        <v>1743</v>
      </c>
      <c r="E3433" s="9">
        <v>45444</v>
      </c>
      <c r="F3433" s="9">
        <v>45473</v>
      </c>
      <c r="G3433">
        <v>2589755</v>
      </c>
      <c r="H3433">
        <v>40394</v>
      </c>
      <c r="I3433">
        <v>654544</v>
      </c>
      <c r="J3433">
        <v>0</v>
      </c>
      <c r="K3433">
        <v>0</v>
      </c>
      <c r="L3433">
        <v>12716</v>
      </c>
      <c r="M3433">
        <v>0</v>
      </c>
      <c r="T3433" s="9">
        <v>45108</v>
      </c>
      <c r="U3433" s="9">
        <v>45473</v>
      </c>
      <c r="V3433">
        <f>SUM(POTABLE_NONPOTABLE_API[[#This Row],[RESIDENTIAL_SINGLEFAMILY_GAL]:[OTHER_GAL]])</f>
        <v>3297409</v>
      </c>
      <c r="W3433">
        <f>SUM(POTABLE_NONPOTABLE_API[[#This Row],[NONPOTABLE_DEMAND_RESIDENTIAL_RECYCLED_WATER_GAL]:[NONPOTABLE_DEMAND_NONRESIDENTIAL_METERED_IRRIGATION_GAL]])</f>
        <v>0</v>
      </c>
      <c r="X3433" t="str">
        <f>IFERROR(INDEX(Crosswalk_API!$H$2:$H$527, MATCH(POTABLE_NONPOTABLE_API[[#This Row],[PWSID]], CW_PWSID_LIST, 0)), "")</f>
        <v>No</v>
      </c>
    </row>
    <row r="3434" spans="1:24" x14ac:dyDescent="0.25">
      <c r="A3434" t="s">
        <v>1730</v>
      </c>
      <c r="B3434" t="s">
        <v>1731</v>
      </c>
      <c r="C3434" t="s">
        <v>1744</v>
      </c>
      <c r="D3434" t="s">
        <v>1745</v>
      </c>
      <c r="E3434" s="9">
        <v>45108</v>
      </c>
      <c r="F3434" s="9">
        <v>45138</v>
      </c>
      <c r="G3434">
        <v>635844</v>
      </c>
      <c r="H3434">
        <v>0</v>
      </c>
      <c r="I3434">
        <v>73309</v>
      </c>
      <c r="J3434">
        <v>0</v>
      </c>
      <c r="K3434">
        <v>0</v>
      </c>
      <c r="L3434">
        <v>0</v>
      </c>
      <c r="M3434">
        <v>0</v>
      </c>
      <c r="T3434" s="9">
        <v>45108</v>
      </c>
      <c r="U3434" s="9">
        <v>45473</v>
      </c>
      <c r="V3434">
        <f>SUM(POTABLE_NONPOTABLE_API[[#This Row],[RESIDENTIAL_SINGLEFAMILY_GAL]:[OTHER_GAL]])</f>
        <v>709153</v>
      </c>
      <c r="W3434">
        <f>SUM(POTABLE_NONPOTABLE_API[[#This Row],[NONPOTABLE_DEMAND_RESIDENTIAL_RECYCLED_WATER_GAL]:[NONPOTABLE_DEMAND_NONRESIDENTIAL_METERED_IRRIGATION_GAL]])</f>
        <v>0</v>
      </c>
      <c r="X3434" t="str">
        <f>IFERROR(INDEX(Crosswalk_API!$H$2:$H$527, MATCH(POTABLE_NONPOTABLE_API[[#This Row],[PWSID]], CW_PWSID_LIST, 0)), "")</f>
        <v>No</v>
      </c>
    </row>
    <row r="3435" spans="1:24" x14ac:dyDescent="0.25">
      <c r="A3435" t="s">
        <v>1730</v>
      </c>
      <c r="B3435" t="s">
        <v>1731</v>
      </c>
      <c r="C3435" t="s">
        <v>1744</v>
      </c>
      <c r="D3435" t="s">
        <v>1745</v>
      </c>
      <c r="E3435" s="9">
        <v>45139</v>
      </c>
      <c r="F3435" s="9">
        <v>45169</v>
      </c>
      <c r="G3435">
        <v>696436</v>
      </c>
      <c r="H3435">
        <v>0</v>
      </c>
      <c r="I3435">
        <v>71813</v>
      </c>
      <c r="J3435">
        <v>0</v>
      </c>
      <c r="K3435">
        <v>0</v>
      </c>
      <c r="L3435">
        <v>0</v>
      </c>
      <c r="M3435">
        <v>0</v>
      </c>
      <c r="T3435" s="9">
        <v>45108</v>
      </c>
      <c r="U3435" s="9">
        <v>45473</v>
      </c>
      <c r="V3435">
        <f>SUM(POTABLE_NONPOTABLE_API[[#This Row],[RESIDENTIAL_SINGLEFAMILY_GAL]:[OTHER_GAL]])</f>
        <v>768249</v>
      </c>
      <c r="W3435">
        <f>SUM(POTABLE_NONPOTABLE_API[[#This Row],[NONPOTABLE_DEMAND_RESIDENTIAL_RECYCLED_WATER_GAL]:[NONPOTABLE_DEMAND_NONRESIDENTIAL_METERED_IRRIGATION_GAL]])</f>
        <v>0</v>
      </c>
      <c r="X3435" t="str">
        <f>IFERROR(INDEX(Crosswalk_API!$H$2:$H$527, MATCH(POTABLE_NONPOTABLE_API[[#This Row],[PWSID]], CW_PWSID_LIST, 0)), "")</f>
        <v>No</v>
      </c>
    </row>
    <row r="3436" spans="1:24" x14ac:dyDescent="0.25">
      <c r="A3436" t="s">
        <v>1730</v>
      </c>
      <c r="B3436" t="s">
        <v>1731</v>
      </c>
      <c r="C3436" t="s">
        <v>1744</v>
      </c>
      <c r="D3436" t="s">
        <v>1745</v>
      </c>
      <c r="E3436" s="9">
        <v>45170</v>
      </c>
      <c r="F3436" s="9">
        <v>45199</v>
      </c>
      <c r="G3436">
        <v>557990</v>
      </c>
      <c r="H3436">
        <v>0</v>
      </c>
      <c r="I3436">
        <v>72677</v>
      </c>
      <c r="J3436">
        <v>0</v>
      </c>
      <c r="K3436">
        <v>0</v>
      </c>
      <c r="L3436">
        <v>0</v>
      </c>
      <c r="M3436">
        <v>0</v>
      </c>
      <c r="T3436" s="9">
        <v>45108</v>
      </c>
      <c r="U3436" s="9">
        <v>45473</v>
      </c>
      <c r="V3436">
        <f>SUM(POTABLE_NONPOTABLE_API[[#This Row],[RESIDENTIAL_SINGLEFAMILY_GAL]:[OTHER_GAL]])</f>
        <v>630667</v>
      </c>
      <c r="W3436">
        <f>SUM(POTABLE_NONPOTABLE_API[[#This Row],[NONPOTABLE_DEMAND_RESIDENTIAL_RECYCLED_WATER_GAL]:[NONPOTABLE_DEMAND_NONRESIDENTIAL_METERED_IRRIGATION_GAL]])</f>
        <v>0</v>
      </c>
      <c r="X3436" t="str">
        <f>IFERROR(INDEX(Crosswalk_API!$H$2:$H$527, MATCH(POTABLE_NONPOTABLE_API[[#This Row],[PWSID]], CW_PWSID_LIST, 0)), "")</f>
        <v>No</v>
      </c>
    </row>
    <row r="3437" spans="1:24" x14ac:dyDescent="0.25">
      <c r="A3437" t="s">
        <v>1730</v>
      </c>
      <c r="B3437" t="s">
        <v>1731</v>
      </c>
      <c r="C3437" t="s">
        <v>1744</v>
      </c>
      <c r="D3437" t="s">
        <v>1745</v>
      </c>
      <c r="E3437" s="9">
        <v>45200</v>
      </c>
      <c r="F3437" s="9">
        <v>45230</v>
      </c>
      <c r="G3437">
        <v>487768</v>
      </c>
      <c r="H3437">
        <v>0</v>
      </c>
      <c r="I3437">
        <v>68446</v>
      </c>
      <c r="J3437">
        <v>0</v>
      </c>
      <c r="K3437">
        <v>0</v>
      </c>
      <c r="L3437">
        <v>0</v>
      </c>
      <c r="M3437">
        <v>0</v>
      </c>
      <c r="T3437" s="9">
        <v>45108</v>
      </c>
      <c r="U3437" s="9">
        <v>45473</v>
      </c>
      <c r="V3437">
        <f>SUM(POTABLE_NONPOTABLE_API[[#This Row],[RESIDENTIAL_SINGLEFAMILY_GAL]:[OTHER_GAL]])</f>
        <v>556214</v>
      </c>
      <c r="W3437">
        <f>SUM(POTABLE_NONPOTABLE_API[[#This Row],[NONPOTABLE_DEMAND_RESIDENTIAL_RECYCLED_WATER_GAL]:[NONPOTABLE_DEMAND_NONRESIDENTIAL_METERED_IRRIGATION_GAL]])</f>
        <v>0</v>
      </c>
      <c r="X3437" t="str">
        <f>IFERROR(INDEX(Crosswalk_API!$H$2:$H$527, MATCH(POTABLE_NONPOTABLE_API[[#This Row],[PWSID]], CW_PWSID_LIST, 0)), "")</f>
        <v>No</v>
      </c>
    </row>
    <row r="3438" spans="1:24" x14ac:dyDescent="0.25">
      <c r="A3438" t="s">
        <v>1730</v>
      </c>
      <c r="B3438" t="s">
        <v>1731</v>
      </c>
      <c r="C3438" t="s">
        <v>1744</v>
      </c>
      <c r="D3438" t="s">
        <v>1745</v>
      </c>
      <c r="E3438" s="9">
        <v>45231</v>
      </c>
      <c r="F3438" s="9">
        <v>45260</v>
      </c>
      <c r="G3438">
        <v>401828</v>
      </c>
      <c r="H3438">
        <v>0</v>
      </c>
      <c r="I3438">
        <v>64438</v>
      </c>
      <c r="J3438">
        <v>0</v>
      </c>
      <c r="K3438">
        <v>0</v>
      </c>
      <c r="L3438">
        <v>0</v>
      </c>
      <c r="M3438">
        <v>0</v>
      </c>
      <c r="T3438" s="9">
        <v>45108</v>
      </c>
      <c r="U3438" s="9">
        <v>45473</v>
      </c>
      <c r="V3438">
        <f>SUM(POTABLE_NONPOTABLE_API[[#This Row],[RESIDENTIAL_SINGLEFAMILY_GAL]:[OTHER_GAL]])</f>
        <v>466266</v>
      </c>
      <c r="W3438">
        <f>SUM(POTABLE_NONPOTABLE_API[[#This Row],[NONPOTABLE_DEMAND_RESIDENTIAL_RECYCLED_WATER_GAL]:[NONPOTABLE_DEMAND_NONRESIDENTIAL_METERED_IRRIGATION_GAL]])</f>
        <v>0</v>
      </c>
      <c r="X3438" t="str">
        <f>IFERROR(INDEX(Crosswalk_API!$H$2:$H$527, MATCH(POTABLE_NONPOTABLE_API[[#This Row],[PWSID]], CW_PWSID_LIST, 0)), "")</f>
        <v>No</v>
      </c>
    </row>
    <row r="3439" spans="1:24" x14ac:dyDescent="0.25">
      <c r="A3439" t="s">
        <v>1730</v>
      </c>
      <c r="B3439" t="s">
        <v>1731</v>
      </c>
      <c r="C3439" t="s">
        <v>1744</v>
      </c>
      <c r="D3439" t="s">
        <v>1745</v>
      </c>
      <c r="E3439" s="9">
        <v>45261</v>
      </c>
      <c r="F3439" s="9">
        <v>45291</v>
      </c>
      <c r="G3439">
        <v>323848</v>
      </c>
      <c r="H3439">
        <v>0</v>
      </c>
      <c r="I3439">
        <v>64330</v>
      </c>
      <c r="J3439">
        <v>0</v>
      </c>
      <c r="K3439">
        <v>0</v>
      </c>
      <c r="L3439">
        <v>0</v>
      </c>
      <c r="M3439">
        <v>0</v>
      </c>
      <c r="T3439" s="9">
        <v>45108</v>
      </c>
      <c r="U3439" s="9">
        <v>45473</v>
      </c>
      <c r="V3439">
        <f>SUM(POTABLE_NONPOTABLE_API[[#This Row],[RESIDENTIAL_SINGLEFAMILY_GAL]:[OTHER_GAL]])</f>
        <v>388178</v>
      </c>
      <c r="W3439">
        <f>SUM(POTABLE_NONPOTABLE_API[[#This Row],[NONPOTABLE_DEMAND_RESIDENTIAL_RECYCLED_WATER_GAL]:[NONPOTABLE_DEMAND_NONRESIDENTIAL_METERED_IRRIGATION_GAL]])</f>
        <v>0</v>
      </c>
      <c r="X3439" t="str">
        <f>IFERROR(INDEX(Crosswalk_API!$H$2:$H$527, MATCH(POTABLE_NONPOTABLE_API[[#This Row],[PWSID]], CW_PWSID_LIST, 0)), "")</f>
        <v>No</v>
      </c>
    </row>
    <row r="3440" spans="1:24" x14ac:dyDescent="0.25">
      <c r="A3440" t="s">
        <v>1730</v>
      </c>
      <c r="B3440" t="s">
        <v>1731</v>
      </c>
      <c r="C3440" t="s">
        <v>1744</v>
      </c>
      <c r="D3440" t="s">
        <v>1745</v>
      </c>
      <c r="E3440" s="9">
        <v>45292</v>
      </c>
      <c r="F3440" s="9">
        <v>45322</v>
      </c>
      <c r="G3440">
        <v>303539</v>
      </c>
      <c r="H3440">
        <v>0</v>
      </c>
      <c r="I3440">
        <v>55763</v>
      </c>
      <c r="J3440">
        <v>0</v>
      </c>
      <c r="K3440">
        <v>0</v>
      </c>
      <c r="L3440">
        <v>0</v>
      </c>
      <c r="M3440">
        <v>0</v>
      </c>
      <c r="T3440" s="9">
        <v>45108</v>
      </c>
      <c r="U3440" s="9">
        <v>45473</v>
      </c>
      <c r="V3440">
        <f>SUM(POTABLE_NONPOTABLE_API[[#This Row],[RESIDENTIAL_SINGLEFAMILY_GAL]:[OTHER_GAL]])</f>
        <v>359302</v>
      </c>
      <c r="W3440">
        <f>SUM(POTABLE_NONPOTABLE_API[[#This Row],[NONPOTABLE_DEMAND_RESIDENTIAL_RECYCLED_WATER_GAL]:[NONPOTABLE_DEMAND_NONRESIDENTIAL_METERED_IRRIGATION_GAL]])</f>
        <v>0</v>
      </c>
      <c r="X3440" t="str">
        <f>IFERROR(INDEX(Crosswalk_API!$H$2:$H$527, MATCH(POTABLE_NONPOTABLE_API[[#This Row],[PWSID]], CW_PWSID_LIST, 0)), "")</f>
        <v>No</v>
      </c>
    </row>
    <row r="3441" spans="1:24" x14ac:dyDescent="0.25">
      <c r="A3441" t="s">
        <v>1730</v>
      </c>
      <c r="B3441" t="s">
        <v>1731</v>
      </c>
      <c r="C3441" t="s">
        <v>1744</v>
      </c>
      <c r="D3441" t="s">
        <v>1745</v>
      </c>
      <c r="E3441" s="9">
        <v>45323</v>
      </c>
      <c r="F3441" s="9">
        <v>45351</v>
      </c>
      <c r="G3441">
        <v>345599</v>
      </c>
      <c r="H3441">
        <v>0</v>
      </c>
      <c r="I3441">
        <v>59096</v>
      </c>
      <c r="J3441">
        <v>0</v>
      </c>
      <c r="K3441">
        <v>0</v>
      </c>
      <c r="L3441">
        <v>0</v>
      </c>
      <c r="M3441">
        <v>0</v>
      </c>
      <c r="T3441" s="9">
        <v>45108</v>
      </c>
      <c r="U3441" s="9">
        <v>45473</v>
      </c>
      <c r="V3441">
        <f>SUM(POTABLE_NONPOTABLE_API[[#This Row],[RESIDENTIAL_SINGLEFAMILY_GAL]:[OTHER_GAL]])</f>
        <v>404695</v>
      </c>
      <c r="W3441">
        <f>SUM(POTABLE_NONPOTABLE_API[[#This Row],[NONPOTABLE_DEMAND_RESIDENTIAL_RECYCLED_WATER_GAL]:[NONPOTABLE_DEMAND_NONRESIDENTIAL_METERED_IRRIGATION_GAL]])</f>
        <v>0</v>
      </c>
      <c r="X3441" t="str">
        <f>IFERROR(INDEX(Crosswalk_API!$H$2:$H$527, MATCH(POTABLE_NONPOTABLE_API[[#This Row],[PWSID]], CW_PWSID_LIST, 0)), "")</f>
        <v>No</v>
      </c>
    </row>
    <row r="3442" spans="1:24" x14ac:dyDescent="0.25">
      <c r="A3442" t="s">
        <v>1730</v>
      </c>
      <c r="B3442" t="s">
        <v>1731</v>
      </c>
      <c r="C3442" t="s">
        <v>1744</v>
      </c>
      <c r="D3442" t="s">
        <v>1745</v>
      </c>
      <c r="E3442" s="9">
        <v>45352</v>
      </c>
      <c r="F3442" s="9">
        <v>45382</v>
      </c>
      <c r="G3442">
        <v>235635</v>
      </c>
      <c r="H3442">
        <v>0</v>
      </c>
      <c r="I3442">
        <v>35158</v>
      </c>
      <c r="J3442">
        <v>0</v>
      </c>
      <c r="K3442">
        <v>0</v>
      </c>
      <c r="L3442">
        <v>0</v>
      </c>
      <c r="M3442">
        <v>0</v>
      </c>
      <c r="T3442" s="9">
        <v>45108</v>
      </c>
      <c r="U3442" s="9">
        <v>45473</v>
      </c>
      <c r="V3442">
        <f>SUM(POTABLE_NONPOTABLE_API[[#This Row],[RESIDENTIAL_SINGLEFAMILY_GAL]:[OTHER_GAL]])</f>
        <v>270793</v>
      </c>
      <c r="W3442">
        <f>SUM(POTABLE_NONPOTABLE_API[[#This Row],[NONPOTABLE_DEMAND_RESIDENTIAL_RECYCLED_WATER_GAL]:[NONPOTABLE_DEMAND_NONRESIDENTIAL_METERED_IRRIGATION_GAL]])</f>
        <v>0</v>
      </c>
      <c r="X3442" t="str">
        <f>IFERROR(INDEX(Crosswalk_API!$H$2:$H$527, MATCH(POTABLE_NONPOTABLE_API[[#This Row],[PWSID]], CW_PWSID_LIST, 0)), "")</f>
        <v>No</v>
      </c>
    </row>
    <row r="3443" spans="1:24" x14ac:dyDescent="0.25">
      <c r="A3443" t="s">
        <v>1730</v>
      </c>
      <c r="B3443" t="s">
        <v>1731</v>
      </c>
      <c r="C3443" t="s">
        <v>1744</v>
      </c>
      <c r="D3443" t="s">
        <v>1745</v>
      </c>
      <c r="E3443" s="9">
        <v>45383</v>
      </c>
      <c r="F3443" s="9">
        <v>45412</v>
      </c>
      <c r="G3443">
        <v>279770</v>
      </c>
      <c r="H3443">
        <v>0</v>
      </c>
      <c r="I3443">
        <v>42638</v>
      </c>
      <c r="J3443">
        <v>0</v>
      </c>
      <c r="K3443">
        <v>0</v>
      </c>
      <c r="L3443">
        <v>0</v>
      </c>
      <c r="M3443">
        <v>0</v>
      </c>
      <c r="T3443" s="9">
        <v>45108</v>
      </c>
      <c r="U3443" s="9">
        <v>45473</v>
      </c>
      <c r="V3443">
        <f>SUM(POTABLE_NONPOTABLE_API[[#This Row],[RESIDENTIAL_SINGLEFAMILY_GAL]:[OTHER_GAL]])</f>
        <v>322408</v>
      </c>
      <c r="W3443">
        <f>SUM(POTABLE_NONPOTABLE_API[[#This Row],[NONPOTABLE_DEMAND_RESIDENTIAL_RECYCLED_WATER_GAL]:[NONPOTABLE_DEMAND_NONRESIDENTIAL_METERED_IRRIGATION_GAL]])</f>
        <v>0</v>
      </c>
      <c r="X3443" t="str">
        <f>IFERROR(INDEX(Crosswalk_API!$H$2:$H$527, MATCH(POTABLE_NONPOTABLE_API[[#This Row],[PWSID]], CW_PWSID_LIST, 0)), "")</f>
        <v>No</v>
      </c>
    </row>
    <row r="3444" spans="1:24" x14ac:dyDescent="0.25">
      <c r="A3444" t="s">
        <v>1730</v>
      </c>
      <c r="B3444" t="s">
        <v>1731</v>
      </c>
      <c r="C3444" t="s">
        <v>1744</v>
      </c>
      <c r="D3444" t="s">
        <v>1745</v>
      </c>
      <c r="E3444" s="9">
        <v>45413</v>
      </c>
      <c r="F3444" s="9">
        <v>45443</v>
      </c>
      <c r="G3444">
        <v>468280</v>
      </c>
      <c r="H3444">
        <v>0</v>
      </c>
      <c r="I3444">
        <v>102483</v>
      </c>
      <c r="J3444">
        <v>0</v>
      </c>
      <c r="K3444">
        <v>0</v>
      </c>
      <c r="L3444">
        <v>0</v>
      </c>
      <c r="M3444">
        <v>0</v>
      </c>
      <c r="T3444" s="9">
        <v>45108</v>
      </c>
      <c r="U3444" s="9">
        <v>45473</v>
      </c>
      <c r="V3444">
        <f>SUM(POTABLE_NONPOTABLE_API[[#This Row],[RESIDENTIAL_SINGLEFAMILY_GAL]:[OTHER_GAL]])</f>
        <v>570763</v>
      </c>
      <c r="W3444">
        <f>SUM(POTABLE_NONPOTABLE_API[[#This Row],[NONPOTABLE_DEMAND_RESIDENTIAL_RECYCLED_WATER_GAL]:[NONPOTABLE_DEMAND_NONRESIDENTIAL_METERED_IRRIGATION_GAL]])</f>
        <v>0</v>
      </c>
      <c r="X3444" t="str">
        <f>IFERROR(INDEX(Crosswalk_API!$H$2:$H$527, MATCH(POTABLE_NONPOTABLE_API[[#This Row],[PWSID]], CW_PWSID_LIST, 0)), "")</f>
        <v>No</v>
      </c>
    </row>
    <row r="3445" spans="1:24" x14ac:dyDescent="0.25">
      <c r="A3445" t="s">
        <v>1730</v>
      </c>
      <c r="B3445" t="s">
        <v>1731</v>
      </c>
      <c r="C3445" t="s">
        <v>1744</v>
      </c>
      <c r="D3445" t="s">
        <v>1745</v>
      </c>
      <c r="E3445" s="9">
        <v>45444</v>
      </c>
      <c r="F3445" s="9">
        <v>45473</v>
      </c>
      <c r="G3445">
        <v>552809</v>
      </c>
      <c r="H3445">
        <v>0</v>
      </c>
      <c r="I3445">
        <v>62836</v>
      </c>
      <c r="J3445">
        <v>0</v>
      </c>
      <c r="K3445">
        <v>0</v>
      </c>
      <c r="L3445">
        <v>0</v>
      </c>
      <c r="M3445">
        <v>0</v>
      </c>
      <c r="T3445" s="9">
        <v>45108</v>
      </c>
      <c r="U3445" s="9">
        <v>45473</v>
      </c>
      <c r="V3445">
        <f>SUM(POTABLE_NONPOTABLE_API[[#This Row],[RESIDENTIAL_SINGLEFAMILY_GAL]:[OTHER_GAL]])</f>
        <v>615645</v>
      </c>
      <c r="W3445">
        <f>SUM(POTABLE_NONPOTABLE_API[[#This Row],[NONPOTABLE_DEMAND_RESIDENTIAL_RECYCLED_WATER_GAL]:[NONPOTABLE_DEMAND_NONRESIDENTIAL_METERED_IRRIGATION_GAL]])</f>
        <v>0</v>
      </c>
      <c r="X3445" t="str">
        <f>IFERROR(INDEX(Crosswalk_API!$H$2:$H$527, MATCH(POTABLE_NONPOTABLE_API[[#This Row],[PWSID]], CW_PWSID_LIST, 0)), "")</f>
        <v>No</v>
      </c>
    </row>
    <row r="3446" spans="1:24" x14ac:dyDescent="0.25">
      <c r="A3446" t="s">
        <v>1730</v>
      </c>
      <c r="B3446" t="s">
        <v>1731</v>
      </c>
      <c r="C3446" t="s">
        <v>1746</v>
      </c>
      <c r="D3446" t="s">
        <v>1747</v>
      </c>
      <c r="E3446" s="9">
        <v>45108</v>
      </c>
      <c r="F3446" s="9">
        <v>45138</v>
      </c>
      <c r="G3446">
        <v>503439</v>
      </c>
      <c r="H3446">
        <v>0</v>
      </c>
      <c r="I3446">
        <v>0</v>
      </c>
      <c r="J3446">
        <v>0</v>
      </c>
      <c r="K3446">
        <v>0</v>
      </c>
      <c r="L3446">
        <v>0</v>
      </c>
      <c r="M3446">
        <v>0</v>
      </c>
      <c r="T3446" s="9">
        <v>45108</v>
      </c>
      <c r="U3446" s="9">
        <v>45473</v>
      </c>
      <c r="V3446">
        <f>SUM(POTABLE_NONPOTABLE_API[[#This Row],[RESIDENTIAL_SINGLEFAMILY_GAL]:[OTHER_GAL]])</f>
        <v>503439</v>
      </c>
      <c r="W3446">
        <f>SUM(POTABLE_NONPOTABLE_API[[#This Row],[NONPOTABLE_DEMAND_RESIDENTIAL_RECYCLED_WATER_GAL]:[NONPOTABLE_DEMAND_NONRESIDENTIAL_METERED_IRRIGATION_GAL]])</f>
        <v>0</v>
      </c>
      <c r="X3446" t="str">
        <f>IFERROR(INDEX(Crosswalk_API!$H$2:$H$527, MATCH(POTABLE_NONPOTABLE_API[[#This Row],[PWSID]], CW_PWSID_LIST, 0)), "")</f>
        <v>No</v>
      </c>
    </row>
    <row r="3447" spans="1:24" x14ac:dyDescent="0.25">
      <c r="A3447" t="s">
        <v>1730</v>
      </c>
      <c r="B3447" t="s">
        <v>1731</v>
      </c>
      <c r="C3447" t="s">
        <v>1746</v>
      </c>
      <c r="D3447" t="s">
        <v>1747</v>
      </c>
      <c r="E3447" s="9">
        <v>45139</v>
      </c>
      <c r="F3447" s="9">
        <v>45169</v>
      </c>
      <c r="G3447">
        <v>518400</v>
      </c>
      <c r="H3447">
        <v>11221</v>
      </c>
      <c r="I3447">
        <v>0</v>
      </c>
      <c r="J3447">
        <v>0</v>
      </c>
      <c r="K3447">
        <v>0</v>
      </c>
      <c r="L3447">
        <v>0</v>
      </c>
      <c r="M3447">
        <v>0</v>
      </c>
      <c r="T3447" s="9">
        <v>45108</v>
      </c>
      <c r="U3447" s="9">
        <v>45473</v>
      </c>
      <c r="V3447">
        <f>SUM(POTABLE_NONPOTABLE_API[[#This Row],[RESIDENTIAL_SINGLEFAMILY_GAL]:[OTHER_GAL]])</f>
        <v>529621</v>
      </c>
      <c r="W3447">
        <f>SUM(POTABLE_NONPOTABLE_API[[#This Row],[NONPOTABLE_DEMAND_RESIDENTIAL_RECYCLED_WATER_GAL]:[NONPOTABLE_DEMAND_NONRESIDENTIAL_METERED_IRRIGATION_GAL]])</f>
        <v>0</v>
      </c>
      <c r="X3447" t="str">
        <f>IFERROR(INDEX(Crosswalk_API!$H$2:$H$527, MATCH(POTABLE_NONPOTABLE_API[[#This Row],[PWSID]], CW_PWSID_LIST, 0)), "")</f>
        <v>No</v>
      </c>
    </row>
    <row r="3448" spans="1:24" x14ac:dyDescent="0.25">
      <c r="A3448" t="s">
        <v>1730</v>
      </c>
      <c r="B3448" t="s">
        <v>1731</v>
      </c>
      <c r="C3448" t="s">
        <v>1746</v>
      </c>
      <c r="D3448" t="s">
        <v>1747</v>
      </c>
      <c r="E3448" s="9">
        <v>45170</v>
      </c>
      <c r="F3448" s="9">
        <v>45199</v>
      </c>
      <c r="G3448">
        <v>421237</v>
      </c>
      <c r="H3448">
        <v>10098</v>
      </c>
      <c r="I3448">
        <v>0</v>
      </c>
      <c r="J3448">
        <v>0</v>
      </c>
      <c r="K3448">
        <v>0</v>
      </c>
      <c r="L3448">
        <v>0</v>
      </c>
      <c r="M3448">
        <v>0</v>
      </c>
      <c r="T3448" s="9">
        <v>45108</v>
      </c>
      <c r="U3448" s="9">
        <v>45473</v>
      </c>
      <c r="V3448">
        <f>SUM(POTABLE_NONPOTABLE_API[[#This Row],[RESIDENTIAL_SINGLEFAMILY_GAL]:[OTHER_GAL]])</f>
        <v>431335</v>
      </c>
      <c r="W3448">
        <f>SUM(POTABLE_NONPOTABLE_API[[#This Row],[NONPOTABLE_DEMAND_RESIDENTIAL_RECYCLED_WATER_GAL]:[NONPOTABLE_DEMAND_NONRESIDENTIAL_METERED_IRRIGATION_GAL]])</f>
        <v>0</v>
      </c>
      <c r="X3448" t="str">
        <f>IFERROR(INDEX(Crosswalk_API!$H$2:$H$527, MATCH(POTABLE_NONPOTABLE_API[[#This Row],[PWSID]], CW_PWSID_LIST, 0)), "")</f>
        <v>No</v>
      </c>
    </row>
    <row r="3449" spans="1:24" x14ac:dyDescent="0.25">
      <c r="A3449" t="s">
        <v>1730</v>
      </c>
      <c r="B3449" t="s">
        <v>1731</v>
      </c>
      <c r="C3449" t="s">
        <v>1746</v>
      </c>
      <c r="D3449" t="s">
        <v>1747</v>
      </c>
      <c r="E3449" s="9">
        <v>45200</v>
      </c>
      <c r="F3449" s="9">
        <v>45230</v>
      </c>
      <c r="G3449">
        <v>429425</v>
      </c>
      <c r="H3449">
        <v>7640</v>
      </c>
      <c r="I3449">
        <v>0</v>
      </c>
      <c r="J3449">
        <v>0</v>
      </c>
      <c r="K3449">
        <v>0</v>
      </c>
      <c r="L3449">
        <v>0</v>
      </c>
      <c r="M3449">
        <v>0</v>
      </c>
      <c r="T3449" s="9">
        <v>45108</v>
      </c>
      <c r="U3449" s="9">
        <v>45473</v>
      </c>
      <c r="V3449">
        <f>SUM(POTABLE_NONPOTABLE_API[[#This Row],[RESIDENTIAL_SINGLEFAMILY_GAL]:[OTHER_GAL]])</f>
        <v>437065</v>
      </c>
      <c r="W3449">
        <f>SUM(POTABLE_NONPOTABLE_API[[#This Row],[NONPOTABLE_DEMAND_RESIDENTIAL_RECYCLED_WATER_GAL]:[NONPOTABLE_DEMAND_NONRESIDENTIAL_METERED_IRRIGATION_GAL]])</f>
        <v>0</v>
      </c>
      <c r="X3449" t="str">
        <f>IFERROR(INDEX(Crosswalk_API!$H$2:$H$527, MATCH(POTABLE_NONPOTABLE_API[[#This Row],[PWSID]], CW_PWSID_LIST, 0)), "")</f>
        <v>No</v>
      </c>
    </row>
    <row r="3450" spans="1:24" x14ac:dyDescent="0.25">
      <c r="A3450" t="s">
        <v>1730</v>
      </c>
      <c r="B3450" t="s">
        <v>1731</v>
      </c>
      <c r="C3450" t="s">
        <v>1746</v>
      </c>
      <c r="D3450" t="s">
        <v>1747</v>
      </c>
      <c r="E3450" s="9">
        <v>45231</v>
      </c>
      <c r="F3450" s="9">
        <v>45260</v>
      </c>
      <c r="G3450">
        <v>303375</v>
      </c>
      <c r="H3450">
        <v>6331</v>
      </c>
      <c r="I3450">
        <v>0</v>
      </c>
      <c r="J3450">
        <v>0</v>
      </c>
      <c r="K3450">
        <v>0</v>
      </c>
      <c r="L3450">
        <v>0</v>
      </c>
      <c r="M3450">
        <v>0</v>
      </c>
      <c r="T3450" s="9">
        <v>45108</v>
      </c>
      <c r="U3450" s="9">
        <v>45473</v>
      </c>
      <c r="V3450">
        <f>SUM(POTABLE_NONPOTABLE_API[[#This Row],[RESIDENTIAL_SINGLEFAMILY_GAL]:[OTHER_GAL]])</f>
        <v>309706</v>
      </c>
      <c r="W3450">
        <f>SUM(POTABLE_NONPOTABLE_API[[#This Row],[NONPOTABLE_DEMAND_RESIDENTIAL_RECYCLED_WATER_GAL]:[NONPOTABLE_DEMAND_NONRESIDENTIAL_METERED_IRRIGATION_GAL]])</f>
        <v>0</v>
      </c>
      <c r="X3450" t="str">
        <f>IFERROR(INDEX(Crosswalk_API!$H$2:$H$527, MATCH(POTABLE_NONPOTABLE_API[[#This Row],[PWSID]], CW_PWSID_LIST, 0)), "")</f>
        <v>No</v>
      </c>
    </row>
    <row r="3451" spans="1:24" x14ac:dyDescent="0.25">
      <c r="A3451" t="s">
        <v>1730</v>
      </c>
      <c r="B3451" t="s">
        <v>1731</v>
      </c>
      <c r="C3451" t="s">
        <v>1746</v>
      </c>
      <c r="D3451" t="s">
        <v>1747</v>
      </c>
      <c r="E3451" s="9">
        <v>45261</v>
      </c>
      <c r="F3451" s="9">
        <v>45291</v>
      </c>
      <c r="G3451">
        <v>247897</v>
      </c>
      <c r="H3451">
        <v>5797</v>
      </c>
      <c r="I3451">
        <v>0</v>
      </c>
      <c r="J3451">
        <v>0</v>
      </c>
      <c r="K3451">
        <v>0</v>
      </c>
      <c r="L3451">
        <v>0</v>
      </c>
      <c r="M3451">
        <v>0</v>
      </c>
      <c r="T3451" s="9">
        <v>45108</v>
      </c>
      <c r="U3451" s="9">
        <v>45473</v>
      </c>
      <c r="V3451">
        <f>SUM(POTABLE_NONPOTABLE_API[[#This Row],[RESIDENTIAL_SINGLEFAMILY_GAL]:[OTHER_GAL]])</f>
        <v>253694</v>
      </c>
      <c r="W3451">
        <f>SUM(POTABLE_NONPOTABLE_API[[#This Row],[NONPOTABLE_DEMAND_RESIDENTIAL_RECYCLED_WATER_GAL]:[NONPOTABLE_DEMAND_NONRESIDENTIAL_METERED_IRRIGATION_GAL]])</f>
        <v>0</v>
      </c>
      <c r="X3451" t="str">
        <f>IFERROR(INDEX(Crosswalk_API!$H$2:$H$527, MATCH(POTABLE_NONPOTABLE_API[[#This Row],[PWSID]], CW_PWSID_LIST, 0)), "")</f>
        <v>No</v>
      </c>
    </row>
    <row r="3452" spans="1:24" x14ac:dyDescent="0.25">
      <c r="A3452" t="s">
        <v>1730</v>
      </c>
      <c r="B3452" t="s">
        <v>1731</v>
      </c>
      <c r="C3452" t="s">
        <v>1746</v>
      </c>
      <c r="D3452" t="s">
        <v>1747</v>
      </c>
      <c r="E3452" s="9">
        <v>45292</v>
      </c>
      <c r="F3452" s="9">
        <v>45322</v>
      </c>
      <c r="G3452">
        <v>213827</v>
      </c>
      <c r="H3452">
        <v>5909</v>
      </c>
      <c r="I3452">
        <v>0</v>
      </c>
      <c r="J3452">
        <v>0</v>
      </c>
      <c r="K3452">
        <v>0</v>
      </c>
      <c r="L3452">
        <v>0</v>
      </c>
      <c r="M3452">
        <v>0</v>
      </c>
      <c r="T3452" s="9">
        <v>45108</v>
      </c>
      <c r="U3452" s="9">
        <v>45473</v>
      </c>
      <c r="V3452">
        <f>SUM(POTABLE_NONPOTABLE_API[[#This Row],[RESIDENTIAL_SINGLEFAMILY_GAL]:[OTHER_GAL]])</f>
        <v>219736</v>
      </c>
      <c r="W3452">
        <f>SUM(POTABLE_NONPOTABLE_API[[#This Row],[NONPOTABLE_DEMAND_RESIDENTIAL_RECYCLED_WATER_GAL]:[NONPOTABLE_DEMAND_NONRESIDENTIAL_METERED_IRRIGATION_GAL]])</f>
        <v>0</v>
      </c>
      <c r="X3452" t="str">
        <f>IFERROR(INDEX(Crosswalk_API!$H$2:$H$527, MATCH(POTABLE_NONPOTABLE_API[[#This Row],[PWSID]], CW_PWSID_LIST, 0)), "")</f>
        <v>No</v>
      </c>
    </row>
    <row r="3453" spans="1:24" x14ac:dyDescent="0.25">
      <c r="A3453" t="s">
        <v>1730</v>
      </c>
      <c r="B3453" t="s">
        <v>1731</v>
      </c>
      <c r="C3453" t="s">
        <v>1746</v>
      </c>
      <c r="D3453" t="s">
        <v>1747</v>
      </c>
      <c r="E3453" s="9">
        <v>45323</v>
      </c>
      <c r="F3453" s="9">
        <v>45351</v>
      </c>
      <c r="G3453">
        <v>228902</v>
      </c>
      <c r="H3453">
        <v>6732</v>
      </c>
      <c r="I3453">
        <v>0</v>
      </c>
      <c r="J3453">
        <v>0</v>
      </c>
      <c r="K3453">
        <v>0</v>
      </c>
      <c r="L3453">
        <v>0</v>
      </c>
      <c r="M3453">
        <v>0</v>
      </c>
      <c r="T3453" s="9">
        <v>45108</v>
      </c>
      <c r="U3453" s="9">
        <v>45473</v>
      </c>
      <c r="V3453">
        <f>SUM(POTABLE_NONPOTABLE_API[[#This Row],[RESIDENTIAL_SINGLEFAMILY_GAL]:[OTHER_GAL]])</f>
        <v>235634</v>
      </c>
      <c r="W3453">
        <f>SUM(POTABLE_NONPOTABLE_API[[#This Row],[NONPOTABLE_DEMAND_RESIDENTIAL_RECYCLED_WATER_GAL]:[NONPOTABLE_DEMAND_NONRESIDENTIAL_METERED_IRRIGATION_GAL]])</f>
        <v>0</v>
      </c>
      <c r="X3453" t="str">
        <f>IFERROR(INDEX(Crosswalk_API!$H$2:$H$527, MATCH(POTABLE_NONPOTABLE_API[[#This Row],[PWSID]], CW_PWSID_LIST, 0)), "")</f>
        <v>No</v>
      </c>
    </row>
    <row r="3454" spans="1:24" x14ac:dyDescent="0.25">
      <c r="A3454" t="s">
        <v>1730</v>
      </c>
      <c r="B3454" t="s">
        <v>1731</v>
      </c>
      <c r="C3454" t="s">
        <v>1746</v>
      </c>
      <c r="D3454" t="s">
        <v>1747</v>
      </c>
      <c r="E3454" s="9">
        <v>45352</v>
      </c>
      <c r="F3454" s="9">
        <v>45382</v>
      </c>
      <c r="G3454">
        <v>194492</v>
      </c>
      <c r="H3454">
        <v>5236</v>
      </c>
      <c r="I3454">
        <v>0</v>
      </c>
      <c r="J3454">
        <v>0</v>
      </c>
      <c r="K3454">
        <v>0</v>
      </c>
      <c r="L3454">
        <v>0</v>
      </c>
      <c r="M3454">
        <v>0</v>
      </c>
      <c r="T3454" s="9">
        <v>45108</v>
      </c>
      <c r="U3454" s="9">
        <v>45473</v>
      </c>
      <c r="V3454">
        <f>SUM(POTABLE_NONPOTABLE_API[[#This Row],[RESIDENTIAL_SINGLEFAMILY_GAL]:[OTHER_GAL]])</f>
        <v>199728</v>
      </c>
      <c r="W3454">
        <f>SUM(POTABLE_NONPOTABLE_API[[#This Row],[NONPOTABLE_DEMAND_RESIDENTIAL_RECYCLED_WATER_GAL]:[NONPOTABLE_DEMAND_NONRESIDENTIAL_METERED_IRRIGATION_GAL]])</f>
        <v>0</v>
      </c>
      <c r="X3454" t="str">
        <f>IFERROR(INDEX(Crosswalk_API!$H$2:$H$527, MATCH(POTABLE_NONPOTABLE_API[[#This Row],[PWSID]], CW_PWSID_LIST, 0)), "")</f>
        <v>No</v>
      </c>
    </row>
    <row r="3455" spans="1:24" x14ac:dyDescent="0.25">
      <c r="A3455" t="s">
        <v>1730</v>
      </c>
      <c r="B3455" t="s">
        <v>1731</v>
      </c>
      <c r="C3455" t="s">
        <v>1746</v>
      </c>
      <c r="D3455" t="s">
        <v>1747</v>
      </c>
      <c r="E3455" s="9">
        <v>45383</v>
      </c>
      <c r="F3455" s="9">
        <v>45412</v>
      </c>
      <c r="G3455">
        <v>255833</v>
      </c>
      <c r="H3455">
        <v>5236</v>
      </c>
      <c r="I3455">
        <v>0</v>
      </c>
      <c r="J3455">
        <v>0</v>
      </c>
      <c r="K3455">
        <v>0</v>
      </c>
      <c r="L3455">
        <v>0</v>
      </c>
      <c r="M3455">
        <v>0</v>
      </c>
      <c r="T3455" s="9">
        <v>45108</v>
      </c>
      <c r="U3455" s="9">
        <v>45473</v>
      </c>
      <c r="V3455">
        <f>SUM(POTABLE_NONPOTABLE_API[[#This Row],[RESIDENTIAL_SINGLEFAMILY_GAL]:[OTHER_GAL]])</f>
        <v>261069</v>
      </c>
      <c r="W3455">
        <f>SUM(POTABLE_NONPOTABLE_API[[#This Row],[NONPOTABLE_DEMAND_RESIDENTIAL_RECYCLED_WATER_GAL]:[NONPOTABLE_DEMAND_NONRESIDENTIAL_METERED_IRRIGATION_GAL]])</f>
        <v>0</v>
      </c>
      <c r="X3455" t="str">
        <f>IFERROR(INDEX(Crosswalk_API!$H$2:$H$527, MATCH(POTABLE_NONPOTABLE_API[[#This Row],[PWSID]], CW_PWSID_LIST, 0)), "")</f>
        <v>No</v>
      </c>
    </row>
    <row r="3456" spans="1:24" x14ac:dyDescent="0.25">
      <c r="A3456" t="s">
        <v>1730</v>
      </c>
      <c r="B3456" t="s">
        <v>1731</v>
      </c>
      <c r="C3456" t="s">
        <v>1746</v>
      </c>
      <c r="D3456" t="s">
        <v>1747</v>
      </c>
      <c r="E3456" s="9">
        <v>45413</v>
      </c>
      <c r="F3456" s="9">
        <v>45443</v>
      </c>
      <c r="G3456">
        <v>427137</v>
      </c>
      <c r="H3456">
        <v>6732</v>
      </c>
      <c r="I3456">
        <v>0</v>
      </c>
      <c r="J3456">
        <v>0</v>
      </c>
      <c r="K3456">
        <v>0</v>
      </c>
      <c r="L3456">
        <v>0</v>
      </c>
      <c r="M3456">
        <v>0</v>
      </c>
      <c r="T3456" s="9">
        <v>45108</v>
      </c>
      <c r="U3456" s="9">
        <v>45473</v>
      </c>
      <c r="V3456">
        <f>SUM(POTABLE_NONPOTABLE_API[[#This Row],[RESIDENTIAL_SINGLEFAMILY_GAL]:[OTHER_GAL]])</f>
        <v>433869</v>
      </c>
      <c r="W3456">
        <f>SUM(POTABLE_NONPOTABLE_API[[#This Row],[NONPOTABLE_DEMAND_RESIDENTIAL_RECYCLED_WATER_GAL]:[NONPOTABLE_DEMAND_NONRESIDENTIAL_METERED_IRRIGATION_GAL]])</f>
        <v>0</v>
      </c>
      <c r="X3456" t="str">
        <f>IFERROR(INDEX(Crosswalk_API!$H$2:$H$527, MATCH(POTABLE_NONPOTABLE_API[[#This Row],[PWSID]], CW_PWSID_LIST, 0)), "")</f>
        <v>No</v>
      </c>
    </row>
    <row r="3457" spans="1:24" x14ac:dyDescent="0.25">
      <c r="A3457" t="s">
        <v>1730</v>
      </c>
      <c r="B3457" t="s">
        <v>1731</v>
      </c>
      <c r="C3457" t="s">
        <v>1746</v>
      </c>
      <c r="D3457" t="s">
        <v>1747</v>
      </c>
      <c r="E3457" s="9">
        <v>45444</v>
      </c>
      <c r="F3457" s="9">
        <v>45473</v>
      </c>
      <c r="G3457">
        <v>531116</v>
      </c>
      <c r="H3457">
        <v>11220</v>
      </c>
      <c r="I3457">
        <v>0</v>
      </c>
      <c r="J3457">
        <v>0</v>
      </c>
      <c r="K3457">
        <v>0</v>
      </c>
      <c r="L3457">
        <v>0</v>
      </c>
      <c r="M3457">
        <v>0</v>
      </c>
      <c r="T3457" s="9">
        <v>45108</v>
      </c>
      <c r="U3457" s="9">
        <v>45473</v>
      </c>
      <c r="V3457">
        <f>SUM(POTABLE_NONPOTABLE_API[[#This Row],[RESIDENTIAL_SINGLEFAMILY_GAL]:[OTHER_GAL]])</f>
        <v>542336</v>
      </c>
      <c r="W3457">
        <f>SUM(POTABLE_NONPOTABLE_API[[#This Row],[NONPOTABLE_DEMAND_RESIDENTIAL_RECYCLED_WATER_GAL]:[NONPOTABLE_DEMAND_NONRESIDENTIAL_METERED_IRRIGATION_GAL]])</f>
        <v>0</v>
      </c>
      <c r="X3457" t="str">
        <f>IFERROR(INDEX(Crosswalk_API!$H$2:$H$527, MATCH(POTABLE_NONPOTABLE_API[[#This Row],[PWSID]], CW_PWSID_LIST, 0)), "")</f>
        <v>No</v>
      </c>
    </row>
    <row r="3458" spans="1:24" x14ac:dyDescent="0.25">
      <c r="A3458" t="s">
        <v>1748</v>
      </c>
      <c r="B3458" t="s">
        <v>1749</v>
      </c>
      <c r="C3458" t="s">
        <v>1750</v>
      </c>
      <c r="D3458" t="s">
        <v>1751</v>
      </c>
      <c r="E3458" s="9">
        <v>45108</v>
      </c>
      <c r="F3458" s="9">
        <v>45138</v>
      </c>
      <c r="G3458">
        <v>89881440.008000001</v>
      </c>
      <c r="H3458">
        <v>48766257.932000004</v>
      </c>
      <c r="I3458">
        <v>21262630.048</v>
      </c>
      <c r="J3458">
        <v>13739471.084000001</v>
      </c>
      <c r="K3458">
        <v>248353.264</v>
      </c>
      <c r="L3458">
        <v>7467055.0640000002</v>
      </c>
      <c r="M3458">
        <v>0</v>
      </c>
      <c r="T3458" s="9">
        <v>45108</v>
      </c>
      <c r="U3458" s="9">
        <v>45473</v>
      </c>
      <c r="V3458">
        <f>SUM(POTABLE_NONPOTABLE_API[[#This Row],[RESIDENTIAL_SINGLEFAMILY_GAL]:[OTHER_GAL]])</f>
        <v>181365207.40000001</v>
      </c>
      <c r="W3458">
        <f>SUM(POTABLE_NONPOTABLE_API[[#This Row],[NONPOTABLE_DEMAND_RESIDENTIAL_RECYCLED_WATER_GAL]:[NONPOTABLE_DEMAND_NONRESIDENTIAL_METERED_IRRIGATION_GAL]])</f>
        <v>0</v>
      </c>
      <c r="X3458" t="str">
        <f>IFERROR(INDEX(Crosswalk_API!$H$2:$H$527, MATCH(POTABLE_NONPOTABLE_API[[#This Row],[PWSID]], CW_PWSID_LIST, 0)), "")</f>
        <v>No</v>
      </c>
    </row>
    <row r="3459" spans="1:24" x14ac:dyDescent="0.25">
      <c r="A3459" t="s">
        <v>1748</v>
      </c>
      <c r="B3459" t="s">
        <v>1749</v>
      </c>
      <c r="C3459" t="s">
        <v>1750</v>
      </c>
      <c r="D3459" t="s">
        <v>1751</v>
      </c>
      <c r="E3459" s="9">
        <v>45139</v>
      </c>
      <c r="F3459" s="9">
        <v>45169</v>
      </c>
      <c r="G3459">
        <v>99327092.612000003</v>
      </c>
      <c r="H3459">
        <v>47680834.480000004</v>
      </c>
      <c r="I3459">
        <v>20730017.024</v>
      </c>
      <c r="J3459">
        <v>14058889.288000001</v>
      </c>
      <c r="K3459">
        <v>455563.66800000001</v>
      </c>
      <c r="L3459">
        <v>9430691.5640000012</v>
      </c>
      <c r="M3459">
        <v>0</v>
      </c>
      <c r="T3459" s="9">
        <v>45108</v>
      </c>
      <c r="U3459" s="9">
        <v>45473</v>
      </c>
      <c r="V3459">
        <f>SUM(POTABLE_NONPOTABLE_API[[#This Row],[RESIDENTIAL_SINGLEFAMILY_GAL]:[OTHER_GAL]])</f>
        <v>191683088.63600001</v>
      </c>
      <c r="W3459">
        <f>SUM(POTABLE_NONPOTABLE_API[[#This Row],[NONPOTABLE_DEMAND_RESIDENTIAL_RECYCLED_WATER_GAL]:[NONPOTABLE_DEMAND_NONRESIDENTIAL_METERED_IRRIGATION_GAL]])</f>
        <v>0</v>
      </c>
      <c r="X3459" t="str">
        <f>IFERROR(INDEX(Crosswalk_API!$H$2:$H$527, MATCH(POTABLE_NONPOTABLE_API[[#This Row],[PWSID]], CW_PWSID_LIST, 0)), "")</f>
        <v>No</v>
      </c>
    </row>
    <row r="3460" spans="1:24" x14ac:dyDescent="0.25">
      <c r="A3460" t="s">
        <v>1748</v>
      </c>
      <c r="B3460" t="s">
        <v>1749</v>
      </c>
      <c r="C3460" t="s">
        <v>1750</v>
      </c>
      <c r="D3460" t="s">
        <v>1751</v>
      </c>
      <c r="E3460" s="9">
        <v>45170</v>
      </c>
      <c r="F3460" s="9">
        <v>45199</v>
      </c>
      <c r="G3460">
        <v>100515747.24000001</v>
      </c>
      <c r="H3460">
        <v>55138164.868000001</v>
      </c>
      <c r="I3460">
        <v>22330848.304000001</v>
      </c>
      <c r="J3460">
        <v>10296187.728</v>
      </c>
      <c r="K3460">
        <v>368041.58400000003</v>
      </c>
      <c r="L3460">
        <v>11520000.800000001</v>
      </c>
      <c r="M3460">
        <v>0</v>
      </c>
      <c r="T3460" s="9">
        <v>45108</v>
      </c>
      <c r="U3460" s="9">
        <v>45473</v>
      </c>
      <c r="V3460">
        <f>SUM(POTABLE_NONPOTABLE_API[[#This Row],[RESIDENTIAL_SINGLEFAMILY_GAL]:[OTHER_GAL]])</f>
        <v>200168990.52399999</v>
      </c>
      <c r="W3460">
        <f>SUM(POTABLE_NONPOTABLE_API[[#This Row],[NONPOTABLE_DEMAND_RESIDENTIAL_RECYCLED_WATER_GAL]:[NONPOTABLE_DEMAND_NONRESIDENTIAL_METERED_IRRIGATION_GAL]])</f>
        <v>0</v>
      </c>
      <c r="X3460" t="str">
        <f>IFERROR(INDEX(Crosswalk_API!$H$2:$H$527, MATCH(POTABLE_NONPOTABLE_API[[#This Row],[PWSID]], CW_PWSID_LIST, 0)), "")</f>
        <v>No</v>
      </c>
    </row>
    <row r="3461" spans="1:24" x14ac:dyDescent="0.25">
      <c r="A3461" t="s">
        <v>1748</v>
      </c>
      <c r="B3461" t="s">
        <v>1749</v>
      </c>
      <c r="C3461" t="s">
        <v>1750</v>
      </c>
      <c r="D3461" t="s">
        <v>1751</v>
      </c>
      <c r="E3461" s="9">
        <v>45200</v>
      </c>
      <c r="F3461" s="9">
        <v>45230</v>
      </c>
      <c r="G3461">
        <v>84137148.700000003</v>
      </c>
      <c r="H3461">
        <v>47071920.152000003</v>
      </c>
      <c r="I3461">
        <v>19433642.908</v>
      </c>
      <c r="J3461">
        <v>11359169.620000001</v>
      </c>
      <c r="K3461">
        <v>361309.11600000004</v>
      </c>
      <c r="L3461">
        <v>7064603.0880000005</v>
      </c>
      <c r="M3461">
        <v>0</v>
      </c>
      <c r="T3461" s="9">
        <v>45108</v>
      </c>
      <c r="U3461" s="9">
        <v>45473</v>
      </c>
      <c r="V3461">
        <f>SUM(POTABLE_NONPOTABLE_API[[#This Row],[RESIDENTIAL_SINGLEFAMILY_GAL]:[OTHER_GAL]])</f>
        <v>169427793.58399999</v>
      </c>
      <c r="W3461">
        <f>SUM(POTABLE_NONPOTABLE_API[[#This Row],[NONPOTABLE_DEMAND_RESIDENTIAL_RECYCLED_WATER_GAL]:[NONPOTABLE_DEMAND_NONRESIDENTIAL_METERED_IRRIGATION_GAL]])</f>
        <v>0</v>
      </c>
      <c r="X3461" t="str">
        <f>IFERROR(INDEX(Crosswalk_API!$H$2:$H$527, MATCH(POTABLE_NONPOTABLE_API[[#This Row],[PWSID]], CW_PWSID_LIST, 0)), "")</f>
        <v>No</v>
      </c>
    </row>
    <row r="3462" spans="1:24" x14ac:dyDescent="0.25">
      <c r="A3462" t="s">
        <v>1748</v>
      </c>
      <c r="B3462" t="s">
        <v>1749</v>
      </c>
      <c r="C3462" t="s">
        <v>1750</v>
      </c>
      <c r="D3462" t="s">
        <v>1751</v>
      </c>
      <c r="E3462" s="9">
        <v>45231</v>
      </c>
      <c r="F3462" s="9">
        <v>45260</v>
      </c>
      <c r="G3462">
        <v>84805907.188000008</v>
      </c>
      <c r="H3462">
        <v>50005032.044</v>
      </c>
      <c r="I3462">
        <v>22474474.287999999</v>
      </c>
      <c r="J3462">
        <v>10635803.336000001</v>
      </c>
      <c r="K3462">
        <v>374026</v>
      </c>
      <c r="L3462">
        <v>6600062.7960000001</v>
      </c>
      <c r="M3462">
        <v>0</v>
      </c>
      <c r="T3462" s="9">
        <v>45108</v>
      </c>
      <c r="U3462" s="9">
        <v>45473</v>
      </c>
      <c r="V3462">
        <f>SUM(POTABLE_NONPOTABLE_API[[#This Row],[RESIDENTIAL_SINGLEFAMILY_GAL]:[OTHER_GAL]])</f>
        <v>174895305.65199998</v>
      </c>
      <c r="W3462">
        <f>SUM(POTABLE_NONPOTABLE_API[[#This Row],[NONPOTABLE_DEMAND_RESIDENTIAL_RECYCLED_WATER_GAL]:[NONPOTABLE_DEMAND_NONRESIDENTIAL_METERED_IRRIGATION_GAL]])</f>
        <v>0</v>
      </c>
      <c r="X3462" t="str">
        <f>IFERROR(INDEX(Crosswalk_API!$H$2:$H$527, MATCH(POTABLE_NONPOTABLE_API[[#This Row],[PWSID]], CW_PWSID_LIST, 0)), "")</f>
        <v>No</v>
      </c>
    </row>
    <row r="3463" spans="1:24" x14ac:dyDescent="0.25">
      <c r="A3463" t="s">
        <v>1748</v>
      </c>
      <c r="B3463" t="s">
        <v>1749</v>
      </c>
      <c r="C3463" t="s">
        <v>1750</v>
      </c>
      <c r="D3463" t="s">
        <v>1751</v>
      </c>
      <c r="E3463" s="9">
        <v>45261</v>
      </c>
      <c r="F3463" s="9">
        <v>45291</v>
      </c>
      <c r="G3463">
        <v>77339600.175999999</v>
      </c>
      <c r="H3463">
        <v>47778829.292000003</v>
      </c>
      <c r="I3463">
        <v>20602100.131999999</v>
      </c>
      <c r="J3463">
        <v>6193870.5600000005</v>
      </c>
      <c r="K3463">
        <v>348592.23200000002</v>
      </c>
      <c r="L3463">
        <v>7255356.3480000002</v>
      </c>
      <c r="M3463">
        <v>0</v>
      </c>
      <c r="T3463" s="9">
        <v>45108</v>
      </c>
      <c r="U3463" s="9">
        <v>45473</v>
      </c>
      <c r="V3463">
        <f>SUM(POTABLE_NONPOTABLE_API[[#This Row],[RESIDENTIAL_SINGLEFAMILY_GAL]:[OTHER_GAL]])</f>
        <v>159518348.73999998</v>
      </c>
      <c r="W3463">
        <f>SUM(POTABLE_NONPOTABLE_API[[#This Row],[NONPOTABLE_DEMAND_RESIDENTIAL_RECYCLED_WATER_GAL]:[NONPOTABLE_DEMAND_NONRESIDENTIAL_METERED_IRRIGATION_GAL]])</f>
        <v>0</v>
      </c>
      <c r="X3463" t="str">
        <f>IFERROR(INDEX(Crosswalk_API!$H$2:$H$527, MATCH(POTABLE_NONPOTABLE_API[[#This Row],[PWSID]], CW_PWSID_LIST, 0)), "")</f>
        <v>No</v>
      </c>
    </row>
    <row r="3464" spans="1:24" x14ac:dyDescent="0.25">
      <c r="A3464" t="s">
        <v>1748</v>
      </c>
      <c r="B3464" t="s">
        <v>1749</v>
      </c>
      <c r="C3464" t="s">
        <v>1750</v>
      </c>
      <c r="D3464" t="s">
        <v>1751</v>
      </c>
      <c r="E3464" s="9">
        <v>45292</v>
      </c>
      <c r="F3464" s="9">
        <v>45322</v>
      </c>
      <c r="G3464">
        <v>69324971.048000008</v>
      </c>
      <c r="H3464">
        <v>46863213.644000001</v>
      </c>
      <c r="I3464">
        <v>19310962.379999999</v>
      </c>
      <c r="J3464">
        <v>4064166.5160000003</v>
      </c>
      <c r="K3464">
        <v>308197.424</v>
      </c>
      <c r="L3464">
        <v>5442826.352</v>
      </c>
      <c r="M3464">
        <v>0</v>
      </c>
      <c r="T3464" s="9">
        <v>45108</v>
      </c>
      <c r="U3464" s="9">
        <v>45473</v>
      </c>
      <c r="V3464">
        <f>SUM(POTABLE_NONPOTABLE_API[[#This Row],[RESIDENTIAL_SINGLEFAMILY_GAL]:[OTHER_GAL]])</f>
        <v>145314337.36399999</v>
      </c>
      <c r="W3464">
        <f>SUM(POTABLE_NONPOTABLE_API[[#This Row],[NONPOTABLE_DEMAND_RESIDENTIAL_RECYCLED_WATER_GAL]:[NONPOTABLE_DEMAND_NONRESIDENTIAL_METERED_IRRIGATION_GAL]])</f>
        <v>0</v>
      </c>
      <c r="X3464" t="str">
        <f>IFERROR(INDEX(Crosswalk_API!$H$2:$H$527, MATCH(POTABLE_NONPOTABLE_API[[#This Row],[PWSID]], CW_PWSID_LIST, 0)), "")</f>
        <v>No</v>
      </c>
    </row>
    <row r="3465" spans="1:24" x14ac:dyDescent="0.25">
      <c r="A3465" t="s">
        <v>1748</v>
      </c>
      <c r="B3465" t="s">
        <v>1749</v>
      </c>
      <c r="C3465" t="s">
        <v>1750</v>
      </c>
      <c r="D3465" t="s">
        <v>1751</v>
      </c>
      <c r="E3465" s="9">
        <v>45323</v>
      </c>
      <c r="F3465" s="9">
        <v>45351</v>
      </c>
      <c r="G3465">
        <v>47332990.300000004</v>
      </c>
      <c r="H3465">
        <v>36261820.700000003</v>
      </c>
      <c r="I3465">
        <v>17428863.548</v>
      </c>
      <c r="J3465">
        <v>2865039.16</v>
      </c>
      <c r="K3465">
        <v>341859.76400000002</v>
      </c>
      <c r="L3465">
        <v>2843345.6520000002</v>
      </c>
      <c r="M3465">
        <v>0</v>
      </c>
      <c r="T3465" s="9">
        <v>45108</v>
      </c>
      <c r="U3465" s="9">
        <v>45473</v>
      </c>
      <c r="V3465">
        <f>SUM(POTABLE_NONPOTABLE_API[[#This Row],[RESIDENTIAL_SINGLEFAMILY_GAL]:[OTHER_GAL]])</f>
        <v>107073919.124</v>
      </c>
      <c r="W3465">
        <f>SUM(POTABLE_NONPOTABLE_API[[#This Row],[NONPOTABLE_DEMAND_RESIDENTIAL_RECYCLED_WATER_GAL]:[NONPOTABLE_DEMAND_NONRESIDENTIAL_METERED_IRRIGATION_GAL]])</f>
        <v>0</v>
      </c>
      <c r="X3465" t="str">
        <f>IFERROR(INDEX(Crosswalk_API!$H$2:$H$527, MATCH(POTABLE_NONPOTABLE_API[[#This Row],[PWSID]], CW_PWSID_LIST, 0)), "")</f>
        <v>No</v>
      </c>
    </row>
    <row r="3466" spans="1:24" x14ac:dyDescent="0.25">
      <c r="A3466" t="s">
        <v>1748</v>
      </c>
      <c r="B3466" t="s">
        <v>1749</v>
      </c>
      <c r="C3466" t="s">
        <v>1750</v>
      </c>
      <c r="D3466" t="s">
        <v>1751</v>
      </c>
      <c r="E3466" s="9">
        <v>45352</v>
      </c>
      <c r="F3466" s="9">
        <v>45382</v>
      </c>
      <c r="G3466">
        <v>45478569.392000005</v>
      </c>
      <c r="H3466">
        <v>34171763.412</v>
      </c>
      <c r="I3466">
        <v>16775066.1</v>
      </c>
      <c r="J3466">
        <v>3173984.6359999999</v>
      </c>
      <c r="K3466">
        <v>454815.61600000004</v>
      </c>
      <c r="L3466">
        <v>5166795.1639999999</v>
      </c>
      <c r="M3466">
        <v>0</v>
      </c>
      <c r="T3466" s="9">
        <v>45108</v>
      </c>
      <c r="U3466" s="9">
        <v>45473</v>
      </c>
      <c r="V3466">
        <f>SUM(POTABLE_NONPOTABLE_API[[#This Row],[RESIDENTIAL_SINGLEFAMILY_GAL]:[OTHER_GAL]])</f>
        <v>105220994.31999999</v>
      </c>
      <c r="W3466">
        <f>SUM(POTABLE_NONPOTABLE_API[[#This Row],[NONPOTABLE_DEMAND_RESIDENTIAL_RECYCLED_WATER_GAL]:[NONPOTABLE_DEMAND_NONRESIDENTIAL_METERED_IRRIGATION_GAL]])</f>
        <v>0</v>
      </c>
      <c r="X3466" t="str">
        <f>IFERROR(INDEX(Crosswalk_API!$H$2:$H$527, MATCH(POTABLE_NONPOTABLE_API[[#This Row],[PWSID]], CW_PWSID_LIST, 0)), "")</f>
        <v>No</v>
      </c>
    </row>
    <row r="3467" spans="1:24" x14ac:dyDescent="0.25">
      <c r="A3467" t="s">
        <v>1748</v>
      </c>
      <c r="B3467" t="s">
        <v>1749</v>
      </c>
      <c r="C3467" t="s">
        <v>1750</v>
      </c>
      <c r="D3467" t="s">
        <v>1751</v>
      </c>
      <c r="E3467" s="9">
        <v>45383</v>
      </c>
      <c r="F3467" s="9">
        <v>45412</v>
      </c>
      <c r="G3467">
        <v>50114247.636</v>
      </c>
      <c r="H3467">
        <v>42719753.616000004</v>
      </c>
      <c r="I3467">
        <v>19429902.648000002</v>
      </c>
      <c r="J3467">
        <v>3190441.7800000003</v>
      </c>
      <c r="K3467">
        <v>454815.61600000004</v>
      </c>
      <c r="L3467">
        <v>6327771.8679999998</v>
      </c>
      <c r="M3467">
        <v>0</v>
      </c>
      <c r="T3467" s="9">
        <v>45108</v>
      </c>
      <c r="U3467" s="9">
        <v>45473</v>
      </c>
      <c r="V3467">
        <f>SUM(POTABLE_NONPOTABLE_API[[#This Row],[RESIDENTIAL_SINGLEFAMILY_GAL]:[OTHER_GAL]])</f>
        <v>122236933.164</v>
      </c>
      <c r="W3467">
        <f>SUM(POTABLE_NONPOTABLE_API[[#This Row],[NONPOTABLE_DEMAND_RESIDENTIAL_RECYCLED_WATER_GAL]:[NONPOTABLE_DEMAND_NONRESIDENTIAL_METERED_IRRIGATION_GAL]])</f>
        <v>0</v>
      </c>
      <c r="X3467" t="str">
        <f>IFERROR(INDEX(Crosswalk_API!$H$2:$H$527, MATCH(POTABLE_NONPOTABLE_API[[#This Row],[PWSID]], CW_PWSID_LIST, 0)), "")</f>
        <v>No</v>
      </c>
    </row>
    <row r="3468" spans="1:24" x14ac:dyDescent="0.25">
      <c r="A3468" t="s">
        <v>1748</v>
      </c>
      <c r="B3468" t="s">
        <v>1749</v>
      </c>
      <c r="C3468" t="s">
        <v>1750</v>
      </c>
      <c r="D3468" t="s">
        <v>1751</v>
      </c>
      <c r="E3468" s="9">
        <v>45413</v>
      </c>
      <c r="F3468" s="9">
        <v>45443</v>
      </c>
      <c r="G3468">
        <v>61465936.736000001</v>
      </c>
      <c r="H3468">
        <v>44157509.560000002</v>
      </c>
      <c r="I3468">
        <v>20381424.791999999</v>
      </c>
      <c r="J3468">
        <v>6329267.9720000001</v>
      </c>
      <c r="K3468">
        <v>357568.85600000003</v>
      </c>
      <c r="L3468">
        <v>7033932.9560000002</v>
      </c>
      <c r="M3468">
        <v>0</v>
      </c>
      <c r="T3468" s="9">
        <v>45108</v>
      </c>
      <c r="U3468" s="9">
        <v>45473</v>
      </c>
      <c r="V3468">
        <f>SUM(POTABLE_NONPOTABLE_API[[#This Row],[RESIDENTIAL_SINGLEFAMILY_GAL]:[OTHER_GAL]])</f>
        <v>139725640.87200001</v>
      </c>
      <c r="W3468">
        <f>SUM(POTABLE_NONPOTABLE_API[[#This Row],[NONPOTABLE_DEMAND_RESIDENTIAL_RECYCLED_WATER_GAL]:[NONPOTABLE_DEMAND_NONRESIDENTIAL_METERED_IRRIGATION_GAL]])</f>
        <v>0</v>
      </c>
      <c r="X3468" t="str">
        <f>IFERROR(INDEX(Crosswalk_API!$H$2:$H$527, MATCH(POTABLE_NONPOTABLE_API[[#This Row],[PWSID]], CW_PWSID_LIST, 0)), "")</f>
        <v>No</v>
      </c>
    </row>
    <row r="3469" spans="1:24" x14ac:dyDescent="0.25">
      <c r="A3469" t="s">
        <v>1748</v>
      </c>
      <c r="B3469" t="s">
        <v>1749</v>
      </c>
      <c r="C3469" t="s">
        <v>1750</v>
      </c>
      <c r="D3469" t="s">
        <v>1751</v>
      </c>
      <c r="E3469" s="9">
        <v>45444</v>
      </c>
      <c r="F3469" s="9">
        <v>45473</v>
      </c>
      <c r="G3469">
        <v>85850187.780000001</v>
      </c>
      <c r="H3469">
        <v>49688606.048</v>
      </c>
      <c r="I3469">
        <v>21286567.712000001</v>
      </c>
      <c r="J3469">
        <v>10985143.620000001</v>
      </c>
      <c r="K3469">
        <v>369537.68800000002</v>
      </c>
      <c r="L3469">
        <v>9667824.0480000004</v>
      </c>
      <c r="M3469">
        <v>0</v>
      </c>
      <c r="T3469" s="9">
        <v>45108</v>
      </c>
      <c r="U3469" s="9">
        <v>45473</v>
      </c>
      <c r="V3469">
        <f>SUM(POTABLE_NONPOTABLE_API[[#This Row],[RESIDENTIAL_SINGLEFAMILY_GAL]:[OTHER_GAL]])</f>
        <v>177847866.89600003</v>
      </c>
      <c r="W3469">
        <f>SUM(POTABLE_NONPOTABLE_API[[#This Row],[NONPOTABLE_DEMAND_RESIDENTIAL_RECYCLED_WATER_GAL]:[NONPOTABLE_DEMAND_NONRESIDENTIAL_METERED_IRRIGATION_GAL]])</f>
        <v>0</v>
      </c>
      <c r="X3469" t="str">
        <f>IFERROR(INDEX(Crosswalk_API!$H$2:$H$527, MATCH(POTABLE_NONPOTABLE_API[[#This Row],[PWSID]], CW_PWSID_LIST, 0)), "")</f>
        <v>No</v>
      </c>
    </row>
    <row r="3470" spans="1:24" x14ac:dyDescent="0.25">
      <c r="A3470" t="s">
        <v>1752</v>
      </c>
      <c r="B3470" t="s">
        <v>1753</v>
      </c>
      <c r="C3470" t="s">
        <v>1754</v>
      </c>
      <c r="D3470" t="s">
        <v>1755</v>
      </c>
      <c r="E3470" s="9">
        <v>45108</v>
      </c>
      <c r="F3470" s="9">
        <v>45138</v>
      </c>
      <c r="G3470">
        <v>119301512</v>
      </c>
      <c r="H3470">
        <v>26031896</v>
      </c>
      <c r="I3470">
        <v>47373832</v>
      </c>
      <c r="J3470">
        <v>17221952</v>
      </c>
      <c r="K3470">
        <v>496672</v>
      </c>
      <c r="L3470">
        <v>470492</v>
      </c>
      <c r="M3470">
        <v>1435412</v>
      </c>
      <c r="N3470">
        <v>0</v>
      </c>
      <c r="O3470">
        <v>0</v>
      </c>
      <c r="P3470">
        <v>0</v>
      </c>
      <c r="Q3470">
        <v>14954016</v>
      </c>
      <c r="R3470">
        <v>0</v>
      </c>
      <c r="S3470">
        <v>0</v>
      </c>
      <c r="T3470" s="9">
        <v>45108</v>
      </c>
      <c r="U3470" s="9">
        <v>45473</v>
      </c>
      <c r="V3470">
        <f>SUM(POTABLE_NONPOTABLE_API[[#This Row],[RESIDENTIAL_SINGLEFAMILY_GAL]:[OTHER_GAL]])</f>
        <v>210896356</v>
      </c>
      <c r="W3470">
        <f>SUM(POTABLE_NONPOTABLE_API[[#This Row],[NONPOTABLE_DEMAND_RESIDENTIAL_RECYCLED_WATER_GAL]:[NONPOTABLE_DEMAND_NONRESIDENTIAL_METERED_IRRIGATION_GAL]])</f>
        <v>14954016</v>
      </c>
      <c r="X3470" t="str">
        <f>IFERROR(INDEX(Crosswalk_API!$H$2:$H$527, MATCH(POTABLE_NONPOTABLE_API[[#This Row],[PWSID]], CW_PWSID_LIST, 0)), "")</f>
        <v>No</v>
      </c>
    </row>
    <row r="3471" spans="1:24" x14ac:dyDescent="0.25">
      <c r="A3471" t="s">
        <v>1752</v>
      </c>
      <c r="B3471" t="s">
        <v>1753</v>
      </c>
      <c r="C3471" t="s">
        <v>1754</v>
      </c>
      <c r="D3471" t="s">
        <v>1755</v>
      </c>
      <c r="E3471" s="9">
        <v>45139</v>
      </c>
      <c r="F3471" s="9">
        <v>45169</v>
      </c>
      <c r="G3471">
        <v>102796892</v>
      </c>
      <c r="H3471">
        <v>44548636</v>
      </c>
      <c r="I3471">
        <v>45459700</v>
      </c>
      <c r="J3471">
        <v>16312384</v>
      </c>
      <c r="K3471">
        <v>0</v>
      </c>
      <c r="L3471">
        <v>1072632</v>
      </c>
      <c r="M3471">
        <v>2187152</v>
      </c>
      <c r="N3471">
        <v>0</v>
      </c>
      <c r="O3471">
        <v>0</v>
      </c>
      <c r="P3471">
        <v>0</v>
      </c>
      <c r="Q3471">
        <v>14638360</v>
      </c>
      <c r="R3471">
        <v>0</v>
      </c>
      <c r="S3471">
        <v>0</v>
      </c>
      <c r="T3471" s="9">
        <v>45108</v>
      </c>
      <c r="U3471" s="9">
        <v>45473</v>
      </c>
      <c r="V3471">
        <f>SUM(POTABLE_NONPOTABLE_API[[#This Row],[RESIDENTIAL_SINGLEFAMILY_GAL]:[OTHER_GAL]])</f>
        <v>210190244</v>
      </c>
      <c r="W3471">
        <f>SUM(POTABLE_NONPOTABLE_API[[#This Row],[NONPOTABLE_DEMAND_RESIDENTIAL_RECYCLED_WATER_GAL]:[NONPOTABLE_DEMAND_NONRESIDENTIAL_METERED_IRRIGATION_GAL]])</f>
        <v>14638360</v>
      </c>
      <c r="X3471" t="str">
        <f>IFERROR(INDEX(Crosswalk_API!$H$2:$H$527, MATCH(POTABLE_NONPOTABLE_API[[#This Row],[PWSID]], CW_PWSID_LIST, 0)), "")</f>
        <v>No</v>
      </c>
    </row>
    <row r="3472" spans="1:24" x14ac:dyDescent="0.25">
      <c r="A3472" t="s">
        <v>1752</v>
      </c>
      <c r="B3472" t="s">
        <v>1753</v>
      </c>
      <c r="C3472" t="s">
        <v>1754</v>
      </c>
      <c r="D3472" t="s">
        <v>1755</v>
      </c>
      <c r="E3472" s="9">
        <v>45170</v>
      </c>
      <c r="F3472" s="9">
        <v>45199</v>
      </c>
      <c r="G3472">
        <v>143575608</v>
      </c>
      <c r="H3472">
        <v>32521544</v>
      </c>
      <c r="I3472">
        <v>57264636</v>
      </c>
      <c r="J3472">
        <v>24522432</v>
      </c>
      <c r="K3472">
        <v>1193808</v>
      </c>
      <c r="L3472">
        <v>963424</v>
      </c>
      <c r="M3472">
        <v>1246168</v>
      </c>
      <c r="N3472">
        <v>0</v>
      </c>
      <c r="O3472">
        <v>0</v>
      </c>
      <c r="P3472">
        <v>0</v>
      </c>
      <c r="Q3472">
        <v>9271460</v>
      </c>
      <c r="R3472">
        <v>0</v>
      </c>
      <c r="S3472">
        <v>0</v>
      </c>
      <c r="T3472" s="9">
        <v>45108</v>
      </c>
      <c r="U3472" s="9">
        <v>45473</v>
      </c>
      <c r="V3472">
        <f>SUM(POTABLE_NONPOTABLE_API[[#This Row],[RESIDENTIAL_SINGLEFAMILY_GAL]:[OTHER_GAL]])</f>
        <v>260041452</v>
      </c>
      <c r="W3472">
        <f>SUM(POTABLE_NONPOTABLE_API[[#This Row],[NONPOTABLE_DEMAND_RESIDENTIAL_RECYCLED_WATER_GAL]:[NONPOTABLE_DEMAND_NONRESIDENTIAL_METERED_IRRIGATION_GAL]])</f>
        <v>9271460</v>
      </c>
      <c r="X3472" t="str">
        <f>IFERROR(INDEX(Crosswalk_API!$H$2:$H$527, MATCH(POTABLE_NONPOTABLE_API[[#This Row],[PWSID]], CW_PWSID_LIST, 0)), "")</f>
        <v>No</v>
      </c>
    </row>
    <row r="3473" spans="1:24" x14ac:dyDescent="0.25">
      <c r="A3473" t="s">
        <v>1752</v>
      </c>
      <c r="B3473" t="s">
        <v>1753</v>
      </c>
      <c r="C3473" t="s">
        <v>1754</v>
      </c>
      <c r="D3473" t="s">
        <v>1755</v>
      </c>
      <c r="E3473" s="9">
        <v>45200</v>
      </c>
      <c r="F3473" s="9">
        <v>45230</v>
      </c>
      <c r="G3473">
        <v>92143876</v>
      </c>
      <c r="H3473">
        <v>45609300</v>
      </c>
      <c r="I3473">
        <v>47180848</v>
      </c>
      <c r="J3473">
        <v>17017748</v>
      </c>
      <c r="K3473">
        <v>0</v>
      </c>
      <c r="L3473">
        <v>1703196</v>
      </c>
      <c r="M3473">
        <v>1443640</v>
      </c>
      <c r="N3473">
        <v>0</v>
      </c>
      <c r="O3473">
        <v>0</v>
      </c>
      <c r="P3473">
        <v>0</v>
      </c>
      <c r="Q3473">
        <v>9867616</v>
      </c>
      <c r="R3473">
        <v>0</v>
      </c>
      <c r="S3473">
        <v>0</v>
      </c>
      <c r="T3473" s="9">
        <v>45108</v>
      </c>
      <c r="U3473" s="9">
        <v>45473</v>
      </c>
      <c r="V3473">
        <f>SUM(POTABLE_NONPOTABLE_API[[#This Row],[RESIDENTIAL_SINGLEFAMILY_GAL]:[OTHER_GAL]])</f>
        <v>203654968</v>
      </c>
      <c r="W3473">
        <f>SUM(POTABLE_NONPOTABLE_API[[#This Row],[NONPOTABLE_DEMAND_RESIDENTIAL_RECYCLED_WATER_GAL]:[NONPOTABLE_DEMAND_NONRESIDENTIAL_METERED_IRRIGATION_GAL]])</f>
        <v>9867616</v>
      </c>
      <c r="X3473" t="str">
        <f>IFERROR(INDEX(Crosswalk_API!$H$2:$H$527, MATCH(POTABLE_NONPOTABLE_API[[#This Row],[PWSID]], CW_PWSID_LIST, 0)), "")</f>
        <v>No</v>
      </c>
    </row>
    <row r="3474" spans="1:24" x14ac:dyDescent="0.25">
      <c r="A3474" t="s">
        <v>1752</v>
      </c>
      <c r="B3474" t="s">
        <v>1753</v>
      </c>
      <c r="C3474" t="s">
        <v>1754</v>
      </c>
      <c r="D3474" t="s">
        <v>1755</v>
      </c>
      <c r="E3474" s="9">
        <v>45231</v>
      </c>
      <c r="F3474" s="9">
        <v>45260</v>
      </c>
      <c r="G3474">
        <v>118137624</v>
      </c>
      <c r="H3474">
        <v>26335584</v>
      </c>
      <c r="I3474">
        <v>48780072</v>
      </c>
      <c r="J3474">
        <v>20946992</v>
      </c>
      <c r="K3474">
        <v>769692</v>
      </c>
      <c r="L3474">
        <v>29920</v>
      </c>
      <c r="M3474">
        <v>394196</v>
      </c>
      <c r="N3474">
        <v>0</v>
      </c>
      <c r="O3474">
        <v>0</v>
      </c>
      <c r="P3474">
        <v>0</v>
      </c>
      <c r="Q3474">
        <v>7803136</v>
      </c>
      <c r="R3474">
        <v>0</v>
      </c>
      <c r="S3474">
        <v>0</v>
      </c>
      <c r="T3474" s="9">
        <v>45108</v>
      </c>
      <c r="U3474" s="9">
        <v>45473</v>
      </c>
      <c r="V3474">
        <f>SUM(POTABLE_NONPOTABLE_API[[#This Row],[RESIDENTIAL_SINGLEFAMILY_GAL]:[OTHER_GAL]])</f>
        <v>214999884</v>
      </c>
      <c r="W3474">
        <f>SUM(POTABLE_NONPOTABLE_API[[#This Row],[NONPOTABLE_DEMAND_RESIDENTIAL_RECYCLED_WATER_GAL]:[NONPOTABLE_DEMAND_NONRESIDENTIAL_METERED_IRRIGATION_GAL]])</f>
        <v>7803136</v>
      </c>
      <c r="X3474" t="str">
        <f>IFERROR(INDEX(Crosswalk_API!$H$2:$H$527, MATCH(POTABLE_NONPOTABLE_API[[#This Row],[PWSID]], CW_PWSID_LIST, 0)), "")</f>
        <v>No</v>
      </c>
    </row>
    <row r="3475" spans="1:24" x14ac:dyDescent="0.25">
      <c r="A3475" t="s">
        <v>1752</v>
      </c>
      <c r="B3475" t="s">
        <v>1753</v>
      </c>
      <c r="C3475" t="s">
        <v>1754</v>
      </c>
      <c r="D3475" t="s">
        <v>1755</v>
      </c>
      <c r="E3475" s="9">
        <v>45261</v>
      </c>
      <c r="F3475" s="9">
        <v>45291</v>
      </c>
      <c r="G3475">
        <v>83292044</v>
      </c>
      <c r="H3475">
        <v>44496276</v>
      </c>
      <c r="I3475">
        <v>35243516</v>
      </c>
      <c r="J3475">
        <v>12064492</v>
      </c>
      <c r="K3475">
        <v>0</v>
      </c>
      <c r="L3475">
        <v>5772316</v>
      </c>
      <c r="M3475">
        <v>1558832</v>
      </c>
      <c r="N3475">
        <v>0</v>
      </c>
      <c r="O3475">
        <v>0</v>
      </c>
      <c r="P3475">
        <v>0</v>
      </c>
      <c r="Q3475">
        <v>6580904</v>
      </c>
      <c r="R3475">
        <v>0</v>
      </c>
      <c r="S3475">
        <v>0</v>
      </c>
      <c r="T3475" s="9">
        <v>45108</v>
      </c>
      <c r="U3475" s="9">
        <v>45473</v>
      </c>
      <c r="V3475">
        <f>SUM(POTABLE_NONPOTABLE_API[[#This Row],[RESIDENTIAL_SINGLEFAMILY_GAL]:[OTHER_GAL]])</f>
        <v>180868644</v>
      </c>
      <c r="W3475">
        <f>SUM(POTABLE_NONPOTABLE_API[[#This Row],[NONPOTABLE_DEMAND_RESIDENTIAL_RECYCLED_WATER_GAL]:[NONPOTABLE_DEMAND_NONRESIDENTIAL_METERED_IRRIGATION_GAL]])</f>
        <v>6580904</v>
      </c>
      <c r="X3475" t="str">
        <f>IFERROR(INDEX(Crosswalk_API!$H$2:$H$527, MATCH(POTABLE_NONPOTABLE_API[[#This Row],[PWSID]], CW_PWSID_LIST, 0)), "")</f>
        <v>No</v>
      </c>
    </row>
    <row r="3476" spans="1:24" x14ac:dyDescent="0.25">
      <c r="A3476" t="s">
        <v>1752</v>
      </c>
      <c r="B3476" t="s">
        <v>1753</v>
      </c>
      <c r="C3476" t="s">
        <v>1754</v>
      </c>
      <c r="D3476" t="s">
        <v>1755</v>
      </c>
      <c r="E3476" s="9">
        <v>45292</v>
      </c>
      <c r="F3476" s="9">
        <v>45322</v>
      </c>
      <c r="G3476">
        <v>97020836</v>
      </c>
      <c r="H3476">
        <v>25475384</v>
      </c>
      <c r="I3476">
        <v>41022564</v>
      </c>
      <c r="J3476">
        <v>15207588</v>
      </c>
      <c r="K3476">
        <v>756228</v>
      </c>
      <c r="L3476">
        <v>544544</v>
      </c>
      <c r="M3476">
        <v>534072</v>
      </c>
      <c r="N3476">
        <v>0</v>
      </c>
      <c r="O3476">
        <v>0</v>
      </c>
      <c r="P3476">
        <v>0</v>
      </c>
      <c r="Q3476">
        <v>1671780</v>
      </c>
      <c r="R3476">
        <v>0</v>
      </c>
      <c r="S3476">
        <v>0</v>
      </c>
      <c r="T3476" s="9">
        <v>45108</v>
      </c>
      <c r="U3476" s="9">
        <v>45473</v>
      </c>
      <c r="V3476">
        <f>SUM(POTABLE_NONPOTABLE_API[[#This Row],[RESIDENTIAL_SINGLEFAMILY_GAL]:[OTHER_GAL]])</f>
        <v>180027144</v>
      </c>
      <c r="W3476">
        <f>SUM(POTABLE_NONPOTABLE_API[[#This Row],[NONPOTABLE_DEMAND_RESIDENTIAL_RECYCLED_WATER_GAL]:[NONPOTABLE_DEMAND_NONRESIDENTIAL_METERED_IRRIGATION_GAL]])</f>
        <v>1671780</v>
      </c>
      <c r="X3476" t="str">
        <f>IFERROR(INDEX(Crosswalk_API!$H$2:$H$527, MATCH(POTABLE_NONPOTABLE_API[[#This Row],[PWSID]], CW_PWSID_LIST, 0)), "")</f>
        <v>No</v>
      </c>
    </row>
    <row r="3477" spans="1:24" x14ac:dyDescent="0.25">
      <c r="A3477" t="s">
        <v>1752</v>
      </c>
      <c r="B3477" t="s">
        <v>1753</v>
      </c>
      <c r="C3477" t="s">
        <v>1754</v>
      </c>
      <c r="D3477" t="s">
        <v>1755</v>
      </c>
      <c r="E3477" s="9">
        <v>45323</v>
      </c>
      <c r="F3477" s="9">
        <v>45351</v>
      </c>
      <c r="G3477">
        <v>59614852</v>
      </c>
      <c r="H3477">
        <v>40510932</v>
      </c>
      <c r="I3477">
        <v>25571128</v>
      </c>
      <c r="J3477">
        <v>5370640</v>
      </c>
      <c r="K3477">
        <v>0</v>
      </c>
      <c r="L3477">
        <v>222156</v>
      </c>
      <c r="M3477">
        <v>480216</v>
      </c>
      <c r="N3477">
        <v>0</v>
      </c>
      <c r="O3477">
        <v>0</v>
      </c>
      <c r="P3477">
        <v>0</v>
      </c>
      <c r="Q3477">
        <v>964920</v>
      </c>
      <c r="R3477">
        <v>0</v>
      </c>
      <c r="S3477">
        <v>0</v>
      </c>
      <c r="T3477" s="9">
        <v>45108</v>
      </c>
      <c r="U3477" s="9">
        <v>45473</v>
      </c>
      <c r="V3477">
        <f>SUM(POTABLE_NONPOTABLE_API[[#This Row],[RESIDENTIAL_SINGLEFAMILY_GAL]:[OTHER_GAL]])</f>
        <v>131289708</v>
      </c>
      <c r="W3477">
        <f>SUM(POTABLE_NONPOTABLE_API[[#This Row],[NONPOTABLE_DEMAND_RESIDENTIAL_RECYCLED_WATER_GAL]:[NONPOTABLE_DEMAND_NONRESIDENTIAL_METERED_IRRIGATION_GAL]])</f>
        <v>964920</v>
      </c>
      <c r="X3477" t="str">
        <f>IFERROR(INDEX(Crosswalk_API!$H$2:$H$527, MATCH(POTABLE_NONPOTABLE_API[[#This Row],[PWSID]], CW_PWSID_LIST, 0)), "")</f>
        <v>No</v>
      </c>
    </row>
    <row r="3478" spans="1:24" x14ac:dyDescent="0.25">
      <c r="A3478" t="s">
        <v>1752</v>
      </c>
      <c r="B3478" t="s">
        <v>1753</v>
      </c>
      <c r="C3478" t="s">
        <v>1754</v>
      </c>
      <c r="D3478" t="s">
        <v>1755</v>
      </c>
      <c r="E3478" s="9">
        <v>45352</v>
      </c>
      <c r="F3478" s="9">
        <v>45382</v>
      </c>
      <c r="G3478">
        <v>74120816</v>
      </c>
      <c r="H3478">
        <v>22460944</v>
      </c>
      <c r="I3478">
        <v>34577796</v>
      </c>
      <c r="J3478">
        <v>6957148</v>
      </c>
      <c r="K3478">
        <v>504900</v>
      </c>
      <c r="L3478">
        <v>2191640</v>
      </c>
      <c r="M3478">
        <v>144364</v>
      </c>
      <c r="N3478">
        <v>0</v>
      </c>
      <c r="O3478">
        <v>0</v>
      </c>
      <c r="P3478">
        <v>0</v>
      </c>
      <c r="Q3478">
        <v>1515448</v>
      </c>
      <c r="R3478">
        <v>0</v>
      </c>
      <c r="S3478">
        <v>0</v>
      </c>
      <c r="T3478" s="9">
        <v>45108</v>
      </c>
      <c r="U3478" s="9">
        <v>45473</v>
      </c>
      <c r="V3478">
        <f>SUM(POTABLE_NONPOTABLE_API[[#This Row],[RESIDENTIAL_SINGLEFAMILY_GAL]:[OTHER_GAL]])</f>
        <v>140813244</v>
      </c>
      <c r="W3478">
        <f>SUM(POTABLE_NONPOTABLE_API[[#This Row],[NONPOTABLE_DEMAND_RESIDENTIAL_RECYCLED_WATER_GAL]:[NONPOTABLE_DEMAND_NONRESIDENTIAL_METERED_IRRIGATION_GAL]])</f>
        <v>1515448</v>
      </c>
      <c r="X3478" t="str">
        <f>IFERROR(INDEX(Crosswalk_API!$H$2:$H$527, MATCH(POTABLE_NONPOTABLE_API[[#This Row],[PWSID]], CW_PWSID_LIST, 0)), "")</f>
        <v>No</v>
      </c>
    </row>
    <row r="3479" spans="1:24" x14ac:dyDescent="0.25">
      <c r="A3479" t="s">
        <v>1752</v>
      </c>
      <c r="B3479" t="s">
        <v>1753</v>
      </c>
      <c r="C3479" t="s">
        <v>1754</v>
      </c>
      <c r="D3479" t="s">
        <v>1755</v>
      </c>
      <c r="E3479" s="9">
        <v>45383</v>
      </c>
      <c r="F3479" s="9">
        <v>45412</v>
      </c>
      <c r="G3479">
        <v>55280940</v>
      </c>
      <c r="H3479">
        <v>36364768</v>
      </c>
      <c r="I3479">
        <v>25808992</v>
      </c>
      <c r="J3479">
        <v>3807320</v>
      </c>
      <c r="K3479">
        <v>17204</v>
      </c>
      <c r="L3479">
        <v>4778224</v>
      </c>
      <c r="M3479">
        <v>891616</v>
      </c>
      <c r="N3479">
        <v>0</v>
      </c>
      <c r="O3479">
        <v>0</v>
      </c>
      <c r="P3479">
        <v>0</v>
      </c>
      <c r="Q3479">
        <v>3880624</v>
      </c>
      <c r="R3479">
        <v>0</v>
      </c>
      <c r="S3479">
        <v>0</v>
      </c>
      <c r="T3479" s="9">
        <v>45108</v>
      </c>
      <c r="U3479" s="9">
        <v>45473</v>
      </c>
      <c r="V3479">
        <f>SUM(POTABLE_NONPOTABLE_API[[#This Row],[RESIDENTIAL_SINGLEFAMILY_GAL]:[OTHER_GAL]])</f>
        <v>126057448</v>
      </c>
      <c r="W3479">
        <f>SUM(POTABLE_NONPOTABLE_API[[#This Row],[NONPOTABLE_DEMAND_RESIDENTIAL_RECYCLED_WATER_GAL]:[NONPOTABLE_DEMAND_NONRESIDENTIAL_METERED_IRRIGATION_GAL]])</f>
        <v>3880624</v>
      </c>
      <c r="X3479" t="str">
        <f>IFERROR(INDEX(Crosswalk_API!$H$2:$H$527, MATCH(POTABLE_NONPOTABLE_API[[#This Row],[PWSID]], CW_PWSID_LIST, 0)), "")</f>
        <v>No</v>
      </c>
    </row>
    <row r="3480" spans="1:24" x14ac:dyDescent="0.25">
      <c r="A3480" t="s">
        <v>1752</v>
      </c>
      <c r="B3480" t="s">
        <v>1753</v>
      </c>
      <c r="C3480" t="s">
        <v>1754</v>
      </c>
      <c r="D3480" t="s">
        <v>1755</v>
      </c>
      <c r="E3480" s="9">
        <v>45413</v>
      </c>
      <c r="F3480" s="9">
        <v>45443</v>
      </c>
      <c r="G3480">
        <v>85340068</v>
      </c>
      <c r="H3480">
        <v>22641960</v>
      </c>
      <c r="I3480">
        <v>37480784</v>
      </c>
      <c r="J3480">
        <v>10832536</v>
      </c>
      <c r="K3480">
        <v>639540</v>
      </c>
      <c r="L3480">
        <v>5092384</v>
      </c>
      <c r="M3480">
        <v>822052</v>
      </c>
      <c r="N3480">
        <v>0</v>
      </c>
      <c r="O3480">
        <v>0</v>
      </c>
      <c r="P3480">
        <v>0</v>
      </c>
      <c r="Q3480">
        <v>6096948</v>
      </c>
      <c r="R3480">
        <v>0</v>
      </c>
      <c r="S3480">
        <v>0</v>
      </c>
      <c r="T3480" s="9">
        <v>45108</v>
      </c>
      <c r="U3480" s="9">
        <v>45473</v>
      </c>
      <c r="V3480">
        <f>SUM(POTABLE_NONPOTABLE_API[[#This Row],[RESIDENTIAL_SINGLEFAMILY_GAL]:[OTHER_GAL]])</f>
        <v>162027272</v>
      </c>
      <c r="W3480">
        <f>SUM(POTABLE_NONPOTABLE_API[[#This Row],[NONPOTABLE_DEMAND_RESIDENTIAL_RECYCLED_WATER_GAL]:[NONPOTABLE_DEMAND_NONRESIDENTIAL_METERED_IRRIGATION_GAL]])</f>
        <v>6096948</v>
      </c>
      <c r="X3480" t="str">
        <f>IFERROR(INDEX(Crosswalk_API!$H$2:$H$527, MATCH(POTABLE_NONPOTABLE_API[[#This Row],[PWSID]], CW_PWSID_LIST, 0)), "")</f>
        <v>No</v>
      </c>
    </row>
    <row r="3481" spans="1:24" x14ac:dyDescent="0.25">
      <c r="A3481" t="s">
        <v>1752</v>
      </c>
      <c r="B3481" t="s">
        <v>1753</v>
      </c>
      <c r="C3481" t="s">
        <v>1754</v>
      </c>
      <c r="D3481" t="s">
        <v>1755</v>
      </c>
      <c r="E3481" s="9">
        <v>45444</v>
      </c>
      <c r="F3481" s="9">
        <v>45473</v>
      </c>
      <c r="G3481">
        <v>78641728</v>
      </c>
      <c r="H3481">
        <v>42009176</v>
      </c>
      <c r="I3481">
        <v>34453628</v>
      </c>
      <c r="J3481">
        <v>9503340</v>
      </c>
      <c r="K3481">
        <v>0</v>
      </c>
      <c r="L3481">
        <v>1204280</v>
      </c>
      <c r="M3481">
        <v>1498992</v>
      </c>
      <c r="N3481">
        <v>0</v>
      </c>
      <c r="O3481">
        <v>0</v>
      </c>
      <c r="P3481">
        <v>0</v>
      </c>
      <c r="Q3481">
        <v>8622196</v>
      </c>
      <c r="R3481">
        <v>0</v>
      </c>
      <c r="S3481">
        <v>0</v>
      </c>
      <c r="T3481" s="9">
        <v>45108</v>
      </c>
      <c r="U3481" s="9">
        <v>45473</v>
      </c>
      <c r="V3481">
        <f>SUM(POTABLE_NONPOTABLE_API[[#This Row],[RESIDENTIAL_SINGLEFAMILY_GAL]:[OTHER_GAL]])</f>
        <v>165812152</v>
      </c>
      <c r="W3481">
        <f>SUM(POTABLE_NONPOTABLE_API[[#This Row],[NONPOTABLE_DEMAND_RESIDENTIAL_RECYCLED_WATER_GAL]:[NONPOTABLE_DEMAND_NONRESIDENTIAL_METERED_IRRIGATION_GAL]])</f>
        <v>8622196</v>
      </c>
      <c r="X3481" t="str">
        <f>IFERROR(INDEX(Crosswalk_API!$H$2:$H$527, MATCH(POTABLE_NONPOTABLE_API[[#This Row],[PWSID]], CW_PWSID_LIST, 0)), "")</f>
        <v>No</v>
      </c>
    </row>
    <row r="3482" spans="1:24" x14ac:dyDescent="0.25">
      <c r="A3482" t="s">
        <v>1756</v>
      </c>
      <c r="B3482" t="s">
        <v>1757</v>
      </c>
      <c r="C3482" t="s">
        <v>1758</v>
      </c>
      <c r="D3482" t="s">
        <v>1759</v>
      </c>
      <c r="E3482" s="9">
        <v>45108</v>
      </c>
      <c r="F3482" s="9">
        <v>45138</v>
      </c>
      <c r="G3482">
        <v>13782858.1</v>
      </c>
      <c r="H3482">
        <v>20371700.116</v>
      </c>
      <c r="I3482">
        <v>13231543.776000001</v>
      </c>
      <c r="J3482">
        <v>0</v>
      </c>
      <c r="K3482">
        <v>25838464.131999999</v>
      </c>
      <c r="L3482">
        <v>0</v>
      </c>
      <c r="M3482">
        <v>0</v>
      </c>
      <c r="T3482" s="9">
        <v>45108</v>
      </c>
      <c r="U3482" s="9">
        <v>45473</v>
      </c>
      <c r="V3482">
        <f>SUM(POTABLE_NONPOTABLE_API[[#This Row],[RESIDENTIAL_SINGLEFAMILY_GAL]:[OTHER_GAL]])</f>
        <v>73224566.123999998</v>
      </c>
      <c r="W3482">
        <f>SUM(POTABLE_NONPOTABLE_API[[#This Row],[NONPOTABLE_DEMAND_RESIDENTIAL_RECYCLED_WATER_GAL]:[NONPOTABLE_DEMAND_NONRESIDENTIAL_METERED_IRRIGATION_GAL]])</f>
        <v>0</v>
      </c>
      <c r="X3482" t="str">
        <f>IFERROR(INDEX(Crosswalk_API!$H$2:$H$527, MATCH(POTABLE_NONPOTABLE_API[[#This Row],[PWSID]], CW_PWSID_LIST, 0)), "")</f>
        <v>No</v>
      </c>
    </row>
    <row r="3483" spans="1:24" x14ac:dyDescent="0.25">
      <c r="A3483" t="s">
        <v>1756</v>
      </c>
      <c r="B3483" t="s">
        <v>1757</v>
      </c>
      <c r="C3483" t="s">
        <v>1758</v>
      </c>
      <c r="D3483" t="s">
        <v>1759</v>
      </c>
      <c r="E3483" s="9">
        <v>45139</v>
      </c>
      <c r="F3483" s="9">
        <v>45169</v>
      </c>
      <c r="G3483">
        <v>28072895.456</v>
      </c>
      <c r="H3483">
        <v>32102651.580000002</v>
      </c>
      <c r="I3483">
        <v>17344333.672000002</v>
      </c>
      <c r="J3483">
        <v>0</v>
      </c>
      <c r="K3483">
        <v>0</v>
      </c>
      <c r="L3483">
        <v>0</v>
      </c>
      <c r="M3483">
        <v>0</v>
      </c>
      <c r="T3483" s="9">
        <v>45108</v>
      </c>
      <c r="U3483" s="9">
        <v>45473</v>
      </c>
      <c r="V3483">
        <f>SUM(POTABLE_NONPOTABLE_API[[#This Row],[RESIDENTIAL_SINGLEFAMILY_GAL]:[OTHER_GAL]])</f>
        <v>77519880.708000004</v>
      </c>
      <c r="W3483">
        <f>SUM(POTABLE_NONPOTABLE_API[[#This Row],[NONPOTABLE_DEMAND_RESIDENTIAL_RECYCLED_WATER_GAL]:[NONPOTABLE_DEMAND_NONRESIDENTIAL_METERED_IRRIGATION_GAL]])</f>
        <v>0</v>
      </c>
      <c r="X3483" t="str">
        <f>IFERROR(INDEX(Crosswalk_API!$H$2:$H$527, MATCH(POTABLE_NONPOTABLE_API[[#This Row],[PWSID]], CW_PWSID_LIST, 0)), "")</f>
        <v>No</v>
      </c>
    </row>
    <row r="3484" spans="1:24" x14ac:dyDescent="0.25">
      <c r="A3484" t="s">
        <v>1756</v>
      </c>
      <c r="B3484" t="s">
        <v>1757</v>
      </c>
      <c r="C3484" t="s">
        <v>1758</v>
      </c>
      <c r="D3484" t="s">
        <v>1759</v>
      </c>
      <c r="E3484" s="9">
        <v>45170</v>
      </c>
      <c r="F3484" s="9">
        <v>45199</v>
      </c>
      <c r="G3484">
        <v>15673185.504000001</v>
      </c>
      <c r="H3484">
        <v>23077404.199999999</v>
      </c>
      <c r="I3484">
        <v>15362743.924000001</v>
      </c>
      <c r="J3484">
        <v>0</v>
      </c>
      <c r="K3484">
        <v>29212926.704</v>
      </c>
      <c r="L3484">
        <v>0</v>
      </c>
      <c r="M3484">
        <v>0</v>
      </c>
      <c r="T3484" s="9">
        <v>45108</v>
      </c>
      <c r="U3484" s="9">
        <v>45473</v>
      </c>
      <c r="V3484">
        <f>SUM(POTABLE_NONPOTABLE_API[[#This Row],[RESIDENTIAL_SINGLEFAMILY_GAL]:[OTHER_GAL]])</f>
        <v>83326260.332000002</v>
      </c>
      <c r="W3484">
        <f>SUM(POTABLE_NONPOTABLE_API[[#This Row],[NONPOTABLE_DEMAND_RESIDENTIAL_RECYCLED_WATER_GAL]:[NONPOTABLE_DEMAND_NONRESIDENTIAL_METERED_IRRIGATION_GAL]])</f>
        <v>0</v>
      </c>
      <c r="X3484" t="str">
        <f>IFERROR(INDEX(Crosswalk_API!$H$2:$H$527, MATCH(POTABLE_NONPOTABLE_API[[#This Row],[PWSID]], CW_PWSID_LIST, 0)), "")</f>
        <v>No</v>
      </c>
    </row>
    <row r="3485" spans="1:24" x14ac:dyDescent="0.25">
      <c r="A3485" t="s">
        <v>1756</v>
      </c>
      <c r="B3485" t="s">
        <v>1757</v>
      </c>
      <c r="C3485" t="s">
        <v>1758</v>
      </c>
      <c r="D3485" t="s">
        <v>1759</v>
      </c>
      <c r="E3485" s="9">
        <v>45200</v>
      </c>
      <c r="F3485" s="9">
        <v>45230</v>
      </c>
      <c r="G3485">
        <v>22276988.560000002</v>
      </c>
      <c r="H3485">
        <v>29919087.791999999</v>
      </c>
      <c r="I3485">
        <v>15458494.58</v>
      </c>
      <c r="J3485">
        <v>0</v>
      </c>
      <c r="K3485">
        <v>0</v>
      </c>
      <c r="L3485">
        <v>0</v>
      </c>
      <c r="M3485">
        <v>0</v>
      </c>
      <c r="T3485" s="9">
        <v>45108</v>
      </c>
      <c r="U3485" s="9">
        <v>45473</v>
      </c>
      <c r="V3485">
        <f>SUM(POTABLE_NONPOTABLE_API[[#This Row],[RESIDENTIAL_SINGLEFAMILY_GAL]:[OTHER_GAL]])</f>
        <v>67654570.931999996</v>
      </c>
      <c r="W3485">
        <f>SUM(POTABLE_NONPOTABLE_API[[#This Row],[NONPOTABLE_DEMAND_RESIDENTIAL_RECYCLED_WATER_GAL]:[NONPOTABLE_DEMAND_NONRESIDENTIAL_METERED_IRRIGATION_GAL]])</f>
        <v>0</v>
      </c>
      <c r="X3485" t="str">
        <f>IFERROR(INDEX(Crosswalk_API!$H$2:$H$527, MATCH(POTABLE_NONPOTABLE_API[[#This Row],[PWSID]], CW_PWSID_LIST, 0)), "")</f>
        <v>No</v>
      </c>
    </row>
    <row r="3486" spans="1:24" x14ac:dyDescent="0.25">
      <c r="A3486" t="s">
        <v>1756</v>
      </c>
      <c r="B3486" t="s">
        <v>1757</v>
      </c>
      <c r="C3486" t="s">
        <v>1758</v>
      </c>
      <c r="D3486" t="s">
        <v>1759</v>
      </c>
      <c r="E3486" s="9">
        <v>45231</v>
      </c>
      <c r="F3486" s="9">
        <v>45260</v>
      </c>
      <c r="G3486">
        <v>12638338.540000001</v>
      </c>
      <c r="H3486">
        <v>20067242.952</v>
      </c>
      <c r="I3486">
        <v>11831190.432</v>
      </c>
      <c r="J3486">
        <v>0</v>
      </c>
      <c r="K3486">
        <v>26003035.572000001</v>
      </c>
      <c r="L3486">
        <v>0</v>
      </c>
      <c r="M3486">
        <v>0</v>
      </c>
      <c r="T3486" s="9">
        <v>45108</v>
      </c>
      <c r="U3486" s="9">
        <v>45473</v>
      </c>
      <c r="V3486">
        <f>SUM(POTABLE_NONPOTABLE_API[[#This Row],[RESIDENTIAL_SINGLEFAMILY_GAL]:[OTHER_GAL]])</f>
        <v>70539807.495999992</v>
      </c>
      <c r="W3486">
        <f>SUM(POTABLE_NONPOTABLE_API[[#This Row],[NONPOTABLE_DEMAND_RESIDENTIAL_RECYCLED_WATER_GAL]:[NONPOTABLE_DEMAND_NONRESIDENTIAL_METERED_IRRIGATION_GAL]])</f>
        <v>0</v>
      </c>
      <c r="X3486" t="str">
        <f>IFERROR(INDEX(Crosswalk_API!$H$2:$H$527, MATCH(POTABLE_NONPOTABLE_API[[#This Row],[PWSID]], CW_PWSID_LIST, 0)), "")</f>
        <v>No</v>
      </c>
    </row>
    <row r="3487" spans="1:24" x14ac:dyDescent="0.25">
      <c r="A3487" t="s">
        <v>1756</v>
      </c>
      <c r="B3487" t="s">
        <v>1757</v>
      </c>
      <c r="C3487" t="s">
        <v>1758</v>
      </c>
      <c r="D3487" t="s">
        <v>1759</v>
      </c>
      <c r="E3487" s="9">
        <v>45261</v>
      </c>
      <c r="F3487" s="9">
        <v>45291</v>
      </c>
      <c r="G3487">
        <v>22796884.699999999</v>
      </c>
      <c r="H3487">
        <v>29980428.056000002</v>
      </c>
      <c r="I3487">
        <v>15397154.316</v>
      </c>
      <c r="J3487">
        <v>0</v>
      </c>
      <c r="K3487">
        <v>0</v>
      </c>
      <c r="L3487">
        <v>0</v>
      </c>
      <c r="M3487">
        <v>0</v>
      </c>
      <c r="T3487" s="9">
        <v>45108</v>
      </c>
      <c r="U3487" s="9">
        <v>45473</v>
      </c>
      <c r="V3487">
        <f>SUM(POTABLE_NONPOTABLE_API[[#This Row],[RESIDENTIAL_SINGLEFAMILY_GAL]:[OTHER_GAL]])</f>
        <v>68174467.071999997</v>
      </c>
      <c r="W3487">
        <f>SUM(POTABLE_NONPOTABLE_API[[#This Row],[NONPOTABLE_DEMAND_RESIDENTIAL_RECYCLED_WATER_GAL]:[NONPOTABLE_DEMAND_NONRESIDENTIAL_METERED_IRRIGATION_GAL]])</f>
        <v>0</v>
      </c>
      <c r="X3487" t="str">
        <f>IFERROR(INDEX(Crosswalk_API!$H$2:$H$527, MATCH(POTABLE_NONPOTABLE_API[[#This Row],[PWSID]], CW_PWSID_LIST, 0)), "")</f>
        <v>No</v>
      </c>
    </row>
    <row r="3488" spans="1:24" x14ac:dyDescent="0.25">
      <c r="A3488" t="s">
        <v>1756</v>
      </c>
      <c r="B3488" t="s">
        <v>1757</v>
      </c>
      <c r="C3488" t="s">
        <v>1758</v>
      </c>
      <c r="D3488" t="s">
        <v>1759</v>
      </c>
      <c r="E3488" s="9">
        <v>45292</v>
      </c>
      <c r="F3488" s="9">
        <v>45322</v>
      </c>
      <c r="G3488">
        <v>11051720.248</v>
      </c>
      <c r="H3488">
        <v>19517424.732000001</v>
      </c>
      <c r="I3488">
        <v>8781382.4279999994</v>
      </c>
      <c r="J3488">
        <v>0</v>
      </c>
      <c r="K3488">
        <v>24921352.379999999</v>
      </c>
      <c r="L3488">
        <v>0</v>
      </c>
      <c r="M3488">
        <v>0</v>
      </c>
      <c r="T3488" s="9">
        <v>45108</v>
      </c>
      <c r="U3488" s="9">
        <v>45473</v>
      </c>
      <c r="V3488">
        <f>SUM(POTABLE_NONPOTABLE_API[[#This Row],[RESIDENTIAL_SINGLEFAMILY_GAL]:[OTHER_GAL]])</f>
        <v>64271879.788000003</v>
      </c>
      <c r="W3488">
        <f>SUM(POTABLE_NONPOTABLE_API[[#This Row],[NONPOTABLE_DEMAND_RESIDENTIAL_RECYCLED_WATER_GAL]:[NONPOTABLE_DEMAND_NONRESIDENTIAL_METERED_IRRIGATION_GAL]])</f>
        <v>0</v>
      </c>
      <c r="X3488" t="str">
        <f>IFERROR(INDEX(Crosswalk_API!$H$2:$H$527, MATCH(POTABLE_NONPOTABLE_API[[#This Row],[PWSID]], CW_PWSID_LIST, 0)), "")</f>
        <v>No</v>
      </c>
    </row>
    <row r="3489" spans="1:24" x14ac:dyDescent="0.25">
      <c r="A3489" t="s">
        <v>1756</v>
      </c>
      <c r="B3489" t="s">
        <v>1757</v>
      </c>
      <c r="C3489" t="s">
        <v>1758</v>
      </c>
      <c r="D3489" t="s">
        <v>1759</v>
      </c>
      <c r="E3489" s="9">
        <v>45323</v>
      </c>
      <c r="F3489" s="9">
        <v>45351</v>
      </c>
      <c r="G3489">
        <v>18017580.471999999</v>
      </c>
      <c r="H3489">
        <v>29600417.640000001</v>
      </c>
      <c r="I3489">
        <v>12811886.604</v>
      </c>
      <c r="J3489">
        <v>0</v>
      </c>
      <c r="K3489">
        <v>0</v>
      </c>
      <c r="L3489">
        <v>0</v>
      </c>
      <c r="M3489">
        <v>0</v>
      </c>
      <c r="T3489" s="9">
        <v>45108</v>
      </c>
      <c r="U3489" s="9">
        <v>45473</v>
      </c>
      <c r="V3489">
        <f>SUM(POTABLE_NONPOTABLE_API[[#This Row],[RESIDENTIAL_SINGLEFAMILY_GAL]:[OTHER_GAL]])</f>
        <v>60429884.716000006</v>
      </c>
      <c r="W3489">
        <f>SUM(POTABLE_NONPOTABLE_API[[#This Row],[NONPOTABLE_DEMAND_RESIDENTIAL_RECYCLED_WATER_GAL]:[NONPOTABLE_DEMAND_NONRESIDENTIAL_METERED_IRRIGATION_GAL]])</f>
        <v>0</v>
      </c>
      <c r="X3489" t="str">
        <f>IFERROR(INDEX(Crosswalk_API!$H$2:$H$527, MATCH(POTABLE_NONPOTABLE_API[[#This Row],[PWSID]], CW_PWSID_LIST, 0)), "")</f>
        <v>No</v>
      </c>
    </row>
    <row r="3490" spans="1:24" x14ac:dyDescent="0.25">
      <c r="A3490" t="s">
        <v>1756</v>
      </c>
      <c r="B3490" t="s">
        <v>1757</v>
      </c>
      <c r="C3490" t="s">
        <v>1758</v>
      </c>
      <c r="D3490" t="s">
        <v>1759</v>
      </c>
      <c r="E3490" s="9">
        <v>45352</v>
      </c>
      <c r="F3490" s="9">
        <v>45382</v>
      </c>
      <c r="G3490">
        <v>10225122.788000001</v>
      </c>
      <c r="H3490">
        <v>19809913.063999999</v>
      </c>
      <c r="I3490">
        <v>9622940.9279999994</v>
      </c>
      <c r="J3490">
        <v>0</v>
      </c>
      <c r="K3490">
        <v>26712936.920000002</v>
      </c>
      <c r="L3490">
        <v>0</v>
      </c>
      <c r="M3490">
        <v>0</v>
      </c>
      <c r="T3490" s="9">
        <v>45108</v>
      </c>
      <c r="U3490" s="9">
        <v>45473</v>
      </c>
      <c r="V3490">
        <f>SUM(POTABLE_NONPOTABLE_API[[#This Row],[RESIDENTIAL_SINGLEFAMILY_GAL]:[OTHER_GAL]])</f>
        <v>66370913.700000003</v>
      </c>
      <c r="W3490">
        <f>SUM(POTABLE_NONPOTABLE_API[[#This Row],[NONPOTABLE_DEMAND_RESIDENTIAL_RECYCLED_WATER_GAL]:[NONPOTABLE_DEMAND_NONRESIDENTIAL_METERED_IRRIGATION_GAL]])</f>
        <v>0</v>
      </c>
      <c r="X3490" t="str">
        <f>IFERROR(INDEX(Crosswalk_API!$H$2:$H$527, MATCH(POTABLE_NONPOTABLE_API[[#This Row],[PWSID]], CW_PWSID_LIST, 0)), "")</f>
        <v>No</v>
      </c>
    </row>
    <row r="3491" spans="1:24" x14ac:dyDescent="0.25">
      <c r="A3491" t="s">
        <v>1756</v>
      </c>
      <c r="B3491" t="s">
        <v>1757</v>
      </c>
      <c r="C3491" t="s">
        <v>1758</v>
      </c>
      <c r="D3491" t="s">
        <v>1759</v>
      </c>
      <c r="E3491" s="9">
        <v>45383</v>
      </c>
      <c r="F3491" s="9">
        <v>45412</v>
      </c>
      <c r="G3491">
        <v>16174380.344000001</v>
      </c>
      <c r="H3491">
        <v>27413861.644000001</v>
      </c>
      <c r="I3491">
        <v>13015356.748</v>
      </c>
      <c r="J3491">
        <v>0</v>
      </c>
      <c r="K3491">
        <v>0</v>
      </c>
      <c r="L3491">
        <v>0</v>
      </c>
      <c r="M3491">
        <v>0</v>
      </c>
      <c r="T3491" s="9">
        <v>45108</v>
      </c>
      <c r="U3491" s="9">
        <v>45473</v>
      </c>
      <c r="V3491">
        <f>SUM(POTABLE_NONPOTABLE_API[[#This Row],[RESIDENTIAL_SINGLEFAMILY_GAL]:[OTHER_GAL]])</f>
        <v>56603598.736000001</v>
      </c>
      <c r="W3491">
        <f>SUM(POTABLE_NONPOTABLE_API[[#This Row],[NONPOTABLE_DEMAND_RESIDENTIAL_RECYCLED_WATER_GAL]:[NONPOTABLE_DEMAND_NONRESIDENTIAL_METERED_IRRIGATION_GAL]])</f>
        <v>0</v>
      </c>
      <c r="X3491" t="str">
        <f>IFERROR(INDEX(Crosswalk_API!$H$2:$H$527, MATCH(POTABLE_NONPOTABLE_API[[#This Row],[PWSID]], CW_PWSID_LIST, 0)), "")</f>
        <v>No</v>
      </c>
    </row>
    <row r="3492" spans="1:24" x14ac:dyDescent="0.25">
      <c r="A3492" t="s">
        <v>1756</v>
      </c>
      <c r="B3492" t="s">
        <v>1757</v>
      </c>
      <c r="C3492" t="s">
        <v>1758</v>
      </c>
      <c r="D3492" t="s">
        <v>1759</v>
      </c>
      <c r="E3492" s="9">
        <v>45413</v>
      </c>
      <c r="F3492" s="9">
        <v>45443</v>
      </c>
      <c r="G3492">
        <v>11214047.532</v>
      </c>
      <c r="H3492">
        <v>20249767.640000001</v>
      </c>
      <c r="I3492">
        <v>10394930.592</v>
      </c>
      <c r="J3492">
        <v>0</v>
      </c>
      <c r="K3492">
        <v>28967565.648000002</v>
      </c>
      <c r="L3492">
        <v>0</v>
      </c>
      <c r="M3492">
        <v>0</v>
      </c>
      <c r="T3492" s="9">
        <v>45108</v>
      </c>
      <c r="U3492" s="9">
        <v>45473</v>
      </c>
      <c r="V3492">
        <f>SUM(POTABLE_NONPOTABLE_API[[#This Row],[RESIDENTIAL_SINGLEFAMILY_GAL]:[OTHER_GAL]])</f>
        <v>70826311.412</v>
      </c>
      <c r="W3492">
        <f>SUM(POTABLE_NONPOTABLE_API[[#This Row],[NONPOTABLE_DEMAND_RESIDENTIAL_RECYCLED_WATER_GAL]:[NONPOTABLE_DEMAND_NONRESIDENTIAL_METERED_IRRIGATION_GAL]])</f>
        <v>0</v>
      </c>
      <c r="X3492" t="str">
        <f>IFERROR(INDEX(Crosswalk_API!$H$2:$H$527, MATCH(POTABLE_NONPOTABLE_API[[#This Row],[PWSID]], CW_PWSID_LIST, 0)), "")</f>
        <v>No</v>
      </c>
    </row>
    <row r="3493" spans="1:24" x14ac:dyDescent="0.25">
      <c r="A3493" t="s">
        <v>1756</v>
      </c>
      <c r="B3493" t="s">
        <v>1757</v>
      </c>
      <c r="C3493" t="s">
        <v>1758</v>
      </c>
      <c r="D3493" t="s">
        <v>1759</v>
      </c>
      <c r="E3493" s="9">
        <v>45444</v>
      </c>
      <c r="F3493" s="9">
        <v>45473</v>
      </c>
      <c r="G3493">
        <v>21810952.164000001</v>
      </c>
      <c r="H3493">
        <v>29310921.516000003</v>
      </c>
      <c r="I3493">
        <v>15263253.008000001</v>
      </c>
      <c r="J3493">
        <v>0</v>
      </c>
      <c r="K3493">
        <v>0</v>
      </c>
      <c r="L3493">
        <v>0</v>
      </c>
      <c r="M3493">
        <v>0</v>
      </c>
      <c r="T3493" s="9">
        <v>45108</v>
      </c>
      <c r="U3493" s="9">
        <v>45473</v>
      </c>
      <c r="V3493">
        <f>SUM(POTABLE_NONPOTABLE_API[[#This Row],[RESIDENTIAL_SINGLEFAMILY_GAL]:[OTHER_GAL]])</f>
        <v>66385126.688000008</v>
      </c>
      <c r="W3493">
        <f>SUM(POTABLE_NONPOTABLE_API[[#This Row],[NONPOTABLE_DEMAND_RESIDENTIAL_RECYCLED_WATER_GAL]:[NONPOTABLE_DEMAND_NONRESIDENTIAL_METERED_IRRIGATION_GAL]])</f>
        <v>0</v>
      </c>
      <c r="X3493" t="str">
        <f>IFERROR(INDEX(Crosswalk_API!$H$2:$H$527, MATCH(POTABLE_NONPOTABLE_API[[#This Row],[PWSID]], CW_PWSID_LIST, 0)), "")</f>
        <v>No</v>
      </c>
    </row>
    <row r="3494" spans="1:24" x14ac:dyDescent="0.25">
      <c r="A3494" t="s">
        <v>1760</v>
      </c>
      <c r="B3494" t="s">
        <v>1761</v>
      </c>
      <c r="C3494" t="s">
        <v>1762</v>
      </c>
      <c r="D3494" t="s">
        <v>1763</v>
      </c>
      <c r="E3494" s="9">
        <v>45108</v>
      </c>
      <c r="F3494" s="9">
        <v>45138</v>
      </c>
      <c r="G3494">
        <v>94643422.950000003</v>
      </c>
      <c r="H3494">
        <v>2929400.49</v>
      </c>
      <c r="I3494">
        <v>15715793.729999999</v>
      </c>
      <c r="J3494">
        <v>0</v>
      </c>
      <c r="K3494">
        <v>0</v>
      </c>
      <c r="L3494">
        <v>456191.39999999997</v>
      </c>
      <c r="M3494">
        <v>8090880.3299999991</v>
      </c>
      <c r="N3494">
        <v>0</v>
      </c>
      <c r="O3494">
        <v>0</v>
      </c>
      <c r="P3494">
        <v>0</v>
      </c>
      <c r="Q3494">
        <v>0</v>
      </c>
      <c r="R3494">
        <v>4754166.09</v>
      </c>
      <c r="S3494">
        <v>0</v>
      </c>
      <c r="T3494" s="9">
        <v>45108</v>
      </c>
      <c r="U3494" s="9">
        <v>45473</v>
      </c>
      <c r="V3494">
        <f>SUM(POTABLE_NONPOTABLE_API[[#This Row],[RESIDENTIAL_SINGLEFAMILY_GAL]:[OTHER_GAL]])</f>
        <v>113744808.57000001</v>
      </c>
      <c r="W3494">
        <f>SUM(POTABLE_NONPOTABLE_API[[#This Row],[NONPOTABLE_DEMAND_RESIDENTIAL_RECYCLED_WATER_GAL]:[NONPOTABLE_DEMAND_NONRESIDENTIAL_METERED_IRRIGATION_GAL]])</f>
        <v>4754166.09</v>
      </c>
      <c r="X3494" t="str">
        <f>IFERROR(INDEX(Crosswalk_API!$H$2:$H$527, MATCH(POTABLE_NONPOTABLE_API[[#This Row],[PWSID]], CW_PWSID_LIST, 0)), "")</f>
        <v>No</v>
      </c>
    </row>
    <row r="3495" spans="1:24" x14ac:dyDescent="0.25">
      <c r="A3495" t="s">
        <v>1760</v>
      </c>
      <c r="B3495" t="s">
        <v>1761</v>
      </c>
      <c r="C3495" t="s">
        <v>1762</v>
      </c>
      <c r="D3495" t="s">
        <v>1763</v>
      </c>
      <c r="E3495" s="9">
        <v>45139</v>
      </c>
      <c r="F3495" s="9">
        <v>45169</v>
      </c>
      <c r="G3495">
        <v>97480900.276000008</v>
      </c>
      <c r="H3495">
        <v>4140467.8200000003</v>
      </c>
      <c r="I3495">
        <v>18736458.444000002</v>
      </c>
      <c r="J3495">
        <v>0</v>
      </c>
      <c r="K3495">
        <v>0</v>
      </c>
      <c r="L3495">
        <v>9379075.9759999998</v>
      </c>
      <c r="M3495">
        <v>7686982.352</v>
      </c>
      <c r="N3495">
        <v>0</v>
      </c>
      <c r="O3495">
        <v>0</v>
      </c>
      <c r="P3495">
        <v>0</v>
      </c>
      <c r="Q3495">
        <v>0</v>
      </c>
      <c r="R3495">
        <v>3840498.9679999999</v>
      </c>
      <c r="S3495">
        <v>0</v>
      </c>
      <c r="T3495" s="9">
        <v>45108</v>
      </c>
      <c r="U3495" s="9">
        <v>45473</v>
      </c>
      <c r="V3495">
        <f>SUM(POTABLE_NONPOTABLE_API[[#This Row],[RESIDENTIAL_SINGLEFAMILY_GAL]:[OTHER_GAL]])</f>
        <v>129736902.51600002</v>
      </c>
      <c r="W3495">
        <f>SUM(POTABLE_NONPOTABLE_API[[#This Row],[NONPOTABLE_DEMAND_RESIDENTIAL_RECYCLED_WATER_GAL]:[NONPOTABLE_DEMAND_NONRESIDENTIAL_METERED_IRRIGATION_GAL]])</f>
        <v>3840498.9679999999</v>
      </c>
      <c r="X3495" t="str">
        <f>IFERROR(INDEX(Crosswalk_API!$H$2:$H$527, MATCH(POTABLE_NONPOTABLE_API[[#This Row],[PWSID]], CW_PWSID_LIST, 0)), "")</f>
        <v>No</v>
      </c>
    </row>
    <row r="3496" spans="1:24" x14ac:dyDescent="0.25">
      <c r="A3496" t="s">
        <v>1760</v>
      </c>
      <c r="B3496" t="s">
        <v>1761</v>
      </c>
      <c r="C3496" t="s">
        <v>1762</v>
      </c>
      <c r="D3496" t="s">
        <v>1763</v>
      </c>
      <c r="E3496" s="9">
        <v>45170</v>
      </c>
      <c r="F3496" s="9">
        <v>45199</v>
      </c>
      <c r="G3496">
        <v>105054362.39999999</v>
      </c>
      <c r="H3496">
        <v>3323680.1999999997</v>
      </c>
      <c r="I3496">
        <v>16455475.5</v>
      </c>
      <c r="J3496">
        <v>0</v>
      </c>
      <c r="K3496">
        <v>0</v>
      </c>
      <c r="L3496">
        <v>0</v>
      </c>
      <c r="M3496">
        <v>10003625.699999999</v>
      </c>
      <c r="N3496">
        <v>0</v>
      </c>
      <c r="O3496">
        <v>0</v>
      </c>
      <c r="P3496">
        <v>0</v>
      </c>
      <c r="Q3496">
        <v>0</v>
      </c>
      <c r="R3496">
        <v>4715063.9700000007</v>
      </c>
      <c r="S3496">
        <v>0</v>
      </c>
      <c r="T3496" s="9">
        <v>45108</v>
      </c>
      <c r="U3496" s="9">
        <v>45473</v>
      </c>
      <c r="V3496">
        <f>SUM(POTABLE_NONPOTABLE_API[[#This Row],[RESIDENTIAL_SINGLEFAMILY_GAL]:[OTHER_GAL]])</f>
        <v>124833518.09999999</v>
      </c>
      <c r="W3496">
        <f>SUM(POTABLE_NONPOTABLE_API[[#This Row],[NONPOTABLE_DEMAND_RESIDENTIAL_RECYCLED_WATER_GAL]:[NONPOTABLE_DEMAND_NONRESIDENTIAL_METERED_IRRIGATION_GAL]])</f>
        <v>4715063.9700000007</v>
      </c>
      <c r="X3496" t="str">
        <f>IFERROR(INDEX(Crosswalk_API!$H$2:$H$527, MATCH(POTABLE_NONPOTABLE_API[[#This Row],[PWSID]], CW_PWSID_LIST, 0)), "")</f>
        <v>No</v>
      </c>
    </row>
    <row r="3497" spans="1:24" x14ac:dyDescent="0.25">
      <c r="A3497" t="s">
        <v>1760</v>
      </c>
      <c r="B3497" t="s">
        <v>1761</v>
      </c>
      <c r="C3497" t="s">
        <v>1762</v>
      </c>
      <c r="D3497" t="s">
        <v>1763</v>
      </c>
      <c r="E3497" s="9">
        <v>45200</v>
      </c>
      <c r="F3497" s="9">
        <v>45230</v>
      </c>
      <c r="G3497">
        <v>90470904.983999997</v>
      </c>
      <c r="H3497">
        <v>2967522.284</v>
      </c>
      <c r="I3497">
        <v>14006525.648</v>
      </c>
      <c r="J3497">
        <v>0</v>
      </c>
      <c r="K3497">
        <v>0</v>
      </c>
      <c r="L3497">
        <v>0</v>
      </c>
      <c r="M3497">
        <v>18304832.440000001</v>
      </c>
      <c r="N3497">
        <v>0</v>
      </c>
      <c r="O3497">
        <v>0</v>
      </c>
      <c r="P3497">
        <v>0</v>
      </c>
      <c r="Q3497">
        <v>0</v>
      </c>
      <c r="R3497">
        <v>4833912.0240000002</v>
      </c>
      <c r="S3497">
        <v>0</v>
      </c>
      <c r="T3497" s="9">
        <v>45108</v>
      </c>
      <c r="U3497" s="9">
        <v>45473</v>
      </c>
      <c r="V3497">
        <f>SUM(POTABLE_NONPOTABLE_API[[#This Row],[RESIDENTIAL_SINGLEFAMILY_GAL]:[OTHER_GAL]])</f>
        <v>107444952.91599999</v>
      </c>
      <c r="W3497">
        <f>SUM(POTABLE_NONPOTABLE_API[[#This Row],[NONPOTABLE_DEMAND_RESIDENTIAL_RECYCLED_WATER_GAL]:[NONPOTABLE_DEMAND_NONRESIDENTIAL_METERED_IRRIGATION_GAL]])</f>
        <v>4833912.0240000002</v>
      </c>
      <c r="X3497" t="str">
        <f>IFERROR(INDEX(Crosswalk_API!$H$2:$H$527, MATCH(POTABLE_NONPOTABLE_API[[#This Row],[PWSID]], CW_PWSID_LIST, 0)), "")</f>
        <v>No</v>
      </c>
    </row>
    <row r="3498" spans="1:24" x14ac:dyDescent="0.25">
      <c r="A3498" t="s">
        <v>1760</v>
      </c>
      <c r="B3498" t="s">
        <v>1761</v>
      </c>
      <c r="C3498" t="s">
        <v>1762</v>
      </c>
      <c r="D3498" t="s">
        <v>1763</v>
      </c>
      <c r="E3498" s="9">
        <v>45231</v>
      </c>
      <c r="F3498" s="9">
        <v>45260</v>
      </c>
      <c r="G3498">
        <v>87844494.412</v>
      </c>
      <c r="H3498">
        <v>2562078.1</v>
      </c>
      <c r="I3498">
        <v>13999793.18</v>
      </c>
      <c r="J3498">
        <v>0</v>
      </c>
      <c r="K3498">
        <v>0</v>
      </c>
      <c r="L3498">
        <v>0</v>
      </c>
      <c r="M3498">
        <v>7675013.5200000005</v>
      </c>
      <c r="N3498">
        <v>0</v>
      </c>
      <c r="O3498">
        <v>0</v>
      </c>
      <c r="P3498">
        <v>0</v>
      </c>
      <c r="Q3498">
        <v>0</v>
      </c>
      <c r="R3498">
        <v>4301233.2</v>
      </c>
      <c r="S3498">
        <v>0</v>
      </c>
      <c r="T3498" s="9">
        <v>45108</v>
      </c>
      <c r="U3498" s="9">
        <v>45473</v>
      </c>
      <c r="V3498">
        <f>SUM(POTABLE_NONPOTABLE_API[[#This Row],[RESIDENTIAL_SINGLEFAMILY_GAL]:[OTHER_GAL]])</f>
        <v>104406365.692</v>
      </c>
      <c r="W3498">
        <f>SUM(POTABLE_NONPOTABLE_API[[#This Row],[NONPOTABLE_DEMAND_RESIDENTIAL_RECYCLED_WATER_GAL]:[NONPOTABLE_DEMAND_NONRESIDENTIAL_METERED_IRRIGATION_GAL]])</f>
        <v>4301233.2</v>
      </c>
      <c r="X3498" t="str">
        <f>IFERROR(INDEX(Crosswalk_API!$H$2:$H$527, MATCH(POTABLE_NONPOTABLE_API[[#This Row],[PWSID]], CW_PWSID_LIST, 0)), "")</f>
        <v>No</v>
      </c>
    </row>
    <row r="3499" spans="1:24" x14ac:dyDescent="0.25">
      <c r="A3499" t="s">
        <v>1760</v>
      </c>
      <c r="B3499" t="s">
        <v>1761</v>
      </c>
      <c r="C3499" t="s">
        <v>1762</v>
      </c>
      <c r="D3499" t="s">
        <v>1763</v>
      </c>
      <c r="E3499" s="9">
        <v>45261</v>
      </c>
      <c r="F3499" s="9">
        <v>45291</v>
      </c>
      <c r="G3499">
        <v>68236555.387999997</v>
      </c>
      <c r="H3499">
        <v>2443137.8319999999</v>
      </c>
      <c r="I3499">
        <v>9962556.5360000003</v>
      </c>
      <c r="J3499">
        <v>0</v>
      </c>
      <c r="K3499">
        <v>0</v>
      </c>
      <c r="L3499">
        <v>215438.976</v>
      </c>
      <c r="M3499">
        <v>6603055.0039999997</v>
      </c>
      <c r="N3499">
        <v>0</v>
      </c>
      <c r="O3499">
        <v>2179943.19</v>
      </c>
      <c r="P3499">
        <v>0</v>
      </c>
      <c r="Q3499">
        <v>0</v>
      </c>
      <c r="R3499">
        <v>0</v>
      </c>
      <c r="S3499">
        <v>0</v>
      </c>
      <c r="T3499" s="9">
        <v>45108</v>
      </c>
      <c r="U3499" s="9">
        <v>45473</v>
      </c>
      <c r="V3499">
        <f>SUM(POTABLE_NONPOTABLE_API[[#This Row],[RESIDENTIAL_SINGLEFAMILY_GAL]:[OTHER_GAL]])</f>
        <v>80857688.731999993</v>
      </c>
      <c r="W3499">
        <f>SUM(POTABLE_NONPOTABLE_API[[#This Row],[NONPOTABLE_DEMAND_RESIDENTIAL_RECYCLED_WATER_GAL]:[NONPOTABLE_DEMAND_NONRESIDENTIAL_METERED_IRRIGATION_GAL]])</f>
        <v>2179943.19</v>
      </c>
      <c r="X3499" t="str">
        <f>IFERROR(INDEX(Crosswalk_API!$H$2:$H$527, MATCH(POTABLE_NONPOTABLE_API[[#This Row],[PWSID]], CW_PWSID_LIST, 0)), "")</f>
        <v>No</v>
      </c>
    </row>
    <row r="3500" spans="1:24" x14ac:dyDescent="0.25">
      <c r="A3500" t="s">
        <v>1760</v>
      </c>
      <c r="B3500" t="s">
        <v>1761</v>
      </c>
      <c r="C3500" t="s">
        <v>1762</v>
      </c>
      <c r="D3500" t="s">
        <v>1763</v>
      </c>
      <c r="E3500" s="9">
        <v>45292</v>
      </c>
      <c r="F3500" s="9">
        <v>45322</v>
      </c>
      <c r="G3500">
        <v>32735503.572000001</v>
      </c>
      <c r="H3500">
        <v>1435511.7879999999</v>
      </c>
      <c r="I3500">
        <v>7735605.7319999998</v>
      </c>
      <c r="J3500">
        <v>0</v>
      </c>
      <c r="K3500">
        <v>0</v>
      </c>
      <c r="L3500">
        <v>136893.516</v>
      </c>
      <c r="M3500">
        <v>937309.15600000008</v>
      </c>
      <c r="N3500">
        <v>0</v>
      </c>
      <c r="O3500">
        <v>0</v>
      </c>
      <c r="P3500">
        <v>0</v>
      </c>
      <c r="Q3500">
        <v>0</v>
      </c>
      <c r="R3500">
        <v>332368.02</v>
      </c>
      <c r="S3500">
        <v>0</v>
      </c>
      <c r="T3500" s="9">
        <v>45108</v>
      </c>
      <c r="U3500" s="9">
        <v>45473</v>
      </c>
      <c r="V3500">
        <f>SUM(POTABLE_NONPOTABLE_API[[#This Row],[RESIDENTIAL_SINGLEFAMILY_GAL]:[OTHER_GAL]])</f>
        <v>42043514.608000003</v>
      </c>
      <c r="W3500">
        <f>SUM(POTABLE_NONPOTABLE_API[[#This Row],[NONPOTABLE_DEMAND_RESIDENTIAL_RECYCLED_WATER_GAL]:[NONPOTABLE_DEMAND_NONRESIDENTIAL_METERED_IRRIGATION_GAL]])</f>
        <v>332368.02</v>
      </c>
      <c r="X3500" t="str">
        <f>IFERROR(INDEX(Crosswalk_API!$H$2:$H$527, MATCH(POTABLE_NONPOTABLE_API[[#This Row],[PWSID]], CW_PWSID_LIST, 0)), "")</f>
        <v>No</v>
      </c>
    </row>
    <row r="3501" spans="1:24" x14ac:dyDescent="0.25">
      <c r="A3501" t="s">
        <v>1760</v>
      </c>
      <c r="B3501" t="s">
        <v>1761</v>
      </c>
      <c r="C3501" t="s">
        <v>1762</v>
      </c>
      <c r="D3501" t="s">
        <v>1763</v>
      </c>
      <c r="E3501" s="9">
        <v>45323</v>
      </c>
      <c r="F3501" s="9">
        <v>45351</v>
      </c>
      <c r="G3501">
        <v>26612697.952</v>
      </c>
      <c r="H3501">
        <v>1457205.2960000001</v>
      </c>
      <c r="I3501">
        <v>9045444.784</v>
      </c>
      <c r="J3501">
        <v>0</v>
      </c>
      <c r="K3501">
        <v>0</v>
      </c>
      <c r="L3501">
        <v>255833.78400000001</v>
      </c>
      <c r="M3501">
        <v>501194.84</v>
      </c>
      <c r="N3501">
        <v>0</v>
      </c>
      <c r="O3501">
        <v>0</v>
      </c>
      <c r="P3501">
        <v>0</v>
      </c>
      <c r="Q3501">
        <v>0</v>
      </c>
      <c r="R3501">
        <v>1496.104</v>
      </c>
      <c r="T3501" s="9">
        <v>45108</v>
      </c>
      <c r="U3501" s="9">
        <v>45473</v>
      </c>
      <c r="V3501">
        <f>SUM(POTABLE_NONPOTABLE_API[[#This Row],[RESIDENTIAL_SINGLEFAMILY_GAL]:[OTHER_GAL]])</f>
        <v>37371181.816</v>
      </c>
      <c r="W3501">
        <f>SUM(POTABLE_NONPOTABLE_API[[#This Row],[NONPOTABLE_DEMAND_RESIDENTIAL_RECYCLED_WATER_GAL]:[NONPOTABLE_DEMAND_NONRESIDENTIAL_METERED_IRRIGATION_GAL]])</f>
        <v>1496.104</v>
      </c>
      <c r="X3501" t="str">
        <f>IFERROR(INDEX(Crosswalk_API!$H$2:$H$527, MATCH(POTABLE_NONPOTABLE_API[[#This Row],[PWSID]], CW_PWSID_LIST, 0)), "")</f>
        <v>No</v>
      </c>
    </row>
    <row r="3502" spans="1:24" x14ac:dyDescent="0.25">
      <c r="A3502" t="s">
        <v>1760</v>
      </c>
      <c r="B3502" t="s">
        <v>1761</v>
      </c>
      <c r="C3502" t="s">
        <v>1762</v>
      </c>
      <c r="D3502" t="s">
        <v>1763</v>
      </c>
      <c r="E3502" s="9">
        <v>45352</v>
      </c>
      <c r="F3502" s="9">
        <v>45382</v>
      </c>
      <c r="G3502">
        <v>37467680.524000004</v>
      </c>
      <c r="H3502">
        <v>1735480.6400000001</v>
      </c>
      <c r="I3502">
        <v>10166026.68</v>
      </c>
      <c r="J3502">
        <v>0</v>
      </c>
      <c r="K3502">
        <v>0</v>
      </c>
      <c r="L3502">
        <v>192249.364</v>
      </c>
      <c r="M3502">
        <v>1091407.868</v>
      </c>
      <c r="N3502">
        <v>0</v>
      </c>
      <c r="O3502">
        <v>0</v>
      </c>
      <c r="P3502">
        <v>0</v>
      </c>
      <c r="Q3502">
        <v>0</v>
      </c>
      <c r="R3502">
        <v>720130.71</v>
      </c>
      <c r="S3502">
        <v>0</v>
      </c>
      <c r="T3502" s="9">
        <v>45108</v>
      </c>
      <c r="U3502" s="9">
        <v>45473</v>
      </c>
      <c r="V3502">
        <f>SUM(POTABLE_NONPOTABLE_API[[#This Row],[RESIDENTIAL_SINGLEFAMILY_GAL]:[OTHER_GAL]])</f>
        <v>49561437.208000004</v>
      </c>
      <c r="W3502">
        <f>SUM(POTABLE_NONPOTABLE_API[[#This Row],[NONPOTABLE_DEMAND_RESIDENTIAL_RECYCLED_WATER_GAL]:[NONPOTABLE_DEMAND_NONRESIDENTIAL_METERED_IRRIGATION_GAL]])</f>
        <v>720130.71</v>
      </c>
      <c r="X3502" t="str">
        <f>IFERROR(INDEX(Crosswalk_API!$H$2:$H$527, MATCH(POTABLE_NONPOTABLE_API[[#This Row],[PWSID]], CW_PWSID_LIST, 0)), "")</f>
        <v>No</v>
      </c>
    </row>
    <row r="3503" spans="1:24" x14ac:dyDescent="0.25">
      <c r="A3503" t="s">
        <v>1760</v>
      </c>
      <c r="B3503" t="s">
        <v>1761</v>
      </c>
      <c r="C3503" t="s">
        <v>1762</v>
      </c>
      <c r="D3503" t="s">
        <v>1763</v>
      </c>
      <c r="E3503" s="9">
        <v>45383</v>
      </c>
      <c r="F3503" s="9">
        <v>45412</v>
      </c>
      <c r="G3503">
        <v>38428927.344000004</v>
      </c>
      <c r="H3503">
        <v>1695833.8840000001</v>
      </c>
      <c r="I3503">
        <v>9426203.2520000003</v>
      </c>
      <c r="J3503">
        <v>0</v>
      </c>
      <c r="K3503">
        <v>0</v>
      </c>
      <c r="L3503">
        <v>130161.04800000001</v>
      </c>
      <c r="M3503">
        <v>1246254.632</v>
      </c>
      <c r="N3503">
        <v>0</v>
      </c>
      <c r="O3503">
        <v>0</v>
      </c>
      <c r="Q3503">
        <v>0</v>
      </c>
      <c r="R3503">
        <v>840062.39600000007</v>
      </c>
      <c r="S3503">
        <v>0</v>
      </c>
      <c r="T3503" s="9">
        <v>45108</v>
      </c>
      <c r="U3503" s="9">
        <v>45473</v>
      </c>
      <c r="V3503">
        <f>SUM(POTABLE_NONPOTABLE_API[[#This Row],[RESIDENTIAL_SINGLEFAMILY_GAL]:[OTHER_GAL]])</f>
        <v>49681125.528000005</v>
      </c>
      <c r="W3503">
        <f>SUM(POTABLE_NONPOTABLE_API[[#This Row],[NONPOTABLE_DEMAND_RESIDENTIAL_RECYCLED_WATER_GAL]:[NONPOTABLE_DEMAND_NONRESIDENTIAL_METERED_IRRIGATION_GAL]])</f>
        <v>840062.39600000007</v>
      </c>
      <c r="X3503" t="str">
        <f>IFERROR(INDEX(Crosswalk_API!$H$2:$H$527, MATCH(POTABLE_NONPOTABLE_API[[#This Row],[PWSID]], CW_PWSID_LIST, 0)), "")</f>
        <v>No</v>
      </c>
    </row>
    <row r="3504" spans="1:24" x14ac:dyDescent="0.25">
      <c r="A3504" t="s">
        <v>1760</v>
      </c>
      <c r="B3504" t="s">
        <v>1761</v>
      </c>
      <c r="C3504" t="s">
        <v>1762</v>
      </c>
      <c r="D3504" t="s">
        <v>1763</v>
      </c>
      <c r="E3504" s="9">
        <v>45413</v>
      </c>
      <c r="F3504" s="9">
        <v>45443</v>
      </c>
      <c r="G3504">
        <v>67685769.719999999</v>
      </c>
      <c r="H3504">
        <v>2307025.08</v>
      </c>
      <c r="I3504">
        <v>11225566.950000001</v>
      </c>
      <c r="J3504">
        <v>0</v>
      </c>
      <c r="K3504">
        <v>0</v>
      </c>
      <c r="L3504">
        <v>211803.15</v>
      </c>
      <c r="M3504">
        <v>4552138.4700000007</v>
      </c>
      <c r="N3504">
        <v>0</v>
      </c>
      <c r="O3504">
        <v>0</v>
      </c>
      <c r="P3504">
        <v>0</v>
      </c>
      <c r="Q3504">
        <v>0</v>
      </c>
      <c r="R3504">
        <v>3412613.2239999999</v>
      </c>
      <c r="S3504">
        <v>0</v>
      </c>
      <c r="T3504" s="9">
        <v>45108</v>
      </c>
      <c r="U3504" s="9">
        <v>45473</v>
      </c>
      <c r="V3504">
        <f>SUM(POTABLE_NONPOTABLE_API[[#This Row],[RESIDENTIAL_SINGLEFAMILY_GAL]:[OTHER_GAL]])</f>
        <v>81430164.900000006</v>
      </c>
      <c r="W3504">
        <f>SUM(POTABLE_NONPOTABLE_API[[#This Row],[NONPOTABLE_DEMAND_RESIDENTIAL_RECYCLED_WATER_GAL]:[NONPOTABLE_DEMAND_NONRESIDENTIAL_METERED_IRRIGATION_GAL]])</f>
        <v>3412613.2239999999</v>
      </c>
      <c r="X3504" t="str">
        <f>IFERROR(INDEX(Crosswalk_API!$H$2:$H$527, MATCH(POTABLE_NONPOTABLE_API[[#This Row],[PWSID]], CW_PWSID_LIST, 0)), "")</f>
        <v>No</v>
      </c>
    </row>
    <row r="3505" spans="1:24" x14ac:dyDescent="0.25">
      <c r="A3505" t="s">
        <v>1760</v>
      </c>
      <c r="B3505" t="s">
        <v>1761</v>
      </c>
      <c r="C3505" t="s">
        <v>1762</v>
      </c>
      <c r="D3505" t="s">
        <v>1763</v>
      </c>
      <c r="E3505" s="9">
        <v>45444</v>
      </c>
      <c r="F3505" s="9">
        <v>45473</v>
      </c>
      <c r="G3505">
        <v>80905564.060000002</v>
      </c>
      <c r="H3505">
        <v>2478296.2760000001</v>
      </c>
      <c r="I3505">
        <v>14332676.32</v>
      </c>
      <c r="J3505">
        <v>0</v>
      </c>
      <c r="K3505">
        <v>0</v>
      </c>
      <c r="L3505">
        <v>331387.03600000002</v>
      </c>
      <c r="M3505">
        <v>7064603.0880000005</v>
      </c>
      <c r="N3505">
        <v>0</v>
      </c>
      <c r="O3505">
        <v>0</v>
      </c>
      <c r="P3505">
        <v>0</v>
      </c>
      <c r="Q3505">
        <v>0</v>
      </c>
      <c r="R3505">
        <v>6132515.8200000003</v>
      </c>
      <c r="S3505">
        <v>0</v>
      </c>
      <c r="T3505" s="9">
        <v>45108</v>
      </c>
      <c r="U3505" s="9">
        <v>45473</v>
      </c>
      <c r="V3505">
        <f>SUM(POTABLE_NONPOTABLE_API[[#This Row],[RESIDENTIAL_SINGLEFAMILY_GAL]:[OTHER_GAL]])</f>
        <v>98047923.691999987</v>
      </c>
      <c r="W3505">
        <f>SUM(POTABLE_NONPOTABLE_API[[#This Row],[NONPOTABLE_DEMAND_RESIDENTIAL_RECYCLED_WATER_GAL]:[NONPOTABLE_DEMAND_NONRESIDENTIAL_METERED_IRRIGATION_GAL]])</f>
        <v>6132515.8200000003</v>
      </c>
      <c r="X3505" t="str">
        <f>IFERROR(INDEX(Crosswalk_API!$H$2:$H$527, MATCH(POTABLE_NONPOTABLE_API[[#This Row],[PWSID]], CW_PWSID_LIST, 0)), "")</f>
        <v>No</v>
      </c>
    </row>
    <row r="3506" spans="1:24" x14ac:dyDescent="0.25">
      <c r="A3506" t="s">
        <v>1764</v>
      </c>
      <c r="B3506" t="s">
        <v>1765</v>
      </c>
      <c r="C3506" t="s">
        <v>1766</v>
      </c>
      <c r="D3506" t="s">
        <v>1767</v>
      </c>
      <c r="E3506" s="9">
        <v>45108</v>
      </c>
      <c r="F3506" s="9">
        <v>45138</v>
      </c>
      <c r="G3506">
        <v>71545189.384000003</v>
      </c>
      <c r="H3506">
        <v>48929333.267999999</v>
      </c>
      <c r="I3506">
        <v>19961767.620000001</v>
      </c>
      <c r="J3506">
        <v>2438649.52</v>
      </c>
      <c r="K3506">
        <v>0</v>
      </c>
      <c r="L3506">
        <v>5702400.3959999997</v>
      </c>
      <c r="M3506">
        <v>0</v>
      </c>
      <c r="T3506" s="9">
        <v>45108</v>
      </c>
      <c r="U3506" s="9">
        <v>45473</v>
      </c>
      <c r="V3506">
        <f>SUM(POTABLE_NONPOTABLE_API[[#This Row],[RESIDENTIAL_SINGLEFAMILY_GAL]:[OTHER_GAL]])</f>
        <v>148577340.18800002</v>
      </c>
      <c r="W3506">
        <f>SUM(POTABLE_NONPOTABLE_API[[#This Row],[NONPOTABLE_DEMAND_RESIDENTIAL_RECYCLED_WATER_GAL]:[NONPOTABLE_DEMAND_NONRESIDENTIAL_METERED_IRRIGATION_GAL]])</f>
        <v>0</v>
      </c>
      <c r="X3506" t="str">
        <f>IFERROR(INDEX(Crosswalk_API!$H$2:$H$527, MATCH(POTABLE_NONPOTABLE_API[[#This Row],[PWSID]], CW_PWSID_LIST, 0)), "")</f>
        <v>No</v>
      </c>
    </row>
    <row r="3507" spans="1:24" x14ac:dyDescent="0.25">
      <c r="A3507" t="s">
        <v>1764</v>
      </c>
      <c r="B3507" t="s">
        <v>1765</v>
      </c>
      <c r="C3507" t="s">
        <v>1766</v>
      </c>
      <c r="D3507" t="s">
        <v>1767</v>
      </c>
      <c r="E3507" s="9">
        <v>45139</v>
      </c>
      <c r="F3507" s="9">
        <v>45169</v>
      </c>
      <c r="G3507">
        <v>63479692.719999999</v>
      </c>
      <c r="H3507">
        <v>53935297.252000004</v>
      </c>
      <c r="I3507">
        <v>59222528.788000003</v>
      </c>
      <c r="J3507">
        <v>6020322.4960000003</v>
      </c>
      <c r="K3507">
        <v>0</v>
      </c>
      <c r="L3507">
        <v>2294275.4840000002</v>
      </c>
      <c r="M3507">
        <v>0</v>
      </c>
      <c r="T3507" s="9">
        <v>45108</v>
      </c>
      <c r="U3507" s="9">
        <v>45473</v>
      </c>
      <c r="V3507">
        <f>SUM(POTABLE_NONPOTABLE_API[[#This Row],[RESIDENTIAL_SINGLEFAMILY_GAL]:[OTHER_GAL]])</f>
        <v>184952116.73999998</v>
      </c>
      <c r="W3507">
        <f>SUM(POTABLE_NONPOTABLE_API[[#This Row],[NONPOTABLE_DEMAND_RESIDENTIAL_RECYCLED_WATER_GAL]:[NONPOTABLE_DEMAND_NONRESIDENTIAL_METERED_IRRIGATION_GAL]])</f>
        <v>0</v>
      </c>
      <c r="X3507" t="str">
        <f>IFERROR(INDEX(Crosswalk_API!$H$2:$H$527, MATCH(POTABLE_NONPOTABLE_API[[#This Row],[PWSID]], CW_PWSID_LIST, 0)), "")</f>
        <v>No</v>
      </c>
    </row>
    <row r="3508" spans="1:24" x14ac:dyDescent="0.25">
      <c r="A3508" t="s">
        <v>1764</v>
      </c>
      <c r="B3508" t="s">
        <v>1765</v>
      </c>
      <c r="C3508" t="s">
        <v>1766</v>
      </c>
      <c r="D3508" t="s">
        <v>1767</v>
      </c>
      <c r="E3508" s="9">
        <v>45170</v>
      </c>
      <c r="F3508" s="9">
        <v>45199</v>
      </c>
      <c r="G3508">
        <v>73238779.112000003</v>
      </c>
      <c r="H3508">
        <v>52518486.763999999</v>
      </c>
      <c r="I3508">
        <v>24810640.684</v>
      </c>
      <c r="J3508">
        <v>2672789.7960000001</v>
      </c>
      <c r="K3508">
        <v>0</v>
      </c>
      <c r="L3508">
        <v>7710920.0159999998</v>
      </c>
      <c r="M3508">
        <v>0</v>
      </c>
      <c r="T3508" s="9">
        <v>45108</v>
      </c>
      <c r="U3508" s="9">
        <v>45473</v>
      </c>
      <c r="V3508">
        <f>SUM(POTABLE_NONPOTABLE_API[[#This Row],[RESIDENTIAL_SINGLEFAMILY_GAL]:[OTHER_GAL]])</f>
        <v>160951616.37200001</v>
      </c>
      <c r="W3508">
        <f>SUM(POTABLE_NONPOTABLE_API[[#This Row],[NONPOTABLE_DEMAND_RESIDENTIAL_RECYCLED_WATER_GAL]:[NONPOTABLE_DEMAND_NONRESIDENTIAL_METERED_IRRIGATION_GAL]])</f>
        <v>0</v>
      </c>
      <c r="X3508" t="str">
        <f>IFERROR(INDEX(Crosswalk_API!$H$2:$H$527, MATCH(POTABLE_NONPOTABLE_API[[#This Row],[PWSID]], CW_PWSID_LIST, 0)), "")</f>
        <v>No</v>
      </c>
    </row>
    <row r="3509" spans="1:24" x14ac:dyDescent="0.25">
      <c r="A3509" t="s">
        <v>1764</v>
      </c>
      <c r="B3509" t="s">
        <v>1765</v>
      </c>
      <c r="C3509" t="s">
        <v>1766</v>
      </c>
      <c r="D3509" t="s">
        <v>1767</v>
      </c>
      <c r="E3509" s="9">
        <v>45200</v>
      </c>
      <c r="F3509" s="9">
        <v>45230</v>
      </c>
      <c r="G3509">
        <v>57000814.348000005</v>
      </c>
      <c r="H3509">
        <v>48031670.868000001</v>
      </c>
      <c r="I3509">
        <v>51680668.524000004</v>
      </c>
      <c r="J3509">
        <v>5807875.7280000001</v>
      </c>
      <c r="K3509">
        <v>0</v>
      </c>
      <c r="L3509">
        <v>2142420.9279999998</v>
      </c>
      <c r="M3509">
        <v>0</v>
      </c>
      <c r="T3509" s="9">
        <v>45108</v>
      </c>
      <c r="U3509" s="9">
        <v>45473</v>
      </c>
      <c r="V3509">
        <f>SUM(POTABLE_NONPOTABLE_API[[#This Row],[RESIDENTIAL_SINGLEFAMILY_GAL]:[OTHER_GAL]])</f>
        <v>164663450.396</v>
      </c>
      <c r="W3509">
        <f>SUM(POTABLE_NONPOTABLE_API[[#This Row],[NONPOTABLE_DEMAND_RESIDENTIAL_RECYCLED_WATER_GAL]:[NONPOTABLE_DEMAND_NONRESIDENTIAL_METERED_IRRIGATION_GAL]])</f>
        <v>0</v>
      </c>
      <c r="X3509" t="str">
        <f>IFERROR(INDEX(Crosswalk_API!$H$2:$H$527, MATCH(POTABLE_NONPOTABLE_API[[#This Row],[PWSID]], CW_PWSID_LIST, 0)), "")</f>
        <v>No</v>
      </c>
    </row>
    <row r="3510" spans="1:24" x14ac:dyDescent="0.25">
      <c r="A3510" t="s">
        <v>1764</v>
      </c>
      <c r="B3510" t="s">
        <v>1765</v>
      </c>
      <c r="C3510" t="s">
        <v>1766</v>
      </c>
      <c r="D3510" t="s">
        <v>1767</v>
      </c>
      <c r="E3510" s="9">
        <v>45231</v>
      </c>
      <c r="F3510" s="9">
        <v>45260</v>
      </c>
      <c r="G3510">
        <v>64913708.403999999</v>
      </c>
      <c r="H3510">
        <v>46140595.412</v>
      </c>
      <c r="I3510">
        <v>19822629.947999999</v>
      </c>
      <c r="J3510">
        <v>2063875.4680000001</v>
      </c>
      <c r="K3510">
        <v>0</v>
      </c>
      <c r="L3510">
        <v>4670088.6359999999</v>
      </c>
      <c r="M3510">
        <v>0</v>
      </c>
      <c r="T3510" s="9">
        <v>45108</v>
      </c>
      <c r="U3510" s="9">
        <v>45473</v>
      </c>
      <c r="V3510">
        <f>SUM(POTABLE_NONPOTABLE_API[[#This Row],[RESIDENTIAL_SINGLEFAMILY_GAL]:[OTHER_GAL]])</f>
        <v>137610897.868</v>
      </c>
      <c r="W3510">
        <f>SUM(POTABLE_NONPOTABLE_API[[#This Row],[NONPOTABLE_DEMAND_RESIDENTIAL_RECYCLED_WATER_GAL]:[NONPOTABLE_DEMAND_NONRESIDENTIAL_METERED_IRRIGATION_GAL]])</f>
        <v>0</v>
      </c>
      <c r="X3510" t="str">
        <f>IFERROR(INDEX(Crosswalk_API!$H$2:$H$527, MATCH(POTABLE_NONPOTABLE_API[[#This Row],[PWSID]], CW_PWSID_LIST, 0)), "")</f>
        <v>No</v>
      </c>
    </row>
    <row r="3511" spans="1:24" x14ac:dyDescent="0.25">
      <c r="A3511" t="s">
        <v>1764</v>
      </c>
      <c r="B3511" t="s">
        <v>1765</v>
      </c>
      <c r="C3511" t="s">
        <v>1766</v>
      </c>
      <c r="D3511" t="s">
        <v>1767</v>
      </c>
      <c r="E3511" s="9">
        <v>45261</v>
      </c>
      <c r="F3511" s="9">
        <v>45291</v>
      </c>
      <c r="G3511">
        <v>47865603.324000001</v>
      </c>
      <c r="H3511">
        <v>51230341.219999999</v>
      </c>
      <c r="I3511">
        <v>51828034.767999999</v>
      </c>
      <c r="J3511">
        <v>4777060.0719999997</v>
      </c>
      <c r="K3511">
        <v>0</v>
      </c>
      <c r="L3511">
        <v>2495501.4720000001</v>
      </c>
      <c r="M3511">
        <v>0</v>
      </c>
      <c r="T3511" s="9">
        <v>45108</v>
      </c>
      <c r="U3511" s="9">
        <v>45473</v>
      </c>
      <c r="V3511">
        <f>SUM(POTABLE_NONPOTABLE_API[[#This Row],[RESIDENTIAL_SINGLEFAMILY_GAL]:[OTHER_GAL]])</f>
        <v>158196540.85600001</v>
      </c>
      <c r="W3511">
        <f>SUM(POTABLE_NONPOTABLE_API[[#This Row],[NONPOTABLE_DEMAND_RESIDENTIAL_RECYCLED_WATER_GAL]:[NONPOTABLE_DEMAND_NONRESIDENTIAL_METERED_IRRIGATION_GAL]])</f>
        <v>0</v>
      </c>
      <c r="X3511" t="str">
        <f>IFERROR(INDEX(Crosswalk_API!$H$2:$H$527, MATCH(POTABLE_NONPOTABLE_API[[#This Row],[PWSID]], CW_PWSID_LIST, 0)), "")</f>
        <v>No</v>
      </c>
    </row>
    <row r="3512" spans="1:24" x14ac:dyDescent="0.25">
      <c r="A3512" t="s">
        <v>1764</v>
      </c>
      <c r="B3512" t="s">
        <v>1765</v>
      </c>
      <c r="C3512" t="s">
        <v>1766</v>
      </c>
      <c r="D3512" t="s">
        <v>1767</v>
      </c>
      <c r="E3512" s="9">
        <v>45292</v>
      </c>
      <c r="F3512" s="9">
        <v>45322</v>
      </c>
      <c r="G3512">
        <v>72617895.952000007</v>
      </c>
      <c r="H3512">
        <v>75540535.115999997</v>
      </c>
      <c r="I3512">
        <v>35311794.660000004</v>
      </c>
      <c r="J3512">
        <v>2596488.4920000001</v>
      </c>
      <c r="K3512">
        <v>0</v>
      </c>
      <c r="L3512">
        <v>5107699.0559999999</v>
      </c>
      <c r="M3512">
        <v>0</v>
      </c>
      <c r="T3512" s="9">
        <v>45108</v>
      </c>
      <c r="U3512" s="9">
        <v>45473</v>
      </c>
      <c r="V3512">
        <f>SUM(POTABLE_NONPOTABLE_API[[#This Row],[RESIDENTIAL_SINGLEFAMILY_GAL]:[OTHER_GAL]])</f>
        <v>191174413.27600002</v>
      </c>
      <c r="W3512">
        <f>SUM(POTABLE_NONPOTABLE_API[[#This Row],[NONPOTABLE_DEMAND_RESIDENTIAL_RECYCLED_WATER_GAL]:[NONPOTABLE_DEMAND_NONRESIDENTIAL_METERED_IRRIGATION_GAL]])</f>
        <v>0</v>
      </c>
      <c r="X3512" t="str">
        <f>IFERROR(INDEX(Crosswalk_API!$H$2:$H$527, MATCH(POTABLE_NONPOTABLE_API[[#This Row],[PWSID]], CW_PWSID_LIST, 0)), "")</f>
        <v>No</v>
      </c>
    </row>
    <row r="3513" spans="1:24" x14ac:dyDescent="0.25">
      <c r="A3513" t="s">
        <v>1764</v>
      </c>
      <c r="B3513" t="s">
        <v>1765</v>
      </c>
      <c r="C3513" t="s">
        <v>1766</v>
      </c>
      <c r="D3513" t="s">
        <v>1767</v>
      </c>
      <c r="E3513" s="9">
        <v>45323</v>
      </c>
      <c r="F3513" s="9">
        <v>45351</v>
      </c>
      <c r="G3513">
        <v>59977313.256000005</v>
      </c>
      <c r="H3513">
        <v>22074266.468000002</v>
      </c>
      <c r="I3513">
        <v>28618225.364</v>
      </c>
      <c r="J3513">
        <v>3542774.2719999999</v>
      </c>
      <c r="K3513">
        <v>0</v>
      </c>
      <c r="L3513">
        <v>774233.82000000007</v>
      </c>
      <c r="M3513">
        <v>0</v>
      </c>
      <c r="T3513" s="9">
        <v>45108</v>
      </c>
      <c r="U3513" s="9">
        <v>45473</v>
      </c>
      <c r="V3513">
        <f>SUM(POTABLE_NONPOTABLE_API[[#This Row],[RESIDENTIAL_SINGLEFAMILY_GAL]:[OTHER_GAL]])</f>
        <v>114986813.17999999</v>
      </c>
      <c r="W3513">
        <f>SUM(POTABLE_NONPOTABLE_API[[#This Row],[NONPOTABLE_DEMAND_RESIDENTIAL_RECYCLED_WATER_GAL]:[NONPOTABLE_DEMAND_NONRESIDENTIAL_METERED_IRRIGATION_GAL]])</f>
        <v>0</v>
      </c>
      <c r="X3513" t="str">
        <f>IFERROR(INDEX(Crosswalk_API!$H$2:$H$527, MATCH(POTABLE_NONPOTABLE_API[[#This Row],[PWSID]], CW_PWSID_LIST, 0)), "")</f>
        <v>No</v>
      </c>
    </row>
    <row r="3514" spans="1:24" x14ac:dyDescent="0.25">
      <c r="A3514" t="s">
        <v>1764</v>
      </c>
      <c r="B3514" t="s">
        <v>1765</v>
      </c>
      <c r="C3514" t="s">
        <v>1766</v>
      </c>
      <c r="D3514" t="s">
        <v>1767</v>
      </c>
      <c r="E3514" s="9">
        <v>45352</v>
      </c>
      <c r="F3514" s="9">
        <v>45382</v>
      </c>
      <c r="G3514">
        <v>55226435.004000001</v>
      </c>
      <c r="H3514">
        <v>47289603.284000002</v>
      </c>
      <c r="I3514">
        <v>31439129.456</v>
      </c>
      <c r="J3514">
        <v>2857558.64</v>
      </c>
      <c r="K3514">
        <v>0</v>
      </c>
      <c r="L3514">
        <v>1636737.7760000001</v>
      </c>
      <c r="M3514">
        <v>0</v>
      </c>
      <c r="T3514" s="9">
        <v>45108</v>
      </c>
      <c r="U3514" s="9">
        <v>45473</v>
      </c>
      <c r="V3514">
        <f>SUM(POTABLE_NONPOTABLE_API[[#This Row],[RESIDENTIAL_SINGLEFAMILY_GAL]:[OTHER_GAL]])</f>
        <v>138449464.16</v>
      </c>
      <c r="W3514">
        <f>SUM(POTABLE_NONPOTABLE_API[[#This Row],[NONPOTABLE_DEMAND_RESIDENTIAL_RECYCLED_WATER_GAL]:[NONPOTABLE_DEMAND_NONRESIDENTIAL_METERED_IRRIGATION_GAL]])</f>
        <v>0</v>
      </c>
      <c r="X3514" t="str">
        <f>IFERROR(INDEX(Crosswalk_API!$H$2:$H$527, MATCH(POTABLE_NONPOTABLE_API[[#This Row],[PWSID]], CW_PWSID_LIST, 0)), "")</f>
        <v>No</v>
      </c>
    </row>
    <row r="3515" spans="1:24" x14ac:dyDescent="0.25">
      <c r="A3515" t="s">
        <v>1764</v>
      </c>
      <c r="B3515" t="s">
        <v>1765</v>
      </c>
      <c r="C3515" t="s">
        <v>1766</v>
      </c>
      <c r="D3515" t="s">
        <v>1767</v>
      </c>
      <c r="E3515" s="9">
        <v>45383</v>
      </c>
      <c r="F3515" s="9">
        <v>45412</v>
      </c>
      <c r="G3515">
        <v>49978850.223999999</v>
      </c>
      <c r="H3515">
        <v>43247130.276000001</v>
      </c>
      <c r="I3515">
        <v>28381840.932</v>
      </c>
      <c r="J3515">
        <v>2755823.568</v>
      </c>
      <c r="K3515">
        <v>0</v>
      </c>
      <c r="L3515">
        <v>1644966.348</v>
      </c>
      <c r="M3515">
        <v>0</v>
      </c>
      <c r="T3515" s="9">
        <v>45108</v>
      </c>
      <c r="U3515" s="9">
        <v>45473</v>
      </c>
      <c r="V3515">
        <f>SUM(POTABLE_NONPOTABLE_API[[#This Row],[RESIDENTIAL_SINGLEFAMILY_GAL]:[OTHER_GAL]])</f>
        <v>126008611.348</v>
      </c>
      <c r="W3515">
        <f>SUM(POTABLE_NONPOTABLE_API[[#This Row],[NONPOTABLE_DEMAND_RESIDENTIAL_RECYCLED_WATER_GAL]:[NONPOTABLE_DEMAND_NONRESIDENTIAL_METERED_IRRIGATION_GAL]])</f>
        <v>0</v>
      </c>
      <c r="X3515" t="str">
        <f>IFERROR(INDEX(Crosswalk_API!$H$2:$H$527, MATCH(POTABLE_NONPOTABLE_API[[#This Row],[PWSID]], CW_PWSID_LIST, 0)), "")</f>
        <v>No</v>
      </c>
    </row>
    <row r="3516" spans="1:24" x14ac:dyDescent="0.25">
      <c r="A3516" t="s">
        <v>1764</v>
      </c>
      <c r="B3516" t="s">
        <v>1765</v>
      </c>
      <c r="C3516" t="s">
        <v>1766</v>
      </c>
      <c r="D3516" t="s">
        <v>1767</v>
      </c>
      <c r="E3516" s="9">
        <v>45413</v>
      </c>
      <c r="F3516" s="9">
        <v>45443</v>
      </c>
      <c r="G3516">
        <v>61777126.368000001</v>
      </c>
      <c r="H3516">
        <v>52341198.440000005</v>
      </c>
      <c r="I3516">
        <v>40276615.784000002</v>
      </c>
      <c r="J3516">
        <v>4417995.1119999997</v>
      </c>
      <c r="K3516">
        <v>0</v>
      </c>
      <c r="L3516">
        <v>2681766.42</v>
      </c>
      <c r="M3516">
        <v>0</v>
      </c>
      <c r="T3516" s="9">
        <v>45108</v>
      </c>
      <c r="U3516" s="9">
        <v>45473</v>
      </c>
      <c r="V3516">
        <f>SUM(POTABLE_NONPOTABLE_API[[#This Row],[RESIDENTIAL_SINGLEFAMILY_GAL]:[OTHER_GAL]])</f>
        <v>161494702.12399998</v>
      </c>
      <c r="W3516">
        <f>SUM(POTABLE_NONPOTABLE_API[[#This Row],[NONPOTABLE_DEMAND_RESIDENTIAL_RECYCLED_WATER_GAL]:[NONPOTABLE_DEMAND_NONRESIDENTIAL_METERED_IRRIGATION_GAL]])</f>
        <v>0</v>
      </c>
      <c r="X3516" t="str">
        <f>IFERROR(INDEX(Crosswalk_API!$H$2:$H$527, MATCH(POTABLE_NONPOTABLE_API[[#This Row],[PWSID]], CW_PWSID_LIST, 0)), "")</f>
        <v>No</v>
      </c>
    </row>
    <row r="3517" spans="1:24" x14ac:dyDescent="0.25">
      <c r="A3517" t="s">
        <v>1764</v>
      </c>
      <c r="B3517" t="s">
        <v>1765</v>
      </c>
      <c r="C3517" t="s">
        <v>1766</v>
      </c>
      <c r="D3517" t="s">
        <v>1767</v>
      </c>
      <c r="E3517" s="9">
        <v>45444</v>
      </c>
      <c r="F3517" s="9">
        <v>45473</v>
      </c>
      <c r="G3517">
        <v>62972513.464000002</v>
      </c>
      <c r="H3517">
        <v>48466289.079999998</v>
      </c>
      <c r="I3517">
        <v>34000459.504000001</v>
      </c>
      <c r="J3517">
        <v>3627304.148</v>
      </c>
      <c r="K3517">
        <v>0</v>
      </c>
      <c r="L3517">
        <v>3647501.5520000001</v>
      </c>
      <c r="M3517">
        <v>0</v>
      </c>
      <c r="T3517" s="9">
        <v>45108</v>
      </c>
      <c r="U3517" s="9">
        <v>45473</v>
      </c>
      <c r="V3517">
        <f>SUM(POTABLE_NONPOTABLE_API[[#This Row],[RESIDENTIAL_SINGLEFAMILY_GAL]:[OTHER_GAL]])</f>
        <v>152714067.748</v>
      </c>
      <c r="W3517">
        <f>SUM(POTABLE_NONPOTABLE_API[[#This Row],[NONPOTABLE_DEMAND_RESIDENTIAL_RECYCLED_WATER_GAL]:[NONPOTABLE_DEMAND_NONRESIDENTIAL_METERED_IRRIGATION_GAL]])</f>
        <v>0</v>
      </c>
      <c r="X3517" t="str">
        <f>IFERROR(INDEX(Crosswalk_API!$H$2:$H$527, MATCH(POTABLE_NONPOTABLE_API[[#This Row],[PWSID]], CW_PWSID_LIST, 0)), "")</f>
        <v>No</v>
      </c>
    </row>
    <row r="3518" spans="1:24" x14ac:dyDescent="0.25">
      <c r="A3518" t="s">
        <v>1768</v>
      </c>
      <c r="B3518" t="s">
        <v>1769</v>
      </c>
      <c r="C3518" t="s">
        <v>1770</v>
      </c>
      <c r="D3518" t="s">
        <v>1771</v>
      </c>
      <c r="E3518" s="9">
        <v>45108</v>
      </c>
      <c r="F3518" s="9">
        <v>45138</v>
      </c>
      <c r="G3518">
        <v>144715895.764</v>
      </c>
      <c r="H3518">
        <v>21272354.723999999</v>
      </c>
      <c r="I3518">
        <v>22402661.296</v>
      </c>
      <c r="J3518">
        <v>57249167.612000003</v>
      </c>
      <c r="K3518">
        <v>0</v>
      </c>
      <c r="L3518">
        <v>1482639.064</v>
      </c>
      <c r="M3518">
        <v>0</v>
      </c>
      <c r="T3518" s="9">
        <v>45108</v>
      </c>
      <c r="U3518" s="9">
        <v>45473</v>
      </c>
      <c r="V3518">
        <f>SUM(POTABLE_NONPOTABLE_API[[#This Row],[RESIDENTIAL_SINGLEFAMILY_GAL]:[OTHER_GAL]])</f>
        <v>247122718.46000004</v>
      </c>
      <c r="W3518">
        <f>SUM(POTABLE_NONPOTABLE_API[[#This Row],[NONPOTABLE_DEMAND_RESIDENTIAL_RECYCLED_WATER_GAL]:[NONPOTABLE_DEMAND_NONRESIDENTIAL_METERED_IRRIGATION_GAL]])</f>
        <v>0</v>
      </c>
      <c r="X3518" t="str">
        <f>IFERROR(INDEX(Crosswalk_API!$H$2:$H$527, MATCH(POTABLE_NONPOTABLE_API[[#This Row],[PWSID]], CW_PWSID_LIST, 0)), "")</f>
        <v>No</v>
      </c>
    </row>
    <row r="3519" spans="1:24" x14ac:dyDescent="0.25">
      <c r="A3519" t="s">
        <v>1768</v>
      </c>
      <c r="B3519" t="s">
        <v>1769</v>
      </c>
      <c r="C3519" t="s">
        <v>1770</v>
      </c>
      <c r="D3519" t="s">
        <v>1771</v>
      </c>
      <c r="E3519" s="9">
        <v>45139</v>
      </c>
      <c r="F3519" s="9">
        <v>45169</v>
      </c>
      <c r="G3519">
        <v>142263781.308</v>
      </c>
      <c r="H3519">
        <v>20629030.004000001</v>
      </c>
      <c r="I3519">
        <v>22453528.832000002</v>
      </c>
      <c r="J3519">
        <v>60205469.116000004</v>
      </c>
      <c r="K3519">
        <v>0</v>
      </c>
      <c r="L3519">
        <v>517651.984</v>
      </c>
      <c r="M3519">
        <v>0</v>
      </c>
      <c r="T3519" s="9">
        <v>45108</v>
      </c>
      <c r="U3519" s="9">
        <v>45473</v>
      </c>
      <c r="V3519">
        <f>SUM(POTABLE_NONPOTABLE_API[[#This Row],[RESIDENTIAL_SINGLEFAMILY_GAL]:[OTHER_GAL]])</f>
        <v>246069461.24399999</v>
      </c>
      <c r="W3519">
        <f>SUM(POTABLE_NONPOTABLE_API[[#This Row],[NONPOTABLE_DEMAND_RESIDENTIAL_RECYCLED_WATER_GAL]:[NONPOTABLE_DEMAND_NONRESIDENTIAL_METERED_IRRIGATION_GAL]])</f>
        <v>0</v>
      </c>
      <c r="X3519" t="str">
        <f>IFERROR(INDEX(Crosswalk_API!$H$2:$H$527, MATCH(POTABLE_NONPOTABLE_API[[#This Row],[PWSID]], CW_PWSID_LIST, 0)), "")</f>
        <v>No</v>
      </c>
    </row>
    <row r="3520" spans="1:24" x14ac:dyDescent="0.25">
      <c r="A3520" t="s">
        <v>1768</v>
      </c>
      <c r="B3520" t="s">
        <v>1769</v>
      </c>
      <c r="C3520" t="s">
        <v>1770</v>
      </c>
      <c r="D3520" t="s">
        <v>1771</v>
      </c>
      <c r="E3520" s="9">
        <v>45170</v>
      </c>
      <c r="F3520" s="9">
        <v>45199</v>
      </c>
      <c r="G3520">
        <v>123771935.868</v>
      </c>
      <c r="H3520">
        <v>19466557.196000002</v>
      </c>
      <c r="I3520">
        <v>20964905.352000002</v>
      </c>
      <c r="J3520">
        <v>51025374.972000003</v>
      </c>
      <c r="K3520">
        <v>0</v>
      </c>
      <c r="L3520">
        <v>2090805.34</v>
      </c>
      <c r="M3520">
        <v>0</v>
      </c>
      <c r="T3520" s="9">
        <v>45108</v>
      </c>
      <c r="U3520" s="9">
        <v>45473</v>
      </c>
      <c r="V3520">
        <f>SUM(POTABLE_NONPOTABLE_API[[#This Row],[RESIDENTIAL_SINGLEFAMILY_GAL]:[OTHER_GAL]])</f>
        <v>217319578.72800002</v>
      </c>
      <c r="W3520">
        <f>SUM(POTABLE_NONPOTABLE_API[[#This Row],[NONPOTABLE_DEMAND_RESIDENTIAL_RECYCLED_WATER_GAL]:[NONPOTABLE_DEMAND_NONRESIDENTIAL_METERED_IRRIGATION_GAL]])</f>
        <v>0</v>
      </c>
      <c r="X3520" t="str">
        <f>IFERROR(INDEX(Crosswalk_API!$H$2:$H$527, MATCH(POTABLE_NONPOTABLE_API[[#This Row],[PWSID]], CW_PWSID_LIST, 0)), "")</f>
        <v>No</v>
      </c>
    </row>
    <row r="3521" spans="1:24" x14ac:dyDescent="0.25">
      <c r="A3521" t="s">
        <v>1768</v>
      </c>
      <c r="B3521" t="s">
        <v>1769</v>
      </c>
      <c r="C3521" t="s">
        <v>1770</v>
      </c>
      <c r="D3521" t="s">
        <v>1771</v>
      </c>
      <c r="E3521" s="9">
        <v>45200</v>
      </c>
      <c r="F3521" s="9">
        <v>45230</v>
      </c>
      <c r="G3521">
        <v>115655571.668</v>
      </c>
      <c r="H3521">
        <v>19444115.636</v>
      </c>
      <c r="I3521">
        <v>21573071.628000002</v>
      </c>
      <c r="J3521">
        <v>42172179.552000001</v>
      </c>
      <c r="K3521">
        <v>0</v>
      </c>
      <c r="L3521">
        <v>1860405.324</v>
      </c>
      <c r="M3521">
        <v>0</v>
      </c>
      <c r="T3521" s="9">
        <v>45108</v>
      </c>
      <c r="U3521" s="9">
        <v>45473</v>
      </c>
      <c r="V3521">
        <f>SUM(POTABLE_NONPOTABLE_API[[#This Row],[RESIDENTIAL_SINGLEFAMILY_GAL]:[OTHER_GAL]])</f>
        <v>200705343.80799997</v>
      </c>
      <c r="W3521">
        <f>SUM(POTABLE_NONPOTABLE_API[[#This Row],[NONPOTABLE_DEMAND_RESIDENTIAL_RECYCLED_WATER_GAL]:[NONPOTABLE_DEMAND_NONRESIDENTIAL_METERED_IRRIGATION_GAL]])</f>
        <v>0</v>
      </c>
      <c r="X3521" t="str">
        <f>IFERROR(INDEX(Crosswalk_API!$H$2:$H$527, MATCH(POTABLE_NONPOTABLE_API[[#This Row],[PWSID]], CW_PWSID_LIST, 0)), "")</f>
        <v>No</v>
      </c>
    </row>
    <row r="3522" spans="1:24" x14ac:dyDescent="0.25">
      <c r="A3522" t="s">
        <v>1768</v>
      </c>
      <c r="B3522" t="s">
        <v>1769</v>
      </c>
      <c r="C3522" t="s">
        <v>1770</v>
      </c>
      <c r="D3522" t="s">
        <v>1771</v>
      </c>
      <c r="E3522" s="9">
        <v>45231</v>
      </c>
      <c r="F3522" s="9">
        <v>45260</v>
      </c>
      <c r="G3522">
        <v>81572078.392000005</v>
      </c>
      <c r="H3522">
        <v>18015336.316</v>
      </c>
      <c r="I3522">
        <v>18770120.784000002</v>
      </c>
      <c r="J3522">
        <v>24183025.056000002</v>
      </c>
      <c r="K3522">
        <v>0</v>
      </c>
      <c r="L3522">
        <v>90514.292000000001</v>
      </c>
      <c r="M3522">
        <v>0</v>
      </c>
      <c r="T3522" s="9">
        <v>45108</v>
      </c>
      <c r="U3522" s="9">
        <v>45473</v>
      </c>
      <c r="V3522">
        <f>SUM(POTABLE_NONPOTABLE_API[[#This Row],[RESIDENTIAL_SINGLEFAMILY_GAL]:[OTHER_GAL]])</f>
        <v>142631074.84</v>
      </c>
      <c r="W3522">
        <f>SUM(POTABLE_NONPOTABLE_API[[#This Row],[NONPOTABLE_DEMAND_RESIDENTIAL_RECYCLED_WATER_GAL]:[NONPOTABLE_DEMAND_NONRESIDENTIAL_METERED_IRRIGATION_GAL]])</f>
        <v>0</v>
      </c>
      <c r="X3522" t="str">
        <f>IFERROR(INDEX(Crosswalk_API!$H$2:$H$527, MATCH(POTABLE_NONPOTABLE_API[[#This Row],[PWSID]], CW_PWSID_LIST, 0)), "")</f>
        <v>No</v>
      </c>
    </row>
    <row r="3523" spans="1:24" x14ac:dyDescent="0.25">
      <c r="A3523" t="s">
        <v>1768</v>
      </c>
      <c r="B3523" t="s">
        <v>1769</v>
      </c>
      <c r="C3523" t="s">
        <v>1770</v>
      </c>
      <c r="D3523" t="s">
        <v>1771</v>
      </c>
      <c r="E3523" s="9">
        <v>45261</v>
      </c>
      <c r="F3523" s="9">
        <v>45291</v>
      </c>
      <c r="G3523">
        <v>65759007.164000005</v>
      </c>
      <c r="H3523">
        <v>17661507.719999999</v>
      </c>
      <c r="I3523">
        <v>17758754.48</v>
      </c>
      <c r="J3523">
        <v>10317133.184</v>
      </c>
      <c r="K3523">
        <v>0</v>
      </c>
      <c r="L3523">
        <v>9724.6759999999995</v>
      </c>
      <c r="M3523">
        <v>0</v>
      </c>
      <c r="T3523" s="9">
        <v>45108</v>
      </c>
      <c r="U3523" s="9">
        <v>45473</v>
      </c>
      <c r="V3523">
        <f>SUM(POTABLE_NONPOTABLE_API[[#This Row],[RESIDENTIAL_SINGLEFAMILY_GAL]:[OTHER_GAL]])</f>
        <v>111506127.22400001</v>
      </c>
      <c r="W3523">
        <f>SUM(POTABLE_NONPOTABLE_API[[#This Row],[NONPOTABLE_DEMAND_RESIDENTIAL_RECYCLED_WATER_GAL]:[NONPOTABLE_DEMAND_NONRESIDENTIAL_METERED_IRRIGATION_GAL]])</f>
        <v>0</v>
      </c>
      <c r="X3523" t="str">
        <f>IFERROR(INDEX(Crosswalk_API!$H$2:$H$527, MATCH(POTABLE_NONPOTABLE_API[[#This Row],[PWSID]], CW_PWSID_LIST, 0)), "")</f>
        <v>No</v>
      </c>
    </row>
    <row r="3524" spans="1:24" x14ac:dyDescent="0.25">
      <c r="A3524" t="s">
        <v>1768</v>
      </c>
      <c r="B3524" t="s">
        <v>1769</v>
      </c>
      <c r="C3524" t="s">
        <v>1770</v>
      </c>
      <c r="D3524" t="s">
        <v>1771</v>
      </c>
      <c r="E3524" s="9">
        <v>45292</v>
      </c>
      <c r="F3524" s="9">
        <v>45322</v>
      </c>
      <c r="G3524">
        <v>54658663.535999998</v>
      </c>
      <c r="H3524">
        <v>18176915.548</v>
      </c>
      <c r="I3524">
        <v>18346723.352000002</v>
      </c>
      <c r="J3524">
        <v>4584062.6560000004</v>
      </c>
      <c r="K3524">
        <v>0</v>
      </c>
      <c r="L3524">
        <v>1389132.564</v>
      </c>
      <c r="M3524">
        <v>0</v>
      </c>
      <c r="T3524" s="9">
        <v>45108</v>
      </c>
      <c r="U3524" s="9">
        <v>45473</v>
      </c>
      <c r="V3524">
        <f>SUM(POTABLE_NONPOTABLE_API[[#This Row],[RESIDENTIAL_SINGLEFAMILY_GAL]:[OTHER_GAL]])</f>
        <v>97155497.655999988</v>
      </c>
      <c r="W3524">
        <f>SUM(POTABLE_NONPOTABLE_API[[#This Row],[NONPOTABLE_DEMAND_RESIDENTIAL_RECYCLED_WATER_GAL]:[NONPOTABLE_DEMAND_NONRESIDENTIAL_METERED_IRRIGATION_GAL]])</f>
        <v>0</v>
      </c>
      <c r="X3524" t="str">
        <f>IFERROR(INDEX(Crosswalk_API!$H$2:$H$527, MATCH(POTABLE_NONPOTABLE_API[[#This Row],[PWSID]], CW_PWSID_LIST, 0)), "")</f>
        <v>No</v>
      </c>
    </row>
    <row r="3525" spans="1:24" x14ac:dyDescent="0.25">
      <c r="A3525" t="s">
        <v>1768</v>
      </c>
      <c r="B3525" t="s">
        <v>1769</v>
      </c>
      <c r="C3525" t="s">
        <v>1770</v>
      </c>
      <c r="D3525" t="s">
        <v>1771</v>
      </c>
      <c r="E3525" s="9">
        <v>45323</v>
      </c>
      <c r="F3525" s="9">
        <v>45351</v>
      </c>
      <c r="G3525">
        <v>48647317.664000005</v>
      </c>
      <c r="H3525">
        <v>16109299.82</v>
      </c>
      <c r="I3525">
        <v>17183502.491999999</v>
      </c>
      <c r="J3525">
        <v>3172488.5320000001</v>
      </c>
      <c r="K3525">
        <v>0</v>
      </c>
      <c r="L3525">
        <v>1713787.132</v>
      </c>
      <c r="M3525">
        <v>0</v>
      </c>
      <c r="T3525" s="9">
        <v>45108</v>
      </c>
      <c r="U3525" s="9">
        <v>45473</v>
      </c>
      <c r="V3525">
        <f>SUM(POTABLE_NONPOTABLE_API[[#This Row],[RESIDENTIAL_SINGLEFAMILY_GAL]:[OTHER_GAL]])</f>
        <v>86826395.640000015</v>
      </c>
      <c r="W3525">
        <f>SUM(POTABLE_NONPOTABLE_API[[#This Row],[NONPOTABLE_DEMAND_RESIDENTIAL_RECYCLED_WATER_GAL]:[NONPOTABLE_DEMAND_NONRESIDENTIAL_METERED_IRRIGATION_GAL]])</f>
        <v>0</v>
      </c>
      <c r="X3525" t="str">
        <f>IFERROR(INDEX(Crosswalk_API!$H$2:$H$527, MATCH(POTABLE_NONPOTABLE_API[[#This Row],[PWSID]], CW_PWSID_LIST, 0)), "")</f>
        <v>No</v>
      </c>
    </row>
    <row r="3526" spans="1:24" x14ac:dyDescent="0.25">
      <c r="A3526" t="s">
        <v>1768</v>
      </c>
      <c r="B3526" t="s">
        <v>1769</v>
      </c>
      <c r="C3526" t="s">
        <v>1770</v>
      </c>
      <c r="D3526" t="s">
        <v>1771</v>
      </c>
      <c r="E3526" s="9">
        <v>45352</v>
      </c>
      <c r="F3526" s="9">
        <v>45382</v>
      </c>
      <c r="G3526">
        <v>58428845.616000004</v>
      </c>
      <c r="H3526">
        <v>17752022.012000002</v>
      </c>
      <c r="I3526">
        <v>18859138.971999999</v>
      </c>
      <c r="J3526">
        <v>5641808.1840000004</v>
      </c>
      <c r="K3526">
        <v>0</v>
      </c>
      <c r="L3526">
        <v>311937.68400000001</v>
      </c>
      <c r="M3526">
        <v>0</v>
      </c>
      <c r="T3526" s="9">
        <v>45108</v>
      </c>
      <c r="U3526" s="9">
        <v>45473</v>
      </c>
      <c r="V3526">
        <f>SUM(POTABLE_NONPOTABLE_API[[#This Row],[RESIDENTIAL_SINGLEFAMILY_GAL]:[OTHER_GAL]])</f>
        <v>100993752.46800001</v>
      </c>
      <c r="W3526">
        <f>SUM(POTABLE_NONPOTABLE_API[[#This Row],[NONPOTABLE_DEMAND_RESIDENTIAL_RECYCLED_WATER_GAL]:[NONPOTABLE_DEMAND_NONRESIDENTIAL_METERED_IRRIGATION_GAL]])</f>
        <v>0</v>
      </c>
      <c r="X3526" t="str">
        <f>IFERROR(INDEX(Crosswalk_API!$H$2:$H$527, MATCH(POTABLE_NONPOTABLE_API[[#This Row],[PWSID]], CW_PWSID_LIST, 0)), "")</f>
        <v>No</v>
      </c>
    </row>
    <row r="3527" spans="1:24" x14ac:dyDescent="0.25">
      <c r="A3527" t="s">
        <v>1768</v>
      </c>
      <c r="B3527" t="s">
        <v>1769</v>
      </c>
      <c r="C3527" t="s">
        <v>1770</v>
      </c>
      <c r="D3527" t="s">
        <v>1771</v>
      </c>
      <c r="E3527" s="9">
        <v>45383</v>
      </c>
      <c r="F3527" s="9">
        <v>45412</v>
      </c>
      <c r="G3527">
        <v>72106228.384000003</v>
      </c>
      <c r="H3527">
        <v>17876946.696000002</v>
      </c>
      <c r="I3527">
        <v>18095377.879999999</v>
      </c>
      <c r="J3527">
        <v>13046026.880000001</v>
      </c>
      <c r="K3527">
        <v>0</v>
      </c>
      <c r="L3527">
        <v>192997.416</v>
      </c>
      <c r="M3527">
        <v>0</v>
      </c>
      <c r="T3527" s="9">
        <v>45108</v>
      </c>
      <c r="U3527" s="9">
        <v>45473</v>
      </c>
      <c r="V3527">
        <f>SUM(POTABLE_NONPOTABLE_API[[#This Row],[RESIDENTIAL_SINGLEFAMILY_GAL]:[OTHER_GAL]])</f>
        <v>121317577.256</v>
      </c>
      <c r="W3527">
        <f>SUM(POTABLE_NONPOTABLE_API[[#This Row],[NONPOTABLE_DEMAND_RESIDENTIAL_RECYCLED_WATER_GAL]:[NONPOTABLE_DEMAND_NONRESIDENTIAL_METERED_IRRIGATION_GAL]])</f>
        <v>0</v>
      </c>
      <c r="X3527" t="str">
        <f>IFERROR(INDEX(Crosswalk_API!$H$2:$H$527, MATCH(POTABLE_NONPOTABLE_API[[#This Row],[PWSID]], CW_PWSID_LIST, 0)), "")</f>
        <v>No</v>
      </c>
    </row>
    <row r="3528" spans="1:24" x14ac:dyDescent="0.25">
      <c r="A3528" t="s">
        <v>1768</v>
      </c>
      <c r="B3528" t="s">
        <v>1769</v>
      </c>
      <c r="C3528" t="s">
        <v>1770</v>
      </c>
      <c r="D3528" t="s">
        <v>1771</v>
      </c>
      <c r="E3528" s="9">
        <v>45413</v>
      </c>
      <c r="F3528" s="9">
        <v>45443</v>
      </c>
      <c r="G3528">
        <v>114439239.116</v>
      </c>
      <c r="H3528">
        <v>20183939.063999999</v>
      </c>
      <c r="I3528">
        <v>19516676.68</v>
      </c>
      <c r="J3528">
        <v>39916054.719999999</v>
      </c>
      <c r="K3528">
        <v>0</v>
      </c>
      <c r="L3528">
        <v>492218.21600000001</v>
      </c>
      <c r="M3528">
        <v>0</v>
      </c>
      <c r="T3528" s="9">
        <v>45108</v>
      </c>
      <c r="U3528" s="9">
        <v>45473</v>
      </c>
      <c r="V3528">
        <f>SUM(POTABLE_NONPOTABLE_API[[#This Row],[RESIDENTIAL_SINGLEFAMILY_GAL]:[OTHER_GAL]])</f>
        <v>194548127.796</v>
      </c>
      <c r="W3528">
        <f>SUM(POTABLE_NONPOTABLE_API[[#This Row],[NONPOTABLE_DEMAND_RESIDENTIAL_RECYCLED_WATER_GAL]:[NONPOTABLE_DEMAND_NONRESIDENTIAL_METERED_IRRIGATION_GAL]])</f>
        <v>0</v>
      </c>
      <c r="X3528" t="str">
        <f>IFERROR(INDEX(Crosswalk_API!$H$2:$H$527, MATCH(POTABLE_NONPOTABLE_API[[#This Row],[PWSID]], CW_PWSID_LIST, 0)), "")</f>
        <v>No</v>
      </c>
    </row>
    <row r="3529" spans="1:24" x14ac:dyDescent="0.25">
      <c r="A3529" t="s">
        <v>1768</v>
      </c>
      <c r="B3529" t="s">
        <v>1769</v>
      </c>
      <c r="C3529" t="s">
        <v>1770</v>
      </c>
      <c r="D3529" t="s">
        <v>1771</v>
      </c>
      <c r="E3529" s="9">
        <v>45444</v>
      </c>
      <c r="F3529" s="9">
        <v>45473</v>
      </c>
      <c r="G3529">
        <v>136663864.03600001</v>
      </c>
      <c r="H3529">
        <v>20543004.024</v>
      </c>
      <c r="I3529">
        <v>19855544.236000001</v>
      </c>
      <c r="J3529">
        <v>55475536.32</v>
      </c>
      <c r="K3529">
        <v>0</v>
      </c>
      <c r="L3529">
        <v>251345.47200000001</v>
      </c>
      <c r="M3529">
        <v>0</v>
      </c>
      <c r="T3529" s="9">
        <v>45108</v>
      </c>
      <c r="U3529" s="9">
        <v>45473</v>
      </c>
      <c r="V3529">
        <f>SUM(POTABLE_NONPOTABLE_API[[#This Row],[RESIDENTIAL_SINGLEFAMILY_GAL]:[OTHER_GAL]])</f>
        <v>232789294.088</v>
      </c>
      <c r="W3529">
        <f>SUM(POTABLE_NONPOTABLE_API[[#This Row],[NONPOTABLE_DEMAND_RESIDENTIAL_RECYCLED_WATER_GAL]:[NONPOTABLE_DEMAND_NONRESIDENTIAL_METERED_IRRIGATION_GAL]])</f>
        <v>0</v>
      </c>
      <c r="X3529" t="str">
        <f>IFERROR(INDEX(Crosswalk_API!$H$2:$H$527, MATCH(POTABLE_NONPOTABLE_API[[#This Row],[PWSID]], CW_PWSID_LIST, 0)), "")</f>
        <v>No</v>
      </c>
    </row>
    <row r="3530" spans="1:24" x14ac:dyDescent="0.25">
      <c r="A3530" t="s">
        <v>1772</v>
      </c>
      <c r="B3530" t="s">
        <v>1773</v>
      </c>
      <c r="C3530" t="s">
        <v>1774</v>
      </c>
      <c r="D3530" t="s">
        <v>1775</v>
      </c>
      <c r="E3530" s="9">
        <v>45108</v>
      </c>
      <c r="F3530" s="9">
        <v>45138</v>
      </c>
      <c r="G3530">
        <v>16130245.276000001</v>
      </c>
      <c r="H3530">
        <v>3162763.8560000001</v>
      </c>
      <c r="I3530">
        <v>11191605.972000001</v>
      </c>
      <c r="J3530">
        <v>771989.66399999999</v>
      </c>
      <c r="K3530">
        <v>748.05200000000002</v>
      </c>
      <c r="L3530">
        <v>0</v>
      </c>
      <c r="M3530">
        <v>0</v>
      </c>
      <c r="T3530" s="9">
        <v>45108</v>
      </c>
      <c r="U3530" s="9">
        <v>45473</v>
      </c>
      <c r="V3530">
        <f>SUM(POTABLE_NONPOTABLE_API[[#This Row],[RESIDENTIAL_SINGLEFAMILY_GAL]:[OTHER_GAL]])</f>
        <v>31257352.820000004</v>
      </c>
      <c r="W3530">
        <f>SUM(POTABLE_NONPOTABLE_API[[#This Row],[NONPOTABLE_DEMAND_RESIDENTIAL_RECYCLED_WATER_GAL]:[NONPOTABLE_DEMAND_NONRESIDENTIAL_METERED_IRRIGATION_GAL]])</f>
        <v>0</v>
      </c>
      <c r="X3530" t="str">
        <f>IFERROR(INDEX(Crosswalk_API!$H$2:$H$527, MATCH(POTABLE_NONPOTABLE_API[[#This Row],[PWSID]], CW_PWSID_LIST, 0)), "")</f>
        <v>No</v>
      </c>
    </row>
    <row r="3531" spans="1:24" x14ac:dyDescent="0.25">
      <c r="A3531" t="s">
        <v>1772</v>
      </c>
      <c r="B3531" t="s">
        <v>1773</v>
      </c>
      <c r="C3531" t="s">
        <v>1774</v>
      </c>
      <c r="D3531" t="s">
        <v>1775</v>
      </c>
      <c r="E3531" s="9">
        <v>45139</v>
      </c>
      <c r="F3531" s="9">
        <v>45169</v>
      </c>
      <c r="G3531">
        <v>16059928.388</v>
      </c>
      <c r="H3531">
        <v>2970514.4920000001</v>
      </c>
      <c r="I3531">
        <v>13335523.004000001</v>
      </c>
      <c r="J3531">
        <v>1061485.7879999999</v>
      </c>
      <c r="K3531">
        <v>0</v>
      </c>
      <c r="L3531">
        <v>0</v>
      </c>
      <c r="M3531">
        <v>0</v>
      </c>
      <c r="T3531" s="9">
        <v>45108</v>
      </c>
      <c r="U3531" s="9">
        <v>45473</v>
      </c>
      <c r="V3531">
        <f>SUM(POTABLE_NONPOTABLE_API[[#This Row],[RESIDENTIAL_SINGLEFAMILY_GAL]:[OTHER_GAL]])</f>
        <v>33427451.671999998</v>
      </c>
      <c r="W3531">
        <f>SUM(POTABLE_NONPOTABLE_API[[#This Row],[NONPOTABLE_DEMAND_RESIDENTIAL_RECYCLED_WATER_GAL]:[NONPOTABLE_DEMAND_NONRESIDENTIAL_METERED_IRRIGATION_GAL]])</f>
        <v>0</v>
      </c>
      <c r="X3531" t="str">
        <f>IFERROR(INDEX(Crosswalk_API!$H$2:$H$527, MATCH(POTABLE_NONPOTABLE_API[[#This Row],[PWSID]], CW_PWSID_LIST, 0)), "")</f>
        <v>No</v>
      </c>
    </row>
    <row r="3532" spans="1:24" x14ac:dyDescent="0.25">
      <c r="A3532" t="s">
        <v>1772</v>
      </c>
      <c r="B3532" t="s">
        <v>1773</v>
      </c>
      <c r="C3532" t="s">
        <v>1774</v>
      </c>
      <c r="D3532" t="s">
        <v>1775</v>
      </c>
      <c r="E3532" s="9">
        <v>45170</v>
      </c>
      <c r="F3532" s="9">
        <v>45199</v>
      </c>
      <c r="G3532">
        <v>16059928.388</v>
      </c>
      <c r="H3532">
        <v>2970514.4920000001</v>
      </c>
      <c r="I3532">
        <v>13335523.004000001</v>
      </c>
      <c r="J3532">
        <v>922348.11600000004</v>
      </c>
      <c r="K3532">
        <v>0</v>
      </c>
      <c r="L3532">
        <v>0</v>
      </c>
      <c r="M3532">
        <v>0</v>
      </c>
      <c r="T3532" s="9">
        <v>45108</v>
      </c>
      <c r="U3532" s="9">
        <v>45473</v>
      </c>
      <c r="V3532">
        <f>SUM(POTABLE_NONPOTABLE_API[[#This Row],[RESIDENTIAL_SINGLEFAMILY_GAL]:[OTHER_GAL]])</f>
        <v>33288314</v>
      </c>
      <c r="W3532">
        <f>SUM(POTABLE_NONPOTABLE_API[[#This Row],[NONPOTABLE_DEMAND_RESIDENTIAL_RECYCLED_WATER_GAL]:[NONPOTABLE_DEMAND_NONRESIDENTIAL_METERED_IRRIGATION_GAL]])</f>
        <v>0</v>
      </c>
      <c r="X3532" t="str">
        <f>IFERROR(INDEX(Crosswalk_API!$H$2:$H$527, MATCH(POTABLE_NONPOTABLE_API[[#This Row],[PWSID]], CW_PWSID_LIST, 0)), "")</f>
        <v>No</v>
      </c>
    </row>
    <row r="3533" spans="1:24" x14ac:dyDescent="0.25">
      <c r="A3533" t="s">
        <v>1772</v>
      </c>
      <c r="B3533" t="s">
        <v>1773</v>
      </c>
      <c r="C3533" t="s">
        <v>1774</v>
      </c>
      <c r="D3533" t="s">
        <v>1775</v>
      </c>
      <c r="E3533" s="9">
        <v>45200</v>
      </c>
      <c r="F3533" s="9">
        <v>45230</v>
      </c>
      <c r="G3533">
        <v>15301403.66</v>
      </c>
      <c r="H3533">
        <v>3006420.9879999999</v>
      </c>
      <c r="I3533">
        <v>12770743.744000001</v>
      </c>
      <c r="J3533">
        <v>813132.52399999998</v>
      </c>
      <c r="K3533">
        <v>0</v>
      </c>
      <c r="L3533">
        <v>0</v>
      </c>
      <c r="M3533">
        <v>0</v>
      </c>
      <c r="T3533" s="9">
        <v>45108</v>
      </c>
      <c r="U3533" s="9">
        <v>45473</v>
      </c>
      <c r="V3533">
        <f>SUM(POTABLE_NONPOTABLE_API[[#This Row],[RESIDENTIAL_SINGLEFAMILY_GAL]:[OTHER_GAL]])</f>
        <v>31891700.916000005</v>
      </c>
      <c r="W3533">
        <f>SUM(POTABLE_NONPOTABLE_API[[#This Row],[NONPOTABLE_DEMAND_RESIDENTIAL_RECYCLED_WATER_GAL]:[NONPOTABLE_DEMAND_NONRESIDENTIAL_METERED_IRRIGATION_GAL]])</f>
        <v>0</v>
      </c>
      <c r="X3533" t="str">
        <f>IFERROR(INDEX(Crosswalk_API!$H$2:$H$527, MATCH(POTABLE_NONPOTABLE_API[[#This Row],[PWSID]], CW_PWSID_LIST, 0)), "")</f>
        <v>No</v>
      </c>
    </row>
    <row r="3534" spans="1:24" x14ac:dyDescent="0.25">
      <c r="A3534" t="s">
        <v>1772</v>
      </c>
      <c r="B3534" t="s">
        <v>1773</v>
      </c>
      <c r="C3534" t="s">
        <v>1774</v>
      </c>
      <c r="D3534" t="s">
        <v>1775</v>
      </c>
      <c r="E3534" s="9">
        <v>45231</v>
      </c>
      <c r="F3534" s="9">
        <v>45260</v>
      </c>
      <c r="G3534">
        <v>16602266.088000001</v>
      </c>
      <c r="H3534">
        <v>3099179.4360000002</v>
      </c>
      <c r="I3534">
        <v>10887148.808</v>
      </c>
      <c r="J3534">
        <v>1000145.524</v>
      </c>
      <c r="K3534">
        <v>748.05200000000002</v>
      </c>
      <c r="L3534">
        <v>0</v>
      </c>
      <c r="M3534">
        <v>0</v>
      </c>
      <c r="T3534" s="9">
        <v>45108</v>
      </c>
      <c r="U3534" s="9">
        <v>45473</v>
      </c>
      <c r="V3534">
        <f>SUM(POTABLE_NONPOTABLE_API[[#This Row],[RESIDENTIAL_SINGLEFAMILY_GAL]:[OTHER_GAL]])</f>
        <v>31589487.908000004</v>
      </c>
      <c r="W3534">
        <f>SUM(POTABLE_NONPOTABLE_API[[#This Row],[NONPOTABLE_DEMAND_RESIDENTIAL_RECYCLED_WATER_GAL]:[NONPOTABLE_DEMAND_NONRESIDENTIAL_METERED_IRRIGATION_GAL]])</f>
        <v>0</v>
      </c>
      <c r="X3534" t="str">
        <f>IFERROR(INDEX(Crosswalk_API!$H$2:$H$527, MATCH(POTABLE_NONPOTABLE_API[[#This Row],[PWSID]], CW_PWSID_LIST, 0)), "")</f>
        <v>No</v>
      </c>
    </row>
    <row r="3535" spans="1:24" x14ac:dyDescent="0.25">
      <c r="A3535" t="s">
        <v>1772</v>
      </c>
      <c r="B3535" t="s">
        <v>1773</v>
      </c>
      <c r="C3535" t="s">
        <v>1774</v>
      </c>
      <c r="D3535" t="s">
        <v>1775</v>
      </c>
      <c r="E3535" s="9">
        <v>45261</v>
      </c>
      <c r="F3535" s="9">
        <v>45291</v>
      </c>
      <c r="G3535">
        <v>18045258.396000002</v>
      </c>
      <c r="H3535">
        <v>3510608.0360000003</v>
      </c>
      <c r="I3535">
        <v>9261631.8120000008</v>
      </c>
      <c r="J3535">
        <v>580488.35200000007</v>
      </c>
      <c r="K3535">
        <v>0</v>
      </c>
      <c r="L3535">
        <v>0</v>
      </c>
      <c r="M3535">
        <v>0</v>
      </c>
      <c r="T3535" s="9">
        <v>45108</v>
      </c>
      <c r="U3535" s="9">
        <v>45473</v>
      </c>
      <c r="V3535">
        <f>SUM(POTABLE_NONPOTABLE_API[[#This Row],[RESIDENTIAL_SINGLEFAMILY_GAL]:[OTHER_GAL]])</f>
        <v>31397986.596000005</v>
      </c>
      <c r="W3535">
        <f>SUM(POTABLE_NONPOTABLE_API[[#This Row],[NONPOTABLE_DEMAND_RESIDENTIAL_RECYCLED_WATER_GAL]:[NONPOTABLE_DEMAND_NONRESIDENTIAL_METERED_IRRIGATION_GAL]])</f>
        <v>0</v>
      </c>
      <c r="X3535" t="str">
        <f>IFERROR(INDEX(Crosswalk_API!$H$2:$H$527, MATCH(POTABLE_NONPOTABLE_API[[#This Row],[PWSID]], CW_PWSID_LIST, 0)), "")</f>
        <v>No</v>
      </c>
    </row>
    <row r="3536" spans="1:24" x14ac:dyDescent="0.25">
      <c r="A3536" t="s">
        <v>1772</v>
      </c>
      <c r="B3536" t="s">
        <v>1773</v>
      </c>
      <c r="C3536" t="s">
        <v>1774</v>
      </c>
      <c r="D3536" t="s">
        <v>1775</v>
      </c>
      <c r="E3536" s="9">
        <v>45292</v>
      </c>
      <c r="F3536" s="9">
        <v>45322</v>
      </c>
      <c r="G3536">
        <v>12496956.712000001</v>
      </c>
      <c r="H3536">
        <v>2636135.2480000001</v>
      </c>
      <c r="I3536">
        <v>6327023.8160000006</v>
      </c>
      <c r="J3536">
        <v>121932.47600000001</v>
      </c>
      <c r="K3536">
        <v>0</v>
      </c>
      <c r="L3536">
        <v>0</v>
      </c>
      <c r="M3536">
        <v>0</v>
      </c>
      <c r="T3536" s="9">
        <v>45108</v>
      </c>
      <c r="U3536" s="9">
        <v>45473</v>
      </c>
      <c r="V3536">
        <f>SUM(POTABLE_NONPOTABLE_API[[#This Row],[RESIDENTIAL_SINGLEFAMILY_GAL]:[OTHER_GAL]])</f>
        <v>21582048.252</v>
      </c>
      <c r="W3536">
        <f>SUM(POTABLE_NONPOTABLE_API[[#This Row],[NONPOTABLE_DEMAND_RESIDENTIAL_RECYCLED_WATER_GAL]:[NONPOTABLE_DEMAND_NONRESIDENTIAL_METERED_IRRIGATION_GAL]])</f>
        <v>0</v>
      </c>
      <c r="X3536" t="str">
        <f>IFERROR(INDEX(Crosswalk_API!$H$2:$H$527, MATCH(POTABLE_NONPOTABLE_API[[#This Row],[PWSID]], CW_PWSID_LIST, 0)), "")</f>
        <v>No</v>
      </c>
    </row>
    <row r="3537" spans="1:24" x14ac:dyDescent="0.25">
      <c r="A3537" t="s">
        <v>1772</v>
      </c>
      <c r="B3537" t="s">
        <v>1773</v>
      </c>
      <c r="C3537" t="s">
        <v>1774</v>
      </c>
      <c r="D3537" t="s">
        <v>1775</v>
      </c>
      <c r="E3537" s="9">
        <v>45323</v>
      </c>
      <c r="F3537" s="9">
        <v>45351</v>
      </c>
      <c r="G3537">
        <v>6698057.608</v>
      </c>
      <c r="H3537">
        <v>1496104</v>
      </c>
      <c r="I3537">
        <v>2741610.58</v>
      </c>
      <c r="J3537">
        <v>56851.952000000005</v>
      </c>
      <c r="K3537">
        <v>0</v>
      </c>
      <c r="L3537">
        <v>0</v>
      </c>
      <c r="M3537">
        <v>0</v>
      </c>
      <c r="T3537" s="9">
        <v>45108</v>
      </c>
      <c r="U3537" s="9">
        <v>45473</v>
      </c>
      <c r="V3537">
        <f>SUM(POTABLE_NONPOTABLE_API[[#This Row],[RESIDENTIAL_SINGLEFAMILY_GAL]:[OTHER_GAL]])</f>
        <v>10992624.140000001</v>
      </c>
      <c r="W3537">
        <f>SUM(POTABLE_NONPOTABLE_API[[#This Row],[NONPOTABLE_DEMAND_RESIDENTIAL_RECYCLED_WATER_GAL]:[NONPOTABLE_DEMAND_NONRESIDENTIAL_METERED_IRRIGATION_GAL]])</f>
        <v>0</v>
      </c>
      <c r="X3537" t="str">
        <f>IFERROR(INDEX(Crosswalk_API!$H$2:$H$527, MATCH(POTABLE_NONPOTABLE_API[[#This Row],[PWSID]], CW_PWSID_LIST, 0)), "")</f>
        <v>No</v>
      </c>
    </row>
    <row r="3538" spans="1:24" x14ac:dyDescent="0.25">
      <c r="A3538" t="s">
        <v>1772</v>
      </c>
      <c r="B3538" t="s">
        <v>1773</v>
      </c>
      <c r="C3538" t="s">
        <v>1774</v>
      </c>
      <c r="D3538" t="s">
        <v>1775</v>
      </c>
      <c r="E3538" s="9">
        <v>45352</v>
      </c>
      <c r="F3538" s="9">
        <v>45382</v>
      </c>
      <c r="G3538">
        <v>11979304.728</v>
      </c>
      <c r="H3538">
        <v>2613693.6880000001</v>
      </c>
      <c r="I3538">
        <v>5774961.4400000004</v>
      </c>
      <c r="J3538">
        <v>87522.084000000003</v>
      </c>
      <c r="K3538">
        <v>0</v>
      </c>
      <c r="L3538">
        <v>0</v>
      </c>
      <c r="M3538">
        <v>0</v>
      </c>
      <c r="T3538" s="9">
        <v>45108</v>
      </c>
      <c r="U3538" s="9">
        <v>45473</v>
      </c>
      <c r="V3538">
        <f>SUM(POTABLE_NONPOTABLE_API[[#This Row],[RESIDENTIAL_SINGLEFAMILY_GAL]:[OTHER_GAL]])</f>
        <v>20455481.940000001</v>
      </c>
      <c r="W3538">
        <f>SUM(POTABLE_NONPOTABLE_API[[#This Row],[NONPOTABLE_DEMAND_RESIDENTIAL_RECYCLED_WATER_GAL]:[NONPOTABLE_DEMAND_NONRESIDENTIAL_METERED_IRRIGATION_GAL]])</f>
        <v>0</v>
      </c>
      <c r="X3538" t="str">
        <f>IFERROR(INDEX(Crosswalk_API!$H$2:$H$527, MATCH(POTABLE_NONPOTABLE_API[[#This Row],[PWSID]], CW_PWSID_LIST, 0)), "")</f>
        <v>No</v>
      </c>
    </row>
    <row r="3539" spans="1:24" x14ac:dyDescent="0.25">
      <c r="A3539" t="s">
        <v>1772</v>
      </c>
      <c r="B3539" t="s">
        <v>1773</v>
      </c>
      <c r="C3539" t="s">
        <v>1774</v>
      </c>
      <c r="D3539" t="s">
        <v>1775</v>
      </c>
      <c r="E3539" s="9">
        <v>45383</v>
      </c>
      <c r="F3539" s="9">
        <v>45412</v>
      </c>
      <c r="G3539">
        <v>12836572.32</v>
      </c>
      <c r="H3539">
        <v>2749091.1</v>
      </c>
      <c r="I3539">
        <v>7943564.1880000001</v>
      </c>
      <c r="J3539">
        <v>165319.492</v>
      </c>
      <c r="K3539">
        <v>0</v>
      </c>
      <c r="L3539">
        <v>0</v>
      </c>
      <c r="M3539">
        <v>0</v>
      </c>
      <c r="T3539" s="9">
        <v>45108</v>
      </c>
      <c r="U3539" s="9">
        <v>45473</v>
      </c>
      <c r="V3539">
        <f>SUM(POTABLE_NONPOTABLE_API[[#This Row],[RESIDENTIAL_SINGLEFAMILY_GAL]:[OTHER_GAL]])</f>
        <v>23694547.099999998</v>
      </c>
      <c r="W3539">
        <f>SUM(POTABLE_NONPOTABLE_API[[#This Row],[NONPOTABLE_DEMAND_RESIDENTIAL_RECYCLED_WATER_GAL]:[NONPOTABLE_DEMAND_NONRESIDENTIAL_METERED_IRRIGATION_GAL]])</f>
        <v>0</v>
      </c>
      <c r="X3539" t="str">
        <f>IFERROR(INDEX(Crosswalk_API!$H$2:$H$527, MATCH(POTABLE_NONPOTABLE_API[[#This Row],[PWSID]], CW_PWSID_LIST, 0)), "")</f>
        <v>No</v>
      </c>
    </row>
    <row r="3540" spans="1:24" x14ac:dyDescent="0.25">
      <c r="A3540" t="s">
        <v>1772</v>
      </c>
      <c r="B3540" t="s">
        <v>1773</v>
      </c>
      <c r="C3540" t="s">
        <v>1774</v>
      </c>
      <c r="D3540" t="s">
        <v>1775</v>
      </c>
      <c r="E3540" s="9">
        <v>45413</v>
      </c>
      <c r="F3540" s="9">
        <v>45443</v>
      </c>
      <c r="G3540">
        <v>13446234.700000001</v>
      </c>
      <c r="H3540">
        <v>2764052.14</v>
      </c>
      <c r="I3540">
        <v>8473185.0040000007</v>
      </c>
      <c r="J3540">
        <v>486233.8</v>
      </c>
      <c r="K3540">
        <v>0</v>
      </c>
      <c r="L3540">
        <v>0</v>
      </c>
      <c r="M3540">
        <v>0</v>
      </c>
      <c r="T3540" s="9">
        <v>45108</v>
      </c>
      <c r="U3540" s="9">
        <v>45473</v>
      </c>
      <c r="V3540">
        <f>SUM(POTABLE_NONPOTABLE_API[[#This Row],[RESIDENTIAL_SINGLEFAMILY_GAL]:[OTHER_GAL]])</f>
        <v>25169705.644000005</v>
      </c>
      <c r="W3540">
        <f>SUM(POTABLE_NONPOTABLE_API[[#This Row],[NONPOTABLE_DEMAND_RESIDENTIAL_RECYCLED_WATER_GAL]:[NONPOTABLE_DEMAND_NONRESIDENTIAL_METERED_IRRIGATION_GAL]])</f>
        <v>0</v>
      </c>
      <c r="X3540" t="str">
        <f>IFERROR(INDEX(Crosswalk_API!$H$2:$H$527, MATCH(POTABLE_NONPOTABLE_API[[#This Row],[PWSID]], CW_PWSID_LIST, 0)), "")</f>
        <v>No</v>
      </c>
    </row>
    <row r="3541" spans="1:24" x14ac:dyDescent="0.25">
      <c r="A3541" t="s">
        <v>1772</v>
      </c>
      <c r="B3541" t="s">
        <v>1773</v>
      </c>
      <c r="C3541" t="s">
        <v>1774</v>
      </c>
      <c r="D3541" t="s">
        <v>1775</v>
      </c>
      <c r="E3541" s="9">
        <v>45444</v>
      </c>
      <c r="F3541" s="9">
        <v>45473</v>
      </c>
      <c r="G3541">
        <v>15148053</v>
      </c>
      <c r="H3541">
        <v>2966026.18</v>
      </c>
      <c r="I3541">
        <v>10980655.308</v>
      </c>
      <c r="J3541">
        <v>804155.9</v>
      </c>
      <c r="K3541">
        <v>748.05200000000002</v>
      </c>
      <c r="L3541">
        <v>0</v>
      </c>
      <c r="M3541">
        <v>0</v>
      </c>
      <c r="T3541" s="9">
        <v>45108</v>
      </c>
      <c r="U3541" s="9">
        <v>45473</v>
      </c>
      <c r="V3541">
        <f>SUM(POTABLE_NONPOTABLE_API[[#This Row],[RESIDENTIAL_SINGLEFAMILY_GAL]:[OTHER_GAL]])</f>
        <v>29899638.439999998</v>
      </c>
      <c r="W3541">
        <f>SUM(POTABLE_NONPOTABLE_API[[#This Row],[NONPOTABLE_DEMAND_RESIDENTIAL_RECYCLED_WATER_GAL]:[NONPOTABLE_DEMAND_NONRESIDENTIAL_METERED_IRRIGATION_GAL]])</f>
        <v>0</v>
      </c>
      <c r="X3541" t="str">
        <f>IFERROR(INDEX(Crosswalk_API!$H$2:$H$527, MATCH(POTABLE_NONPOTABLE_API[[#This Row],[PWSID]], CW_PWSID_LIST, 0)), "")</f>
        <v>No</v>
      </c>
    </row>
    <row r="3542" spans="1:24" x14ac:dyDescent="0.25">
      <c r="A3542" t="s">
        <v>1776</v>
      </c>
      <c r="B3542" t="s">
        <v>1777</v>
      </c>
      <c r="C3542" t="s">
        <v>1778</v>
      </c>
      <c r="D3542" t="s">
        <v>1779</v>
      </c>
      <c r="E3542" s="9">
        <v>45108</v>
      </c>
      <c r="F3542" s="9">
        <v>45138</v>
      </c>
      <c r="G3542">
        <v>368240956.58999997</v>
      </c>
      <c r="H3542">
        <v>59868604.229999997</v>
      </c>
      <c r="I3542">
        <v>53136522.57</v>
      </c>
      <c r="J3542">
        <v>78937404.75</v>
      </c>
      <c r="K3542">
        <v>0</v>
      </c>
      <c r="L3542">
        <v>250579.41899999999</v>
      </c>
      <c r="M3542">
        <v>0</v>
      </c>
      <c r="N3542">
        <v>0</v>
      </c>
      <c r="O3542">
        <v>0</v>
      </c>
      <c r="P3542">
        <v>0</v>
      </c>
      <c r="Q3542">
        <v>0</v>
      </c>
      <c r="R3542">
        <v>0</v>
      </c>
      <c r="S3542">
        <v>205543552.28999999</v>
      </c>
      <c r="T3542" s="9">
        <v>45108</v>
      </c>
      <c r="U3542" s="9">
        <v>45473</v>
      </c>
      <c r="V3542">
        <f>SUM(POTABLE_NONPOTABLE_API[[#This Row],[RESIDENTIAL_SINGLEFAMILY_GAL]:[OTHER_GAL]])</f>
        <v>560434067.55900002</v>
      </c>
      <c r="W3542">
        <f>SUM(POTABLE_NONPOTABLE_API[[#This Row],[NONPOTABLE_DEMAND_RESIDENTIAL_RECYCLED_WATER_GAL]:[NONPOTABLE_DEMAND_NONRESIDENTIAL_METERED_IRRIGATION_GAL]])</f>
        <v>205543552.28999999</v>
      </c>
      <c r="X3542" t="str">
        <f>IFERROR(INDEX(Crosswalk_API!$H$2:$H$527, MATCH(POTABLE_NONPOTABLE_API[[#This Row],[PWSID]], CW_PWSID_LIST, 0)), "")</f>
        <v>No</v>
      </c>
    </row>
    <row r="3543" spans="1:24" x14ac:dyDescent="0.25">
      <c r="A3543" t="s">
        <v>1776</v>
      </c>
      <c r="B3543" t="s">
        <v>1777</v>
      </c>
      <c r="C3543" t="s">
        <v>1778</v>
      </c>
      <c r="D3543" t="s">
        <v>1779</v>
      </c>
      <c r="E3543" s="9">
        <v>45139</v>
      </c>
      <c r="F3543" s="9">
        <v>45169</v>
      </c>
      <c r="G3543">
        <v>414775737.90000004</v>
      </c>
      <c r="H3543">
        <v>62703507.93</v>
      </c>
      <c r="I3543">
        <v>60442101.990000002</v>
      </c>
      <c r="J3543">
        <v>107814320.37</v>
      </c>
      <c r="K3543">
        <v>0</v>
      </c>
      <c r="L3543">
        <v>307929.19500000001</v>
      </c>
      <c r="M3543">
        <v>0</v>
      </c>
      <c r="N3543">
        <v>0</v>
      </c>
      <c r="O3543">
        <v>0</v>
      </c>
      <c r="P3543">
        <v>0</v>
      </c>
      <c r="Q3543">
        <v>0</v>
      </c>
      <c r="R3543">
        <v>0</v>
      </c>
      <c r="S3543">
        <v>210154343.94000003</v>
      </c>
      <c r="T3543" s="9">
        <v>45108</v>
      </c>
      <c r="U3543" s="9">
        <v>45473</v>
      </c>
      <c r="V3543">
        <f>SUM(POTABLE_NONPOTABLE_API[[#This Row],[RESIDENTIAL_SINGLEFAMILY_GAL]:[OTHER_GAL]])</f>
        <v>646043597.38500011</v>
      </c>
      <c r="W3543">
        <f>SUM(POTABLE_NONPOTABLE_API[[#This Row],[NONPOTABLE_DEMAND_RESIDENTIAL_RECYCLED_WATER_GAL]:[NONPOTABLE_DEMAND_NONRESIDENTIAL_METERED_IRRIGATION_GAL]])</f>
        <v>210154343.94000003</v>
      </c>
      <c r="X3543" t="str">
        <f>IFERROR(INDEX(Crosswalk_API!$H$2:$H$527, MATCH(POTABLE_NONPOTABLE_API[[#This Row],[PWSID]], CW_PWSID_LIST, 0)), "")</f>
        <v>No</v>
      </c>
    </row>
    <row r="3544" spans="1:24" x14ac:dyDescent="0.25">
      <c r="A3544" t="s">
        <v>1776</v>
      </c>
      <c r="B3544" t="s">
        <v>1777</v>
      </c>
      <c r="C3544" t="s">
        <v>1778</v>
      </c>
      <c r="D3544" t="s">
        <v>1779</v>
      </c>
      <c r="E3544" s="9">
        <v>45170</v>
      </c>
      <c r="F3544" s="9">
        <v>45199</v>
      </c>
      <c r="G3544">
        <v>449583141.72000003</v>
      </c>
      <c r="H3544">
        <v>75812493.659999996</v>
      </c>
      <c r="I3544">
        <v>69875488.439999998</v>
      </c>
      <c r="J3544">
        <v>106006173.171</v>
      </c>
      <c r="K3544">
        <v>0</v>
      </c>
      <c r="L3544">
        <v>252860.37600000002</v>
      </c>
      <c r="M3544">
        <v>0</v>
      </c>
      <c r="N3544">
        <v>0</v>
      </c>
      <c r="O3544">
        <v>0</v>
      </c>
      <c r="P3544">
        <v>0</v>
      </c>
      <c r="Q3544">
        <v>0</v>
      </c>
      <c r="R3544">
        <v>0</v>
      </c>
      <c r="S3544">
        <v>181583728.25999999</v>
      </c>
      <c r="T3544" s="9">
        <v>45108</v>
      </c>
      <c r="U3544" s="9">
        <v>45473</v>
      </c>
      <c r="V3544">
        <f>SUM(POTABLE_NONPOTABLE_API[[#This Row],[RESIDENTIAL_SINGLEFAMILY_GAL]:[OTHER_GAL]])</f>
        <v>701530157.36699998</v>
      </c>
      <c r="W3544">
        <f>SUM(POTABLE_NONPOTABLE_API[[#This Row],[NONPOTABLE_DEMAND_RESIDENTIAL_RECYCLED_WATER_GAL]:[NONPOTABLE_DEMAND_NONRESIDENTIAL_METERED_IRRIGATION_GAL]])</f>
        <v>181583728.25999999</v>
      </c>
      <c r="X3544" t="str">
        <f>IFERROR(INDEX(Crosswalk_API!$H$2:$H$527, MATCH(POTABLE_NONPOTABLE_API[[#This Row],[PWSID]], CW_PWSID_LIST, 0)), "")</f>
        <v>No</v>
      </c>
    </row>
    <row r="3545" spans="1:24" x14ac:dyDescent="0.25">
      <c r="A3545" t="s">
        <v>1776</v>
      </c>
      <c r="B3545" t="s">
        <v>1777</v>
      </c>
      <c r="C3545" t="s">
        <v>1778</v>
      </c>
      <c r="D3545" t="s">
        <v>1779</v>
      </c>
      <c r="E3545" s="9">
        <v>45200</v>
      </c>
      <c r="F3545" s="9">
        <v>45230</v>
      </c>
      <c r="G3545">
        <v>353844859.41000003</v>
      </c>
      <c r="H3545">
        <v>61214368.860000007</v>
      </c>
      <c r="I3545">
        <v>57108646.259999998</v>
      </c>
      <c r="J3545">
        <v>80556884.219999999</v>
      </c>
      <c r="K3545">
        <v>0</v>
      </c>
      <c r="L3545">
        <v>136857.41999999998</v>
      </c>
      <c r="M3545">
        <v>0</v>
      </c>
      <c r="N3545">
        <v>0</v>
      </c>
      <c r="O3545">
        <v>0</v>
      </c>
      <c r="P3545">
        <v>0</v>
      </c>
      <c r="Q3545">
        <v>0</v>
      </c>
      <c r="R3545">
        <v>0</v>
      </c>
      <c r="S3545">
        <v>140226719.34</v>
      </c>
      <c r="T3545" s="9">
        <v>45108</v>
      </c>
      <c r="U3545" s="9">
        <v>45473</v>
      </c>
      <c r="V3545">
        <f>SUM(POTABLE_NONPOTABLE_API[[#This Row],[RESIDENTIAL_SINGLEFAMILY_GAL]:[OTHER_GAL]])</f>
        <v>552861616.16999996</v>
      </c>
      <c r="W3545">
        <f>SUM(POTABLE_NONPOTABLE_API[[#This Row],[NONPOTABLE_DEMAND_RESIDENTIAL_RECYCLED_WATER_GAL]:[NONPOTABLE_DEMAND_NONRESIDENTIAL_METERED_IRRIGATION_GAL]])</f>
        <v>140226719.34</v>
      </c>
      <c r="X3545" t="str">
        <f>IFERROR(INDEX(Crosswalk_API!$H$2:$H$527, MATCH(POTABLE_NONPOTABLE_API[[#This Row],[PWSID]], CW_PWSID_LIST, 0)), "")</f>
        <v>No</v>
      </c>
    </row>
    <row r="3546" spans="1:24" x14ac:dyDescent="0.25">
      <c r="A3546" t="s">
        <v>1776</v>
      </c>
      <c r="B3546" t="s">
        <v>1777</v>
      </c>
      <c r="C3546" t="s">
        <v>1778</v>
      </c>
      <c r="D3546" t="s">
        <v>1779</v>
      </c>
      <c r="E3546" s="9">
        <v>45231</v>
      </c>
      <c r="F3546" s="9">
        <v>45260</v>
      </c>
      <c r="G3546">
        <v>417760533.06</v>
      </c>
      <c r="H3546">
        <v>75913507.469999999</v>
      </c>
      <c r="I3546">
        <v>69507276.810000002</v>
      </c>
      <c r="J3546">
        <v>86500406.459999993</v>
      </c>
      <c r="K3546">
        <v>0</v>
      </c>
      <c r="L3546">
        <v>169442.52000000002</v>
      </c>
      <c r="M3546">
        <v>0</v>
      </c>
      <c r="N3546">
        <v>0</v>
      </c>
      <c r="O3546">
        <v>0</v>
      </c>
      <c r="P3546">
        <v>0</v>
      </c>
      <c r="Q3546">
        <v>0</v>
      </c>
      <c r="R3546">
        <v>0</v>
      </c>
      <c r="S3546">
        <v>149920786.59</v>
      </c>
      <c r="T3546" s="9">
        <v>45108</v>
      </c>
      <c r="U3546" s="9">
        <v>45473</v>
      </c>
      <c r="V3546">
        <f>SUM(POTABLE_NONPOTABLE_API[[#This Row],[RESIDENTIAL_SINGLEFAMILY_GAL]:[OTHER_GAL]])</f>
        <v>649851166.31999993</v>
      </c>
      <c r="W3546">
        <f>SUM(POTABLE_NONPOTABLE_API[[#This Row],[NONPOTABLE_DEMAND_RESIDENTIAL_RECYCLED_WATER_GAL]:[NONPOTABLE_DEMAND_NONRESIDENTIAL_METERED_IRRIGATION_GAL]])</f>
        <v>149920786.59</v>
      </c>
      <c r="X3546" t="str">
        <f>IFERROR(INDEX(Crosswalk_API!$H$2:$H$527, MATCH(POTABLE_NONPOTABLE_API[[#This Row],[PWSID]], CW_PWSID_LIST, 0)), "")</f>
        <v>No</v>
      </c>
    </row>
    <row r="3547" spans="1:24" x14ac:dyDescent="0.25">
      <c r="A3547" t="s">
        <v>1776</v>
      </c>
      <c r="B3547" t="s">
        <v>1777</v>
      </c>
      <c r="C3547" t="s">
        <v>1778</v>
      </c>
      <c r="D3547" t="s">
        <v>1779</v>
      </c>
      <c r="E3547" s="9">
        <v>45261</v>
      </c>
      <c r="F3547" s="9">
        <v>45291</v>
      </c>
      <c r="G3547">
        <v>309053380.94999999</v>
      </c>
      <c r="H3547">
        <v>62915311.080000006</v>
      </c>
      <c r="I3547">
        <v>50833733.552999996</v>
      </c>
      <c r="J3547">
        <v>56424359.159999996</v>
      </c>
      <c r="K3547">
        <v>0</v>
      </c>
      <c r="L3547">
        <v>88305.620999999999</v>
      </c>
      <c r="M3547">
        <v>0</v>
      </c>
      <c r="N3547">
        <v>0</v>
      </c>
      <c r="O3547">
        <v>0</v>
      </c>
      <c r="P3547">
        <v>0</v>
      </c>
      <c r="Q3547">
        <v>0</v>
      </c>
      <c r="R3547">
        <v>0</v>
      </c>
      <c r="S3547">
        <v>53172366.18</v>
      </c>
      <c r="T3547" s="9">
        <v>45108</v>
      </c>
      <c r="U3547" s="9">
        <v>45473</v>
      </c>
      <c r="V3547">
        <f>SUM(POTABLE_NONPOTABLE_API[[#This Row],[RESIDENTIAL_SINGLEFAMILY_GAL]:[OTHER_GAL]])</f>
        <v>479315090.3639999</v>
      </c>
      <c r="W3547">
        <f>SUM(POTABLE_NONPOTABLE_API[[#This Row],[NONPOTABLE_DEMAND_RESIDENTIAL_RECYCLED_WATER_GAL]:[NONPOTABLE_DEMAND_NONRESIDENTIAL_METERED_IRRIGATION_GAL]])</f>
        <v>53172366.18</v>
      </c>
      <c r="X3547" t="str">
        <f>IFERROR(INDEX(Crosswalk_API!$H$2:$H$527, MATCH(POTABLE_NONPOTABLE_API[[#This Row],[PWSID]], CW_PWSID_LIST, 0)), "")</f>
        <v>No</v>
      </c>
    </row>
    <row r="3548" spans="1:24" x14ac:dyDescent="0.25">
      <c r="A3548" t="s">
        <v>1776</v>
      </c>
      <c r="B3548" t="s">
        <v>1777</v>
      </c>
      <c r="C3548" t="s">
        <v>1778</v>
      </c>
      <c r="D3548" t="s">
        <v>1779</v>
      </c>
      <c r="E3548" s="9">
        <v>45292</v>
      </c>
      <c r="F3548" s="9">
        <v>45322</v>
      </c>
      <c r="G3548">
        <v>255548646.75</v>
      </c>
      <c r="H3548">
        <v>62657888.789999999</v>
      </c>
      <c r="I3548">
        <v>46124209.050000004</v>
      </c>
      <c r="J3548">
        <v>25940998.109999999</v>
      </c>
      <c r="K3548">
        <v>0</v>
      </c>
      <c r="L3548">
        <v>84721.260000000009</v>
      </c>
      <c r="M3548">
        <v>0</v>
      </c>
      <c r="N3548">
        <v>0</v>
      </c>
      <c r="O3548">
        <v>0</v>
      </c>
      <c r="P3548">
        <v>0</v>
      </c>
      <c r="Q3548">
        <v>0</v>
      </c>
      <c r="R3548">
        <v>0</v>
      </c>
      <c r="S3548">
        <v>35442813.269999996</v>
      </c>
      <c r="T3548" s="9">
        <v>45108</v>
      </c>
      <c r="U3548" s="9">
        <v>45473</v>
      </c>
      <c r="V3548">
        <f>SUM(POTABLE_NONPOTABLE_API[[#This Row],[RESIDENTIAL_SINGLEFAMILY_GAL]:[OTHER_GAL]])</f>
        <v>390356463.96000004</v>
      </c>
      <c r="W3548">
        <f>SUM(POTABLE_NONPOTABLE_API[[#This Row],[NONPOTABLE_DEMAND_RESIDENTIAL_RECYCLED_WATER_GAL]:[NONPOTABLE_DEMAND_NONRESIDENTIAL_METERED_IRRIGATION_GAL]])</f>
        <v>35442813.269999996</v>
      </c>
      <c r="X3548" t="str">
        <f>IFERROR(INDEX(Crosswalk_API!$H$2:$H$527, MATCH(POTABLE_NONPOTABLE_API[[#This Row],[PWSID]], CW_PWSID_LIST, 0)), "")</f>
        <v>No</v>
      </c>
    </row>
    <row r="3549" spans="1:24" x14ac:dyDescent="0.25">
      <c r="A3549" t="s">
        <v>1776</v>
      </c>
      <c r="B3549" t="s">
        <v>1777</v>
      </c>
      <c r="C3549" t="s">
        <v>1778</v>
      </c>
      <c r="D3549" t="s">
        <v>1779</v>
      </c>
      <c r="E3549" s="9">
        <v>45323</v>
      </c>
      <c r="F3549" s="9">
        <v>45351</v>
      </c>
      <c r="G3549">
        <v>274816216.38</v>
      </c>
      <c r="H3549">
        <v>77040951.930000007</v>
      </c>
      <c r="I3549">
        <v>55313207.25</v>
      </c>
      <c r="J3549">
        <v>13904062.17</v>
      </c>
      <c r="K3549">
        <v>0</v>
      </c>
      <c r="L3549">
        <v>117306.36</v>
      </c>
      <c r="M3549">
        <v>0</v>
      </c>
      <c r="N3549">
        <v>0</v>
      </c>
      <c r="O3549">
        <v>0</v>
      </c>
      <c r="P3549">
        <v>0</v>
      </c>
      <c r="Q3549">
        <v>0</v>
      </c>
      <c r="R3549">
        <v>0</v>
      </c>
      <c r="S3549">
        <v>15464888.460000001</v>
      </c>
      <c r="T3549" s="9">
        <v>45108</v>
      </c>
      <c r="U3549" s="9">
        <v>45473</v>
      </c>
      <c r="V3549">
        <f>SUM(POTABLE_NONPOTABLE_API[[#This Row],[RESIDENTIAL_SINGLEFAMILY_GAL]:[OTHER_GAL]])</f>
        <v>421191744.09000003</v>
      </c>
      <c r="W3549">
        <f>SUM(POTABLE_NONPOTABLE_API[[#This Row],[NONPOTABLE_DEMAND_RESIDENTIAL_RECYCLED_WATER_GAL]:[NONPOTABLE_DEMAND_NONRESIDENTIAL_METERED_IRRIGATION_GAL]])</f>
        <v>15464888.460000001</v>
      </c>
      <c r="X3549" t="str">
        <f>IFERROR(INDEX(Crosswalk_API!$H$2:$H$527, MATCH(POTABLE_NONPOTABLE_API[[#This Row],[PWSID]], CW_PWSID_LIST, 0)), "")</f>
        <v>No</v>
      </c>
    </row>
    <row r="3550" spans="1:24" x14ac:dyDescent="0.25">
      <c r="A3550" t="s">
        <v>1776</v>
      </c>
      <c r="B3550" t="s">
        <v>1777</v>
      </c>
      <c r="C3550" t="s">
        <v>1778</v>
      </c>
      <c r="D3550" t="s">
        <v>1779</v>
      </c>
      <c r="E3550" s="9">
        <v>45352</v>
      </c>
      <c r="F3550" s="9">
        <v>45382</v>
      </c>
      <c r="G3550">
        <v>209916472.71000001</v>
      </c>
      <c r="H3550">
        <v>59793658.5</v>
      </c>
      <c r="I3550">
        <v>44824063.560000002</v>
      </c>
      <c r="J3550">
        <v>7540192.1400000006</v>
      </c>
      <c r="K3550">
        <v>0</v>
      </c>
      <c r="L3550">
        <v>237871.22999999998</v>
      </c>
      <c r="M3550">
        <v>0</v>
      </c>
      <c r="N3550">
        <v>0</v>
      </c>
      <c r="O3550">
        <v>0</v>
      </c>
      <c r="P3550">
        <v>0</v>
      </c>
      <c r="Q3550">
        <v>0</v>
      </c>
      <c r="R3550">
        <v>0</v>
      </c>
      <c r="S3550">
        <v>8944609.9499999993</v>
      </c>
      <c r="T3550" s="9">
        <v>45108</v>
      </c>
      <c r="U3550" s="9">
        <v>45473</v>
      </c>
      <c r="V3550">
        <f>SUM(POTABLE_NONPOTABLE_API[[#This Row],[RESIDENTIAL_SINGLEFAMILY_GAL]:[OTHER_GAL]])</f>
        <v>322312258.14000005</v>
      </c>
      <c r="W3550">
        <f>SUM(POTABLE_NONPOTABLE_API[[#This Row],[NONPOTABLE_DEMAND_RESIDENTIAL_RECYCLED_WATER_GAL]:[NONPOTABLE_DEMAND_NONRESIDENTIAL_METERED_IRRIGATION_GAL]])</f>
        <v>8944609.9499999993</v>
      </c>
      <c r="X3550" t="str">
        <f>IFERROR(INDEX(Crosswalk_API!$H$2:$H$527, MATCH(POTABLE_NONPOTABLE_API[[#This Row],[PWSID]], CW_PWSID_LIST, 0)), "")</f>
        <v>No</v>
      </c>
    </row>
    <row r="3551" spans="1:24" x14ac:dyDescent="0.25">
      <c r="A3551" t="s">
        <v>1776</v>
      </c>
      <c r="B3551" t="s">
        <v>1777</v>
      </c>
      <c r="C3551" t="s">
        <v>1778</v>
      </c>
      <c r="D3551" t="s">
        <v>1779</v>
      </c>
      <c r="E3551" s="9">
        <v>45383</v>
      </c>
      <c r="F3551" s="9">
        <v>45412</v>
      </c>
      <c r="G3551">
        <v>239034518.07000002</v>
      </c>
      <c r="H3551">
        <v>60878742.330000006</v>
      </c>
      <c r="I3551">
        <v>45391044.300000004</v>
      </c>
      <c r="J3551">
        <v>18290016.630000003</v>
      </c>
      <c r="K3551">
        <v>0</v>
      </c>
      <c r="L3551">
        <v>83743.706999999995</v>
      </c>
      <c r="M3551">
        <v>0</v>
      </c>
      <c r="N3551">
        <v>0</v>
      </c>
      <c r="O3551">
        <v>0</v>
      </c>
      <c r="P3551">
        <v>0</v>
      </c>
      <c r="Q3551">
        <v>0</v>
      </c>
      <c r="R3551">
        <v>0</v>
      </c>
      <c r="S3551">
        <v>30160768.560000002</v>
      </c>
      <c r="T3551" s="9">
        <v>45108</v>
      </c>
      <c r="U3551" s="9">
        <v>45473</v>
      </c>
      <c r="V3551">
        <f>SUM(POTABLE_NONPOTABLE_API[[#This Row],[RESIDENTIAL_SINGLEFAMILY_GAL]:[OTHER_GAL]])</f>
        <v>363678065.03700006</v>
      </c>
      <c r="W3551">
        <f>SUM(POTABLE_NONPOTABLE_API[[#This Row],[NONPOTABLE_DEMAND_RESIDENTIAL_RECYCLED_WATER_GAL]:[NONPOTABLE_DEMAND_NONRESIDENTIAL_METERED_IRRIGATION_GAL]])</f>
        <v>30160768.560000002</v>
      </c>
      <c r="X3551" t="str">
        <f>IFERROR(INDEX(Crosswalk_API!$H$2:$H$527, MATCH(POTABLE_NONPOTABLE_API[[#This Row],[PWSID]], CW_PWSID_LIST, 0)), "")</f>
        <v>No</v>
      </c>
    </row>
    <row r="3552" spans="1:24" x14ac:dyDescent="0.25">
      <c r="A3552" t="s">
        <v>1776</v>
      </c>
      <c r="B3552" t="s">
        <v>1777</v>
      </c>
      <c r="C3552" t="s">
        <v>1778</v>
      </c>
      <c r="D3552" t="s">
        <v>1779</v>
      </c>
      <c r="E3552" s="9">
        <v>45413</v>
      </c>
      <c r="F3552" s="9">
        <v>45443</v>
      </c>
      <c r="G3552">
        <v>367585996.07999998</v>
      </c>
      <c r="H3552">
        <v>74714375.789999992</v>
      </c>
      <c r="I3552">
        <v>61660784.729999997</v>
      </c>
      <c r="J3552">
        <v>54016320.270000003</v>
      </c>
      <c r="K3552">
        <v>0</v>
      </c>
      <c r="L3552">
        <v>137509.122</v>
      </c>
      <c r="M3552">
        <v>0</v>
      </c>
      <c r="N3552">
        <v>0</v>
      </c>
      <c r="O3552">
        <v>0</v>
      </c>
      <c r="P3552">
        <v>0</v>
      </c>
      <c r="Q3552">
        <v>0</v>
      </c>
      <c r="R3552">
        <v>0</v>
      </c>
      <c r="S3552">
        <v>118479423.60000001</v>
      </c>
      <c r="T3552" s="9">
        <v>45108</v>
      </c>
      <c r="U3552" s="9">
        <v>45473</v>
      </c>
      <c r="V3552">
        <f>SUM(POTABLE_NONPOTABLE_API[[#This Row],[RESIDENTIAL_SINGLEFAMILY_GAL]:[OTHER_GAL]])</f>
        <v>558114985.99199998</v>
      </c>
      <c r="W3552">
        <f>SUM(POTABLE_NONPOTABLE_API[[#This Row],[NONPOTABLE_DEMAND_RESIDENTIAL_RECYCLED_WATER_GAL]:[NONPOTABLE_DEMAND_NONRESIDENTIAL_METERED_IRRIGATION_GAL]])</f>
        <v>118479423.60000001</v>
      </c>
      <c r="X3552" t="str">
        <f>IFERROR(INDEX(Crosswalk_API!$H$2:$H$527, MATCH(POTABLE_NONPOTABLE_API[[#This Row],[PWSID]], CW_PWSID_LIST, 0)), "")</f>
        <v>No</v>
      </c>
    </row>
    <row r="3553" spans="1:24" x14ac:dyDescent="0.25">
      <c r="A3553" t="s">
        <v>1776</v>
      </c>
      <c r="B3553" t="s">
        <v>1777</v>
      </c>
      <c r="C3553" t="s">
        <v>1778</v>
      </c>
      <c r="D3553" t="s">
        <v>1779</v>
      </c>
      <c r="E3553" s="9">
        <v>45444</v>
      </c>
      <c r="F3553" s="9">
        <v>45473</v>
      </c>
      <c r="G3553">
        <v>339106618.68000001</v>
      </c>
      <c r="H3553">
        <v>60940654.020000003</v>
      </c>
      <c r="I3553">
        <v>51943907.909999996</v>
      </c>
      <c r="J3553">
        <v>69305249.189999998</v>
      </c>
      <c r="K3553">
        <v>0</v>
      </c>
      <c r="L3553">
        <v>137509.122</v>
      </c>
      <c r="M3553">
        <v>0</v>
      </c>
      <c r="N3553">
        <v>0</v>
      </c>
      <c r="O3553">
        <v>0</v>
      </c>
      <c r="P3553">
        <v>0</v>
      </c>
      <c r="Q3553">
        <v>0</v>
      </c>
      <c r="R3553">
        <v>0</v>
      </c>
      <c r="S3553">
        <v>143077915.59</v>
      </c>
      <c r="T3553" s="9">
        <v>45108</v>
      </c>
      <c r="U3553" s="9">
        <v>45473</v>
      </c>
      <c r="V3553">
        <f>SUM(POTABLE_NONPOTABLE_API[[#This Row],[RESIDENTIAL_SINGLEFAMILY_GAL]:[OTHER_GAL]])</f>
        <v>521433938.92199999</v>
      </c>
      <c r="W3553">
        <f>SUM(POTABLE_NONPOTABLE_API[[#This Row],[NONPOTABLE_DEMAND_RESIDENTIAL_RECYCLED_WATER_GAL]:[NONPOTABLE_DEMAND_NONRESIDENTIAL_METERED_IRRIGATION_GAL]])</f>
        <v>143077915.59</v>
      </c>
      <c r="X3553" t="str">
        <f>IFERROR(INDEX(Crosswalk_API!$H$2:$H$527, MATCH(POTABLE_NONPOTABLE_API[[#This Row],[PWSID]], CW_PWSID_LIST, 0)), "")</f>
        <v>No</v>
      </c>
    </row>
    <row r="3554" spans="1:24" x14ac:dyDescent="0.25">
      <c r="A3554" t="s">
        <v>2587</v>
      </c>
      <c r="B3554" t="s">
        <v>2588</v>
      </c>
      <c r="C3554" t="s">
        <v>2589</v>
      </c>
      <c r="D3554" t="s">
        <v>2590</v>
      </c>
      <c r="E3554" s="9">
        <v>45108</v>
      </c>
      <c r="F3554" s="9">
        <v>45138</v>
      </c>
      <c r="G3554">
        <v>88119000</v>
      </c>
      <c r="H3554">
        <v>0</v>
      </c>
      <c r="I3554">
        <v>19229000</v>
      </c>
      <c r="J3554">
        <v>10784000</v>
      </c>
      <c r="K3554">
        <v>0</v>
      </c>
      <c r="L3554">
        <v>0</v>
      </c>
      <c r="M3554">
        <v>0</v>
      </c>
      <c r="T3554" s="9">
        <v>45108</v>
      </c>
      <c r="U3554" s="9">
        <v>45473</v>
      </c>
      <c r="V3554">
        <f>SUM(POTABLE_NONPOTABLE_API[[#This Row],[RESIDENTIAL_SINGLEFAMILY_GAL]:[OTHER_GAL]])</f>
        <v>118132000</v>
      </c>
      <c r="W3554">
        <f>SUM(POTABLE_NONPOTABLE_API[[#This Row],[NONPOTABLE_DEMAND_RESIDENTIAL_RECYCLED_WATER_GAL]:[NONPOTABLE_DEMAND_NONRESIDENTIAL_METERED_IRRIGATION_GAL]])</f>
        <v>0</v>
      </c>
      <c r="X3554" t="str">
        <f>IFERROR(INDEX(Crosswalk_API!$H$2:$H$527, MATCH(POTABLE_NONPOTABLE_API[[#This Row],[PWSID]], CW_PWSID_LIST, 0)), "")</f>
        <v>No</v>
      </c>
    </row>
    <row r="3555" spans="1:24" x14ac:dyDescent="0.25">
      <c r="A3555" t="s">
        <v>2587</v>
      </c>
      <c r="B3555" t="s">
        <v>2588</v>
      </c>
      <c r="C3555" t="s">
        <v>2589</v>
      </c>
      <c r="D3555" t="s">
        <v>2590</v>
      </c>
      <c r="E3555" s="9">
        <v>45139</v>
      </c>
      <c r="F3555" s="9">
        <v>45169</v>
      </c>
      <c r="G3555">
        <v>113053000</v>
      </c>
      <c r="H3555">
        <v>0</v>
      </c>
      <c r="I3555">
        <v>19004000</v>
      </c>
      <c r="J3555">
        <v>20928000</v>
      </c>
      <c r="K3555">
        <v>0</v>
      </c>
      <c r="L3555">
        <v>0</v>
      </c>
      <c r="M3555">
        <v>0</v>
      </c>
      <c r="T3555" s="9">
        <v>45108</v>
      </c>
      <c r="U3555" s="9">
        <v>45473</v>
      </c>
      <c r="V3555">
        <f>SUM(POTABLE_NONPOTABLE_API[[#This Row],[RESIDENTIAL_SINGLEFAMILY_GAL]:[OTHER_GAL]])</f>
        <v>152985000</v>
      </c>
      <c r="W3555">
        <f>SUM(POTABLE_NONPOTABLE_API[[#This Row],[NONPOTABLE_DEMAND_RESIDENTIAL_RECYCLED_WATER_GAL]:[NONPOTABLE_DEMAND_NONRESIDENTIAL_METERED_IRRIGATION_GAL]])</f>
        <v>0</v>
      </c>
      <c r="X3555" t="str">
        <f>IFERROR(INDEX(Crosswalk_API!$H$2:$H$527, MATCH(POTABLE_NONPOTABLE_API[[#This Row],[PWSID]], CW_PWSID_LIST, 0)), "")</f>
        <v>No</v>
      </c>
    </row>
    <row r="3556" spans="1:24" x14ac:dyDescent="0.25">
      <c r="A3556" t="s">
        <v>2587</v>
      </c>
      <c r="B3556" t="s">
        <v>2588</v>
      </c>
      <c r="C3556" t="s">
        <v>2589</v>
      </c>
      <c r="D3556" t="s">
        <v>2590</v>
      </c>
      <c r="E3556" s="9">
        <v>45170</v>
      </c>
      <c r="F3556" s="9">
        <v>45199</v>
      </c>
      <c r="G3556">
        <v>105479000</v>
      </c>
      <c r="H3556">
        <v>0</v>
      </c>
      <c r="I3556">
        <v>23756000</v>
      </c>
      <c r="J3556">
        <v>18862000</v>
      </c>
      <c r="K3556">
        <v>0</v>
      </c>
      <c r="L3556">
        <v>0</v>
      </c>
      <c r="M3556">
        <v>0</v>
      </c>
      <c r="T3556" s="9">
        <v>45108</v>
      </c>
      <c r="U3556" s="9">
        <v>45473</v>
      </c>
      <c r="V3556">
        <f>SUM(POTABLE_NONPOTABLE_API[[#This Row],[RESIDENTIAL_SINGLEFAMILY_GAL]:[OTHER_GAL]])</f>
        <v>148097000</v>
      </c>
      <c r="W3556">
        <f>SUM(POTABLE_NONPOTABLE_API[[#This Row],[NONPOTABLE_DEMAND_RESIDENTIAL_RECYCLED_WATER_GAL]:[NONPOTABLE_DEMAND_NONRESIDENTIAL_METERED_IRRIGATION_GAL]])</f>
        <v>0</v>
      </c>
      <c r="X3556" t="str">
        <f>IFERROR(INDEX(Crosswalk_API!$H$2:$H$527, MATCH(POTABLE_NONPOTABLE_API[[#This Row],[PWSID]], CW_PWSID_LIST, 0)), "")</f>
        <v>No</v>
      </c>
    </row>
    <row r="3557" spans="1:24" x14ac:dyDescent="0.25">
      <c r="A3557" t="s">
        <v>2587</v>
      </c>
      <c r="B3557" t="s">
        <v>2588</v>
      </c>
      <c r="C3557" t="s">
        <v>2589</v>
      </c>
      <c r="D3557" t="s">
        <v>2590</v>
      </c>
      <c r="E3557" s="9">
        <v>45200</v>
      </c>
      <c r="F3557" s="9">
        <v>45230</v>
      </c>
      <c r="G3557">
        <v>102725084</v>
      </c>
      <c r="H3557">
        <v>0</v>
      </c>
      <c r="I3557">
        <v>19968608</v>
      </c>
      <c r="J3557">
        <v>21214028</v>
      </c>
      <c r="K3557">
        <v>0</v>
      </c>
      <c r="L3557">
        <v>0</v>
      </c>
      <c r="M3557">
        <v>0</v>
      </c>
      <c r="T3557" s="9">
        <v>45108</v>
      </c>
      <c r="U3557" s="9">
        <v>45473</v>
      </c>
      <c r="V3557">
        <f>SUM(POTABLE_NONPOTABLE_API[[#This Row],[RESIDENTIAL_SINGLEFAMILY_GAL]:[OTHER_GAL]])</f>
        <v>143907720</v>
      </c>
      <c r="W3557">
        <f>SUM(POTABLE_NONPOTABLE_API[[#This Row],[NONPOTABLE_DEMAND_RESIDENTIAL_RECYCLED_WATER_GAL]:[NONPOTABLE_DEMAND_NONRESIDENTIAL_METERED_IRRIGATION_GAL]])</f>
        <v>0</v>
      </c>
      <c r="X3557" t="str">
        <f>IFERROR(INDEX(Crosswalk_API!$H$2:$H$527, MATCH(POTABLE_NONPOTABLE_API[[#This Row],[PWSID]], CW_PWSID_LIST, 0)), "")</f>
        <v>No</v>
      </c>
    </row>
    <row r="3558" spans="1:24" x14ac:dyDescent="0.25">
      <c r="A3558" t="s">
        <v>2587</v>
      </c>
      <c r="B3558" t="s">
        <v>2588</v>
      </c>
      <c r="C3558" t="s">
        <v>2589</v>
      </c>
      <c r="D3558" t="s">
        <v>2590</v>
      </c>
      <c r="E3558" s="9">
        <v>45231</v>
      </c>
      <c r="F3558" s="9">
        <v>45260</v>
      </c>
      <c r="G3558">
        <v>81908244</v>
      </c>
      <c r="H3558">
        <v>0</v>
      </c>
      <c r="I3558">
        <v>1962752</v>
      </c>
      <c r="J3558">
        <v>15464152</v>
      </c>
      <c r="K3558">
        <v>0</v>
      </c>
      <c r="L3558">
        <v>0</v>
      </c>
      <c r="M3558">
        <v>0</v>
      </c>
      <c r="T3558" s="9">
        <v>45108</v>
      </c>
      <c r="U3558" s="9">
        <v>45473</v>
      </c>
      <c r="V3558">
        <f>SUM(POTABLE_NONPOTABLE_API[[#This Row],[RESIDENTIAL_SINGLEFAMILY_GAL]:[OTHER_GAL]])</f>
        <v>99335148</v>
      </c>
      <c r="W3558">
        <f>SUM(POTABLE_NONPOTABLE_API[[#This Row],[NONPOTABLE_DEMAND_RESIDENTIAL_RECYCLED_WATER_GAL]:[NONPOTABLE_DEMAND_NONRESIDENTIAL_METERED_IRRIGATION_GAL]])</f>
        <v>0</v>
      </c>
      <c r="X3558" t="str">
        <f>IFERROR(INDEX(Crosswalk_API!$H$2:$H$527, MATCH(POTABLE_NONPOTABLE_API[[#This Row],[PWSID]], CW_PWSID_LIST, 0)), "")</f>
        <v>No</v>
      </c>
    </row>
    <row r="3559" spans="1:24" x14ac:dyDescent="0.25">
      <c r="A3559" t="s">
        <v>2587</v>
      </c>
      <c r="B3559" t="s">
        <v>2588</v>
      </c>
      <c r="C3559" t="s">
        <v>2589</v>
      </c>
      <c r="D3559" t="s">
        <v>2590</v>
      </c>
      <c r="E3559" s="9">
        <v>45261</v>
      </c>
      <c r="F3559" s="9">
        <v>45291</v>
      </c>
      <c r="G3559">
        <v>65700580</v>
      </c>
      <c r="H3559">
        <v>0</v>
      </c>
      <c r="I3559">
        <v>16956337</v>
      </c>
      <c r="J3559">
        <v>6407368</v>
      </c>
      <c r="K3559">
        <v>0</v>
      </c>
      <c r="L3559">
        <v>0</v>
      </c>
      <c r="M3559">
        <v>0</v>
      </c>
      <c r="T3559" s="9">
        <v>45108</v>
      </c>
      <c r="U3559" s="9">
        <v>45473</v>
      </c>
      <c r="V3559">
        <f>SUM(POTABLE_NONPOTABLE_API[[#This Row],[RESIDENTIAL_SINGLEFAMILY_GAL]:[OTHER_GAL]])</f>
        <v>89064285</v>
      </c>
      <c r="W3559">
        <f>SUM(POTABLE_NONPOTABLE_API[[#This Row],[NONPOTABLE_DEMAND_RESIDENTIAL_RECYCLED_WATER_GAL]:[NONPOTABLE_DEMAND_NONRESIDENTIAL_METERED_IRRIGATION_GAL]])</f>
        <v>0</v>
      </c>
      <c r="X3559" t="str">
        <f>IFERROR(INDEX(Crosswalk_API!$H$2:$H$527, MATCH(POTABLE_NONPOTABLE_API[[#This Row],[PWSID]], CW_PWSID_LIST, 0)), "")</f>
        <v>No</v>
      </c>
    </row>
    <row r="3560" spans="1:24" x14ac:dyDescent="0.25">
      <c r="A3560" t="s">
        <v>2587</v>
      </c>
      <c r="B3560" t="s">
        <v>2588</v>
      </c>
      <c r="C3560" t="s">
        <v>2589</v>
      </c>
      <c r="D3560" t="s">
        <v>2590</v>
      </c>
      <c r="E3560" s="9">
        <v>45292</v>
      </c>
      <c r="F3560" s="9">
        <v>45322</v>
      </c>
      <c r="G3560">
        <v>55072966</v>
      </c>
      <c r="H3560">
        <v>8976000</v>
      </c>
      <c r="I3560">
        <v>1672378</v>
      </c>
      <c r="J3560">
        <v>2988260</v>
      </c>
      <c r="K3560">
        <v>0</v>
      </c>
      <c r="L3560">
        <v>0</v>
      </c>
      <c r="M3560">
        <v>0</v>
      </c>
      <c r="T3560" s="9">
        <v>45108</v>
      </c>
      <c r="U3560" s="9">
        <v>45473</v>
      </c>
      <c r="V3560">
        <f>SUM(POTABLE_NONPOTABLE_API[[#This Row],[RESIDENTIAL_SINGLEFAMILY_GAL]:[OTHER_GAL]])</f>
        <v>68709604</v>
      </c>
      <c r="W3560">
        <f>SUM(POTABLE_NONPOTABLE_API[[#This Row],[NONPOTABLE_DEMAND_RESIDENTIAL_RECYCLED_WATER_GAL]:[NONPOTABLE_DEMAND_NONRESIDENTIAL_METERED_IRRIGATION_GAL]])</f>
        <v>0</v>
      </c>
      <c r="X3560" t="str">
        <f>IFERROR(INDEX(Crosswalk_API!$H$2:$H$527, MATCH(POTABLE_NONPOTABLE_API[[#This Row],[PWSID]], CW_PWSID_LIST, 0)), "")</f>
        <v>No</v>
      </c>
    </row>
    <row r="3561" spans="1:24" x14ac:dyDescent="0.25">
      <c r="A3561" t="s">
        <v>2587</v>
      </c>
      <c r="B3561" t="s">
        <v>2588</v>
      </c>
      <c r="C3561" t="s">
        <v>2589</v>
      </c>
      <c r="D3561" t="s">
        <v>2590</v>
      </c>
      <c r="E3561" s="9">
        <v>45323</v>
      </c>
      <c r="F3561" s="9">
        <v>45351</v>
      </c>
      <c r="G3561">
        <v>48375404</v>
      </c>
      <c r="H3561">
        <v>8361892</v>
      </c>
      <c r="I3561">
        <v>2150500</v>
      </c>
      <c r="J3561">
        <v>2235024</v>
      </c>
      <c r="K3561">
        <v>0</v>
      </c>
      <c r="L3561">
        <v>0</v>
      </c>
      <c r="M3561">
        <v>0</v>
      </c>
      <c r="T3561" s="9">
        <v>45108</v>
      </c>
      <c r="U3561" s="9">
        <v>45473</v>
      </c>
      <c r="V3561">
        <f>SUM(POTABLE_NONPOTABLE_API[[#This Row],[RESIDENTIAL_SINGLEFAMILY_GAL]:[OTHER_GAL]])</f>
        <v>61122820</v>
      </c>
      <c r="W3561">
        <f>SUM(POTABLE_NONPOTABLE_API[[#This Row],[NONPOTABLE_DEMAND_RESIDENTIAL_RECYCLED_WATER_GAL]:[NONPOTABLE_DEMAND_NONRESIDENTIAL_METERED_IRRIGATION_GAL]])</f>
        <v>0</v>
      </c>
      <c r="X3561" t="str">
        <f>IFERROR(INDEX(Crosswalk_API!$H$2:$H$527, MATCH(POTABLE_NONPOTABLE_API[[#This Row],[PWSID]], CW_PWSID_LIST, 0)), "")</f>
        <v>No</v>
      </c>
    </row>
    <row r="3562" spans="1:24" x14ac:dyDescent="0.25">
      <c r="A3562" t="s">
        <v>2587</v>
      </c>
      <c r="B3562" t="s">
        <v>2588</v>
      </c>
      <c r="C3562" t="s">
        <v>2589</v>
      </c>
      <c r="D3562" t="s">
        <v>2590</v>
      </c>
      <c r="E3562" s="9">
        <v>45352</v>
      </c>
      <c r="F3562" s="9">
        <v>45382</v>
      </c>
      <c r="G3562">
        <v>46322892</v>
      </c>
      <c r="H3562">
        <v>7835300</v>
      </c>
      <c r="I3562">
        <v>1528912</v>
      </c>
      <c r="J3562">
        <v>3340568</v>
      </c>
      <c r="K3562">
        <v>0</v>
      </c>
      <c r="L3562">
        <v>0</v>
      </c>
      <c r="M3562">
        <v>0</v>
      </c>
      <c r="T3562" s="9">
        <v>45108</v>
      </c>
      <c r="U3562" s="9">
        <v>45473</v>
      </c>
      <c r="V3562">
        <f>SUM(POTABLE_NONPOTABLE_API[[#This Row],[RESIDENTIAL_SINGLEFAMILY_GAL]:[OTHER_GAL]])</f>
        <v>59027672</v>
      </c>
      <c r="W3562">
        <f>SUM(POTABLE_NONPOTABLE_API[[#This Row],[NONPOTABLE_DEMAND_RESIDENTIAL_RECYCLED_WATER_GAL]:[NONPOTABLE_DEMAND_NONRESIDENTIAL_METERED_IRRIGATION_GAL]])</f>
        <v>0</v>
      </c>
      <c r="X3562" t="str">
        <f>IFERROR(INDEX(Crosswalk_API!$H$2:$H$527, MATCH(POTABLE_NONPOTABLE_API[[#This Row],[PWSID]], CW_PWSID_LIST, 0)), "")</f>
        <v>No</v>
      </c>
    </row>
    <row r="3563" spans="1:24" x14ac:dyDescent="0.25">
      <c r="A3563" t="s">
        <v>2587</v>
      </c>
      <c r="B3563" t="s">
        <v>2588</v>
      </c>
      <c r="C3563" t="s">
        <v>2589</v>
      </c>
      <c r="D3563" t="s">
        <v>2590</v>
      </c>
      <c r="E3563" s="9">
        <v>45383</v>
      </c>
      <c r="F3563" s="9">
        <v>45412</v>
      </c>
      <c r="G3563">
        <v>58398604</v>
      </c>
      <c r="H3563">
        <v>9820492</v>
      </c>
      <c r="I3563">
        <v>2092156</v>
      </c>
      <c r="J3563">
        <v>12834184</v>
      </c>
      <c r="K3563">
        <v>0</v>
      </c>
      <c r="L3563">
        <v>0</v>
      </c>
      <c r="M3563">
        <v>0</v>
      </c>
      <c r="T3563" s="9">
        <v>45108</v>
      </c>
      <c r="U3563" s="9">
        <v>45473</v>
      </c>
      <c r="V3563">
        <f>SUM(POTABLE_NONPOTABLE_API[[#This Row],[RESIDENTIAL_SINGLEFAMILY_GAL]:[OTHER_GAL]])</f>
        <v>83145436</v>
      </c>
      <c r="W3563">
        <f>SUM(POTABLE_NONPOTABLE_API[[#This Row],[NONPOTABLE_DEMAND_RESIDENTIAL_RECYCLED_WATER_GAL]:[NONPOTABLE_DEMAND_NONRESIDENTIAL_METERED_IRRIGATION_GAL]])</f>
        <v>0</v>
      </c>
      <c r="X3563" t="str">
        <f>IFERROR(INDEX(Crosswalk_API!$H$2:$H$527, MATCH(POTABLE_NONPOTABLE_API[[#This Row],[PWSID]], CW_PWSID_LIST, 0)), "")</f>
        <v>No</v>
      </c>
    </row>
    <row r="3564" spans="1:24" x14ac:dyDescent="0.25">
      <c r="A3564" t="s">
        <v>2587</v>
      </c>
      <c r="B3564" t="s">
        <v>2588</v>
      </c>
      <c r="C3564" t="s">
        <v>2589</v>
      </c>
      <c r="D3564" t="s">
        <v>2590</v>
      </c>
      <c r="E3564" s="9">
        <v>45413</v>
      </c>
      <c r="F3564" s="9">
        <v>45443</v>
      </c>
      <c r="G3564">
        <v>69932764</v>
      </c>
      <c r="H3564">
        <v>11614196</v>
      </c>
      <c r="I3564">
        <v>457028</v>
      </c>
      <c r="J3564">
        <v>32776256</v>
      </c>
      <c r="K3564">
        <v>0</v>
      </c>
      <c r="L3564">
        <v>0</v>
      </c>
      <c r="M3564">
        <v>0</v>
      </c>
      <c r="T3564" s="9">
        <v>45108</v>
      </c>
      <c r="U3564" s="9">
        <v>45473</v>
      </c>
      <c r="V3564">
        <f>SUM(POTABLE_NONPOTABLE_API[[#This Row],[RESIDENTIAL_SINGLEFAMILY_GAL]:[OTHER_GAL]])</f>
        <v>114780244</v>
      </c>
      <c r="W3564">
        <f>SUM(POTABLE_NONPOTABLE_API[[#This Row],[NONPOTABLE_DEMAND_RESIDENTIAL_RECYCLED_WATER_GAL]:[NONPOTABLE_DEMAND_NONRESIDENTIAL_METERED_IRRIGATION_GAL]])</f>
        <v>0</v>
      </c>
      <c r="X3564" t="str">
        <f>IFERROR(INDEX(Crosswalk_API!$H$2:$H$527, MATCH(POTABLE_NONPOTABLE_API[[#This Row],[PWSID]], CW_PWSID_LIST, 0)), "")</f>
        <v>No</v>
      </c>
    </row>
    <row r="3565" spans="1:24" x14ac:dyDescent="0.25">
      <c r="A3565" t="s">
        <v>2587</v>
      </c>
      <c r="B3565" t="s">
        <v>2588</v>
      </c>
      <c r="C3565" t="s">
        <v>2589</v>
      </c>
      <c r="D3565" t="s">
        <v>2590</v>
      </c>
      <c r="E3565" s="9">
        <v>45444</v>
      </c>
      <c r="F3565" s="9">
        <v>45473</v>
      </c>
      <c r="G3565">
        <v>90013572</v>
      </c>
      <c r="H3565">
        <v>14672768</v>
      </c>
      <c r="I3565">
        <v>1206524</v>
      </c>
      <c r="J3565">
        <v>53070600</v>
      </c>
      <c r="K3565">
        <v>0</v>
      </c>
      <c r="L3565">
        <v>0</v>
      </c>
      <c r="M3565">
        <v>0</v>
      </c>
      <c r="T3565" s="9">
        <v>45108</v>
      </c>
      <c r="U3565" s="9">
        <v>45473</v>
      </c>
      <c r="V3565">
        <f>SUM(POTABLE_NONPOTABLE_API[[#This Row],[RESIDENTIAL_SINGLEFAMILY_GAL]:[OTHER_GAL]])</f>
        <v>158963464</v>
      </c>
      <c r="W3565">
        <f>SUM(POTABLE_NONPOTABLE_API[[#This Row],[NONPOTABLE_DEMAND_RESIDENTIAL_RECYCLED_WATER_GAL]:[NONPOTABLE_DEMAND_NONRESIDENTIAL_METERED_IRRIGATION_GAL]])</f>
        <v>0</v>
      </c>
      <c r="X3565" t="str">
        <f>IFERROR(INDEX(Crosswalk_API!$H$2:$H$527, MATCH(POTABLE_NONPOTABLE_API[[#This Row],[PWSID]], CW_PWSID_LIST, 0)), "")</f>
        <v>No</v>
      </c>
    </row>
    <row r="3566" spans="1:24" x14ac:dyDescent="0.25">
      <c r="A3566" t="s">
        <v>1780</v>
      </c>
      <c r="B3566" t="s">
        <v>1781</v>
      </c>
      <c r="C3566" t="s">
        <v>1782</v>
      </c>
      <c r="D3566" t="s">
        <v>1783</v>
      </c>
      <c r="E3566" s="9">
        <v>45108</v>
      </c>
      <c r="F3566" s="9">
        <v>45138</v>
      </c>
      <c r="G3566">
        <v>61763661.432000004</v>
      </c>
      <c r="H3566">
        <v>67861033.284000009</v>
      </c>
      <c r="I3566">
        <v>34616854.351999998</v>
      </c>
      <c r="J3566">
        <v>63146809.579999998</v>
      </c>
      <c r="K3566">
        <v>5140613.3440000005</v>
      </c>
      <c r="L3566">
        <v>185516.89600000001</v>
      </c>
      <c r="M3566">
        <v>0</v>
      </c>
      <c r="N3566">
        <v>0</v>
      </c>
      <c r="O3566">
        <v>0</v>
      </c>
      <c r="P3566">
        <v>0</v>
      </c>
      <c r="Q3566">
        <v>1677880.6359999999</v>
      </c>
      <c r="R3566">
        <v>0</v>
      </c>
      <c r="S3566">
        <v>18948157.16</v>
      </c>
      <c r="T3566" s="9">
        <v>45108</v>
      </c>
      <c r="U3566" s="9">
        <v>45473</v>
      </c>
      <c r="V3566">
        <f>SUM(POTABLE_NONPOTABLE_API[[#This Row],[RESIDENTIAL_SINGLEFAMILY_GAL]:[OTHER_GAL]])</f>
        <v>232714488.88800001</v>
      </c>
      <c r="W3566">
        <f>SUM(POTABLE_NONPOTABLE_API[[#This Row],[NONPOTABLE_DEMAND_RESIDENTIAL_RECYCLED_WATER_GAL]:[NONPOTABLE_DEMAND_NONRESIDENTIAL_METERED_IRRIGATION_GAL]])</f>
        <v>20626037.796</v>
      </c>
      <c r="X3566" t="str">
        <f>IFERROR(INDEX(Crosswalk_API!$H$2:$H$527, MATCH(POTABLE_NONPOTABLE_API[[#This Row],[PWSID]], CW_PWSID_LIST, 0)), "")</f>
        <v>No</v>
      </c>
    </row>
    <row r="3567" spans="1:24" x14ac:dyDescent="0.25">
      <c r="A3567" t="s">
        <v>1780</v>
      </c>
      <c r="B3567" t="s">
        <v>1781</v>
      </c>
      <c r="C3567" t="s">
        <v>1782</v>
      </c>
      <c r="D3567" t="s">
        <v>1783</v>
      </c>
      <c r="E3567" s="9">
        <v>45139</v>
      </c>
      <c r="F3567" s="9">
        <v>45169</v>
      </c>
      <c r="G3567">
        <v>75040836.379999995</v>
      </c>
      <c r="H3567">
        <v>97379913.255999997</v>
      </c>
      <c r="I3567">
        <v>35340968.688000001</v>
      </c>
      <c r="J3567">
        <v>90251725.747999996</v>
      </c>
      <c r="K3567">
        <v>10344811.108000001</v>
      </c>
      <c r="L3567">
        <v>95750.656000000003</v>
      </c>
      <c r="M3567">
        <v>0</v>
      </c>
      <c r="N3567">
        <v>0</v>
      </c>
      <c r="O3567">
        <v>0</v>
      </c>
      <c r="P3567">
        <v>0</v>
      </c>
      <c r="Q3567">
        <v>2615937.844</v>
      </c>
      <c r="R3567">
        <v>0</v>
      </c>
      <c r="S3567">
        <v>24791191.332000002</v>
      </c>
      <c r="T3567" s="9">
        <v>45108</v>
      </c>
      <c r="U3567" s="9">
        <v>45473</v>
      </c>
      <c r="V3567">
        <f>SUM(POTABLE_NONPOTABLE_API[[#This Row],[RESIDENTIAL_SINGLEFAMILY_GAL]:[OTHER_GAL]])</f>
        <v>308454005.83599997</v>
      </c>
      <c r="W3567">
        <f>SUM(POTABLE_NONPOTABLE_API[[#This Row],[NONPOTABLE_DEMAND_RESIDENTIAL_RECYCLED_WATER_GAL]:[NONPOTABLE_DEMAND_NONRESIDENTIAL_METERED_IRRIGATION_GAL]])</f>
        <v>27407129.176000003</v>
      </c>
      <c r="X3567" t="str">
        <f>IFERROR(INDEX(Crosswalk_API!$H$2:$H$527, MATCH(POTABLE_NONPOTABLE_API[[#This Row],[PWSID]], CW_PWSID_LIST, 0)), "")</f>
        <v>No</v>
      </c>
    </row>
    <row r="3568" spans="1:24" x14ac:dyDescent="0.25">
      <c r="A3568" t="s">
        <v>1780</v>
      </c>
      <c r="B3568" t="s">
        <v>1781</v>
      </c>
      <c r="C3568" t="s">
        <v>1782</v>
      </c>
      <c r="D3568" t="s">
        <v>1783</v>
      </c>
      <c r="E3568" s="9">
        <v>45170</v>
      </c>
      <c r="F3568" s="9">
        <v>45199</v>
      </c>
      <c r="G3568">
        <v>73542488.224000007</v>
      </c>
      <c r="H3568">
        <v>78778852.224000007</v>
      </c>
      <c r="I3568">
        <v>41863982.127999999</v>
      </c>
      <c r="J3568">
        <v>81863070.620000005</v>
      </c>
      <c r="K3568">
        <v>5647792.6000000006</v>
      </c>
      <c r="L3568">
        <v>204966.24799999999</v>
      </c>
      <c r="M3568">
        <v>0</v>
      </c>
      <c r="N3568">
        <v>0</v>
      </c>
      <c r="O3568">
        <v>0</v>
      </c>
      <c r="P3568">
        <v>0</v>
      </c>
      <c r="Q3568">
        <v>2685506.68</v>
      </c>
      <c r="R3568">
        <v>0</v>
      </c>
      <c r="S3568">
        <v>20380676.740000002</v>
      </c>
      <c r="T3568" s="9">
        <v>45108</v>
      </c>
      <c r="U3568" s="9">
        <v>45473</v>
      </c>
      <c r="V3568">
        <f>SUM(POTABLE_NONPOTABLE_API[[#This Row],[RESIDENTIAL_SINGLEFAMILY_GAL]:[OTHER_GAL]])</f>
        <v>281901152.04400003</v>
      </c>
      <c r="W3568">
        <f>SUM(POTABLE_NONPOTABLE_API[[#This Row],[NONPOTABLE_DEMAND_RESIDENTIAL_RECYCLED_WATER_GAL]:[NONPOTABLE_DEMAND_NONRESIDENTIAL_METERED_IRRIGATION_GAL]])</f>
        <v>23066183.420000002</v>
      </c>
      <c r="X3568" t="str">
        <f>IFERROR(INDEX(Crosswalk_API!$H$2:$H$527, MATCH(POTABLE_NONPOTABLE_API[[#This Row],[PWSID]], CW_PWSID_LIST, 0)), "")</f>
        <v>No</v>
      </c>
    </row>
    <row r="3569" spans="1:24" x14ac:dyDescent="0.25">
      <c r="A3569" t="s">
        <v>1780</v>
      </c>
      <c r="B3569" t="s">
        <v>1781</v>
      </c>
      <c r="C3569" t="s">
        <v>1782</v>
      </c>
      <c r="D3569" t="s">
        <v>1783</v>
      </c>
      <c r="E3569" s="9">
        <v>45200</v>
      </c>
      <c r="F3569" s="9">
        <v>45230</v>
      </c>
      <c r="G3569">
        <v>80157512.060000002</v>
      </c>
      <c r="H3569">
        <v>100791778.428</v>
      </c>
      <c r="I3569">
        <v>38166361.092</v>
      </c>
      <c r="J3569">
        <v>78165449.584000006</v>
      </c>
      <c r="K3569">
        <v>11387595.596000001</v>
      </c>
      <c r="L3569">
        <v>109963.644</v>
      </c>
      <c r="M3569">
        <v>0</v>
      </c>
      <c r="N3569">
        <v>0</v>
      </c>
      <c r="O3569">
        <v>0</v>
      </c>
      <c r="P3569">
        <v>0</v>
      </c>
      <c r="Q3569">
        <v>3528561.284</v>
      </c>
      <c r="R3569">
        <v>0</v>
      </c>
      <c r="S3569">
        <v>18184396.068</v>
      </c>
      <c r="T3569" s="9">
        <v>45108</v>
      </c>
      <c r="U3569" s="9">
        <v>45473</v>
      </c>
      <c r="V3569">
        <f>SUM(POTABLE_NONPOTABLE_API[[#This Row],[RESIDENTIAL_SINGLEFAMILY_GAL]:[OTHER_GAL]])</f>
        <v>308778660.40400004</v>
      </c>
      <c r="W3569">
        <f>SUM(POTABLE_NONPOTABLE_API[[#This Row],[NONPOTABLE_DEMAND_RESIDENTIAL_RECYCLED_WATER_GAL]:[NONPOTABLE_DEMAND_NONRESIDENTIAL_METERED_IRRIGATION_GAL]])</f>
        <v>21712957.351999998</v>
      </c>
      <c r="X3569" t="str">
        <f>IFERROR(INDEX(Crosswalk_API!$H$2:$H$527, MATCH(POTABLE_NONPOTABLE_API[[#This Row],[PWSID]], CW_PWSID_LIST, 0)), "")</f>
        <v>No</v>
      </c>
    </row>
    <row r="3570" spans="1:24" x14ac:dyDescent="0.25">
      <c r="A3570" t="s">
        <v>1780</v>
      </c>
      <c r="B3570" t="s">
        <v>1781</v>
      </c>
      <c r="C3570" t="s">
        <v>1782</v>
      </c>
      <c r="D3570" t="s">
        <v>1783</v>
      </c>
      <c r="E3570" s="9">
        <v>45231</v>
      </c>
      <c r="F3570" s="9">
        <v>45260</v>
      </c>
      <c r="G3570">
        <v>66621511.120000005</v>
      </c>
      <c r="H3570">
        <v>68937480.112000003</v>
      </c>
      <c r="I3570">
        <v>41196719.744000003</v>
      </c>
      <c r="J3570">
        <v>54975837.583999999</v>
      </c>
      <c r="K3570">
        <v>4404530.176</v>
      </c>
      <c r="L3570">
        <v>223667.54800000001</v>
      </c>
      <c r="M3570">
        <v>0</v>
      </c>
      <c r="N3570">
        <v>0</v>
      </c>
      <c r="O3570">
        <v>0</v>
      </c>
      <c r="P3570">
        <v>0</v>
      </c>
      <c r="Q3570">
        <v>2416956.0120000001</v>
      </c>
      <c r="R3570">
        <v>0</v>
      </c>
      <c r="S3570">
        <v>13043034.672</v>
      </c>
      <c r="T3570" s="9">
        <v>45108</v>
      </c>
      <c r="U3570" s="9">
        <v>45473</v>
      </c>
      <c r="V3570">
        <f>SUM(POTABLE_NONPOTABLE_API[[#This Row],[RESIDENTIAL_SINGLEFAMILY_GAL]:[OTHER_GAL]])</f>
        <v>236359746.28400001</v>
      </c>
      <c r="W3570">
        <f>SUM(POTABLE_NONPOTABLE_API[[#This Row],[NONPOTABLE_DEMAND_RESIDENTIAL_RECYCLED_WATER_GAL]:[NONPOTABLE_DEMAND_NONRESIDENTIAL_METERED_IRRIGATION_GAL]])</f>
        <v>15459990.684</v>
      </c>
      <c r="X3570" t="str">
        <f>IFERROR(INDEX(Crosswalk_API!$H$2:$H$527, MATCH(POTABLE_NONPOTABLE_API[[#This Row],[PWSID]], CW_PWSID_LIST, 0)), "")</f>
        <v>No</v>
      </c>
    </row>
    <row r="3571" spans="1:24" x14ac:dyDescent="0.25">
      <c r="A3571" t="s">
        <v>1780</v>
      </c>
      <c r="B3571" t="s">
        <v>1781</v>
      </c>
      <c r="C3571" t="s">
        <v>1782</v>
      </c>
      <c r="D3571" t="s">
        <v>1783</v>
      </c>
      <c r="E3571" s="9">
        <v>45261</v>
      </c>
      <c r="F3571" s="9">
        <v>45291</v>
      </c>
      <c r="G3571">
        <v>64707246.052000001</v>
      </c>
      <c r="H3571">
        <v>92696359.684</v>
      </c>
      <c r="I3571">
        <v>33782776.372000001</v>
      </c>
      <c r="J3571">
        <v>40383587.219999999</v>
      </c>
      <c r="K3571">
        <v>8988592.8320000004</v>
      </c>
      <c r="L3571">
        <v>77797.407999999996</v>
      </c>
      <c r="M3571">
        <v>0</v>
      </c>
      <c r="N3571">
        <v>0</v>
      </c>
      <c r="O3571">
        <v>0</v>
      </c>
      <c r="P3571">
        <v>0</v>
      </c>
      <c r="Q3571">
        <v>1539491.0160000001</v>
      </c>
      <c r="R3571">
        <v>0</v>
      </c>
      <c r="S3571">
        <v>5380738.0360000003</v>
      </c>
      <c r="T3571" s="9">
        <v>45108</v>
      </c>
      <c r="U3571" s="9">
        <v>45473</v>
      </c>
      <c r="V3571">
        <f>SUM(POTABLE_NONPOTABLE_API[[#This Row],[RESIDENTIAL_SINGLEFAMILY_GAL]:[OTHER_GAL]])</f>
        <v>240636359.56799999</v>
      </c>
      <c r="W3571">
        <f>SUM(POTABLE_NONPOTABLE_API[[#This Row],[NONPOTABLE_DEMAND_RESIDENTIAL_RECYCLED_WATER_GAL]:[NONPOTABLE_DEMAND_NONRESIDENTIAL_METERED_IRRIGATION_GAL]])</f>
        <v>6920229.0520000001</v>
      </c>
      <c r="X3571" t="str">
        <f>IFERROR(INDEX(Crosswalk_API!$H$2:$H$527, MATCH(POTABLE_NONPOTABLE_API[[#This Row],[PWSID]], CW_PWSID_LIST, 0)), "")</f>
        <v>No</v>
      </c>
    </row>
    <row r="3572" spans="1:24" x14ac:dyDescent="0.25">
      <c r="A3572" t="s">
        <v>1780</v>
      </c>
      <c r="B3572" t="s">
        <v>1781</v>
      </c>
      <c r="C3572" t="s">
        <v>1782</v>
      </c>
      <c r="D3572" t="s">
        <v>1783</v>
      </c>
      <c r="E3572" s="9">
        <v>45292</v>
      </c>
      <c r="F3572" s="9">
        <v>45322</v>
      </c>
      <c r="G3572">
        <v>61705313.376000002</v>
      </c>
      <c r="H3572">
        <v>73692846.675999999</v>
      </c>
      <c r="I3572">
        <v>38624916.968000002</v>
      </c>
      <c r="J3572">
        <v>24721622.495999999</v>
      </c>
      <c r="K3572">
        <v>3755969.0920000002</v>
      </c>
      <c r="L3572">
        <v>190753.26</v>
      </c>
      <c r="M3572">
        <v>0</v>
      </c>
      <c r="N3572">
        <v>0</v>
      </c>
      <c r="O3572">
        <v>0</v>
      </c>
      <c r="P3572">
        <v>0</v>
      </c>
      <c r="Q3572">
        <v>911127.33600000001</v>
      </c>
      <c r="R3572">
        <v>0</v>
      </c>
      <c r="S3572">
        <v>2933111.892</v>
      </c>
      <c r="T3572" s="9">
        <v>45108</v>
      </c>
      <c r="U3572" s="9">
        <v>45473</v>
      </c>
      <c r="V3572">
        <f>SUM(POTABLE_NONPOTABLE_API[[#This Row],[RESIDENTIAL_SINGLEFAMILY_GAL]:[OTHER_GAL]])</f>
        <v>202691421.86799997</v>
      </c>
      <c r="W3572">
        <f>SUM(POTABLE_NONPOTABLE_API[[#This Row],[NONPOTABLE_DEMAND_RESIDENTIAL_RECYCLED_WATER_GAL]:[NONPOTABLE_DEMAND_NONRESIDENTIAL_METERED_IRRIGATION_GAL]])</f>
        <v>3844239.2280000001</v>
      </c>
      <c r="X3572" t="str">
        <f>IFERROR(INDEX(Crosswalk_API!$H$2:$H$527, MATCH(POTABLE_NONPOTABLE_API[[#This Row],[PWSID]], CW_PWSID_LIST, 0)), "")</f>
        <v>No</v>
      </c>
    </row>
    <row r="3573" spans="1:24" x14ac:dyDescent="0.25">
      <c r="A3573" t="s">
        <v>1780</v>
      </c>
      <c r="B3573" t="s">
        <v>1781</v>
      </c>
      <c r="C3573" t="s">
        <v>1782</v>
      </c>
      <c r="D3573" t="s">
        <v>1783</v>
      </c>
      <c r="E3573" s="9">
        <v>45323</v>
      </c>
      <c r="F3573" s="9">
        <v>45351</v>
      </c>
      <c r="G3573">
        <v>51670195.796000004</v>
      </c>
      <c r="H3573">
        <v>87467476.203999996</v>
      </c>
      <c r="I3573">
        <v>29533841.012000002</v>
      </c>
      <c r="J3573">
        <v>9934130.5600000005</v>
      </c>
      <c r="K3573">
        <v>7936083.6680000005</v>
      </c>
      <c r="L3573">
        <v>99490.915999999997</v>
      </c>
      <c r="M3573">
        <v>0</v>
      </c>
      <c r="N3573">
        <v>0</v>
      </c>
      <c r="O3573">
        <v>0</v>
      </c>
      <c r="P3573">
        <v>0</v>
      </c>
      <c r="Q3573">
        <v>546826.01199999999</v>
      </c>
      <c r="R3573">
        <v>0</v>
      </c>
      <c r="S3573">
        <v>1562680.628</v>
      </c>
      <c r="T3573" s="9">
        <v>45108</v>
      </c>
      <c r="U3573" s="9">
        <v>45473</v>
      </c>
      <c r="V3573">
        <f>SUM(POTABLE_NONPOTABLE_API[[#This Row],[RESIDENTIAL_SINGLEFAMILY_GAL]:[OTHER_GAL]])</f>
        <v>186641218.15600002</v>
      </c>
      <c r="W3573">
        <f>SUM(POTABLE_NONPOTABLE_API[[#This Row],[NONPOTABLE_DEMAND_RESIDENTIAL_RECYCLED_WATER_GAL]:[NONPOTABLE_DEMAND_NONRESIDENTIAL_METERED_IRRIGATION_GAL]])</f>
        <v>2109506.64</v>
      </c>
      <c r="X3573" t="str">
        <f>IFERROR(INDEX(Crosswalk_API!$H$2:$H$527, MATCH(POTABLE_NONPOTABLE_API[[#This Row],[PWSID]], CW_PWSID_LIST, 0)), "")</f>
        <v>No</v>
      </c>
    </row>
    <row r="3574" spans="1:24" x14ac:dyDescent="0.25">
      <c r="A3574" t="s">
        <v>1780</v>
      </c>
      <c r="B3574" t="s">
        <v>1781</v>
      </c>
      <c r="C3574" t="s">
        <v>1782</v>
      </c>
      <c r="D3574" t="s">
        <v>1783</v>
      </c>
      <c r="E3574" s="9">
        <v>45352</v>
      </c>
      <c r="F3574" s="9">
        <v>45382</v>
      </c>
      <c r="G3574">
        <v>45724678.5</v>
      </c>
      <c r="H3574">
        <v>57523702.696000002</v>
      </c>
      <c r="I3574">
        <v>30315555.352000002</v>
      </c>
      <c r="J3574">
        <v>6668135.5279999999</v>
      </c>
      <c r="K3574">
        <v>3613839.2120000003</v>
      </c>
      <c r="L3574">
        <v>51615.588000000003</v>
      </c>
      <c r="M3574">
        <v>0</v>
      </c>
      <c r="N3574">
        <v>0</v>
      </c>
      <c r="O3574">
        <v>0</v>
      </c>
      <c r="P3574">
        <v>0</v>
      </c>
      <c r="Q3574">
        <v>706909.14</v>
      </c>
      <c r="R3574">
        <v>0</v>
      </c>
      <c r="S3574">
        <v>881953.30800000008</v>
      </c>
      <c r="T3574" s="9">
        <v>45108</v>
      </c>
      <c r="U3574" s="9">
        <v>45473</v>
      </c>
      <c r="V3574">
        <f>SUM(POTABLE_NONPOTABLE_API[[#This Row],[RESIDENTIAL_SINGLEFAMILY_GAL]:[OTHER_GAL]])</f>
        <v>143897526.87600002</v>
      </c>
      <c r="W3574">
        <f>SUM(POTABLE_NONPOTABLE_API[[#This Row],[NONPOTABLE_DEMAND_RESIDENTIAL_RECYCLED_WATER_GAL]:[NONPOTABLE_DEMAND_NONRESIDENTIAL_METERED_IRRIGATION_GAL]])</f>
        <v>1588862.4480000001</v>
      </c>
      <c r="X3574" t="str">
        <f>IFERROR(INDEX(Crosswalk_API!$H$2:$H$527, MATCH(POTABLE_NONPOTABLE_API[[#This Row],[PWSID]], CW_PWSID_LIST, 0)), "")</f>
        <v>No</v>
      </c>
    </row>
    <row r="3575" spans="1:24" x14ac:dyDescent="0.25">
      <c r="A3575" t="s">
        <v>1780</v>
      </c>
      <c r="B3575" t="s">
        <v>1781</v>
      </c>
      <c r="C3575" t="s">
        <v>1782</v>
      </c>
      <c r="D3575" t="s">
        <v>1783</v>
      </c>
      <c r="E3575" s="9">
        <v>45383</v>
      </c>
      <c r="F3575" s="9">
        <v>45412</v>
      </c>
      <c r="G3575">
        <v>39842745.623999998</v>
      </c>
      <c r="H3575">
        <v>80184441.931999996</v>
      </c>
      <c r="I3575">
        <v>29656521.539999999</v>
      </c>
      <c r="J3575">
        <v>12334629.428000001</v>
      </c>
      <c r="K3575">
        <v>8155262.9040000001</v>
      </c>
      <c r="L3575">
        <v>184020.79200000002</v>
      </c>
      <c r="M3575">
        <v>0</v>
      </c>
      <c r="N3575">
        <v>0</v>
      </c>
      <c r="O3575">
        <v>0</v>
      </c>
      <c r="P3575">
        <v>0</v>
      </c>
      <c r="Q3575">
        <v>848290.96799999999</v>
      </c>
      <c r="R3575">
        <v>0</v>
      </c>
      <c r="S3575">
        <v>1275428.6600000001</v>
      </c>
      <c r="T3575" s="9">
        <v>45108</v>
      </c>
      <c r="U3575" s="9">
        <v>45473</v>
      </c>
      <c r="V3575">
        <f>SUM(POTABLE_NONPOTABLE_API[[#This Row],[RESIDENTIAL_SINGLEFAMILY_GAL]:[OTHER_GAL]])</f>
        <v>170357622.22</v>
      </c>
      <c r="W3575">
        <f>SUM(POTABLE_NONPOTABLE_API[[#This Row],[NONPOTABLE_DEMAND_RESIDENTIAL_RECYCLED_WATER_GAL]:[NONPOTABLE_DEMAND_NONRESIDENTIAL_METERED_IRRIGATION_GAL]])</f>
        <v>2123719.628</v>
      </c>
      <c r="X3575" t="str">
        <f>IFERROR(INDEX(Crosswalk_API!$H$2:$H$527, MATCH(POTABLE_NONPOTABLE_API[[#This Row],[PWSID]], CW_PWSID_LIST, 0)), "")</f>
        <v>No</v>
      </c>
    </row>
    <row r="3576" spans="1:24" x14ac:dyDescent="0.25">
      <c r="A3576" t="s">
        <v>1780</v>
      </c>
      <c r="B3576" t="s">
        <v>1781</v>
      </c>
      <c r="C3576" t="s">
        <v>1782</v>
      </c>
      <c r="D3576" t="s">
        <v>1783</v>
      </c>
      <c r="E3576" s="9">
        <v>45413</v>
      </c>
      <c r="F3576" s="9">
        <v>45443</v>
      </c>
      <c r="G3576">
        <v>49356470.960000001</v>
      </c>
      <c r="H3576">
        <v>64405781.096000001</v>
      </c>
      <c r="I3576">
        <v>34536812.788000003</v>
      </c>
      <c r="J3576">
        <v>31736106.100000001</v>
      </c>
      <c r="K3576">
        <v>3806088.5759999999</v>
      </c>
      <c r="L3576">
        <v>68820.784</v>
      </c>
      <c r="M3576">
        <v>0</v>
      </c>
      <c r="N3576">
        <v>0</v>
      </c>
      <c r="O3576">
        <v>0</v>
      </c>
      <c r="P3576">
        <v>0</v>
      </c>
      <c r="Q3576">
        <v>1527522.1840000001</v>
      </c>
      <c r="R3576">
        <v>0</v>
      </c>
      <c r="S3576">
        <v>8363969.4120000005</v>
      </c>
      <c r="T3576" s="9">
        <v>45108</v>
      </c>
      <c r="U3576" s="9">
        <v>45473</v>
      </c>
      <c r="V3576">
        <f>SUM(POTABLE_NONPOTABLE_API[[#This Row],[RESIDENTIAL_SINGLEFAMILY_GAL]:[OTHER_GAL]])</f>
        <v>183910080.30399999</v>
      </c>
      <c r="W3576">
        <f>SUM(POTABLE_NONPOTABLE_API[[#This Row],[NONPOTABLE_DEMAND_RESIDENTIAL_RECYCLED_WATER_GAL]:[NONPOTABLE_DEMAND_NONRESIDENTIAL_METERED_IRRIGATION_GAL]])</f>
        <v>9891491.5960000008</v>
      </c>
      <c r="X3576" t="str">
        <f>IFERROR(INDEX(Crosswalk_API!$H$2:$H$527, MATCH(POTABLE_NONPOTABLE_API[[#This Row],[PWSID]], CW_PWSID_LIST, 0)), "")</f>
        <v>No</v>
      </c>
    </row>
    <row r="3577" spans="1:24" x14ac:dyDescent="0.25">
      <c r="A3577" t="s">
        <v>1780</v>
      </c>
      <c r="B3577" t="s">
        <v>1781</v>
      </c>
      <c r="C3577" t="s">
        <v>1782</v>
      </c>
      <c r="D3577" t="s">
        <v>1783</v>
      </c>
      <c r="E3577" s="9">
        <v>45444</v>
      </c>
      <c r="F3577" s="9">
        <v>45473</v>
      </c>
      <c r="G3577">
        <v>58307661.192000002</v>
      </c>
      <c r="H3577">
        <v>90197866.004000008</v>
      </c>
      <c r="I3577">
        <v>33121498.403999999</v>
      </c>
      <c r="J3577">
        <v>58268014.436000004</v>
      </c>
      <c r="K3577">
        <v>9006546.0800000001</v>
      </c>
      <c r="L3577">
        <v>72561.044000000009</v>
      </c>
      <c r="M3577">
        <v>0</v>
      </c>
      <c r="N3577">
        <v>0</v>
      </c>
      <c r="O3577">
        <v>0</v>
      </c>
      <c r="P3577">
        <v>0</v>
      </c>
      <c r="Q3577">
        <v>2662317.068</v>
      </c>
      <c r="R3577">
        <v>0</v>
      </c>
      <c r="S3577">
        <v>11964343.688000001</v>
      </c>
      <c r="T3577" s="9">
        <v>45108</v>
      </c>
      <c r="U3577" s="9">
        <v>45473</v>
      </c>
      <c r="V3577">
        <f>SUM(POTABLE_NONPOTABLE_API[[#This Row],[RESIDENTIAL_SINGLEFAMILY_GAL]:[OTHER_GAL]])</f>
        <v>248974147.16000003</v>
      </c>
      <c r="W3577">
        <f>SUM(POTABLE_NONPOTABLE_API[[#This Row],[NONPOTABLE_DEMAND_RESIDENTIAL_RECYCLED_WATER_GAL]:[NONPOTABLE_DEMAND_NONRESIDENTIAL_METERED_IRRIGATION_GAL]])</f>
        <v>14626660.756000001</v>
      </c>
      <c r="X3577" t="str">
        <f>IFERROR(INDEX(Crosswalk_API!$H$2:$H$527, MATCH(POTABLE_NONPOTABLE_API[[#This Row],[PWSID]], CW_PWSID_LIST, 0)), "")</f>
        <v>No</v>
      </c>
    </row>
    <row r="3578" spans="1:24" x14ac:dyDescent="0.25">
      <c r="A3578" t="s">
        <v>1784</v>
      </c>
      <c r="B3578" t="s">
        <v>1785</v>
      </c>
      <c r="C3578" t="s">
        <v>1786</v>
      </c>
      <c r="D3578" t="s">
        <v>1787</v>
      </c>
      <c r="E3578" s="9">
        <v>45108</v>
      </c>
      <c r="F3578" s="9">
        <v>45138</v>
      </c>
      <c r="G3578">
        <v>80521065.332000002</v>
      </c>
      <c r="H3578">
        <v>18077424.631999999</v>
      </c>
      <c r="I3578">
        <v>10790650.1</v>
      </c>
      <c r="J3578">
        <v>8259242.1320000002</v>
      </c>
      <c r="K3578">
        <v>0</v>
      </c>
      <c r="L3578">
        <v>486981.85200000001</v>
      </c>
      <c r="M3578">
        <v>0</v>
      </c>
      <c r="T3578" s="9">
        <v>45108</v>
      </c>
      <c r="U3578" s="9">
        <v>45473</v>
      </c>
      <c r="V3578">
        <f>SUM(POTABLE_NONPOTABLE_API[[#This Row],[RESIDENTIAL_SINGLEFAMILY_GAL]:[OTHER_GAL]])</f>
        <v>118135364.04799999</v>
      </c>
      <c r="W3578">
        <f>SUM(POTABLE_NONPOTABLE_API[[#This Row],[NONPOTABLE_DEMAND_RESIDENTIAL_RECYCLED_WATER_GAL]:[NONPOTABLE_DEMAND_NONRESIDENTIAL_METERED_IRRIGATION_GAL]])</f>
        <v>0</v>
      </c>
      <c r="X3578" t="str">
        <f>IFERROR(INDEX(Crosswalk_API!$H$2:$H$527, MATCH(POTABLE_NONPOTABLE_API[[#This Row],[PWSID]], CW_PWSID_LIST, 0)), "")</f>
        <v>No</v>
      </c>
    </row>
    <row r="3579" spans="1:24" x14ac:dyDescent="0.25">
      <c r="A3579" t="s">
        <v>1784</v>
      </c>
      <c r="B3579" t="s">
        <v>1785</v>
      </c>
      <c r="C3579" t="s">
        <v>1786</v>
      </c>
      <c r="D3579" t="s">
        <v>1787</v>
      </c>
      <c r="E3579" s="9">
        <v>45139</v>
      </c>
      <c r="F3579" s="9">
        <v>45169</v>
      </c>
      <c r="G3579">
        <v>87826541.164000005</v>
      </c>
      <c r="H3579">
        <v>19678255.912</v>
      </c>
      <c r="I3579">
        <v>11156447.528000001</v>
      </c>
      <c r="J3579">
        <v>8444010.9759999998</v>
      </c>
      <c r="K3579">
        <v>0</v>
      </c>
      <c r="L3579">
        <v>2261361.196</v>
      </c>
      <c r="M3579">
        <v>0</v>
      </c>
      <c r="T3579" s="9">
        <v>45108</v>
      </c>
      <c r="U3579" s="9">
        <v>45473</v>
      </c>
      <c r="V3579">
        <f>SUM(POTABLE_NONPOTABLE_API[[#This Row],[RESIDENTIAL_SINGLEFAMILY_GAL]:[OTHER_GAL]])</f>
        <v>129366616.77599999</v>
      </c>
      <c r="W3579">
        <f>SUM(POTABLE_NONPOTABLE_API[[#This Row],[NONPOTABLE_DEMAND_RESIDENTIAL_RECYCLED_WATER_GAL]:[NONPOTABLE_DEMAND_NONRESIDENTIAL_METERED_IRRIGATION_GAL]])</f>
        <v>0</v>
      </c>
      <c r="X3579" t="str">
        <f>IFERROR(INDEX(Crosswalk_API!$H$2:$H$527, MATCH(POTABLE_NONPOTABLE_API[[#This Row],[PWSID]], CW_PWSID_LIST, 0)), "")</f>
        <v>No</v>
      </c>
    </row>
    <row r="3580" spans="1:24" x14ac:dyDescent="0.25">
      <c r="A3580" t="s">
        <v>1784</v>
      </c>
      <c r="B3580" t="s">
        <v>1785</v>
      </c>
      <c r="C3580" t="s">
        <v>1786</v>
      </c>
      <c r="D3580" t="s">
        <v>1787</v>
      </c>
      <c r="E3580" s="9">
        <v>45170</v>
      </c>
      <c r="F3580" s="9">
        <v>45199</v>
      </c>
      <c r="G3580">
        <v>67012742.316</v>
      </c>
      <c r="H3580">
        <v>13782110.048</v>
      </c>
      <c r="I3580">
        <v>5885673.1359999999</v>
      </c>
      <c r="J3580">
        <v>3902587.284</v>
      </c>
      <c r="K3580">
        <v>0</v>
      </c>
      <c r="L3580">
        <v>2409475.4920000001</v>
      </c>
      <c r="M3580">
        <v>0</v>
      </c>
      <c r="T3580" s="9">
        <v>45108</v>
      </c>
      <c r="U3580" s="9">
        <v>45473</v>
      </c>
      <c r="V3580">
        <f>SUM(POTABLE_NONPOTABLE_API[[#This Row],[RESIDENTIAL_SINGLEFAMILY_GAL]:[OTHER_GAL]])</f>
        <v>92992588.275999993</v>
      </c>
      <c r="W3580">
        <f>SUM(POTABLE_NONPOTABLE_API[[#This Row],[NONPOTABLE_DEMAND_RESIDENTIAL_RECYCLED_WATER_GAL]:[NONPOTABLE_DEMAND_NONRESIDENTIAL_METERED_IRRIGATION_GAL]])</f>
        <v>0</v>
      </c>
      <c r="X3580" t="str">
        <f>IFERROR(INDEX(Crosswalk_API!$H$2:$H$527, MATCH(POTABLE_NONPOTABLE_API[[#This Row],[PWSID]], CW_PWSID_LIST, 0)), "")</f>
        <v>No</v>
      </c>
    </row>
    <row r="3581" spans="1:24" x14ac:dyDescent="0.25">
      <c r="A3581" t="s">
        <v>1784</v>
      </c>
      <c r="B3581" t="s">
        <v>1785</v>
      </c>
      <c r="C3581" t="s">
        <v>1786</v>
      </c>
      <c r="D3581" t="s">
        <v>1787</v>
      </c>
      <c r="E3581" s="9">
        <v>45200</v>
      </c>
      <c r="F3581" s="9">
        <v>45230</v>
      </c>
      <c r="G3581">
        <v>61541489.987999998</v>
      </c>
      <c r="H3581">
        <v>14580281.532</v>
      </c>
      <c r="I3581">
        <v>15786889.408</v>
      </c>
      <c r="J3581">
        <v>6039771.8480000002</v>
      </c>
      <c r="K3581">
        <v>0</v>
      </c>
      <c r="L3581">
        <v>710649.4</v>
      </c>
      <c r="M3581">
        <v>0</v>
      </c>
      <c r="T3581" s="9">
        <v>45108</v>
      </c>
      <c r="U3581" s="9">
        <v>45473</v>
      </c>
      <c r="V3581">
        <f>SUM(POTABLE_NONPOTABLE_API[[#This Row],[RESIDENTIAL_SINGLEFAMILY_GAL]:[OTHER_GAL]])</f>
        <v>98659082.176000014</v>
      </c>
      <c r="W3581">
        <f>SUM(POTABLE_NONPOTABLE_API[[#This Row],[NONPOTABLE_DEMAND_RESIDENTIAL_RECYCLED_WATER_GAL]:[NONPOTABLE_DEMAND_NONRESIDENTIAL_METERED_IRRIGATION_GAL]])</f>
        <v>0</v>
      </c>
      <c r="X3581" t="str">
        <f>IFERROR(INDEX(Crosswalk_API!$H$2:$H$527, MATCH(POTABLE_NONPOTABLE_API[[#This Row],[PWSID]], CW_PWSID_LIST, 0)), "")</f>
        <v>No</v>
      </c>
    </row>
    <row r="3582" spans="1:24" x14ac:dyDescent="0.25">
      <c r="A3582" t="s">
        <v>1784</v>
      </c>
      <c r="B3582" t="s">
        <v>1785</v>
      </c>
      <c r="C3582" t="s">
        <v>1786</v>
      </c>
      <c r="D3582" t="s">
        <v>1787</v>
      </c>
      <c r="E3582" s="9">
        <v>45231</v>
      </c>
      <c r="F3582" s="9">
        <v>45260</v>
      </c>
      <c r="G3582">
        <v>58873936.556000002</v>
      </c>
      <c r="H3582">
        <v>14343149.048</v>
      </c>
      <c r="I3582">
        <v>3682659.9960000003</v>
      </c>
      <c r="J3582">
        <v>7069839.4520000005</v>
      </c>
      <c r="K3582">
        <v>0</v>
      </c>
      <c r="L3582">
        <v>1447480.62</v>
      </c>
      <c r="M3582">
        <v>0</v>
      </c>
      <c r="T3582" s="9">
        <v>45108</v>
      </c>
      <c r="U3582" s="9">
        <v>45473</v>
      </c>
      <c r="V3582">
        <f>SUM(POTABLE_NONPOTABLE_API[[#This Row],[RESIDENTIAL_SINGLEFAMILY_GAL]:[OTHER_GAL]])</f>
        <v>85417065.672000021</v>
      </c>
      <c r="W3582">
        <f>SUM(POTABLE_NONPOTABLE_API[[#This Row],[NONPOTABLE_DEMAND_RESIDENTIAL_RECYCLED_WATER_GAL]:[NONPOTABLE_DEMAND_NONRESIDENTIAL_METERED_IRRIGATION_GAL]])</f>
        <v>0</v>
      </c>
      <c r="X3582" t="str">
        <f>IFERROR(INDEX(Crosswalk_API!$H$2:$H$527, MATCH(POTABLE_NONPOTABLE_API[[#This Row],[PWSID]], CW_PWSID_LIST, 0)), "")</f>
        <v>No</v>
      </c>
    </row>
    <row r="3583" spans="1:24" x14ac:dyDescent="0.25">
      <c r="A3583" t="s">
        <v>1784</v>
      </c>
      <c r="B3583" t="s">
        <v>1785</v>
      </c>
      <c r="C3583" t="s">
        <v>1786</v>
      </c>
      <c r="D3583" t="s">
        <v>1787</v>
      </c>
      <c r="E3583" s="9">
        <v>45261</v>
      </c>
      <c r="F3583" s="9">
        <v>45291</v>
      </c>
      <c r="G3583">
        <v>57674061.148000002</v>
      </c>
      <c r="H3583">
        <v>14308738.655999999</v>
      </c>
      <c r="I3583">
        <v>2091553.392</v>
      </c>
      <c r="J3583">
        <v>4936395.148</v>
      </c>
      <c r="K3583">
        <v>0</v>
      </c>
      <c r="L3583">
        <v>1297122.1680000001</v>
      </c>
      <c r="M3583">
        <v>0</v>
      </c>
      <c r="T3583" s="9">
        <v>45108</v>
      </c>
      <c r="U3583" s="9">
        <v>45473</v>
      </c>
      <c r="V3583">
        <f>SUM(POTABLE_NONPOTABLE_API[[#This Row],[RESIDENTIAL_SINGLEFAMILY_GAL]:[OTHER_GAL]])</f>
        <v>80307870.512000009</v>
      </c>
      <c r="W3583">
        <f>SUM(POTABLE_NONPOTABLE_API[[#This Row],[NONPOTABLE_DEMAND_RESIDENTIAL_RECYCLED_WATER_GAL]:[NONPOTABLE_DEMAND_NONRESIDENTIAL_METERED_IRRIGATION_GAL]])</f>
        <v>0</v>
      </c>
      <c r="X3583" t="str">
        <f>IFERROR(INDEX(Crosswalk_API!$H$2:$H$527, MATCH(POTABLE_NONPOTABLE_API[[#This Row],[PWSID]], CW_PWSID_LIST, 0)), "")</f>
        <v>No</v>
      </c>
    </row>
    <row r="3584" spans="1:24" x14ac:dyDescent="0.25">
      <c r="A3584" t="s">
        <v>1784</v>
      </c>
      <c r="B3584" t="s">
        <v>1785</v>
      </c>
      <c r="C3584" t="s">
        <v>1786</v>
      </c>
      <c r="D3584" t="s">
        <v>1787</v>
      </c>
      <c r="E3584" s="9">
        <v>45292</v>
      </c>
      <c r="F3584" s="9">
        <v>45322</v>
      </c>
      <c r="G3584">
        <v>34695399.811999999</v>
      </c>
      <c r="H3584">
        <v>9090327.904000001</v>
      </c>
      <c r="I3584">
        <v>1514805.3</v>
      </c>
      <c r="J3584">
        <v>2268093.6639999999</v>
      </c>
      <c r="K3584">
        <v>0</v>
      </c>
      <c r="L3584">
        <v>826597.46000000008</v>
      </c>
      <c r="M3584">
        <v>0</v>
      </c>
      <c r="T3584" s="9">
        <v>45108</v>
      </c>
      <c r="U3584" s="9">
        <v>45473</v>
      </c>
      <c r="V3584">
        <f>SUM(POTABLE_NONPOTABLE_API[[#This Row],[RESIDENTIAL_SINGLEFAMILY_GAL]:[OTHER_GAL]])</f>
        <v>48395224.139999993</v>
      </c>
      <c r="W3584">
        <f>SUM(POTABLE_NONPOTABLE_API[[#This Row],[NONPOTABLE_DEMAND_RESIDENTIAL_RECYCLED_WATER_GAL]:[NONPOTABLE_DEMAND_NONRESIDENTIAL_METERED_IRRIGATION_GAL]])</f>
        <v>0</v>
      </c>
      <c r="X3584" t="str">
        <f>IFERROR(INDEX(Crosswalk_API!$H$2:$H$527, MATCH(POTABLE_NONPOTABLE_API[[#This Row],[PWSID]], CW_PWSID_LIST, 0)), "")</f>
        <v>No</v>
      </c>
    </row>
    <row r="3585" spans="1:24" x14ac:dyDescent="0.25">
      <c r="A3585" t="s">
        <v>1784</v>
      </c>
      <c r="B3585" t="s">
        <v>1785</v>
      </c>
      <c r="C3585" t="s">
        <v>1786</v>
      </c>
      <c r="D3585" t="s">
        <v>1787</v>
      </c>
      <c r="E3585" s="9">
        <v>45323</v>
      </c>
      <c r="F3585" s="9">
        <v>45351</v>
      </c>
      <c r="G3585">
        <v>28490308.471999999</v>
      </c>
      <c r="H3585">
        <v>8047543.4160000002</v>
      </c>
      <c r="I3585">
        <v>1287397.4920000001</v>
      </c>
      <c r="J3585">
        <v>1436259.84</v>
      </c>
      <c r="K3585">
        <v>0</v>
      </c>
      <c r="L3585">
        <v>754784.46799999999</v>
      </c>
      <c r="M3585">
        <v>0</v>
      </c>
      <c r="T3585" s="9">
        <v>45108</v>
      </c>
      <c r="U3585" s="9">
        <v>45473</v>
      </c>
      <c r="V3585">
        <f>SUM(POTABLE_NONPOTABLE_API[[#This Row],[RESIDENTIAL_SINGLEFAMILY_GAL]:[OTHER_GAL]])</f>
        <v>40016293.688000001</v>
      </c>
      <c r="W3585">
        <f>SUM(POTABLE_NONPOTABLE_API[[#This Row],[NONPOTABLE_DEMAND_RESIDENTIAL_RECYCLED_WATER_GAL]:[NONPOTABLE_DEMAND_NONRESIDENTIAL_METERED_IRRIGATION_GAL]])</f>
        <v>0</v>
      </c>
      <c r="X3585" t="str">
        <f>IFERROR(INDEX(Crosswalk_API!$H$2:$H$527, MATCH(POTABLE_NONPOTABLE_API[[#This Row],[PWSID]], CW_PWSID_LIST, 0)), "")</f>
        <v>No</v>
      </c>
    </row>
    <row r="3586" spans="1:24" x14ac:dyDescent="0.25">
      <c r="A3586" t="s">
        <v>1784</v>
      </c>
      <c r="B3586" t="s">
        <v>1785</v>
      </c>
      <c r="C3586" t="s">
        <v>1786</v>
      </c>
      <c r="D3586" t="s">
        <v>1787</v>
      </c>
      <c r="E3586" s="9">
        <v>45352</v>
      </c>
      <c r="F3586" s="9">
        <v>45382</v>
      </c>
      <c r="G3586">
        <v>41100969.088</v>
      </c>
      <c r="H3586">
        <v>10721081.264</v>
      </c>
      <c r="I3586">
        <v>1950171.564</v>
      </c>
      <c r="J3586">
        <v>3634036.6159999999</v>
      </c>
      <c r="K3586">
        <v>0</v>
      </c>
      <c r="L3586">
        <v>998649.42</v>
      </c>
      <c r="M3586">
        <v>0</v>
      </c>
      <c r="T3586" s="9">
        <v>45108</v>
      </c>
      <c r="U3586" s="9">
        <v>45473</v>
      </c>
      <c r="V3586">
        <f>SUM(POTABLE_NONPOTABLE_API[[#This Row],[RESIDENTIAL_SINGLEFAMILY_GAL]:[OTHER_GAL]])</f>
        <v>58404907.952</v>
      </c>
      <c r="W3586">
        <f>SUM(POTABLE_NONPOTABLE_API[[#This Row],[NONPOTABLE_DEMAND_RESIDENTIAL_RECYCLED_WATER_GAL]:[NONPOTABLE_DEMAND_NONRESIDENTIAL_METERED_IRRIGATION_GAL]])</f>
        <v>0</v>
      </c>
      <c r="X3586" t="str">
        <f>IFERROR(INDEX(Crosswalk_API!$H$2:$H$527, MATCH(POTABLE_NONPOTABLE_API[[#This Row],[PWSID]], CW_PWSID_LIST, 0)), "")</f>
        <v>No</v>
      </c>
    </row>
    <row r="3587" spans="1:24" x14ac:dyDescent="0.25">
      <c r="A3587" t="s">
        <v>1784</v>
      </c>
      <c r="B3587" t="s">
        <v>1785</v>
      </c>
      <c r="C3587" t="s">
        <v>1786</v>
      </c>
      <c r="D3587" t="s">
        <v>1787</v>
      </c>
      <c r="E3587" s="9">
        <v>45383</v>
      </c>
      <c r="F3587" s="9">
        <v>45412</v>
      </c>
      <c r="G3587">
        <v>59844160</v>
      </c>
      <c r="H3587">
        <v>14958047.792000001</v>
      </c>
      <c r="I3587">
        <v>4983522.4240000006</v>
      </c>
      <c r="J3587">
        <v>6241745.8880000003</v>
      </c>
      <c r="K3587">
        <v>0</v>
      </c>
      <c r="L3587">
        <v>1163968.912</v>
      </c>
      <c r="M3587">
        <v>0</v>
      </c>
      <c r="T3587" s="9">
        <v>45108</v>
      </c>
      <c r="U3587" s="9">
        <v>45473</v>
      </c>
      <c r="V3587">
        <f>SUM(POTABLE_NONPOTABLE_API[[#This Row],[RESIDENTIAL_SINGLEFAMILY_GAL]:[OTHER_GAL]])</f>
        <v>87191445.015999988</v>
      </c>
      <c r="W3587">
        <f>SUM(POTABLE_NONPOTABLE_API[[#This Row],[NONPOTABLE_DEMAND_RESIDENTIAL_RECYCLED_WATER_GAL]:[NONPOTABLE_DEMAND_NONRESIDENTIAL_METERED_IRRIGATION_GAL]])</f>
        <v>0</v>
      </c>
      <c r="X3587" t="str">
        <f>IFERROR(INDEX(Crosswalk_API!$H$2:$H$527, MATCH(POTABLE_NONPOTABLE_API[[#This Row],[PWSID]], CW_PWSID_LIST, 0)), "")</f>
        <v>No</v>
      </c>
    </row>
    <row r="3588" spans="1:24" x14ac:dyDescent="0.25">
      <c r="A3588" t="s">
        <v>1784</v>
      </c>
      <c r="B3588" t="s">
        <v>1785</v>
      </c>
      <c r="C3588" t="s">
        <v>1786</v>
      </c>
      <c r="D3588" t="s">
        <v>1787</v>
      </c>
      <c r="E3588" s="9">
        <v>45413</v>
      </c>
      <c r="F3588" s="9">
        <v>45443</v>
      </c>
      <c r="G3588">
        <v>68483412.548000008</v>
      </c>
      <c r="H3588">
        <v>15510858.220000001</v>
      </c>
      <c r="I3588">
        <v>7262088.8160000006</v>
      </c>
      <c r="J3588">
        <v>7327917.392</v>
      </c>
      <c r="K3588">
        <v>0</v>
      </c>
      <c r="L3588">
        <v>23937.664000000001</v>
      </c>
      <c r="M3588">
        <v>0</v>
      </c>
      <c r="T3588" s="9">
        <v>45108</v>
      </c>
      <c r="U3588" s="9">
        <v>45473</v>
      </c>
      <c r="V3588">
        <f>SUM(POTABLE_NONPOTABLE_API[[#This Row],[RESIDENTIAL_SINGLEFAMILY_GAL]:[OTHER_GAL]])</f>
        <v>98608214.640000015</v>
      </c>
      <c r="W3588">
        <f>SUM(POTABLE_NONPOTABLE_API[[#This Row],[NONPOTABLE_DEMAND_RESIDENTIAL_RECYCLED_WATER_GAL]:[NONPOTABLE_DEMAND_NONRESIDENTIAL_METERED_IRRIGATION_GAL]])</f>
        <v>0</v>
      </c>
      <c r="X3588" t="str">
        <f>IFERROR(INDEX(Crosswalk_API!$H$2:$H$527, MATCH(POTABLE_NONPOTABLE_API[[#This Row],[PWSID]], CW_PWSID_LIST, 0)), "")</f>
        <v>No</v>
      </c>
    </row>
    <row r="3589" spans="1:24" x14ac:dyDescent="0.25">
      <c r="A3589" t="s">
        <v>1784</v>
      </c>
      <c r="B3589" t="s">
        <v>1785</v>
      </c>
      <c r="C3589" t="s">
        <v>1786</v>
      </c>
      <c r="D3589" t="s">
        <v>1787</v>
      </c>
      <c r="E3589" s="9">
        <v>45444</v>
      </c>
      <c r="F3589" s="9">
        <v>45473</v>
      </c>
      <c r="G3589">
        <v>86564577.439999998</v>
      </c>
      <c r="H3589">
        <v>21390546.940000001</v>
      </c>
      <c r="I3589">
        <v>11136250.124</v>
      </c>
      <c r="J3589">
        <v>9540655.2080000006</v>
      </c>
      <c r="K3589">
        <v>0</v>
      </c>
      <c r="L3589">
        <v>2413963.804</v>
      </c>
      <c r="M3589">
        <v>0</v>
      </c>
      <c r="T3589" s="9">
        <v>45108</v>
      </c>
      <c r="U3589" s="9">
        <v>45473</v>
      </c>
      <c r="V3589">
        <f>SUM(POTABLE_NONPOTABLE_API[[#This Row],[RESIDENTIAL_SINGLEFAMILY_GAL]:[OTHER_GAL]])</f>
        <v>131045993.516</v>
      </c>
      <c r="W3589">
        <f>SUM(POTABLE_NONPOTABLE_API[[#This Row],[NONPOTABLE_DEMAND_RESIDENTIAL_RECYCLED_WATER_GAL]:[NONPOTABLE_DEMAND_NONRESIDENTIAL_METERED_IRRIGATION_GAL]])</f>
        <v>0</v>
      </c>
      <c r="X3589" t="str">
        <f>IFERROR(INDEX(Crosswalk_API!$H$2:$H$527, MATCH(POTABLE_NONPOTABLE_API[[#This Row],[PWSID]], CW_PWSID_LIST, 0)), "")</f>
        <v>No</v>
      </c>
    </row>
    <row r="3590" spans="1:24" x14ac:dyDescent="0.25">
      <c r="A3590" t="s">
        <v>1788</v>
      </c>
      <c r="B3590" t="s">
        <v>1789</v>
      </c>
      <c r="C3590" t="s">
        <v>1790</v>
      </c>
      <c r="D3590" t="s">
        <v>1791</v>
      </c>
      <c r="E3590" s="9">
        <v>45108</v>
      </c>
      <c r="F3590" s="9">
        <v>45138</v>
      </c>
      <c r="G3590">
        <v>205268000</v>
      </c>
      <c r="H3590">
        <v>67390000</v>
      </c>
      <c r="I3590">
        <v>81645500</v>
      </c>
      <c r="J3590">
        <v>18592750</v>
      </c>
      <c r="K3590">
        <v>3467500</v>
      </c>
      <c r="L3590">
        <v>598000</v>
      </c>
      <c r="M3590">
        <v>2843250</v>
      </c>
      <c r="T3590" s="9">
        <v>45108</v>
      </c>
      <c r="U3590" s="9">
        <v>45473</v>
      </c>
      <c r="V3590">
        <f>SUM(POTABLE_NONPOTABLE_API[[#This Row],[RESIDENTIAL_SINGLEFAMILY_GAL]:[OTHER_GAL]])</f>
        <v>376961750</v>
      </c>
      <c r="W3590">
        <f>SUM(POTABLE_NONPOTABLE_API[[#This Row],[NONPOTABLE_DEMAND_RESIDENTIAL_RECYCLED_WATER_GAL]:[NONPOTABLE_DEMAND_NONRESIDENTIAL_METERED_IRRIGATION_GAL]])</f>
        <v>0</v>
      </c>
      <c r="X3590" t="str">
        <f>IFERROR(INDEX(Crosswalk_API!$H$2:$H$527, MATCH(POTABLE_NONPOTABLE_API[[#This Row],[PWSID]], CW_PWSID_LIST, 0)), "")</f>
        <v>No</v>
      </c>
    </row>
    <row r="3591" spans="1:24" x14ac:dyDescent="0.25">
      <c r="A3591" t="s">
        <v>1788</v>
      </c>
      <c r="B3591" t="s">
        <v>1789</v>
      </c>
      <c r="C3591" t="s">
        <v>1790</v>
      </c>
      <c r="D3591" t="s">
        <v>1791</v>
      </c>
      <c r="E3591" s="9">
        <v>45139</v>
      </c>
      <c r="F3591" s="9">
        <v>45169</v>
      </c>
      <c r="G3591">
        <v>207440750</v>
      </c>
      <c r="H3591">
        <v>68358250</v>
      </c>
      <c r="I3591">
        <v>82892750</v>
      </c>
      <c r="J3591">
        <v>19699750</v>
      </c>
      <c r="K3591">
        <v>3511250</v>
      </c>
      <c r="L3591">
        <v>906000</v>
      </c>
      <c r="M3591">
        <v>5542500</v>
      </c>
      <c r="T3591" s="9">
        <v>45108</v>
      </c>
      <c r="U3591" s="9">
        <v>45473</v>
      </c>
      <c r="V3591">
        <f>SUM(POTABLE_NONPOTABLE_API[[#This Row],[RESIDENTIAL_SINGLEFAMILY_GAL]:[OTHER_GAL]])</f>
        <v>382808750</v>
      </c>
      <c r="W3591">
        <f>SUM(POTABLE_NONPOTABLE_API[[#This Row],[NONPOTABLE_DEMAND_RESIDENTIAL_RECYCLED_WATER_GAL]:[NONPOTABLE_DEMAND_NONRESIDENTIAL_METERED_IRRIGATION_GAL]])</f>
        <v>0</v>
      </c>
      <c r="X3591" t="str">
        <f>IFERROR(INDEX(Crosswalk_API!$H$2:$H$527, MATCH(POTABLE_NONPOTABLE_API[[#This Row],[PWSID]], CW_PWSID_LIST, 0)), "")</f>
        <v>No</v>
      </c>
    </row>
    <row r="3592" spans="1:24" x14ac:dyDescent="0.25">
      <c r="A3592" t="s">
        <v>1788</v>
      </c>
      <c r="B3592" t="s">
        <v>1789</v>
      </c>
      <c r="C3592" t="s">
        <v>1790</v>
      </c>
      <c r="D3592" t="s">
        <v>1791</v>
      </c>
      <c r="E3592" s="9">
        <v>45170</v>
      </c>
      <c r="F3592" s="9">
        <v>45199</v>
      </c>
      <c r="G3592">
        <v>190289000</v>
      </c>
      <c r="H3592">
        <v>66862250</v>
      </c>
      <c r="I3592">
        <v>79562000</v>
      </c>
      <c r="J3592">
        <v>17002000</v>
      </c>
      <c r="K3592">
        <v>5056500</v>
      </c>
      <c r="L3592">
        <v>684000</v>
      </c>
      <c r="M3592">
        <v>5005500</v>
      </c>
      <c r="T3592" s="9">
        <v>45108</v>
      </c>
      <c r="U3592" s="9">
        <v>45473</v>
      </c>
      <c r="V3592">
        <f>SUM(POTABLE_NONPOTABLE_API[[#This Row],[RESIDENTIAL_SINGLEFAMILY_GAL]:[OTHER_GAL]])</f>
        <v>359455750</v>
      </c>
      <c r="W3592">
        <f>SUM(POTABLE_NONPOTABLE_API[[#This Row],[NONPOTABLE_DEMAND_RESIDENTIAL_RECYCLED_WATER_GAL]:[NONPOTABLE_DEMAND_NONRESIDENTIAL_METERED_IRRIGATION_GAL]])</f>
        <v>0</v>
      </c>
      <c r="X3592" t="str">
        <f>IFERROR(INDEX(Crosswalk_API!$H$2:$H$527, MATCH(POTABLE_NONPOTABLE_API[[#This Row],[PWSID]], CW_PWSID_LIST, 0)), "")</f>
        <v>No</v>
      </c>
    </row>
    <row r="3593" spans="1:24" x14ac:dyDescent="0.25">
      <c r="A3593" t="s">
        <v>1788</v>
      </c>
      <c r="B3593" t="s">
        <v>1789</v>
      </c>
      <c r="C3593" t="s">
        <v>1790</v>
      </c>
      <c r="D3593" t="s">
        <v>1791</v>
      </c>
      <c r="E3593" s="9">
        <v>45200</v>
      </c>
      <c r="F3593" s="9">
        <v>45230</v>
      </c>
      <c r="G3593">
        <v>165778000</v>
      </c>
      <c r="H3593">
        <v>58609250</v>
      </c>
      <c r="I3593">
        <v>74623000</v>
      </c>
      <c r="J3593">
        <v>14621250</v>
      </c>
      <c r="K3593">
        <v>5267750</v>
      </c>
      <c r="L3593">
        <v>1191000</v>
      </c>
      <c r="M3593">
        <v>3955000</v>
      </c>
      <c r="T3593" s="9">
        <v>45108</v>
      </c>
      <c r="U3593" s="9">
        <v>45473</v>
      </c>
      <c r="V3593">
        <f>SUM(POTABLE_NONPOTABLE_API[[#This Row],[RESIDENTIAL_SINGLEFAMILY_GAL]:[OTHER_GAL]])</f>
        <v>320090250</v>
      </c>
      <c r="W3593">
        <f>SUM(POTABLE_NONPOTABLE_API[[#This Row],[NONPOTABLE_DEMAND_RESIDENTIAL_RECYCLED_WATER_GAL]:[NONPOTABLE_DEMAND_NONRESIDENTIAL_METERED_IRRIGATION_GAL]])</f>
        <v>0</v>
      </c>
      <c r="X3593" t="str">
        <f>IFERROR(INDEX(Crosswalk_API!$H$2:$H$527, MATCH(POTABLE_NONPOTABLE_API[[#This Row],[PWSID]], CW_PWSID_LIST, 0)), "")</f>
        <v>No</v>
      </c>
    </row>
    <row r="3594" spans="1:24" x14ac:dyDescent="0.25">
      <c r="A3594" t="s">
        <v>1788</v>
      </c>
      <c r="B3594" t="s">
        <v>1789</v>
      </c>
      <c r="C3594" t="s">
        <v>1790</v>
      </c>
      <c r="D3594" t="s">
        <v>1791</v>
      </c>
      <c r="E3594" s="9">
        <v>45231</v>
      </c>
      <c r="F3594" s="9">
        <v>45260</v>
      </c>
      <c r="G3594">
        <v>132980000</v>
      </c>
      <c r="H3594">
        <v>52522500</v>
      </c>
      <c r="I3594">
        <v>56827500</v>
      </c>
      <c r="J3594">
        <v>7458000</v>
      </c>
      <c r="K3594">
        <v>3321500</v>
      </c>
      <c r="L3594">
        <v>678000</v>
      </c>
      <c r="M3594">
        <v>714500</v>
      </c>
      <c r="T3594" s="9">
        <v>45108</v>
      </c>
      <c r="U3594" s="9">
        <v>45473</v>
      </c>
      <c r="V3594">
        <f>SUM(POTABLE_NONPOTABLE_API[[#This Row],[RESIDENTIAL_SINGLEFAMILY_GAL]:[OTHER_GAL]])</f>
        <v>253787500</v>
      </c>
      <c r="W3594">
        <f>SUM(POTABLE_NONPOTABLE_API[[#This Row],[NONPOTABLE_DEMAND_RESIDENTIAL_RECYCLED_WATER_GAL]:[NONPOTABLE_DEMAND_NONRESIDENTIAL_METERED_IRRIGATION_GAL]])</f>
        <v>0</v>
      </c>
      <c r="X3594" t="str">
        <f>IFERROR(INDEX(Crosswalk_API!$H$2:$H$527, MATCH(POTABLE_NONPOTABLE_API[[#This Row],[PWSID]], CW_PWSID_LIST, 0)), "")</f>
        <v>No</v>
      </c>
    </row>
    <row r="3595" spans="1:24" x14ac:dyDescent="0.25">
      <c r="A3595" t="s">
        <v>1788</v>
      </c>
      <c r="B3595" t="s">
        <v>1789</v>
      </c>
      <c r="C3595" t="s">
        <v>1790</v>
      </c>
      <c r="D3595" t="s">
        <v>1791</v>
      </c>
      <c r="E3595" s="9">
        <v>45261</v>
      </c>
      <c r="F3595" s="9">
        <v>45291</v>
      </c>
      <c r="G3595">
        <v>108008500</v>
      </c>
      <c r="H3595">
        <v>44407750</v>
      </c>
      <c r="I3595">
        <v>52076250</v>
      </c>
      <c r="J3595">
        <v>3739500</v>
      </c>
      <c r="K3595">
        <v>3032750</v>
      </c>
      <c r="L3595">
        <v>416000</v>
      </c>
      <c r="M3595">
        <v>145000</v>
      </c>
      <c r="T3595" s="9">
        <v>45108</v>
      </c>
      <c r="U3595" s="9">
        <v>45473</v>
      </c>
      <c r="V3595">
        <f>SUM(POTABLE_NONPOTABLE_API[[#This Row],[RESIDENTIAL_SINGLEFAMILY_GAL]:[OTHER_GAL]])</f>
        <v>211680750</v>
      </c>
      <c r="W3595">
        <f>SUM(POTABLE_NONPOTABLE_API[[#This Row],[NONPOTABLE_DEMAND_RESIDENTIAL_RECYCLED_WATER_GAL]:[NONPOTABLE_DEMAND_NONRESIDENTIAL_METERED_IRRIGATION_GAL]])</f>
        <v>0</v>
      </c>
      <c r="X3595" t="str">
        <f>IFERROR(INDEX(Crosswalk_API!$H$2:$H$527, MATCH(POTABLE_NONPOTABLE_API[[#This Row],[PWSID]], CW_PWSID_LIST, 0)), "")</f>
        <v>No</v>
      </c>
    </row>
    <row r="3596" spans="1:24" x14ac:dyDescent="0.25">
      <c r="A3596" t="s">
        <v>1788</v>
      </c>
      <c r="B3596" t="s">
        <v>1789</v>
      </c>
      <c r="C3596" t="s">
        <v>1790</v>
      </c>
      <c r="D3596" t="s">
        <v>1791</v>
      </c>
      <c r="E3596" s="9">
        <v>45292</v>
      </c>
      <c r="F3596" s="9">
        <v>45322</v>
      </c>
      <c r="G3596">
        <v>90755000</v>
      </c>
      <c r="H3596">
        <v>40961500</v>
      </c>
      <c r="I3596">
        <v>48594500</v>
      </c>
      <c r="J3596">
        <v>2779750</v>
      </c>
      <c r="K3596">
        <v>2129500</v>
      </c>
      <c r="L3596">
        <v>351000</v>
      </c>
      <c r="M3596">
        <v>88250</v>
      </c>
      <c r="T3596" s="9">
        <v>45108</v>
      </c>
      <c r="U3596" s="9">
        <v>45473</v>
      </c>
      <c r="V3596">
        <f>SUM(POTABLE_NONPOTABLE_API[[#This Row],[RESIDENTIAL_SINGLEFAMILY_GAL]:[OTHER_GAL]])</f>
        <v>185571250</v>
      </c>
      <c r="W3596">
        <f>SUM(POTABLE_NONPOTABLE_API[[#This Row],[NONPOTABLE_DEMAND_RESIDENTIAL_RECYCLED_WATER_GAL]:[NONPOTABLE_DEMAND_NONRESIDENTIAL_METERED_IRRIGATION_GAL]])</f>
        <v>0</v>
      </c>
      <c r="X3596" t="str">
        <f>IFERROR(INDEX(Crosswalk_API!$H$2:$H$527, MATCH(POTABLE_NONPOTABLE_API[[#This Row],[PWSID]], CW_PWSID_LIST, 0)), "")</f>
        <v>No</v>
      </c>
    </row>
    <row r="3597" spans="1:24" x14ac:dyDescent="0.25">
      <c r="A3597" t="s">
        <v>1788</v>
      </c>
      <c r="B3597" t="s">
        <v>1789</v>
      </c>
      <c r="C3597" t="s">
        <v>1790</v>
      </c>
      <c r="D3597" t="s">
        <v>1791</v>
      </c>
      <c r="E3597" s="9">
        <v>45323</v>
      </c>
      <c r="F3597" s="9">
        <v>45351</v>
      </c>
      <c r="G3597">
        <v>87659250</v>
      </c>
      <c r="H3597">
        <v>40644250</v>
      </c>
      <c r="I3597">
        <v>48526000</v>
      </c>
      <c r="J3597">
        <v>2377750</v>
      </c>
      <c r="K3597">
        <v>2125250</v>
      </c>
      <c r="L3597">
        <v>191000</v>
      </c>
      <c r="M3597">
        <v>68500</v>
      </c>
      <c r="T3597" s="9">
        <v>45108</v>
      </c>
      <c r="U3597" s="9">
        <v>45473</v>
      </c>
      <c r="V3597">
        <f>SUM(POTABLE_NONPOTABLE_API[[#This Row],[RESIDENTIAL_SINGLEFAMILY_GAL]:[OTHER_GAL]])</f>
        <v>181523500</v>
      </c>
      <c r="W3597">
        <f>SUM(POTABLE_NONPOTABLE_API[[#This Row],[NONPOTABLE_DEMAND_RESIDENTIAL_RECYCLED_WATER_GAL]:[NONPOTABLE_DEMAND_NONRESIDENTIAL_METERED_IRRIGATION_GAL]])</f>
        <v>0</v>
      </c>
      <c r="X3597" t="str">
        <f>IFERROR(INDEX(Crosswalk_API!$H$2:$H$527, MATCH(POTABLE_NONPOTABLE_API[[#This Row],[PWSID]], CW_PWSID_LIST, 0)), "")</f>
        <v>No</v>
      </c>
    </row>
    <row r="3598" spans="1:24" x14ac:dyDescent="0.25">
      <c r="A3598" t="s">
        <v>1788</v>
      </c>
      <c r="B3598" t="s">
        <v>1789</v>
      </c>
      <c r="C3598" t="s">
        <v>1790</v>
      </c>
      <c r="D3598" t="s">
        <v>1791</v>
      </c>
      <c r="E3598" s="9">
        <v>45352</v>
      </c>
      <c r="F3598" s="9">
        <v>45382</v>
      </c>
      <c r="G3598">
        <v>98274500</v>
      </c>
      <c r="H3598">
        <v>41662000</v>
      </c>
      <c r="I3598">
        <v>50612500</v>
      </c>
      <c r="J3598">
        <v>3410500</v>
      </c>
      <c r="K3598">
        <v>2141000</v>
      </c>
      <c r="L3598">
        <v>309000</v>
      </c>
      <c r="M3598">
        <v>217000</v>
      </c>
      <c r="T3598" s="9">
        <v>45108</v>
      </c>
      <c r="U3598" s="9">
        <v>45473</v>
      </c>
      <c r="V3598">
        <f>SUM(POTABLE_NONPOTABLE_API[[#This Row],[RESIDENTIAL_SINGLEFAMILY_GAL]:[OTHER_GAL]])</f>
        <v>196409500</v>
      </c>
      <c r="W3598">
        <f>SUM(POTABLE_NONPOTABLE_API[[#This Row],[NONPOTABLE_DEMAND_RESIDENTIAL_RECYCLED_WATER_GAL]:[NONPOTABLE_DEMAND_NONRESIDENTIAL_METERED_IRRIGATION_GAL]])</f>
        <v>0</v>
      </c>
      <c r="X3598" t="str">
        <f>IFERROR(INDEX(Crosswalk_API!$H$2:$H$527, MATCH(POTABLE_NONPOTABLE_API[[#This Row],[PWSID]], CW_PWSID_LIST, 0)), "")</f>
        <v>No</v>
      </c>
    </row>
    <row r="3599" spans="1:24" x14ac:dyDescent="0.25">
      <c r="A3599" t="s">
        <v>1788</v>
      </c>
      <c r="B3599" t="s">
        <v>1789</v>
      </c>
      <c r="C3599" t="s">
        <v>1790</v>
      </c>
      <c r="D3599" t="s">
        <v>1791</v>
      </c>
      <c r="E3599" s="9">
        <v>45383</v>
      </c>
      <c r="F3599" s="9">
        <v>45412</v>
      </c>
      <c r="G3599">
        <v>124427750</v>
      </c>
      <c r="H3599">
        <v>51166000</v>
      </c>
      <c r="I3599">
        <v>57277000</v>
      </c>
      <c r="J3599">
        <v>4935500</v>
      </c>
      <c r="K3599">
        <v>2198750</v>
      </c>
      <c r="L3599">
        <v>995000</v>
      </c>
      <c r="M3599">
        <v>636500</v>
      </c>
      <c r="T3599" s="9">
        <v>45108</v>
      </c>
      <c r="U3599" s="9">
        <v>45473</v>
      </c>
      <c r="V3599">
        <f>SUM(POTABLE_NONPOTABLE_API[[#This Row],[RESIDENTIAL_SINGLEFAMILY_GAL]:[OTHER_GAL]])</f>
        <v>241000000</v>
      </c>
      <c r="W3599">
        <f>SUM(POTABLE_NONPOTABLE_API[[#This Row],[NONPOTABLE_DEMAND_RESIDENTIAL_RECYCLED_WATER_GAL]:[NONPOTABLE_DEMAND_NONRESIDENTIAL_METERED_IRRIGATION_GAL]])</f>
        <v>0</v>
      </c>
      <c r="X3599" t="str">
        <f>IFERROR(INDEX(Crosswalk_API!$H$2:$H$527, MATCH(POTABLE_NONPOTABLE_API[[#This Row],[PWSID]], CW_PWSID_LIST, 0)), "")</f>
        <v>No</v>
      </c>
    </row>
    <row r="3600" spans="1:24" x14ac:dyDescent="0.25">
      <c r="A3600" t="s">
        <v>1788</v>
      </c>
      <c r="B3600" t="s">
        <v>1789</v>
      </c>
      <c r="C3600" t="s">
        <v>1790</v>
      </c>
      <c r="D3600" t="s">
        <v>1791</v>
      </c>
      <c r="E3600" s="9">
        <v>45413</v>
      </c>
      <c r="F3600" s="9">
        <v>45443</v>
      </c>
      <c r="G3600">
        <v>176118000</v>
      </c>
      <c r="H3600">
        <v>59328250</v>
      </c>
      <c r="I3600">
        <v>76172500</v>
      </c>
      <c r="J3600">
        <v>13839250</v>
      </c>
      <c r="K3600">
        <v>2642000</v>
      </c>
      <c r="L3600">
        <v>2569000</v>
      </c>
      <c r="M3600">
        <v>1824750</v>
      </c>
      <c r="T3600" s="9">
        <v>45108</v>
      </c>
      <c r="U3600" s="9">
        <v>45473</v>
      </c>
      <c r="V3600">
        <f>SUM(POTABLE_NONPOTABLE_API[[#This Row],[RESIDENTIAL_SINGLEFAMILY_GAL]:[OTHER_GAL]])</f>
        <v>330669000</v>
      </c>
      <c r="W3600">
        <f>SUM(POTABLE_NONPOTABLE_API[[#This Row],[NONPOTABLE_DEMAND_RESIDENTIAL_RECYCLED_WATER_GAL]:[NONPOTABLE_DEMAND_NONRESIDENTIAL_METERED_IRRIGATION_GAL]])</f>
        <v>0</v>
      </c>
      <c r="X3600" t="str">
        <f>IFERROR(INDEX(Crosswalk_API!$H$2:$H$527, MATCH(POTABLE_NONPOTABLE_API[[#This Row],[PWSID]], CW_PWSID_LIST, 0)), "")</f>
        <v>No</v>
      </c>
    </row>
    <row r="3601" spans="1:24" x14ac:dyDescent="0.25">
      <c r="A3601" t="s">
        <v>1788</v>
      </c>
      <c r="B3601" t="s">
        <v>1789</v>
      </c>
      <c r="C3601" t="s">
        <v>1790</v>
      </c>
      <c r="D3601" t="s">
        <v>1791</v>
      </c>
      <c r="E3601" s="9">
        <v>45444</v>
      </c>
      <c r="F3601" s="9">
        <v>45473</v>
      </c>
      <c r="G3601">
        <v>207887500</v>
      </c>
      <c r="H3601">
        <v>68550500</v>
      </c>
      <c r="I3601">
        <v>78919750</v>
      </c>
      <c r="J3601">
        <v>10313750</v>
      </c>
      <c r="K3601">
        <v>2692000</v>
      </c>
      <c r="L3601">
        <v>2483000</v>
      </c>
      <c r="M3601">
        <v>2808000</v>
      </c>
      <c r="T3601" s="9">
        <v>45108</v>
      </c>
      <c r="U3601" s="9">
        <v>45473</v>
      </c>
      <c r="V3601">
        <f>SUM(POTABLE_NONPOTABLE_API[[#This Row],[RESIDENTIAL_SINGLEFAMILY_GAL]:[OTHER_GAL]])</f>
        <v>370846500</v>
      </c>
      <c r="W3601">
        <f>SUM(POTABLE_NONPOTABLE_API[[#This Row],[NONPOTABLE_DEMAND_RESIDENTIAL_RECYCLED_WATER_GAL]:[NONPOTABLE_DEMAND_NONRESIDENTIAL_METERED_IRRIGATION_GAL]])</f>
        <v>0</v>
      </c>
      <c r="X3601" t="str">
        <f>IFERROR(INDEX(Crosswalk_API!$H$2:$H$527, MATCH(POTABLE_NONPOTABLE_API[[#This Row],[PWSID]], CW_PWSID_LIST, 0)), "")</f>
        <v>No</v>
      </c>
    </row>
    <row r="3602" spans="1:24" x14ac:dyDescent="0.25">
      <c r="A3602" t="s">
        <v>1792</v>
      </c>
      <c r="B3602" t="s">
        <v>1793</v>
      </c>
      <c r="C3602" t="s">
        <v>1794</v>
      </c>
      <c r="D3602" t="s">
        <v>1795</v>
      </c>
      <c r="E3602" s="9">
        <v>45108</v>
      </c>
      <c r="F3602" s="9">
        <v>45138</v>
      </c>
      <c r="G3602">
        <v>149092860</v>
      </c>
      <c r="H3602">
        <v>6990810</v>
      </c>
      <c r="I3602">
        <v>22365950</v>
      </c>
      <c r="J3602">
        <v>4981680</v>
      </c>
      <c r="K3602">
        <v>0</v>
      </c>
      <c r="L3602">
        <v>422620</v>
      </c>
      <c r="M3602">
        <v>0</v>
      </c>
      <c r="T3602" s="9">
        <v>45108</v>
      </c>
      <c r="U3602" s="9">
        <v>45473</v>
      </c>
      <c r="V3602">
        <f>SUM(POTABLE_NONPOTABLE_API[[#This Row],[RESIDENTIAL_SINGLEFAMILY_GAL]:[OTHER_GAL]])</f>
        <v>183853920</v>
      </c>
      <c r="W3602">
        <f>SUM(POTABLE_NONPOTABLE_API[[#This Row],[NONPOTABLE_DEMAND_RESIDENTIAL_RECYCLED_WATER_GAL]:[NONPOTABLE_DEMAND_NONRESIDENTIAL_METERED_IRRIGATION_GAL]])</f>
        <v>0</v>
      </c>
      <c r="X3602" t="str">
        <f>IFERROR(INDEX(Crosswalk_API!$H$2:$H$527, MATCH(POTABLE_NONPOTABLE_API[[#This Row],[PWSID]], CW_PWSID_LIST, 0)), "")</f>
        <v>No</v>
      </c>
    </row>
    <row r="3603" spans="1:24" x14ac:dyDescent="0.25">
      <c r="A3603" t="s">
        <v>1792</v>
      </c>
      <c r="B3603" t="s">
        <v>1793</v>
      </c>
      <c r="C3603" t="s">
        <v>1794</v>
      </c>
      <c r="D3603" t="s">
        <v>1795</v>
      </c>
      <c r="E3603" s="9">
        <v>45139</v>
      </c>
      <c r="F3603" s="9">
        <v>45169</v>
      </c>
      <c r="G3603">
        <v>82798360</v>
      </c>
      <c r="H3603">
        <v>6990810</v>
      </c>
      <c r="I3603">
        <v>22766880</v>
      </c>
      <c r="J3603">
        <v>4990660</v>
      </c>
      <c r="K3603">
        <v>0</v>
      </c>
      <c r="L3603">
        <v>2832680</v>
      </c>
      <c r="M3603">
        <v>0</v>
      </c>
      <c r="T3603" s="9">
        <v>45108</v>
      </c>
      <c r="U3603" s="9">
        <v>45473</v>
      </c>
      <c r="V3603">
        <f>SUM(POTABLE_NONPOTABLE_API[[#This Row],[RESIDENTIAL_SINGLEFAMILY_GAL]:[OTHER_GAL]])</f>
        <v>120379390</v>
      </c>
      <c r="W3603">
        <f>SUM(POTABLE_NONPOTABLE_API[[#This Row],[NONPOTABLE_DEMAND_RESIDENTIAL_RECYCLED_WATER_GAL]:[NONPOTABLE_DEMAND_NONRESIDENTIAL_METERED_IRRIGATION_GAL]])</f>
        <v>0</v>
      </c>
      <c r="X3603" t="str">
        <f>IFERROR(INDEX(Crosswalk_API!$H$2:$H$527, MATCH(POTABLE_NONPOTABLE_API[[#This Row],[PWSID]], CW_PWSID_LIST, 0)), "")</f>
        <v>No</v>
      </c>
    </row>
    <row r="3604" spans="1:24" x14ac:dyDescent="0.25">
      <c r="A3604" t="s">
        <v>1792</v>
      </c>
      <c r="B3604" t="s">
        <v>1793</v>
      </c>
      <c r="C3604" t="s">
        <v>1794</v>
      </c>
      <c r="D3604" t="s">
        <v>1795</v>
      </c>
      <c r="E3604" s="9">
        <v>45170</v>
      </c>
      <c r="F3604" s="9">
        <v>45199</v>
      </c>
      <c r="G3604">
        <v>68136820</v>
      </c>
      <c r="H3604">
        <v>5395320</v>
      </c>
      <c r="I3604">
        <v>19144310</v>
      </c>
      <c r="J3604">
        <v>5120810</v>
      </c>
      <c r="K3604">
        <v>0</v>
      </c>
      <c r="L3604">
        <v>0</v>
      </c>
      <c r="M3604">
        <v>0</v>
      </c>
      <c r="T3604" s="9">
        <v>45108</v>
      </c>
      <c r="U3604" s="9">
        <v>45473</v>
      </c>
      <c r="V3604">
        <f>SUM(POTABLE_NONPOTABLE_API[[#This Row],[RESIDENTIAL_SINGLEFAMILY_GAL]:[OTHER_GAL]])</f>
        <v>97797260</v>
      </c>
      <c r="W3604">
        <f>SUM(POTABLE_NONPOTABLE_API[[#This Row],[NONPOTABLE_DEMAND_RESIDENTIAL_RECYCLED_WATER_GAL]:[NONPOTABLE_DEMAND_NONRESIDENTIAL_METERED_IRRIGATION_GAL]])</f>
        <v>0</v>
      </c>
      <c r="X3604" t="str">
        <f>IFERROR(INDEX(Crosswalk_API!$H$2:$H$527, MATCH(POTABLE_NONPOTABLE_API[[#This Row],[PWSID]], CW_PWSID_LIST, 0)), "")</f>
        <v>No</v>
      </c>
    </row>
    <row r="3605" spans="1:24" x14ac:dyDescent="0.25">
      <c r="A3605" t="s">
        <v>1792</v>
      </c>
      <c r="B3605" t="s">
        <v>1793</v>
      </c>
      <c r="C3605" t="s">
        <v>1794</v>
      </c>
      <c r="D3605" t="s">
        <v>1795</v>
      </c>
      <c r="E3605" s="9">
        <v>45200</v>
      </c>
      <c r="F3605" s="9">
        <v>45230</v>
      </c>
      <c r="G3605">
        <v>52526800</v>
      </c>
      <c r="H3605">
        <v>4662280</v>
      </c>
      <c r="I3605">
        <v>16690870</v>
      </c>
      <c r="J3605">
        <v>4349620</v>
      </c>
      <c r="K3605">
        <v>0</v>
      </c>
      <c r="L3605">
        <v>305930</v>
      </c>
      <c r="M3605">
        <v>0</v>
      </c>
      <c r="T3605" s="9">
        <v>45108</v>
      </c>
      <c r="U3605" s="9">
        <v>45473</v>
      </c>
      <c r="V3605">
        <f>SUM(POTABLE_NONPOTABLE_API[[#This Row],[RESIDENTIAL_SINGLEFAMILY_GAL]:[OTHER_GAL]])</f>
        <v>78535500</v>
      </c>
      <c r="W3605">
        <f>SUM(POTABLE_NONPOTABLE_API[[#This Row],[NONPOTABLE_DEMAND_RESIDENTIAL_RECYCLED_WATER_GAL]:[NONPOTABLE_DEMAND_NONRESIDENTIAL_METERED_IRRIGATION_GAL]])</f>
        <v>0</v>
      </c>
      <c r="X3605" t="str">
        <f>IFERROR(INDEX(Crosswalk_API!$H$2:$H$527, MATCH(POTABLE_NONPOTABLE_API[[#This Row],[PWSID]], CW_PWSID_LIST, 0)), "")</f>
        <v>No</v>
      </c>
    </row>
    <row r="3606" spans="1:24" x14ac:dyDescent="0.25">
      <c r="A3606" t="s">
        <v>1792</v>
      </c>
      <c r="B3606" t="s">
        <v>1793</v>
      </c>
      <c r="C3606" t="s">
        <v>1794</v>
      </c>
      <c r="D3606" t="s">
        <v>1795</v>
      </c>
      <c r="E3606" s="9">
        <v>45231</v>
      </c>
      <c r="F3606" s="9">
        <v>45260</v>
      </c>
      <c r="G3606">
        <v>35449960</v>
      </c>
      <c r="H3606">
        <v>3160300</v>
      </c>
      <c r="I3606">
        <v>12027090</v>
      </c>
      <c r="J3606">
        <v>1997160</v>
      </c>
      <c r="K3606">
        <v>0</v>
      </c>
      <c r="L3606">
        <v>219910</v>
      </c>
      <c r="M3606">
        <v>0</v>
      </c>
      <c r="T3606" s="9">
        <v>45108</v>
      </c>
      <c r="U3606" s="9">
        <v>45473</v>
      </c>
      <c r="V3606">
        <f>SUM(POTABLE_NONPOTABLE_API[[#This Row],[RESIDENTIAL_SINGLEFAMILY_GAL]:[OTHER_GAL]])</f>
        <v>52854420</v>
      </c>
      <c r="W3606">
        <f>SUM(POTABLE_NONPOTABLE_API[[#This Row],[NONPOTABLE_DEMAND_RESIDENTIAL_RECYCLED_WATER_GAL]:[NONPOTABLE_DEMAND_NONRESIDENTIAL_METERED_IRRIGATION_GAL]])</f>
        <v>0</v>
      </c>
      <c r="X3606" t="str">
        <f>IFERROR(INDEX(Crosswalk_API!$H$2:$H$527, MATCH(POTABLE_NONPOTABLE_API[[#This Row],[PWSID]], CW_PWSID_LIST, 0)), "")</f>
        <v>No</v>
      </c>
    </row>
    <row r="3607" spans="1:24" x14ac:dyDescent="0.25">
      <c r="A3607" t="s">
        <v>1792</v>
      </c>
      <c r="B3607" t="s">
        <v>1793</v>
      </c>
      <c r="C3607" t="s">
        <v>1794</v>
      </c>
      <c r="D3607" t="s">
        <v>1795</v>
      </c>
      <c r="E3607" s="9">
        <v>45261</v>
      </c>
      <c r="F3607" s="9">
        <v>45291</v>
      </c>
      <c r="G3607">
        <v>22886560</v>
      </c>
      <c r="H3607">
        <v>2552180</v>
      </c>
      <c r="I3607">
        <v>10029930</v>
      </c>
      <c r="J3607">
        <v>1154910</v>
      </c>
      <c r="K3607">
        <v>0</v>
      </c>
      <c r="L3607">
        <v>113700</v>
      </c>
      <c r="M3607">
        <v>0</v>
      </c>
      <c r="T3607" s="9">
        <v>45108</v>
      </c>
      <c r="U3607" s="9">
        <v>45473</v>
      </c>
      <c r="V3607">
        <f>SUM(POTABLE_NONPOTABLE_API[[#This Row],[RESIDENTIAL_SINGLEFAMILY_GAL]:[OTHER_GAL]])</f>
        <v>36737280</v>
      </c>
      <c r="W3607">
        <f>SUM(POTABLE_NONPOTABLE_API[[#This Row],[NONPOTABLE_DEMAND_RESIDENTIAL_RECYCLED_WATER_GAL]:[NONPOTABLE_DEMAND_NONRESIDENTIAL_METERED_IRRIGATION_GAL]])</f>
        <v>0</v>
      </c>
      <c r="X3607" t="str">
        <f>IFERROR(INDEX(Crosswalk_API!$H$2:$H$527, MATCH(POTABLE_NONPOTABLE_API[[#This Row],[PWSID]], CW_PWSID_LIST, 0)), "")</f>
        <v>No</v>
      </c>
    </row>
    <row r="3608" spans="1:24" x14ac:dyDescent="0.25">
      <c r="A3608" t="s">
        <v>1792</v>
      </c>
      <c r="B3608" t="s">
        <v>1793</v>
      </c>
      <c r="C3608" t="s">
        <v>1794</v>
      </c>
      <c r="D3608" t="s">
        <v>1795</v>
      </c>
      <c r="E3608" s="9">
        <v>45292</v>
      </c>
      <c r="F3608" s="9">
        <v>45322</v>
      </c>
      <c r="G3608">
        <v>22166980</v>
      </c>
      <c r="H3608">
        <v>2822950</v>
      </c>
      <c r="I3608">
        <v>9626760</v>
      </c>
      <c r="J3608">
        <v>770440</v>
      </c>
      <c r="K3608">
        <v>0</v>
      </c>
      <c r="L3608">
        <v>94250</v>
      </c>
      <c r="M3608">
        <v>0</v>
      </c>
      <c r="T3608" s="9">
        <v>45108</v>
      </c>
      <c r="U3608" s="9">
        <v>45473</v>
      </c>
      <c r="V3608">
        <f>SUM(POTABLE_NONPOTABLE_API[[#This Row],[RESIDENTIAL_SINGLEFAMILY_GAL]:[OTHER_GAL]])</f>
        <v>35481380</v>
      </c>
      <c r="W3608">
        <f>SUM(POTABLE_NONPOTABLE_API[[#This Row],[NONPOTABLE_DEMAND_RESIDENTIAL_RECYCLED_WATER_GAL]:[NONPOTABLE_DEMAND_NONRESIDENTIAL_METERED_IRRIGATION_GAL]])</f>
        <v>0</v>
      </c>
      <c r="X3608" t="str">
        <f>IFERROR(INDEX(Crosswalk_API!$H$2:$H$527, MATCH(POTABLE_NONPOTABLE_API[[#This Row],[PWSID]], CW_PWSID_LIST, 0)), "")</f>
        <v>No</v>
      </c>
    </row>
    <row r="3609" spans="1:24" x14ac:dyDescent="0.25">
      <c r="A3609" t="s">
        <v>1792</v>
      </c>
      <c r="B3609" t="s">
        <v>1793</v>
      </c>
      <c r="C3609" t="s">
        <v>1794</v>
      </c>
      <c r="D3609" t="s">
        <v>1795</v>
      </c>
      <c r="E3609" s="9">
        <v>45323</v>
      </c>
      <c r="F3609" s="9">
        <v>45351</v>
      </c>
      <c r="G3609">
        <v>20606650</v>
      </c>
      <c r="H3609">
        <v>4722870</v>
      </c>
      <c r="I3609">
        <v>8984230</v>
      </c>
      <c r="J3609">
        <v>443560</v>
      </c>
      <c r="K3609">
        <v>0</v>
      </c>
      <c r="L3609">
        <v>865440</v>
      </c>
      <c r="M3609">
        <v>0</v>
      </c>
      <c r="T3609" s="9">
        <v>45108</v>
      </c>
      <c r="U3609" s="9">
        <v>45473</v>
      </c>
      <c r="V3609">
        <f>SUM(POTABLE_NONPOTABLE_API[[#This Row],[RESIDENTIAL_SINGLEFAMILY_GAL]:[OTHER_GAL]])</f>
        <v>35622750</v>
      </c>
      <c r="W3609">
        <f>SUM(POTABLE_NONPOTABLE_API[[#This Row],[NONPOTABLE_DEMAND_RESIDENTIAL_RECYCLED_WATER_GAL]:[NONPOTABLE_DEMAND_NONRESIDENTIAL_METERED_IRRIGATION_GAL]])</f>
        <v>0</v>
      </c>
      <c r="X3609" t="str">
        <f>IFERROR(INDEX(Crosswalk_API!$H$2:$H$527, MATCH(POTABLE_NONPOTABLE_API[[#This Row],[PWSID]], CW_PWSID_LIST, 0)), "")</f>
        <v>No</v>
      </c>
    </row>
    <row r="3610" spans="1:24" x14ac:dyDescent="0.25">
      <c r="A3610" t="s">
        <v>1792</v>
      </c>
      <c r="B3610" t="s">
        <v>1793</v>
      </c>
      <c r="C3610" t="s">
        <v>1794</v>
      </c>
      <c r="D3610" t="s">
        <v>1795</v>
      </c>
      <c r="E3610" s="9">
        <v>45352</v>
      </c>
      <c r="F3610" s="9">
        <v>45382</v>
      </c>
      <c r="G3610">
        <v>18199590</v>
      </c>
      <c r="H3610">
        <v>3225800</v>
      </c>
      <c r="I3610">
        <v>8697000</v>
      </c>
      <c r="J3610">
        <v>589420</v>
      </c>
      <c r="K3610">
        <v>27680</v>
      </c>
      <c r="L3610">
        <v>29920</v>
      </c>
      <c r="M3610">
        <v>0</v>
      </c>
      <c r="T3610" s="9">
        <v>45108</v>
      </c>
      <c r="U3610" s="9">
        <v>45473</v>
      </c>
      <c r="V3610">
        <f>SUM(POTABLE_NONPOTABLE_API[[#This Row],[RESIDENTIAL_SINGLEFAMILY_GAL]:[OTHER_GAL]])</f>
        <v>30769410</v>
      </c>
      <c r="W3610">
        <f>SUM(POTABLE_NONPOTABLE_API[[#This Row],[NONPOTABLE_DEMAND_RESIDENTIAL_RECYCLED_WATER_GAL]:[NONPOTABLE_DEMAND_NONRESIDENTIAL_METERED_IRRIGATION_GAL]])</f>
        <v>0</v>
      </c>
      <c r="X3610" t="str">
        <f>IFERROR(INDEX(Crosswalk_API!$H$2:$H$527, MATCH(POTABLE_NONPOTABLE_API[[#This Row],[PWSID]], CW_PWSID_LIST, 0)), "")</f>
        <v>No</v>
      </c>
    </row>
    <row r="3611" spans="1:24" x14ac:dyDescent="0.25">
      <c r="A3611" t="s">
        <v>1792</v>
      </c>
      <c r="B3611" t="s">
        <v>1793</v>
      </c>
      <c r="C3611" t="s">
        <v>1794</v>
      </c>
      <c r="D3611" t="s">
        <v>1795</v>
      </c>
      <c r="E3611" s="9">
        <v>45383</v>
      </c>
      <c r="F3611" s="9">
        <v>45412</v>
      </c>
      <c r="G3611">
        <v>24223980</v>
      </c>
      <c r="H3611">
        <v>3849210</v>
      </c>
      <c r="I3611">
        <v>10840760</v>
      </c>
      <c r="J3611">
        <v>684420</v>
      </c>
      <c r="K3611">
        <v>0</v>
      </c>
      <c r="L3611">
        <v>883390</v>
      </c>
      <c r="M3611">
        <v>0</v>
      </c>
      <c r="T3611" s="9">
        <v>45108</v>
      </c>
      <c r="U3611" s="9">
        <v>45473</v>
      </c>
      <c r="V3611">
        <f>SUM(POTABLE_NONPOTABLE_API[[#This Row],[RESIDENTIAL_SINGLEFAMILY_GAL]:[OTHER_GAL]])</f>
        <v>40481760</v>
      </c>
      <c r="W3611">
        <f>SUM(POTABLE_NONPOTABLE_API[[#This Row],[NONPOTABLE_DEMAND_RESIDENTIAL_RECYCLED_WATER_GAL]:[NONPOTABLE_DEMAND_NONRESIDENTIAL_METERED_IRRIGATION_GAL]])</f>
        <v>0</v>
      </c>
      <c r="X3611" t="str">
        <f>IFERROR(INDEX(Crosswalk_API!$H$2:$H$527, MATCH(POTABLE_NONPOTABLE_API[[#This Row],[PWSID]], CW_PWSID_LIST, 0)), "")</f>
        <v>No</v>
      </c>
    </row>
    <row r="3612" spans="1:24" x14ac:dyDescent="0.25">
      <c r="A3612" t="s">
        <v>1792</v>
      </c>
      <c r="B3612" t="s">
        <v>1793</v>
      </c>
      <c r="C3612" t="s">
        <v>1794</v>
      </c>
      <c r="D3612" t="s">
        <v>1795</v>
      </c>
      <c r="E3612" s="9">
        <v>45413</v>
      </c>
      <c r="F3612" s="9">
        <v>45443</v>
      </c>
      <c r="G3612">
        <v>43895630</v>
      </c>
      <c r="H3612">
        <v>4673500</v>
      </c>
      <c r="I3612">
        <v>13462500</v>
      </c>
      <c r="J3612">
        <v>2917200</v>
      </c>
      <c r="K3612">
        <v>0</v>
      </c>
      <c r="L3612">
        <v>1642610</v>
      </c>
      <c r="M3612">
        <v>0</v>
      </c>
      <c r="T3612" s="9">
        <v>45108</v>
      </c>
      <c r="U3612" s="9">
        <v>45473</v>
      </c>
      <c r="V3612">
        <f>SUM(POTABLE_NONPOTABLE_API[[#This Row],[RESIDENTIAL_SINGLEFAMILY_GAL]:[OTHER_GAL]])</f>
        <v>66591440</v>
      </c>
      <c r="W3612">
        <f>SUM(POTABLE_NONPOTABLE_API[[#This Row],[NONPOTABLE_DEMAND_RESIDENTIAL_RECYCLED_WATER_GAL]:[NONPOTABLE_DEMAND_NONRESIDENTIAL_METERED_IRRIGATION_GAL]])</f>
        <v>0</v>
      </c>
      <c r="X3612" t="str">
        <f>IFERROR(INDEX(Crosswalk_API!$H$2:$H$527, MATCH(POTABLE_NONPOTABLE_API[[#This Row],[PWSID]], CW_PWSID_LIST, 0)), "")</f>
        <v>No</v>
      </c>
    </row>
    <row r="3613" spans="1:24" x14ac:dyDescent="0.25">
      <c r="A3613" t="s">
        <v>1792</v>
      </c>
      <c r="B3613" t="s">
        <v>1793</v>
      </c>
      <c r="C3613" t="s">
        <v>1794</v>
      </c>
      <c r="D3613" t="s">
        <v>1795</v>
      </c>
      <c r="E3613" s="9">
        <v>45444</v>
      </c>
      <c r="F3613" s="9">
        <v>45473</v>
      </c>
      <c r="G3613">
        <v>61874560</v>
      </c>
      <c r="H3613">
        <v>6485991</v>
      </c>
      <c r="I3613">
        <v>17546580</v>
      </c>
      <c r="J3613">
        <v>4053410.0000000005</v>
      </c>
      <c r="K3613">
        <v>0</v>
      </c>
      <c r="L3613">
        <v>2394350</v>
      </c>
      <c r="M3613">
        <v>0</v>
      </c>
      <c r="T3613" s="9">
        <v>45108</v>
      </c>
      <c r="U3613" s="9">
        <v>45473</v>
      </c>
      <c r="V3613">
        <f>SUM(POTABLE_NONPOTABLE_API[[#This Row],[RESIDENTIAL_SINGLEFAMILY_GAL]:[OTHER_GAL]])</f>
        <v>92354891</v>
      </c>
      <c r="W3613">
        <f>SUM(POTABLE_NONPOTABLE_API[[#This Row],[NONPOTABLE_DEMAND_RESIDENTIAL_RECYCLED_WATER_GAL]:[NONPOTABLE_DEMAND_NONRESIDENTIAL_METERED_IRRIGATION_GAL]])</f>
        <v>0</v>
      </c>
      <c r="X3613" t="str">
        <f>IFERROR(INDEX(Crosswalk_API!$H$2:$H$527, MATCH(POTABLE_NONPOTABLE_API[[#This Row],[PWSID]], CW_PWSID_LIST, 0)), "")</f>
        <v>No</v>
      </c>
    </row>
    <row r="3614" spans="1:24" x14ac:dyDescent="0.25">
      <c r="A3614" t="s">
        <v>1792</v>
      </c>
      <c r="B3614" t="s">
        <v>1793</v>
      </c>
      <c r="C3614" t="s">
        <v>1797</v>
      </c>
      <c r="D3614" t="s">
        <v>1798</v>
      </c>
      <c r="E3614" s="9">
        <v>45108</v>
      </c>
      <c r="F3614" s="9">
        <v>45138</v>
      </c>
      <c r="G3614">
        <v>61946370</v>
      </c>
      <c r="H3614">
        <v>3751220</v>
      </c>
      <c r="I3614">
        <v>3052590</v>
      </c>
      <c r="J3614">
        <v>1521430</v>
      </c>
      <c r="K3614">
        <v>243100</v>
      </c>
      <c r="L3614">
        <v>154840</v>
      </c>
      <c r="M3614">
        <v>0</v>
      </c>
      <c r="T3614" s="9">
        <v>45108</v>
      </c>
      <c r="U3614" s="9">
        <v>45473</v>
      </c>
      <c r="V3614">
        <f>SUM(POTABLE_NONPOTABLE_API[[#This Row],[RESIDENTIAL_SINGLEFAMILY_GAL]:[OTHER_GAL]])</f>
        <v>70669550</v>
      </c>
      <c r="W3614">
        <f>SUM(POTABLE_NONPOTABLE_API[[#This Row],[NONPOTABLE_DEMAND_RESIDENTIAL_RECYCLED_WATER_GAL]:[NONPOTABLE_DEMAND_NONRESIDENTIAL_METERED_IRRIGATION_GAL]])</f>
        <v>0</v>
      </c>
      <c r="X3614" t="str">
        <f>IFERROR(INDEX(Crosswalk_API!$H$2:$H$527, MATCH(POTABLE_NONPOTABLE_API[[#This Row],[PWSID]], CW_PWSID_LIST, 0)), "")</f>
        <v>No</v>
      </c>
    </row>
    <row r="3615" spans="1:24" x14ac:dyDescent="0.25">
      <c r="A3615" t="s">
        <v>1792</v>
      </c>
      <c r="B3615" t="s">
        <v>1793</v>
      </c>
      <c r="C3615" t="s">
        <v>1797</v>
      </c>
      <c r="D3615" t="s">
        <v>1798</v>
      </c>
      <c r="E3615" s="9">
        <v>45139</v>
      </c>
      <c r="F3615" s="9">
        <v>45169</v>
      </c>
      <c r="G3615">
        <v>61986000</v>
      </c>
      <c r="H3615">
        <v>3751220</v>
      </c>
      <c r="I3615">
        <v>4763260</v>
      </c>
      <c r="J3615">
        <v>1521430</v>
      </c>
      <c r="K3615">
        <v>243100</v>
      </c>
      <c r="L3615">
        <v>139688</v>
      </c>
      <c r="M3615">
        <v>0</v>
      </c>
      <c r="T3615" s="9">
        <v>45108</v>
      </c>
      <c r="U3615" s="9">
        <v>45473</v>
      </c>
      <c r="V3615">
        <f>SUM(POTABLE_NONPOTABLE_API[[#This Row],[RESIDENTIAL_SINGLEFAMILY_GAL]:[OTHER_GAL]])</f>
        <v>72404698</v>
      </c>
      <c r="W3615">
        <f>SUM(POTABLE_NONPOTABLE_API[[#This Row],[NONPOTABLE_DEMAND_RESIDENTIAL_RECYCLED_WATER_GAL]:[NONPOTABLE_DEMAND_NONRESIDENTIAL_METERED_IRRIGATION_GAL]])</f>
        <v>0</v>
      </c>
      <c r="X3615" t="str">
        <f>IFERROR(INDEX(Crosswalk_API!$H$2:$H$527, MATCH(POTABLE_NONPOTABLE_API[[#This Row],[PWSID]], CW_PWSID_LIST, 0)), "")</f>
        <v>No</v>
      </c>
    </row>
    <row r="3616" spans="1:24" x14ac:dyDescent="0.25">
      <c r="A3616" t="s">
        <v>1792</v>
      </c>
      <c r="B3616" t="s">
        <v>1793</v>
      </c>
      <c r="C3616" t="s">
        <v>1797</v>
      </c>
      <c r="D3616" t="s">
        <v>1798</v>
      </c>
      <c r="E3616" s="9">
        <v>45170</v>
      </c>
      <c r="F3616" s="9">
        <v>45199</v>
      </c>
      <c r="G3616">
        <v>45738700</v>
      </c>
      <c r="H3616">
        <v>3136360</v>
      </c>
      <c r="I3616">
        <v>1887200</v>
      </c>
      <c r="J3616">
        <v>586430</v>
      </c>
      <c r="K3616">
        <v>0</v>
      </c>
      <c r="L3616">
        <v>105470</v>
      </c>
      <c r="M3616">
        <v>0</v>
      </c>
      <c r="T3616" s="9">
        <v>45108</v>
      </c>
      <c r="U3616" s="9">
        <v>45473</v>
      </c>
      <c r="V3616">
        <f>SUM(POTABLE_NONPOTABLE_API[[#This Row],[RESIDENTIAL_SINGLEFAMILY_GAL]:[OTHER_GAL]])</f>
        <v>51454160</v>
      </c>
      <c r="W3616">
        <f>SUM(POTABLE_NONPOTABLE_API[[#This Row],[NONPOTABLE_DEMAND_RESIDENTIAL_RECYCLED_WATER_GAL]:[NONPOTABLE_DEMAND_NONRESIDENTIAL_METERED_IRRIGATION_GAL]])</f>
        <v>0</v>
      </c>
      <c r="X3616" t="str">
        <f>IFERROR(INDEX(Crosswalk_API!$H$2:$H$527, MATCH(POTABLE_NONPOTABLE_API[[#This Row],[PWSID]], CW_PWSID_LIST, 0)), "")</f>
        <v>No</v>
      </c>
    </row>
    <row r="3617" spans="1:24" x14ac:dyDescent="0.25">
      <c r="A3617" t="s">
        <v>1792</v>
      </c>
      <c r="B3617" t="s">
        <v>1793</v>
      </c>
      <c r="C3617" t="s">
        <v>1797</v>
      </c>
      <c r="D3617" t="s">
        <v>1798</v>
      </c>
      <c r="E3617" s="9">
        <v>45200</v>
      </c>
      <c r="F3617" s="9">
        <v>45230</v>
      </c>
      <c r="G3617">
        <v>48596810</v>
      </c>
      <c r="H3617">
        <v>3136360</v>
      </c>
      <c r="I3617">
        <v>3478200</v>
      </c>
      <c r="J3617">
        <v>1095070</v>
      </c>
      <c r="K3617">
        <v>293396</v>
      </c>
      <c r="L3617">
        <v>105470</v>
      </c>
      <c r="M3617">
        <v>0</v>
      </c>
      <c r="T3617" s="9">
        <v>45108</v>
      </c>
      <c r="U3617" s="9">
        <v>45473</v>
      </c>
      <c r="V3617">
        <f>SUM(POTABLE_NONPOTABLE_API[[#This Row],[RESIDENTIAL_SINGLEFAMILY_GAL]:[OTHER_GAL]])</f>
        <v>56705306</v>
      </c>
      <c r="W3617">
        <f>SUM(POTABLE_NONPOTABLE_API[[#This Row],[NONPOTABLE_DEMAND_RESIDENTIAL_RECYCLED_WATER_GAL]:[NONPOTABLE_DEMAND_NONRESIDENTIAL_METERED_IRRIGATION_GAL]])</f>
        <v>0</v>
      </c>
      <c r="X3617" t="str">
        <f>IFERROR(INDEX(Crosswalk_API!$H$2:$H$527, MATCH(POTABLE_NONPOTABLE_API[[#This Row],[PWSID]], CW_PWSID_LIST, 0)), "")</f>
        <v>No</v>
      </c>
    </row>
    <row r="3618" spans="1:24" x14ac:dyDescent="0.25">
      <c r="A3618" t="s">
        <v>1792</v>
      </c>
      <c r="B3618" t="s">
        <v>1793</v>
      </c>
      <c r="C3618" t="s">
        <v>1797</v>
      </c>
      <c r="D3618" t="s">
        <v>1798</v>
      </c>
      <c r="E3618" s="9">
        <v>45231</v>
      </c>
      <c r="F3618" s="9">
        <v>45260</v>
      </c>
      <c r="G3618">
        <v>44161920</v>
      </c>
      <c r="H3618">
        <v>2626980</v>
      </c>
      <c r="I3618">
        <v>2487850</v>
      </c>
      <c r="J3618">
        <v>885630</v>
      </c>
      <c r="K3618">
        <v>219160</v>
      </c>
      <c r="L3618">
        <v>0</v>
      </c>
      <c r="M3618">
        <v>0</v>
      </c>
      <c r="T3618" s="9">
        <v>45108</v>
      </c>
      <c r="U3618" s="9">
        <v>45473</v>
      </c>
      <c r="V3618">
        <f>SUM(POTABLE_NONPOTABLE_API[[#This Row],[RESIDENTIAL_SINGLEFAMILY_GAL]:[OTHER_GAL]])</f>
        <v>50381540</v>
      </c>
      <c r="W3618">
        <f>SUM(POTABLE_NONPOTABLE_API[[#This Row],[NONPOTABLE_DEMAND_RESIDENTIAL_RECYCLED_WATER_GAL]:[NONPOTABLE_DEMAND_NONRESIDENTIAL_METERED_IRRIGATION_GAL]])</f>
        <v>0</v>
      </c>
      <c r="X3618" t="str">
        <f>IFERROR(INDEX(Crosswalk_API!$H$2:$H$527, MATCH(POTABLE_NONPOTABLE_API[[#This Row],[PWSID]], CW_PWSID_LIST, 0)), "")</f>
        <v>No</v>
      </c>
    </row>
    <row r="3619" spans="1:24" x14ac:dyDescent="0.25">
      <c r="A3619" t="s">
        <v>1792</v>
      </c>
      <c r="B3619" t="s">
        <v>1793</v>
      </c>
      <c r="C3619" t="s">
        <v>1797</v>
      </c>
      <c r="D3619" t="s">
        <v>1798</v>
      </c>
      <c r="E3619" s="9">
        <v>45261</v>
      </c>
      <c r="F3619" s="9">
        <v>45291</v>
      </c>
      <c r="G3619">
        <v>23043640</v>
      </c>
      <c r="H3619">
        <v>2626980</v>
      </c>
      <c r="I3619">
        <v>1611940</v>
      </c>
      <c r="J3619">
        <v>204200</v>
      </c>
      <c r="K3619">
        <v>0</v>
      </c>
      <c r="L3619">
        <v>99480</v>
      </c>
      <c r="M3619">
        <v>0</v>
      </c>
      <c r="T3619" s="9">
        <v>45108</v>
      </c>
      <c r="U3619" s="9">
        <v>45473</v>
      </c>
      <c r="V3619">
        <f>SUM(POTABLE_NONPOTABLE_API[[#This Row],[RESIDENTIAL_SINGLEFAMILY_GAL]:[OTHER_GAL]])</f>
        <v>27586240</v>
      </c>
      <c r="W3619">
        <f>SUM(POTABLE_NONPOTABLE_API[[#This Row],[NONPOTABLE_DEMAND_RESIDENTIAL_RECYCLED_WATER_GAL]:[NONPOTABLE_DEMAND_NONRESIDENTIAL_METERED_IRRIGATION_GAL]])</f>
        <v>0</v>
      </c>
      <c r="X3619" t="str">
        <f>IFERROR(INDEX(Crosswalk_API!$H$2:$H$527, MATCH(POTABLE_NONPOTABLE_API[[#This Row],[PWSID]], CW_PWSID_LIST, 0)), "")</f>
        <v>No</v>
      </c>
    </row>
    <row r="3620" spans="1:24" x14ac:dyDescent="0.25">
      <c r="A3620" t="s">
        <v>1792</v>
      </c>
      <c r="B3620" t="s">
        <v>1793</v>
      </c>
      <c r="C3620" t="s">
        <v>1797</v>
      </c>
      <c r="D3620" t="s">
        <v>1798</v>
      </c>
      <c r="E3620" s="9">
        <v>45292</v>
      </c>
      <c r="F3620" s="9">
        <v>45322</v>
      </c>
      <c r="G3620">
        <v>19887820</v>
      </c>
      <c r="H3620">
        <v>2523750</v>
      </c>
      <c r="I3620">
        <v>1528910</v>
      </c>
      <c r="J3620">
        <v>41890</v>
      </c>
      <c r="K3620">
        <v>142120</v>
      </c>
      <c r="L3620">
        <v>96490</v>
      </c>
      <c r="M3620">
        <v>0</v>
      </c>
      <c r="T3620" s="9">
        <v>45108</v>
      </c>
      <c r="U3620" s="9">
        <v>45473</v>
      </c>
      <c r="V3620">
        <f>SUM(POTABLE_NONPOTABLE_API[[#This Row],[RESIDENTIAL_SINGLEFAMILY_GAL]:[OTHER_GAL]])</f>
        <v>24220980</v>
      </c>
      <c r="W3620">
        <f>SUM(POTABLE_NONPOTABLE_API[[#This Row],[NONPOTABLE_DEMAND_RESIDENTIAL_RECYCLED_WATER_GAL]:[NONPOTABLE_DEMAND_NONRESIDENTIAL_METERED_IRRIGATION_GAL]])</f>
        <v>0</v>
      </c>
      <c r="X3620" t="str">
        <f>IFERROR(INDEX(Crosswalk_API!$H$2:$H$527, MATCH(POTABLE_NONPOTABLE_API[[#This Row],[PWSID]], CW_PWSID_LIST, 0)), "")</f>
        <v>No</v>
      </c>
    </row>
    <row r="3621" spans="1:24" x14ac:dyDescent="0.25">
      <c r="A3621" t="s">
        <v>1792</v>
      </c>
      <c r="B3621" t="s">
        <v>1793</v>
      </c>
      <c r="C3621" t="s">
        <v>1797</v>
      </c>
      <c r="D3621" t="s">
        <v>1798</v>
      </c>
      <c r="E3621" s="9">
        <v>45323</v>
      </c>
      <c r="F3621" s="9">
        <v>45351</v>
      </c>
      <c r="G3621">
        <v>22436260</v>
      </c>
      <c r="H3621">
        <v>2496820</v>
      </c>
      <c r="I3621">
        <v>1367340</v>
      </c>
      <c r="J3621">
        <v>79290</v>
      </c>
      <c r="K3621">
        <v>106960</v>
      </c>
      <c r="L3621">
        <v>0</v>
      </c>
      <c r="M3621">
        <v>0</v>
      </c>
      <c r="T3621" s="9">
        <v>45108</v>
      </c>
      <c r="U3621" s="9">
        <v>45473</v>
      </c>
      <c r="V3621">
        <f>SUM(POTABLE_NONPOTABLE_API[[#This Row],[RESIDENTIAL_SINGLEFAMILY_GAL]:[OTHER_GAL]])</f>
        <v>26486670</v>
      </c>
      <c r="W3621">
        <f>SUM(POTABLE_NONPOTABLE_API[[#This Row],[NONPOTABLE_DEMAND_RESIDENTIAL_RECYCLED_WATER_GAL]:[NONPOTABLE_DEMAND_NONRESIDENTIAL_METERED_IRRIGATION_GAL]])</f>
        <v>0</v>
      </c>
      <c r="X3621" t="str">
        <f>IFERROR(INDEX(Crosswalk_API!$H$2:$H$527, MATCH(POTABLE_NONPOTABLE_API[[#This Row],[PWSID]], CW_PWSID_LIST, 0)), "")</f>
        <v>No</v>
      </c>
    </row>
    <row r="3622" spans="1:24" x14ac:dyDescent="0.25">
      <c r="A3622" t="s">
        <v>1792</v>
      </c>
      <c r="B3622" t="s">
        <v>1793</v>
      </c>
      <c r="C3622" t="s">
        <v>1797</v>
      </c>
      <c r="D3622" t="s">
        <v>1798</v>
      </c>
      <c r="E3622" s="9">
        <v>45352</v>
      </c>
      <c r="F3622" s="9">
        <v>45382</v>
      </c>
      <c r="G3622">
        <v>16827010</v>
      </c>
      <c r="H3622">
        <v>2057000</v>
      </c>
      <c r="I3622">
        <v>1291050</v>
      </c>
      <c r="J3622">
        <v>40390</v>
      </c>
      <c r="K3622">
        <v>12566</v>
      </c>
      <c r="L3622">
        <v>750</v>
      </c>
      <c r="M3622">
        <v>0</v>
      </c>
      <c r="T3622" s="9">
        <v>45108</v>
      </c>
      <c r="U3622" s="9">
        <v>45473</v>
      </c>
      <c r="V3622">
        <f>SUM(POTABLE_NONPOTABLE_API[[#This Row],[RESIDENTIAL_SINGLEFAMILY_GAL]:[OTHER_GAL]])</f>
        <v>20228766</v>
      </c>
      <c r="W3622">
        <f>SUM(POTABLE_NONPOTABLE_API[[#This Row],[NONPOTABLE_DEMAND_RESIDENTIAL_RECYCLED_WATER_GAL]:[NONPOTABLE_DEMAND_NONRESIDENTIAL_METERED_IRRIGATION_GAL]])</f>
        <v>0</v>
      </c>
      <c r="X3622" t="str">
        <f>IFERROR(INDEX(Crosswalk_API!$H$2:$H$527, MATCH(POTABLE_NONPOTABLE_API[[#This Row],[PWSID]], CW_PWSID_LIST, 0)), "")</f>
        <v>No</v>
      </c>
    </row>
    <row r="3623" spans="1:24" x14ac:dyDescent="0.25">
      <c r="A3623" t="s">
        <v>1792</v>
      </c>
      <c r="B3623" t="s">
        <v>1793</v>
      </c>
      <c r="C3623" t="s">
        <v>1797</v>
      </c>
      <c r="D3623" t="s">
        <v>1798</v>
      </c>
      <c r="E3623" s="9">
        <v>45383</v>
      </c>
      <c r="F3623" s="9">
        <v>45412</v>
      </c>
      <c r="G3623">
        <v>17550320</v>
      </c>
      <c r="H3623">
        <v>2386870</v>
      </c>
      <c r="I3623">
        <v>1545370</v>
      </c>
      <c r="J3623">
        <v>139130</v>
      </c>
      <c r="K3623">
        <v>140620</v>
      </c>
      <c r="L3623">
        <v>2240</v>
      </c>
      <c r="M3623">
        <v>0</v>
      </c>
      <c r="T3623" s="9">
        <v>45108</v>
      </c>
      <c r="U3623" s="9">
        <v>45473</v>
      </c>
      <c r="V3623">
        <f>SUM(POTABLE_NONPOTABLE_API[[#This Row],[RESIDENTIAL_SINGLEFAMILY_GAL]:[OTHER_GAL]])</f>
        <v>21764550</v>
      </c>
      <c r="W3623">
        <f>SUM(POTABLE_NONPOTABLE_API[[#This Row],[NONPOTABLE_DEMAND_RESIDENTIAL_RECYCLED_WATER_GAL]:[NONPOTABLE_DEMAND_NONRESIDENTIAL_METERED_IRRIGATION_GAL]])</f>
        <v>0</v>
      </c>
      <c r="X3623" t="str">
        <f>IFERROR(INDEX(Crosswalk_API!$H$2:$H$527, MATCH(POTABLE_NONPOTABLE_API[[#This Row],[PWSID]], CW_PWSID_LIST, 0)), "")</f>
        <v>No</v>
      </c>
    </row>
    <row r="3624" spans="1:24" x14ac:dyDescent="0.25">
      <c r="A3624" t="s">
        <v>1792</v>
      </c>
      <c r="B3624" t="s">
        <v>1793</v>
      </c>
      <c r="C3624" t="s">
        <v>1797</v>
      </c>
      <c r="D3624" t="s">
        <v>1798</v>
      </c>
      <c r="E3624" s="9">
        <v>45413</v>
      </c>
      <c r="F3624" s="9">
        <v>45443</v>
      </c>
      <c r="G3624">
        <v>28355180</v>
      </c>
      <c r="H3624">
        <v>3659220</v>
      </c>
      <c r="I3624">
        <v>2294860</v>
      </c>
      <c r="J3624">
        <v>678440</v>
      </c>
      <c r="K3624">
        <v>149600</v>
      </c>
      <c r="L3624">
        <v>5980</v>
      </c>
      <c r="M3624">
        <v>0</v>
      </c>
      <c r="T3624" s="9">
        <v>45108</v>
      </c>
      <c r="U3624" s="9">
        <v>45473</v>
      </c>
      <c r="V3624">
        <f>SUM(POTABLE_NONPOTABLE_API[[#This Row],[RESIDENTIAL_SINGLEFAMILY_GAL]:[OTHER_GAL]])</f>
        <v>35143280</v>
      </c>
      <c r="W3624">
        <f>SUM(POTABLE_NONPOTABLE_API[[#This Row],[NONPOTABLE_DEMAND_RESIDENTIAL_RECYCLED_WATER_GAL]:[NONPOTABLE_DEMAND_NONRESIDENTIAL_METERED_IRRIGATION_GAL]])</f>
        <v>0</v>
      </c>
      <c r="X3624" t="str">
        <f>IFERROR(INDEX(Crosswalk_API!$H$2:$H$527, MATCH(POTABLE_NONPOTABLE_API[[#This Row],[PWSID]], CW_PWSID_LIST, 0)), "")</f>
        <v>No</v>
      </c>
    </row>
    <row r="3625" spans="1:24" x14ac:dyDescent="0.25">
      <c r="A3625" t="s">
        <v>1792</v>
      </c>
      <c r="B3625" t="s">
        <v>1793</v>
      </c>
      <c r="C3625" t="s">
        <v>1797</v>
      </c>
      <c r="D3625" t="s">
        <v>1798</v>
      </c>
      <c r="E3625" s="9">
        <v>45444</v>
      </c>
      <c r="F3625" s="9">
        <v>45473</v>
      </c>
      <c r="G3625">
        <v>43616630</v>
      </c>
      <c r="H3625">
        <v>3975620</v>
      </c>
      <c r="I3625">
        <v>3238090</v>
      </c>
      <c r="J3625">
        <v>1070390</v>
      </c>
      <c r="K3625">
        <v>169050</v>
      </c>
      <c r="L3625">
        <v>2240</v>
      </c>
      <c r="M3625">
        <v>0</v>
      </c>
      <c r="T3625" s="9">
        <v>45108</v>
      </c>
      <c r="U3625" s="9">
        <v>45473</v>
      </c>
      <c r="V3625">
        <f>SUM(POTABLE_NONPOTABLE_API[[#This Row],[RESIDENTIAL_SINGLEFAMILY_GAL]:[OTHER_GAL]])</f>
        <v>52072020</v>
      </c>
      <c r="W3625">
        <f>SUM(POTABLE_NONPOTABLE_API[[#This Row],[NONPOTABLE_DEMAND_RESIDENTIAL_RECYCLED_WATER_GAL]:[NONPOTABLE_DEMAND_NONRESIDENTIAL_METERED_IRRIGATION_GAL]])</f>
        <v>0</v>
      </c>
      <c r="X3625" t="str">
        <f>IFERROR(INDEX(Crosswalk_API!$H$2:$H$527, MATCH(POTABLE_NONPOTABLE_API[[#This Row],[PWSID]], CW_PWSID_LIST, 0)), "")</f>
        <v>No</v>
      </c>
    </row>
    <row r="3626" spans="1:24" x14ac:dyDescent="0.25">
      <c r="A3626" t="s">
        <v>1792</v>
      </c>
      <c r="B3626" t="s">
        <v>1793</v>
      </c>
      <c r="C3626" t="s">
        <v>1799</v>
      </c>
      <c r="D3626" t="s">
        <v>1800</v>
      </c>
      <c r="E3626" s="9">
        <v>45108</v>
      </c>
      <c r="F3626" s="9">
        <v>45138</v>
      </c>
      <c r="G3626">
        <v>37029740</v>
      </c>
      <c r="H3626">
        <v>77040</v>
      </c>
      <c r="I3626">
        <v>8340949.9999999991</v>
      </c>
      <c r="J3626">
        <v>762960</v>
      </c>
      <c r="K3626">
        <v>0</v>
      </c>
      <c r="L3626">
        <v>961930</v>
      </c>
      <c r="M3626">
        <v>0</v>
      </c>
      <c r="T3626" s="9">
        <v>45108</v>
      </c>
      <c r="U3626" s="9">
        <v>45473</v>
      </c>
      <c r="V3626">
        <f>SUM(POTABLE_NONPOTABLE_API[[#This Row],[RESIDENTIAL_SINGLEFAMILY_GAL]:[OTHER_GAL]])</f>
        <v>47172620</v>
      </c>
      <c r="W3626">
        <f>SUM(POTABLE_NONPOTABLE_API[[#This Row],[NONPOTABLE_DEMAND_RESIDENTIAL_RECYCLED_WATER_GAL]:[NONPOTABLE_DEMAND_NONRESIDENTIAL_METERED_IRRIGATION_GAL]])</f>
        <v>0</v>
      </c>
      <c r="X3626" t="str">
        <f>IFERROR(INDEX(Crosswalk_API!$H$2:$H$527, MATCH(POTABLE_NONPOTABLE_API[[#This Row],[PWSID]], CW_PWSID_LIST, 0)), "")</f>
        <v>No</v>
      </c>
    </row>
    <row r="3627" spans="1:24" x14ac:dyDescent="0.25">
      <c r="A3627" t="s">
        <v>1792</v>
      </c>
      <c r="B3627" t="s">
        <v>1793</v>
      </c>
      <c r="C3627" t="s">
        <v>1799</v>
      </c>
      <c r="D3627" t="s">
        <v>1800</v>
      </c>
      <c r="E3627" s="9">
        <v>45139</v>
      </c>
      <c r="F3627" s="9">
        <v>45169</v>
      </c>
      <c r="G3627">
        <v>37095560</v>
      </c>
      <c r="H3627">
        <v>77040</v>
      </c>
      <c r="I3627">
        <v>8560110</v>
      </c>
      <c r="J3627">
        <v>1335612</v>
      </c>
      <c r="K3627">
        <v>0</v>
      </c>
      <c r="L3627">
        <v>213930</v>
      </c>
      <c r="M3627">
        <v>0</v>
      </c>
      <c r="T3627" s="9">
        <v>45108</v>
      </c>
      <c r="U3627" s="9">
        <v>45473</v>
      </c>
      <c r="V3627">
        <f>SUM(POTABLE_NONPOTABLE_API[[#This Row],[RESIDENTIAL_SINGLEFAMILY_GAL]:[OTHER_GAL]])</f>
        <v>47282252</v>
      </c>
      <c r="W3627">
        <f>SUM(POTABLE_NONPOTABLE_API[[#This Row],[NONPOTABLE_DEMAND_RESIDENTIAL_RECYCLED_WATER_GAL]:[NONPOTABLE_DEMAND_NONRESIDENTIAL_METERED_IRRIGATION_GAL]])</f>
        <v>0</v>
      </c>
      <c r="X3627" t="str">
        <f>IFERROR(INDEX(Crosswalk_API!$H$2:$H$527, MATCH(POTABLE_NONPOTABLE_API[[#This Row],[PWSID]], CW_PWSID_LIST, 0)), "")</f>
        <v>No</v>
      </c>
    </row>
    <row r="3628" spans="1:24" x14ac:dyDescent="0.25">
      <c r="A3628" t="s">
        <v>1792</v>
      </c>
      <c r="B3628" t="s">
        <v>1793</v>
      </c>
      <c r="C3628" t="s">
        <v>1799</v>
      </c>
      <c r="D3628" t="s">
        <v>1800</v>
      </c>
      <c r="E3628" s="9">
        <v>45170</v>
      </c>
      <c r="F3628" s="9">
        <v>45199</v>
      </c>
      <c r="G3628">
        <v>41998700</v>
      </c>
      <c r="H3628">
        <v>139130</v>
      </c>
      <c r="I3628">
        <v>7062620</v>
      </c>
      <c r="J3628">
        <v>233380</v>
      </c>
      <c r="K3628">
        <v>0</v>
      </c>
      <c r="L3628">
        <v>297700</v>
      </c>
      <c r="M3628">
        <v>0</v>
      </c>
      <c r="T3628" s="9">
        <v>45108</v>
      </c>
      <c r="U3628" s="9">
        <v>45473</v>
      </c>
      <c r="V3628">
        <f>SUM(POTABLE_NONPOTABLE_API[[#This Row],[RESIDENTIAL_SINGLEFAMILY_GAL]:[OTHER_GAL]])</f>
        <v>49731530</v>
      </c>
      <c r="W3628">
        <f>SUM(POTABLE_NONPOTABLE_API[[#This Row],[NONPOTABLE_DEMAND_RESIDENTIAL_RECYCLED_WATER_GAL]:[NONPOTABLE_DEMAND_NONRESIDENTIAL_METERED_IRRIGATION_GAL]])</f>
        <v>0</v>
      </c>
      <c r="X3628" t="str">
        <f>IFERROR(INDEX(Crosswalk_API!$H$2:$H$527, MATCH(POTABLE_NONPOTABLE_API[[#This Row],[PWSID]], CW_PWSID_LIST, 0)), "")</f>
        <v>No</v>
      </c>
    </row>
    <row r="3629" spans="1:24" x14ac:dyDescent="0.25">
      <c r="A3629" t="s">
        <v>1792</v>
      </c>
      <c r="B3629" t="s">
        <v>1793</v>
      </c>
      <c r="C3629" t="s">
        <v>1799</v>
      </c>
      <c r="D3629" t="s">
        <v>1800</v>
      </c>
      <c r="E3629" s="9">
        <v>45200</v>
      </c>
      <c r="F3629" s="9">
        <v>45230</v>
      </c>
      <c r="G3629">
        <v>29255030</v>
      </c>
      <c r="H3629">
        <v>91260</v>
      </c>
      <c r="I3629">
        <v>5025060</v>
      </c>
      <c r="J3629">
        <v>727800</v>
      </c>
      <c r="K3629">
        <v>0</v>
      </c>
      <c r="L3629">
        <v>198220</v>
      </c>
      <c r="M3629">
        <v>0</v>
      </c>
      <c r="T3629" s="9">
        <v>45108</v>
      </c>
      <c r="U3629" s="9">
        <v>45473</v>
      </c>
      <c r="V3629">
        <f>SUM(POTABLE_NONPOTABLE_API[[#This Row],[RESIDENTIAL_SINGLEFAMILY_GAL]:[OTHER_GAL]])</f>
        <v>35297370</v>
      </c>
      <c r="W3629">
        <f>SUM(POTABLE_NONPOTABLE_API[[#This Row],[NONPOTABLE_DEMAND_RESIDENTIAL_RECYCLED_WATER_GAL]:[NONPOTABLE_DEMAND_NONRESIDENTIAL_METERED_IRRIGATION_GAL]])</f>
        <v>0</v>
      </c>
      <c r="X3629" t="str">
        <f>IFERROR(INDEX(Crosswalk_API!$H$2:$H$527, MATCH(POTABLE_NONPOTABLE_API[[#This Row],[PWSID]], CW_PWSID_LIST, 0)), "")</f>
        <v>No</v>
      </c>
    </row>
    <row r="3630" spans="1:24" x14ac:dyDescent="0.25">
      <c r="A3630" t="s">
        <v>1792</v>
      </c>
      <c r="B3630" t="s">
        <v>1793</v>
      </c>
      <c r="C3630" t="s">
        <v>1799</v>
      </c>
      <c r="D3630" t="s">
        <v>1800</v>
      </c>
      <c r="E3630" s="9">
        <v>45231</v>
      </c>
      <c r="F3630" s="9">
        <v>45260</v>
      </c>
      <c r="G3630">
        <v>22875340</v>
      </c>
      <c r="H3630">
        <v>74050</v>
      </c>
      <c r="I3630">
        <v>3865660</v>
      </c>
      <c r="J3630">
        <v>373250</v>
      </c>
      <c r="K3630">
        <v>0</v>
      </c>
      <c r="L3630">
        <v>0</v>
      </c>
      <c r="M3630">
        <v>0</v>
      </c>
      <c r="T3630" s="9">
        <v>45108</v>
      </c>
      <c r="U3630" s="9">
        <v>45473</v>
      </c>
      <c r="V3630">
        <f>SUM(POTABLE_NONPOTABLE_API[[#This Row],[RESIDENTIAL_SINGLEFAMILY_GAL]:[OTHER_GAL]])</f>
        <v>27188300</v>
      </c>
      <c r="W3630">
        <f>SUM(POTABLE_NONPOTABLE_API[[#This Row],[NONPOTABLE_DEMAND_RESIDENTIAL_RECYCLED_WATER_GAL]:[NONPOTABLE_DEMAND_NONRESIDENTIAL_METERED_IRRIGATION_GAL]])</f>
        <v>0</v>
      </c>
      <c r="X3630" t="str">
        <f>IFERROR(INDEX(Crosswalk_API!$H$2:$H$527, MATCH(POTABLE_NONPOTABLE_API[[#This Row],[PWSID]], CW_PWSID_LIST, 0)), "")</f>
        <v>No</v>
      </c>
    </row>
    <row r="3631" spans="1:24" x14ac:dyDescent="0.25">
      <c r="A3631" t="s">
        <v>1792</v>
      </c>
      <c r="B3631" t="s">
        <v>1793</v>
      </c>
      <c r="C3631" t="s">
        <v>1799</v>
      </c>
      <c r="D3631" t="s">
        <v>1800</v>
      </c>
      <c r="E3631" s="9">
        <v>45261</v>
      </c>
      <c r="F3631" s="9">
        <v>45291</v>
      </c>
      <c r="G3631">
        <v>12484870</v>
      </c>
      <c r="H3631">
        <v>51610</v>
      </c>
      <c r="I3631">
        <v>2484860</v>
      </c>
      <c r="J3631">
        <v>64330</v>
      </c>
      <c r="K3631">
        <v>0</v>
      </c>
      <c r="L3631">
        <v>96490</v>
      </c>
      <c r="M3631">
        <v>0</v>
      </c>
      <c r="T3631" s="9">
        <v>45108</v>
      </c>
      <c r="U3631" s="9">
        <v>45473</v>
      </c>
      <c r="V3631">
        <f>SUM(POTABLE_NONPOTABLE_API[[#This Row],[RESIDENTIAL_SINGLEFAMILY_GAL]:[OTHER_GAL]])</f>
        <v>15182160</v>
      </c>
      <c r="W3631">
        <f>SUM(POTABLE_NONPOTABLE_API[[#This Row],[NONPOTABLE_DEMAND_RESIDENTIAL_RECYCLED_WATER_GAL]:[NONPOTABLE_DEMAND_NONRESIDENTIAL_METERED_IRRIGATION_GAL]])</f>
        <v>0</v>
      </c>
      <c r="X3631" t="str">
        <f>IFERROR(INDEX(Crosswalk_API!$H$2:$H$527, MATCH(POTABLE_NONPOTABLE_API[[#This Row],[PWSID]], CW_PWSID_LIST, 0)), "")</f>
        <v>No</v>
      </c>
    </row>
    <row r="3632" spans="1:24" x14ac:dyDescent="0.25">
      <c r="A3632" t="s">
        <v>1792</v>
      </c>
      <c r="B3632" t="s">
        <v>1793</v>
      </c>
      <c r="C3632" t="s">
        <v>1799</v>
      </c>
      <c r="D3632" t="s">
        <v>1800</v>
      </c>
      <c r="E3632" s="9">
        <v>45292</v>
      </c>
      <c r="F3632" s="9">
        <v>45322</v>
      </c>
      <c r="G3632">
        <v>10754740</v>
      </c>
      <c r="H3632">
        <v>47870</v>
      </c>
      <c r="I3632">
        <v>1466830</v>
      </c>
      <c r="J3632">
        <v>66570</v>
      </c>
      <c r="K3632">
        <v>0</v>
      </c>
      <c r="L3632">
        <v>62830</v>
      </c>
      <c r="M3632">
        <v>0</v>
      </c>
      <c r="T3632" s="9">
        <v>45108</v>
      </c>
      <c r="U3632" s="9">
        <v>45473</v>
      </c>
      <c r="V3632">
        <f>SUM(POTABLE_NONPOTABLE_API[[#This Row],[RESIDENTIAL_SINGLEFAMILY_GAL]:[OTHER_GAL]])</f>
        <v>12398840</v>
      </c>
      <c r="W3632">
        <f>SUM(POTABLE_NONPOTABLE_API[[#This Row],[NONPOTABLE_DEMAND_RESIDENTIAL_RECYCLED_WATER_GAL]:[NONPOTABLE_DEMAND_NONRESIDENTIAL_METERED_IRRIGATION_GAL]])</f>
        <v>0</v>
      </c>
      <c r="X3632" t="str">
        <f>IFERROR(INDEX(Crosswalk_API!$H$2:$H$527, MATCH(POTABLE_NONPOTABLE_API[[#This Row],[PWSID]], CW_PWSID_LIST, 0)), "")</f>
        <v>No</v>
      </c>
    </row>
    <row r="3633" spans="1:24" x14ac:dyDescent="0.25">
      <c r="A3633" t="s">
        <v>1792</v>
      </c>
      <c r="B3633" t="s">
        <v>1793</v>
      </c>
      <c r="C3633" t="s">
        <v>1799</v>
      </c>
      <c r="D3633" t="s">
        <v>1800</v>
      </c>
      <c r="E3633" s="9">
        <v>45323</v>
      </c>
      <c r="F3633" s="9">
        <v>45351</v>
      </c>
      <c r="G3633">
        <v>11292560</v>
      </c>
      <c r="H3633">
        <v>67320</v>
      </c>
      <c r="I3633">
        <v>3102700</v>
      </c>
      <c r="J3633">
        <v>81530</v>
      </c>
      <c r="K3633">
        <v>0</v>
      </c>
      <c r="L3633">
        <v>0</v>
      </c>
      <c r="M3633">
        <v>0</v>
      </c>
      <c r="T3633" s="9">
        <v>45108</v>
      </c>
      <c r="U3633" s="9">
        <v>45473</v>
      </c>
      <c r="V3633">
        <f>SUM(POTABLE_NONPOTABLE_API[[#This Row],[RESIDENTIAL_SINGLEFAMILY_GAL]:[OTHER_GAL]])</f>
        <v>14544110</v>
      </c>
      <c r="W3633">
        <f>SUM(POTABLE_NONPOTABLE_API[[#This Row],[NONPOTABLE_DEMAND_RESIDENTIAL_RECYCLED_WATER_GAL]:[NONPOTABLE_DEMAND_NONRESIDENTIAL_METERED_IRRIGATION_GAL]])</f>
        <v>0</v>
      </c>
      <c r="X3633" t="str">
        <f>IFERROR(INDEX(Crosswalk_API!$H$2:$H$527, MATCH(POTABLE_NONPOTABLE_API[[#This Row],[PWSID]], CW_PWSID_LIST, 0)), "")</f>
        <v>No</v>
      </c>
    </row>
    <row r="3634" spans="1:24" x14ac:dyDescent="0.25">
      <c r="A3634" t="s">
        <v>1792</v>
      </c>
      <c r="B3634" t="s">
        <v>1793</v>
      </c>
      <c r="C3634" t="s">
        <v>1799</v>
      </c>
      <c r="D3634" t="s">
        <v>1800</v>
      </c>
      <c r="E3634" s="9">
        <v>45352</v>
      </c>
      <c r="F3634" s="9">
        <v>45382</v>
      </c>
      <c r="G3634">
        <v>8563850</v>
      </c>
      <c r="H3634">
        <v>49370</v>
      </c>
      <c r="I3634">
        <v>2386120</v>
      </c>
      <c r="J3634">
        <v>43380</v>
      </c>
      <c r="K3634">
        <v>0</v>
      </c>
      <c r="L3634">
        <v>8980</v>
      </c>
      <c r="M3634">
        <v>0</v>
      </c>
      <c r="T3634" s="9">
        <v>45108</v>
      </c>
      <c r="U3634" s="9">
        <v>45473</v>
      </c>
      <c r="V3634">
        <f>SUM(POTABLE_NONPOTABLE_API[[#This Row],[RESIDENTIAL_SINGLEFAMILY_GAL]:[OTHER_GAL]])</f>
        <v>11051700</v>
      </c>
      <c r="W3634">
        <f>SUM(POTABLE_NONPOTABLE_API[[#This Row],[NONPOTABLE_DEMAND_RESIDENTIAL_RECYCLED_WATER_GAL]:[NONPOTABLE_DEMAND_NONRESIDENTIAL_METERED_IRRIGATION_GAL]])</f>
        <v>0</v>
      </c>
      <c r="X3634" t="str">
        <f>IFERROR(INDEX(Crosswalk_API!$H$2:$H$527, MATCH(POTABLE_NONPOTABLE_API[[#This Row],[PWSID]], CW_PWSID_LIST, 0)), "")</f>
        <v>No</v>
      </c>
    </row>
    <row r="3635" spans="1:24" x14ac:dyDescent="0.25">
      <c r="A3635" t="s">
        <v>1792</v>
      </c>
      <c r="B3635" t="s">
        <v>1793</v>
      </c>
      <c r="C3635" t="s">
        <v>1799</v>
      </c>
      <c r="D3635" t="s">
        <v>1800</v>
      </c>
      <c r="E3635" s="9">
        <v>45383</v>
      </c>
      <c r="F3635" s="9">
        <v>45412</v>
      </c>
      <c r="G3635">
        <v>9288564.7000000011</v>
      </c>
      <c r="H3635">
        <v>51610</v>
      </c>
      <c r="I3635">
        <v>2746660</v>
      </c>
      <c r="J3635">
        <v>71060</v>
      </c>
      <c r="K3635">
        <v>0</v>
      </c>
      <c r="L3635">
        <v>8980</v>
      </c>
      <c r="M3635">
        <v>0</v>
      </c>
      <c r="T3635" s="9">
        <v>45108</v>
      </c>
      <c r="U3635" s="9">
        <v>45473</v>
      </c>
      <c r="V3635">
        <f>SUM(POTABLE_NONPOTABLE_API[[#This Row],[RESIDENTIAL_SINGLEFAMILY_GAL]:[OTHER_GAL]])</f>
        <v>12166874.700000001</v>
      </c>
      <c r="W3635">
        <f>SUM(POTABLE_NONPOTABLE_API[[#This Row],[NONPOTABLE_DEMAND_RESIDENTIAL_RECYCLED_WATER_GAL]:[NONPOTABLE_DEMAND_NONRESIDENTIAL_METERED_IRRIGATION_GAL]])</f>
        <v>0</v>
      </c>
      <c r="X3635" t="str">
        <f>IFERROR(INDEX(Crosswalk_API!$H$2:$H$527, MATCH(POTABLE_NONPOTABLE_API[[#This Row],[PWSID]], CW_PWSID_LIST, 0)), "")</f>
        <v>No</v>
      </c>
    </row>
    <row r="3636" spans="1:24" x14ac:dyDescent="0.25">
      <c r="A3636" t="s">
        <v>1792</v>
      </c>
      <c r="B3636" t="s">
        <v>1793</v>
      </c>
      <c r="C3636" t="s">
        <v>1799</v>
      </c>
      <c r="D3636" t="s">
        <v>1800</v>
      </c>
      <c r="E3636" s="9">
        <v>45413</v>
      </c>
      <c r="F3636" s="9">
        <v>45443</v>
      </c>
      <c r="G3636">
        <v>18453160</v>
      </c>
      <c r="H3636">
        <v>69560</v>
      </c>
      <c r="I3636">
        <v>4233680</v>
      </c>
      <c r="J3636">
        <v>223650</v>
      </c>
      <c r="K3636">
        <v>0</v>
      </c>
      <c r="L3636">
        <v>17950</v>
      </c>
      <c r="M3636">
        <v>0</v>
      </c>
      <c r="T3636" s="9">
        <v>45108</v>
      </c>
      <c r="U3636" s="9">
        <v>45473</v>
      </c>
      <c r="V3636">
        <f>SUM(POTABLE_NONPOTABLE_API[[#This Row],[RESIDENTIAL_SINGLEFAMILY_GAL]:[OTHER_GAL]])</f>
        <v>22998000</v>
      </c>
      <c r="W3636">
        <f>SUM(POTABLE_NONPOTABLE_API[[#This Row],[NONPOTABLE_DEMAND_RESIDENTIAL_RECYCLED_WATER_GAL]:[NONPOTABLE_DEMAND_NONRESIDENTIAL_METERED_IRRIGATION_GAL]])</f>
        <v>0</v>
      </c>
      <c r="X3636" t="str">
        <f>IFERROR(INDEX(Crosswalk_API!$H$2:$H$527, MATCH(POTABLE_NONPOTABLE_API[[#This Row],[PWSID]], CW_PWSID_LIST, 0)), "")</f>
        <v>No</v>
      </c>
    </row>
    <row r="3637" spans="1:24" x14ac:dyDescent="0.25">
      <c r="A3637" t="s">
        <v>1792</v>
      </c>
      <c r="B3637" t="s">
        <v>1793</v>
      </c>
      <c r="C3637" t="s">
        <v>1799</v>
      </c>
      <c r="D3637" t="s">
        <v>1800</v>
      </c>
      <c r="E3637" s="9">
        <v>45444</v>
      </c>
      <c r="F3637" s="9">
        <v>45473</v>
      </c>
      <c r="G3637">
        <v>27896660</v>
      </c>
      <c r="H3637">
        <v>65080</v>
      </c>
      <c r="I3637">
        <v>5653380</v>
      </c>
      <c r="J3637">
        <v>798120</v>
      </c>
      <c r="K3637">
        <v>0</v>
      </c>
      <c r="L3637">
        <v>17950</v>
      </c>
      <c r="M3637">
        <v>0</v>
      </c>
      <c r="T3637" s="9">
        <v>45108</v>
      </c>
      <c r="U3637" s="9">
        <v>45473</v>
      </c>
      <c r="V3637">
        <f>SUM(POTABLE_NONPOTABLE_API[[#This Row],[RESIDENTIAL_SINGLEFAMILY_GAL]:[OTHER_GAL]])</f>
        <v>34431190</v>
      </c>
      <c r="W3637">
        <f>SUM(POTABLE_NONPOTABLE_API[[#This Row],[NONPOTABLE_DEMAND_RESIDENTIAL_RECYCLED_WATER_GAL]:[NONPOTABLE_DEMAND_NONRESIDENTIAL_METERED_IRRIGATION_GAL]])</f>
        <v>0</v>
      </c>
      <c r="X3637" t="str">
        <f>IFERROR(INDEX(Crosswalk_API!$H$2:$H$527, MATCH(POTABLE_NONPOTABLE_API[[#This Row],[PWSID]], CW_PWSID_LIST, 0)), "")</f>
        <v>No</v>
      </c>
    </row>
    <row r="3638" spans="1:24" x14ac:dyDescent="0.25">
      <c r="A3638" t="s">
        <v>1792</v>
      </c>
      <c r="B3638" t="s">
        <v>1793</v>
      </c>
      <c r="C3638" t="s">
        <v>1801</v>
      </c>
      <c r="D3638" t="s">
        <v>1802</v>
      </c>
      <c r="E3638" s="9">
        <v>45108</v>
      </c>
      <c r="F3638" s="9">
        <v>45138</v>
      </c>
      <c r="G3638">
        <v>39120400</v>
      </c>
      <c r="H3638">
        <v>2990</v>
      </c>
      <c r="I3638">
        <v>1316480</v>
      </c>
      <c r="J3638">
        <v>469000</v>
      </c>
      <c r="K3638">
        <v>0</v>
      </c>
      <c r="L3638">
        <v>214680</v>
      </c>
      <c r="M3638">
        <v>0</v>
      </c>
      <c r="T3638" s="9">
        <v>45108</v>
      </c>
      <c r="U3638" s="9">
        <v>45473</v>
      </c>
      <c r="V3638">
        <f>SUM(POTABLE_NONPOTABLE_API[[#This Row],[RESIDENTIAL_SINGLEFAMILY_GAL]:[OTHER_GAL]])</f>
        <v>41123550</v>
      </c>
      <c r="W3638">
        <f>SUM(POTABLE_NONPOTABLE_API[[#This Row],[NONPOTABLE_DEMAND_RESIDENTIAL_RECYCLED_WATER_GAL]:[NONPOTABLE_DEMAND_NONRESIDENTIAL_METERED_IRRIGATION_GAL]])</f>
        <v>0</v>
      </c>
      <c r="X3638" t="str">
        <f>IFERROR(INDEX(Crosswalk_API!$H$2:$H$527, MATCH(POTABLE_NONPOTABLE_API[[#This Row],[PWSID]], CW_PWSID_LIST, 0)), "")</f>
        <v>No</v>
      </c>
    </row>
    <row r="3639" spans="1:24" x14ac:dyDescent="0.25">
      <c r="A3639" t="s">
        <v>1792</v>
      </c>
      <c r="B3639" t="s">
        <v>1793</v>
      </c>
      <c r="C3639" t="s">
        <v>1801</v>
      </c>
      <c r="D3639" t="s">
        <v>1802</v>
      </c>
      <c r="E3639" s="9">
        <v>45139</v>
      </c>
      <c r="F3639" s="9">
        <v>45169</v>
      </c>
      <c r="G3639">
        <v>39157050</v>
      </c>
      <c r="H3639">
        <v>2990</v>
      </c>
      <c r="I3639">
        <v>1316480</v>
      </c>
      <c r="J3639">
        <v>469900</v>
      </c>
      <c r="K3639">
        <v>0</v>
      </c>
      <c r="L3639">
        <v>223650</v>
      </c>
      <c r="M3639">
        <v>0</v>
      </c>
      <c r="T3639" s="9">
        <v>45108</v>
      </c>
      <c r="U3639" s="9">
        <v>45473</v>
      </c>
      <c r="V3639">
        <f>SUM(POTABLE_NONPOTABLE_API[[#This Row],[RESIDENTIAL_SINGLEFAMILY_GAL]:[OTHER_GAL]])</f>
        <v>41170070</v>
      </c>
      <c r="W3639">
        <f>SUM(POTABLE_NONPOTABLE_API[[#This Row],[NONPOTABLE_DEMAND_RESIDENTIAL_RECYCLED_WATER_GAL]:[NONPOTABLE_DEMAND_NONRESIDENTIAL_METERED_IRRIGATION_GAL]])</f>
        <v>0</v>
      </c>
      <c r="X3639" t="str">
        <f>IFERROR(INDEX(Crosswalk_API!$H$2:$H$527, MATCH(POTABLE_NONPOTABLE_API[[#This Row],[PWSID]], CW_PWSID_LIST, 0)), "")</f>
        <v>No</v>
      </c>
    </row>
    <row r="3640" spans="1:24" x14ac:dyDescent="0.25">
      <c r="A3640" t="s">
        <v>1792</v>
      </c>
      <c r="B3640" t="s">
        <v>1793</v>
      </c>
      <c r="C3640" t="s">
        <v>1801</v>
      </c>
      <c r="D3640" t="s">
        <v>1802</v>
      </c>
      <c r="E3640" s="9">
        <v>45170</v>
      </c>
      <c r="F3640" s="9">
        <v>45199</v>
      </c>
      <c r="G3640">
        <v>43033940</v>
      </c>
      <c r="H3640">
        <v>4490</v>
      </c>
      <c r="I3640">
        <v>1509460</v>
      </c>
      <c r="J3640">
        <v>429350</v>
      </c>
      <c r="K3640">
        <v>0</v>
      </c>
      <c r="L3640">
        <v>297700</v>
      </c>
      <c r="M3640">
        <v>0</v>
      </c>
      <c r="T3640" s="9">
        <v>45108</v>
      </c>
      <c r="U3640" s="9">
        <v>45473</v>
      </c>
      <c r="V3640">
        <f>SUM(POTABLE_NONPOTABLE_API[[#This Row],[RESIDENTIAL_SINGLEFAMILY_GAL]:[OTHER_GAL]])</f>
        <v>45274940</v>
      </c>
      <c r="W3640">
        <f>SUM(POTABLE_NONPOTABLE_API[[#This Row],[NONPOTABLE_DEMAND_RESIDENTIAL_RECYCLED_WATER_GAL]:[NONPOTABLE_DEMAND_NONRESIDENTIAL_METERED_IRRIGATION_GAL]])</f>
        <v>0</v>
      </c>
      <c r="X3640" t="str">
        <f>IFERROR(INDEX(Crosswalk_API!$H$2:$H$527, MATCH(POTABLE_NONPOTABLE_API[[#This Row],[PWSID]], CW_PWSID_LIST, 0)), "")</f>
        <v>No</v>
      </c>
    </row>
    <row r="3641" spans="1:24" x14ac:dyDescent="0.25">
      <c r="A3641" t="s">
        <v>1792</v>
      </c>
      <c r="B3641" t="s">
        <v>1793</v>
      </c>
      <c r="C3641" t="s">
        <v>1801</v>
      </c>
      <c r="D3641" t="s">
        <v>1802</v>
      </c>
      <c r="E3641" s="9">
        <v>45200</v>
      </c>
      <c r="F3641" s="9">
        <v>45230</v>
      </c>
      <c r="G3641">
        <v>28335740</v>
      </c>
      <c r="H3641">
        <v>4490</v>
      </c>
      <c r="I3641">
        <v>1039720</v>
      </c>
      <c r="J3641">
        <v>302940</v>
      </c>
      <c r="K3641">
        <v>0</v>
      </c>
      <c r="L3641">
        <v>198970</v>
      </c>
      <c r="M3641">
        <v>0</v>
      </c>
      <c r="T3641" s="9">
        <v>45108</v>
      </c>
      <c r="U3641" s="9">
        <v>45473</v>
      </c>
      <c r="V3641">
        <f>SUM(POTABLE_NONPOTABLE_API[[#This Row],[RESIDENTIAL_SINGLEFAMILY_GAL]:[OTHER_GAL]])</f>
        <v>29881860</v>
      </c>
      <c r="W3641">
        <f>SUM(POTABLE_NONPOTABLE_API[[#This Row],[NONPOTABLE_DEMAND_RESIDENTIAL_RECYCLED_WATER_GAL]:[NONPOTABLE_DEMAND_NONRESIDENTIAL_METERED_IRRIGATION_GAL]])</f>
        <v>0</v>
      </c>
      <c r="X3641" t="str">
        <f>IFERROR(INDEX(Crosswalk_API!$H$2:$H$527, MATCH(POTABLE_NONPOTABLE_API[[#This Row],[PWSID]], CW_PWSID_LIST, 0)), "")</f>
        <v>No</v>
      </c>
    </row>
    <row r="3642" spans="1:24" x14ac:dyDescent="0.25">
      <c r="A3642" t="s">
        <v>1792</v>
      </c>
      <c r="B3642" t="s">
        <v>1793</v>
      </c>
      <c r="C3642" t="s">
        <v>1801</v>
      </c>
      <c r="D3642" t="s">
        <v>1802</v>
      </c>
      <c r="E3642" s="9">
        <v>45231</v>
      </c>
      <c r="F3642" s="9">
        <v>45260</v>
      </c>
      <c r="G3642">
        <v>23933010</v>
      </c>
      <c r="H3642">
        <v>22440</v>
      </c>
      <c r="I3642">
        <v>880400</v>
      </c>
      <c r="J3642">
        <v>332860</v>
      </c>
      <c r="K3642">
        <v>0</v>
      </c>
      <c r="L3642">
        <v>0</v>
      </c>
      <c r="M3642">
        <v>0</v>
      </c>
      <c r="T3642" s="9">
        <v>45108</v>
      </c>
      <c r="U3642" s="9">
        <v>45473</v>
      </c>
      <c r="V3642">
        <f>SUM(POTABLE_NONPOTABLE_API[[#This Row],[RESIDENTIAL_SINGLEFAMILY_GAL]:[OTHER_GAL]])</f>
        <v>25168710</v>
      </c>
      <c r="W3642">
        <f>SUM(POTABLE_NONPOTABLE_API[[#This Row],[NONPOTABLE_DEMAND_RESIDENTIAL_RECYCLED_WATER_GAL]:[NONPOTABLE_DEMAND_NONRESIDENTIAL_METERED_IRRIGATION_GAL]])</f>
        <v>0</v>
      </c>
      <c r="X3642" t="str">
        <f>IFERROR(INDEX(Crosswalk_API!$H$2:$H$527, MATCH(POTABLE_NONPOTABLE_API[[#This Row],[PWSID]], CW_PWSID_LIST, 0)), "")</f>
        <v>No</v>
      </c>
    </row>
    <row r="3643" spans="1:24" x14ac:dyDescent="0.25">
      <c r="A3643" t="s">
        <v>1792</v>
      </c>
      <c r="B3643" t="s">
        <v>1793</v>
      </c>
      <c r="C3643" t="s">
        <v>1801</v>
      </c>
      <c r="D3643" t="s">
        <v>1802</v>
      </c>
      <c r="E3643" s="9">
        <v>45261</v>
      </c>
      <c r="F3643" s="9">
        <v>45291</v>
      </c>
      <c r="G3643">
        <v>24797700</v>
      </c>
      <c r="H3643">
        <v>0</v>
      </c>
      <c r="I3643">
        <v>725560</v>
      </c>
      <c r="J3643">
        <v>64330</v>
      </c>
      <c r="K3643">
        <v>0</v>
      </c>
      <c r="L3643">
        <v>96490</v>
      </c>
      <c r="M3643">
        <v>0</v>
      </c>
      <c r="T3643" s="9">
        <v>45108</v>
      </c>
      <c r="U3643" s="9">
        <v>45473</v>
      </c>
      <c r="V3643">
        <f>SUM(POTABLE_NONPOTABLE_API[[#This Row],[RESIDENTIAL_SINGLEFAMILY_GAL]:[OTHER_GAL]])</f>
        <v>25684080</v>
      </c>
      <c r="W3643">
        <f>SUM(POTABLE_NONPOTABLE_API[[#This Row],[NONPOTABLE_DEMAND_RESIDENTIAL_RECYCLED_WATER_GAL]:[NONPOTABLE_DEMAND_NONRESIDENTIAL_METERED_IRRIGATION_GAL]])</f>
        <v>0</v>
      </c>
      <c r="X3643" t="str">
        <f>IFERROR(INDEX(Crosswalk_API!$H$2:$H$527, MATCH(POTABLE_NONPOTABLE_API[[#This Row],[PWSID]], CW_PWSID_LIST, 0)), "")</f>
        <v>No</v>
      </c>
    </row>
    <row r="3644" spans="1:24" x14ac:dyDescent="0.25">
      <c r="A3644" t="s">
        <v>1792</v>
      </c>
      <c r="B3644" t="s">
        <v>1793</v>
      </c>
      <c r="C3644" t="s">
        <v>1801</v>
      </c>
      <c r="D3644" t="s">
        <v>1802</v>
      </c>
      <c r="E3644" s="9">
        <v>45292</v>
      </c>
      <c r="F3644" s="9">
        <v>45322</v>
      </c>
      <c r="G3644">
        <v>11881230</v>
      </c>
      <c r="H3644">
        <v>750</v>
      </c>
      <c r="I3644">
        <v>588680</v>
      </c>
      <c r="J3644">
        <v>367270</v>
      </c>
      <c r="K3644">
        <v>0</v>
      </c>
      <c r="L3644">
        <v>49370</v>
      </c>
      <c r="M3644">
        <v>0</v>
      </c>
      <c r="T3644" s="9">
        <v>45108</v>
      </c>
      <c r="U3644" s="9">
        <v>45473</v>
      </c>
      <c r="V3644">
        <f>SUM(POTABLE_NONPOTABLE_API[[#This Row],[RESIDENTIAL_SINGLEFAMILY_GAL]:[OTHER_GAL]])</f>
        <v>12887300</v>
      </c>
      <c r="W3644">
        <f>SUM(POTABLE_NONPOTABLE_API[[#This Row],[NONPOTABLE_DEMAND_RESIDENTIAL_RECYCLED_WATER_GAL]:[NONPOTABLE_DEMAND_NONRESIDENTIAL_METERED_IRRIGATION_GAL]])</f>
        <v>0</v>
      </c>
      <c r="X3644" t="str">
        <f>IFERROR(INDEX(Crosswalk_API!$H$2:$H$527, MATCH(POTABLE_NONPOTABLE_API[[#This Row],[PWSID]], CW_PWSID_LIST, 0)), "")</f>
        <v>No</v>
      </c>
    </row>
    <row r="3645" spans="1:24" x14ac:dyDescent="0.25">
      <c r="A3645" t="s">
        <v>1792</v>
      </c>
      <c r="B3645" t="s">
        <v>1793</v>
      </c>
      <c r="C3645" t="s">
        <v>1801</v>
      </c>
      <c r="D3645" t="s">
        <v>1802</v>
      </c>
      <c r="E3645" s="9">
        <v>45323</v>
      </c>
      <c r="F3645" s="9">
        <v>45351</v>
      </c>
      <c r="G3645">
        <v>11502740</v>
      </c>
      <c r="H3645">
        <v>0</v>
      </c>
      <c r="I3645">
        <v>700130</v>
      </c>
      <c r="J3645">
        <v>457030</v>
      </c>
      <c r="K3645">
        <v>0</v>
      </c>
      <c r="L3645">
        <v>2990</v>
      </c>
      <c r="M3645">
        <v>0</v>
      </c>
      <c r="T3645" s="9">
        <v>45108</v>
      </c>
      <c r="U3645" s="9">
        <v>45473</v>
      </c>
      <c r="V3645">
        <f>SUM(POTABLE_NONPOTABLE_API[[#This Row],[RESIDENTIAL_SINGLEFAMILY_GAL]:[OTHER_GAL]])</f>
        <v>12662890</v>
      </c>
      <c r="W3645">
        <f>SUM(POTABLE_NONPOTABLE_API[[#This Row],[NONPOTABLE_DEMAND_RESIDENTIAL_RECYCLED_WATER_GAL]:[NONPOTABLE_DEMAND_NONRESIDENTIAL_METERED_IRRIGATION_GAL]])</f>
        <v>0</v>
      </c>
      <c r="X3645" t="str">
        <f>IFERROR(INDEX(Crosswalk_API!$H$2:$H$527, MATCH(POTABLE_NONPOTABLE_API[[#This Row],[PWSID]], CW_PWSID_LIST, 0)), "")</f>
        <v>No</v>
      </c>
    </row>
    <row r="3646" spans="1:24" x14ac:dyDescent="0.25">
      <c r="A3646" t="s">
        <v>1792</v>
      </c>
      <c r="B3646" t="s">
        <v>1793</v>
      </c>
      <c r="C3646" t="s">
        <v>1801</v>
      </c>
      <c r="D3646" t="s">
        <v>1802</v>
      </c>
      <c r="E3646" s="9">
        <v>45352</v>
      </c>
      <c r="F3646" s="9">
        <v>45382</v>
      </c>
      <c r="G3646">
        <v>10320900</v>
      </c>
      <c r="H3646">
        <v>0</v>
      </c>
      <c r="I3646">
        <v>694890</v>
      </c>
      <c r="J3646">
        <v>343330</v>
      </c>
      <c r="K3646">
        <v>0</v>
      </c>
      <c r="L3646">
        <v>2240</v>
      </c>
      <c r="M3646">
        <v>0</v>
      </c>
      <c r="T3646" s="9">
        <v>45108</v>
      </c>
      <c r="U3646" s="9">
        <v>45473</v>
      </c>
      <c r="V3646">
        <f>SUM(POTABLE_NONPOTABLE_API[[#This Row],[RESIDENTIAL_SINGLEFAMILY_GAL]:[OTHER_GAL]])</f>
        <v>11361360</v>
      </c>
      <c r="W3646">
        <f>SUM(POTABLE_NONPOTABLE_API[[#This Row],[NONPOTABLE_DEMAND_RESIDENTIAL_RECYCLED_WATER_GAL]:[NONPOTABLE_DEMAND_NONRESIDENTIAL_METERED_IRRIGATION_GAL]])</f>
        <v>0</v>
      </c>
      <c r="X3646" t="str">
        <f>IFERROR(INDEX(Crosswalk_API!$H$2:$H$527, MATCH(POTABLE_NONPOTABLE_API[[#This Row],[PWSID]], CW_PWSID_LIST, 0)), "")</f>
        <v>No</v>
      </c>
    </row>
    <row r="3647" spans="1:24" x14ac:dyDescent="0.25">
      <c r="A3647" t="s">
        <v>1792</v>
      </c>
      <c r="B3647" t="s">
        <v>1793</v>
      </c>
      <c r="C3647" t="s">
        <v>1801</v>
      </c>
      <c r="D3647" t="s">
        <v>1802</v>
      </c>
      <c r="E3647" s="9">
        <v>45383</v>
      </c>
      <c r="F3647" s="9">
        <v>45412</v>
      </c>
      <c r="G3647">
        <v>11827280</v>
      </c>
      <c r="H3647">
        <v>0</v>
      </c>
      <c r="I3647">
        <v>660480</v>
      </c>
      <c r="J3647">
        <v>290970</v>
      </c>
      <c r="K3647">
        <v>0</v>
      </c>
      <c r="L3647">
        <v>2990</v>
      </c>
      <c r="M3647">
        <v>0</v>
      </c>
      <c r="T3647" s="9">
        <v>45108</v>
      </c>
      <c r="U3647" s="9">
        <v>45473</v>
      </c>
      <c r="V3647">
        <f>SUM(POTABLE_NONPOTABLE_API[[#This Row],[RESIDENTIAL_SINGLEFAMILY_GAL]:[OTHER_GAL]])</f>
        <v>12781720</v>
      </c>
      <c r="W3647">
        <f>SUM(POTABLE_NONPOTABLE_API[[#This Row],[NONPOTABLE_DEMAND_RESIDENTIAL_RECYCLED_WATER_GAL]:[NONPOTABLE_DEMAND_NONRESIDENTIAL_METERED_IRRIGATION_GAL]])</f>
        <v>0</v>
      </c>
      <c r="X3647" t="str">
        <f>IFERROR(INDEX(Crosswalk_API!$H$2:$H$527, MATCH(POTABLE_NONPOTABLE_API[[#This Row],[PWSID]], CW_PWSID_LIST, 0)), "")</f>
        <v>No</v>
      </c>
    </row>
    <row r="3648" spans="1:24" x14ac:dyDescent="0.25">
      <c r="A3648" t="s">
        <v>1792</v>
      </c>
      <c r="B3648" t="s">
        <v>1793</v>
      </c>
      <c r="C3648" t="s">
        <v>1801</v>
      </c>
      <c r="D3648" t="s">
        <v>1802</v>
      </c>
      <c r="E3648" s="9">
        <v>45413</v>
      </c>
      <c r="F3648" s="9">
        <v>45443</v>
      </c>
      <c r="G3648">
        <v>24793210</v>
      </c>
      <c r="H3648">
        <v>0</v>
      </c>
      <c r="I3648">
        <v>1255140</v>
      </c>
      <c r="J3648">
        <v>471240</v>
      </c>
      <c r="K3648">
        <v>0</v>
      </c>
      <c r="L3648">
        <v>13460</v>
      </c>
      <c r="M3648">
        <v>0</v>
      </c>
      <c r="T3648" s="9">
        <v>45108</v>
      </c>
      <c r="U3648" s="9">
        <v>45473</v>
      </c>
      <c r="V3648">
        <f>SUM(POTABLE_NONPOTABLE_API[[#This Row],[RESIDENTIAL_SINGLEFAMILY_GAL]:[OTHER_GAL]])</f>
        <v>26533050</v>
      </c>
      <c r="W3648">
        <f>SUM(POTABLE_NONPOTABLE_API[[#This Row],[NONPOTABLE_DEMAND_RESIDENTIAL_RECYCLED_WATER_GAL]:[NONPOTABLE_DEMAND_NONRESIDENTIAL_METERED_IRRIGATION_GAL]])</f>
        <v>0</v>
      </c>
      <c r="X3648" t="str">
        <f>IFERROR(INDEX(Crosswalk_API!$H$2:$H$527, MATCH(POTABLE_NONPOTABLE_API[[#This Row],[PWSID]], CW_PWSID_LIST, 0)), "")</f>
        <v>No</v>
      </c>
    </row>
    <row r="3649" spans="1:24" x14ac:dyDescent="0.25">
      <c r="A3649" t="s">
        <v>1792</v>
      </c>
      <c r="B3649" t="s">
        <v>1793</v>
      </c>
      <c r="C3649" t="s">
        <v>1801</v>
      </c>
      <c r="D3649" t="s">
        <v>1802</v>
      </c>
      <c r="E3649" s="9">
        <v>45444</v>
      </c>
      <c r="F3649" s="9">
        <v>45473</v>
      </c>
      <c r="G3649">
        <v>31445170</v>
      </c>
      <c r="H3649">
        <v>750</v>
      </c>
      <c r="I3649">
        <v>1573790</v>
      </c>
      <c r="J3649">
        <v>504150</v>
      </c>
      <c r="K3649">
        <v>0</v>
      </c>
      <c r="L3649">
        <v>11970</v>
      </c>
      <c r="M3649">
        <v>0</v>
      </c>
      <c r="T3649" s="9">
        <v>45108</v>
      </c>
      <c r="U3649" s="9">
        <v>45473</v>
      </c>
      <c r="V3649">
        <f>SUM(POTABLE_NONPOTABLE_API[[#This Row],[RESIDENTIAL_SINGLEFAMILY_GAL]:[OTHER_GAL]])</f>
        <v>33535830</v>
      </c>
      <c r="W3649">
        <f>SUM(POTABLE_NONPOTABLE_API[[#This Row],[NONPOTABLE_DEMAND_RESIDENTIAL_RECYCLED_WATER_GAL]:[NONPOTABLE_DEMAND_NONRESIDENTIAL_METERED_IRRIGATION_GAL]])</f>
        <v>0</v>
      </c>
      <c r="X3649" t="str">
        <f>IFERROR(INDEX(Crosswalk_API!$H$2:$H$527, MATCH(POTABLE_NONPOTABLE_API[[#This Row],[PWSID]], CW_PWSID_LIST, 0)), "")</f>
        <v>No</v>
      </c>
    </row>
    <row r="3650" spans="1:24" x14ac:dyDescent="0.25">
      <c r="A3650" t="s">
        <v>1792</v>
      </c>
      <c r="B3650" t="s">
        <v>1793</v>
      </c>
      <c r="C3650" t="s">
        <v>1803</v>
      </c>
      <c r="D3650" t="s">
        <v>1804</v>
      </c>
      <c r="E3650" s="9">
        <v>45108</v>
      </c>
      <c r="F3650" s="9">
        <v>45138</v>
      </c>
      <c r="G3650">
        <v>39436060</v>
      </c>
      <c r="H3650">
        <v>12434000</v>
      </c>
      <c r="I3650">
        <v>5415520</v>
      </c>
      <c r="J3650">
        <v>2306830</v>
      </c>
      <c r="K3650">
        <v>13460</v>
      </c>
      <c r="L3650">
        <v>126410</v>
      </c>
      <c r="M3650">
        <v>0</v>
      </c>
      <c r="T3650" s="9">
        <v>45108</v>
      </c>
      <c r="U3650" s="9">
        <v>45473</v>
      </c>
      <c r="V3650">
        <f>SUM(POTABLE_NONPOTABLE_API[[#This Row],[RESIDENTIAL_SINGLEFAMILY_GAL]:[OTHER_GAL]])</f>
        <v>59732280</v>
      </c>
      <c r="W3650">
        <f>SUM(POTABLE_NONPOTABLE_API[[#This Row],[NONPOTABLE_DEMAND_RESIDENTIAL_RECYCLED_WATER_GAL]:[NONPOTABLE_DEMAND_NONRESIDENTIAL_METERED_IRRIGATION_GAL]])</f>
        <v>0</v>
      </c>
      <c r="X3650" t="str">
        <f>IFERROR(INDEX(Crosswalk_API!$H$2:$H$527, MATCH(POTABLE_NONPOTABLE_API[[#This Row],[PWSID]], CW_PWSID_LIST, 0)), "")</f>
        <v>No</v>
      </c>
    </row>
    <row r="3651" spans="1:24" x14ac:dyDescent="0.25">
      <c r="A3651" t="s">
        <v>1792</v>
      </c>
      <c r="B3651" t="s">
        <v>1793</v>
      </c>
      <c r="C3651" t="s">
        <v>1803</v>
      </c>
      <c r="D3651" t="s">
        <v>1804</v>
      </c>
      <c r="E3651" s="9">
        <v>45139</v>
      </c>
      <c r="F3651" s="9">
        <v>45169</v>
      </c>
      <c r="G3651">
        <v>39798840</v>
      </c>
      <c r="H3651">
        <v>12434000</v>
      </c>
      <c r="I3651">
        <v>17552570</v>
      </c>
      <c r="J3651">
        <v>2306830</v>
      </c>
      <c r="K3651">
        <v>13460</v>
      </c>
      <c r="L3651">
        <v>126410</v>
      </c>
      <c r="M3651">
        <v>0</v>
      </c>
      <c r="T3651" s="9">
        <v>45108</v>
      </c>
      <c r="U3651" s="9">
        <v>45473</v>
      </c>
      <c r="V3651">
        <f>SUM(POTABLE_NONPOTABLE_API[[#This Row],[RESIDENTIAL_SINGLEFAMILY_GAL]:[OTHER_GAL]])</f>
        <v>72232110</v>
      </c>
      <c r="W3651">
        <f>SUM(POTABLE_NONPOTABLE_API[[#This Row],[NONPOTABLE_DEMAND_RESIDENTIAL_RECYCLED_WATER_GAL]:[NONPOTABLE_DEMAND_NONRESIDENTIAL_METERED_IRRIGATION_GAL]])</f>
        <v>0</v>
      </c>
      <c r="X3651" t="str">
        <f>IFERROR(INDEX(Crosswalk_API!$H$2:$H$527, MATCH(POTABLE_NONPOTABLE_API[[#This Row],[PWSID]], CW_PWSID_LIST, 0)), "")</f>
        <v>No</v>
      </c>
    </row>
    <row r="3652" spans="1:24" x14ac:dyDescent="0.25">
      <c r="A3652" t="s">
        <v>1792</v>
      </c>
      <c r="B3652" t="s">
        <v>1793</v>
      </c>
      <c r="C3652" t="s">
        <v>1803</v>
      </c>
      <c r="D3652" t="s">
        <v>1804</v>
      </c>
      <c r="E3652" s="9">
        <v>45170</v>
      </c>
      <c r="F3652" s="9">
        <v>45199</v>
      </c>
      <c r="G3652">
        <v>44815670</v>
      </c>
      <c r="H3652">
        <v>14318960</v>
      </c>
      <c r="I3652">
        <v>17596700</v>
      </c>
      <c r="J3652">
        <v>3250060</v>
      </c>
      <c r="K3652">
        <v>0</v>
      </c>
      <c r="L3652">
        <v>191490</v>
      </c>
      <c r="M3652">
        <v>0</v>
      </c>
      <c r="T3652" s="9">
        <v>45108</v>
      </c>
      <c r="U3652" s="9">
        <v>45473</v>
      </c>
      <c r="V3652">
        <f>SUM(POTABLE_NONPOTABLE_API[[#This Row],[RESIDENTIAL_SINGLEFAMILY_GAL]:[OTHER_GAL]])</f>
        <v>80172880</v>
      </c>
      <c r="W3652">
        <f>SUM(POTABLE_NONPOTABLE_API[[#This Row],[NONPOTABLE_DEMAND_RESIDENTIAL_RECYCLED_WATER_GAL]:[NONPOTABLE_DEMAND_NONRESIDENTIAL_METERED_IRRIGATION_GAL]])</f>
        <v>0</v>
      </c>
      <c r="X3652" t="str">
        <f>IFERROR(INDEX(Crosswalk_API!$H$2:$H$527, MATCH(POTABLE_NONPOTABLE_API[[#This Row],[PWSID]], CW_PWSID_LIST, 0)), "")</f>
        <v>No</v>
      </c>
    </row>
    <row r="3653" spans="1:24" x14ac:dyDescent="0.25">
      <c r="A3653" t="s">
        <v>1792</v>
      </c>
      <c r="B3653" t="s">
        <v>1793</v>
      </c>
      <c r="C3653" t="s">
        <v>1803</v>
      </c>
      <c r="D3653" t="s">
        <v>1804</v>
      </c>
      <c r="E3653" s="9">
        <v>45200</v>
      </c>
      <c r="F3653" s="9">
        <v>45230</v>
      </c>
      <c r="G3653">
        <v>31446600</v>
      </c>
      <c r="H3653">
        <v>9169730</v>
      </c>
      <c r="I3653">
        <v>12044300</v>
      </c>
      <c r="J3653">
        <v>2289630</v>
      </c>
      <c r="K3653">
        <v>14210</v>
      </c>
      <c r="L3653">
        <v>154090</v>
      </c>
      <c r="M3653">
        <v>0</v>
      </c>
      <c r="T3653" s="9">
        <v>45108</v>
      </c>
      <c r="U3653" s="9">
        <v>45473</v>
      </c>
      <c r="V3653">
        <f>SUM(POTABLE_NONPOTABLE_API[[#This Row],[RESIDENTIAL_SINGLEFAMILY_GAL]:[OTHER_GAL]])</f>
        <v>55118560</v>
      </c>
      <c r="W3653">
        <f>SUM(POTABLE_NONPOTABLE_API[[#This Row],[NONPOTABLE_DEMAND_RESIDENTIAL_RECYCLED_WATER_GAL]:[NONPOTABLE_DEMAND_NONRESIDENTIAL_METERED_IRRIGATION_GAL]])</f>
        <v>0</v>
      </c>
      <c r="X3653" t="str">
        <f>IFERROR(INDEX(Crosswalk_API!$H$2:$H$527, MATCH(POTABLE_NONPOTABLE_API[[#This Row],[PWSID]], CW_PWSID_LIST, 0)), "")</f>
        <v>No</v>
      </c>
    </row>
    <row r="3654" spans="1:24" x14ac:dyDescent="0.25">
      <c r="A3654" t="s">
        <v>1792</v>
      </c>
      <c r="B3654" t="s">
        <v>1793</v>
      </c>
      <c r="C3654" t="s">
        <v>1803</v>
      </c>
      <c r="D3654" t="s">
        <v>1804</v>
      </c>
      <c r="E3654" s="9">
        <v>45231</v>
      </c>
      <c r="F3654" s="9">
        <v>45260</v>
      </c>
      <c r="G3654">
        <v>25300350</v>
      </c>
      <c r="H3654">
        <v>5518740</v>
      </c>
      <c r="I3654">
        <v>10754000</v>
      </c>
      <c r="J3654">
        <v>1795200</v>
      </c>
      <c r="K3654">
        <v>14360</v>
      </c>
      <c r="L3654">
        <v>0</v>
      </c>
      <c r="M3654">
        <v>0</v>
      </c>
      <c r="T3654" s="9">
        <v>45108</v>
      </c>
      <c r="U3654" s="9">
        <v>45473</v>
      </c>
      <c r="V3654">
        <f>SUM(POTABLE_NONPOTABLE_API[[#This Row],[RESIDENTIAL_SINGLEFAMILY_GAL]:[OTHER_GAL]])</f>
        <v>43382650</v>
      </c>
      <c r="W3654">
        <f>SUM(POTABLE_NONPOTABLE_API[[#This Row],[NONPOTABLE_DEMAND_RESIDENTIAL_RECYCLED_WATER_GAL]:[NONPOTABLE_DEMAND_NONRESIDENTIAL_METERED_IRRIGATION_GAL]])</f>
        <v>0</v>
      </c>
      <c r="X3654" t="str">
        <f>IFERROR(INDEX(Crosswalk_API!$H$2:$H$527, MATCH(POTABLE_NONPOTABLE_API[[#This Row],[PWSID]], CW_PWSID_LIST, 0)), "")</f>
        <v>No</v>
      </c>
    </row>
    <row r="3655" spans="1:24" x14ac:dyDescent="0.25">
      <c r="A3655" t="s">
        <v>1792</v>
      </c>
      <c r="B3655" t="s">
        <v>1793</v>
      </c>
      <c r="C3655" t="s">
        <v>1803</v>
      </c>
      <c r="D3655" t="s">
        <v>1804</v>
      </c>
      <c r="E3655" s="9">
        <v>45261</v>
      </c>
      <c r="F3655" s="9">
        <v>45291</v>
      </c>
      <c r="G3655">
        <v>13345820</v>
      </c>
      <c r="H3655">
        <v>5518740</v>
      </c>
      <c r="I3655">
        <v>6441030</v>
      </c>
      <c r="J3655">
        <v>555760</v>
      </c>
      <c r="K3655">
        <v>14960</v>
      </c>
      <c r="L3655">
        <v>76300</v>
      </c>
      <c r="M3655">
        <v>0</v>
      </c>
      <c r="T3655" s="9">
        <v>45108</v>
      </c>
      <c r="U3655" s="9">
        <v>45473</v>
      </c>
      <c r="V3655">
        <f>SUM(POTABLE_NONPOTABLE_API[[#This Row],[RESIDENTIAL_SINGLEFAMILY_GAL]:[OTHER_GAL]])</f>
        <v>25952610</v>
      </c>
      <c r="W3655">
        <f>SUM(POTABLE_NONPOTABLE_API[[#This Row],[NONPOTABLE_DEMAND_RESIDENTIAL_RECYCLED_WATER_GAL]:[NONPOTABLE_DEMAND_NONRESIDENTIAL_METERED_IRRIGATION_GAL]])</f>
        <v>0</v>
      </c>
      <c r="X3655" t="str">
        <f>IFERROR(INDEX(Crosswalk_API!$H$2:$H$527, MATCH(POTABLE_NONPOTABLE_API[[#This Row],[PWSID]], CW_PWSID_LIST, 0)), "")</f>
        <v>No</v>
      </c>
    </row>
    <row r="3656" spans="1:24" x14ac:dyDescent="0.25">
      <c r="A3656" t="s">
        <v>1792</v>
      </c>
      <c r="B3656" t="s">
        <v>1793</v>
      </c>
      <c r="C3656" t="s">
        <v>1803</v>
      </c>
      <c r="D3656" t="s">
        <v>1804</v>
      </c>
      <c r="E3656" s="9">
        <v>45292</v>
      </c>
      <c r="F3656" s="9">
        <v>45322</v>
      </c>
      <c r="G3656">
        <v>10681440</v>
      </c>
      <c r="H3656">
        <v>6129110</v>
      </c>
      <c r="I3656">
        <v>5520240</v>
      </c>
      <c r="J3656">
        <v>620840</v>
      </c>
      <c r="K3656">
        <v>14210</v>
      </c>
      <c r="L3656">
        <v>93500</v>
      </c>
      <c r="M3656">
        <v>0</v>
      </c>
      <c r="T3656" s="9">
        <v>45108</v>
      </c>
      <c r="U3656" s="9">
        <v>45473</v>
      </c>
      <c r="V3656">
        <f>SUM(POTABLE_NONPOTABLE_API[[#This Row],[RESIDENTIAL_SINGLEFAMILY_GAL]:[OTHER_GAL]])</f>
        <v>23059340</v>
      </c>
      <c r="W3656">
        <f>SUM(POTABLE_NONPOTABLE_API[[#This Row],[NONPOTABLE_DEMAND_RESIDENTIAL_RECYCLED_WATER_GAL]:[NONPOTABLE_DEMAND_NONRESIDENTIAL_METERED_IRRIGATION_GAL]])</f>
        <v>0</v>
      </c>
      <c r="X3656" t="str">
        <f>IFERROR(INDEX(Crosswalk_API!$H$2:$H$527, MATCH(POTABLE_NONPOTABLE_API[[#This Row],[PWSID]], CW_PWSID_LIST, 0)), "")</f>
        <v>No</v>
      </c>
    </row>
    <row r="3657" spans="1:24" x14ac:dyDescent="0.25">
      <c r="A3657" t="s">
        <v>1792</v>
      </c>
      <c r="B3657" t="s">
        <v>1793</v>
      </c>
      <c r="C3657" t="s">
        <v>1803</v>
      </c>
      <c r="D3657" t="s">
        <v>1804</v>
      </c>
      <c r="E3657" s="9">
        <v>45323</v>
      </c>
      <c r="F3657" s="9">
        <v>45351</v>
      </c>
      <c r="G3657">
        <v>11680770</v>
      </c>
      <c r="H3657">
        <v>5170180</v>
      </c>
      <c r="I3657">
        <v>6564450</v>
      </c>
      <c r="J3657">
        <v>658240</v>
      </c>
      <c r="K3657">
        <v>19450</v>
      </c>
      <c r="L3657">
        <v>82280</v>
      </c>
      <c r="M3657">
        <v>0</v>
      </c>
      <c r="T3657" s="9">
        <v>45108</v>
      </c>
      <c r="U3657" s="9">
        <v>45473</v>
      </c>
      <c r="V3657">
        <f>SUM(POTABLE_NONPOTABLE_API[[#This Row],[RESIDENTIAL_SINGLEFAMILY_GAL]:[OTHER_GAL]])</f>
        <v>24175370</v>
      </c>
      <c r="W3657">
        <f>SUM(POTABLE_NONPOTABLE_API[[#This Row],[NONPOTABLE_DEMAND_RESIDENTIAL_RECYCLED_WATER_GAL]:[NONPOTABLE_DEMAND_NONRESIDENTIAL_METERED_IRRIGATION_GAL]])</f>
        <v>0</v>
      </c>
      <c r="X3657" t="str">
        <f>IFERROR(INDEX(Crosswalk_API!$H$2:$H$527, MATCH(POTABLE_NONPOTABLE_API[[#This Row],[PWSID]], CW_PWSID_LIST, 0)), "")</f>
        <v>No</v>
      </c>
    </row>
    <row r="3658" spans="1:24" x14ac:dyDescent="0.25">
      <c r="A3658" t="s">
        <v>1792</v>
      </c>
      <c r="B3658" t="s">
        <v>1793</v>
      </c>
      <c r="C3658" t="s">
        <v>1803</v>
      </c>
      <c r="D3658" t="s">
        <v>1804</v>
      </c>
      <c r="E3658" s="9">
        <v>45352</v>
      </c>
      <c r="F3658" s="9">
        <v>45382</v>
      </c>
      <c r="G3658">
        <v>9118120</v>
      </c>
      <c r="H3658">
        <v>4914360</v>
      </c>
      <c r="I3658">
        <v>4990660</v>
      </c>
      <c r="J3658">
        <v>438330</v>
      </c>
      <c r="K3658">
        <v>157100</v>
      </c>
      <c r="L3658">
        <v>50120</v>
      </c>
      <c r="M3658">
        <v>0</v>
      </c>
      <c r="T3658" s="9">
        <v>45108</v>
      </c>
      <c r="U3658" s="9">
        <v>45473</v>
      </c>
      <c r="V3658">
        <f>SUM(POTABLE_NONPOTABLE_API[[#This Row],[RESIDENTIAL_SINGLEFAMILY_GAL]:[OTHER_GAL]])</f>
        <v>19668690</v>
      </c>
      <c r="W3658">
        <f>SUM(POTABLE_NONPOTABLE_API[[#This Row],[NONPOTABLE_DEMAND_RESIDENTIAL_RECYCLED_WATER_GAL]:[NONPOTABLE_DEMAND_NONRESIDENTIAL_METERED_IRRIGATION_GAL]])</f>
        <v>0</v>
      </c>
      <c r="X3658" t="str">
        <f>IFERROR(INDEX(Crosswalk_API!$H$2:$H$527, MATCH(POTABLE_NONPOTABLE_API[[#This Row],[PWSID]], CW_PWSID_LIST, 0)), "")</f>
        <v>No</v>
      </c>
    </row>
    <row r="3659" spans="1:24" x14ac:dyDescent="0.25">
      <c r="A3659" t="s">
        <v>1792</v>
      </c>
      <c r="B3659" t="s">
        <v>1793</v>
      </c>
      <c r="C3659" t="s">
        <v>1803</v>
      </c>
      <c r="D3659" t="s">
        <v>1804</v>
      </c>
      <c r="E3659" s="9">
        <v>45383</v>
      </c>
      <c r="F3659" s="9">
        <v>45412</v>
      </c>
      <c r="G3659">
        <v>10133900</v>
      </c>
      <c r="H3659">
        <v>4983920</v>
      </c>
      <c r="I3659">
        <v>5883020</v>
      </c>
      <c r="J3659">
        <v>424120</v>
      </c>
      <c r="K3659">
        <v>152590</v>
      </c>
      <c r="L3659">
        <v>59840</v>
      </c>
      <c r="M3659">
        <v>0</v>
      </c>
      <c r="T3659" s="9">
        <v>45108</v>
      </c>
      <c r="U3659" s="9">
        <v>45473</v>
      </c>
      <c r="V3659">
        <f>SUM(POTABLE_NONPOTABLE_API[[#This Row],[RESIDENTIAL_SINGLEFAMILY_GAL]:[OTHER_GAL]])</f>
        <v>21637390</v>
      </c>
      <c r="W3659">
        <f>SUM(POTABLE_NONPOTABLE_API[[#This Row],[NONPOTABLE_DEMAND_RESIDENTIAL_RECYCLED_WATER_GAL]:[NONPOTABLE_DEMAND_NONRESIDENTIAL_METERED_IRRIGATION_GAL]])</f>
        <v>0</v>
      </c>
      <c r="X3659" t="str">
        <f>IFERROR(INDEX(Crosswalk_API!$H$2:$H$527, MATCH(POTABLE_NONPOTABLE_API[[#This Row],[PWSID]], CW_PWSID_LIST, 0)), "")</f>
        <v>No</v>
      </c>
    </row>
    <row r="3660" spans="1:24" x14ac:dyDescent="0.25">
      <c r="A3660" t="s">
        <v>1792</v>
      </c>
      <c r="B3660" t="s">
        <v>1793</v>
      </c>
      <c r="C3660" t="s">
        <v>1803</v>
      </c>
      <c r="D3660" t="s">
        <v>1804</v>
      </c>
      <c r="E3660" s="9">
        <v>45413</v>
      </c>
      <c r="F3660" s="9">
        <v>45443</v>
      </c>
      <c r="G3660">
        <v>20433120</v>
      </c>
      <c r="H3660">
        <v>7473270</v>
      </c>
      <c r="I3660">
        <v>9802540</v>
      </c>
      <c r="J3660">
        <v>1148180</v>
      </c>
      <c r="K3660">
        <v>186250</v>
      </c>
      <c r="L3660">
        <v>89010</v>
      </c>
      <c r="M3660">
        <v>0</v>
      </c>
      <c r="T3660" s="9">
        <v>45108</v>
      </c>
      <c r="U3660" s="9">
        <v>45473</v>
      </c>
      <c r="V3660">
        <f>SUM(POTABLE_NONPOTABLE_API[[#This Row],[RESIDENTIAL_SINGLEFAMILY_GAL]:[OTHER_GAL]])</f>
        <v>39132370</v>
      </c>
      <c r="W3660">
        <f>SUM(POTABLE_NONPOTABLE_API[[#This Row],[NONPOTABLE_DEMAND_RESIDENTIAL_RECYCLED_WATER_GAL]:[NONPOTABLE_DEMAND_NONRESIDENTIAL_METERED_IRRIGATION_GAL]])</f>
        <v>0</v>
      </c>
      <c r="X3660" t="str">
        <f>IFERROR(INDEX(Crosswalk_API!$H$2:$H$527, MATCH(POTABLE_NONPOTABLE_API[[#This Row],[PWSID]], CW_PWSID_LIST, 0)), "")</f>
        <v>No</v>
      </c>
    </row>
    <row r="3661" spans="1:24" x14ac:dyDescent="0.25">
      <c r="A3661" t="s">
        <v>1792</v>
      </c>
      <c r="B3661" t="s">
        <v>1793</v>
      </c>
      <c r="C3661" t="s">
        <v>1803</v>
      </c>
      <c r="D3661" t="s">
        <v>1804</v>
      </c>
      <c r="E3661" s="9">
        <v>45444</v>
      </c>
      <c r="F3661" s="9">
        <v>45473</v>
      </c>
      <c r="G3661">
        <v>30486980</v>
      </c>
      <c r="H3661">
        <v>9034340</v>
      </c>
      <c r="I3661">
        <v>12051780</v>
      </c>
      <c r="J3661">
        <v>1978460</v>
      </c>
      <c r="K3661">
        <v>148850</v>
      </c>
      <c r="L3661">
        <v>112950</v>
      </c>
      <c r="M3661">
        <v>0</v>
      </c>
      <c r="T3661" s="9">
        <v>45108</v>
      </c>
      <c r="U3661" s="9">
        <v>45473</v>
      </c>
      <c r="V3661">
        <f>SUM(POTABLE_NONPOTABLE_API[[#This Row],[RESIDENTIAL_SINGLEFAMILY_GAL]:[OTHER_GAL]])</f>
        <v>53813360</v>
      </c>
      <c r="W3661">
        <f>SUM(POTABLE_NONPOTABLE_API[[#This Row],[NONPOTABLE_DEMAND_RESIDENTIAL_RECYCLED_WATER_GAL]:[NONPOTABLE_DEMAND_NONRESIDENTIAL_METERED_IRRIGATION_GAL]])</f>
        <v>0</v>
      </c>
      <c r="X3661" t="str">
        <f>IFERROR(INDEX(Crosswalk_API!$H$2:$H$527, MATCH(POTABLE_NONPOTABLE_API[[#This Row],[PWSID]], CW_PWSID_LIST, 0)), "")</f>
        <v>No</v>
      </c>
    </row>
    <row r="3662" spans="1:24" x14ac:dyDescent="0.25">
      <c r="A3662" t="s">
        <v>1792</v>
      </c>
      <c r="B3662" t="s">
        <v>1793</v>
      </c>
      <c r="C3662" t="s">
        <v>1805</v>
      </c>
      <c r="D3662" t="s">
        <v>1806</v>
      </c>
      <c r="E3662" s="9">
        <v>45108</v>
      </c>
      <c r="F3662" s="9">
        <v>45138</v>
      </c>
      <c r="G3662">
        <v>327620</v>
      </c>
      <c r="H3662">
        <v>0</v>
      </c>
      <c r="I3662">
        <v>0</v>
      </c>
      <c r="J3662">
        <v>0</v>
      </c>
      <c r="K3662">
        <v>0</v>
      </c>
      <c r="L3662">
        <v>15709.999999999998</v>
      </c>
      <c r="M3662">
        <v>0</v>
      </c>
      <c r="T3662" s="9">
        <v>45108</v>
      </c>
      <c r="U3662" s="9">
        <v>45473</v>
      </c>
      <c r="V3662">
        <f>SUM(POTABLE_NONPOTABLE_API[[#This Row],[RESIDENTIAL_SINGLEFAMILY_GAL]:[OTHER_GAL]])</f>
        <v>343330</v>
      </c>
      <c r="W3662">
        <f>SUM(POTABLE_NONPOTABLE_API[[#This Row],[NONPOTABLE_DEMAND_RESIDENTIAL_RECYCLED_WATER_GAL]:[NONPOTABLE_DEMAND_NONRESIDENTIAL_METERED_IRRIGATION_GAL]])</f>
        <v>0</v>
      </c>
      <c r="X3662" t="str">
        <f>IFERROR(INDEX(Crosswalk_API!$H$2:$H$527, MATCH(POTABLE_NONPOTABLE_API[[#This Row],[PWSID]], CW_PWSID_LIST, 0)), "")</f>
        <v>No</v>
      </c>
    </row>
    <row r="3663" spans="1:24" x14ac:dyDescent="0.25">
      <c r="A3663" t="s">
        <v>1792</v>
      </c>
      <c r="B3663" t="s">
        <v>1793</v>
      </c>
      <c r="C3663" t="s">
        <v>1805</v>
      </c>
      <c r="D3663" t="s">
        <v>1806</v>
      </c>
      <c r="E3663" s="9">
        <v>45139</v>
      </c>
      <c r="F3663" s="9">
        <v>45169</v>
      </c>
      <c r="G3663">
        <v>327620</v>
      </c>
      <c r="H3663">
        <v>0</v>
      </c>
      <c r="I3663">
        <v>0</v>
      </c>
      <c r="J3663">
        <v>0</v>
      </c>
      <c r="K3663">
        <v>0</v>
      </c>
      <c r="L3663">
        <v>15709.999999999998</v>
      </c>
      <c r="M3663">
        <v>0</v>
      </c>
      <c r="T3663" s="9">
        <v>45108</v>
      </c>
      <c r="U3663" s="9">
        <v>45473</v>
      </c>
      <c r="V3663">
        <f>SUM(POTABLE_NONPOTABLE_API[[#This Row],[RESIDENTIAL_SINGLEFAMILY_GAL]:[OTHER_GAL]])</f>
        <v>343330</v>
      </c>
      <c r="W3663">
        <f>SUM(POTABLE_NONPOTABLE_API[[#This Row],[NONPOTABLE_DEMAND_RESIDENTIAL_RECYCLED_WATER_GAL]:[NONPOTABLE_DEMAND_NONRESIDENTIAL_METERED_IRRIGATION_GAL]])</f>
        <v>0</v>
      </c>
      <c r="X3663" t="str">
        <f>IFERROR(INDEX(Crosswalk_API!$H$2:$H$527, MATCH(POTABLE_NONPOTABLE_API[[#This Row],[PWSID]], CW_PWSID_LIST, 0)), "")</f>
        <v>No</v>
      </c>
    </row>
    <row r="3664" spans="1:24" x14ac:dyDescent="0.25">
      <c r="A3664" t="s">
        <v>1792</v>
      </c>
      <c r="B3664" t="s">
        <v>1793</v>
      </c>
      <c r="C3664" t="s">
        <v>1805</v>
      </c>
      <c r="D3664" t="s">
        <v>1806</v>
      </c>
      <c r="E3664" s="9">
        <v>45170</v>
      </c>
      <c r="F3664" s="9">
        <v>45199</v>
      </c>
      <c r="G3664">
        <v>3156600</v>
      </c>
      <c r="H3664">
        <v>750</v>
      </c>
      <c r="I3664">
        <v>0</v>
      </c>
      <c r="J3664">
        <v>0</v>
      </c>
      <c r="K3664">
        <v>0</v>
      </c>
      <c r="L3664">
        <v>23190</v>
      </c>
      <c r="M3664">
        <v>0</v>
      </c>
      <c r="T3664" s="9">
        <v>45108</v>
      </c>
      <c r="U3664" s="9">
        <v>45473</v>
      </c>
      <c r="V3664">
        <f>SUM(POTABLE_NONPOTABLE_API[[#This Row],[RESIDENTIAL_SINGLEFAMILY_GAL]:[OTHER_GAL]])</f>
        <v>3180540</v>
      </c>
      <c r="W3664">
        <f>SUM(POTABLE_NONPOTABLE_API[[#This Row],[NONPOTABLE_DEMAND_RESIDENTIAL_RECYCLED_WATER_GAL]:[NONPOTABLE_DEMAND_NONRESIDENTIAL_METERED_IRRIGATION_GAL]])</f>
        <v>0</v>
      </c>
      <c r="X3664" t="str">
        <f>IFERROR(INDEX(Crosswalk_API!$H$2:$H$527, MATCH(POTABLE_NONPOTABLE_API[[#This Row],[PWSID]], CW_PWSID_LIST, 0)), "")</f>
        <v>No</v>
      </c>
    </row>
    <row r="3665" spans="1:24" x14ac:dyDescent="0.25">
      <c r="A3665" t="s">
        <v>1792</v>
      </c>
      <c r="B3665" t="s">
        <v>1793</v>
      </c>
      <c r="C3665" t="s">
        <v>1805</v>
      </c>
      <c r="D3665" t="s">
        <v>1806</v>
      </c>
      <c r="E3665" s="9">
        <v>45200</v>
      </c>
      <c r="F3665" s="9">
        <v>45230</v>
      </c>
      <c r="G3665">
        <v>184010</v>
      </c>
      <c r="H3665">
        <v>0</v>
      </c>
      <c r="I3665">
        <v>750</v>
      </c>
      <c r="J3665">
        <v>0</v>
      </c>
      <c r="K3665">
        <v>0</v>
      </c>
      <c r="L3665">
        <v>11970</v>
      </c>
      <c r="M3665">
        <v>0</v>
      </c>
      <c r="T3665" s="9">
        <v>45108</v>
      </c>
      <c r="U3665" s="9">
        <v>45473</v>
      </c>
      <c r="V3665">
        <f>SUM(POTABLE_NONPOTABLE_API[[#This Row],[RESIDENTIAL_SINGLEFAMILY_GAL]:[OTHER_GAL]])</f>
        <v>196730</v>
      </c>
      <c r="W3665">
        <f>SUM(POTABLE_NONPOTABLE_API[[#This Row],[NONPOTABLE_DEMAND_RESIDENTIAL_RECYCLED_WATER_GAL]:[NONPOTABLE_DEMAND_NONRESIDENTIAL_METERED_IRRIGATION_GAL]])</f>
        <v>0</v>
      </c>
      <c r="X3665" t="str">
        <f>IFERROR(INDEX(Crosswalk_API!$H$2:$H$527, MATCH(POTABLE_NONPOTABLE_API[[#This Row],[PWSID]], CW_PWSID_LIST, 0)), "")</f>
        <v>No</v>
      </c>
    </row>
    <row r="3666" spans="1:24" x14ac:dyDescent="0.25">
      <c r="A3666" t="s">
        <v>1792</v>
      </c>
      <c r="B3666" t="s">
        <v>1793</v>
      </c>
      <c r="C3666" t="s">
        <v>1805</v>
      </c>
      <c r="D3666" t="s">
        <v>1806</v>
      </c>
      <c r="E3666" s="9">
        <v>45231</v>
      </c>
      <c r="F3666" s="9">
        <v>45260</v>
      </c>
      <c r="G3666">
        <v>201210</v>
      </c>
      <c r="H3666">
        <v>0</v>
      </c>
      <c r="I3666">
        <v>750</v>
      </c>
      <c r="J3666">
        <v>0</v>
      </c>
      <c r="K3666">
        <v>0</v>
      </c>
      <c r="L3666">
        <v>0</v>
      </c>
      <c r="M3666">
        <v>0</v>
      </c>
      <c r="T3666" s="9">
        <v>45108</v>
      </c>
      <c r="U3666" s="9">
        <v>45473</v>
      </c>
      <c r="V3666">
        <f>SUM(POTABLE_NONPOTABLE_API[[#This Row],[RESIDENTIAL_SINGLEFAMILY_GAL]:[OTHER_GAL]])</f>
        <v>201960</v>
      </c>
      <c r="W3666">
        <f>SUM(POTABLE_NONPOTABLE_API[[#This Row],[NONPOTABLE_DEMAND_RESIDENTIAL_RECYCLED_WATER_GAL]:[NONPOTABLE_DEMAND_NONRESIDENTIAL_METERED_IRRIGATION_GAL]])</f>
        <v>0</v>
      </c>
      <c r="X3666" t="str">
        <f>IFERROR(INDEX(Crosswalk_API!$H$2:$H$527, MATCH(POTABLE_NONPOTABLE_API[[#This Row],[PWSID]], CW_PWSID_LIST, 0)), "")</f>
        <v>No</v>
      </c>
    </row>
    <row r="3667" spans="1:24" x14ac:dyDescent="0.25">
      <c r="A3667" t="s">
        <v>1792</v>
      </c>
      <c r="B3667" t="s">
        <v>1793</v>
      </c>
      <c r="C3667" t="s">
        <v>1805</v>
      </c>
      <c r="D3667" t="s">
        <v>1806</v>
      </c>
      <c r="E3667" s="9">
        <v>45261</v>
      </c>
      <c r="F3667" s="9">
        <v>45291</v>
      </c>
      <c r="G3667">
        <v>171290</v>
      </c>
      <c r="H3667">
        <v>0</v>
      </c>
      <c r="I3667">
        <v>750</v>
      </c>
      <c r="J3667">
        <v>0</v>
      </c>
      <c r="K3667">
        <v>0</v>
      </c>
      <c r="L3667">
        <v>142100</v>
      </c>
      <c r="M3667">
        <v>0</v>
      </c>
      <c r="T3667" s="9">
        <v>45108</v>
      </c>
      <c r="U3667" s="9">
        <v>45473</v>
      </c>
      <c r="V3667">
        <f>SUM(POTABLE_NONPOTABLE_API[[#This Row],[RESIDENTIAL_SINGLEFAMILY_GAL]:[OTHER_GAL]])</f>
        <v>314140</v>
      </c>
      <c r="W3667">
        <f>SUM(POTABLE_NONPOTABLE_API[[#This Row],[NONPOTABLE_DEMAND_RESIDENTIAL_RECYCLED_WATER_GAL]:[NONPOTABLE_DEMAND_NONRESIDENTIAL_METERED_IRRIGATION_GAL]])</f>
        <v>0</v>
      </c>
      <c r="X3667" t="str">
        <f>IFERROR(INDEX(Crosswalk_API!$H$2:$H$527, MATCH(POTABLE_NONPOTABLE_API[[#This Row],[PWSID]], CW_PWSID_LIST, 0)), "")</f>
        <v>No</v>
      </c>
    </row>
    <row r="3668" spans="1:24" x14ac:dyDescent="0.25">
      <c r="A3668" t="s">
        <v>1792</v>
      </c>
      <c r="B3668" t="s">
        <v>1793</v>
      </c>
      <c r="C3668" t="s">
        <v>1805</v>
      </c>
      <c r="D3668" t="s">
        <v>1806</v>
      </c>
      <c r="E3668" s="9">
        <v>45292</v>
      </c>
      <c r="F3668" s="9">
        <v>45322</v>
      </c>
      <c r="G3668">
        <v>142120</v>
      </c>
      <c r="H3668">
        <v>0</v>
      </c>
      <c r="I3668">
        <v>0</v>
      </c>
      <c r="J3668">
        <v>0</v>
      </c>
      <c r="K3668">
        <v>0</v>
      </c>
      <c r="L3668">
        <v>11220</v>
      </c>
      <c r="M3668">
        <v>0</v>
      </c>
      <c r="T3668" s="9">
        <v>45108</v>
      </c>
      <c r="U3668" s="9">
        <v>45473</v>
      </c>
      <c r="V3668">
        <f>SUM(POTABLE_NONPOTABLE_API[[#This Row],[RESIDENTIAL_SINGLEFAMILY_GAL]:[OTHER_GAL]])</f>
        <v>153340</v>
      </c>
      <c r="W3668">
        <f>SUM(POTABLE_NONPOTABLE_API[[#This Row],[NONPOTABLE_DEMAND_RESIDENTIAL_RECYCLED_WATER_GAL]:[NONPOTABLE_DEMAND_NONRESIDENTIAL_METERED_IRRIGATION_GAL]])</f>
        <v>0</v>
      </c>
      <c r="X3668" t="str">
        <f>IFERROR(INDEX(Crosswalk_API!$H$2:$H$527, MATCH(POTABLE_NONPOTABLE_API[[#This Row],[PWSID]], CW_PWSID_LIST, 0)), "")</f>
        <v>No</v>
      </c>
    </row>
    <row r="3669" spans="1:24" x14ac:dyDescent="0.25">
      <c r="A3669" t="s">
        <v>1792</v>
      </c>
      <c r="B3669" t="s">
        <v>1793</v>
      </c>
      <c r="C3669" t="s">
        <v>1805</v>
      </c>
      <c r="D3669" t="s">
        <v>1806</v>
      </c>
      <c r="E3669" s="9">
        <v>45323</v>
      </c>
      <c r="F3669" s="9">
        <v>45351</v>
      </c>
      <c r="G3669">
        <v>181020</v>
      </c>
      <c r="H3669">
        <v>0</v>
      </c>
      <c r="I3669">
        <v>0</v>
      </c>
      <c r="J3669">
        <v>0</v>
      </c>
      <c r="K3669">
        <v>0</v>
      </c>
      <c r="L3669">
        <v>0</v>
      </c>
      <c r="M3669">
        <v>0</v>
      </c>
      <c r="T3669" s="9">
        <v>45108</v>
      </c>
      <c r="U3669" s="9">
        <v>45473</v>
      </c>
      <c r="V3669">
        <f>SUM(POTABLE_NONPOTABLE_API[[#This Row],[RESIDENTIAL_SINGLEFAMILY_GAL]:[OTHER_GAL]])</f>
        <v>181020</v>
      </c>
      <c r="W3669">
        <f>SUM(POTABLE_NONPOTABLE_API[[#This Row],[NONPOTABLE_DEMAND_RESIDENTIAL_RECYCLED_WATER_GAL]:[NONPOTABLE_DEMAND_NONRESIDENTIAL_METERED_IRRIGATION_GAL]])</f>
        <v>0</v>
      </c>
      <c r="X3669" t="str">
        <f>IFERROR(INDEX(Crosswalk_API!$H$2:$H$527, MATCH(POTABLE_NONPOTABLE_API[[#This Row],[PWSID]], CW_PWSID_LIST, 0)), "")</f>
        <v>No</v>
      </c>
    </row>
    <row r="3670" spans="1:24" x14ac:dyDescent="0.25">
      <c r="A3670" t="s">
        <v>1792</v>
      </c>
      <c r="B3670" t="s">
        <v>1793</v>
      </c>
      <c r="C3670" t="s">
        <v>1805</v>
      </c>
      <c r="D3670" t="s">
        <v>1806</v>
      </c>
      <c r="E3670" s="9">
        <v>45352</v>
      </c>
      <c r="F3670" s="9">
        <v>45382</v>
      </c>
      <c r="G3670">
        <v>144360</v>
      </c>
      <c r="H3670">
        <v>0</v>
      </c>
      <c r="I3670">
        <v>0</v>
      </c>
      <c r="J3670">
        <v>0</v>
      </c>
      <c r="K3670">
        <v>0</v>
      </c>
      <c r="L3670">
        <v>0</v>
      </c>
      <c r="M3670">
        <v>0</v>
      </c>
      <c r="T3670" s="9">
        <v>45108</v>
      </c>
      <c r="U3670" s="9">
        <v>45473</v>
      </c>
      <c r="V3670">
        <f>SUM(POTABLE_NONPOTABLE_API[[#This Row],[RESIDENTIAL_SINGLEFAMILY_GAL]:[OTHER_GAL]])</f>
        <v>144360</v>
      </c>
      <c r="W3670">
        <f>SUM(POTABLE_NONPOTABLE_API[[#This Row],[NONPOTABLE_DEMAND_RESIDENTIAL_RECYCLED_WATER_GAL]:[NONPOTABLE_DEMAND_NONRESIDENTIAL_METERED_IRRIGATION_GAL]])</f>
        <v>0</v>
      </c>
      <c r="X3670" t="str">
        <f>IFERROR(INDEX(Crosswalk_API!$H$2:$H$527, MATCH(POTABLE_NONPOTABLE_API[[#This Row],[PWSID]], CW_PWSID_LIST, 0)), "")</f>
        <v>No</v>
      </c>
    </row>
    <row r="3671" spans="1:24" x14ac:dyDescent="0.25">
      <c r="A3671" t="s">
        <v>1792</v>
      </c>
      <c r="B3671" t="s">
        <v>1793</v>
      </c>
      <c r="C3671" t="s">
        <v>1805</v>
      </c>
      <c r="D3671" t="s">
        <v>1806</v>
      </c>
      <c r="E3671" s="9">
        <v>45383</v>
      </c>
      <c r="F3671" s="9">
        <v>45412</v>
      </c>
      <c r="G3671">
        <v>163810</v>
      </c>
      <c r="H3671">
        <v>0</v>
      </c>
      <c r="I3671">
        <v>1500</v>
      </c>
      <c r="J3671">
        <v>0</v>
      </c>
      <c r="K3671">
        <v>0</v>
      </c>
      <c r="L3671">
        <v>0</v>
      </c>
      <c r="M3671">
        <v>0</v>
      </c>
      <c r="T3671" s="9">
        <v>45108</v>
      </c>
      <c r="U3671" s="9">
        <v>45473</v>
      </c>
      <c r="V3671">
        <f>SUM(POTABLE_NONPOTABLE_API[[#This Row],[RESIDENTIAL_SINGLEFAMILY_GAL]:[OTHER_GAL]])</f>
        <v>165310</v>
      </c>
      <c r="W3671">
        <f>SUM(POTABLE_NONPOTABLE_API[[#This Row],[NONPOTABLE_DEMAND_RESIDENTIAL_RECYCLED_WATER_GAL]:[NONPOTABLE_DEMAND_NONRESIDENTIAL_METERED_IRRIGATION_GAL]])</f>
        <v>0</v>
      </c>
      <c r="X3671" t="str">
        <f>IFERROR(INDEX(Crosswalk_API!$H$2:$H$527, MATCH(POTABLE_NONPOTABLE_API[[#This Row],[PWSID]], CW_PWSID_LIST, 0)), "")</f>
        <v>No</v>
      </c>
    </row>
    <row r="3672" spans="1:24" x14ac:dyDescent="0.25">
      <c r="A3672" t="s">
        <v>1792</v>
      </c>
      <c r="B3672" t="s">
        <v>1793</v>
      </c>
      <c r="C3672" t="s">
        <v>1805</v>
      </c>
      <c r="D3672" t="s">
        <v>1806</v>
      </c>
      <c r="E3672" s="9">
        <v>45413</v>
      </c>
      <c r="F3672" s="9">
        <v>45443</v>
      </c>
      <c r="G3672">
        <v>298450</v>
      </c>
      <c r="H3672">
        <v>0</v>
      </c>
      <c r="I3672">
        <v>2240</v>
      </c>
      <c r="J3672">
        <v>0</v>
      </c>
      <c r="K3672">
        <v>0</v>
      </c>
      <c r="L3672">
        <v>0</v>
      </c>
      <c r="M3672">
        <v>0</v>
      </c>
      <c r="T3672" s="9">
        <v>45108</v>
      </c>
      <c r="U3672" s="9">
        <v>45473</v>
      </c>
      <c r="V3672">
        <f>SUM(POTABLE_NONPOTABLE_API[[#This Row],[RESIDENTIAL_SINGLEFAMILY_GAL]:[OTHER_GAL]])</f>
        <v>300690</v>
      </c>
      <c r="W3672">
        <f>SUM(POTABLE_NONPOTABLE_API[[#This Row],[NONPOTABLE_DEMAND_RESIDENTIAL_RECYCLED_WATER_GAL]:[NONPOTABLE_DEMAND_NONRESIDENTIAL_METERED_IRRIGATION_GAL]])</f>
        <v>0</v>
      </c>
      <c r="X3672" t="str">
        <f>IFERROR(INDEX(Crosswalk_API!$H$2:$H$527, MATCH(POTABLE_NONPOTABLE_API[[#This Row],[PWSID]], CW_PWSID_LIST, 0)), "")</f>
        <v>No</v>
      </c>
    </row>
    <row r="3673" spans="1:24" x14ac:dyDescent="0.25">
      <c r="A3673" t="s">
        <v>1792</v>
      </c>
      <c r="B3673" t="s">
        <v>1793</v>
      </c>
      <c r="C3673" t="s">
        <v>1805</v>
      </c>
      <c r="D3673" t="s">
        <v>1806</v>
      </c>
      <c r="E3673" s="9">
        <v>45444</v>
      </c>
      <c r="F3673" s="9">
        <v>45473</v>
      </c>
      <c r="G3673">
        <v>431600</v>
      </c>
      <c r="H3673">
        <v>0</v>
      </c>
      <c r="I3673">
        <v>750</v>
      </c>
      <c r="J3673">
        <v>0</v>
      </c>
      <c r="K3673">
        <v>0</v>
      </c>
      <c r="L3673">
        <v>0</v>
      </c>
      <c r="M3673">
        <v>0</v>
      </c>
      <c r="T3673" s="9">
        <v>45108</v>
      </c>
      <c r="U3673" s="9">
        <v>45473</v>
      </c>
      <c r="V3673">
        <f>SUM(POTABLE_NONPOTABLE_API[[#This Row],[RESIDENTIAL_SINGLEFAMILY_GAL]:[OTHER_GAL]])</f>
        <v>432350</v>
      </c>
      <c r="W3673">
        <f>SUM(POTABLE_NONPOTABLE_API[[#This Row],[NONPOTABLE_DEMAND_RESIDENTIAL_RECYCLED_WATER_GAL]:[NONPOTABLE_DEMAND_NONRESIDENTIAL_METERED_IRRIGATION_GAL]])</f>
        <v>0</v>
      </c>
      <c r="X3673" t="str">
        <f>IFERROR(INDEX(Crosswalk_API!$H$2:$H$527, MATCH(POTABLE_NONPOTABLE_API[[#This Row],[PWSID]], CW_PWSID_LIST, 0)), "")</f>
        <v>No</v>
      </c>
    </row>
    <row r="3674" spans="1:24" x14ac:dyDescent="0.25">
      <c r="A3674" t="s">
        <v>1807</v>
      </c>
      <c r="B3674" t="s">
        <v>1808</v>
      </c>
      <c r="C3674" t="s">
        <v>1809</v>
      </c>
      <c r="D3674" t="s">
        <v>1810</v>
      </c>
      <c r="E3674" s="9">
        <v>45108</v>
      </c>
      <c r="F3674" s="9">
        <v>45138</v>
      </c>
      <c r="G3674">
        <v>45545720</v>
      </c>
      <c r="H3674">
        <v>2395844</v>
      </c>
      <c r="I3674">
        <v>14697452</v>
      </c>
      <c r="J3674">
        <v>428604</v>
      </c>
      <c r="K3674">
        <v>5984504</v>
      </c>
      <c r="L3674">
        <v>0</v>
      </c>
      <c r="M3674">
        <v>0</v>
      </c>
      <c r="T3674" s="9">
        <v>45108</v>
      </c>
      <c r="U3674" s="9">
        <v>45473</v>
      </c>
      <c r="V3674">
        <f>SUM(POTABLE_NONPOTABLE_API[[#This Row],[RESIDENTIAL_SINGLEFAMILY_GAL]:[OTHER_GAL]])</f>
        <v>69052124</v>
      </c>
      <c r="W3674">
        <f>SUM(POTABLE_NONPOTABLE_API[[#This Row],[NONPOTABLE_DEMAND_RESIDENTIAL_RECYCLED_WATER_GAL]:[NONPOTABLE_DEMAND_NONRESIDENTIAL_METERED_IRRIGATION_GAL]])</f>
        <v>0</v>
      </c>
      <c r="X3674" t="str">
        <f>IFERROR(INDEX(Crosswalk_API!$H$2:$H$527, MATCH(POTABLE_NONPOTABLE_API[[#This Row],[PWSID]], CW_PWSID_LIST, 0)), "")</f>
        <v>No</v>
      </c>
    </row>
    <row r="3675" spans="1:24" x14ac:dyDescent="0.25">
      <c r="A3675" t="s">
        <v>1807</v>
      </c>
      <c r="B3675" t="s">
        <v>1808</v>
      </c>
      <c r="C3675" t="s">
        <v>1809</v>
      </c>
      <c r="D3675" t="s">
        <v>1810</v>
      </c>
      <c r="E3675" s="9">
        <v>45139</v>
      </c>
      <c r="F3675" s="9">
        <v>45169</v>
      </c>
      <c r="G3675">
        <v>48776332</v>
      </c>
      <c r="H3675">
        <v>2647920</v>
      </c>
      <c r="I3675">
        <v>15147749</v>
      </c>
      <c r="J3675">
        <v>415000</v>
      </c>
      <c r="K3675">
        <v>6973604</v>
      </c>
      <c r="L3675">
        <v>0</v>
      </c>
      <c r="M3675">
        <v>0</v>
      </c>
      <c r="T3675" s="9">
        <v>45108</v>
      </c>
      <c r="U3675" s="9">
        <v>45473</v>
      </c>
      <c r="V3675">
        <f>SUM(POTABLE_NONPOTABLE_API[[#This Row],[RESIDENTIAL_SINGLEFAMILY_GAL]:[OTHER_GAL]])</f>
        <v>73960605</v>
      </c>
      <c r="W3675">
        <f>SUM(POTABLE_NONPOTABLE_API[[#This Row],[NONPOTABLE_DEMAND_RESIDENTIAL_RECYCLED_WATER_GAL]:[NONPOTABLE_DEMAND_NONRESIDENTIAL_METERED_IRRIGATION_GAL]])</f>
        <v>0</v>
      </c>
      <c r="X3675" t="str">
        <f>IFERROR(INDEX(Crosswalk_API!$H$2:$H$527, MATCH(POTABLE_NONPOTABLE_API[[#This Row],[PWSID]], CW_PWSID_LIST, 0)), "")</f>
        <v>No</v>
      </c>
    </row>
    <row r="3676" spans="1:24" x14ac:dyDescent="0.25">
      <c r="A3676" t="s">
        <v>1807</v>
      </c>
      <c r="B3676" t="s">
        <v>1808</v>
      </c>
      <c r="C3676" t="s">
        <v>1809</v>
      </c>
      <c r="D3676" t="s">
        <v>1810</v>
      </c>
      <c r="E3676" s="9">
        <v>45170</v>
      </c>
      <c r="F3676" s="9">
        <v>45199</v>
      </c>
      <c r="G3676">
        <v>45868108</v>
      </c>
      <c r="H3676">
        <v>2457180</v>
      </c>
      <c r="I3676">
        <v>12864104</v>
      </c>
      <c r="J3676">
        <v>582000</v>
      </c>
      <c r="K3676">
        <v>8289336</v>
      </c>
      <c r="L3676">
        <v>0</v>
      </c>
      <c r="M3676">
        <v>0</v>
      </c>
      <c r="T3676" s="9">
        <v>45108</v>
      </c>
      <c r="U3676" s="9">
        <v>45473</v>
      </c>
      <c r="V3676">
        <f>SUM(POTABLE_NONPOTABLE_API[[#This Row],[RESIDENTIAL_SINGLEFAMILY_GAL]:[OTHER_GAL]])</f>
        <v>70060728</v>
      </c>
      <c r="W3676">
        <f>SUM(POTABLE_NONPOTABLE_API[[#This Row],[NONPOTABLE_DEMAND_RESIDENTIAL_RECYCLED_WATER_GAL]:[NONPOTABLE_DEMAND_NONRESIDENTIAL_METERED_IRRIGATION_GAL]])</f>
        <v>0</v>
      </c>
      <c r="X3676" t="str">
        <f>IFERROR(INDEX(Crosswalk_API!$H$2:$H$527, MATCH(POTABLE_NONPOTABLE_API[[#This Row],[PWSID]], CW_PWSID_LIST, 0)), "")</f>
        <v>No</v>
      </c>
    </row>
    <row r="3677" spans="1:24" x14ac:dyDescent="0.25">
      <c r="A3677" t="s">
        <v>1807</v>
      </c>
      <c r="B3677" t="s">
        <v>1808</v>
      </c>
      <c r="C3677" t="s">
        <v>1809</v>
      </c>
      <c r="D3677" t="s">
        <v>1810</v>
      </c>
      <c r="E3677" s="9">
        <v>45200</v>
      </c>
      <c r="F3677" s="9">
        <v>45230</v>
      </c>
      <c r="G3677">
        <v>39874384</v>
      </c>
      <c r="H3677">
        <v>2250732</v>
      </c>
      <c r="I3677">
        <v>9986548</v>
      </c>
      <c r="J3677">
        <v>326876</v>
      </c>
      <c r="K3677">
        <v>7406696</v>
      </c>
      <c r="L3677">
        <v>0</v>
      </c>
      <c r="M3677">
        <v>0</v>
      </c>
      <c r="T3677" s="9">
        <v>45108</v>
      </c>
      <c r="U3677" s="9">
        <v>45473</v>
      </c>
      <c r="V3677">
        <f>SUM(POTABLE_NONPOTABLE_API[[#This Row],[RESIDENTIAL_SINGLEFAMILY_GAL]:[OTHER_GAL]])</f>
        <v>59845236</v>
      </c>
      <c r="W3677">
        <f>SUM(POTABLE_NONPOTABLE_API[[#This Row],[NONPOTABLE_DEMAND_RESIDENTIAL_RECYCLED_WATER_GAL]:[NONPOTABLE_DEMAND_NONRESIDENTIAL_METERED_IRRIGATION_GAL]])</f>
        <v>0</v>
      </c>
      <c r="X3677" t="str">
        <f>IFERROR(INDEX(Crosswalk_API!$H$2:$H$527, MATCH(POTABLE_NONPOTABLE_API[[#This Row],[PWSID]], CW_PWSID_LIST, 0)), "")</f>
        <v>No</v>
      </c>
    </row>
    <row r="3678" spans="1:24" x14ac:dyDescent="0.25">
      <c r="A3678" t="s">
        <v>1807</v>
      </c>
      <c r="B3678" t="s">
        <v>1808</v>
      </c>
      <c r="C3678" t="s">
        <v>1809</v>
      </c>
      <c r="D3678" t="s">
        <v>1810</v>
      </c>
      <c r="E3678" s="9">
        <v>45231</v>
      </c>
      <c r="F3678" s="9">
        <v>45260</v>
      </c>
      <c r="G3678">
        <v>32279940</v>
      </c>
      <c r="H3678">
        <v>1713668</v>
      </c>
      <c r="I3678">
        <v>8842108</v>
      </c>
      <c r="J3678">
        <v>372504</v>
      </c>
      <c r="K3678">
        <v>5076676</v>
      </c>
      <c r="L3678">
        <v>0</v>
      </c>
      <c r="M3678">
        <v>0</v>
      </c>
      <c r="T3678" s="9">
        <v>45108</v>
      </c>
      <c r="U3678" s="9">
        <v>45473</v>
      </c>
      <c r="V3678">
        <f>SUM(POTABLE_NONPOTABLE_API[[#This Row],[RESIDENTIAL_SINGLEFAMILY_GAL]:[OTHER_GAL]])</f>
        <v>48284896</v>
      </c>
      <c r="W3678">
        <f>SUM(POTABLE_NONPOTABLE_API[[#This Row],[NONPOTABLE_DEMAND_RESIDENTIAL_RECYCLED_WATER_GAL]:[NONPOTABLE_DEMAND_NONRESIDENTIAL_METERED_IRRIGATION_GAL]])</f>
        <v>0</v>
      </c>
      <c r="X3678" t="str">
        <f>IFERROR(INDEX(Crosswalk_API!$H$2:$H$527, MATCH(POTABLE_NONPOTABLE_API[[#This Row],[PWSID]], CW_PWSID_LIST, 0)), "")</f>
        <v>No</v>
      </c>
    </row>
    <row r="3679" spans="1:24" x14ac:dyDescent="0.25">
      <c r="A3679" t="s">
        <v>1807</v>
      </c>
      <c r="B3679" t="s">
        <v>1808</v>
      </c>
      <c r="C3679" t="s">
        <v>1809</v>
      </c>
      <c r="D3679" t="s">
        <v>1810</v>
      </c>
      <c r="E3679" s="9">
        <v>45261</v>
      </c>
      <c r="F3679" s="9">
        <v>45291</v>
      </c>
      <c r="G3679">
        <v>25785056</v>
      </c>
      <c r="H3679">
        <v>1647096</v>
      </c>
      <c r="I3679">
        <v>6211392</v>
      </c>
      <c r="J3679">
        <v>141372</v>
      </c>
      <c r="K3679">
        <v>5517996</v>
      </c>
      <c r="L3679">
        <v>0</v>
      </c>
      <c r="M3679">
        <v>0</v>
      </c>
      <c r="T3679" s="9">
        <v>45108</v>
      </c>
      <c r="U3679" s="9">
        <v>45473</v>
      </c>
      <c r="V3679">
        <f>SUM(POTABLE_NONPOTABLE_API[[#This Row],[RESIDENTIAL_SINGLEFAMILY_GAL]:[OTHER_GAL]])</f>
        <v>39302912</v>
      </c>
      <c r="W3679">
        <f>SUM(POTABLE_NONPOTABLE_API[[#This Row],[NONPOTABLE_DEMAND_RESIDENTIAL_RECYCLED_WATER_GAL]:[NONPOTABLE_DEMAND_NONRESIDENTIAL_METERED_IRRIGATION_GAL]])</f>
        <v>0</v>
      </c>
      <c r="X3679" t="str">
        <f>IFERROR(INDEX(Crosswalk_API!$H$2:$H$527, MATCH(POTABLE_NONPOTABLE_API[[#This Row],[PWSID]], CW_PWSID_LIST, 0)), "")</f>
        <v>No</v>
      </c>
    </row>
    <row r="3680" spans="1:24" x14ac:dyDescent="0.25">
      <c r="A3680" t="s">
        <v>1807</v>
      </c>
      <c r="B3680" t="s">
        <v>1808</v>
      </c>
      <c r="C3680" t="s">
        <v>1809</v>
      </c>
      <c r="D3680" t="s">
        <v>1810</v>
      </c>
      <c r="E3680" s="9">
        <v>45292</v>
      </c>
      <c r="F3680" s="9">
        <v>45322</v>
      </c>
      <c r="G3680">
        <v>23158828</v>
      </c>
      <c r="H3680">
        <v>1330692</v>
      </c>
      <c r="I3680">
        <v>5013096</v>
      </c>
      <c r="J3680">
        <v>63580</v>
      </c>
      <c r="K3680">
        <v>6194936</v>
      </c>
      <c r="L3680">
        <v>0</v>
      </c>
      <c r="M3680">
        <v>0</v>
      </c>
      <c r="T3680" s="9">
        <v>45108</v>
      </c>
      <c r="U3680" s="9">
        <v>45473</v>
      </c>
      <c r="V3680">
        <f>SUM(POTABLE_NONPOTABLE_API[[#This Row],[RESIDENTIAL_SINGLEFAMILY_GAL]:[OTHER_GAL]])</f>
        <v>35761132</v>
      </c>
      <c r="W3680">
        <f>SUM(POTABLE_NONPOTABLE_API[[#This Row],[NONPOTABLE_DEMAND_RESIDENTIAL_RECYCLED_WATER_GAL]:[NONPOTABLE_DEMAND_NONRESIDENTIAL_METERED_IRRIGATION_GAL]])</f>
        <v>0</v>
      </c>
      <c r="X3680" t="str">
        <f>IFERROR(INDEX(Crosswalk_API!$H$2:$H$527, MATCH(POTABLE_NONPOTABLE_API[[#This Row],[PWSID]], CW_PWSID_LIST, 0)), "")</f>
        <v>No</v>
      </c>
    </row>
    <row r="3681" spans="1:24" x14ac:dyDescent="0.25">
      <c r="A3681" t="s">
        <v>1807</v>
      </c>
      <c r="B3681" t="s">
        <v>1808</v>
      </c>
      <c r="C3681" t="s">
        <v>1809</v>
      </c>
      <c r="D3681" t="s">
        <v>1810</v>
      </c>
      <c r="E3681" s="9">
        <v>45323</v>
      </c>
      <c r="F3681" s="9">
        <v>45351</v>
      </c>
      <c r="G3681">
        <v>19749448</v>
      </c>
      <c r="H3681">
        <v>1237192</v>
      </c>
      <c r="I3681">
        <v>4626380</v>
      </c>
      <c r="J3681">
        <v>19448</v>
      </c>
      <c r="K3681">
        <v>6412604</v>
      </c>
      <c r="L3681">
        <v>0</v>
      </c>
      <c r="M3681">
        <v>0</v>
      </c>
      <c r="T3681" s="9">
        <v>45108</v>
      </c>
      <c r="U3681" s="9">
        <v>45473</v>
      </c>
      <c r="V3681">
        <f>SUM(POTABLE_NONPOTABLE_API[[#This Row],[RESIDENTIAL_SINGLEFAMILY_GAL]:[OTHER_GAL]])</f>
        <v>32045072</v>
      </c>
      <c r="W3681">
        <f>SUM(POTABLE_NONPOTABLE_API[[#This Row],[NONPOTABLE_DEMAND_RESIDENTIAL_RECYCLED_WATER_GAL]:[NONPOTABLE_DEMAND_NONRESIDENTIAL_METERED_IRRIGATION_GAL]])</f>
        <v>0</v>
      </c>
      <c r="X3681" t="str">
        <f>IFERROR(INDEX(Crosswalk_API!$H$2:$H$527, MATCH(POTABLE_NONPOTABLE_API[[#This Row],[PWSID]], CW_PWSID_LIST, 0)), "")</f>
        <v>No</v>
      </c>
    </row>
    <row r="3682" spans="1:24" x14ac:dyDescent="0.25">
      <c r="A3682" t="s">
        <v>1807</v>
      </c>
      <c r="B3682" t="s">
        <v>1808</v>
      </c>
      <c r="C3682" t="s">
        <v>1809</v>
      </c>
      <c r="D3682" t="s">
        <v>1810</v>
      </c>
      <c r="E3682" s="9">
        <v>45352</v>
      </c>
      <c r="F3682" s="9">
        <v>45382</v>
      </c>
      <c r="G3682">
        <v>19474180</v>
      </c>
      <c r="H3682">
        <v>982872</v>
      </c>
      <c r="I3682">
        <v>5179000</v>
      </c>
      <c r="J3682">
        <v>18700</v>
      </c>
      <c r="K3682">
        <v>4680236</v>
      </c>
      <c r="L3682">
        <v>0</v>
      </c>
      <c r="M3682">
        <v>0</v>
      </c>
      <c r="T3682" s="9">
        <v>45108</v>
      </c>
      <c r="U3682" s="9">
        <v>45473</v>
      </c>
      <c r="V3682">
        <f>SUM(POTABLE_NONPOTABLE_API[[#This Row],[RESIDENTIAL_SINGLEFAMILY_GAL]:[OTHER_GAL]])</f>
        <v>30334988</v>
      </c>
      <c r="W3682">
        <f>SUM(POTABLE_NONPOTABLE_API[[#This Row],[NONPOTABLE_DEMAND_RESIDENTIAL_RECYCLED_WATER_GAL]:[NONPOTABLE_DEMAND_NONRESIDENTIAL_METERED_IRRIGATION_GAL]])</f>
        <v>0</v>
      </c>
      <c r="X3682" t="str">
        <f>IFERROR(INDEX(Crosswalk_API!$H$2:$H$527, MATCH(POTABLE_NONPOTABLE_API[[#This Row],[PWSID]], CW_PWSID_LIST, 0)), "")</f>
        <v>No</v>
      </c>
    </row>
    <row r="3683" spans="1:24" x14ac:dyDescent="0.25">
      <c r="A3683" t="s">
        <v>1807</v>
      </c>
      <c r="B3683" t="s">
        <v>1808</v>
      </c>
      <c r="C3683" t="s">
        <v>1809</v>
      </c>
      <c r="D3683" t="s">
        <v>1810</v>
      </c>
      <c r="E3683" s="9">
        <v>45383</v>
      </c>
      <c r="F3683" s="9">
        <v>45412</v>
      </c>
      <c r="G3683">
        <v>24461096</v>
      </c>
      <c r="H3683">
        <v>1261128</v>
      </c>
      <c r="I3683">
        <v>6021400</v>
      </c>
      <c r="J3683">
        <v>156332</v>
      </c>
      <c r="K3683">
        <v>7065608</v>
      </c>
      <c r="L3683">
        <v>0</v>
      </c>
      <c r="M3683">
        <v>0</v>
      </c>
      <c r="T3683" s="9">
        <v>45108</v>
      </c>
      <c r="U3683" s="9">
        <v>45473</v>
      </c>
      <c r="V3683">
        <f>SUM(POTABLE_NONPOTABLE_API[[#This Row],[RESIDENTIAL_SINGLEFAMILY_GAL]:[OTHER_GAL]])</f>
        <v>38965564</v>
      </c>
      <c r="W3683">
        <f>SUM(POTABLE_NONPOTABLE_API[[#This Row],[NONPOTABLE_DEMAND_RESIDENTIAL_RECYCLED_WATER_GAL]:[NONPOTABLE_DEMAND_NONRESIDENTIAL_METERED_IRRIGATION_GAL]])</f>
        <v>0</v>
      </c>
      <c r="X3683" t="str">
        <f>IFERROR(INDEX(Crosswalk_API!$H$2:$H$527, MATCH(POTABLE_NONPOTABLE_API[[#This Row],[PWSID]], CW_PWSID_LIST, 0)), "")</f>
        <v>No</v>
      </c>
    </row>
    <row r="3684" spans="1:24" x14ac:dyDescent="0.25">
      <c r="A3684" t="s">
        <v>1807</v>
      </c>
      <c r="B3684" t="s">
        <v>1808</v>
      </c>
      <c r="C3684" t="s">
        <v>1809</v>
      </c>
      <c r="D3684" t="s">
        <v>1810</v>
      </c>
      <c r="E3684" s="9">
        <v>45413</v>
      </c>
      <c r="F3684" s="9">
        <v>45443</v>
      </c>
      <c r="G3684">
        <v>28902720</v>
      </c>
      <c r="H3684">
        <v>1588004</v>
      </c>
      <c r="I3684">
        <v>8110876</v>
      </c>
      <c r="J3684">
        <v>193732</v>
      </c>
      <c r="K3684">
        <v>6928724</v>
      </c>
      <c r="L3684">
        <v>0</v>
      </c>
      <c r="M3684">
        <v>0</v>
      </c>
      <c r="T3684" s="9">
        <v>45108</v>
      </c>
      <c r="U3684" s="9">
        <v>45473</v>
      </c>
      <c r="V3684">
        <f>SUM(POTABLE_NONPOTABLE_API[[#This Row],[RESIDENTIAL_SINGLEFAMILY_GAL]:[OTHER_GAL]])</f>
        <v>45724056</v>
      </c>
      <c r="W3684">
        <f>SUM(POTABLE_NONPOTABLE_API[[#This Row],[NONPOTABLE_DEMAND_RESIDENTIAL_RECYCLED_WATER_GAL]:[NONPOTABLE_DEMAND_NONRESIDENTIAL_METERED_IRRIGATION_GAL]])</f>
        <v>0</v>
      </c>
      <c r="X3684" t="str">
        <f>IFERROR(INDEX(Crosswalk_API!$H$2:$H$527, MATCH(POTABLE_NONPOTABLE_API[[#This Row],[PWSID]], CW_PWSID_LIST, 0)), "")</f>
        <v>No</v>
      </c>
    </row>
    <row r="3685" spans="1:24" x14ac:dyDescent="0.25">
      <c r="A3685" t="s">
        <v>1807</v>
      </c>
      <c r="B3685" t="s">
        <v>1808</v>
      </c>
      <c r="C3685" t="s">
        <v>1809</v>
      </c>
      <c r="D3685" t="s">
        <v>1810</v>
      </c>
      <c r="E3685" s="9">
        <v>45444</v>
      </c>
      <c r="F3685" s="9">
        <v>45473</v>
      </c>
      <c r="G3685">
        <v>45776852</v>
      </c>
      <c r="H3685">
        <v>2823700</v>
      </c>
      <c r="I3685">
        <v>15199360</v>
      </c>
      <c r="J3685">
        <v>430100</v>
      </c>
      <c r="K3685">
        <v>7693180</v>
      </c>
      <c r="L3685">
        <v>0</v>
      </c>
      <c r="M3685">
        <v>0</v>
      </c>
      <c r="T3685" s="9">
        <v>45108</v>
      </c>
      <c r="U3685" s="9">
        <v>45473</v>
      </c>
      <c r="V3685">
        <f>SUM(POTABLE_NONPOTABLE_API[[#This Row],[RESIDENTIAL_SINGLEFAMILY_GAL]:[OTHER_GAL]])</f>
        <v>71923192</v>
      </c>
      <c r="W3685">
        <f>SUM(POTABLE_NONPOTABLE_API[[#This Row],[NONPOTABLE_DEMAND_RESIDENTIAL_RECYCLED_WATER_GAL]:[NONPOTABLE_DEMAND_NONRESIDENTIAL_METERED_IRRIGATION_GAL]])</f>
        <v>0</v>
      </c>
      <c r="X3685" t="str">
        <f>IFERROR(INDEX(Crosswalk_API!$H$2:$H$527, MATCH(POTABLE_NONPOTABLE_API[[#This Row],[PWSID]], CW_PWSID_LIST, 0)), "")</f>
        <v>No</v>
      </c>
    </row>
    <row r="3686" spans="1:24" x14ac:dyDescent="0.25">
      <c r="A3686" t="s">
        <v>1811</v>
      </c>
      <c r="B3686" t="s">
        <v>1812</v>
      </c>
      <c r="C3686" t="s">
        <v>1813</v>
      </c>
      <c r="D3686" t="s">
        <v>1814</v>
      </c>
      <c r="E3686" s="9">
        <v>45108</v>
      </c>
      <c r="F3686" s="9">
        <v>45138</v>
      </c>
      <c r="G3686">
        <v>191060518</v>
      </c>
      <c r="H3686">
        <v>50041873.200000003</v>
      </c>
      <c r="I3686">
        <v>85133395.599999994</v>
      </c>
      <c r="J3686">
        <v>96147172</v>
      </c>
      <c r="K3686">
        <v>0</v>
      </c>
      <c r="L3686">
        <v>0</v>
      </c>
      <c r="M3686">
        <v>0</v>
      </c>
      <c r="N3686">
        <v>0</v>
      </c>
      <c r="O3686">
        <v>0</v>
      </c>
      <c r="P3686">
        <v>0</v>
      </c>
      <c r="Q3686">
        <v>23410813.649999999</v>
      </c>
      <c r="R3686">
        <v>0</v>
      </c>
      <c r="S3686">
        <v>0</v>
      </c>
      <c r="T3686" s="9">
        <v>45108</v>
      </c>
      <c r="U3686" s="9">
        <v>45473</v>
      </c>
      <c r="V3686">
        <f>SUM(POTABLE_NONPOTABLE_API[[#This Row],[RESIDENTIAL_SINGLEFAMILY_GAL]:[OTHER_GAL]])</f>
        <v>422382958.79999995</v>
      </c>
      <c r="W3686">
        <f>SUM(POTABLE_NONPOTABLE_API[[#This Row],[NONPOTABLE_DEMAND_RESIDENTIAL_RECYCLED_WATER_GAL]:[NONPOTABLE_DEMAND_NONRESIDENTIAL_METERED_IRRIGATION_GAL]])</f>
        <v>23410813.649999999</v>
      </c>
      <c r="X3686" t="str">
        <f>IFERROR(INDEX(Crosswalk_API!$H$2:$H$527, MATCH(POTABLE_NONPOTABLE_API[[#This Row],[PWSID]], CW_PWSID_LIST, 0)), "")</f>
        <v>No</v>
      </c>
    </row>
    <row r="3687" spans="1:24" x14ac:dyDescent="0.25">
      <c r="A3687" t="s">
        <v>1811</v>
      </c>
      <c r="B3687" t="s">
        <v>1812</v>
      </c>
      <c r="C3687" t="s">
        <v>1813</v>
      </c>
      <c r="D3687" t="s">
        <v>1814</v>
      </c>
      <c r="E3687" s="9">
        <v>45139</v>
      </c>
      <c r="F3687" s="9">
        <v>45169</v>
      </c>
      <c r="G3687">
        <v>187776835.40000001</v>
      </c>
      <c r="H3687">
        <v>49113680</v>
      </c>
      <c r="I3687">
        <v>81377912</v>
      </c>
      <c r="J3687">
        <v>84969396.599999994</v>
      </c>
      <c r="K3687">
        <v>0</v>
      </c>
      <c r="L3687">
        <v>0</v>
      </c>
      <c r="M3687">
        <v>0</v>
      </c>
      <c r="N3687">
        <v>0</v>
      </c>
      <c r="O3687">
        <v>0</v>
      </c>
      <c r="P3687">
        <v>0</v>
      </c>
      <c r="Q3687">
        <v>20774857</v>
      </c>
      <c r="R3687">
        <v>0</v>
      </c>
      <c r="S3687">
        <v>0</v>
      </c>
      <c r="T3687" s="9">
        <v>45108</v>
      </c>
      <c r="U3687" s="9">
        <v>45473</v>
      </c>
      <c r="V3687">
        <f>SUM(POTABLE_NONPOTABLE_API[[#This Row],[RESIDENTIAL_SINGLEFAMILY_GAL]:[OTHER_GAL]])</f>
        <v>403237824</v>
      </c>
      <c r="W3687">
        <f>SUM(POTABLE_NONPOTABLE_API[[#This Row],[NONPOTABLE_DEMAND_RESIDENTIAL_RECYCLED_WATER_GAL]:[NONPOTABLE_DEMAND_NONRESIDENTIAL_METERED_IRRIGATION_GAL]])</f>
        <v>20774857</v>
      </c>
      <c r="X3687" t="str">
        <f>IFERROR(INDEX(Crosswalk_API!$H$2:$H$527, MATCH(POTABLE_NONPOTABLE_API[[#This Row],[PWSID]], CW_PWSID_LIST, 0)), "")</f>
        <v>No</v>
      </c>
    </row>
    <row r="3688" spans="1:24" x14ac:dyDescent="0.25">
      <c r="A3688" t="s">
        <v>1811</v>
      </c>
      <c r="B3688" t="s">
        <v>1812</v>
      </c>
      <c r="C3688" t="s">
        <v>1813</v>
      </c>
      <c r="D3688" t="s">
        <v>1814</v>
      </c>
      <c r="E3688" s="9">
        <v>45170</v>
      </c>
      <c r="F3688" s="9">
        <v>45199</v>
      </c>
      <c r="G3688">
        <v>180424257.19999999</v>
      </c>
      <c r="H3688">
        <v>48462321.600000001</v>
      </c>
      <c r="I3688">
        <v>76082184.200000003</v>
      </c>
      <c r="J3688">
        <v>76063147.599999994</v>
      </c>
      <c r="K3688">
        <v>0</v>
      </c>
      <c r="L3688">
        <v>0</v>
      </c>
      <c r="M3688">
        <v>0</v>
      </c>
      <c r="N3688">
        <v>0</v>
      </c>
      <c r="O3688">
        <v>0</v>
      </c>
      <c r="P3688">
        <v>0</v>
      </c>
      <c r="Q3688">
        <v>16728060.859999999</v>
      </c>
      <c r="R3688">
        <v>0</v>
      </c>
      <c r="S3688">
        <v>0</v>
      </c>
      <c r="T3688" s="9">
        <v>45108</v>
      </c>
      <c r="U3688" s="9">
        <v>45473</v>
      </c>
      <c r="V3688">
        <f>SUM(POTABLE_NONPOTABLE_API[[#This Row],[RESIDENTIAL_SINGLEFAMILY_GAL]:[OTHER_GAL]])</f>
        <v>381031910.60000002</v>
      </c>
      <c r="W3688">
        <f>SUM(POTABLE_NONPOTABLE_API[[#This Row],[NONPOTABLE_DEMAND_RESIDENTIAL_RECYCLED_WATER_GAL]:[NONPOTABLE_DEMAND_NONRESIDENTIAL_METERED_IRRIGATION_GAL]])</f>
        <v>16728060.859999999</v>
      </c>
      <c r="X3688" t="str">
        <f>IFERROR(INDEX(Crosswalk_API!$H$2:$H$527, MATCH(POTABLE_NONPOTABLE_API[[#This Row],[PWSID]], CW_PWSID_LIST, 0)), "")</f>
        <v>No</v>
      </c>
    </row>
    <row r="3689" spans="1:24" x14ac:dyDescent="0.25">
      <c r="A3689" t="s">
        <v>1811</v>
      </c>
      <c r="B3689" t="s">
        <v>1812</v>
      </c>
      <c r="C3689" t="s">
        <v>1813</v>
      </c>
      <c r="D3689" t="s">
        <v>1814</v>
      </c>
      <c r="E3689" s="9">
        <v>45200</v>
      </c>
      <c r="F3689" s="9">
        <v>45230</v>
      </c>
      <c r="G3689">
        <v>170677705</v>
      </c>
      <c r="H3689">
        <v>45610347.200000003</v>
      </c>
      <c r="I3689">
        <v>74244123.799999997</v>
      </c>
      <c r="J3689">
        <v>67392443.799999997</v>
      </c>
      <c r="K3689">
        <v>0</v>
      </c>
      <c r="L3689">
        <v>0</v>
      </c>
      <c r="M3689">
        <v>0</v>
      </c>
      <c r="N3689">
        <v>0</v>
      </c>
      <c r="O3689">
        <v>0</v>
      </c>
      <c r="P3689">
        <v>0</v>
      </c>
      <c r="Q3689">
        <v>13150458.439999999</v>
      </c>
      <c r="R3689">
        <v>0</v>
      </c>
      <c r="S3689">
        <v>0</v>
      </c>
      <c r="T3689" s="9">
        <v>45108</v>
      </c>
      <c r="U3689" s="9">
        <v>45473</v>
      </c>
      <c r="V3689">
        <f>SUM(POTABLE_NONPOTABLE_API[[#This Row],[RESIDENTIAL_SINGLEFAMILY_GAL]:[OTHER_GAL]])</f>
        <v>357924619.80000001</v>
      </c>
      <c r="W3689">
        <f>SUM(POTABLE_NONPOTABLE_API[[#This Row],[NONPOTABLE_DEMAND_RESIDENTIAL_RECYCLED_WATER_GAL]:[NONPOTABLE_DEMAND_NONRESIDENTIAL_METERED_IRRIGATION_GAL]])</f>
        <v>13150458.439999999</v>
      </c>
      <c r="X3689" t="str">
        <f>IFERROR(INDEX(Crosswalk_API!$H$2:$H$527, MATCH(POTABLE_NONPOTABLE_API[[#This Row],[PWSID]], CW_PWSID_LIST, 0)), "")</f>
        <v>No</v>
      </c>
    </row>
    <row r="3690" spans="1:24" x14ac:dyDescent="0.25">
      <c r="A3690" t="s">
        <v>1811</v>
      </c>
      <c r="B3690" t="s">
        <v>1812</v>
      </c>
      <c r="C3690" t="s">
        <v>1813</v>
      </c>
      <c r="D3690" t="s">
        <v>1814</v>
      </c>
      <c r="E3690" s="9">
        <v>45231</v>
      </c>
      <c r="F3690" s="9">
        <v>45260</v>
      </c>
      <c r="G3690">
        <v>151477704.40000001</v>
      </c>
      <c r="H3690">
        <v>42860400</v>
      </c>
      <c r="I3690">
        <v>64336452.399999999</v>
      </c>
      <c r="J3690">
        <v>57443258.399999999</v>
      </c>
      <c r="K3690">
        <v>0</v>
      </c>
      <c r="L3690">
        <v>0</v>
      </c>
      <c r="M3690">
        <v>0</v>
      </c>
      <c r="N3690">
        <v>0</v>
      </c>
      <c r="O3690">
        <v>0</v>
      </c>
      <c r="P3690">
        <v>0</v>
      </c>
      <c r="Q3690">
        <v>9735771</v>
      </c>
      <c r="R3690">
        <v>0</v>
      </c>
      <c r="S3690">
        <v>0</v>
      </c>
      <c r="T3690" s="9">
        <v>45108</v>
      </c>
      <c r="U3690" s="9">
        <v>45473</v>
      </c>
      <c r="V3690">
        <f>SUM(POTABLE_NONPOTABLE_API[[#This Row],[RESIDENTIAL_SINGLEFAMILY_GAL]:[OTHER_GAL]])</f>
        <v>316117815.19999999</v>
      </c>
      <c r="W3690">
        <f>SUM(POTABLE_NONPOTABLE_API[[#This Row],[NONPOTABLE_DEMAND_RESIDENTIAL_RECYCLED_WATER_GAL]:[NONPOTABLE_DEMAND_NONRESIDENTIAL_METERED_IRRIGATION_GAL]])</f>
        <v>9735771</v>
      </c>
      <c r="X3690" t="str">
        <f>IFERROR(INDEX(Crosswalk_API!$H$2:$H$527, MATCH(POTABLE_NONPOTABLE_API[[#This Row],[PWSID]], CW_PWSID_LIST, 0)), "")</f>
        <v>No</v>
      </c>
    </row>
    <row r="3691" spans="1:24" x14ac:dyDescent="0.25">
      <c r="A3691" t="s">
        <v>1811</v>
      </c>
      <c r="B3691" t="s">
        <v>1812</v>
      </c>
      <c r="C3691" t="s">
        <v>1813</v>
      </c>
      <c r="D3691" t="s">
        <v>1814</v>
      </c>
      <c r="E3691" s="9">
        <v>45261</v>
      </c>
      <c r="F3691" s="9">
        <v>45291</v>
      </c>
      <c r="G3691">
        <v>140484373.75999999</v>
      </c>
      <c r="H3691">
        <v>41946402.490000002</v>
      </c>
      <c r="I3691">
        <v>58969246.829999998</v>
      </c>
      <c r="J3691">
        <v>31330349.710000001</v>
      </c>
      <c r="K3691">
        <v>0</v>
      </c>
      <c r="L3691">
        <v>0</v>
      </c>
      <c r="M3691">
        <v>0</v>
      </c>
      <c r="N3691">
        <v>0</v>
      </c>
      <c r="O3691">
        <v>0</v>
      </c>
      <c r="P3691">
        <v>0</v>
      </c>
      <c r="Q3691">
        <v>4092412.2</v>
      </c>
      <c r="R3691">
        <v>0</v>
      </c>
      <c r="S3691">
        <v>0</v>
      </c>
      <c r="T3691" s="9">
        <v>45108</v>
      </c>
      <c r="U3691" s="9">
        <v>45473</v>
      </c>
      <c r="V3691">
        <f>SUM(POTABLE_NONPOTABLE_API[[#This Row],[RESIDENTIAL_SINGLEFAMILY_GAL]:[OTHER_GAL]])</f>
        <v>272730372.78999996</v>
      </c>
      <c r="W3691">
        <f>SUM(POTABLE_NONPOTABLE_API[[#This Row],[NONPOTABLE_DEMAND_RESIDENTIAL_RECYCLED_WATER_GAL]:[NONPOTABLE_DEMAND_NONRESIDENTIAL_METERED_IRRIGATION_GAL]])</f>
        <v>4092412.2</v>
      </c>
      <c r="X3691" t="str">
        <f>IFERROR(INDEX(Crosswalk_API!$H$2:$H$527, MATCH(POTABLE_NONPOTABLE_API[[#This Row],[PWSID]], CW_PWSID_LIST, 0)), "")</f>
        <v>No</v>
      </c>
    </row>
    <row r="3692" spans="1:24" x14ac:dyDescent="0.25">
      <c r="A3692" t="s">
        <v>1811</v>
      </c>
      <c r="B3692" t="s">
        <v>1812</v>
      </c>
      <c r="C3692" t="s">
        <v>1813</v>
      </c>
      <c r="D3692" t="s">
        <v>1814</v>
      </c>
      <c r="E3692" s="9">
        <v>45292</v>
      </c>
      <c r="F3692" s="9">
        <v>45322</v>
      </c>
      <c r="G3692">
        <v>123744441.59999999</v>
      </c>
      <c r="H3692">
        <v>40252492.799999997</v>
      </c>
      <c r="I3692">
        <v>52518585.600000001</v>
      </c>
      <c r="J3692">
        <v>15112281.6</v>
      </c>
      <c r="K3692">
        <v>0</v>
      </c>
      <c r="L3692">
        <v>0</v>
      </c>
      <c r="M3692">
        <v>0</v>
      </c>
      <c r="N3692">
        <v>0</v>
      </c>
      <c r="O3692">
        <v>0</v>
      </c>
      <c r="P3692">
        <v>0</v>
      </c>
      <c r="Q3692">
        <v>716823.8</v>
      </c>
      <c r="R3692">
        <v>0</v>
      </c>
      <c r="S3692">
        <v>0</v>
      </c>
      <c r="T3692" s="9">
        <v>45108</v>
      </c>
      <c r="U3692" s="9">
        <v>45473</v>
      </c>
      <c r="V3692">
        <f>SUM(POTABLE_NONPOTABLE_API[[#This Row],[RESIDENTIAL_SINGLEFAMILY_GAL]:[OTHER_GAL]])</f>
        <v>231627801.59999996</v>
      </c>
      <c r="W3692">
        <f>SUM(POTABLE_NONPOTABLE_API[[#This Row],[NONPOTABLE_DEMAND_RESIDENTIAL_RECYCLED_WATER_GAL]:[NONPOTABLE_DEMAND_NONRESIDENTIAL_METERED_IRRIGATION_GAL]])</f>
        <v>716823.8</v>
      </c>
      <c r="X3692" t="str">
        <f>IFERROR(INDEX(Crosswalk_API!$H$2:$H$527, MATCH(POTABLE_NONPOTABLE_API[[#This Row],[PWSID]], CW_PWSID_LIST, 0)), "")</f>
        <v>No</v>
      </c>
    </row>
    <row r="3693" spans="1:24" x14ac:dyDescent="0.25">
      <c r="A3693" t="s">
        <v>1811</v>
      </c>
      <c r="B3693" t="s">
        <v>1812</v>
      </c>
      <c r="C3693" t="s">
        <v>1813</v>
      </c>
      <c r="D3693" t="s">
        <v>1814</v>
      </c>
      <c r="E3693" s="9">
        <v>45323</v>
      </c>
      <c r="F3693" s="9">
        <v>45351</v>
      </c>
      <c r="G3693">
        <v>97402256.640000001</v>
      </c>
      <c r="H3693">
        <v>35991566.210000001</v>
      </c>
      <c r="I3693">
        <v>49024849.539999999</v>
      </c>
      <c r="J3693">
        <v>6458176.8600000003</v>
      </c>
      <c r="K3693">
        <v>0</v>
      </c>
      <c r="L3693">
        <v>0</v>
      </c>
      <c r="M3693">
        <v>0</v>
      </c>
      <c r="N3693">
        <v>0</v>
      </c>
      <c r="O3693">
        <v>0</v>
      </c>
      <c r="P3693">
        <v>0</v>
      </c>
      <c r="Q3693">
        <v>371445.06</v>
      </c>
      <c r="R3693">
        <v>0</v>
      </c>
      <c r="T3693" s="9">
        <v>45108</v>
      </c>
      <c r="U3693" s="9">
        <v>45473</v>
      </c>
      <c r="V3693">
        <f>SUM(POTABLE_NONPOTABLE_API[[#This Row],[RESIDENTIAL_SINGLEFAMILY_GAL]:[OTHER_GAL]])</f>
        <v>188876849.25</v>
      </c>
      <c r="W3693">
        <f>SUM(POTABLE_NONPOTABLE_API[[#This Row],[NONPOTABLE_DEMAND_RESIDENTIAL_RECYCLED_WATER_GAL]:[NONPOTABLE_DEMAND_NONRESIDENTIAL_METERED_IRRIGATION_GAL]])</f>
        <v>371445.06</v>
      </c>
      <c r="X3693" t="str">
        <f>IFERROR(INDEX(Crosswalk_API!$H$2:$H$527, MATCH(POTABLE_NONPOTABLE_API[[#This Row],[PWSID]], CW_PWSID_LIST, 0)), "")</f>
        <v>No</v>
      </c>
    </row>
    <row r="3694" spans="1:24" x14ac:dyDescent="0.25">
      <c r="A3694" t="s">
        <v>1811</v>
      </c>
      <c r="B3694" t="s">
        <v>1812</v>
      </c>
      <c r="C3694" t="s">
        <v>1813</v>
      </c>
      <c r="D3694" t="s">
        <v>1814</v>
      </c>
      <c r="E3694" s="9">
        <v>45352</v>
      </c>
      <c r="F3694" s="9">
        <v>45382</v>
      </c>
      <c r="G3694">
        <v>126576778.05</v>
      </c>
      <c r="H3694">
        <v>40766693.759999998</v>
      </c>
      <c r="I3694">
        <v>57133487.170000002</v>
      </c>
      <c r="J3694">
        <v>22125130.559999999</v>
      </c>
      <c r="K3694">
        <v>0</v>
      </c>
      <c r="L3694">
        <v>0</v>
      </c>
      <c r="M3694">
        <v>0</v>
      </c>
      <c r="N3694">
        <v>0</v>
      </c>
      <c r="O3694">
        <v>0</v>
      </c>
      <c r="P3694">
        <v>0</v>
      </c>
      <c r="Q3694">
        <v>2857520.33</v>
      </c>
      <c r="R3694">
        <v>0</v>
      </c>
      <c r="S3694">
        <v>0</v>
      </c>
      <c r="T3694" s="9">
        <v>45108</v>
      </c>
      <c r="U3694" s="9">
        <v>45473</v>
      </c>
      <c r="V3694">
        <f>SUM(POTABLE_NONPOTABLE_API[[#This Row],[RESIDENTIAL_SINGLEFAMILY_GAL]:[OTHER_GAL]])</f>
        <v>246602089.54000002</v>
      </c>
      <c r="W3694">
        <f>SUM(POTABLE_NONPOTABLE_API[[#This Row],[NONPOTABLE_DEMAND_RESIDENTIAL_RECYCLED_WATER_GAL]:[NONPOTABLE_DEMAND_NONRESIDENTIAL_METERED_IRRIGATION_GAL]])</f>
        <v>2857520.33</v>
      </c>
      <c r="X3694" t="str">
        <f>IFERROR(INDEX(Crosswalk_API!$H$2:$H$527, MATCH(POTABLE_NONPOTABLE_API[[#This Row],[PWSID]], CW_PWSID_LIST, 0)), "")</f>
        <v>No</v>
      </c>
    </row>
    <row r="3695" spans="1:24" x14ac:dyDescent="0.25">
      <c r="A3695" t="s">
        <v>1811</v>
      </c>
      <c r="B3695" t="s">
        <v>1812</v>
      </c>
      <c r="C3695" t="s">
        <v>1813</v>
      </c>
      <c r="D3695" t="s">
        <v>1814</v>
      </c>
      <c r="E3695" s="9">
        <v>45383</v>
      </c>
      <c r="F3695" s="9">
        <v>45412</v>
      </c>
      <c r="G3695">
        <v>125364096</v>
      </c>
      <c r="H3695">
        <v>38859724.799999997</v>
      </c>
      <c r="I3695">
        <v>58776307.200000003</v>
      </c>
      <c r="J3695">
        <v>35661600</v>
      </c>
      <c r="K3695">
        <v>0</v>
      </c>
      <c r="L3695">
        <v>0</v>
      </c>
      <c r="M3695">
        <v>0</v>
      </c>
      <c r="N3695">
        <v>0</v>
      </c>
      <c r="O3695">
        <v>0</v>
      </c>
      <c r="P3695">
        <v>0</v>
      </c>
      <c r="Q3695">
        <v>6578487.5099999998</v>
      </c>
      <c r="R3695">
        <v>0</v>
      </c>
      <c r="S3695">
        <v>0</v>
      </c>
      <c r="T3695" s="9">
        <v>45108</v>
      </c>
      <c r="U3695" s="9">
        <v>45473</v>
      </c>
      <c r="V3695">
        <f>SUM(POTABLE_NONPOTABLE_API[[#This Row],[RESIDENTIAL_SINGLEFAMILY_GAL]:[OTHER_GAL]])</f>
        <v>258661728</v>
      </c>
      <c r="W3695">
        <f>SUM(POTABLE_NONPOTABLE_API[[#This Row],[NONPOTABLE_DEMAND_RESIDENTIAL_RECYCLED_WATER_GAL]:[NONPOTABLE_DEMAND_NONRESIDENTIAL_METERED_IRRIGATION_GAL]])</f>
        <v>6578487.5099999998</v>
      </c>
      <c r="X3695" t="str">
        <f>IFERROR(INDEX(Crosswalk_API!$H$2:$H$527, MATCH(POTABLE_NONPOTABLE_API[[#This Row],[PWSID]], CW_PWSID_LIST, 0)), "")</f>
        <v>No</v>
      </c>
    </row>
    <row r="3696" spans="1:24" x14ac:dyDescent="0.25">
      <c r="A3696" t="s">
        <v>1811</v>
      </c>
      <c r="B3696" t="s">
        <v>1812</v>
      </c>
      <c r="C3696" t="s">
        <v>1813</v>
      </c>
      <c r="D3696" t="s">
        <v>1814</v>
      </c>
      <c r="E3696" s="9">
        <v>45413</v>
      </c>
      <c r="F3696" s="9">
        <v>45443</v>
      </c>
      <c r="G3696">
        <v>165278880</v>
      </c>
      <c r="H3696">
        <v>48464582.399999999</v>
      </c>
      <c r="I3696">
        <v>72088473.599999994</v>
      </c>
      <c r="J3696">
        <v>66020198.399999999</v>
      </c>
      <c r="K3696">
        <v>0</v>
      </c>
      <c r="L3696">
        <v>0</v>
      </c>
      <c r="M3696">
        <v>0</v>
      </c>
      <c r="N3696">
        <v>0</v>
      </c>
      <c r="O3696">
        <v>0</v>
      </c>
      <c r="P3696">
        <v>0</v>
      </c>
      <c r="Q3696">
        <v>17881495.52</v>
      </c>
      <c r="R3696">
        <v>0</v>
      </c>
      <c r="S3696">
        <v>0</v>
      </c>
      <c r="T3696" s="9">
        <v>45108</v>
      </c>
      <c r="U3696" s="9">
        <v>45473</v>
      </c>
      <c r="V3696">
        <f>SUM(POTABLE_NONPOTABLE_API[[#This Row],[RESIDENTIAL_SINGLEFAMILY_GAL]:[OTHER_GAL]])</f>
        <v>351852134.39999998</v>
      </c>
      <c r="W3696">
        <f>SUM(POTABLE_NONPOTABLE_API[[#This Row],[NONPOTABLE_DEMAND_RESIDENTIAL_RECYCLED_WATER_GAL]:[NONPOTABLE_DEMAND_NONRESIDENTIAL_METERED_IRRIGATION_GAL]])</f>
        <v>17881495.52</v>
      </c>
      <c r="X3696" t="str">
        <f>IFERROR(INDEX(Crosswalk_API!$H$2:$H$527, MATCH(POTABLE_NONPOTABLE_API[[#This Row],[PWSID]], CW_PWSID_LIST, 0)), "")</f>
        <v>No</v>
      </c>
    </row>
    <row r="3697" spans="1:24" x14ac:dyDescent="0.25">
      <c r="A3697" t="s">
        <v>1811</v>
      </c>
      <c r="B3697" t="s">
        <v>1812</v>
      </c>
      <c r="C3697" t="s">
        <v>1813</v>
      </c>
      <c r="D3697" t="s">
        <v>1814</v>
      </c>
      <c r="E3697" s="9">
        <v>45444</v>
      </c>
      <c r="F3697" s="9">
        <v>45473</v>
      </c>
      <c r="G3697">
        <v>170665747.19999999</v>
      </c>
      <c r="H3697">
        <v>46047456</v>
      </c>
      <c r="I3697">
        <v>76338662.400000006</v>
      </c>
      <c r="J3697">
        <v>75104640</v>
      </c>
      <c r="K3697">
        <v>0</v>
      </c>
      <c r="L3697">
        <v>0</v>
      </c>
      <c r="M3697">
        <v>0</v>
      </c>
      <c r="N3697">
        <v>0</v>
      </c>
      <c r="O3697">
        <v>0</v>
      </c>
      <c r="P3697">
        <v>0</v>
      </c>
      <c r="Q3697">
        <v>18331139.539999999</v>
      </c>
      <c r="R3697">
        <v>0</v>
      </c>
      <c r="S3697">
        <v>0</v>
      </c>
      <c r="T3697" s="9">
        <v>45108</v>
      </c>
      <c r="U3697" s="9">
        <v>45473</v>
      </c>
      <c r="V3697">
        <f>SUM(POTABLE_NONPOTABLE_API[[#This Row],[RESIDENTIAL_SINGLEFAMILY_GAL]:[OTHER_GAL]])</f>
        <v>368156505.60000002</v>
      </c>
      <c r="W3697">
        <f>SUM(POTABLE_NONPOTABLE_API[[#This Row],[NONPOTABLE_DEMAND_RESIDENTIAL_RECYCLED_WATER_GAL]:[NONPOTABLE_DEMAND_NONRESIDENTIAL_METERED_IRRIGATION_GAL]])</f>
        <v>18331139.539999999</v>
      </c>
      <c r="X3697" t="str">
        <f>IFERROR(INDEX(Crosswalk_API!$H$2:$H$527, MATCH(POTABLE_NONPOTABLE_API[[#This Row],[PWSID]], CW_PWSID_LIST, 0)), "")</f>
        <v>No</v>
      </c>
    </row>
    <row r="3698" spans="1:24" x14ac:dyDescent="0.25">
      <c r="A3698" t="s">
        <v>1815</v>
      </c>
      <c r="B3698" t="s">
        <v>1816</v>
      </c>
      <c r="C3698" t="s">
        <v>1817</v>
      </c>
      <c r="D3698" t="s">
        <v>1818</v>
      </c>
      <c r="E3698" s="9">
        <v>45108</v>
      </c>
      <c r="F3698" s="9">
        <v>45138</v>
      </c>
      <c r="G3698">
        <v>41640499.289999999</v>
      </c>
      <c r="H3698">
        <v>3678857.7899999996</v>
      </c>
      <c r="I3698">
        <v>3150979.17</v>
      </c>
      <c r="J3698">
        <v>9769012.9800000004</v>
      </c>
      <c r="K3698">
        <v>0</v>
      </c>
      <c r="L3698">
        <v>149891.46000000002</v>
      </c>
      <c r="M3698">
        <v>439898.85000000003</v>
      </c>
      <c r="T3698" s="9">
        <v>45108</v>
      </c>
      <c r="U3698" s="9">
        <v>45473</v>
      </c>
      <c r="V3698">
        <f>SUM(POTABLE_NONPOTABLE_API[[#This Row],[RESIDENTIAL_SINGLEFAMILY_GAL]:[OTHER_GAL]])</f>
        <v>58389240.690000005</v>
      </c>
      <c r="W3698">
        <f>SUM(POTABLE_NONPOTABLE_API[[#This Row],[NONPOTABLE_DEMAND_RESIDENTIAL_RECYCLED_WATER_GAL]:[NONPOTABLE_DEMAND_NONRESIDENTIAL_METERED_IRRIGATION_GAL]])</f>
        <v>0</v>
      </c>
      <c r="X3698" t="str">
        <f>IFERROR(INDEX(Crosswalk_API!$H$2:$H$527, MATCH(POTABLE_NONPOTABLE_API[[#This Row],[PWSID]], CW_PWSID_LIST, 0)), "")</f>
        <v>No</v>
      </c>
    </row>
    <row r="3699" spans="1:24" x14ac:dyDescent="0.25">
      <c r="A3699" t="s">
        <v>1815</v>
      </c>
      <c r="B3699" t="s">
        <v>1816</v>
      </c>
      <c r="C3699" t="s">
        <v>1817</v>
      </c>
      <c r="D3699" t="s">
        <v>1818</v>
      </c>
      <c r="E3699" s="9">
        <v>45139</v>
      </c>
      <c r="F3699" s="9">
        <v>45169</v>
      </c>
      <c r="G3699">
        <v>41304872.760000005</v>
      </c>
      <c r="H3699">
        <v>3421435.5</v>
      </c>
      <c r="I3699">
        <v>3265027.02</v>
      </c>
      <c r="J3699">
        <v>8576398.3200000003</v>
      </c>
      <c r="K3699">
        <v>0</v>
      </c>
      <c r="L3699">
        <v>94496.79</v>
      </c>
      <c r="M3699">
        <v>449674.37999999995</v>
      </c>
      <c r="T3699" s="9">
        <v>45108</v>
      </c>
      <c r="U3699" s="9">
        <v>45473</v>
      </c>
      <c r="V3699">
        <f>SUM(POTABLE_NONPOTABLE_API[[#This Row],[RESIDENTIAL_SINGLEFAMILY_GAL]:[OTHER_GAL]])</f>
        <v>56662230.390000008</v>
      </c>
      <c r="W3699">
        <f>SUM(POTABLE_NONPOTABLE_API[[#This Row],[NONPOTABLE_DEMAND_RESIDENTIAL_RECYCLED_WATER_GAL]:[NONPOTABLE_DEMAND_NONRESIDENTIAL_METERED_IRRIGATION_GAL]])</f>
        <v>0</v>
      </c>
      <c r="X3699" t="str">
        <f>IFERROR(INDEX(Crosswalk_API!$H$2:$H$527, MATCH(POTABLE_NONPOTABLE_API[[#This Row],[PWSID]], CW_PWSID_LIST, 0)), "")</f>
        <v>No</v>
      </c>
    </row>
    <row r="3700" spans="1:24" x14ac:dyDescent="0.25">
      <c r="A3700" t="s">
        <v>1815</v>
      </c>
      <c r="B3700" t="s">
        <v>1816</v>
      </c>
      <c r="C3700" t="s">
        <v>1817</v>
      </c>
      <c r="D3700" t="s">
        <v>1818</v>
      </c>
      <c r="E3700" s="9">
        <v>45170</v>
      </c>
      <c r="F3700" s="9">
        <v>45199</v>
      </c>
      <c r="G3700">
        <v>38359179.719999999</v>
      </c>
      <c r="H3700">
        <v>3577843.98</v>
      </c>
      <c r="I3700">
        <v>3388850.4</v>
      </c>
      <c r="J3700">
        <v>9550692.8099999987</v>
      </c>
      <c r="K3700">
        <v>0</v>
      </c>
      <c r="L3700">
        <v>149891.46000000002</v>
      </c>
      <c r="M3700">
        <v>384504.18</v>
      </c>
      <c r="T3700" s="9">
        <v>45108</v>
      </c>
      <c r="U3700" s="9">
        <v>45473</v>
      </c>
      <c r="V3700">
        <f>SUM(POTABLE_NONPOTABLE_API[[#This Row],[RESIDENTIAL_SINGLEFAMILY_GAL]:[OTHER_GAL]])</f>
        <v>55026458.369999997</v>
      </c>
      <c r="W3700">
        <f>SUM(POTABLE_NONPOTABLE_API[[#This Row],[NONPOTABLE_DEMAND_RESIDENTIAL_RECYCLED_WATER_GAL]:[NONPOTABLE_DEMAND_NONRESIDENTIAL_METERED_IRRIGATION_GAL]])</f>
        <v>0</v>
      </c>
      <c r="X3700" t="str">
        <f>IFERROR(INDEX(Crosswalk_API!$H$2:$H$527, MATCH(POTABLE_NONPOTABLE_API[[#This Row],[PWSID]], CW_PWSID_LIST, 0)), "")</f>
        <v>No</v>
      </c>
    </row>
    <row r="3701" spans="1:24" x14ac:dyDescent="0.25">
      <c r="A3701" t="s">
        <v>1815</v>
      </c>
      <c r="B3701" t="s">
        <v>1816</v>
      </c>
      <c r="C3701" t="s">
        <v>1817</v>
      </c>
      <c r="D3701" t="s">
        <v>1818</v>
      </c>
      <c r="E3701" s="9">
        <v>45200</v>
      </c>
      <c r="F3701" s="9">
        <v>45230</v>
      </c>
      <c r="G3701">
        <v>39076051.920000002</v>
      </c>
      <c r="H3701">
        <v>3519190.8000000003</v>
      </c>
      <c r="I3701">
        <v>3092325.99</v>
      </c>
      <c r="J3701">
        <v>8413472.8200000003</v>
      </c>
      <c r="K3701">
        <v>0</v>
      </c>
      <c r="L3701">
        <v>84721.260000000009</v>
      </c>
      <c r="M3701">
        <v>332368.02</v>
      </c>
      <c r="T3701" s="9">
        <v>45108</v>
      </c>
      <c r="U3701" s="9">
        <v>45473</v>
      </c>
      <c r="V3701">
        <f>SUM(POTABLE_NONPOTABLE_API[[#This Row],[RESIDENTIAL_SINGLEFAMILY_GAL]:[OTHER_GAL]])</f>
        <v>54185762.789999999</v>
      </c>
      <c r="W3701">
        <f>SUM(POTABLE_NONPOTABLE_API[[#This Row],[NONPOTABLE_DEMAND_RESIDENTIAL_RECYCLED_WATER_GAL]:[NONPOTABLE_DEMAND_NONRESIDENTIAL_METERED_IRRIGATION_GAL]])</f>
        <v>0</v>
      </c>
      <c r="X3701" t="str">
        <f>IFERROR(INDEX(Crosswalk_API!$H$2:$H$527, MATCH(POTABLE_NONPOTABLE_API[[#This Row],[PWSID]], CW_PWSID_LIST, 0)), "")</f>
        <v>No</v>
      </c>
    </row>
    <row r="3702" spans="1:24" x14ac:dyDescent="0.25">
      <c r="A3702" t="s">
        <v>1815</v>
      </c>
      <c r="B3702" t="s">
        <v>1816</v>
      </c>
      <c r="C3702" t="s">
        <v>1817</v>
      </c>
      <c r="D3702" t="s">
        <v>1818</v>
      </c>
      <c r="E3702" s="9">
        <v>45231</v>
      </c>
      <c r="F3702" s="9">
        <v>45260</v>
      </c>
      <c r="G3702">
        <v>38414574.390000001</v>
      </c>
      <c r="H3702">
        <v>3991674.75</v>
      </c>
      <c r="I3702">
        <v>3105360.03</v>
      </c>
      <c r="J3702">
        <v>7126361.3700000001</v>
      </c>
      <c r="K3702">
        <v>0</v>
      </c>
      <c r="L3702">
        <v>71687.22</v>
      </c>
      <c r="M3702">
        <v>306299.94</v>
      </c>
      <c r="T3702" s="9">
        <v>45108</v>
      </c>
      <c r="U3702" s="9">
        <v>45473</v>
      </c>
      <c r="V3702">
        <f>SUM(POTABLE_NONPOTABLE_API[[#This Row],[RESIDENTIAL_SINGLEFAMILY_GAL]:[OTHER_GAL]])</f>
        <v>52709657.759999998</v>
      </c>
      <c r="W3702">
        <f>SUM(POTABLE_NONPOTABLE_API[[#This Row],[NONPOTABLE_DEMAND_RESIDENTIAL_RECYCLED_WATER_GAL]:[NONPOTABLE_DEMAND_NONRESIDENTIAL_METERED_IRRIGATION_GAL]])</f>
        <v>0</v>
      </c>
      <c r="X3702" t="str">
        <f>IFERROR(INDEX(Crosswalk_API!$H$2:$H$527, MATCH(POTABLE_NONPOTABLE_API[[#This Row],[PWSID]], CW_PWSID_LIST, 0)), "")</f>
        <v>No</v>
      </c>
    </row>
    <row r="3703" spans="1:24" x14ac:dyDescent="0.25">
      <c r="A3703" t="s">
        <v>1815</v>
      </c>
      <c r="B3703" t="s">
        <v>1816</v>
      </c>
      <c r="C3703" t="s">
        <v>1817</v>
      </c>
      <c r="D3703" t="s">
        <v>1818</v>
      </c>
      <c r="E3703" s="9">
        <v>45261</v>
      </c>
      <c r="F3703" s="9">
        <v>45291</v>
      </c>
      <c r="G3703">
        <v>26462359.709999997</v>
      </c>
      <c r="H3703">
        <v>2776250.52</v>
      </c>
      <c r="I3703">
        <v>1639030.53</v>
      </c>
      <c r="J3703">
        <v>2323317.63</v>
      </c>
      <c r="K3703">
        <v>0</v>
      </c>
      <c r="L3703">
        <v>6517.02</v>
      </c>
      <c r="M3703">
        <v>257422.29</v>
      </c>
      <c r="T3703" s="9">
        <v>45108</v>
      </c>
      <c r="U3703" s="9">
        <v>45473</v>
      </c>
      <c r="V3703">
        <f>SUM(POTABLE_NONPOTABLE_API[[#This Row],[RESIDENTIAL_SINGLEFAMILY_GAL]:[OTHER_GAL]])</f>
        <v>33207475.409999996</v>
      </c>
      <c r="W3703">
        <f>SUM(POTABLE_NONPOTABLE_API[[#This Row],[NONPOTABLE_DEMAND_RESIDENTIAL_RECYCLED_WATER_GAL]:[NONPOTABLE_DEMAND_NONRESIDENTIAL_METERED_IRRIGATION_GAL]])</f>
        <v>0</v>
      </c>
      <c r="X3703" t="str">
        <f>IFERROR(INDEX(Crosswalk_API!$H$2:$H$527, MATCH(POTABLE_NONPOTABLE_API[[#This Row],[PWSID]], CW_PWSID_LIST, 0)), "")</f>
        <v>No</v>
      </c>
    </row>
    <row r="3704" spans="1:24" x14ac:dyDescent="0.25">
      <c r="A3704" t="s">
        <v>1815</v>
      </c>
      <c r="B3704" t="s">
        <v>1816</v>
      </c>
      <c r="C3704" t="s">
        <v>1817</v>
      </c>
      <c r="D3704" t="s">
        <v>1818</v>
      </c>
      <c r="E3704" s="9">
        <v>45292</v>
      </c>
      <c r="F3704" s="9">
        <v>45322</v>
      </c>
      <c r="G3704">
        <v>15210724.68</v>
      </c>
      <c r="H3704">
        <v>2880522.84</v>
      </c>
      <c r="I3704">
        <v>2118031.5</v>
      </c>
      <c r="J3704">
        <v>1573860.33</v>
      </c>
      <c r="K3704">
        <v>0</v>
      </c>
      <c r="L3704">
        <v>9775.5299999999988</v>
      </c>
      <c r="M3704">
        <v>110789.34000000001</v>
      </c>
      <c r="T3704" s="9">
        <v>45108</v>
      </c>
      <c r="U3704" s="9">
        <v>45473</v>
      </c>
      <c r="V3704">
        <f>SUM(POTABLE_NONPOTABLE_API[[#This Row],[RESIDENTIAL_SINGLEFAMILY_GAL]:[OTHER_GAL]])</f>
        <v>21792914.880000003</v>
      </c>
      <c r="W3704">
        <f>SUM(POTABLE_NONPOTABLE_API[[#This Row],[NONPOTABLE_DEMAND_RESIDENTIAL_RECYCLED_WATER_GAL]:[NONPOTABLE_DEMAND_NONRESIDENTIAL_METERED_IRRIGATION_GAL]])</f>
        <v>0</v>
      </c>
      <c r="X3704" t="str">
        <f>IFERROR(INDEX(Crosswalk_API!$H$2:$H$527, MATCH(POTABLE_NONPOTABLE_API[[#This Row],[PWSID]], CW_PWSID_LIST, 0)), "")</f>
        <v>No</v>
      </c>
    </row>
    <row r="3705" spans="1:24" x14ac:dyDescent="0.25">
      <c r="A3705" t="s">
        <v>1815</v>
      </c>
      <c r="B3705" t="s">
        <v>1816</v>
      </c>
      <c r="C3705" t="s">
        <v>1817</v>
      </c>
      <c r="D3705" t="s">
        <v>1818</v>
      </c>
      <c r="E3705" s="9">
        <v>45323</v>
      </c>
      <c r="F3705" s="9">
        <v>45351</v>
      </c>
      <c r="G3705">
        <v>17211449.82</v>
      </c>
      <c r="H3705">
        <v>2737148.4</v>
      </c>
      <c r="I3705">
        <v>1893194.3099999998</v>
      </c>
      <c r="J3705">
        <v>830920.04999999993</v>
      </c>
      <c r="K3705">
        <v>0</v>
      </c>
      <c r="L3705">
        <v>19551.059999999998</v>
      </c>
      <c r="M3705">
        <v>172701.03</v>
      </c>
      <c r="T3705" s="9">
        <v>45108</v>
      </c>
      <c r="U3705" s="9">
        <v>45473</v>
      </c>
      <c r="V3705">
        <f>SUM(POTABLE_NONPOTABLE_API[[#This Row],[RESIDENTIAL_SINGLEFAMILY_GAL]:[OTHER_GAL]])</f>
        <v>22692263.639999997</v>
      </c>
      <c r="W3705">
        <f>SUM(POTABLE_NONPOTABLE_API[[#This Row],[NONPOTABLE_DEMAND_RESIDENTIAL_RECYCLED_WATER_GAL]:[NONPOTABLE_DEMAND_NONRESIDENTIAL_METERED_IRRIGATION_GAL]])</f>
        <v>0</v>
      </c>
      <c r="X3705" t="str">
        <f>IFERROR(INDEX(Crosswalk_API!$H$2:$H$527, MATCH(POTABLE_NONPOTABLE_API[[#This Row],[PWSID]], CW_PWSID_LIST, 0)), "")</f>
        <v>No</v>
      </c>
    </row>
    <row r="3706" spans="1:24" x14ac:dyDescent="0.25">
      <c r="A3706" t="s">
        <v>1815</v>
      </c>
      <c r="B3706" t="s">
        <v>1816</v>
      </c>
      <c r="C3706" t="s">
        <v>1817</v>
      </c>
      <c r="D3706" t="s">
        <v>1818</v>
      </c>
      <c r="E3706" s="9">
        <v>45352</v>
      </c>
      <c r="F3706" s="9">
        <v>45382</v>
      </c>
      <c r="G3706">
        <v>22245847.77</v>
      </c>
      <c r="H3706">
        <v>3164013.2100000004</v>
      </c>
      <c r="I3706">
        <v>2408038.8899999997</v>
      </c>
      <c r="J3706">
        <v>2395004.85</v>
      </c>
      <c r="K3706">
        <v>0</v>
      </c>
      <c r="L3706">
        <v>32585.100000000002</v>
      </c>
      <c r="M3706">
        <v>303041.43</v>
      </c>
      <c r="T3706" s="9">
        <v>45108</v>
      </c>
      <c r="U3706" s="9">
        <v>45473</v>
      </c>
      <c r="V3706">
        <f>SUM(POTABLE_NONPOTABLE_API[[#This Row],[RESIDENTIAL_SINGLEFAMILY_GAL]:[OTHER_GAL]])</f>
        <v>30245489.820000004</v>
      </c>
      <c r="W3706">
        <f>SUM(POTABLE_NONPOTABLE_API[[#This Row],[NONPOTABLE_DEMAND_RESIDENTIAL_RECYCLED_WATER_GAL]:[NONPOTABLE_DEMAND_NONRESIDENTIAL_METERED_IRRIGATION_GAL]])</f>
        <v>0</v>
      </c>
      <c r="X3706" t="str">
        <f>IFERROR(INDEX(Crosswalk_API!$H$2:$H$527, MATCH(POTABLE_NONPOTABLE_API[[#This Row],[PWSID]], CW_PWSID_LIST, 0)), "")</f>
        <v>No</v>
      </c>
    </row>
    <row r="3707" spans="1:24" x14ac:dyDescent="0.25">
      <c r="A3707" t="s">
        <v>1815</v>
      </c>
      <c r="B3707" t="s">
        <v>1816</v>
      </c>
      <c r="C3707" t="s">
        <v>1817</v>
      </c>
      <c r="D3707" t="s">
        <v>1818</v>
      </c>
      <c r="E3707" s="9">
        <v>45383</v>
      </c>
      <c r="F3707" s="9">
        <v>45412</v>
      </c>
      <c r="G3707">
        <v>24230280.359999999</v>
      </c>
      <c r="H3707">
        <v>3193339.8000000003</v>
      </c>
      <c r="I3707">
        <v>2401521.87</v>
      </c>
      <c r="J3707">
        <v>3447503.58</v>
      </c>
      <c r="K3707">
        <v>0</v>
      </c>
      <c r="L3707">
        <v>387762.69</v>
      </c>
      <c r="M3707">
        <v>290007.39</v>
      </c>
      <c r="T3707" s="9">
        <v>45108</v>
      </c>
      <c r="U3707" s="9">
        <v>45473</v>
      </c>
      <c r="V3707">
        <f>SUM(POTABLE_NONPOTABLE_API[[#This Row],[RESIDENTIAL_SINGLEFAMILY_GAL]:[OTHER_GAL]])</f>
        <v>33660408.299999997</v>
      </c>
      <c r="W3707">
        <f>SUM(POTABLE_NONPOTABLE_API[[#This Row],[NONPOTABLE_DEMAND_RESIDENTIAL_RECYCLED_WATER_GAL]:[NONPOTABLE_DEMAND_NONRESIDENTIAL_METERED_IRRIGATION_GAL]])</f>
        <v>0</v>
      </c>
      <c r="X3707" t="str">
        <f>IFERROR(INDEX(Crosswalk_API!$H$2:$H$527, MATCH(POTABLE_NONPOTABLE_API[[#This Row],[PWSID]], CW_PWSID_LIST, 0)), "")</f>
        <v>No</v>
      </c>
    </row>
    <row r="3708" spans="1:24" x14ac:dyDescent="0.25">
      <c r="A3708" t="s">
        <v>1815</v>
      </c>
      <c r="B3708" t="s">
        <v>1816</v>
      </c>
      <c r="C3708" t="s">
        <v>1817</v>
      </c>
      <c r="D3708" t="s">
        <v>1818</v>
      </c>
      <c r="E3708" s="9">
        <v>45413</v>
      </c>
      <c r="F3708" s="9">
        <v>45443</v>
      </c>
      <c r="G3708">
        <v>34999655.909999996</v>
      </c>
      <c r="H3708">
        <v>3258510</v>
      </c>
      <c r="I3708">
        <v>2834903.6999999997</v>
      </c>
      <c r="J3708">
        <v>7211082.6299999999</v>
      </c>
      <c r="K3708">
        <v>0</v>
      </c>
      <c r="L3708">
        <v>612599.88</v>
      </c>
      <c r="M3708">
        <v>426864.81</v>
      </c>
      <c r="T3708" s="9">
        <v>45108</v>
      </c>
      <c r="U3708" s="9">
        <v>45473</v>
      </c>
      <c r="V3708">
        <f>SUM(POTABLE_NONPOTABLE_API[[#This Row],[RESIDENTIAL_SINGLEFAMILY_GAL]:[OTHER_GAL]])</f>
        <v>48916752.120000005</v>
      </c>
      <c r="W3708">
        <f>SUM(POTABLE_NONPOTABLE_API[[#This Row],[NONPOTABLE_DEMAND_RESIDENTIAL_RECYCLED_WATER_GAL]:[NONPOTABLE_DEMAND_NONRESIDENTIAL_METERED_IRRIGATION_GAL]])</f>
        <v>0</v>
      </c>
      <c r="X3708" t="str">
        <f>IFERROR(INDEX(Crosswalk_API!$H$2:$H$527, MATCH(POTABLE_NONPOTABLE_API[[#This Row],[PWSID]], CW_PWSID_LIST, 0)), "")</f>
        <v>No</v>
      </c>
    </row>
    <row r="3709" spans="1:24" x14ac:dyDescent="0.25">
      <c r="A3709" t="s">
        <v>1815</v>
      </c>
      <c r="B3709" t="s">
        <v>1816</v>
      </c>
      <c r="C3709" t="s">
        <v>1817</v>
      </c>
      <c r="D3709" t="s">
        <v>1818</v>
      </c>
      <c r="E3709" s="9">
        <v>45444</v>
      </c>
      <c r="F3709" s="9">
        <v>45473</v>
      </c>
      <c r="G3709">
        <v>40441367.609999999</v>
      </c>
      <c r="H3709">
        <v>3509415.27</v>
      </c>
      <c r="I3709">
        <v>3320421.69</v>
      </c>
      <c r="J3709">
        <v>8833820.6099999994</v>
      </c>
      <c r="K3709">
        <v>0</v>
      </c>
      <c r="L3709">
        <v>788559.41999999993</v>
      </c>
      <c r="M3709">
        <v>446415.87000000005</v>
      </c>
      <c r="T3709" s="9">
        <v>45108</v>
      </c>
      <c r="U3709" s="9">
        <v>45473</v>
      </c>
      <c r="V3709">
        <f>SUM(POTABLE_NONPOTABLE_API[[#This Row],[RESIDENTIAL_SINGLEFAMILY_GAL]:[OTHER_GAL]])</f>
        <v>56893584.600000001</v>
      </c>
      <c r="W3709">
        <f>SUM(POTABLE_NONPOTABLE_API[[#This Row],[NONPOTABLE_DEMAND_RESIDENTIAL_RECYCLED_WATER_GAL]:[NONPOTABLE_DEMAND_NONRESIDENTIAL_METERED_IRRIGATION_GAL]])</f>
        <v>0</v>
      </c>
      <c r="X3709" t="str">
        <f>IFERROR(INDEX(Crosswalk_API!$H$2:$H$527, MATCH(POTABLE_NONPOTABLE_API[[#This Row],[PWSID]], CW_PWSID_LIST, 0)), "")</f>
        <v>No</v>
      </c>
    </row>
    <row r="3710" spans="1:24" x14ac:dyDescent="0.25">
      <c r="A3710" t="s">
        <v>1819</v>
      </c>
      <c r="B3710" t="s">
        <v>1820</v>
      </c>
      <c r="C3710" t="s">
        <v>1821</v>
      </c>
      <c r="D3710" t="s">
        <v>1822</v>
      </c>
      <c r="E3710" s="9">
        <v>45108</v>
      </c>
      <c r="F3710" s="9">
        <v>45138</v>
      </c>
      <c r="G3710">
        <v>114829722.26000001</v>
      </c>
      <c r="H3710">
        <v>592457.18400000001</v>
      </c>
      <c r="I3710">
        <v>27992105.84</v>
      </c>
      <c r="J3710">
        <v>21015772.888</v>
      </c>
      <c r="K3710">
        <v>0</v>
      </c>
      <c r="L3710">
        <v>0</v>
      </c>
      <c r="M3710">
        <v>0</v>
      </c>
      <c r="T3710" s="9">
        <v>45108</v>
      </c>
      <c r="U3710" s="9">
        <v>45473</v>
      </c>
      <c r="V3710">
        <f>SUM(POTABLE_NONPOTABLE_API[[#This Row],[RESIDENTIAL_SINGLEFAMILY_GAL]:[OTHER_GAL]])</f>
        <v>164430058.17200002</v>
      </c>
      <c r="W3710">
        <f>SUM(POTABLE_NONPOTABLE_API[[#This Row],[NONPOTABLE_DEMAND_RESIDENTIAL_RECYCLED_WATER_GAL]:[NONPOTABLE_DEMAND_NONRESIDENTIAL_METERED_IRRIGATION_GAL]])</f>
        <v>0</v>
      </c>
      <c r="X3710" t="str">
        <f>IFERROR(INDEX(Crosswalk_API!$H$2:$H$527, MATCH(POTABLE_NONPOTABLE_API[[#This Row],[PWSID]], CW_PWSID_LIST, 0)), "")</f>
        <v>No</v>
      </c>
    </row>
    <row r="3711" spans="1:24" x14ac:dyDescent="0.25">
      <c r="A3711" t="s">
        <v>1819</v>
      </c>
      <c r="B3711" t="s">
        <v>1820</v>
      </c>
      <c r="C3711" t="s">
        <v>1821</v>
      </c>
      <c r="D3711" t="s">
        <v>1822</v>
      </c>
      <c r="E3711" s="9">
        <v>45139</v>
      </c>
      <c r="F3711" s="9">
        <v>45169</v>
      </c>
      <c r="G3711">
        <v>141595770.87200001</v>
      </c>
      <c r="H3711">
        <v>697932.51600000006</v>
      </c>
      <c r="I3711">
        <v>31612677.52</v>
      </c>
      <c r="J3711">
        <v>30079170.920000002</v>
      </c>
      <c r="K3711">
        <v>0</v>
      </c>
      <c r="L3711">
        <v>0</v>
      </c>
      <c r="M3711">
        <v>0</v>
      </c>
      <c r="T3711" s="9">
        <v>45108</v>
      </c>
      <c r="U3711" s="9">
        <v>45473</v>
      </c>
      <c r="V3711">
        <f>SUM(POTABLE_NONPOTABLE_API[[#This Row],[RESIDENTIAL_SINGLEFAMILY_GAL]:[OTHER_GAL]])</f>
        <v>203985551.82800001</v>
      </c>
      <c r="W3711">
        <f>SUM(POTABLE_NONPOTABLE_API[[#This Row],[NONPOTABLE_DEMAND_RESIDENTIAL_RECYCLED_WATER_GAL]:[NONPOTABLE_DEMAND_NONRESIDENTIAL_METERED_IRRIGATION_GAL]])</f>
        <v>0</v>
      </c>
      <c r="X3711" t="str">
        <f>IFERROR(INDEX(Crosswalk_API!$H$2:$H$527, MATCH(POTABLE_NONPOTABLE_API[[#This Row],[PWSID]], CW_PWSID_LIST, 0)), "")</f>
        <v>No</v>
      </c>
    </row>
    <row r="3712" spans="1:24" x14ac:dyDescent="0.25">
      <c r="A3712" t="s">
        <v>1819</v>
      </c>
      <c r="B3712" t="s">
        <v>1820</v>
      </c>
      <c r="C3712" t="s">
        <v>1821</v>
      </c>
      <c r="D3712" t="s">
        <v>1822</v>
      </c>
      <c r="E3712" s="9">
        <v>45170</v>
      </c>
      <c r="F3712" s="9">
        <v>45199</v>
      </c>
      <c r="G3712">
        <v>123294678.692</v>
      </c>
      <c r="H3712">
        <v>676987.06</v>
      </c>
      <c r="I3712">
        <v>27118381.104000002</v>
      </c>
      <c r="J3712">
        <v>26807939.524</v>
      </c>
      <c r="K3712">
        <v>0</v>
      </c>
      <c r="L3712">
        <v>0</v>
      </c>
      <c r="M3712">
        <v>0</v>
      </c>
      <c r="T3712" s="9">
        <v>45108</v>
      </c>
      <c r="U3712" s="9">
        <v>45473</v>
      </c>
      <c r="V3712">
        <f>SUM(POTABLE_NONPOTABLE_API[[#This Row],[RESIDENTIAL_SINGLEFAMILY_GAL]:[OTHER_GAL]])</f>
        <v>177897986.38</v>
      </c>
      <c r="W3712">
        <f>SUM(POTABLE_NONPOTABLE_API[[#This Row],[NONPOTABLE_DEMAND_RESIDENTIAL_RECYCLED_WATER_GAL]:[NONPOTABLE_DEMAND_NONRESIDENTIAL_METERED_IRRIGATION_GAL]])</f>
        <v>0</v>
      </c>
      <c r="X3712" t="str">
        <f>IFERROR(INDEX(Crosswalk_API!$H$2:$H$527, MATCH(POTABLE_NONPOTABLE_API[[#This Row],[PWSID]], CW_PWSID_LIST, 0)), "")</f>
        <v>No</v>
      </c>
    </row>
    <row r="3713" spans="1:24" x14ac:dyDescent="0.25">
      <c r="A3713" t="s">
        <v>1819</v>
      </c>
      <c r="B3713" t="s">
        <v>1820</v>
      </c>
      <c r="C3713" t="s">
        <v>1821</v>
      </c>
      <c r="D3713" t="s">
        <v>1822</v>
      </c>
      <c r="E3713" s="9">
        <v>45200</v>
      </c>
      <c r="F3713" s="9">
        <v>45230</v>
      </c>
      <c r="G3713">
        <v>114051748.18000001</v>
      </c>
      <c r="H3713">
        <v>611158.48400000005</v>
      </c>
      <c r="I3713">
        <v>31097269.692000002</v>
      </c>
      <c r="J3713">
        <v>21187076.796</v>
      </c>
      <c r="K3713">
        <v>0</v>
      </c>
      <c r="L3713">
        <v>0</v>
      </c>
      <c r="M3713">
        <v>0</v>
      </c>
      <c r="T3713" s="9">
        <v>45108</v>
      </c>
      <c r="U3713" s="9">
        <v>45473</v>
      </c>
      <c r="V3713">
        <f>SUM(POTABLE_NONPOTABLE_API[[#This Row],[RESIDENTIAL_SINGLEFAMILY_GAL]:[OTHER_GAL]])</f>
        <v>166947253.15200001</v>
      </c>
      <c r="W3713">
        <f>SUM(POTABLE_NONPOTABLE_API[[#This Row],[NONPOTABLE_DEMAND_RESIDENTIAL_RECYCLED_WATER_GAL]:[NONPOTABLE_DEMAND_NONRESIDENTIAL_METERED_IRRIGATION_GAL]])</f>
        <v>0</v>
      </c>
      <c r="X3713" t="str">
        <f>IFERROR(INDEX(Crosswalk_API!$H$2:$H$527, MATCH(POTABLE_NONPOTABLE_API[[#This Row],[PWSID]], CW_PWSID_LIST, 0)), "")</f>
        <v>No</v>
      </c>
    </row>
    <row r="3714" spans="1:24" x14ac:dyDescent="0.25">
      <c r="A3714" t="s">
        <v>1819</v>
      </c>
      <c r="B3714" t="s">
        <v>1820</v>
      </c>
      <c r="C3714" t="s">
        <v>1821</v>
      </c>
      <c r="D3714" t="s">
        <v>1822</v>
      </c>
      <c r="E3714" s="9">
        <v>45231</v>
      </c>
      <c r="F3714" s="9">
        <v>45260</v>
      </c>
      <c r="G3714">
        <v>110376568.704</v>
      </c>
      <c r="H3714">
        <v>772737.71600000001</v>
      </c>
      <c r="I3714">
        <v>29714869.596000001</v>
      </c>
      <c r="J3714">
        <v>17525362.256000001</v>
      </c>
      <c r="K3714">
        <v>0</v>
      </c>
      <c r="L3714">
        <v>0</v>
      </c>
      <c r="M3714">
        <v>0</v>
      </c>
      <c r="T3714" s="9">
        <v>45108</v>
      </c>
      <c r="U3714" s="9">
        <v>45473</v>
      </c>
      <c r="V3714">
        <f>SUM(POTABLE_NONPOTABLE_API[[#This Row],[RESIDENTIAL_SINGLEFAMILY_GAL]:[OTHER_GAL]])</f>
        <v>158389538.27200001</v>
      </c>
      <c r="W3714">
        <f>SUM(POTABLE_NONPOTABLE_API[[#This Row],[NONPOTABLE_DEMAND_RESIDENTIAL_RECYCLED_WATER_GAL]:[NONPOTABLE_DEMAND_NONRESIDENTIAL_METERED_IRRIGATION_GAL]])</f>
        <v>0</v>
      </c>
      <c r="X3714" t="str">
        <f>IFERROR(INDEX(Crosswalk_API!$H$2:$H$527, MATCH(POTABLE_NONPOTABLE_API[[#This Row],[PWSID]], CW_PWSID_LIST, 0)), "")</f>
        <v>No</v>
      </c>
    </row>
    <row r="3715" spans="1:24" x14ac:dyDescent="0.25">
      <c r="A3715" t="s">
        <v>1819</v>
      </c>
      <c r="B3715" t="s">
        <v>1820</v>
      </c>
      <c r="C3715" t="s">
        <v>1821</v>
      </c>
      <c r="D3715" t="s">
        <v>1822</v>
      </c>
      <c r="E3715" s="9">
        <v>45261</v>
      </c>
      <c r="F3715" s="9">
        <v>45291</v>
      </c>
      <c r="G3715">
        <v>76625509.7368</v>
      </c>
      <c r="H3715">
        <v>36654.548000000003</v>
      </c>
      <c r="I3715">
        <v>16638995.441199999</v>
      </c>
      <c r="J3715">
        <v>8624291.5079999994</v>
      </c>
      <c r="K3715">
        <v>0</v>
      </c>
      <c r="L3715">
        <v>0</v>
      </c>
      <c r="M3715">
        <v>0</v>
      </c>
      <c r="T3715" s="9">
        <v>45108</v>
      </c>
      <c r="U3715" s="9">
        <v>45473</v>
      </c>
      <c r="V3715">
        <f>SUM(POTABLE_NONPOTABLE_API[[#This Row],[RESIDENTIAL_SINGLEFAMILY_GAL]:[OTHER_GAL]])</f>
        <v>101925451.234</v>
      </c>
      <c r="W3715">
        <f>SUM(POTABLE_NONPOTABLE_API[[#This Row],[NONPOTABLE_DEMAND_RESIDENTIAL_RECYCLED_WATER_GAL]:[NONPOTABLE_DEMAND_NONRESIDENTIAL_METERED_IRRIGATION_GAL]])</f>
        <v>0</v>
      </c>
      <c r="X3715" t="str">
        <f>IFERROR(INDEX(Crosswalk_API!$H$2:$H$527, MATCH(POTABLE_NONPOTABLE_API[[#This Row],[PWSID]], CW_PWSID_LIST, 0)), "")</f>
        <v>No</v>
      </c>
    </row>
    <row r="3716" spans="1:24" x14ac:dyDescent="0.25">
      <c r="A3716" t="s">
        <v>1819</v>
      </c>
      <c r="B3716" t="s">
        <v>1820</v>
      </c>
      <c r="C3716" t="s">
        <v>1821</v>
      </c>
      <c r="D3716" t="s">
        <v>1822</v>
      </c>
      <c r="E3716" s="9">
        <v>45292</v>
      </c>
      <c r="F3716" s="9">
        <v>45322</v>
      </c>
      <c r="G3716">
        <v>83430239.560000002</v>
      </c>
      <c r="H3716">
        <v>665766.28</v>
      </c>
      <c r="I3716">
        <v>27695877.248</v>
      </c>
      <c r="J3716">
        <v>13666161.988</v>
      </c>
      <c r="K3716">
        <v>0</v>
      </c>
      <c r="L3716">
        <v>0</v>
      </c>
      <c r="M3716">
        <v>0</v>
      </c>
      <c r="T3716" s="9">
        <v>45108</v>
      </c>
      <c r="U3716" s="9">
        <v>45473</v>
      </c>
      <c r="V3716">
        <f>SUM(POTABLE_NONPOTABLE_API[[#This Row],[RESIDENTIAL_SINGLEFAMILY_GAL]:[OTHER_GAL]])</f>
        <v>125458045.07600001</v>
      </c>
      <c r="W3716">
        <f>SUM(POTABLE_NONPOTABLE_API[[#This Row],[NONPOTABLE_DEMAND_RESIDENTIAL_RECYCLED_WATER_GAL]:[NONPOTABLE_DEMAND_NONRESIDENTIAL_METERED_IRRIGATION_GAL]])</f>
        <v>0</v>
      </c>
      <c r="X3716" t="str">
        <f>IFERROR(INDEX(Crosswalk_API!$H$2:$H$527, MATCH(POTABLE_NONPOTABLE_API[[#This Row],[PWSID]], CW_PWSID_LIST, 0)), "")</f>
        <v>No</v>
      </c>
    </row>
    <row r="3717" spans="1:24" x14ac:dyDescent="0.25">
      <c r="A3717" t="s">
        <v>1819</v>
      </c>
      <c r="B3717" t="s">
        <v>1820</v>
      </c>
      <c r="C3717" t="s">
        <v>1821</v>
      </c>
      <c r="D3717" t="s">
        <v>1822</v>
      </c>
      <c r="E3717" s="9">
        <v>45323</v>
      </c>
      <c r="F3717" s="9">
        <v>45351</v>
      </c>
      <c r="G3717">
        <v>65661012.352000006</v>
      </c>
      <c r="H3717">
        <v>706161.08799999999</v>
      </c>
      <c r="I3717">
        <v>26365840.791999999</v>
      </c>
      <c r="J3717">
        <v>8505351.2400000002</v>
      </c>
      <c r="K3717">
        <v>0</v>
      </c>
      <c r="L3717">
        <v>0</v>
      </c>
      <c r="M3717">
        <v>0</v>
      </c>
      <c r="T3717" s="9">
        <v>45108</v>
      </c>
      <c r="U3717" s="9">
        <v>45473</v>
      </c>
      <c r="V3717">
        <f>SUM(POTABLE_NONPOTABLE_API[[#This Row],[RESIDENTIAL_SINGLEFAMILY_GAL]:[OTHER_GAL]])</f>
        <v>101238365.472</v>
      </c>
      <c r="W3717">
        <f>SUM(POTABLE_NONPOTABLE_API[[#This Row],[NONPOTABLE_DEMAND_RESIDENTIAL_RECYCLED_WATER_GAL]:[NONPOTABLE_DEMAND_NONRESIDENTIAL_METERED_IRRIGATION_GAL]])</f>
        <v>0</v>
      </c>
      <c r="X3717" t="str">
        <f>IFERROR(INDEX(Crosswalk_API!$H$2:$H$527, MATCH(POTABLE_NONPOTABLE_API[[#This Row],[PWSID]], CW_PWSID_LIST, 0)), "")</f>
        <v>No</v>
      </c>
    </row>
    <row r="3718" spans="1:24" x14ac:dyDescent="0.25">
      <c r="A3718" t="s">
        <v>1819</v>
      </c>
      <c r="B3718" t="s">
        <v>1820</v>
      </c>
      <c r="C3718" t="s">
        <v>1821</v>
      </c>
      <c r="D3718" t="s">
        <v>1822</v>
      </c>
      <c r="E3718" s="9">
        <v>45352</v>
      </c>
      <c r="F3718" s="9">
        <v>45382</v>
      </c>
      <c r="G3718">
        <v>53490954.364</v>
      </c>
      <c r="H3718">
        <v>668010.43599999999</v>
      </c>
      <c r="I3718">
        <v>26218474.548</v>
      </c>
      <c r="J3718">
        <v>4960332.8119999999</v>
      </c>
      <c r="K3718">
        <v>0</v>
      </c>
      <c r="L3718">
        <v>0</v>
      </c>
      <c r="M3718">
        <v>0</v>
      </c>
      <c r="T3718" s="9">
        <v>45108</v>
      </c>
      <c r="U3718" s="9">
        <v>45473</v>
      </c>
      <c r="V3718">
        <f>SUM(POTABLE_NONPOTABLE_API[[#This Row],[RESIDENTIAL_SINGLEFAMILY_GAL]:[OTHER_GAL]])</f>
        <v>85337772.159999996</v>
      </c>
      <c r="W3718">
        <f>SUM(POTABLE_NONPOTABLE_API[[#This Row],[NONPOTABLE_DEMAND_RESIDENTIAL_RECYCLED_WATER_GAL]:[NONPOTABLE_DEMAND_NONRESIDENTIAL_METERED_IRRIGATION_GAL]])</f>
        <v>0</v>
      </c>
      <c r="X3718" t="str">
        <f>IFERROR(INDEX(Crosswalk_API!$H$2:$H$527, MATCH(POTABLE_NONPOTABLE_API[[#This Row],[PWSID]], CW_PWSID_LIST, 0)), "")</f>
        <v>No</v>
      </c>
    </row>
    <row r="3719" spans="1:24" x14ac:dyDescent="0.25">
      <c r="A3719" t="s">
        <v>1819</v>
      </c>
      <c r="B3719" t="s">
        <v>1820</v>
      </c>
      <c r="C3719" t="s">
        <v>1821</v>
      </c>
      <c r="D3719" t="s">
        <v>1822</v>
      </c>
      <c r="E3719" s="9">
        <v>45383</v>
      </c>
      <c r="F3719" s="9">
        <v>45412</v>
      </c>
      <c r="G3719">
        <v>58155806.636</v>
      </c>
      <c r="H3719">
        <v>601433.80799999996</v>
      </c>
      <c r="I3719">
        <v>25976105.699999999</v>
      </c>
      <c r="J3719">
        <v>4818950.9840000002</v>
      </c>
      <c r="K3719">
        <v>0</v>
      </c>
      <c r="L3719">
        <v>0</v>
      </c>
      <c r="M3719">
        <v>0</v>
      </c>
      <c r="T3719" s="9">
        <v>45108</v>
      </c>
      <c r="U3719" s="9">
        <v>45473</v>
      </c>
      <c r="V3719">
        <f>SUM(POTABLE_NONPOTABLE_API[[#This Row],[RESIDENTIAL_SINGLEFAMILY_GAL]:[OTHER_GAL]])</f>
        <v>89552297.127999991</v>
      </c>
      <c r="W3719">
        <f>SUM(POTABLE_NONPOTABLE_API[[#This Row],[NONPOTABLE_DEMAND_RESIDENTIAL_RECYCLED_WATER_GAL]:[NONPOTABLE_DEMAND_NONRESIDENTIAL_METERED_IRRIGATION_GAL]])</f>
        <v>0</v>
      </c>
      <c r="X3719" t="str">
        <f>IFERROR(INDEX(Crosswalk_API!$H$2:$H$527, MATCH(POTABLE_NONPOTABLE_API[[#This Row],[PWSID]], CW_PWSID_LIST, 0)), "")</f>
        <v>No</v>
      </c>
    </row>
    <row r="3720" spans="1:24" x14ac:dyDescent="0.25">
      <c r="A3720" t="s">
        <v>1819</v>
      </c>
      <c r="B3720" t="s">
        <v>1820</v>
      </c>
      <c r="C3720" t="s">
        <v>1821</v>
      </c>
      <c r="D3720" t="s">
        <v>1822</v>
      </c>
      <c r="E3720" s="9">
        <v>45413</v>
      </c>
      <c r="F3720" s="9">
        <v>45443</v>
      </c>
      <c r="G3720">
        <v>77628348.247999996</v>
      </c>
      <c r="H3720">
        <v>716633.81599999999</v>
      </c>
      <c r="I3720">
        <v>28602516.272</v>
      </c>
      <c r="J3720">
        <v>9937122.7680000011</v>
      </c>
      <c r="K3720">
        <v>0</v>
      </c>
      <c r="L3720">
        <v>0</v>
      </c>
      <c r="M3720">
        <v>0</v>
      </c>
      <c r="T3720" s="9">
        <v>45108</v>
      </c>
      <c r="U3720" s="9">
        <v>45473</v>
      </c>
      <c r="V3720">
        <f>SUM(POTABLE_NONPOTABLE_API[[#This Row],[RESIDENTIAL_SINGLEFAMILY_GAL]:[OTHER_GAL]])</f>
        <v>116884621.104</v>
      </c>
      <c r="W3720">
        <f>SUM(POTABLE_NONPOTABLE_API[[#This Row],[NONPOTABLE_DEMAND_RESIDENTIAL_RECYCLED_WATER_GAL]:[NONPOTABLE_DEMAND_NONRESIDENTIAL_METERED_IRRIGATION_GAL]])</f>
        <v>0</v>
      </c>
      <c r="X3720" t="str">
        <f>IFERROR(INDEX(Crosswalk_API!$H$2:$H$527, MATCH(POTABLE_NONPOTABLE_API[[#This Row],[PWSID]], CW_PWSID_LIST, 0)), "")</f>
        <v>No</v>
      </c>
    </row>
    <row r="3721" spans="1:24" x14ac:dyDescent="0.25">
      <c r="A3721" t="s">
        <v>1819</v>
      </c>
      <c r="B3721" t="s">
        <v>1820</v>
      </c>
      <c r="C3721" t="s">
        <v>1821</v>
      </c>
      <c r="D3721" t="s">
        <v>1822</v>
      </c>
      <c r="E3721" s="9">
        <v>45444</v>
      </c>
      <c r="F3721" s="9">
        <v>45473</v>
      </c>
      <c r="G3721">
        <v>103957534.492</v>
      </c>
      <c r="H3721">
        <v>552062.37600000005</v>
      </c>
      <c r="I3721">
        <v>29257061.772</v>
      </c>
      <c r="J3721">
        <v>17071294.692000002</v>
      </c>
      <c r="K3721">
        <v>0</v>
      </c>
      <c r="L3721">
        <v>0</v>
      </c>
      <c r="M3721">
        <v>0</v>
      </c>
      <c r="T3721" s="9">
        <v>45108</v>
      </c>
      <c r="U3721" s="9">
        <v>45473</v>
      </c>
      <c r="V3721">
        <f>SUM(POTABLE_NONPOTABLE_API[[#This Row],[RESIDENTIAL_SINGLEFAMILY_GAL]:[OTHER_GAL]])</f>
        <v>150837953.33200002</v>
      </c>
      <c r="W3721">
        <f>SUM(POTABLE_NONPOTABLE_API[[#This Row],[NONPOTABLE_DEMAND_RESIDENTIAL_RECYCLED_WATER_GAL]:[NONPOTABLE_DEMAND_NONRESIDENTIAL_METERED_IRRIGATION_GAL]])</f>
        <v>0</v>
      </c>
      <c r="X3721" t="str">
        <f>IFERROR(INDEX(Crosswalk_API!$H$2:$H$527, MATCH(POTABLE_NONPOTABLE_API[[#This Row],[PWSID]], CW_PWSID_LIST, 0)), "")</f>
        <v>No</v>
      </c>
    </row>
    <row r="3722" spans="1:24" x14ac:dyDescent="0.25">
      <c r="A3722" t="s">
        <v>1823</v>
      </c>
      <c r="B3722" t="s">
        <v>1824</v>
      </c>
      <c r="C3722" t="s">
        <v>1825</v>
      </c>
      <c r="D3722" t="s">
        <v>1826</v>
      </c>
      <c r="E3722" s="9">
        <v>45108</v>
      </c>
      <c r="F3722" s="9">
        <v>45138</v>
      </c>
      <c r="G3722">
        <v>41043369.083999999</v>
      </c>
      <c r="H3722">
        <v>3039335.2760000001</v>
      </c>
      <c r="I3722">
        <v>11629964.444</v>
      </c>
      <c r="J3722">
        <v>1880602.7280000001</v>
      </c>
      <c r="K3722">
        <v>0</v>
      </c>
      <c r="L3722">
        <v>18701.3</v>
      </c>
      <c r="M3722">
        <v>0</v>
      </c>
      <c r="N3722">
        <v>748.05200000000002</v>
      </c>
      <c r="O3722">
        <v>0</v>
      </c>
      <c r="P3722">
        <v>748.05200000000002</v>
      </c>
      <c r="Q3722">
        <v>0</v>
      </c>
      <c r="R3722">
        <v>0</v>
      </c>
      <c r="S3722">
        <v>1026327.344</v>
      </c>
      <c r="T3722" s="9">
        <v>45108</v>
      </c>
      <c r="U3722" s="9">
        <v>45473</v>
      </c>
      <c r="V3722">
        <f>SUM(POTABLE_NONPOTABLE_API[[#This Row],[RESIDENTIAL_SINGLEFAMILY_GAL]:[OTHER_GAL]])</f>
        <v>57611972.831999995</v>
      </c>
      <c r="W3722">
        <f>SUM(POTABLE_NONPOTABLE_API[[#This Row],[NONPOTABLE_DEMAND_RESIDENTIAL_RECYCLED_WATER_GAL]:[NONPOTABLE_DEMAND_NONRESIDENTIAL_METERED_IRRIGATION_GAL]])</f>
        <v>1027823.4480000001</v>
      </c>
      <c r="X3722" t="str">
        <f>IFERROR(INDEX(Crosswalk_API!$H$2:$H$527, MATCH(POTABLE_NONPOTABLE_API[[#This Row],[PWSID]], CW_PWSID_LIST, 0)), "")</f>
        <v>No</v>
      </c>
    </row>
    <row r="3723" spans="1:24" x14ac:dyDescent="0.25">
      <c r="A3723" t="s">
        <v>1823</v>
      </c>
      <c r="B3723" t="s">
        <v>1824</v>
      </c>
      <c r="C3723" t="s">
        <v>1825</v>
      </c>
      <c r="D3723" t="s">
        <v>1826</v>
      </c>
      <c r="E3723" s="9">
        <v>45139</v>
      </c>
      <c r="F3723" s="9">
        <v>45169</v>
      </c>
      <c r="G3723">
        <v>37526776.631999999</v>
      </c>
      <c r="H3723">
        <v>14027471.104</v>
      </c>
      <c r="I3723">
        <v>11629964.444</v>
      </c>
      <c r="J3723">
        <v>1880602.7280000001</v>
      </c>
      <c r="K3723">
        <v>0</v>
      </c>
      <c r="L3723">
        <v>18701.3</v>
      </c>
      <c r="M3723">
        <v>0</v>
      </c>
      <c r="N3723">
        <v>5460.7795999999998</v>
      </c>
      <c r="O3723">
        <v>0</v>
      </c>
      <c r="P3723">
        <v>0</v>
      </c>
      <c r="Q3723">
        <v>0</v>
      </c>
      <c r="R3723">
        <v>0</v>
      </c>
      <c r="S3723">
        <v>1315075.416</v>
      </c>
      <c r="T3723" s="9">
        <v>45108</v>
      </c>
      <c r="U3723" s="9">
        <v>45473</v>
      </c>
      <c r="V3723">
        <f>SUM(POTABLE_NONPOTABLE_API[[#This Row],[RESIDENTIAL_SINGLEFAMILY_GAL]:[OTHER_GAL]])</f>
        <v>65083516.207999997</v>
      </c>
      <c r="W3723">
        <f>SUM(POTABLE_NONPOTABLE_API[[#This Row],[NONPOTABLE_DEMAND_RESIDENTIAL_RECYCLED_WATER_GAL]:[NONPOTABLE_DEMAND_NONRESIDENTIAL_METERED_IRRIGATION_GAL]])</f>
        <v>1320536.1956</v>
      </c>
      <c r="X3723" t="str">
        <f>IFERROR(INDEX(Crosswalk_API!$H$2:$H$527, MATCH(POTABLE_NONPOTABLE_API[[#This Row],[PWSID]], CW_PWSID_LIST, 0)), "")</f>
        <v>No</v>
      </c>
    </row>
    <row r="3724" spans="1:24" x14ac:dyDescent="0.25">
      <c r="A3724" t="s">
        <v>1823</v>
      </c>
      <c r="B3724" t="s">
        <v>1824</v>
      </c>
      <c r="C3724" t="s">
        <v>1825</v>
      </c>
      <c r="D3724" t="s">
        <v>1826</v>
      </c>
      <c r="E3724" s="9">
        <v>45170</v>
      </c>
      <c r="F3724" s="9">
        <v>45199</v>
      </c>
      <c r="G3724">
        <v>45714953.824000001</v>
      </c>
      <c r="H3724">
        <v>2959293.7120000003</v>
      </c>
      <c r="I3724">
        <v>10625330.608000001</v>
      </c>
      <c r="J3724">
        <v>2503730.0440000002</v>
      </c>
      <c r="K3724">
        <v>0</v>
      </c>
      <c r="L3724">
        <v>17205.196</v>
      </c>
      <c r="M3724">
        <v>0</v>
      </c>
      <c r="N3724">
        <v>2954.8054000000002</v>
      </c>
      <c r="O3724">
        <v>0</v>
      </c>
      <c r="P3724">
        <v>0</v>
      </c>
      <c r="Q3724">
        <v>0</v>
      </c>
      <c r="R3724">
        <v>0</v>
      </c>
      <c r="S3724">
        <v>1063729.9440000001</v>
      </c>
      <c r="T3724" s="9">
        <v>45108</v>
      </c>
      <c r="U3724" s="9">
        <v>45473</v>
      </c>
      <c r="V3724">
        <f>SUM(POTABLE_NONPOTABLE_API[[#This Row],[RESIDENTIAL_SINGLEFAMILY_GAL]:[OTHER_GAL]])</f>
        <v>61820513.384000003</v>
      </c>
      <c r="W3724">
        <f>SUM(POTABLE_NONPOTABLE_API[[#This Row],[NONPOTABLE_DEMAND_RESIDENTIAL_RECYCLED_WATER_GAL]:[NONPOTABLE_DEMAND_NONRESIDENTIAL_METERED_IRRIGATION_GAL]])</f>
        <v>1066684.7494000001</v>
      </c>
      <c r="X3724" t="str">
        <f>IFERROR(INDEX(Crosswalk_API!$H$2:$H$527, MATCH(POTABLE_NONPOTABLE_API[[#This Row],[PWSID]], CW_PWSID_LIST, 0)), "")</f>
        <v>No</v>
      </c>
    </row>
    <row r="3725" spans="1:24" x14ac:dyDescent="0.25">
      <c r="A3725" t="s">
        <v>1823</v>
      </c>
      <c r="B3725" t="s">
        <v>1824</v>
      </c>
      <c r="C3725" t="s">
        <v>1825</v>
      </c>
      <c r="D3725" t="s">
        <v>1826</v>
      </c>
      <c r="E3725" s="9">
        <v>45200</v>
      </c>
      <c r="F3725" s="9">
        <v>45230</v>
      </c>
      <c r="G3725">
        <v>38758818.276000001</v>
      </c>
      <c r="H3725">
        <v>16022525.788000001</v>
      </c>
      <c r="I3725">
        <v>11528977.424000001</v>
      </c>
      <c r="J3725">
        <v>2110254.6920000003</v>
      </c>
      <c r="K3725">
        <v>0</v>
      </c>
      <c r="L3725">
        <v>250597.42</v>
      </c>
      <c r="M3725">
        <v>0</v>
      </c>
      <c r="N3725">
        <v>2450</v>
      </c>
      <c r="O3725">
        <v>0</v>
      </c>
      <c r="P3725">
        <v>0</v>
      </c>
      <c r="Q3725">
        <v>0</v>
      </c>
      <c r="R3725">
        <v>0</v>
      </c>
      <c r="S3725">
        <v>998417</v>
      </c>
      <c r="T3725" s="9">
        <v>45108</v>
      </c>
      <c r="U3725" s="9">
        <v>45473</v>
      </c>
      <c r="V3725">
        <f>SUM(POTABLE_NONPOTABLE_API[[#This Row],[RESIDENTIAL_SINGLEFAMILY_GAL]:[OTHER_GAL]])</f>
        <v>68671173.600000009</v>
      </c>
      <c r="W3725">
        <f>SUM(POTABLE_NONPOTABLE_API[[#This Row],[NONPOTABLE_DEMAND_RESIDENTIAL_RECYCLED_WATER_GAL]:[NONPOTABLE_DEMAND_NONRESIDENTIAL_METERED_IRRIGATION_GAL]])</f>
        <v>1000867</v>
      </c>
      <c r="X3725" t="str">
        <f>IFERROR(INDEX(Crosswalk_API!$H$2:$H$527, MATCH(POTABLE_NONPOTABLE_API[[#This Row],[PWSID]], CW_PWSID_LIST, 0)), "")</f>
        <v>No</v>
      </c>
    </row>
    <row r="3726" spans="1:24" x14ac:dyDescent="0.25">
      <c r="A3726" t="s">
        <v>1823</v>
      </c>
      <c r="B3726" t="s">
        <v>1824</v>
      </c>
      <c r="C3726" t="s">
        <v>1825</v>
      </c>
      <c r="D3726" t="s">
        <v>1826</v>
      </c>
      <c r="E3726" s="9">
        <v>45231</v>
      </c>
      <c r="F3726" s="9">
        <v>45260</v>
      </c>
      <c r="G3726">
        <v>46384460.364</v>
      </c>
      <c r="H3726">
        <v>2768540.452</v>
      </c>
      <c r="I3726">
        <v>8730514.8920000009</v>
      </c>
      <c r="J3726">
        <v>2514202.7719999999</v>
      </c>
      <c r="K3726">
        <v>0</v>
      </c>
      <c r="L3726">
        <v>0</v>
      </c>
      <c r="M3726">
        <v>0</v>
      </c>
      <c r="N3726">
        <v>431</v>
      </c>
      <c r="O3726">
        <v>0</v>
      </c>
      <c r="P3726">
        <v>0</v>
      </c>
      <c r="Q3726">
        <v>0</v>
      </c>
      <c r="R3726">
        <v>0</v>
      </c>
      <c r="S3726">
        <v>590172</v>
      </c>
      <c r="T3726" s="9">
        <v>45108</v>
      </c>
      <c r="U3726" s="9">
        <v>45473</v>
      </c>
      <c r="V3726">
        <f>SUM(POTABLE_NONPOTABLE_API[[#This Row],[RESIDENTIAL_SINGLEFAMILY_GAL]:[OTHER_GAL]])</f>
        <v>60397718.480000004</v>
      </c>
      <c r="W3726">
        <f>SUM(POTABLE_NONPOTABLE_API[[#This Row],[NONPOTABLE_DEMAND_RESIDENTIAL_RECYCLED_WATER_GAL]:[NONPOTABLE_DEMAND_NONRESIDENTIAL_METERED_IRRIGATION_GAL]])</f>
        <v>590603</v>
      </c>
      <c r="X3726" t="str">
        <f>IFERROR(INDEX(Crosswalk_API!$H$2:$H$527, MATCH(POTABLE_NONPOTABLE_API[[#This Row],[PWSID]], CW_PWSID_LIST, 0)), "")</f>
        <v>No</v>
      </c>
    </row>
    <row r="3727" spans="1:24" x14ac:dyDescent="0.25">
      <c r="A3727" t="s">
        <v>1823</v>
      </c>
      <c r="B3727" t="s">
        <v>1824</v>
      </c>
      <c r="C3727" t="s">
        <v>1825</v>
      </c>
      <c r="D3727" t="s">
        <v>1826</v>
      </c>
      <c r="E3727" s="9">
        <v>45261</v>
      </c>
      <c r="F3727" s="9">
        <v>45291</v>
      </c>
      <c r="G3727">
        <v>38165613.039999999</v>
      </c>
      <c r="H3727">
        <v>15094941.308</v>
      </c>
      <c r="I3727">
        <v>4172634.0560000003</v>
      </c>
      <c r="J3727">
        <v>2016000.1400000001</v>
      </c>
      <c r="K3727">
        <v>0</v>
      </c>
      <c r="L3727">
        <v>16457.144</v>
      </c>
      <c r="M3727">
        <v>0</v>
      </c>
      <c r="N3727">
        <v>0</v>
      </c>
      <c r="O3727">
        <v>0</v>
      </c>
      <c r="P3727">
        <v>0</v>
      </c>
      <c r="Q3727">
        <v>0</v>
      </c>
      <c r="R3727">
        <v>0</v>
      </c>
      <c r="S3727">
        <v>61340.264000000003</v>
      </c>
      <c r="T3727" s="9">
        <v>45108</v>
      </c>
      <c r="U3727" s="9">
        <v>45473</v>
      </c>
      <c r="V3727">
        <f>SUM(POTABLE_NONPOTABLE_API[[#This Row],[RESIDENTIAL_SINGLEFAMILY_GAL]:[OTHER_GAL]])</f>
        <v>59465645.688000001</v>
      </c>
      <c r="W3727">
        <f>SUM(POTABLE_NONPOTABLE_API[[#This Row],[NONPOTABLE_DEMAND_RESIDENTIAL_RECYCLED_WATER_GAL]:[NONPOTABLE_DEMAND_NONRESIDENTIAL_METERED_IRRIGATION_GAL]])</f>
        <v>61340.264000000003</v>
      </c>
      <c r="X3727" t="str">
        <f>IFERROR(INDEX(Crosswalk_API!$H$2:$H$527, MATCH(POTABLE_NONPOTABLE_API[[#This Row],[PWSID]], CW_PWSID_LIST, 0)), "")</f>
        <v>No</v>
      </c>
    </row>
    <row r="3728" spans="1:24" x14ac:dyDescent="0.25">
      <c r="A3728" t="s">
        <v>1823</v>
      </c>
      <c r="B3728" t="s">
        <v>1824</v>
      </c>
      <c r="C3728" t="s">
        <v>1825</v>
      </c>
      <c r="D3728" t="s">
        <v>1826</v>
      </c>
      <c r="E3728" s="9">
        <v>45292</v>
      </c>
      <c r="F3728" s="9">
        <v>45322</v>
      </c>
      <c r="G3728">
        <v>42418288.660000004</v>
      </c>
      <c r="H3728">
        <v>2416207.96</v>
      </c>
      <c r="I3728">
        <v>7057870.6200000001</v>
      </c>
      <c r="J3728">
        <v>1561184.524</v>
      </c>
      <c r="K3728">
        <v>0</v>
      </c>
      <c r="L3728">
        <v>16457.144</v>
      </c>
      <c r="M3728">
        <v>0</v>
      </c>
      <c r="N3728">
        <v>0</v>
      </c>
      <c r="O3728">
        <v>0</v>
      </c>
      <c r="P3728">
        <v>0</v>
      </c>
      <c r="Q3728">
        <v>0</v>
      </c>
      <c r="R3728">
        <v>0</v>
      </c>
      <c r="S3728">
        <v>53108</v>
      </c>
      <c r="T3728" s="9">
        <v>45108</v>
      </c>
      <c r="U3728" s="9">
        <v>45473</v>
      </c>
      <c r="V3728">
        <f>SUM(POTABLE_NONPOTABLE_API[[#This Row],[RESIDENTIAL_SINGLEFAMILY_GAL]:[OTHER_GAL]])</f>
        <v>53470008.908</v>
      </c>
      <c r="W3728">
        <f>SUM(POTABLE_NONPOTABLE_API[[#This Row],[NONPOTABLE_DEMAND_RESIDENTIAL_RECYCLED_WATER_GAL]:[NONPOTABLE_DEMAND_NONRESIDENTIAL_METERED_IRRIGATION_GAL]])</f>
        <v>53108</v>
      </c>
      <c r="X3728" t="str">
        <f>IFERROR(INDEX(Crosswalk_API!$H$2:$H$527, MATCH(POTABLE_NONPOTABLE_API[[#This Row],[PWSID]], CW_PWSID_LIST, 0)), "")</f>
        <v>No</v>
      </c>
    </row>
    <row r="3729" spans="1:24" x14ac:dyDescent="0.25">
      <c r="A3729" t="s">
        <v>1823</v>
      </c>
      <c r="B3729" t="s">
        <v>1824</v>
      </c>
      <c r="C3729" t="s">
        <v>1825</v>
      </c>
      <c r="D3729" t="s">
        <v>1826</v>
      </c>
      <c r="E3729" s="9">
        <v>45323</v>
      </c>
      <c r="F3729" s="9">
        <v>45351</v>
      </c>
      <c r="G3729">
        <v>35649914.164000005</v>
      </c>
      <c r="H3729">
        <v>13581632.112</v>
      </c>
      <c r="I3729">
        <v>11104831.939999999</v>
      </c>
      <c r="J3729">
        <v>623875.36800000002</v>
      </c>
      <c r="K3729">
        <v>0</v>
      </c>
      <c r="L3729">
        <v>16457.144</v>
      </c>
      <c r="M3729">
        <v>0</v>
      </c>
      <c r="N3729">
        <v>0</v>
      </c>
      <c r="O3729">
        <v>0</v>
      </c>
      <c r="P3729">
        <v>0</v>
      </c>
      <c r="Q3729">
        <v>0</v>
      </c>
      <c r="R3729">
        <v>0</v>
      </c>
      <c r="S3729">
        <v>1496.104</v>
      </c>
      <c r="T3729" s="9">
        <v>45108</v>
      </c>
      <c r="U3729" s="9">
        <v>45473</v>
      </c>
      <c r="V3729">
        <f>SUM(POTABLE_NONPOTABLE_API[[#This Row],[RESIDENTIAL_SINGLEFAMILY_GAL]:[OTHER_GAL]])</f>
        <v>60976710.728000008</v>
      </c>
      <c r="W3729">
        <f>SUM(POTABLE_NONPOTABLE_API[[#This Row],[NONPOTABLE_DEMAND_RESIDENTIAL_RECYCLED_WATER_GAL]:[NONPOTABLE_DEMAND_NONRESIDENTIAL_METERED_IRRIGATION_GAL]])</f>
        <v>1496.104</v>
      </c>
      <c r="X3729" t="str">
        <f>IFERROR(INDEX(Crosswalk_API!$H$2:$H$527, MATCH(POTABLE_NONPOTABLE_API[[#This Row],[PWSID]], CW_PWSID_LIST, 0)), "")</f>
        <v>No</v>
      </c>
    </row>
    <row r="3730" spans="1:24" x14ac:dyDescent="0.25">
      <c r="A3730" t="s">
        <v>1823</v>
      </c>
      <c r="B3730" t="s">
        <v>1824</v>
      </c>
      <c r="C3730" t="s">
        <v>1825</v>
      </c>
      <c r="D3730" t="s">
        <v>1826</v>
      </c>
      <c r="E3730" s="9">
        <v>45352</v>
      </c>
      <c r="F3730" s="9">
        <v>45382</v>
      </c>
      <c r="G3730">
        <v>38853072.828000002</v>
      </c>
      <c r="H3730">
        <v>2753579.412</v>
      </c>
      <c r="I3730">
        <v>5903626.3840000005</v>
      </c>
      <c r="J3730">
        <v>263314.304</v>
      </c>
      <c r="K3730">
        <v>0</v>
      </c>
      <c r="L3730">
        <v>14212.988000000001</v>
      </c>
      <c r="M3730">
        <v>0</v>
      </c>
      <c r="N3730">
        <v>0</v>
      </c>
      <c r="O3730">
        <v>0</v>
      </c>
      <c r="P3730">
        <v>0</v>
      </c>
      <c r="Q3730">
        <v>0</v>
      </c>
      <c r="R3730">
        <v>0</v>
      </c>
      <c r="S3730">
        <v>182524.68799999999</v>
      </c>
      <c r="T3730" s="9">
        <v>45108</v>
      </c>
      <c r="U3730" s="9">
        <v>45473</v>
      </c>
      <c r="V3730">
        <f>SUM(POTABLE_NONPOTABLE_API[[#This Row],[RESIDENTIAL_SINGLEFAMILY_GAL]:[OTHER_GAL]])</f>
        <v>47787805.916000001</v>
      </c>
      <c r="W3730">
        <f>SUM(POTABLE_NONPOTABLE_API[[#This Row],[NONPOTABLE_DEMAND_RESIDENTIAL_RECYCLED_WATER_GAL]:[NONPOTABLE_DEMAND_NONRESIDENTIAL_METERED_IRRIGATION_GAL]])</f>
        <v>182524.68799999999</v>
      </c>
      <c r="X3730" t="str">
        <f>IFERROR(INDEX(Crosswalk_API!$H$2:$H$527, MATCH(POTABLE_NONPOTABLE_API[[#This Row],[PWSID]], CW_PWSID_LIST, 0)), "")</f>
        <v>No</v>
      </c>
    </row>
    <row r="3731" spans="1:24" x14ac:dyDescent="0.25">
      <c r="A3731" t="s">
        <v>1823</v>
      </c>
      <c r="B3731" t="s">
        <v>1824</v>
      </c>
      <c r="C3731" t="s">
        <v>1825</v>
      </c>
      <c r="D3731" t="s">
        <v>1826</v>
      </c>
      <c r="E3731" s="9">
        <v>45383</v>
      </c>
      <c r="F3731" s="9">
        <v>45412</v>
      </c>
      <c r="G3731">
        <v>34678942.667999998</v>
      </c>
      <c r="H3731">
        <v>11176644.932</v>
      </c>
      <c r="I3731">
        <v>11074161.808</v>
      </c>
      <c r="J3731">
        <v>411428.60000000003</v>
      </c>
      <c r="K3731">
        <v>0</v>
      </c>
      <c r="L3731">
        <v>16457.144</v>
      </c>
      <c r="M3731">
        <v>0</v>
      </c>
      <c r="N3731">
        <v>0</v>
      </c>
      <c r="O3731">
        <v>0</v>
      </c>
      <c r="P3731">
        <v>0</v>
      </c>
      <c r="Q3731">
        <v>0</v>
      </c>
      <c r="R3731">
        <v>0</v>
      </c>
      <c r="S3731">
        <v>121932.47600000001</v>
      </c>
      <c r="T3731" s="9">
        <v>45108</v>
      </c>
      <c r="U3731" s="9">
        <v>45473</v>
      </c>
      <c r="V3731">
        <f>SUM(POTABLE_NONPOTABLE_API[[#This Row],[RESIDENTIAL_SINGLEFAMILY_GAL]:[OTHER_GAL]])</f>
        <v>57357635.151999995</v>
      </c>
      <c r="W3731">
        <f>SUM(POTABLE_NONPOTABLE_API[[#This Row],[NONPOTABLE_DEMAND_RESIDENTIAL_RECYCLED_WATER_GAL]:[NONPOTABLE_DEMAND_NONRESIDENTIAL_METERED_IRRIGATION_GAL]])</f>
        <v>121932.47600000001</v>
      </c>
      <c r="X3731" t="str">
        <f>IFERROR(INDEX(Crosswalk_API!$H$2:$H$527, MATCH(POTABLE_NONPOTABLE_API[[#This Row],[PWSID]], CW_PWSID_LIST, 0)), "")</f>
        <v>No</v>
      </c>
    </row>
    <row r="3732" spans="1:24" x14ac:dyDescent="0.25">
      <c r="A3732" t="s">
        <v>1823</v>
      </c>
      <c r="B3732" t="s">
        <v>1824</v>
      </c>
      <c r="C3732" t="s">
        <v>1825</v>
      </c>
      <c r="D3732" t="s">
        <v>1826</v>
      </c>
      <c r="E3732" s="9">
        <v>45413</v>
      </c>
      <c r="F3732" s="9">
        <v>45443</v>
      </c>
      <c r="G3732">
        <v>37414568.832000002</v>
      </c>
      <c r="H3732">
        <v>2370576.7880000002</v>
      </c>
      <c r="I3732">
        <v>5316405.5640000002</v>
      </c>
      <c r="J3732">
        <v>290992.228</v>
      </c>
      <c r="K3732">
        <v>0</v>
      </c>
      <c r="L3732">
        <v>11968.832</v>
      </c>
      <c r="M3732">
        <v>0</v>
      </c>
      <c r="N3732">
        <v>0</v>
      </c>
      <c r="O3732">
        <v>0</v>
      </c>
      <c r="P3732">
        <v>0</v>
      </c>
      <c r="Q3732">
        <v>0</v>
      </c>
      <c r="R3732">
        <v>0</v>
      </c>
      <c r="S3732">
        <v>195989.62400000001</v>
      </c>
      <c r="T3732" s="9">
        <v>45108</v>
      </c>
      <c r="U3732" s="9">
        <v>45473</v>
      </c>
      <c r="V3732">
        <f>SUM(POTABLE_NONPOTABLE_API[[#This Row],[RESIDENTIAL_SINGLEFAMILY_GAL]:[OTHER_GAL]])</f>
        <v>45404512.24400001</v>
      </c>
      <c r="W3732">
        <f>SUM(POTABLE_NONPOTABLE_API[[#This Row],[NONPOTABLE_DEMAND_RESIDENTIAL_RECYCLED_WATER_GAL]:[NONPOTABLE_DEMAND_NONRESIDENTIAL_METERED_IRRIGATION_GAL]])</f>
        <v>195989.62400000001</v>
      </c>
      <c r="X3732" t="str">
        <f>IFERROR(INDEX(Crosswalk_API!$H$2:$H$527, MATCH(POTABLE_NONPOTABLE_API[[#This Row],[PWSID]], CW_PWSID_LIST, 0)), "")</f>
        <v>No</v>
      </c>
    </row>
    <row r="3733" spans="1:24" x14ac:dyDescent="0.25">
      <c r="A3733" t="s">
        <v>1823</v>
      </c>
      <c r="B3733" t="s">
        <v>1824</v>
      </c>
      <c r="C3733" t="s">
        <v>1825</v>
      </c>
      <c r="D3733" t="s">
        <v>1826</v>
      </c>
      <c r="E3733" s="9">
        <v>45444</v>
      </c>
      <c r="F3733" s="9">
        <v>45473</v>
      </c>
      <c r="G3733">
        <v>34937768.660000004</v>
      </c>
      <c r="H3733">
        <v>14925881.556</v>
      </c>
      <c r="I3733">
        <v>11353185.204</v>
      </c>
      <c r="J3733">
        <v>428633.79600000003</v>
      </c>
      <c r="K3733">
        <v>0</v>
      </c>
      <c r="L3733">
        <v>44883.12</v>
      </c>
      <c r="M3733">
        <v>0</v>
      </c>
      <c r="N3733">
        <v>0</v>
      </c>
      <c r="O3733">
        <v>0</v>
      </c>
      <c r="P3733">
        <v>0</v>
      </c>
      <c r="Q3733">
        <v>0</v>
      </c>
      <c r="R3733">
        <v>0</v>
      </c>
      <c r="S3733">
        <v>817620.83600000001</v>
      </c>
      <c r="T3733" s="9">
        <v>45108</v>
      </c>
      <c r="U3733" s="9">
        <v>45473</v>
      </c>
      <c r="V3733">
        <f>SUM(POTABLE_NONPOTABLE_API[[#This Row],[RESIDENTIAL_SINGLEFAMILY_GAL]:[OTHER_GAL]])</f>
        <v>61690352.335999995</v>
      </c>
      <c r="W3733">
        <f>SUM(POTABLE_NONPOTABLE_API[[#This Row],[NONPOTABLE_DEMAND_RESIDENTIAL_RECYCLED_WATER_GAL]:[NONPOTABLE_DEMAND_NONRESIDENTIAL_METERED_IRRIGATION_GAL]])</f>
        <v>817620.83600000001</v>
      </c>
      <c r="X3733" t="str">
        <f>IFERROR(INDEX(Crosswalk_API!$H$2:$H$527, MATCH(POTABLE_NONPOTABLE_API[[#This Row],[PWSID]], CW_PWSID_LIST, 0)), "")</f>
        <v>No</v>
      </c>
    </row>
    <row r="3734" spans="1:24" x14ac:dyDescent="0.25">
      <c r="A3734" t="s">
        <v>1827</v>
      </c>
      <c r="B3734" t="s">
        <v>1828</v>
      </c>
      <c r="C3734" t="s">
        <v>1829</v>
      </c>
      <c r="D3734" t="s">
        <v>1830</v>
      </c>
      <c r="E3734" s="9">
        <v>45108</v>
      </c>
      <c r="F3734" s="9">
        <v>45138</v>
      </c>
      <c r="G3734">
        <v>155495977</v>
      </c>
      <c r="H3734">
        <v>32382745</v>
      </c>
      <c r="I3734">
        <v>33111641</v>
      </c>
      <c r="J3734">
        <v>18889225</v>
      </c>
      <c r="K3734">
        <v>0</v>
      </c>
      <c r="L3734">
        <v>0</v>
      </c>
      <c r="M3734">
        <v>19018</v>
      </c>
      <c r="N3734">
        <v>0</v>
      </c>
      <c r="O3734">
        <v>0</v>
      </c>
      <c r="P3734">
        <v>0</v>
      </c>
      <c r="Q3734">
        <v>0</v>
      </c>
      <c r="R3734">
        <v>0</v>
      </c>
      <c r="S3734">
        <v>31753180</v>
      </c>
      <c r="T3734" s="9">
        <v>45108</v>
      </c>
      <c r="U3734" s="9">
        <v>45473</v>
      </c>
      <c r="V3734">
        <f>SUM(POTABLE_NONPOTABLE_API[[#This Row],[RESIDENTIAL_SINGLEFAMILY_GAL]:[OTHER_GAL]])</f>
        <v>239879588</v>
      </c>
      <c r="W3734">
        <f>SUM(POTABLE_NONPOTABLE_API[[#This Row],[NONPOTABLE_DEMAND_RESIDENTIAL_RECYCLED_WATER_GAL]:[NONPOTABLE_DEMAND_NONRESIDENTIAL_METERED_IRRIGATION_GAL]])</f>
        <v>31753180</v>
      </c>
      <c r="X3734" t="str">
        <f>IFERROR(INDEX(Crosswalk_API!$H$2:$H$527, MATCH(POTABLE_NONPOTABLE_API[[#This Row],[PWSID]], CW_PWSID_LIST, 0)), "")</f>
        <v>No</v>
      </c>
    </row>
    <row r="3735" spans="1:24" x14ac:dyDescent="0.25">
      <c r="A3735" t="s">
        <v>1827</v>
      </c>
      <c r="B3735" t="s">
        <v>1828</v>
      </c>
      <c r="C3735" t="s">
        <v>1829</v>
      </c>
      <c r="D3735" t="s">
        <v>1830</v>
      </c>
      <c r="E3735" s="9">
        <v>45139</v>
      </c>
      <c r="F3735" s="9">
        <v>45169</v>
      </c>
      <c r="G3735">
        <v>156358397</v>
      </c>
      <c r="H3735">
        <v>33108954</v>
      </c>
      <c r="I3735">
        <v>33805723</v>
      </c>
      <c r="J3735">
        <v>20964525</v>
      </c>
      <c r="K3735">
        <v>0</v>
      </c>
      <c r="L3735">
        <v>0</v>
      </c>
      <c r="M3735">
        <v>17855</v>
      </c>
      <c r="N3735">
        <v>0</v>
      </c>
      <c r="O3735">
        <v>0</v>
      </c>
      <c r="P3735">
        <v>0</v>
      </c>
      <c r="Q3735">
        <v>0</v>
      </c>
      <c r="R3735">
        <v>23648768</v>
      </c>
      <c r="S3735">
        <v>31365314</v>
      </c>
      <c r="T3735" s="9">
        <v>45108</v>
      </c>
      <c r="U3735" s="9">
        <v>45473</v>
      </c>
      <c r="V3735">
        <f>SUM(POTABLE_NONPOTABLE_API[[#This Row],[RESIDENTIAL_SINGLEFAMILY_GAL]:[OTHER_GAL]])</f>
        <v>244237599</v>
      </c>
      <c r="W3735">
        <f>SUM(POTABLE_NONPOTABLE_API[[#This Row],[NONPOTABLE_DEMAND_RESIDENTIAL_RECYCLED_WATER_GAL]:[NONPOTABLE_DEMAND_NONRESIDENTIAL_METERED_IRRIGATION_GAL]])</f>
        <v>55014082</v>
      </c>
      <c r="X3735" t="str">
        <f>IFERROR(INDEX(Crosswalk_API!$H$2:$H$527, MATCH(POTABLE_NONPOTABLE_API[[#This Row],[PWSID]], CW_PWSID_LIST, 0)), "")</f>
        <v>No</v>
      </c>
    </row>
    <row r="3736" spans="1:24" x14ac:dyDescent="0.25">
      <c r="A3736" t="s">
        <v>1827</v>
      </c>
      <c r="B3736" t="s">
        <v>1828</v>
      </c>
      <c r="C3736" t="s">
        <v>1829</v>
      </c>
      <c r="D3736" t="s">
        <v>1830</v>
      </c>
      <c r="E3736" s="9">
        <v>45170</v>
      </c>
      <c r="F3736" s="9">
        <v>45199</v>
      </c>
      <c r="G3736">
        <v>140599077</v>
      </c>
      <c r="H3736">
        <v>31144183</v>
      </c>
      <c r="I3736">
        <v>30726360</v>
      </c>
      <c r="J3736">
        <v>18870852</v>
      </c>
      <c r="K3736">
        <v>0</v>
      </c>
      <c r="L3736">
        <v>0</v>
      </c>
      <c r="M3736">
        <v>24359</v>
      </c>
      <c r="N3736">
        <v>0</v>
      </c>
      <c r="O3736">
        <v>0</v>
      </c>
      <c r="P3736">
        <v>0</v>
      </c>
      <c r="Q3736">
        <v>0</v>
      </c>
      <c r="R3736">
        <v>0</v>
      </c>
      <c r="S3736">
        <v>22241807</v>
      </c>
      <c r="T3736" s="9">
        <v>45108</v>
      </c>
      <c r="U3736" s="9">
        <v>45473</v>
      </c>
      <c r="V3736">
        <f>SUM(POTABLE_NONPOTABLE_API[[#This Row],[RESIDENTIAL_SINGLEFAMILY_GAL]:[OTHER_GAL]])</f>
        <v>221340472</v>
      </c>
      <c r="W3736">
        <f>SUM(POTABLE_NONPOTABLE_API[[#This Row],[NONPOTABLE_DEMAND_RESIDENTIAL_RECYCLED_WATER_GAL]:[NONPOTABLE_DEMAND_NONRESIDENTIAL_METERED_IRRIGATION_GAL]])</f>
        <v>22241807</v>
      </c>
      <c r="X3736" t="str">
        <f>IFERROR(INDEX(Crosswalk_API!$H$2:$H$527, MATCH(POTABLE_NONPOTABLE_API[[#This Row],[PWSID]], CW_PWSID_LIST, 0)), "")</f>
        <v>No</v>
      </c>
    </row>
    <row r="3737" spans="1:24" x14ac:dyDescent="0.25">
      <c r="A3737" t="s">
        <v>1827</v>
      </c>
      <c r="B3737" t="s">
        <v>1828</v>
      </c>
      <c r="C3737" t="s">
        <v>1829</v>
      </c>
      <c r="D3737" t="s">
        <v>1830</v>
      </c>
      <c r="E3737" s="9">
        <v>45200</v>
      </c>
      <c r="F3737" s="9">
        <v>45230</v>
      </c>
      <c r="G3737">
        <v>129143880</v>
      </c>
      <c r="H3737">
        <v>31500608</v>
      </c>
      <c r="I3737">
        <v>29995948</v>
      </c>
      <c r="J3737">
        <v>15851340</v>
      </c>
      <c r="K3737">
        <v>0</v>
      </c>
      <c r="L3737">
        <v>0</v>
      </c>
      <c r="M3737">
        <v>25662</v>
      </c>
      <c r="N3737">
        <v>0</v>
      </c>
      <c r="O3737">
        <v>0</v>
      </c>
      <c r="P3737">
        <v>0</v>
      </c>
      <c r="Q3737">
        <v>0</v>
      </c>
      <c r="R3737">
        <v>12977800</v>
      </c>
      <c r="S3737">
        <v>15991695</v>
      </c>
      <c r="T3737" s="9">
        <v>45108</v>
      </c>
      <c r="U3737" s="9">
        <v>45473</v>
      </c>
      <c r="V3737">
        <f>SUM(POTABLE_NONPOTABLE_API[[#This Row],[RESIDENTIAL_SINGLEFAMILY_GAL]:[OTHER_GAL]])</f>
        <v>206491776</v>
      </c>
      <c r="W3737">
        <f>SUM(POTABLE_NONPOTABLE_API[[#This Row],[NONPOTABLE_DEMAND_RESIDENTIAL_RECYCLED_WATER_GAL]:[NONPOTABLE_DEMAND_NONRESIDENTIAL_METERED_IRRIGATION_GAL]])</f>
        <v>28969495</v>
      </c>
      <c r="X3737" t="str">
        <f>IFERROR(INDEX(Crosswalk_API!$H$2:$H$527, MATCH(POTABLE_NONPOTABLE_API[[#This Row],[PWSID]], CW_PWSID_LIST, 0)), "")</f>
        <v>No</v>
      </c>
    </row>
    <row r="3738" spans="1:24" x14ac:dyDescent="0.25">
      <c r="A3738" t="s">
        <v>1827</v>
      </c>
      <c r="B3738" t="s">
        <v>1828</v>
      </c>
      <c r="C3738" t="s">
        <v>1829</v>
      </c>
      <c r="D3738" t="s">
        <v>1830</v>
      </c>
      <c r="E3738" s="9">
        <v>45231</v>
      </c>
      <c r="F3738" s="9">
        <v>45260</v>
      </c>
      <c r="G3738">
        <v>89217230</v>
      </c>
      <c r="H3738">
        <v>29067565</v>
      </c>
      <c r="I3738">
        <v>23616461</v>
      </c>
      <c r="J3738">
        <v>8612379</v>
      </c>
      <c r="K3738">
        <v>0</v>
      </c>
      <c r="L3738">
        <v>0</v>
      </c>
      <c r="M3738">
        <v>9204</v>
      </c>
      <c r="N3738">
        <v>0</v>
      </c>
      <c r="O3738">
        <v>0</v>
      </c>
      <c r="P3738">
        <v>0</v>
      </c>
      <c r="Q3738">
        <v>0</v>
      </c>
      <c r="R3738">
        <v>0</v>
      </c>
      <c r="S3738">
        <v>5554702</v>
      </c>
      <c r="T3738" s="9">
        <v>45108</v>
      </c>
      <c r="U3738" s="9">
        <v>45473</v>
      </c>
      <c r="V3738">
        <f>SUM(POTABLE_NONPOTABLE_API[[#This Row],[RESIDENTIAL_SINGLEFAMILY_GAL]:[OTHER_GAL]])</f>
        <v>150513635</v>
      </c>
      <c r="W3738">
        <f>SUM(POTABLE_NONPOTABLE_API[[#This Row],[NONPOTABLE_DEMAND_RESIDENTIAL_RECYCLED_WATER_GAL]:[NONPOTABLE_DEMAND_NONRESIDENTIAL_METERED_IRRIGATION_GAL]])</f>
        <v>5554702</v>
      </c>
      <c r="X3738" t="str">
        <f>IFERROR(INDEX(Crosswalk_API!$H$2:$H$527, MATCH(POTABLE_NONPOTABLE_API[[#This Row],[PWSID]], CW_PWSID_LIST, 0)), "")</f>
        <v>No</v>
      </c>
    </row>
    <row r="3739" spans="1:24" x14ac:dyDescent="0.25">
      <c r="A3739" t="s">
        <v>1827</v>
      </c>
      <c r="B3739" t="s">
        <v>1828</v>
      </c>
      <c r="C3739" t="s">
        <v>1829</v>
      </c>
      <c r="D3739" t="s">
        <v>1830</v>
      </c>
      <c r="E3739" s="9">
        <v>45261</v>
      </c>
      <c r="F3739" s="9">
        <v>45291</v>
      </c>
      <c r="G3739">
        <v>71192181</v>
      </c>
      <c r="H3739">
        <v>28738029</v>
      </c>
      <c r="I3739">
        <v>22094331</v>
      </c>
      <c r="J3739">
        <v>2976051</v>
      </c>
      <c r="K3739">
        <v>0</v>
      </c>
      <c r="L3739">
        <v>0</v>
      </c>
      <c r="M3739">
        <v>4440</v>
      </c>
      <c r="N3739">
        <v>0</v>
      </c>
      <c r="O3739">
        <v>0</v>
      </c>
      <c r="P3739">
        <v>0</v>
      </c>
      <c r="Q3739">
        <v>0</v>
      </c>
      <c r="R3739">
        <v>2541704</v>
      </c>
      <c r="S3739">
        <v>994616</v>
      </c>
      <c r="T3739" s="9">
        <v>45108</v>
      </c>
      <c r="U3739" s="9">
        <v>45473</v>
      </c>
      <c r="V3739">
        <f>SUM(POTABLE_NONPOTABLE_API[[#This Row],[RESIDENTIAL_SINGLEFAMILY_GAL]:[OTHER_GAL]])</f>
        <v>125000592</v>
      </c>
      <c r="W3739">
        <f>SUM(POTABLE_NONPOTABLE_API[[#This Row],[NONPOTABLE_DEMAND_RESIDENTIAL_RECYCLED_WATER_GAL]:[NONPOTABLE_DEMAND_NONRESIDENTIAL_METERED_IRRIGATION_GAL]])</f>
        <v>3536320</v>
      </c>
      <c r="X3739" t="str">
        <f>IFERROR(INDEX(Crosswalk_API!$H$2:$H$527, MATCH(POTABLE_NONPOTABLE_API[[#This Row],[PWSID]], CW_PWSID_LIST, 0)), "")</f>
        <v>No</v>
      </c>
    </row>
    <row r="3740" spans="1:24" x14ac:dyDescent="0.25">
      <c r="A3740" t="s">
        <v>1827</v>
      </c>
      <c r="B3740" t="s">
        <v>1828</v>
      </c>
      <c r="C3740" t="s">
        <v>1829</v>
      </c>
      <c r="D3740" t="s">
        <v>1830</v>
      </c>
      <c r="E3740" s="9">
        <v>45292</v>
      </c>
      <c r="F3740" s="9">
        <v>45322</v>
      </c>
      <c r="G3740">
        <v>63210492</v>
      </c>
      <c r="H3740">
        <v>28487230</v>
      </c>
      <c r="I3740">
        <v>21550825</v>
      </c>
      <c r="J3740">
        <v>2062825</v>
      </c>
      <c r="K3740">
        <v>0</v>
      </c>
      <c r="L3740">
        <v>0</v>
      </c>
      <c r="M3740">
        <v>5991</v>
      </c>
      <c r="N3740">
        <v>0</v>
      </c>
      <c r="O3740">
        <v>0</v>
      </c>
      <c r="P3740">
        <v>0</v>
      </c>
      <c r="Q3740">
        <v>0</v>
      </c>
      <c r="R3740">
        <v>0</v>
      </c>
      <c r="S3740">
        <v>566181</v>
      </c>
      <c r="T3740" s="9">
        <v>45108</v>
      </c>
      <c r="U3740" s="9">
        <v>45473</v>
      </c>
      <c r="V3740">
        <f>SUM(POTABLE_NONPOTABLE_API[[#This Row],[RESIDENTIAL_SINGLEFAMILY_GAL]:[OTHER_GAL]])</f>
        <v>115311372</v>
      </c>
      <c r="W3740">
        <f>SUM(POTABLE_NONPOTABLE_API[[#This Row],[NONPOTABLE_DEMAND_RESIDENTIAL_RECYCLED_WATER_GAL]:[NONPOTABLE_DEMAND_NONRESIDENTIAL_METERED_IRRIGATION_GAL]])</f>
        <v>566181</v>
      </c>
      <c r="X3740" t="str">
        <f>IFERROR(INDEX(Crosswalk_API!$H$2:$H$527, MATCH(POTABLE_NONPOTABLE_API[[#This Row],[PWSID]], CW_PWSID_LIST, 0)), "")</f>
        <v>No</v>
      </c>
    </row>
    <row r="3741" spans="1:24" x14ac:dyDescent="0.25">
      <c r="A3741" t="s">
        <v>1827</v>
      </c>
      <c r="B3741" t="s">
        <v>1828</v>
      </c>
      <c r="C3741" t="s">
        <v>1829</v>
      </c>
      <c r="D3741" t="s">
        <v>1830</v>
      </c>
      <c r="E3741" s="9">
        <v>45323</v>
      </c>
      <c r="F3741" s="9">
        <v>45351</v>
      </c>
      <c r="G3741">
        <v>56822180</v>
      </c>
      <c r="H3741">
        <v>26599910</v>
      </c>
      <c r="I3741">
        <v>19577060</v>
      </c>
      <c r="J3741">
        <v>1628597</v>
      </c>
      <c r="K3741">
        <v>0</v>
      </c>
      <c r="L3741">
        <v>0</v>
      </c>
      <c r="M3741">
        <v>9834</v>
      </c>
      <c r="N3741">
        <v>0</v>
      </c>
      <c r="O3741">
        <v>0</v>
      </c>
      <c r="P3741">
        <v>0</v>
      </c>
      <c r="Q3741">
        <v>0</v>
      </c>
      <c r="R3741">
        <v>116980</v>
      </c>
      <c r="S3741">
        <v>489682</v>
      </c>
      <c r="T3741" s="9">
        <v>45108</v>
      </c>
      <c r="U3741" s="9">
        <v>45473</v>
      </c>
      <c r="V3741">
        <f>SUM(POTABLE_NONPOTABLE_API[[#This Row],[RESIDENTIAL_SINGLEFAMILY_GAL]:[OTHER_GAL]])</f>
        <v>104627747</v>
      </c>
      <c r="W3741">
        <f>SUM(POTABLE_NONPOTABLE_API[[#This Row],[NONPOTABLE_DEMAND_RESIDENTIAL_RECYCLED_WATER_GAL]:[NONPOTABLE_DEMAND_NONRESIDENTIAL_METERED_IRRIGATION_GAL]])</f>
        <v>606662</v>
      </c>
      <c r="X3741" t="str">
        <f>IFERROR(INDEX(Crosswalk_API!$H$2:$H$527, MATCH(POTABLE_NONPOTABLE_API[[#This Row],[PWSID]], CW_PWSID_LIST, 0)), "")</f>
        <v>No</v>
      </c>
    </row>
    <row r="3742" spans="1:24" x14ac:dyDescent="0.25">
      <c r="A3742" t="s">
        <v>1827</v>
      </c>
      <c r="B3742" t="s">
        <v>1828</v>
      </c>
      <c r="C3742" t="s">
        <v>1829</v>
      </c>
      <c r="D3742" t="s">
        <v>1830</v>
      </c>
      <c r="E3742" s="9">
        <v>45352</v>
      </c>
      <c r="F3742" s="9">
        <v>45382</v>
      </c>
      <c r="G3742">
        <v>63507860</v>
      </c>
      <c r="H3742">
        <v>28822550</v>
      </c>
      <c r="I3742">
        <v>22060962</v>
      </c>
      <c r="J3742">
        <v>1823800</v>
      </c>
      <c r="K3742">
        <v>0</v>
      </c>
      <c r="L3742">
        <v>0</v>
      </c>
      <c r="M3742">
        <v>58229</v>
      </c>
      <c r="N3742">
        <v>0</v>
      </c>
      <c r="O3742">
        <v>0</v>
      </c>
      <c r="P3742">
        <v>0</v>
      </c>
      <c r="Q3742">
        <v>0</v>
      </c>
      <c r="R3742">
        <v>0</v>
      </c>
      <c r="S3742">
        <v>735412</v>
      </c>
      <c r="T3742" s="9">
        <v>45108</v>
      </c>
      <c r="U3742" s="9">
        <v>45473</v>
      </c>
      <c r="V3742">
        <f>SUM(POTABLE_NONPOTABLE_API[[#This Row],[RESIDENTIAL_SINGLEFAMILY_GAL]:[OTHER_GAL]])</f>
        <v>116215172</v>
      </c>
      <c r="W3742">
        <f>SUM(POTABLE_NONPOTABLE_API[[#This Row],[NONPOTABLE_DEMAND_RESIDENTIAL_RECYCLED_WATER_GAL]:[NONPOTABLE_DEMAND_NONRESIDENTIAL_METERED_IRRIGATION_GAL]])</f>
        <v>735412</v>
      </c>
      <c r="X3742" t="str">
        <f>IFERROR(INDEX(Crosswalk_API!$H$2:$H$527, MATCH(POTABLE_NONPOTABLE_API[[#This Row],[PWSID]], CW_PWSID_LIST, 0)), "")</f>
        <v>No</v>
      </c>
    </row>
    <row r="3743" spans="1:24" x14ac:dyDescent="0.25">
      <c r="A3743" t="s">
        <v>1827</v>
      </c>
      <c r="B3743" t="s">
        <v>1828</v>
      </c>
      <c r="C3743" t="s">
        <v>1829</v>
      </c>
      <c r="D3743" t="s">
        <v>1830</v>
      </c>
      <c r="E3743" s="9">
        <v>45383</v>
      </c>
      <c r="F3743" s="9">
        <v>45412</v>
      </c>
      <c r="G3743">
        <v>81434343</v>
      </c>
      <c r="H3743">
        <v>28367822</v>
      </c>
      <c r="I3743">
        <v>24282499</v>
      </c>
      <c r="J3743">
        <v>3918481</v>
      </c>
      <c r="K3743">
        <v>0</v>
      </c>
      <c r="L3743">
        <v>0</v>
      </c>
      <c r="M3743">
        <v>40991</v>
      </c>
      <c r="N3743">
        <v>0</v>
      </c>
      <c r="O3743">
        <v>0</v>
      </c>
      <c r="P3743">
        <v>0</v>
      </c>
      <c r="Q3743">
        <v>0</v>
      </c>
      <c r="R3743">
        <v>372504</v>
      </c>
      <c r="S3743">
        <v>6037017</v>
      </c>
      <c r="T3743" s="9">
        <v>45108</v>
      </c>
      <c r="U3743" s="9">
        <v>45473</v>
      </c>
      <c r="V3743">
        <f>SUM(POTABLE_NONPOTABLE_API[[#This Row],[RESIDENTIAL_SINGLEFAMILY_GAL]:[OTHER_GAL]])</f>
        <v>138003145</v>
      </c>
      <c r="W3743">
        <f>SUM(POTABLE_NONPOTABLE_API[[#This Row],[NONPOTABLE_DEMAND_RESIDENTIAL_RECYCLED_WATER_GAL]:[NONPOTABLE_DEMAND_NONRESIDENTIAL_METERED_IRRIGATION_GAL]])</f>
        <v>6409521</v>
      </c>
      <c r="X3743" t="str">
        <f>IFERROR(INDEX(Crosswalk_API!$H$2:$H$527, MATCH(POTABLE_NONPOTABLE_API[[#This Row],[PWSID]], CW_PWSID_LIST, 0)), "")</f>
        <v>No</v>
      </c>
    </row>
    <row r="3744" spans="1:24" x14ac:dyDescent="0.25">
      <c r="A3744" t="s">
        <v>1827</v>
      </c>
      <c r="B3744" t="s">
        <v>1828</v>
      </c>
      <c r="C3744" t="s">
        <v>1829</v>
      </c>
      <c r="D3744" t="s">
        <v>1830</v>
      </c>
      <c r="E3744" s="9">
        <v>45413</v>
      </c>
      <c r="F3744" s="9">
        <v>45443</v>
      </c>
      <c r="G3744">
        <v>124368508</v>
      </c>
      <c r="H3744">
        <v>30348832</v>
      </c>
      <c r="I3744">
        <v>30540030</v>
      </c>
      <c r="J3744">
        <v>12647504</v>
      </c>
      <c r="K3744">
        <v>0</v>
      </c>
      <c r="L3744">
        <v>0</v>
      </c>
      <c r="M3744">
        <v>5601</v>
      </c>
      <c r="N3744">
        <v>0</v>
      </c>
      <c r="O3744">
        <v>0</v>
      </c>
      <c r="P3744">
        <v>0</v>
      </c>
      <c r="Q3744">
        <v>0</v>
      </c>
      <c r="R3744">
        <v>0</v>
      </c>
      <c r="S3744">
        <v>23932082</v>
      </c>
      <c r="T3744" s="9">
        <v>45108</v>
      </c>
      <c r="U3744" s="9">
        <v>45473</v>
      </c>
      <c r="V3744">
        <f>SUM(POTABLE_NONPOTABLE_API[[#This Row],[RESIDENTIAL_SINGLEFAMILY_GAL]:[OTHER_GAL]])</f>
        <v>197904874</v>
      </c>
      <c r="W3744">
        <f>SUM(POTABLE_NONPOTABLE_API[[#This Row],[NONPOTABLE_DEMAND_RESIDENTIAL_RECYCLED_WATER_GAL]:[NONPOTABLE_DEMAND_NONRESIDENTIAL_METERED_IRRIGATION_GAL]])</f>
        <v>23932082</v>
      </c>
      <c r="X3744" t="str">
        <f>IFERROR(INDEX(Crosswalk_API!$H$2:$H$527, MATCH(POTABLE_NONPOTABLE_API[[#This Row],[PWSID]], CW_PWSID_LIST, 0)), "")</f>
        <v>No</v>
      </c>
    </row>
    <row r="3745" spans="1:24" x14ac:dyDescent="0.25">
      <c r="A3745" t="s">
        <v>1827</v>
      </c>
      <c r="B3745" t="s">
        <v>1828</v>
      </c>
      <c r="C3745" t="s">
        <v>1829</v>
      </c>
      <c r="D3745" t="s">
        <v>1830</v>
      </c>
      <c r="E3745" s="9">
        <v>45444</v>
      </c>
      <c r="F3745" s="9">
        <v>45473</v>
      </c>
      <c r="G3745">
        <v>152783881</v>
      </c>
      <c r="H3745">
        <v>31246283</v>
      </c>
      <c r="I3745">
        <v>36798222</v>
      </c>
      <c r="J3745">
        <v>17226043</v>
      </c>
      <c r="K3745">
        <v>0</v>
      </c>
      <c r="L3745">
        <v>0</v>
      </c>
      <c r="M3745">
        <v>14538</v>
      </c>
      <c r="N3745">
        <v>0</v>
      </c>
      <c r="O3745">
        <v>0</v>
      </c>
      <c r="P3745">
        <v>0</v>
      </c>
      <c r="Q3745">
        <v>0</v>
      </c>
      <c r="R3745">
        <v>17758268</v>
      </c>
      <c r="S3745">
        <v>32230282</v>
      </c>
      <c r="T3745" s="9">
        <v>45108</v>
      </c>
      <c r="U3745" s="9">
        <v>45473</v>
      </c>
      <c r="V3745">
        <f>SUM(POTABLE_NONPOTABLE_API[[#This Row],[RESIDENTIAL_SINGLEFAMILY_GAL]:[OTHER_GAL]])</f>
        <v>238054429</v>
      </c>
      <c r="W3745">
        <f>SUM(POTABLE_NONPOTABLE_API[[#This Row],[NONPOTABLE_DEMAND_RESIDENTIAL_RECYCLED_WATER_GAL]:[NONPOTABLE_DEMAND_NONRESIDENTIAL_METERED_IRRIGATION_GAL]])</f>
        <v>49988550</v>
      </c>
      <c r="X3745" t="str">
        <f>IFERROR(INDEX(Crosswalk_API!$H$2:$H$527, MATCH(POTABLE_NONPOTABLE_API[[#This Row],[PWSID]], CW_PWSID_LIST, 0)), "")</f>
        <v>No</v>
      </c>
    </row>
    <row r="3746" spans="1:24" x14ac:dyDescent="0.25">
      <c r="A3746" t="s">
        <v>1831</v>
      </c>
      <c r="B3746" t="s">
        <v>1832</v>
      </c>
      <c r="C3746" t="s">
        <v>1833</v>
      </c>
      <c r="D3746" t="s">
        <v>1834</v>
      </c>
      <c r="E3746" s="9">
        <v>45108</v>
      </c>
      <c r="F3746" s="9">
        <v>45138</v>
      </c>
      <c r="G3746">
        <v>28926162</v>
      </c>
      <c r="H3746">
        <v>8879000</v>
      </c>
      <c r="I3746">
        <v>8850000</v>
      </c>
      <c r="J3746">
        <v>2544000</v>
      </c>
      <c r="K3746">
        <v>0</v>
      </c>
      <c r="L3746">
        <v>0</v>
      </c>
      <c r="M3746">
        <v>0</v>
      </c>
      <c r="T3746" s="9">
        <v>45108</v>
      </c>
      <c r="U3746" s="9">
        <v>45473</v>
      </c>
      <c r="V3746">
        <f>SUM(POTABLE_NONPOTABLE_API[[#This Row],[RESIDENTIAL_SINGLEFAMILY_GAL]:[OTHER_GAL]])</f>
        <v>49199162</v>
      </c>
      <c r="W3746">
        <f>SUM(POTABLE_NONPOTABLE_API[[#This Row],[NONPOTABLE_DEMAND_RESIDENTIAL_RECYCLED_WATER_GAL]:[NONPOTABLE_DEMAND_NONRESIDENTIAL_METERED_IRRIGATION_GAL]])</f>
        <v>0</v>
      </c>
      <c r="X3746" t="str">
        <f>IFERROR(INDEX(Crosswalk_API!$H$2:$H$527, MATCH(POTABLE_NONPOTABLE_API[[#This Row],[PWSID]], CW_PWSID_LIST, 0)), "")</f>
        <v>No</v>
      </c>
    </row>
    <row r="3747" spans="1:24" x14ac:dyDescent="0.25">
      <c r="A3747" t="s">
        <v>1831</v>
      </c>
      <c r="B3747" t="s">
        <v>1832</v>
      </c>
      <c r="C3747" t="s">
        <v>1833</v>
      </c>
      <c r="D3747" t="s">
        <v>1834</v>
      </c>
      <c r="E3747" s="9">
        <v>45139</v>
      </c>
      <c r="F3747" s="9">
        <v>45169</v>
      </c>
      <c r="G3747">
        <v>21755079</v>
      </c>
      <c r="H3747">
        <v>6452055</v>
      </c>
      <c r="I3747">
        <v>7116000</v>
      </c>
      <c r="J3747">
        <v>2603000</v>
      </c>
      <c r="K3747">
        <v>0</v>
      </c>
      <c r="L3747">
        <v>0</v>
      </c>
      <c r="M3747">
        <v>0</v>
      </c>
      <c r="T3747" s="9">
        <v>45108</v>
      </c>
      <c r="U3747" s="9">
        <v>45473</v>
      </c>
      <c r="V3747">
        <f>SUM(POTABLE_NONPOTABLE_API[[#This Row],[RESIDENTIAL_SINGLEFAMILY_GAL]:[OTHER_GAL]])</f>
        <v>37926134</v>
      </c>
      <c r="W3747">
        <f>SUM(POTABLE_NONPOTABLE_API[[#This Row],[NONPOTABLE_DEMAND_RESIDENTIAL_RECYCLED_WATER_GAL]:[NONPOTABLE_DEMAND_NONRESIDENTIAL_METERED_IRRIGATION_GAL]])</f>
        <v>0</v>
      </c>
      <c r="X3747" t="str">
        <f>IFERROR(INDEX(Crosswalk_API!$H$2:$H$527, MATCH(POTABLE_NONPOTABLE_API[[#This Row],[PWSID]], CW_PWSID_LIST, 0)), "")</f>
        <v>No</v>
      </c>
    </row>
    <row r="3748" spans="1:24" x14ac:dyDescent="0.25">
      <c r="A3748" t="s">
        <v>1831</v>
      </c>
      <c r="B3748" t="s">
        <v>1832</v>
      </c>
      <c r="C3748" t="s">
        <v>1833</v>
      </c>
      <c r="D3748" t="s">
        <v>1834</v>
      </c>
      <c r="E3748" s="9">
        <v>45170</v>
      </c>
      <c r="F3748" s="9">
        <v>45199</v>
      </c>
      <c r="G3748">
        <v>14024000</v>
      </c>
      <c r="H3748">
        <v>4757000</v>
      </c>
      <c r="I3748">
        <v>4840000</v>
      </c>
      <c r="J3748">
        <v>2379000</v>
      </c>
      <c r="K3748">
        <v>0</v>
      </c>
      <c r="L3748">
        <v>154000</v>
      </c>
      <c r="M3748">
        <v>0</v>
      </c>
      <c r="T3748" s="9">
        <v>45108</v>
      </c>
      <c r="U3748" s="9">
        <v>45473</v>
      </c>
      <c r="V3748">
        <f>SUM(POTABLE_NONPOTABLE_API[[#This Row],[RESIDENTIAL_SINGLEFAMILY_GAL]:[OTHER_GAL]])</f>
        <v>26154000</v>
      </c>
      <c r="W3748">
        <f>SUM(POTABLE_NONPOTABLE_API[[#This Row],[NONPOTABLE_DEMAND_RESIDENTIAL_RECYCLED_WATER_GAL]:[NONPOTABLE_DEMAND_NONRESIDENTIAL_METERED_IRRIGATION_GAL]])</f>
        <v>0</v>
      </c>
      <c r="X3748" t="str">
        <f>IFERROR(INDEX(Crosswalk_API!$H$2:$H$527, MATCH(POTABLE_NONPOTABLE_API[[#This Row],[PWSID]], CW_PWSID_LIST, 0)), "")</f>
        <v>No</v>
      </c>
    </row>
    <row r="3749" spans="1:24" x14ac:dyDescent="0.25">
      <c r="A3749" t="s">
        <v>1831</v>
      </c>
      <c r="B3749" t="s">
        <v>1832</v>
      </c>
      <c r="C3749" t="s">
        <v>1833</v>
      </c>
      <c r="D3749" t="s">
        <v>1834</v>
      </c>
      <c r="E3749" s="9">
        <v>45200</v>
      </c>
      <c r="F3749" s="9">
        <v>45230</v>
      </c>
      <c r="G3749">
        <v>13087000</v>
      </c>
      <c r="H3749">
        <v>4769000</v>
      </c>
      <c r="I3749">
        <v>4581000</v>
      </c>
      <c r="J3749">
        <v>1375000</v>
      </c>
      <c r="K3749">
        <v>0</v>
      </c>
      <c r="L3749">
        <v>0</v>
      </c>
      <c r="M3749">
        <v>0</v>
      </c>
      <c r="T3749" s="9">
        <v>45108</v>
      </c>
      <c r="U3749" s="9">
        <v>45473</v>
      </c>
      <c r="V3749">
        <f>SUM(POTABLE_NONPOTABLE_API[[#This Row],[RESIDENTIAL_SINGLEFAMILY_GAL]:[OTHER_GAL]])</f>
        <v>23812000</v>
      </c>
      <c r="W3749">
        <f>SUM(POTABLE_NONPOTABLE_API[[#This Row],[NONPOTABLE_DEMAND_RESIDENTIAL_RECYCLED_WATER_GAL]:[NONPOTABLE_DEMAND_NONRESIDENTIAL_METERED_IRRIGATION_GAL]])</f>
        <v>0</v>
      </c>
      <c r="X3749" t="str">
        <f>IFERROR(INDEX(Crosswalk_API!$H$2:$H$527, MATCH(POTABLE_NONPOTABLE_API[[#This Row],[PWSID]], CW_PWSID_LIST, 0)), "")</f>
        <v>No</v>
      </c>
    </row>
    <row r="3750" spans="1:24" x14ac:dyDescent="0.25">
      <c r="A3750" t="s">
        <v>1831</v>
      </c>
      <c r="B3750" t="s">
        <v>1832</v>
      </c>
      <c r="C3750" t="s">
        <v>1833</v>
      </c>
      <c r="D3750" t="s">
        <v>1834</v>
      </c>
      <c r="E3750" s="9">
        <v>45231</v>
      </c>
      <c r="F3750" s="9">
        <v>45260</v>
      </c>
      <c r="G3750">
        <v>6739000</v>
      </c>
      <c r="H3750">
        <v>3376000</v>
      </c>
      <c r="I3750">
        <v>2468000</v>
      </c>
      <c r="J3750">
        <v>186000</v>
      </c>
      <c r="K3750">
        <v>0</v>
      </c>
      <c r="L3750">
        <v>105000</v>
      </c>
      <c r="M3750">
        <v>0</v>
      </c>
      <c r="T3750" s="9">
        <v>45108</v>
      </c>
      <c r="U3750" s="9">
        <v>45473</v>
      </c>
      <c r="V3750">
        <f>SUM(POTABLE_NONPOTABLE_API[[#This Row],[RESIDENTIAL_SINGLEFAMILY_GAL]:[OTHER_GAL]])</f>
        <v>12874000</v>
      </c>
      <c r="W3750">
        <f>SUM(POTABLE_NONPOTABLE_API[[#This Row],[NONPOTABLE_DEMAND_RESIDENTIAL_RECYCLED_WATER_GAL]:[NONPOTABLE_DEMAND_NONRESIDENTIAL_METERED_IRRIGATION_GAL]])</f>
        <v>0</v>
      </c>
      <c r="X3750" t="str">
        <f>IFERROR(INDEX(Crosswalk_API!$H$2:$H$527, MATCH(POTABLE_NONPOTABLE_API[[#This Row],[PWSID]], CW_PWSID_LIST, 0)), "")</f>
        <v>No</v>
      </c>
    </row>
    <row r="3751" spans="1:24" x14ac:dyDescent="0.25">
      <c r="A3751" t="s">
        <v>1831</v>
      </c>
      <c r="B3751" t="s">
        <v>1832</v>
      </c>
      <c r="C3751" t="s">
        <v>1833</v>
      </c>
      <c r="D3751" t="s">
        <v>1834</v>
      </c>
      <c r="E3751" s="9">
        <v>45261</v>
      </c>
      <c r="F3751" s="9">
        <v>45291</v>
      </c>
      <c r="G3751">
        <v>5258000</v>
      </c>
      <c r="H3751">
        <v>3047000</v>
      </c>
      <c r="I3751">
        <v>1757000</v>
      </c>
      <c r="J3751">
        <v>14000</v>
      </c>
      <c r="K3751">
        <v>0</v>
      </c>
      <c r="L3751">
        <v>113000</v>
      </c>
      <c r="M3751">
        <v>0</v>
      </c>
      <c r="T3751" s="9">
        <v>45108</v>
      </c>
      <c r="U3751" s="9">
        <v>45473</v>
      </c>
      <c r="V3751">
        <f>SUM(POTABLE_NONPOTABLE_API[[#This Row],[RESIDENTIAL_SINGLEFAMILY_GAL]:[OTHER_GAL]])</f>
        <v>10189000</v>
      </c>
      <c r="W3751">
        <f>SUM(POTABLE_NONPOTABLE_API[[#This Row],[NONPOTABLE_DEMAND_RESIDENTIAL_RECYCLED_WATER_GAL]:[NONPOTABLE_DEMAND_NONRESIDENTIAL_METERED_IRRIGATION_GAL]])</f>
        <v>0</v>
      </c>
      <c r="X3751" t="str">
        <f>IFERROR(INDEX(Crosswalk_API!$H$2:$H$527, MATCH(POTABLE_NONPOTABLE_API[[#This Row],[PWSID]], CW_PWSID_LIST, 0)), "")</f>
        <v>No</v>
      </c>
    </row>
    <row r="3752" spans="1:24" x14ac:dyDescent="0.25">
      <c r="A3752" t="s">
        <v>1831</v>
      </c>
      <c r="B3752" t="s">
        <v>1832</v>
      </c>
      <c r="C3752" t="s">
        <v>1833</v>
      </c>
      <c r="D3752" t="s">
        <v>1834</v>
      </c>
      <c r="E3752" s="9">
        <v>45292</v>
      </c>
      <c r="F3752" s="9">
        <v>45322</v>
      </c>
      <c r="G3752">
        <v>8073000</v>
      </c>
      <c r="H3752">
        <v>3835000</v>
      </c>
      <c r="I3752">
        <v>2431000</v>
      </c>
      <c r="J3752">
        <v>0</v>
      </c>
      <c r="K3752">
        <v>0</v>
      </c>
      <c r="L3752">
        <v>1000</v>
      </c>
      <c r="M3752">
        <v>0</v>
      </c>
      <c r="T3752" s="9">
        <v>45108</v>
      </c>
      <c r="U3752" s="9">
        <v>45473</v>
      </c>
      <c r="V3752">
        <f>SUM(POTABLE_NONPOTABLE_API[[#This Row],[RESIDENTIAL_SINGLEFAMILY_GAL]:[OTHER_GAL]])</f>
        <v>14340000</v>
      </c>
      <c r="W3752">
        <f>SUM(POTABLE_NONPOTABLE_API[[#This Row],[NONPOTABLE_DEMAND_RESIDENTIAL_RECYCLED_WATER_GAL]:[NONPOTABLE_DEMAND_NONRESIDENTIAL_METERED_IRRIGATION_GAL]])</f>
        <v>0</v>
      </c>
      <c r="X3752" t="str">
        <f>IFERROR(INDEX(Crosswalk_API!$H$2:$H$527, MATCH(POTABLE_NONPOTABLE_API[[#This Row],[PWSID]], CW_PWSID_LIST, 0)), "")</f>
        <v>No</v>
      </c>
    </row>
    <row r="3753" spans="1:24" x14ac:dyDescent="0.25">
      <c r="A3753" t="s">
        <v>1831</v>
      </c>
      <c r="B3753" t="s">
        <v>1832</v>
      </c>
      <c r="C3753" t="s">
        <v>1833</v>
      </c>
      <c r="D3753" t="s">
        <v>1834</v>
      </c>
      <c r="E3753" s="9">
        <v>45323</v>
      </c>
      <c r="F3753" s="9">
        <v>45351</v>
      </c>
      <c r="G3753">
        <v>5102000</v>
      </c>
      <c r="H3753">
        <v>2877000</v>
      </c>
      <c r="I3753">
        <v>1914000</v>
      </c>
      <c r="J3753">
        <v>0</v>
      </c>
      <c r="K3753">
        <v>0</v>
      </c>
      <c r="L3753">
        <v>2000</v>
      </c>
      <c r="M3753">
        <v>0</v>
      </c>
      <c r="T3753" s="9">
        <v>45108</v>
      </c>
      <c r="U3753" s="9">
        <v>45473</v>
      </c>
      <c r="V3753">
        <f>SUM(POTABLE_NONPOTABLE_API[[#This Row],[RESIDENTIAL_SINGLEFAMILY_GAL]:[OTHER_GAL]])</f>
        <v>9895000</v>
      </c>
      <c r="W3753">
        <f>SUM(POTABLE_NONPOTABLE_API[[#This Row],[NONPOTABLE_DEMAND_RESIDENTIAL_RECYCLED_WATER_GAL]:[NONPOTABLE_DEMAND_NONRESIDENTIAL_METERED_IRRIGATION_GAL]])</f>
        <v>0</v>
      </c>
      <c r="X3753" t="str">
        <f>IFERROR(INDEX(Crosswalk_API!$H$2:$H$527, MATCH(POTABLE_NONPOTABLE_API[[#This Row],[PWSID]], CW_PWSID_LIST, 0)), "")</f>
        <v>No</v>
      </c>
    </row>
    <row r="3754" spans="1:24" x14ac:dyDescent="0.25">
      <c r="A3754" t="s">
        <v>1831</v>
      </c>
      <c r="B3754" t="s">
        <v>1832</v>
      </c>
      <c r="C3754" t="s">
        <v>1833</v>
      </c>
      <c r="D3754" t="s">
        <v>1834</v>
      </c>
      <c r="E3754" s="9">
        <v>45352</v>
      </c>
      <c r="F3754" s="9">
        <v>45382</v>
      </c>
      <c r="G3754">
        <v>5668000</v>
      </c>
      <c r="H3754">
        <v>3314000</v>
      </c>
      <c r="I3754">
        <v>2228000</v>
      </c>
      <c r="J3754">
        <v>0</v>
      </c>
      <c r="K3754">
        <v>0</v>
      </c>
      <c r="L3754">
        <v>113000</v>
      </c>
      <c r="M3754">
        <v>0</v>
      </c>
      <c r="T3754" s="9">
        <v>45108</v>
      </c>
      <c r="U3754" s="9">
        <v>45473</v>
      </c>
      <c r="V3754">
        <f>SUM(POTABLE_NONPOTABLE_API[[#This Row],[RESIDENTIAL_SINGLEFAMILY_GAL]:[OTHER_GAL]])</f>
        <v>11323000</v>
      </c>
      <c r="W3754">
        <f>SUM(POTABLE_NONPOTABLE_API[[#This Row],[NONPOTABLE_DEMAND_RESIDENTIAL_RECYCLED_WATER_GAL]:[NONPOTABLE_DEMAND_NONRESIDENTIAL_METERED_IRRIGATION_GAL]])</f>
        <v>0</v>
      </c>
      <c r="X3754" t="str">
        <f>IFERROR(INDEX(Crosswalk_API!$H$2:$H$527, MATCH(POTABLE_NONPOTABLE_API[[#This Row],[PWSID]], CW_PWSID_LIST, 0)), "")</f>
        <v>No</v>
      </c>
    </row>
    <row r="3755" spans="1:24" x14ac:dyDescent="0.25">
      <c r="A3755" t="s">
        <v>1831</v>
      </c>
      <c r="B3755" t="s">
        <v>1832</v>
      </c>
      <c r="C3755" t="s">
        <v>1833</v>
      </c>
      <c r="D3755" t="s">
        <v>1834</v>
      </c>
      <c r="E3755" s="9">
        <v>45383</v>
      </c>
      <c r="F3755" s="9">
        <v>45412</v>
      </c>
      <c r="G3755">
        <v>6798000</v>
      </c>
      <c r="H3755">
        <v>3605000</v>
      </c>
      <c r="I3755">
        <v>2480000</v>
      </c>
      <c r="J3755">
        <v>0</v>
      </c>
      <c r="K3755">
        <v>0</v>
      </c>
      <c r="L3755">
        <v>138000</v>
      </c>
      <c r="M3755">
        <v>0</v>
      </c>
      <c r="T3755" s="9">
        <v>45108</v>
      </c>
      <c r="U3755" s="9">
        <v>45473</v>
      </c>
      <c r="V3755">
        <f>SUM(POTABLE_NONPOTABLE_API[[#This Row],[RESIDENTIAL_SINGLEFAMILY_GAL]:[OTHER_GAL]])</f>
        <v>13021000</v>
      </c>
      <c r="W3755">
        <f>SUM(POTABLE_NONPOTABLE_API[[#This Row],[NONPOTABLE_DEMAND_RESIDENTIAL_RECYCLED_WATER_GAL]:[NONPOTABLE_DEMAND_NONRESIDENTIAL_METERED_IRRIGATION_GAL]])</f>
        <v>0</v>
      </c>
      <c r="X3755" t="str">
        <f>IFERROR(INDEX(Crosswalk_API!$H$2:$H$527, MATCH(POTABLE_NONPOTABLE_API[[#This Row],[PWSID]], CW_PWSID_LIST, 0)), "")</f>
        <v>No</v>
      </c>
    </row>
    <row r="3756" spans="1:24" x14ac:dyDescent="0.25">
      <c r="A3756" t="s">
        <v>1831</v>
      </c>
      <c r="B3756" t="s">
        <v>1832</v>
      </c>
      <c r="C3756" t="s">
        <v>1833</v>
      </c>
      <c r="D3756" t="s">
        <v>1834</v>
      </c>
      <c r="E3756" s="9">
        <v>45413</v>
      </c>
      <c r="F3756" s="9">
        <v>45443</v>
      </c>
      <c r="G3756">
        <v>5574000</v>
      </c>
      <c r="H3756">
        <v>3141000</v>
      </c>
      <c r="I3756">
        <v>2355000</v>
      </c>
      <c r="J3756">
        <v>281000</v>
      </c>
      <c r="K3756">
        <v>0</v>
      </c>
      <c r="L3756">
        <v>83000</v>
      </c>
      <c r="M3756">
        <v>0</v>
      </c>
      <c r="T3756" s="9">
        <v>45108</v>
      </c>
      <c r="U3756" s="9">
        <v>45473</v>
      </c>
      <c r="V3756">
        <f>SUM(POTABLE_NONPOTABLE_API[[#This Row],[RESIDENTIAL_SINGLEFAMILY_GAL]:[OTHER_GAL]])</f>
        <v>11434000</v>
      </c>
      <c r="W3756">
        <f>SUM(POTABLE_NONPOTABLE_API[[#This Row],[NONPOTABLE_DEMAND_RESIDENTIAL_RECYCLED_WATER_GAL]:[NONPOTABLE_DEMAND_NONRESIDENTIAL_METERED_IRRIGATION_GAL]])</f>
        <v>0</v>
      </c>
      <c r="X3756" t="str">
        <f>IFERROR(INDEX(Crosswalk_API!$H$2:$H$527, MATCH(POTABLE_NONPOTABLE_API[[#This Row],[PWSID]], CW_PWSID_LIST, 0)), "")</f>
        <v>No</v>
      </c>
    </row>
    <row r="3757" spans="1:24" x14ac:dyDescent="0.25">
      <c r="A3757" t="s">
        <v>1831</v>
      </c>
      <c r="B3757" t="s">
        <v>1832</v>
      </c>
      <c r="C3757" t="s">
        <v>1833</v>
      </c>
      <c r="D3757" t="s">
        <v>1834</v>
      </c>
      <c r="E3757" s="9">
        <v>45444</v>
      </c>
      <c r="F3757" s="9">
        <v>45473</v>
      </c>
      <c r="G3757">
        <v>15866000</v>
      </c>
      <c r="H3757">
        <v>5042000</v>
      </c>
      <c r="I3757">
        <v>5114000</v>
      </c>
      <c r="J3757">
        <v>1843000</v>
      </c>
      <c r="K3757">
        <v>0</v>
      </c>
      <c r="L3757">
        <v>107</v>
      </c>
      <c r="M3757">
        <v>0</v>
      </c>
      <c r="T3757" s="9">
        <v>45108</v>
      </c>
      <c r="U3757" s="9">
        <v>45473</v>
      </c>
      <c r="V3757">
        <f>SUM(POTABLE_NONPOTABLE_API[[#This Row],[RESIDENTIAL_SINGLEFAMILY_GAL]:[OTHER_GAL]])</f>
        <v>27865107</v>
      </c>
      <c r="W3757">
        <f>SUM(POTABLE_NONPOTABLE_API[[#This Row],[NONPOTABLE_DEMAND_RESIDENTIAL_RECYCLED_WATER_GAL]:[NONPOTABLE_DEMAND_NONRESIDENTIAL_METERED_IRRIGATION_GAL]])</f>
        <v>0</v>
      </c>
      <c r="X3757" t="str">
        <f>IFERROR(INDEX(Crosswalk_API!$H$2:$H$527, MATCH(POTABLE_NONPOTABLE_API[[#This Row],[PWSID]], CW_PWSID_LIST, 0)), "")</f>
        <v>No</v>
      </c>
    </row>
    <row r="3758" spans="1:24" x14ac:dyDescent="0.25">
      <c r="A3758" t="s">
        <v>1831</v>
      </c>
      <c r="B3758" t="s">
        <v>1832</v>
      </c>
      <c r="C3758" t="s">
        <v>1835</v>
      </c>
      <c r="D3758" t="s">
        <v>1836</v>
      </c>
      <c r="E3758" s="9">
        <v>45108</v>
      </c>
      <c r="F3758" s="9">
        <v>45138</v>
      </c>
      <c r="G3758">
        <v>3162000</v>
      </c>
      <c r="H3758">
        <v>262000</v>
      </c>
      <c r="I3758">
        <v>1564000</v>
      </c>
      <c r="J3758">
        <v>28000</v>
      </c>
      <c r="K3758">
        <v>0</v>
      </c>
      <c r="L3758">
        <v>0</v>
      </c>
      <c r="M3758">
        <v>0</v>
      </c>
      <c r="T3758" s="9">
        <v>45108</v>
      </c>
      <c r="U3758" s="9">
        <v>45473</v>
      </c>
      <c r="V3758">
        <f>SUM(POTABLE_NONPOTABLE_API[[#This Row],[RESIDENTIAL_SINGLEFAMILY_GAL]:[OTHER_GAL]])</f>
        <v>5016000</v>
      </c>
      <c r="W3758">
        <f>SUM(POTABLE_NONPOTABLE_API[[#This Row],[NONPOTABLE_DEMAND_RESIDENTIAL_RECYCLED_WATER_GAL]:[NONPOTABLE_DEMAND_NONRESIDENTIAL_METERED_IRRIGATION_GAL]])</f>
        <v>0</v>
      </c>
      <c r="X3758" t="str">
        <f>IFERROR(INDEX(Crosswalk_API!$H$2:$H$527, MATCH(POTABLE_NONPOTABLE_API[[#This Row],[PWSID]], CW_PWSID_LIST, 0)), "")</f>
        <v>No</v>
      </c>
    </row>
    <row r="3759" spans="1:24" x14ac:dyDescent="0.25">
      <c r="A3759" t="s">
        <v>1831</v>
      </c>
      <c r="B3759" t="s">
        <v>1832</v>
      </c>
      <c r="C3759" t="s">
        <v>1835</v>
      </c>
      <c r="D3759" t="s">
        <v>1836</v>
      </c>
      <c r="E3759" s="9">
        <v>45139</v>
      </c>
      <c r="F3759" s="9">
        <v>45169</v>
      </c>
      <c r="G3759">
        <v>2149000</v>
      </c>
      <c r="H3759">
        <v>180000</v>
      </c>
      <c r="I3759">
        <v>1035000</v>
      </c>
      <c r="J3759">
        <v>16000</v>
      </c>
      <c r="K3759">
        <v>0</v>
      </c>
      <c r="L3759">
        <v>0</v>
      </c>
      <c r="M3759">
        <v>0</v>
      </c>
      <c r="T3759" s="9">
        <v>45108</v>
      </c>
      <c r="U3759" s="9">
        <v>45473</v>
      </c>
      <c r="V3759">
        <f>SUM(POTABLE_NONPOTABLE_API[[#This Row],[RESIDENTIAL_SINGLEFAMILY_GAL]:[OTHER_GAL]])</f>
        <v>3380000</v>
      </c>
      <c r="W3759">
        <f>SUM(POTABLE_NONPOTABLE_API[[#This Row],[NONPOTABLE_DEMAND_RESIDENTIAL_RECYCLED_WATER_GAL]:[NONPOTABLE_DEMAND_NONRESIDENTIAL_METERED_IRRIGATION_GAL]])</f>
        <v>0</v>
      </c>
      <c r="X3759" t="str">
        <f>IFERROR(INDEX(Crosswalk_API!$H$2:$H$527, MATCH(POTABLE_NONPOTABLE_API[[#This Row],[PWSID]], CW_PWSID_LIST, 0)), "")</f>
        <v>No</v>
      </c>
    </row>
    <row r="3760" spans="1:24" x14ac:dyDescent="0.25">
      <c r="A3760" t="s">
        <v>1831</v>
      </c>
      <c r="B3760" t="s">
        <v>1832</v>
      </c>
      <c r="C3760" t="s">
        <v>1835</v>
      </c>
      <c r="D3760" t="s">
        <v>1836</v>
      </c>
      <c r="E3760" s="9">
        <v>45170</v>
      </c>
      <c r="F3760" s="9">
        <v>45199</v>
      </c>
      <c r="G3760">
        <v>1472000</v>
      </c>
      <c r="H3760">
        <v>151000</v>
      </c>
      <c r="I3760">
        <v>736000</v>
      </c>
      <c r="J3760">
        <v>4000</v>
      </c>
      <c r="K3760">
        <v>0</v>
      </c>
      <c r="L3760">
        <v>0</v>
      </c>
      <c r="M3760">
        <v>0</v>
      </c>
      <c r="T3760" s="9">
        <v>45108</v>
      </c>
      <c r="U3760" s="9">
        <v>45473</v>
      </c>
      <c r="V3760">
        <f>SUM(POTABLE_NONPOTABLE_API[[#This Row],[RESIDENTIAL_SINGLEFAMILY_GAL]:[OTHER_GAL]])</f>
        <v>2363000</v>
      </c>
      <c r="W3760">
        <f>SUM(POTABLE_NONPOTABLE_API[[#This Row],[NONPOTABLE_DEMAND_RESIDENTIAL_RECYCLED_WATER_GAL]:[NONPOTABLE_DEMAND_NONRESIDENTIAL_METERED_IRRIGATION_GAL]])</f>
        <v>0</v>
      </c>
      <c r="X3760" t="str">
        <f>IFERROR(INDEX(Crosswalk_API!$H$2:$H$527, MATCH(POTABLE_NONPOTABLE_API[[#This Row],[PWSID]], CW_PWSID_LIST, 0)), "")</f>
        <v>No</v>
      </c>
    </row>
    <row r="3761" spans="1:24" x14ac:dyDescent="0.25">
      <c r="A3761" t="s">
        <v>1831</v>
      </c>
      <c r="B3761" t="s">
        <v>1832</v>
      </c>
      <c r="C3761" t="s">
        <v>1835</v>
      </c>
      <c r="D3761" t="s">
        <v>1836</v>
      </c>
      <c r="E3761" s="9">
        <v>45200</v>
      </c>
      <c r="F3761" s="9">
        <v>45230</v>
      </c>
      <c r="G3761">
        <v>1259000</v>
      </c>
      <c r="H3761">
        <v>131000</v>
      </c>
      <c r="I3761">
        <v>656000</v>
      </c>
      <c r="J3761">
        <v>12000</v>
      </c>
      <c r="K3761">
        <v>0</v>
      </c>
      <c r="L3761">
        <v>0</v>
      </c>
      <c r="M3761">
        <v>0</v>
      </c>
      <c r="T3761" s="9">
        <v>45108</v>
      </c>
      <c r="U3761" s="9">
        <v>45473</v>
      </c>
      <c r="V3761">
        <f>SUM(POTABLE_NONPOTABLE_API[[#This Row],[RESIDENTIAL_SINGLEFAMILY_GAL]:[OTHER_GAL]])</f>
        <v>2058000</v>
      </c>
      <c r="W3761">
        <f>SUM(POTABLE_NONPOTABLE_API[[#This Row],[NONPOTABLE_DEMAND_RESIDENTIAL_RECYCLED_WATER_GAL]:[NONPOTABLE_DEMAND_NONRESIDENTIAL_METERED_IRRIGATION_GAL]])</f>
        <v>0</v>
      </c>
      <c r="X3761" t="str">
        <f>IFERROR(INDEX(Crosswalk_API!$H$2:$H$527, MATCH(POTABLE_NONPOTABLE_API[[#This Row],[PWSID]], CW_PWSID_LIST, 0)), "")</f>
        <v>No</v>
      </c>
    </row>
    <row r="3762" spans="1:24" x14ac:dyDescent="0.25">
      <c r="A3762" t="s">
        <v>1831</v>
      </c>
      <c r="B3762" t="s">
        <v>1832</v>
      </c>
      <c r="C3762" t="s">
        <v>1835</v>
      </c>
      <c r="D3762" t="s">
        <v>1836</v>
      </c>
      <c r="E3762" s="9">
        <v>45231</v>
      </c>
      <c r="F3762" s="9">
        <v>45260</v>
      </c>
      <c r="G3762">
        <v>510000</v>
      </c>
      <c r="H3762">
        <v>48000</v>
      </c>
      <c r="I3762">
        <v>309000</v>
      </c>
      <c r="J3762">
        <v>2000</v>
      </c>
      <c r="K3762">
        <v>0</v>
      </c>
      <c r="L3762">
        <v>0</v>
      </c>
      <c r="M3762">
        <v>0</v>
      </c>
      <c r="T3762" s="9">
        <v>45108</v>
      </c>
      <c r="U3762" s="9">
        <v>45473</v>
      </c>
      <c r="V3762">
        <f>SUM(POTABLE_NONPOTABLE_API[[#This Row],[RESIDENTIAL_SINGLEFAMILY_GAL]:[OTHER_GAL]])</f>
        <v>869000</v>
      </c>
      <c r="W3762">
        <f>SUM(POTABLE_NONPOTABLE_API[[#This Row],[NONPOTABLE_DEMAND_RESIDENTIAL_RECYCLED_WATER_GAL]:[NONPOTABLE_DEMAND_NONRESIDENTIAL_METERED_IRRIGATION_GAL]])</f>
        <v>0</v>
      </c>
      <c r="X3762" t="str">
        <f>IFERROR(INDEX(Crosswalk_API!$H$2:$H$527, MATCH(POTABLE_NONPOTABLE_API[[#This Row],[PWSID]], CW_PWSID_LIST, 0)), "")</f>
        <v>No</v>
      </c>
    </row>
    <row r="3763" spans="1:24" x14ac:dyDescent="0.25">
      <c r="A3763" t="s">
        <v>1831</v>
      </c>
      <c r="B3763" t="s">
        <v>1832</v>
      </c>
      <c r="C3763" t="s">
        <v>1835</v>
      </c>
      <c r="D3763" t="s">
        <v>1836</v>
      </c>
      <c r="E3763" s="9">
        <v>45261</v>
      </c>
      <c r="F3763" s="9">
        <v>45291</v>
      </c>
      <c r="G3763">
        <v>297000</v>
      </c>
      <c r="H3763">
        <v>59000</v>
      </c>
      <c r="I3763">
        <v>247</v>
      </c>
      <c r="J3763">
        <v>0</v>
      </c>
      <c r="K3763">
        <v>0</v>
      </c>
      <c r="L3763">
        <v>0</v>
      </c>
      <c r="M3763">
        <v>0</v>
      </c>
      <c r="T3763" s="9">
        <v>45108</v>
      </c>
      <c r="U3763" s="9">
        <v>45473</v>
      </c>
      <c r="V3763">
        <f>SUM(POTABLE_NONPOTABLE_API[[#This Row],[RESIDENTIAL_SINGLEFAMILY_GAL]:[OTHER_GAL]])</f>
        <v>356247</v>
      </c>
      <c r="W3763">
        <f>SUM(POTABLE_NONPOTABLE_API[[#This Row],[NONPOTABLE_DEMAND_RESIDENTIAL_RECYCLED_WATER_GAL]:[NONPOTABLE_DEMAND_NONRESIDENTIAL_METERED_IRRIGATION_GAL]])</f>
        <v>0</v>
      </c>
      <c r="X3763" t="str">
        <f>IFERROR(INDEX(Crosswalk_API!$H$2:$H$527, MATCH(POTABLE_NONPOTABLE_API[[#This Row],[PWSID]], CW_PWSID_LIST, 0)), "")</f>
        <v>No</v>
      </c>
    </row>
    <row r="3764" spans="1:24" x14ac:dyDescent="0.25">
      <c r="A3764" t="s">
        <v>1831</v>
      </c>
      <c r="B3764" t="s">
        <v>1832</v>
      </c>
      <c r="C3764" t="s">
        <v>1835</v>
      </c>
      <c r="D3764" t="s">
        <v>1836</v>
      </c>
      <c r="E3764" s="9">
        <v>45292</v>
      </c>
      <c r="F3764" s="9">
        <v>45322</v>
      </c>
      <c r="G3764">
        <v>757000</v>
      </c>
      <c r="H3764">
        <v>50000</v>
      </c>
      <c r="I3764">
        <v>319000</v>
      </c>
      <c r="J3764">
        <v>0</v>
      </c>
      <c r="K3764">
        <v>0</v>
      </c>
      <c r="L3764">
        <v>0</v>
      </c>
      <c r="M3764">
        <v>0</v>
      </c>
      <c r="T3764" s="9">
        <v>45108</v>
      </c>
      <c r="U3764" s="9">
        <v>45473</v>
      </c>
      <c r="V3764">
        <f>SUM(POTABLE_NONPOTABLE_API[[#This Row],[RESIDENTIAL_SINGLEFAMILY_GAL]:[OTHER_GAL]])</f>
        <v>1126000</v>
      </c>
      <c r="W3764">
        <f>SUM(POTABLE_NONPOTABLE_API[[#This Row],[NONPOTABLE_DEMAND_RESIDENTIAL_RECYCLED_WATER_GAL]:[NONPOTABLE_DEMAND_NONRESIDENTIAL_METERED_IRRIGATION_GAL]])</f>
        <v>0</v>
      </c>
      <c r="X3764" t="str">
        <f>IFERROR(INDEX(Crosswalk_API!$H$2:$H$527, MATCH(POTABLE_NONPOTABLE_API[[#This Row],[PWSID]], CW_PWSID_LIST, 0)), "")</f>
        <v>No</v>
      </c>
    </row>
    <row r="3765" spans="1:24" x14ac:dyDescent="0.25">
      <c r="A3765" t="s">
        <v>1831</v>
      </c>
      <c r="B3765" t="s">
        <v>1832</v>
      </c>
      <c r="C3765" t="s">
        <v>1835</v>
      </c>
      <c r="D3765" t="s">
        <v>1836</v>
      </c>
      <c r="E3765" s="9">
        <v>45323</v>
      </c>
      <c r="F3765" s="9">
        <v>45351</v>
      </c>
      <c r="G3765">
        <v>325000</v>
      </c>
      <c r="H3765">
        <v>38000</v>
      </c>
      <c r="I3765">
        <v>262000</v>
      </c>
      <c r="J3765">
        <v>0</v>
      </c>
      <c r="K3765">
        <v>0</v>
      </c>
      <c r="L3765">
        <v>1000</v>
      </c>
      <c r="M3765">
        <v>0</v>
      </c>
      <c r="T3765" s="9">
        <v>45108</v>
      </c>
      <c r="U3765" s="9">
        <v>45473</v>
      </c>
      <c r="V3765">
        <f>SUM(POTABLE_NONPOTABLE_API[[#This Row],[RESIDENTIAL_SINGLEFAMILY_GAL]:[OTHER_GAL]])</f>
        <v>626000</v>
      </c>
      <c r="W3765">
        <f>SUM(POTABLE_NONPOTABLE_API[[#This Row],[NONPOTABLE_DEMAND_RESIDENTIAL_RECYCLED_WATER_GAL]:[NONPOTABLE_DEMAND_NONRESIDENTIAL_METERED_IRRIGATION_GAL]])</f>
        <v>0</v>
      </c>
      <c r="X3765" t="str">
        <f>IFERROR(INDEX(Crosswalk_API!$H$2:$H$527, MATCH(POTABLE_NONPOTABLE_API[[#This Row],[PWSID]], CW_PWSID_LIST, 0)), "")</f>
        <v>No</v>
      </c>
    </row>
    <row r="3766" spans="1:24" x14ac:dyDescent="0.25">
      <c r="A3766" t="s">
        <v>1831</v>
      </c>
      <c r="B3766" t="s">
        <v>1832</v>
      </c>
      <c r="C3766" t="s">
        <v>1835</v>
      </c>
      <c r="D3766" t="s">
        <v>1836</v>
      </c>
      <c r="E3766" s="9">
        <v>45352</v>
      </c>
      <c r="F3766" s="9">
        <v>45382</v>
      </c>
      <c r="G3766">
        <v>383000</v>
      </c>
      <c r="H3766">
        <v>35000</v>
      </c>
      <c r="I3766">
        <v>261000</v>
      </c>
      <c r="J3766">
        <v>0</v>
      </c>
      <c r="K3766">
        <v>0</v>
      </c>
      <c r="L3766">
        <v>0</v>
      </c>
      <c r="M3766">
        <v>0</v>
      </c>
      <c r="T3766" s="9">
        <v>45108</v>
      </c>
      <c r="U3766" s="9">
        <v>45473</v>
      </c>
      <c r="V3766">
        <f>SUM(POTABLE_NONPOTABLE_API[[#This Row],[RESIDENTIAL_SINGLEFAMILY_GAL]:[OTHER_GAL]])</f>
        <v>679000</v>
      </c>
      <c r="W3766">
        <f>SUM(POTABLE_NONPOTABLE_API[[#This Row],[NONPOTABLE_DEMAND_RESIDENTIAL_RECYCLED_WATER_GAL]:[NONPOTABLE_DEMAND_NONRESIDENTIAL_METERED_IRRIGATION_GAL]])</f>
        <v>0</v>
      </c>
      <c r="X3766" t="str">
        <f>IFERROR(INDEX(Crosswalk_API!$H$2:$H$527, MATCH(POTABLE_NONPOTABLE_API[[#This Row],[PWSID]], CW_PWSID_LIST, 0)), "")</f>
        <v>No</v>
      </c>
    </row>
    <row r="3767" spans="1:24" x14ac:dyDescent="0.25">
      <c r="A3767" t="s">
        <v>1831</v>
      </c>
      <c r="B3767" t="s">
        <v>1832</v>
      </c>
      <c r="C3767" t="s">
        <v>1835</v>
      </c>
      <c r="D3767" t="s">
        <v>1836</v>
      </c>
      <c r="E3767" s="9">
        <v>45383</v>
      </c>
      <c r="F3767" s="9">
        <v>45412</v>
      </c>
      <c r="G3767">
        <v>408000</v>
      </c>
      <c r="H3767">
        <v>44000</v>
      </c>
      <c r="I3767">
        <v>336000</v>
      </c>
      <c r="J3767">
        <v>0</v>
      </c>
      <c r="K3767">
        <v>0</v>
      </c>
      <c r="L3767">
        <v>0</v>
      </c>
      <c r="M3767">
        <v>0</v>
      </c>
      <c r="T3767" s="9">
        <v>45108</v>
      </c>
      <c r="U3767" s="9">
        <v>45473</v>
      </c>
      <c r="V3767">
        <f>SUM(POTABLE_NONPOTABLE_API[[#This Row],[RESIDENTIAL_SINGLEFAMILY_GAL]:[OTHER_GAL]])</f>
        <v>788000</v>
      </c>
      <c r="W3767">
        <f>SUM(POTABLE_NONPOTABLE_API[[#This Row],[NONPOTABLE_DEMAND_RESIDENTIAL_RECYCLED_WATER_GAL]:[NONPOTABLE_DEMAND_NONRESIDENTIAL_METERED_IRRIGATION_GAL]])</f>
        <v>0</v>
      </c>
      <c r="X3767" t="str">
        <f>IFERROR(INDEX(Crosswalk_API!$H$2:$H$527, MATCH(POTABLE_NONPOTABLE_API[[#This Row],[PWSID]], CW_PWSID_LIST, 0)), "")</f>
        <v>No</v>
      </c>
    </row>
    <row r="3768" spans="1:24" x14ac:dyDescent="0.25">
      <c r="A3768" t="s">
        <v>1831</v>
      </c>
      <c r="B3768" t="s">
        <v>1832</v>
      </c>
      <c r="C3768" t="s">
        <v>1835</v>
      </c>
      <c r="D3768" t="s">
        <v>1836</v>
      </c>
      <c r="E3768" s="9">
        <v>45413</v>
      </c>
      <c r="F3768" s="9">
        <v>45443</v>
      </c>
      <c r="G3768">
        <v>414000</v>
      </c>
      <c r="H3768">
        <v>162000</v>
      </c>
      <c r="I3768">
        <v>385000</v>
      </c>
      <c r="J3768">
        <v>4000</v>
      </c>
      <c r="K3768">
        <v>0</v>
      </c>
      <c r="L3768">
        <v>0</v>
      </c>
      <c r="M3768">
        <v>0</v>
      </c>
      <c r="T3768" s="9">
        <v>45108</v>
      </c>
      <c r="U3768" s="9">
        <v>45473</v>
      </c>
      <c r="V3768">
        <f>SUM(POTABLE_NONPOTABLE_API[[#This Row],[RESIDENTIAL_SINGLEFAMILY_GAL]:[OTHER_GAL]])</f>
        <v>965000</v>
      </c>
      <c r="W3768">
        <f>SUM(POTABLE_NONPOTABLE_API[[#This Row],[NONPOTABLE_DEMAND_RESIDENTIAL_RECYCLED_WATER_GAL]:[NONPOTABLE_DEMAND_NONRESIDENTIAL_METERED_IRRIGATION_GAL]])</f>
        <v>0</v>
      </c>
      <c r="X3768" t="str">
        <f>IFERROR(INDEX(Crosswalk_API!$H$2:$H$527, MATCH(POTABLE_NONPOTABLE_API[[#This Row],[PWSID]], CW_PWSID_LIST, 0)), "")</f>
        <v>No</v>
      </c>
    </row>
    <row r="3769" spans="1:24" x14ac:dyDescent="0.25">
      <c r="A3769" t="s">
        <v>1831</v>
      </c>
      <c r="B3769" t="s">
        <v>1832</v>
      </c>
      <c r="C3769" t="s">
        <v>1835</v>
      </c>
      <c r="D3769" t="s">
        <v>1836</v>
      </c>
      <c r="E3769" s="9">
        <v>45444</v>
      </c>
      <c r="F3769" s="9">
        <v>45473</v>
      </c>
      <c r="G3769">
        <v>1275000</v>
      </c>
      <c r="H3769">
        <v>82000</v>
      </c>
      <c r="I3769">
        <v>1586000</v>
      </c>
      <c r="J3769">
        <v>0</v>
      </c>
      <c r="K3769">
        <v>0</v>
      </c>
      <c r="L3769">
        <v>182000</v>
      </c>
      <c r="M3769">
        <v>0</v>
      </c>
      <c r="T3769" s="9">
        <v>45108</v>
      </c>
      <c r="U3769" s="9">
        <v>45473</v>
      </c>
      <c r="V3769">
        <f>SUM(POTABLE_NONPOTABLE_API[[#This Row],[RESIDENTIAL_SINGLEFAMILY_GAL]:[OTHER_GAL]])</f>
        <v>3125000</v>
      </c>
      <c r="W3769">
        <f>SUM(POTABLE_NONPOTABLE_API[[#This Row],[NONPOTABLE_DEMAND_RESIDENTIAL_RECYCLED_WATER_GAL]:[NONPOTABLE_DEMAND_NONRESIDENTIAL_METERED_IRRIGATION_GAL]])</f>
        <v>0</v>
      </c>
      <c r="X3769" t="str">
        <f>IFERROR(INDEX(Crosswalk_API!$H$2:$H$527, MATCH(POTABLE_NONPOTABLE_API[[#This Row],[PWSID]], CW_PWSID_LIST, 0)), "")</f>
        <v>No</v>
      </c>
    </row>
    <row r="3770" spans="1:24" x14ac:dyDescent="0.25">
      <c r="A3770" t="s">
        <v>1831</v>
      </c>
      <c r="B3770" t="s">
        <v>1832</v>
      </c>
      <c r="C3770" t="s">
        <v>1837</v>
      </c>
      <c r="D3770" t="s">
        <v>1838</v>
      </c>
      <c r="E3770" s="9">
        <v>45108</v>
      </c>
      <c r="F3770" s="9">
        <v>45138</v>
      </c>
      <c r="G3770">
        <v>2136910</v>
      </c>
      <c r="H3770">
        <v>468000</v>
      </c>
      <c r="I3770">
        <v>292000</v>
      </c>
      <c r="J3770">
        <v>2434000</v>
      </c>
      <c r="K3770">
        <v>0</v>
      </c>
      <c r="L3770">
        <v>0</v>
      </c>
      <c r="M3770">
        <v>0</v>
      </c>
      <c r="T3770" s="9">
        <v>45108</v>
      </c>
      <c r="U3770" s="9">
        <v>45473</v>
      </c>
      <c r="V3770">
        <f>SUM(POTABLE_NONPOTABLE_API[[#This Row],[RESIDENTIAL_SINGLEFAMILY_GAL]:[OTHER_GAL]])</f>
        <v>5330910</v>
      </c>
      <c r="W3770">
        <f>SUM(POTABLE_NONPOTABLE_API[[#This Row],[NONPOTABLE_DEMAND_RESIDENTIAL_RECYCLED_WATER_GAL]:[NONPOTABLE_DEMAND_NONRESIDENTIAL_METERED_IRRIGATION_GAL]])</f>
        <v>0</v>
      </c>
      <c r="X3770" t="str">
        <f>IFERROR(INDEX(Crosswalk_API!$H$2:$H$527, MATCH(POTABLE_NONPOTABLE_API[[#This Row],[PWSID]], CW_PWSID_LIST, 0)), "")</f>
        <v>No</v>
      </c>
    </row>
    <row r="3771" spans="1:24" x14ac:dyDescent="0.25">
      <c r="A3771" t="s">
        <v>1831</v>
      </c>
      <c r="B3771" t="s">
        <v>1832</v>
      </c>
      <c r="C3771" t="s">
        <v>1837</v>
      </c>
      <c r="D3771" t="s">
        <v>1838</v>
      </c>
      <c r="E3771" s="9">
        <v>45139</v>
      </c>
      <c r="F3771" s="9">
        <v>45169</v>
      </c>
      <c r="G3771">
        <v>1626843</v>
      </c>
      <c r="H3771">
        <v>110000</v>
      </c>
      <c r="I3771">
        <v>189000</v>
      </c>
      <c r="J3771">
        <v>1872000</v>
      </c>
      <c r="K3771">
        <v>0</v>
      </c>
      <c r="L3771">
        <v>0</v>
      </c>
      <c r="M3771">
        <v>0</v>
      </c>
      <c r="T3771" s="9">
        <v>45108</v>
      </c>
      <c r="U3771" s="9">
        <v>45473</v>
      </c>
      <c r="V3771">
        <f>SUM(POTABLE_NONPOTABLE_API[[#This Row],[RESIDENTIAL_SINGLEFAMILY_GAL]:[OTHER_GAL]])</f>
        <v>3797843</v>
      </c>
      <c r="W3771">
        <f>SUM(POTABLE_NONPOTABLE_API[[#This Row],[NONPOTABLE_DEMAND_RESIDENTIAL_RECYCLED_WATER_GAL]:[NONPOTABLE_DEMAND_NONRESIDENTIAL_METERED_IRRIGATION_GAL]])</f>
        <v>0</v>
      </c>
      <c r="X3771" t="str">
        <f>IFERROR(INDEX(Crosswalk_API!$H$2:$H$527, MATCH(POTABLE_NONPOTABLE_API[[#This Row],[PWSID]], CW_PWSID_LIST, 0)), "")</f>
        <v>No</v>
      </c>
    </row>
    <row r="3772" spans="1:24" x14ac:dyDescent="0.25">
      <c r="A3772" t="s">
        <v>1831</v>
      </c>
      <c r="B3772" t="s">
        <v>1832</v>
      </c>
      <c r="C3772" t="s">
        <v>1837</v>
      </c>
      <c r="D3772" t="s">
        <v>1838</v>
      </c>
      <c r="E3772" s="9">
        <v>45170</v>
      </c>
      <c r="F3772" s="9">
        <v>45199</v>
      </c>
      <c r="G3772">
        <v>1154000</v>
      </c>
      <c r="H3772">
        <v>66000</v>
      </c>
      <c r="I3772">
        <v>122000</v>
      </c>
      <c r="J3772">
        <v>1224000</v>
      </c>
      <c r="K3772">
        <v>0</v>
      </c>
      <c r="L3772">
        <v>0</v>
      </c>
      <c r="M3772">
        <v>0</v>
      </c>
      <c r="T3772" s="9">
        <v>45108</v>
      </c>
      <c r="U3772" s="9">
        <v>45473</v>
      </c>
      <c r="V3772">
        <f>SUM(POTABLE_NONPOTABLE_API[[#This Row],[RESIDENTIAL_SINGLEFAMILY_GAL]:[OTHER_GAL]])</f>
        <v>2566000</v>
      </c>
      <c r="W3772">
        <f>SUM(POTABLE_NONPOTABLE_API[[#This Row],[NONPOTABLE_DEMAND_RESIDENTIAL_RECYCLED_WATER_GAL]:[NONPOTABLE_DEMAND_NONRESIDENTIAL_METERED_IRRIGATION_GAL]])</f>
        <v>0</v>
      </c>
      <c r="X3772" t="str">
        <f>IFERROR(INDEX(Crosswalk_API!$H$2:$H$527, MATCH(POTABLE_NONPOTABLE_API[[#This Row],[PWSID]], CW_PWSID_LIST, 0)), "")</f>
        <v>No</v>
      </c>
    </row>
    <row r="3773" spans="1:24" x14ac:dyDescent="0.25">
      <c r="A3773" t="s">
        <v>1831</v>
      </c>
      <c r="B3773" t="s">
        <v>1832</v>
      </c>
      <c r="C3773" t="s">
        <v>1837</v>
      </c>
      <c r="D3773" t="s">
        <v>1838</v>
      </c>
      <c r="E3773" s="9">
        <v>45200</v>
      </c>
      <c r="F3773" s="9">
        <v>45230</v>
      </c>
      <c r="G3773">
        <v>664000</v>
      </c>
      <c r="H3773">
        <v>80000</v>
      </c>
      <c r="I3773">
        <v>117000</v>
      </c>
      <c r="J3773">
        <v>759000</v>
      </c>
      <c r="K3773">
        <v>0</v>
      </c>
      <c r="L3773">
        <v>0</v>
      </c>
      <c r="M3773">
        <v>0</v>
      </c>
      <c r="T3773" s="9">
        <v>45108</v>
      </c>
      <c r="U3773" s="9">
        <v>45473</v>
      </c>
      <c r="V3773">
        <f>SUM(POTABLE_NONPOTABLE_API[[#This Row],[RESIDENTIAL_SINGLEFAMILY_GAL]:[OTHER_GAL]])</f>
        <v>1620000</v>
      </c>
      <c r="W3773">
        <f>SUM(POTABLE_NONPOTABLE_API[[#This Row],[NONPOTABLE_DEMAND_RESIDENTIAL_RECYCLED_WATER_GAL]:[NONPOTABLE_DEMAND_NONRESIDENTIAL_METERED_IRRIGATION_GAL]])</f>
        <v>0</v>
      </c>
      <c r="X3773" t="str">
        <f>IFERROR(INDEX(Crosswalk_API!$H$2:$H$527, MATCH(POTABLE_NONPOTABLE_API[[#This Row],[PWSID]], CW_PWSID_LIST, 0)), "")</f>
        <v>No</v>
      </c>
    </row>
    <row r="3774" spans="1:24" x14ac:dyDescent="0.25">
      <c r="A3774" t="s">
        <v>1831</v>
      </c>
      <c r="B3774" t="s">
        <v>1832</v>
      </c>
      <c r="C3774" t="s">
        <v>1837</v>
      </c>
      <c r="D3774" t="s">
        <v>1838</v>
      </c>
      <c r="E3774" s="9">
        <v>45231</v>
      </c>
      <c r="F3774" s="9">
        <v>45260</v>
      </c>
      <c r="G3774">
        <v>222000</v>
      </c>
      <c r="H3774">
        <v>7000</v>
      </c>
      <c r="I3774">
        <v>23000</v>
      </c>
      <c r="J3774">
        <v>0</v>
      </c>
      <c r="K3774">
        <v>0</v>
      </c>
      <c r="L3774">
        <v>2000</v>
      </c>
      <c r="M3774">
        <v>0</v>
      </c>
      <c r="T3774" s="9">
        <v>45108</v>
      </c>
      <c r="U3774" s="9">
        <v>45473</v>
      </c>
      <c r="V3774">
        <f>SUM(POTABLE_NONPOTABLE_API[[#This Row],[RESIDENTIAL_SINGLEFAMILY_GAL]:[OTHER_GAL]])</f>
        <v>254000</v>
      </c>
      <c r="W3774">
        <f>SUM(POTABLE_NONPOTABLE_API[[#This Row],[NONPOTABLE_DEMAND_RESIDENTIAL_RECYCLED_WATER_GAL]:[NONPOTABLE_DEMAND_NONRESIDENTIAL_METERED_IRRIGATION_GAL]])</f>
        <v>0</v>
      </c>
      <c r="X3774" t="str">
        <f>IFERROR(INDEX(Crosswalk_API!$H$2:$H$527, MATCH(POTABLE_NONPOTABLE_API[[#This Row],[PWSID]], CW_PWSID_LIST, 0)), "")</f>
        <v>No</v>
      </c>
    </row>
    <row r="3775" spans="1:24" x14ac:dyDescent="0.25">
      <c r="A3775" t="s">
        <v>1831</v>
      </c>
      <c r="B3775" t="s">
        <v>1832</v>
      </c>
      <c r="C3775" t="s">
        <v>1837</v>
      </c>
      <c r="D3775" t="s">
        <v>1838</v>
      </c>
      <c r="E3775" s="9">
        <v>45261</v>
      </c>
      <c r="F3775" s="9">
        <v>45291</v>
      </c>
      <c r="G3775">
        <v>174000</v>
      </c>
      <c r="H3775">
        <v>5000</v>
      </c>
      <c r="I3775">
        <v>0</v>
      </c>
      <c r="J3775">
        <v>0</v>
      </c>
      <c r="K3775">
        <v>0</v>
      </c>
      <c r="L3775">
        <v>0</v>
      </c>
      <c r="M3775">
        <v>0</v>
      </c>
      <c r="T3775" s="9">
        <v>45108</v>
      </c>
      <c r="U3775" s="9">
        <v>45473</v>
      </c>
      <c r="V3775">
        <f>SUM(POTABLE_NONPOTABLE_API[[#This Row],[RESIDENTIAL_SINGLEFAMILY_GAL]:[OTHER_GAL]])</f>
        <v>179000</v>
      </c>
      <c r="W3775">
        <f>SUM(POTABLE_NONPOTABLE_API[[#This Row],[NONPOTABLE_DEMAND_RESIDENTIAL_RECYCLED_WATER_GAL]:[NONPOTABLE_DEMAND_NONRESIDENTIAL_METERED_IRRIGATION_GAL]])</f>
        <v>0</v>
      </c>
      <c r="X3775" t="str">
        <f>IFERROR(INDEX(Crosswalk_API!$H$2:$H$527, MATCH(POTABLE_NONPOTABLE_API[[#This Row],[PWSID]], CW_PWSID_LIST, 0)), "")</f>
        <v>No</v>
      </c>
    </row>
    <row r="3776" spans="1:24" x14ac:dyDescent="0.25">
      <c r="A3776" t="s">
        <v>1831</v>
      </c>
      <c r="B3776" t="s">
        <v>1832</v>
      </c>
      <c r="C3776" t="s">
        <v>1837</v>
      </c>
      <c r="D3776" t="s">
        <v>1838</v>
      </c>
      <c r="E3776" s="9">
        <v>45292</v>
      </c>
      <c r="F3776" s="9">
        <v>45322</v>
      </c>
      <c r="G3776">
        <v>429000</v>
      </c>
      <c r="H3776">
        <v>19000</v>
      </c>
      <c r="I3776">
        <v>9000</v>
      </c>
      <c r="J3776">
        <v>0</v>
      </c>
      <c r="K3776">
        <v>0</v>
      </c>
      <c r="L3776">
        <v>0</v>
      </c>
      <c r="M3776">
        <v>0</v>
      </c>
      <c r="T3776" s="9">
        <v>45108</v>
      </c>
      <c r="U3776" s="9">
        <v>45473</v>
      </c>
      <c r="V3776">
        <f>SUM(POTABLE_NONPOTABLE_API[[#This Row],[RESIDENTIAL_SINGLEFAMILY_GAL]:[OTHER_GAL]])</f>
        <v>457000</v>
      </c>
      <c r="W3776">
        <f>SUM(POTABLE_NONPOTABLE_API[[#This Row],[NONPOTABLE_DEMAND_RESIDENTIAL_RECYCLED_WATER_GAL]:[NONPOTABLE_DEMAND_NONRESIDENTIAL_METERED_IRRIGATION_GAL]])</f>
        <v>0</v>
      </c>
      <c r="X3776" t="str">
        <f>IFERROR(INDEX(Crosswalk_API!$H$2:$H$527, MATCH(POTABLE_NONPOTABLE_API[[#This Row],[PWSID]], CW_PWSID_LIST, 0)), "")</f>
        <v>No</v>
      </c>
    </row>
    <row r="3777" spans="1:24" x14ac:dyDescent="0.25">
      <c r="A3777" t="s">
        <v>1831</v>
      </c>
      <c r="B3777" t="s">
        <v>1832</v>
      </c>
      <c r="C3777" t="s">
        <v>1837</v>
      </c>
      <c r="D3777" t="s">
        <v>1838</v>
      </c>
      <c r="E3777" s="9">
        <v>45323</v>
      </c>
      <c r="F3777" s="9">
        <v>45351</v>
      </c>
      <c r="G3777">
        <v>262000</v>
      </c>
      <c r="H3777">
        <v>1000</v>
      </c>
      <c r="I3777">
        <v>3000</v>
      </c>
      <c r="J3777">
        <v>0</v>
      </c>
      <c r="K3777">
        <v>0</v>
      </c>
      <c r="L3777">
        <v>0</v>
      </c>
      <c r="M3777">
        <v>0</v>
      </c>
      <c r="T3777" s="9">
        <v>45108</v>
      </c>
      <c r="U3777" s="9">
        <v>45473</v>
      </c>
      <c r="V3777">
        <f>SUM(POTABLE_NONPOTABLE_API[[#This Row],[RESIDENTIAL_SINGLEFAMILY_GAL]:[OTHER_GAL]])</f>
        <v>266000</v>
      </c>
      <c r="W3777">
        <f>SUM(POTABLE_NONPOTABLE_API[[#This Row],[NONPOTABLE_DEMAND_RESIDENTIAL_RECYCLED_WATER_GAL]:[NONPOTABLE_DEMAND_NONRESIDENTIAL_METERED_IRRIGATION_GAL]])</f>
        <v>0</v>
      </c>
      <c r="X3777" t="str">
        <f>IFERROR(INDEX(Crosswalk_API!$H$2:$H$527, MATCH(POTABLE_NONPOTABLE_API[[#This Row],[PWSID]], CW_PWSID_LIST, 0)), "")</f>
        <v>No</v>
      </c>
    </row>
    <row r="3778" spans="1:24" x14ac:dyDescent="0.25">
      <c r="A3778" t="s">
        <v>1831</v>
      </c>
      <c r="B3778" t="s">
        <v>1832</v>
      </c>
      <c r="C3778" t="s">
        <v>1837</v>
      </c>
      <c r="D3778" t="s">
        <v>1838</v>
      </c>
      <c r="E3778" s="9">
        <v>45352</v>
      </c>
      <c r="F3778" s="9">
        <v>45382</v>
      </c>
      <c r="G3778">
        <v>287000</v>
      </c>
      <c r="H3778">
        <v>6000</v>
      </c>
      <c r="I3778">
        <v>4000</v>
      </c>
      <c r="J3778">
        <v>0</v>
      </c>
      <c r="K3778">
        <v>0</v>
      </c>
      <c r="L3778">
        <v>0</v>
      </c>
      <c r="M3778">
        <v>0</v>
      </c>
      <c r="T3778" s="9">
        <v>45108</v>
      </c>
      <c r="U3778" s="9">
        <v>45473</v>
      </c>
      <c r="V3778">
        <f>SUM(POTABLE_NONPOTABLE_API[[#This Row],[RESIDENTIAL_SINGLEFAMILY_GAL]:[OTHER_GAL]])</f>
        <v>297000</v>
      </c>
      <c r="W3778">
        <f>SUM(POTABLE_NONPOTABLE_API[[#This Row],[NONPOTABLE_DEMAND_RESIDENTIAL_RECYCLED_WATER_GAL]:[NONPOTABLE_DEMAND_NONRESIDENTIAL_METERED_IRRIGATION_GAL]])</f>
        <v>0</v>
      </c>
      <c r="X3778" t="str">
        <f>IFERROR(INDEX(Crosswalk_API!$H$2:$H$527, MATCH(POTABLE_NONPOTABLE_API[[#This Row],[PWSID]], CW_PWSID_LIST, 0)), "")</f>
        <v>No</v>
      </c>
    </row>
    <row r="3779" spans="1:24" x14ac:dyDescent="0.25">
      <c r="A3779" t="s">
        <v>1831</v>
      </c>
      <c r="B3779" t="s">
        <v>1832</v>
      </c>
      <c r="C3779" t="s">
        <v>1837</v>
      </c>
      <c r="D3779" t="s">
        <v>1838</v>
      </c>
      <c r="E3779" s="9">
        <v>45383</v>
      </c>
      <c r="F3779" s="9">
        <v>45412</v>
      </c>
      <c r="G3779">
        <v>355000</v>
      </c>
      <c r="H3779">
        <v>0</v>
      </c>
      <c r="I3779">
        <v>5000</v>
      </c>
      <c r="J3779">
        <v>0</v>
      </c>
      <c r="K3779">
        <v>0</v>
      </c>
      <c r="L3779">
        <v>0</v>
      </c>
      <c r="M3779">
        <v>0</v>
      </c>
      <c r="T3779" s="9">
        <v>45108</v>
      </c>
      <c r="U3779" s="9">
        <v>45473</v>
      </c>
      <c r="V3779">
        <f>SUM(POTABLE_NONPOTABLE_API[[#This Row],[RESIDENTIAL_SINGLEFAMILY_GAL]:[OTHER_GAL]])</f>
        <v>360000</v>
      </c>
      <c r="W3779">
        <f>SUM(POTABLE_NONPOTABLE_API[[#This Row],[NONPOTABLE_DEMAND_RESIDENTIAL_RECYCLED_WATER_GAL]:[NONPOTABLE_DEMAND_NONRESIDENTIAL_METERED_IRRIGATION_GAL]])</f>
        <v>0</v>
      </c>
      <c r="X3779" t="str">
        <f>IFERROR(INDEX(Crosswalk_API!$H$2:$H$527, MATCH(POTABLE_NONPOTABLE_API[[#This Row],[PWSID]], CW_PWSID_LIST, 0)), "")</f>
        <v>No</v>
      </c>
    </row>
    <row r="3780" spans="1:24" x14ac:dyDescent="0.25">
      <c r="A3780" t="s">
        <v>1831</v>
      </c>
      <c r="B3780" t="s">
        <v>1832</v>
      </c>
      <c r="C3780" t="s">
        <v>1837</v>
      </c>
      <c r="D3780" t="s">
        <v>1838</v>
      </c>
      <c r="E3780" s="9">
        <v>45413</v>
      </c>
      <c r="F3780" s="9">
        <v>45443</v>
      </c>
      <c r="G3780">
        <v>239000</v>
      </c>
      <c r="H3780">
        <v>36000</v>
      </c>
      <c r="I3780">
        <v>6000</v>
      </c>
      <c r="J3780">
        <v>117000</v>
      </c>
      <c r="K3780">
        <v>0</v>
      </c>
      <c r="L3780">
        <v>0</v>
      </c>
      <c r="M3780">
        <v>0</v>
      </c>
      <c r="T3780" s="9">
        <v>45108</v>
      </c>
      <c r="U3780" s="9">
        <v>45473</v>
      </c>
      <c r="V3780">
        <f>SUM(POTABLE_NONPOTABLE_API[[#This Row],[RESIDENTIAL_SINGLEFAMILY_GAL]:[OTHER_GAL]])</f>
        <v>398000</v>
      </c>
      <c r="W3780">
        <f>SUM(POTABLE_NONPOTABLE_API[[#This Row],[NONPOTABLE_DEMAND_RESIDENTIAL_RECYCLED_WATER_GAL]:[NONPOTABLE_DEMAND_NONRESIDENTIAL_METERED_IRRIGATION_GAL]])</f>
        <v>0</v>
      </c>
      <c r="X3780" t="str">
        <f>IFERROR(INDEX(Crosswalk_API!$H$2:$H$527, MATCH(POTABLE_NONPOTABLE_API[[#This Row],[PWSID]], CW_PWSID_LIST, 0)), "")</f>
        <v>No</v>
      </c>
    </row>
    <row r="3781" spans="1:24" x14ac:dyDescent="0.25">
      <c r="A3781" t="s">
        <v>1831</v>
      </c>
      <c r="B3781" t="s">
        <v>1832</v>
      </c>
      <c r="C3781" t="s">
        <v>1837</v>
      </c>
      <c r="D3781" t="s">
        <v>1838</v>
      </c>
      <c r="E3781" s="9">
        <v>45444</v>
      </c>
      <c r="F3781" s="9">
        <v>45473</v>
      </c>
      <c r="G3781">
        <v>844000</v>
      </c>
      <c r="H3781">
        <v>53000</v>
      </c>
      <c r="I3781">
        <v>120000</v>
      </c>
      <c r="J3781">
        <v>1666000</v>
      </c>
      <c r="K3781">
        <v>0</v>
      </c>
      <c r="L3781">
        <v>1</v>
      </c>
      <c r="M3781">
        <v>0</v>
      </c>
      <c r="T3781" s="9">
        <v>45108</v>
      </c>
      <c r="U3781" s="9">
        <v>45473</v>
      </c>
      <c r="V3781">
        <f>SUM(POTABLE_NONPOTABLE_API[[#This Row],[RESIDENTIAL_SINGLEFAMILY_GAL]:[OTHER_GAL]])</f>
        <v>2683001</v>
      </c>
      <c r="W3781">
        <f>SUM(POTABLE_NONPOTABLE_API[[#This Row],[NONPOTABLE_DEMAND_RESIDENTIAL_RECYCLED_WATER_GAL]:[NONPOTABLE_DEMAND_NONRESIDENTIAL_METERED_IRRIGATION_GAL]])</f>
        <v>0</v>
      </c>
      <c r="X3781" t="str">
        <f>IFERROR(INDEX(Crosswalk_API!$H$2:$H$527, MATCH(POTABLE_NONPOTABLE_API[[#This Row],[PWSID]], CW_PWSID_LIST, 0)), "")</f>
        <v>No</v>
      </c>
    </row>
    <row r="3782" spans="1:24" x14ac:dyDescent="0.25">
      <c r="A3782" t="s">
        <v>1839</v>
      </c>
      <c r="B3782" t="s">
        <v>1840</v>
      </c>
      <c r="C3782" t="s">
        <v>1841</v>
      </c>
      <c r="D3782" t="s">
        <v>1842</v>
      </c>
      <c r="E3782" s="9">
        <v>45108</v>
      </c>
      <c r="F3782" s="9">
        <v>45138</v>
      </c>
      <c r="G3782">
        <v>123171678</v>
      </c>
      <c r="H3782">
        <v>15640848</v>
      </c>
      <c r="I3782">
        <v>9449679</v>
      </c>
      <c r="J3782">
        <v>6842871</v>
      </c>
      <c r="K3782">
        <v>325851</v>
      </c>
      <c r="L3782">
        <v>1303404</v>
      </c>
      <c r="M3782">
        <v>2280957</v>
      </c>
      <c r="T3782" s="9">
        <v>45108</v>
      </c>
      <c r="U3782" s="9">
        <v>45473</v>
      </c>
      <c r="V3782">
        <f>SUM(POTABLE_NONPOTABLE_API[[#This Row],[RESIDENTIAL_SINGLEFAMILY_GAL]:[OTHER_GAL]])</f>
        <v>156734331</v>
      </c>
      <c r="W3782">
        <f>SUM(POTABLE_NONPOTABLE_API[[#This Row],[NONPOTABLE_DEMAND_RESIDENTIAL_RECYCLED_WATER_GAL]:[NONPOTABLE_DEMAND_NONRESIDENTIAL_METERED_IRRIGATION_GAL]])</f>
        <v>0</v>
      </c>
      <c r="X3782" t="str">
        <f>IFERROR(INDEX(Crosswalk_API!$H$2:$H$527, MATCH(POTABLE_NONPOTABLE_API[[#This Row],[PWSID]], CW_PWSID_LIST, 0)), "")</f>
        <v>No</v>
      </c>
    </row>
    <row r="3783" spans="1:24" x14ac:dyDescent="0.25">
      <c r="A3783" t="s">
        <v>1839</v>
      </c>
      <c r="B3783" t="s">
        <v>1840</v>
      </c>
      <c r="C3783" t="s">
        <v>1841</v>
      </c>
      <c r="D3783" t="s">
        <v>1842</v>
      </c>
      <c r="E3783" s="9">
        <v>45139</v>
      </c>
      <c r="F3783" s="9">
        <v>45169</v>
      </c>
      <c r="G3783">
        <v>33888504</v>
      </c>
      <c r="H3783">
        <v>325851</v>
      </c>
      <c r="I3783">
        <v>977553</v>
      </c>
      <c r="J3783">
        <v>1629255</v>
      </c>
      <c r="K3783">
        <v>325851</v>
      </c>
      <c r="L3783">
        <v>651702</v>
      </c>
      <c r="M3783">
        <v>325851</v>
      </c>
      <c r="T3783" s="9">
        <v>45108</v>
      </c>
      <c r="U3783" s="9">
        <v>45473</v>
      </c>
      <c r="V3783">
        <f>SUM(POTABLE_NONPOTABLE_API[[#This Row],[RESIDENTIAL_SINGLEFAMILY_GAL]:[OTHER_GAL]])</f>
        <v>37798716</v>
      </c>
      <c r="W3783">
        <f>SUM(POTABLE_NONPOTABLE_API[[#This Row],[NONPOTABLE_DEMAND_RESIDENTIAL_RECYCLED_WATER_GAL]:[NONPOTABLE_DEMAND_NONRESIDENTIAL_METERED_IRRIGATION_GAL]])</f>
        <v>0</v>
      </c>
      <c r="X3783" t="str">
        <f>IFERROR(INDEX(Crosswalk_API!$H$2:$H$527, MATCH(POTABLE_NONPOTABLE_API[[#This Row],[PWSID]], CW_PWSID_LIST, 0)), "")</f>
        <v>No</v>
      </c>
    </row>
    <row r="3784" spans="1:24" x14ac:dyDescent="0.25">
      <c r="A3784" t="s">
        <v>1839</v>
      </c>
      <c r="B3784" t="s">
        <v>1840</v>
      </c>
      <c r="C3784" t="s">
        <v>1841</v>
      </c>
      <c r="D3784" t="s">
        <v>1842</v>
      </c>
      <c r="E3784" s="9">
        <v>45170</v>
      </c>
      <c r="F3784" s="9">
        <v>45199</v>
      </c>
      <c r="G3784">
        <v>72990624</v>
      </c>
      <c r="H3784">
        <v>17921805</v>
      </c>
      <c r="I3784">
        <v>14663295</v>
      </c>
      <c r="J3784">
        <v>3584361</v>
      </c>
      <c r="K3784">
        <v>325851</v>
      </c>
      <c r="L3784">
        <v>1629255</v>
      </c>
      <c r="M3784">
        <v>5539467</v>
      </c>
      <c r="T3784" s="9">
        <v>45108</v>
      </c>
      <c r="U3784" s="9">
        <v>45473</v>
      </c>
      <c r="V3784">
        <f>SUM(POTABLE_NONPOTABLE_API[[#This Row],[RESIDENTIAL_SINGLEFAMILY_GAL]:[OTHER_GAL]])</f>
        <v>111115191</v>
      </c>
      <c r="W3784">
        <f>SUM(POTABLE_NONPOTABLE_API[[#This Row],[NONPOTABLE_DEMAND_RESIDENTIAL_RECYCLED_WATER_GAL]:[NONPOTABLE_DEMAND_NONRESIDENTIAL_METERED_IRRIGATION_GAL]])</f>
        <v>0</v>
      </c>
      <c r="X3784" t="str">
        <f>IFERROR(INDEX(Crosswalk_API!$H$2:$H$527, MATCH(POTABLE_NONPOTABLE_API[[#This Row],[PWSID]], CW_PWSID_LIST, 0)), "")</f>
        <v>No</v>
      </c>
    </row>
    <row r="3785" spans="1:24" x14ac:dyDescent="0.25">
      <c r="A3785" t="s">
        <v>1839</v>
      </c>
      <c r="B3785" t="s">
        <v>1840</v>
      </c>
      <c r="C3785" t="s">
        <v>1841</v>
      </c>
      <c r="D3785" t="s">
        <v>1842</v>
      </c>
      <c r="E3785" s="9">
        <v>45200</v>
      </c>
      <c r="F3785" s="9">
        <v>45230</v>
      </c>
      <c r="G3785">
        <v>86024664</v>
      </c>
      <c r="H3785">
        <v>0</v>
      </c>
      <c r="I3785">
        <v>1629255</v>
      </c>
      <c r="J3785">
        <v>0</v>
      </c>
      <c r="K3785">
        <v>0</v>
      </c>
      <c r="L3785">
        <v>325851</v>
      </c>
      <c r="M3785">
        <v>1303404</v>
      </c>
      <c r="T3785" s="9">
        <v>45108</v>
      </c>
      <c r="U3785" s="9">
        <v>45473</v>
      </c>
      <c r="V3785">
        <f>SUM(POTABLE_NONPOTABLE_API[[#This Row],[RESIDENTIAL_SINGLEFAMILY_GAL]:[OTHER_GAL]])</f>
        <v>87979770</v>
      </c>
      <c r="W3785">
        <f>SUM(POTABLE_NONPOTABLE_API[[#This Row],[NONPOTABLE_DEMAND_RESIDENTIAL_RECYCLED_WATER_GAL]:[NONPOTABLE_DEMAND_NONRESIDENTIAL_METERED_IRRIGATION_GAL]])</f>
        <v>0</v>
      </c>
      <c r="X3785" t="str">
        <f>IFERROR(INDEX(Crosswalk_API!$H$2:$H$527, MATCH(POTABLE_NONPOTABLE_API[[#This Row],[PWSID]], CW_PWSID_LIST, 0)), "")</f>
        <v>No</v>
      </c>
    </row>
    <row r="3786" spans="1:24" x14ac:dyDescent="0.25">
      <c r="A3786" t="s">
        <v>1839</v>
      </c>
      <c r="B3786" t="s">
        <v>1840</v>
      </c>
      <c r="C3786" t="s">
        <v>1841</v>
      </c>
      <c r="D3786" t="s">
        <v>1842</v>
      </c>
      <c r="E3786" s="9">
        <v>45231</v>
      </c>
      <c r="F3786" s="9">
        <v>45260</v>
      </c>
      <c r="G3786">
        <v>70383816</v>
      </c>
      <c r="H3786">
        <v>14011593</v>
      </c>
      <c r="I3786">
        <v>9123828</v>
      </c>
      <c r="J3786">
        <v>4561914</v>
      </c>
      <c r="K3786">
        <v>325851</v>
      </c>
      <c r="L3786">
        <v>977553</v>
      </c>
      <c r="M3786">
        <v>1629255</v>
      </c>
      <c r="T3786" s="9">
        <v>45108</v>
      </c>
      <c r="U3786" s="9">
        <v>45473</v>
      </c>
      <c r="V3786">
        <f>SUM(POTABLE_NONPOTABLE_API[[#This Row],[RESIDENTIAL_SINGLEFAMILY_GAL]:[OTHER_GAL]])</f>
        <v>99384555</v>
      </c>
      <c r="W3786">
        <f>SUM(POTABLE_NONPOTABLE_API[[#This Row],[NONPOTABLE_DEMAND_RESIDENTIAL_RECYCLED_WATER_GAL]:[NONPOTABLE_DEMAND_NONRESIDENTIAL_METERED_IRRIGATION_GAL]])</f>
        <v>0</v>
      </c>
      <c r="X3786" t="str">
        <f>IFERROR(INDEX(Crosswalk_API!$H$2:$H$527, MATCH(POTABLE_NONPOTABLE_API[[#This Row],[PWSID]], CW_PWSID_LIST, 0)), "")</f>
        <v>No</v>
      </c>
    </row>
    <row r="3787" spans="1:24" x14ac:dyDescent="0.25">
      <c r="A3787" t="s">
        <v>1839</v>
      </c>
      <c r="B3787" t="s">
        <v>1840</v>
      </c>
      <c r="C3787" t="s">
        <v>1841</v>
      </c>
      <c r="D3787" t="s">
        <v>1842</v>
      </c>
      <c r="E3787" s="9">
        <v>45261</v>
      </c>
      <c r="F3787" s="9">
        <v>45291</v>
      </c>
      <c r="G3787">
        <v>3258510</v>
      </c>
      <c r="H3787">
        <v>0</v>
      </c>
      <c r="I3787">
        <v>0</v>
      </c>
      <c r="J3787">
        <v>0</v>
      </c>
      <c r="K3787">
        <v>0</v>
      </c>
      <c r="L3787">
        <v>0</v>
      </c>
      <c r="M3787">
        <v>0</v>
      </c>
      <c r="T3787" s="9">
        <v>45108</v>
      </c>
      <c r="U3787" s="9">
        <v>45473</v>
      </c>
      <c r="V3787">
        <f>SUM(POTABLE_NONPOTABLE_API[[#This Row],[RESIDENTIAL_SINGLEFAMILY_GAL]:[OTHER_GAL]])</f>
        <v>3258510</v>
      </c>
      <c r="W3787">
        <f>SUM(POTABLE_NONPOTABLE_API[[#This Row],[NONPOTABLE_DEMAND_RESIDENTIAL_RECYCLED_WATER_GAL]:[NONPOTABLE_DEMAND_NONRESIDENTIAL_METERED_IRRIGATION_GAL]])</f>
        <v>0</v>
      </c>
      <c r="X3787" t="str">
        <f>IFERROR(INDEX(Crosswalk_API!$H$2:$H$527, MATCH(POTABLE_NONPOTABLE_API[[#This Row],[PWSID]], CW_PWSID_LIST, 0)), "")</f>
        <v>No</v>
      </c>
    </row>
    <row r="3788" spans="1:24" x14ac:dyDescent="0.25">
      <c r="A3788" t="s">
        <v>1839</v>
      </c>
      <c r="B3788" t="s">
        <v>1840</v>
      </c>
      <c r="C3788" t="s">
        <v>1841</v>
      </c>
      <c r="D3788" t="s">
        <v>1842</v>
      </c>
      <c r="E3788" s="9">
        <v>45292</v>
      </c>
      <c r="F3788" s="9">
        <v>45322</v>
      </c>
      <c r="G3788">
        <v>56761437.708000004</v>
      </c>
      <c r="H3788">
        <v>17034640.144000001</v>
      </c>
      <c r="I3788">
        <v>8382670.7120000003</v>
      </c>
      <c r="J3788">
        <v>1605319.5919999999</v>
      </c>
      <c r="K3788">
        <v>827345.51199999999</v>
      </c>
      <c r="L3788">
        <v>1416810.4880000001</v>
      </c>
      <c r="M3788">
        <v>1413818.28</v>
      </c>
      <c r="T3788" s="9">
        <v>45108</v>
      </c>
      <c r="U3788" s="9">
        <v>45473</v>
      </c>
      <c r="V3788">
        <f>SUM(POTABLE_NONPOTABLE_API[[#This Row],[RESIDENTIAL_SINGLEFAMILY_GAL]:[OTHER_GAL]])</f>
        <v>86028224.155999988</v>
      </c>
      <c r="W3788">
        <f>SUM(POTABLE_NONPOTABLE_API[[#This Row],[NONPOTABLE_DEMAND_RESIDENTIAL_RECYCLED_WATER_GAL]:[NONPOTABLE_DEMAND_NONRESIDENTIAL_METERED_IRRIGATION_GAL]])</f>
        <v>0</v>
      </c>
      <c r="X3788" t="str">
        <f>IFERROR(INDEX(Crosswalk_API!$H$2:$H$527, MATCH(POTABLE_NONPOTABLE_API[[#This Row],[PWSID]], CW_PWSID_LIST, 0)), "")</f>
        <v>No</v>
      </c>
    </row>
    <row r="3789" spans="1:24" x14ac:dyDescent="0.25">
      <c r="A3789" t="s">
        <v>1839</v>
      </c>
      <c r="B3789" t="s">
        <v>1840</v>
      </c>
      <c r="C3789" t="s">
        <v>1841</v>
      </c>
      <c r="D3789" t="s">
        <v>1842</v>
      </c>
      <c r="E3789" s="9">
        <v>45323</v>
      </c>
      <c r="F3789" s="9">
        <v>45351</v>
      </c>
      <c r="G3789">
        <v>23339970.452</v>
      </c>
      <c r="H3789">
        <v>3777662.6</v>
      </c>
      <c r="I3789">
        <v>3001184.6240000003</v>
      </c>
      <c r="J3789">
        <v>3244301.5240000002</v>
      </c>
      <c r="K3789">
        <v>96498.707999999999</v>
      </c>
      <c r="L3789">
        <v>0</v>
      </c>
      <c r="M3789">
        <v>607418.22400000005</v>
      </c>
      <c r="T3789" s="9">
        <v>45108</v>
      </c>
      <c r="U3789" s="9">
        <v>45473</v>
      </c>
      <c r="V3789">
        <f>SUM(POTABLE_NONPOTABLE_API[[#This Row],[RESIDENTIAL_SINGLEFAMILY_GAL]:[OTHER_GAL]])</f>
        <v>33459617.908000004</v>
      </c>
      <c r="W3789">
        <f>SUM(POTABLE_NONPOTABLE_API[[#This Row],[NONPOTABLE_DEMAND_RESIDENTIAL_RECYCLED_WATER_GAL]:[NONPOTABLE_DEMAND_NONRESIDENTIAL_METERED_IRRIGATION_GAL]])</f>
        <v>0</v>
      </c>
      <c r="X3789" t="str">
        <f>IFERROR(INDEX(Crosswalk_API!$H$2:$H$527, MATCH(POTABLE_NONPOTABLE_API[[#This Row],[PWSID]], CW_PWSID_LIST, 0)), "")</f>
        <v>No</v>
      </c>
    </row>
    <row r="3790" spans="1:24" x14ac:dyDescent="0.25">
      <c r="A3790" t="s">
        <v>1839</v>
      </c>
      <c r="B3790" t="s">
        <v>1840</v>
      </c>
      <c r="C3790" t="s">
        <v>1841</v>
      </c>
      <c r="D3790" t="s">
        <v>1842</v>
      </c>
      <c r="E3790" s="9">
        <v>45352</v>
      </c>
      <c r="F3790" s="9">
        <v>45382</v>
      </c>
      <c r="G3790">
        <v>24392479.616</v>
      </c>
      <c r="H3790">
        <v>9347657.7919999994</v>
      </c>
      <c r="I3790">
        <v>3037091.12</v>
      </c>
      <c r="J3790">
        <v>733090.96</v>
      </c>
      <c r="K3790">
        <v>332135.08799999999</v>
      </c>
      <c r="L3790">
        <v>281267.55200000003</v>
      </c>
      <c r="M3790">
        <v>499698.73600000003</v>
      </c>
      <c r="T3790" s="9">
        <v>45108</v>
      </c>
      <c r="U3790" s="9">
        <v>45473</v>
      </c>
      <c r="V3790">
        <f>SUM(POTABLE_NONPOTABLE_API[[#This Row],[RESIDENTIAL_SINGLEFAMILY_GAL]:[OTHER_GAL]])</f>
        <v>38123722.127999999</v>
      </c>
      <c r="W3790">
        <f>SUM(POTABLE_NONPOTABLE_API[[#This Row],[NONPOTABLE_DEMAND_RESIDENTIAL_RECYCLED_WATER_GAL]:[NONPOTABLE_DEMAND_NONRESIDENTIAL_METERED_IRRIGATION_GAL]])</f>
        <v>0</v>
      </c>
      <c r="X3790" t="str">
        <f>IFERROR(INDEX(Crosswalk_API!$H$2:$H$527, MATCH(POTABLE_NONPOTABLE_API[[#This Row],[PWSID]], CW_PWSID_LIST, 0)), "")</f>
        <v>No</v>
      </c>
    </row>
    <row r="3791" spans="1:24" x14ac:dyDescent="0.25">
      <c r="A3791" t="s">
        <v>1839</v>
      </c>
      <c r="B3791" t="s">
        <v>1840</v>
      </c>
      <c r="C3791" t="s">
        <v>1841</v>
      </c>
      <c r="D3791" t="s">
        <v>1842</v>
      </c>
      <c r="E3791" s="9">
        <v>45383</v>
      </c>
      <c r="F3791" s="9">
        <v>45412</v>
      </c>
      <c r="G3791">
        <v>4376104.2</v>
      </c>
      <c r="H3791">
        <v>4708239.2879999997</v>
      </c>
      <c r="I3791">
        <v>336623.4</v>
      </c>
      <c r="J3791">
        <v>103979.228</v>
      </c>
      <c r="K3791">
        <v>0</v>
      </c>
      <c r="L3791">
        <v>0</v>
      </c>
      <c r="M3791">
        <v>158587.024</v>
      </c>
      <c r="T3791" s="9">
        <v>45108</v>
      </c>
      <c r="U3791" s="9">
        <v>45473</v>
      </c>
      <c r="V3791">
        <f>SUM(POTABLE_NONPOTABLE_API[[#This Row],[RESIDENTIAL_SINGLEFAMILY_GAL]:[OTHER_GAL]])</f>
        <v>9524946.1160000004</v>
      </c>
      <c r="W3791">
        <f>SUM(POTABLE_NONPOTABLE_API[[#This Row],[NONPOTABLE_DEMAND_RESIDENTIAL_RECYCLED_WATER_GAL]:[NONPOTABLE_DEMAND_NONRESIDENTIAL_METERED_IRRIGATION_GAL]])</f>
        <v>0</v>
      </c>
      <c r="X3791" t="str">
        <f>IFERROR(INDEX(Crosswalk_API!$H$2:$H$527, MATCH(POTABLE_NONPOTABLE_API[[#This Row],[PWSID]], CW_PWSID_LIST, 0)), "")</f>
        <v>No</v>
      </c>
    </row>
    <row r="3792" spans="1:24" x14ac:dyDescent="0.25">
      <c r="A3792" t="s">
        <v>1839</v>
      </c>
      <c r="B3792" t="s">
        <v>1840</v>
      </c>
      <c r="C3792" t="s">
        <v>1841</v>
      </c>
      <c r="D3792" t="s">
        <v>1842</v>
      </c>
      <c r="E3792" s="9">
        <v>45413</v>
      </c>
      <c r="F3792" s="9">
        <v>45443</v>
      </c>
      <c r="G3792">
        <v>56641749.388000004</v>
      </c>
      <c r="H3792">
        <v>11966587.844000001</v>
      </c>
      <c r="I3792">
        <v>8084946.0159999998</v>
      </c>
      <c r="J3792">
        <v>1787844.28</v>
      </c>
      <c r="K3792">
        <v>961994.87199999997</v>
      </c>
      <c r="L3792">
        <v>773485.76800000004</v>
      </c>
      <c r="M3792">
        <v>1057745.5279999999</v>
      </c>
      <c r="T3792" s="9">
        <v>45108</v>
      </c>
      <c r="U3792" s="9">
        <v>45473</v>
      </c>
      <c r="V3792">
        <f>SUM(POTABLE_NONPOTABLE_API[[#This Row],[RESIDENTIAL_SINGLEFAMILY_GAL]:[OTHER_GAL]])</f>
        <v>80216608.168000013</v>
      </c>
      <c r="W3792">
        <f>SUM(POTABLE_NONPOTABLE_API[[#This Row],[NONPOTABLE_DEMAND_RESIDENTIAL_RECYCLED_WATER_GAL]:[NONPOTABLE_DEMAND_NONRESIDENTIAL_METERED_IRRIGATION_GAL]])</f>
        <v>0</v>
      </c>
      <c r="X3792" t="str">
        <f>IFERROR(INDEX(Crosswalk_API!$H$2:$H$527, MATCH(POTABLE_NONPOTABLE_API[[#This Row],[PWSID]], CW_PWSID_LIST, 0)), "")</f>
        <v>No</v>
      </c>
    </row>
    <row r="3793" spans="1:24" x14ac:dyDescent="0.25">
      <c r="A3793" t="s">
        <v>1839</v>
      </c>
      <c r="B3793" t="s">
        <v>1840</v>
      </c>
      <c r="C3793" t="s">
        <v>1841</v>
      </c>
      <c r="D3793" t="s">
        <v>1842</v>
      </c>
      <c r="E3793" s="9">
        <v>45444</v>
      </c>
      <c r="F3793" s="9">
        <v>45473</v>
      </c>
      <c r="G3793">
        <v>1562680.628</v>
      </c>
      <c r="H3793">
        <v>32914.288</v>
      </c>
      <c r="I3793">
        <v>0</v>
      </c>
      <c r="J3793">
        <v>0</v>
      </c>
      <c r="K3793">
        <v>0</v>
      </c>
      <c r="L3793">
        <v>0</v>
      </c>
      <c r="M3793">
        <v>0</v>
      </c>
      <c r="T3793" s="9">
        <v>45108</v>
      </c>
      <c r="U3793" s="9">
        <v>45473</v>
      </c>
      <c r="V3793">
        <f>SUM(POTABLE_NONPOTABLE_API[[#This Row],[RESIDENTIAL_SINGLEFAMILY_GAL]:[OTHER_GAL]])</f>
        <v>1595594.916</v>
      </c>
      <c r="W3793">
        <f>SUM(POTABLE_NONPOTABLE_API[[#This Row],[NONPOTABLE_DEMAND_RESIDENTIAL_RECYCLED_WATER_GAL]:[NONPOTABLE_DEMAND_NONRESIDENTIAL_METERED_IRRIGATION_GAL]])</f>
        <v>0</v>
      </c>
      <c r="X3793" t="str">
        <f>IFERROR(INDEX(Crosswalk_API!$H$2:$H$527, MATCH(POTABLE_NONPOTABLE_API[[#This Row],[PWSID]], CW_PWSID_LIST, 0)), "")</f>
        <v>No</v>
      </c>
    </row>
    <row r="3794" spans="1:24" x14ac:dyDescent="0.25">
      <c r="A3794" t="s">
        <v>1843</v>
      </c>
      <c r="B3794" t="s">
        <v>1844</v>
      </c>
      <c r="C3794" t="s">
        <v>1845</v>
      </c>
      <c r="D3794" t="s">
        <v>1846</v>
      </c>
      <c r="E3794" s="9">
        <v>45108</v>
      </c>
      <c r="F3794" s="9">
        <v>45138</v>
      </c>
      <c r="G3794">
        <v>115390013.208</v>
      </c>
      <c r="H3794">
        <v>8385662.9199999999</v>
      </c>
      <c r="I3794">
        <v>17102712.876000002</v>
      </c>
      <c r="J3794">
        <v>56297645.468000002</v>
      </c>
      <c r="K3794">
        <v>1301610.48</v>
      </c>
      <c r="L3794">
        <v>453917.95359999995</v>
      </c>
      <c r="M3794">
        <v>0</v>
      </c>
      <c r="T3794" s="9">
        <v>45108</v>
      </c>
      <c r="U3794" s="9">
        <v>45473</v>
      </c>
      <c r="V3794">
        <f>SUM(POTABLE_NONPOTABLE_API[[#This Row],[RESIDENTIAL_SINGLEFAMILY_GAL]:[OTHER_GAL]])</f>
        <v>198931562.90559998</v>
      </c>
      <c r="W3794">
        <f>SUM(POTABLE_NONPOTABLE_API[[#This Row],[NONPOTABLE_DEMAND_RESIDENTIAL_RECYCLED_WATER_GAL]:[NONPOTABLE_DEMAND_NONRESIDENTIAL_METERED_IRRIGATION_GAL]])</f>
        <v>0</v>
      </c>
      <c r="X3794" t="str">
        <f>IFERROR(INDEX(Crosswalk_API!$H$2:$H$527, MATCH(POTABLE_NONPOTABLE_API[[#This Row],[PWSID]], CW_PWSID_LIST, 0)), "")</f>
        <v>No</v>
      </c>
    </row>
    <row r="3795" spans="1:24" x14ac:dyDescent="0.25">
      <c r="A3795" t="s">
        <v>1843</v>
      </c>
      <c r="B3795" t="s">
        <v>1844</v>
      </c>
      <c r="C3795" t="s">
        <v>1845</v>
      </c>
      <c r="D3795" t="s">
        <v>1846</v>
      </c>
      <c r="E3795" s="9">
        <v>45139</v>
      </c>
      <c r="F3795" s="9">
        <v>45169</v>
      </c>
      <c r="G3795">
        <v>117843623.76800001</v>
      </c>
      <c r="H3795">
        <v>8959418.8039999995</v>
      </c>
      <c r="I3795">
        <v>18773861.044</v>
      </c>
      <c r="J3795">
        <v>55290019.424000002</v>
      </c>
      <c r="K3795">
        <v>1296374.1159999999</v>
      </c>
      <c r="L3795">
        <v>337565.94552000001</v>
      </c>
      <c r="M3795">
        <v>0</v>
      </c>
      <c r="T3795" s="9">
        <v>45108</v>
      </c>
      <c r="U3795" s="9">
        <v>45473</v>
      </c>
      <c r="V3795">
        <f>SUM(POTABLE_NONPOTABLE_API[[#This Row],[RESIDENTIAL_SINGLEFAMILY_GAL]:[OTHER_GAL]])</f>
        <v>202500863.10152</v>
      </c>
      <c r="W3795">
        <f>SUM(POTABLE_NONPOTABLE_API[[#This Row],[NONPOTABLE_DEMAND_RESIDENTIAL_RECYCLED_WATER_GAL]:[NONPOTABLE_DEMAND_NONRESIDENTIAL_METERED_IRRIGATION_GAL]])</f>
        <v>0</v>
      </c>
      <c r="X3795" t="str">
        <f>IFERROR(INDEX(Crosswalk_API!$H$2:$H$527, MATCH(POTABLE_NONPOTABLE_API[[#This Row],[PWSID]], CW_PWSID_LIST, 0)), "")</f>
        <v>No</v>
      </c>
    </row>
    <row r="3796" spans="1:24" x14ac:dyDescent="0.25">
      <c r="A3796" t="s">
        <v>1843</v>
      </c>
      <c r="B3796" t="s">
        <v>1844</v>
      </c>
      <c r="C3796" t="s">
        <v>1845</v>
      </c>
      <c r="D3796" t="s">
        <v>1846</v>
      </c>
      <c r="E3796" s="9">
        <v>45170</v>
      </c>
      <c r="F3796" s="9">
        <v>45199</v>
      </c>
      <c r="G3796">
        <v>72967236.236000001</v>
      </c>
      <c r="H3796">
        <v>5448062.716</v>
      </c>
      <c r="I3796">
        <v>11288852.732000001</v>
      </c>
      <c r="J3796">
        <v>23756635.416000001</v>
      </c>
      <c r="K3796">
        <v>752540.31200000003</v>
      </c>
      <c r="L3796">
        <v>249774.56279999999</v>
      </c>
      <c r="M3796">
        <v>0</v>
      </c>
      <c r="T3796" s="9">
        <v>45108</v>
      </c>
      <c r="U3796" s="9">
        <v>45473</v>
      </c>
      <c r="V3796">
        <f>SUM(POTABLE_NONPOTABLE_API[[#This Row],[RESIDENTIAL_SINGLEFAMILY_GAL]:[OTHER_GAL]])</f>
        <v>114463101.97480004</v>
      </c>
      <c r="W3796">
        <f>SUM(POTABLE_NONPOTABLE_API[[#This Row],[NONPOTABLE_DEMAND_RESIDENTIAL_RECYCLED_WATER_GAL]:[NONPOTABLE_DEMAND_NONRESIDENTIAL_METERED_IRRIGATION_GAL]])</f>
        <v>0</v>
      </c>
      <c r="X3796" t="str">
        <f>IFERROR(INDEX(Crosswalk_API!$H$2:$H$527, MATCH(POTABLE_NONPOTABLE_API[[#This Row],[PWSID]], CW_PWSID_LIST, 0)), "")</f>
        <v>No</v>
      </c>
    </row>
    <row r="3797" spans="1:24" x14ac:dyDescent="0.25">
      <c r="A3797" t="s">
        <v>1843</v>
      </c>
      <c r="B3797" t="s">
        <v>1844</v>
      </c>
      <c r="C3797" t="s">
        <v>1845</v>
      </c>
      <c r="D3797" t="s">
        <v>1846</v>
      </c>
      <c r="E3797" s="9">
        <v>45200</v>
      </c>
      <c r="F3797" s="9">
        <v>45230</v>
      </c>
      <c r="G3797">
        <v>80343028.956</v>
      </c>
      <c r="H3797">
        <v>6192374.4560000002</v>
      </c>
      <c r="I3797">
        <v>13136541.172</v>
      </c>
      <c r="J3797">
        <v>26148905.712000001</v>
      </c>
      <c r="K3797">
        <v>1006129.9400000001</v>
      </c>
      <c r="L3797">
        <v>657231.00667999999</v>
      </c>
      <c r="M3797">
        <v>0</v>
      </c>
      <c r="T3797" s="9">
        <v>45108</v>
      </c>
      <c r="U3797" s="9">
        <v>45473</v>
      </c>
      <c r="V3797">
        <f>SUM(POTABLE_NONPOTABLE_API[[#This Row],[RESIDENTIAL_SINGLEFAMILY_GAL]:[OTHER_GAL]])</f>
        <v>127484211.24268</v>
      </c>
      <c r="W3797">
        <f>SUM(POTABLE_NONPOTABLE_API[[#This Row],[NONPOTABLE_DEMAND_RESIDENTIAL_RECYCLED_WATER_GAL]:[NONPOTABLE_DEMAND_NONRESIDENTIAL_METERED_IRRIGATION_GAL]])</f>
        <v>0</v>
      </c>
      <c r="X3797" t="str">
        <f>IFERROR(INDEX(Crosswalk_API!$H$2:$H$527, MATCH(POTABLE_NONPOTABLE_API[[#This Row],[PWSID]], CW_PWSID_LIST, 0)), "")</f>
        <v>No</v>
      </c>
    </row>
    <row r="3798" spans="1:24" x14ac:dyDescent="0.25">
      <c r="A3798" t="s">
        <v>1843</v>
      </c>
      <c r="B3798" t="s">
        <v>1844</v>
      </c>
      <c r="C3798" t="s">
        <v>1845</v>
      </c>
      <c r="D3798" t="s">
        <v>1846</v>
      </c>
      <c r="E3798" s="9">
        <v>45231</v>
      </c>
      <c r="F3798" s="9">
        <v>45260</v>
      </c>
      <c r="G3798">
        <v>61141282.168000005</v>
      </c>
      <c r="H3798">
        <v>5438338.04</v>
      </c>
      <c r="I3798">
        <v>9566088.9759999998</v>
      </c>
      <c r="J3798">
        <v>11182629.348000001</v>
      </c>
      <c r="K3798">
        <v>855023.43599999999</v>
      </c>
      <c r="L3798">
        <v>33811.950400000002</v>
      </c>
      <c r="M3798">
        <v>0</v>
      </c>
      <c r="T3798" s="9">
        <v>45108</v>
      </c>
      <c r="U3798" s="9">
        <v>45473</v>
      </c>
      <c r="V3798">
        <f>SUM(POTABLE_NONPOTABLE_API[[#This Row],[RESIDENTIAL_SINGLEFAMILY_GAL]:[OTHER_GAL]])</f>
        <v>88217173.918400005</v>
      </c>
      <c r="W3798">
        <f>SUM(POTABLE_NONPOTABLE_API[[#This Row],[NONPOTABLE_DEMAND_RESIDENTIAL_RECYCLED_WATER_GAL]:[NONPOTABLE_DEMAND_NONRESIDENTIAL_METERED_IRRIGATION_GAL]])</f>
        <v>0</v>
      </c>
      <c r="X3798" t="str">
        <f>IFERROR(INDEX(Crosswalk_API!$H$2:$H$527, MATCH(POTABLE_NONPOTABLE_API[[#This Row],[PWSID]], CW_PWSID_LIST, 0)), "")</f>
        <v>No</v>
      </c>
    </row>
    <row r="3799" spans="1:24" x14ac:dyDescent="0.25">
      <c r="A3799" t="s">
        <v>1843</v>
      </c>
      <c r="B3799" t="s">
        <v>1844</v>
      </c>
      <c r="C3799" t="s">
        <v>1845</v>
      </c>
      <c r="D3799" t="s">
        <v>1846</v>
      </c>
      <c r="E3799" s="9">
        <v>45261</v>
      </c>
      <c r="F3799" s="9">
        <v>45291</v>
      </c>
      <c r="G3799">
        <v>45829405.780000001</v>
      </c>
      <c r="H3799">
        <v>4308779.5200000005</v>
      </c>
      <c r="I3799">
        <v>7167834.2640000004</v>
      </c>
      <c r="J3799">
        <v>4254919.7760000005</v>
      </c>
      <c r="K3799">
        <v>656041.60400000005</v>
      </c>
      <c r="L3799">
        <v>75972.161120000004</v>
      </c>
      <c r="M3799">
        <v>0</v>
      </c>
      <c r="T3799" s="9">
        <v>45108</v>
      </c>
      <c r="U3799" s="9">
        <v>45473</v>
      </c>
      <c r="V3799">
        <f>SUM(POTABLE_NONPOTABLE_API[[#This Row],[RESIDENTIAL_SINGLEFAMILY_GAL]:[OTHER_GAL]])</f>
        <v>62292953.105120003</v>
      </c>
      <c r="W3799">
        <f>SUM(POTABLE_NONPOTABLE_API[[#This Row],[NONPOTABLE_DEMAND_RESIDENTIAL_RECYCLED_WATER_GAL]:[NONPOTABLE_DEMAND_NONRESIDENTIAL_METERED_IRRIGATION_GAL]])</f>
        <v>0</v>
      </c>
      <c r="X3799" t="str">
        <f>IFERROR(INDEX(Crosswalk_API!$H$2:$H$527, MATCH(POTABLE_NONPOTABLE_API[[#This Row],[PWSID]], CW_PWSID_LIST, 0)), "")</f>
        <v>No</v>
      </c>
    </row>
    <row r="3800" spans="1:24" x14ac:dyDescent="0.25">
      <c r="A3800" t="s">
        <v>1843</v>
      </c>
      <c r="B3800" t="s">
        <v>1844</v>
      </c>
      <c r="C3800" t="s">
        <v>1845</v>
      </c>
      <c r="D3800" t="s">
        <v>1846</v>
      </c>
      <c r="E3800" s="9">
        <v>45292</v>
      </c>
      <c r="F3800" s="9">
        <v>45322</v>
      </c>
      <c r="G3800">
        <v>36653051.895999998</v>
      </c>
      <c r="H3800">
        <v>4490556.1560000004</v>
      </c>
      <c r="I3800">
        <v>6012841.9759999998</v>
      </c>
      <c r="J3800">
        <v>3018389.8200000003</v>
      </c>
      <c r="K3800">
        <v>494462.37200000003</v>
      </c>
      <c r="L3800">
        <v>0</v>
      </c>
      <c r="M3800">
        <v>0</v>
      </c>
      <c r="T3800" s="9">
        <v>45108</v>
      </c>
      <c r="U3800" s="9">
        <v>45473</v>
      </c>
      <c r="V3800">
        <f>SUM(POTABLE_NONPOTABLE_API[[#This Row],[RESIDENTIAL_SINGLEFAMILY_GAL]:[OTHER_GAL]])</f>
        <v>50669302.219999999</v>
      </c>
      <c r="W3800">
        <f>SUM(POTABLE_NONPOTABLE_API[[#This Row],[NONPOTABLE_DEMAND_RESIDENTIAL_RECYCLED_WATER_GAL]:[NONPOTABLE_DEMAND_NONRESIDENTIAL_METERED_IRRIGATION_GAL]])</f>
        <v>0</v>
      </c>
      <c r="X3800" t="str">
        <f>IFERROR(INDEX(Crosswalk_API!$H$2:$H$527, MATCH(POTABLE_NONPOTABLE_API[[#This Row],[PWSID]], CW_PWSID_LIST, 0)), "")</f>
        <v>No</v>
      </c>
    </row>
    <row r="3801" spans="1:24" x14ac:dyDescent="0.25">
      <c r="A3801" t="s">
        <v>1843</v>
      </c>
      <c r="B3801" t="s">
        <v>1844</v>
      </c>
      <c r="C3801" t="s">
        <v>1845</v>
      </c>
      <c r="D3801" t="s">
        <v>1846</v>
      </c>
      <c r="E3801" s="9">
        <v>45323</v>
      </c>
      <c r="F3801" s="9">
        <v>45351</v>
      </c>
      <c r="G3801">
        <v>36834828.531999998</v>
      </c>
      <c r="H3801">
        <v>4613236.6840000004</v>
      </c>
      <c r="I3801">
        <v>6171429</v>
      </c>
      <c r="J3801">
        <v>2068363.78</v>
      </c>
      <c r="K3801">
        <v>507927.30800000002</v>
      </c>
      <c r="L3801">
        <v>75972.161120000004</v>
      </c>
      <c r="M3801">
        <v>0</v>
      </c>
      <c r="T3801" s="9">
        <v>45108</v>
      </c>
      <c r="U3801" s="9">
        <v>45473</v>
      </c>
      <c r="V3801">
        <f>SUM(POTABLE_NONPOTABLE_API[[#This Row],[RESIDENTIAL_SINGLEFAMILY_GAL]:[OTHER_GAL]])</f>
        <v>50271757.465119995</v>
      </c>
      <c r="W3801">
        <f>SUM(POTABLE_NONPOTABLE_API[[#This Row],[NONPOTABLE_DEMAND_RESIDENTIAL_RECYCLED_WATER_GAL]:[NONPOTABLE_DEMAND_NONRESIDENTIAL_METERED_IRRIGATION_GAL]])</f>
        <v>0</v>
      </c>
      <c r="X3801" t="str">
        <f>IFERROR(INDEX(Crosswalk_API!$H$2:$H$527, MATCH(POTABLE_NONPOTABLE_API[[#This Row],[PWSID]], CW_PWSID_LIST, 0)), "")</f>
        <v>No</v>
      </c>
    </row>
    <row r="3802" spans="1:24" x14ac:dyDescent="0.25">
      <c r="A3802" t="s">
        <v>1843</v>
      </c>
      <c r="B3802" t="s">
        <v>1844</v>
      </c>
      <c r="C3802" t="s">
        <v>1845</v>
      </c>
      <c r="D3802" t="s">
        <v>1846</v>
      </c>
      <c r="E3802" s="9">
        <v>45352</v>
      </c>
      <c r="F3802" s="9">
        <v>45382</v>
      </c>
      <c r="G3802">
        <v>51112149.004000001</v>
      </c>
      <c r="H3802">
        <v>4578078.24</v>
      </c>
      <c r="I3802">
        <v>7100509.5839999998</v>
      </c>
      <c r="J3802">
        <v>6006109.5080000004</v>
      </c>
      <c r="K3802">
        <v>518400.03600000002</v>
      </c>
      <c r="L3802">
        <v>75972.161120000004</v>
      </c>
      <c r="M3802">
        <v>0</v>
      </c>
      <c r="T3802" s="9">
        <v>45108</v>
      </c>
      <c r="U3802" s="9">
        <v>45473</v>
      </c>
      <c r="V3802">
        <f>SUM(POTABLE_NONPOTABLE_API[[#This Row],[RESIDENTIAL_SINGLEFAMILY_GAL]:[OTHER_GAL]])</f>
        <v>69391218.533119991</v>
      </c>
      <c r="W3802">
        <f>SUM(POTABLE_NONPOTABLE_API[[#This Row],[NONPOTABLE_DEMAND_RESIDENTIAL_RECYCLED_WATER_GAL]:[NONPOTABLE_DEMAND_NONRESIDENTIAL_METERED_IRRIGATION_GAL]])</f>
        <v>0</v>
      </c>
      <c r="X3802" t="str">
        <f>IFERROR(INDEX(Crosswalk_API!$H$2:$H$527, MATCH(POTABLE_NONPOTABLE_API[[#This Row],[PWSID]], CW_PWSID_LIST, 0)), "")</f>
        <v>No</v>
      </c>
    </row>
    <row r="3803" spans="1:24" x14ac:dyDescent="0.25">
      <c r="A3803" t="s">
        <v>1843</v>
      </c>
      <c r="B3803" t="s">
        <v>1844</v>
      </c>
      <c r="C3803" t="s">
        <v>1845</v>
      </c>
      <c r="D3803" t="s">
        <v>1846</v>
      </c>
      <c r="E3803" s="9">
        <v>45383</v>
      </c>
      <c r="F3803" s="9">
        <v>45412</v>
      </c>
      <c r="G3803">
        <v>75285449.384000003</v>
      </c>
      <c r="H3803">
        <v>5392706.8679999998</v>
      </c>
      <c r="I3803">
        <v>9486047.4120000005</v>
      </c>
      <c r="J3803">
        <v>14987221.82</v>
      </c>
      <c r="K3803">
        <v>594701.34</v>
      </c>
      <c r="L3803">
        <v>75972.161120000004</v>
      </c>
      <c r="M3803">
        <v>0</v>
      </c>
      <c r="T3803" s="9">
        <v>45108</v>
      </c>
      <c r="U3803" s="9">
        <v>45473</v>
      </c>
      <c r="V3803">
        <f>SUM(POTABLE_NONPOTABLE_API[[#This Row],[RESIDENTIAL_SINGLEFAMILY_GAL]:[OTHER_GAL]])</f>
        <v>105822098.98512</v>
      </c>
      <c r="W3803">
        <f>SUM(POTABLE_NONPOTABLE_API[[#This Row],[NONPOTABLE_DEMAND_RESIDENTIAL_RECYCLED_WATER_GAL]:[NONPOTABLE_DEMAND_NONRESIDENTIAL_METERED_IRRIGATION_GAL]])</f>
        <v>0</v>
      </c>
      <c r="X3803" t="str">
        <f>IFERROR(INDEX(Crosswalk_API!$H$2:$H$527, MATCH(POTABLE_NONPOTABLE_API[[#This Row],[PWSID]], CW_PWSID_LIST, 0)), "")</f>
        <v>No</v>
      </c>
    </row>
    <row r="3804" spans="1:24" x14ac:dyDescent="0.25">
      <c r="A3804" t="s">
        <v>1843</v>
      </c>
      <c r="B3804" t="s">
        <v>1844</v>
      </c>
      <c r="C3804" t="s">
        <v>1845</v>
      </c>
      <c r="D3804" t="s">
        <v>1846</v>
      </c>
      <c r="E3804" s="9">
        <v>45413</v>
      </c>
      <c r="F3804" s="9">
        <v>45443</v>
      </c>
      <c r="G3804">
        <v>119196849.83600001</v>
      </c>
      <c r="H3804">
        <v>7796197.9440000001</v>
      </c>
      <c r="I3804">
        <v>13755928.228</v>
      </c>
      <c r="J3804">
        <v>38592002.68</v>
      </c>
      <c r="K3804">
        <v>935065</v>
      </c>
      <c r="L3804">
        <v>75553.252000000008</v>
      </c>
      <c r="M3804">
        <v>0</v>
      </c>
      <c r="T3804" s="9">
        <v>45108</v>
      </c>
      <c r="U3804" s="9">
        <v>45473</v>
      </c>
      <c r="V3804">
        <f>SUM(POTABLE_NONPOTABLE_API[[#This Row],[RESIDENTIAL_SINGLEFAMILY_GAL]:[OTHER_GAL]])</f>
        <v>180351596.94000003</v>
      </c>
      <c r="W3804">
        <f>SUM(POTABLE_NONPOTABLE_API[[#This Row],[NONPOTABLE_DEMAND_RESIDENTIAL_RECYCLED_WATER_GAL]:[NONPOTABLE_DEMAND_NONRESIDENTIAL_METERED_IRRIGATION_GAL]])</f>
        <v>0</v>
      </c>
      <c r="X3804" t="str">
        <f>IFERROR(INDEX(Crosswalk_API!$H$2:$H$527, MATCH(POTABLE_NONPOTABLE_API[[#This Row],[PWSID]], CW_PWSID_LIST, 0)), "")</f>
        <v>No</v>
      </c>
    </row>
    <row r="3805" spans="1:24" x14ac:dyDescent="0.25">
      <c r="A3805" t="s">
        <v>1843</v>
      </c>
      <c r="B3805" t="s">
        <v>1844</v>
      </c>
      <c r="C3805" t="s">
        <v>1845</v>
      </c>
      <c r="D3805" t="s">
        <v>1846</v>
      </c>
      <c r="E3805" s="9">
        <v>45444</v>
      </c>
      <c r="F3805" s="9">
        <v>45473</v>
      </c>
      <c r="G3805">
        <v>128226585.528</v>
      </c>
      <c r="H3805">
        <v>11956863.168</v>
      </c>
      <c r="I3805">
        <v>19022962.359999999</v>
      </c>
      <c r="J3805">
        <v>72634353.096000001</v>
      </c>
      <c r="K3805">
        <v>1524529.976</v>
      </c>
      <c r="L3805">
        <v>75553.252000000008</v>
      </c>
      <c r="M3805">
        <v>0</v>
      </c>
      <c r="T3805" s="9">
        <v>45108</v>
      </c>
      <c r="U3805" s="9">
        <v>45473</v>
      </c>
      <c r="V3805">
        <f>SUM(POTABLE_NONPOTABLE_API[[#This Row],[RESIDENTIAL_SINGLEFAMILY_GAL]:[OTHER_GAL]])</f>
        <v>233440847.38000003</v>
      </c>
      <c r="W3805">
        <f>SUM(POTABLE_NONPOTABLE_API[[#This Row],[NONPOTABLE_DEMAND_RESIDENTIAL_RECYCLED_WATER_GAL]:[NONPOTABLE_DEMAND_NONRESIDENTIAL_METERED_IRRIGATION_GAL]])</f>
        <v>0</v>
      </c>
      <c r="X3805" t="str">
        <f>IFERROR(INDEX(Crosswalk_API!$H$2:$H$527, MATCH(POTABLE_NONPOTABLE_API[[#This Row],[PWSID]], CW_PWSID_LIST, 0)), "")</f>
        <v>No</v>
      </c>
    </row>
    <row r="3806" spans="1:24" x14ac:dyDescent="0.25">
      <c r="A3806" t="s">
        <v>1847</v>
      </c>
      <c r="B3806" t="s">
        <v>1848</v>
      </c>
      <c r="C3806" t="s">
        <v>1849</v>
      </c>
      <c r="D3806" t="s">
        <v>1850</v>
      </c>
      <c r="E3806" s="9">
        <v>45108</v>
      </c>
      <c r="F3806" s="9">
        <v>45138</v>
      </c>
      <c r="G3806">
        <v>316401321</v>
      </c>
      <c r="H3806">
        <v>129395432.10000001</v>
      </c>
      <c r="I3806">
        <v>64551083.100000001</v>
      </c>
      <c r="J3806">
        <v>156245554.5</v>
      </c>
      <c r="K3806">
        <v>19616230.199999999</v>
      </c>
      <c r="L3806">
        <v>0</v>
      </c>
      <c r="M3806">
        <v>26198420.400000002</v>
      </c>
      <c r="N3806">
        <v>0</v>
      </c>
      <c r="O3806">
        <v>0</v>
      </c>
      <c r="Q3806">
        <v>21897187.199999999</v>
      </c>
      <c r="R3806">
        <v>0</v>
      </c>
      <c r="T3806" s="9">
        <v>45108</v>
      </c>
      <c r="U3806" s="9">
        <v>45473</v>
      </c>
      <c r="V3806">
        <f>SUM(POTABLE_NONPOTABLE_API[[#This Row],[RESIDENTIAL_SINGLEFAMILY_GAL]:[OTHER_GAL]])</f>
        <v>686209620.9000001</v>
      </c>
      <c r="W3806">
        <f>SUM(POTABLE_NONPOTABLE_API[[#This Row],[NONPOTABLE_DEMAND_RESIDENTIAL_RECYCLED_WATER_GAL]:[NONPOTABLE_DEMAND_NONRESIDENTIAL_METERED_IRRIGATION_GAL]])</f>
        <v>21897187.199999999</v>
      </c>
      <c r="X3806" t="str">
        <f>IFERROR(INDEX(Crosswalk_API!$H$2:$H$527, MATCH(POTABLE_NONPOTABLE_API[[#This Row],[PWSID]], CW_PWSID_LIST, 0)), "")</f>
        <v>No</v>
      </c>
    </row>
    <row r="3807" spans="1:24" x14ac:dyDescent="0.25">
      <c r="A3807" t="s">
        <v>1847</v>
      </c>
      <c r="B3807" t="s">
        <v>1848</v>
      </c>
      <c r="C3807" t="s">
        <v>1849</v>
      </c>
      <c r="D3807" t="s">
        <v>1850</v>
      </c>
      <c r="E3807" s="9">
        <v>45139</v>
      </c>
      <c r="F3807" s="9">
        <v>45169</v>
      </c>
      <c r="G3807">
        <v>300597547.5</v>
      </c>
      <c r="H3807">
        <v>126918964.5</v>
      </c>
      <c r="I3807">
        <v>85796568.299999997</v>
      </c>
      <c r="J3807">
        <v>166249180.19999999</v>
      </c>
      <c r="K3807">
        <v>19974666.300000001</v>
      </c>
      <c r="L3807">
        <v>0</v>
      </c>
      <c r="M3807">
        <v>29847951.599999998</v>
      </c>
      <c r="N3807">
        <v>0</v>
      </c>
      <c r="O3807">
        <v>0</v>
      </c>
      <c r="Q3807">
        <v>18671262.300000001</v>
      </c>
      <c r="R3807">
        <v>0</v>
      </c>
      <c r="T3807" s="9">
        <v>45108</v>
      </c>
      <c r="U3807" s="9">
        <v>45473</v>
      </c>
      <c r="V3807">
        <f>SUM(POTABLE_NONPOTABLE_API[[#This Row],[RESIDENTIAL_SINGLEFAMILY_GAL]:[OTHER_GAL]])</f>
        <v>699536926.79999995</v>
      </c>
      <c r="W3807">
        <f>SUM(POTABLE_NONPOTABLE_API[[#This Row],[NONPOTABLE_DEMAND_RESIDENTIAL_RECYCLED_WATER_GAL]:[NONPOTABLE_DEMAND_NONRESIDENTIAL_METERED_IRRIGATION_GAL]])</f>
        <v>18671262.300000001</v>
      </c>
      <c r="X3807" t="str">
        <f>IFERROR(INDEX(Crosswalk_API!$H$2:$H$527, MATCH(POTABLE_NONPOTABLE_API[[#This Row],[PWSID]], CW_PWSID_LIST, 0)), "")</f>
        <v>No</v>
      </c>
    </row>
    <row r="3808" spans="1:24" x14ac:dyDescent="0.25">
      <c r="A3808" t="s">
        <v>1847</v>
      </c>
      <c r="B3808" t="s">
        <v>1848</v>
      </c>
      <c r="C3808" t="s">
        <v>1849</v>
      </c>
      <c r="D3808" t="s">
        <v>1850</v>
      </c>
      <c r="E3808" s="9">
        <v>45170</v>
      </c>
      <c r="F3808" s="9">
        <v>45199</v>
      </c>
      <c r="G3808">
        <v>289095007.19999999</v>
      </c>
      <c r="H3808">
        <v>126397602.89999999</v>
      </c>
      <c r="I3808">
        <v>63149923.800000004</v>
      </c>
      <c r="J3808">
        <v>131285367.89999999</v>
      </c>
      <c r="K3808">
        <v>19713985.5</v>
      </c>
      <c r="L3808">
        <v>0</v>
      </c>
      <c r="M3808">
        <v>26035494.900000002</v>
      </c>
      <c r="N3808">
        <v>0</v>
      </c>
      <c r="O3808">
        <v>0</v>
      </c>
      <c r="P3808">
        <v>0</v>
      </c>
      <c r="Q3808">
        <v>16009059.630000001</v>
      </c>
      <c r="R3808">
        <v>0</v>
      </c>
      <c r="S3808">
        <v>0</v>
      </c>
      <c r="T3808" s="9">
        <v>45108</v>
      </c>
      <c r="U3808" s="9">
        <v>45473</v>
      </c>
      <c r="V3808">
        <f>SUM(POTABLE_NONPOTABLE_API[[#This Row],[RESIDENTIAL_SINGLEFAMILY_GAL]:[OTHER_GAL]])</f>
        <v>629641887.29999995</v>
      </c>
      <c r="W3808">
        <f>SUM(POTABLE_NONPOTABLE_API[[#This Row],[NONPOTABLE_DEMAND_RESIDENTIAL_RECYCLED_WATER_GAL]:[NONPOTABLE_DEMAND_NONRESIDENTIAL_METERED_IRRIGATION_GAL]])</f>
        <v>16009059.630000001</v>
      </c>
      <c r="X3808" t="str">
        <f>IFERROR(INDEX(Crosswalk_API!$H$2:$H$527, MATCH(POTABLE_NONPOTABLE_API[[#This Row],[PWSID]], CW_PWSID_LIST, 0)), "")</f>
        <v>No</v>
      </c>
    </row>
    <row r="3809" spans="1:24" x14ac:dyDescent="0.25">
      <c r="A3809" t="s">
        <v>1847</v>
      </c>
      <c r="B3809" t="s">
        <v>1848</v>
      </c>
      <c r="C3809" t="s">
        <v>1849</v>
      </c>
      <c r="D3809" t="s">
        <v>1850</v>
      </c>
      <c r="E3809" s="9">
        <v>45200</v>
      </c>
      <c r="F3809" s="9">
        <v>45230</v>
      </c>
      <c r="G3809">
        <v>266937139.20000002</v>
      </c>
      <c r="H3809">
        <v>125843656.2</v>
      </c>
      <c r="I3809">
        <v>63475774.800000004</v>
      </c>
      <c r="J3809">
        <v>115155743.39999999</v>
      </c>
      <c r="K3809">
        <v>18052145.399999999</v>
      </c>
      <c r="L3809">
        <v>0</v>
      </c>
      <c r="M3809">
        <v>22646644.5</v>
      </c>
      <c r="N3809">
        <v>0</v>
      </c>
      <c r="O3809">
        <v>0</v>
      </c>
      <c r="P3809">
        <v>0</v>
      </c>
      <c r="Q3809">
        <v>14871839.640000001</v>
      </c>
      <c r="R3809">
        <v>0</v>
      </c>
      <c r="T3809" s="9">
        <v>45108</v>
      </c>
      <c r="U3809" s="9">
        <v>45473</v>
      </c>
      <c r="V3809">
        <f>SUM(POTABLE_NONPOTABLE_API[[#This Row],[RESIDENTIAL_SINGLEFAMILY_GAL]:[OTHER_GAL]])</f>
        <v>589464459</v>
      </c>
      <c r="W3809">
        <f>SUM(POTABLE_NONPOTABLE_API[[#This Row],[NONPOTABLE_DEMAND_RESIDENTIAL_RECYCLED_WATER_GAL]:[NONPOTABLE_DEMAND_NONRESIDENTIAL_METERED_IRRIGATION_GAL]])</f>
        <v>14871839.640000001</v>
      </c>
      <c r="X3809" t="str">
        <f>IFERROR(INDEX(Crosswalk_API!$H$2:$H$527, MATCH(POTABLE_NONPOTABLE_API[[#This Row],[PWSID]], CW_PWSID_LIST, 0)), "")</f>
        <v>No</v>
      </c>
    </row>
    <row r="3810" spans="1:24" x14ac:dyDescent="0.25">
      <c r="A3810" t="s">
        <v>1847</v>
      </c>
      <c r="B3810" t="s">
        <v>1848</v>
      </c>
      <c r="C3810" t="s">
        <v>1849</v>
      </c>
      <c r="D3810" t="s">
        <v>1850</v>
      </c>
      <c r="E3810" s="9">
        <v>45231</v>
      </c>
      <c r="F3810" s="9">
        <v>45260</v>
      </c>
      <c r="G3810">
        <v>269478777</v>
      </c>
      <c r="H3810">
        <v>116556902.7</v>
      </c>
      <c r="I3810">
        <v>54449702.100000001</v>
      </c>
      <c r="J3810">
        <v>107628585.3</v>
      </c>
      <c r="K3810">
        <v>21473580.900000002</v>
      </c>
      <c r="L3810">
        <v>0</v>
      </c>
      <c r="M3810">
        <v>18475751.699999999</v>
      </c>
      <c r="N3810">
        <v>0</v>
      </c>
      <c r="O3810">
        <v>0</v>
      </c>
      <c r="P3810">
        <v>0</v>
      </c>
      <c r="Q3810">
        <v>12587624.130000001</v>
      </c>
      <c r="R3810">
        <v>0</v>
      </c>
      <c r="S3810">
        <v>0</v>
      </c>
      <c r="T3810" s="9">
        <v>45108</v>
      </c>
      <c r="U3810" s="9">
        <v>45473</v>
      </c>
      <c r="V3810">
        <f>SUM(POTABLE_NONPOTABLE_API[[#This Row],[RESIDENTIAL_SINGLEFAMILY_GAL]:[OTHER_GAL]])</f>
        <v>569587548</v>
      </c>
      <c r="W3810">
        <f>SUM(POTABLE_NONPOTABLE_API[[#This Row],[NONPOTABLE_DEMAND_RESIDENTIAL_RECYCLED_WATER_GAL]:[NONPOTABLE_DEMAND_NONRESIDENTIAL_METERED_IRRIGATION_GAL]])</f>
        <v>12587624.130000001</v>
      </c>
      <c r="X3810" t="str">
        <f>IFERROR(INDEX(Crosswalk_API!$H$2:$H$527, MATCH(POTABLE_NONPOTABLE_API[[#This Row],[PWSID]], CW_PWSID_LIST, 0)), "")</f>
        <v>No</v>
      </c>
    </row>
    <row r="3811" spans="1:24" x14ac:dyDescent="0.25">
      <c r="A3811" t="s">
        <v>1847</v>
      </c>
      <c r="B3811" t="s">
        <v>1848</v>
      </c>
      <c r="C3811" t="s">
        <v>1849</v>
      </c>
      <c r="D3811" t="s">
        <v>1850</v>
      </c>
      <c r="E3811" s="9">
        <v>45261</v>
      </c>
      <c r="F3811" s="9">
        <v>45291</v>
      </c>
      <c r="G3811">
        <v>227085561.90000001</v>
      </c>
      <c r="H3811">
        <v>110430903.89999999</v>
      </c>
      <c r="I3811">
        <v>54840723.300000004</v>
      </c>
      <c r="J3811">
        <v>82440303</v>
      </c>
      <c r="K3811">
        <v>17595954</v>
      </c>
      <c r="L3811">
        <v>0</v>
      </c>
      <c r="M3811">
        <v>11828391.299999999</v>
      </c>
      <c r="N3811">
        <v>0</v>
      </c>
      <c r="O3811">
        <v>0</v>
      </c>
      <c r="P3811">
        <v>0</v>
      </c>
      <c r="Q3811">
        <v>4610791.6500000004</v>
      </c>
      <c r="R3811">
        <v>0</v>
      </c>
      <c r="S3811">
        <v>0</v>
      </c>
      <c r="T3811" s="9">
        <v>45108</v>
      </c>
      <c r="U3811" s="9">
        <v>45473</v>
      </c>
      <c r="V3811">
        <f>SUM(POTABLE_NONPOTABLE_API[[#This Row],[RESIDENTIAL_SINGLEFAMILY_GAL]:[OTHER_GAL]])</f>
        <v>492393446.10000002</v>
      </c>
      <c r="W3811">
        <f>SUM(POTABLE_NONPOTABLE_API[[#This Row],[NONPOTABLE_DEMAND_RESIDENTIAL_RECYCLED_WATER_GAL]:[NONPOTABLE_DEMAND_NONRESIDENTIAL_METERED_IRRIGATION_GAL]])</f>
        <v>4610791.6500000004</v>
      </c>
      <c r="X3811" t="str">
        <f>IFERROR(INDEX(Crosswalk_API!$H$2:$H$527, MATCH(POTABLE_NONPOTABLE_API[[#This Row],[PWSID]], CW_PWSID_LIST, 0)), "")</f>
        <v>No</v>
      </c>
    </row>
    <row r="3812" spans="1:24" x14ac:dyDescent="0.25">
      <c r="A3812" t="s">
        <v>1847</v>
      </c>
      <c r="B3812" t="s">
        <v>1848</v>
      </c>
      <c r="C3812" t="s">
        <v>1849</v>
      </c>
      <c r="D3812" t="s">
        <v>1850</v>
      </c>
      <c r="E3812" s="9">
        <v>45292</v>
      </c>
      <c r="F3812" s="9">
        <v>45322</v>
      </c>
      <c r="G3812">
        <v>209913214.20000002</v>
      </c>
      <c r="H3812">
        <v>109323010.5</v>
      </c>
      <c r="I3812">
        <v>53602489.5</v>
      </c>
      <c r="J3812">
        <v>41089811.100000001</v>
      </c>
      <c r="K3812">
        <v>17237517.899999999</v>
      </c>
      <c r="L3812">
        <v>0</v>
      </c>
      <c r="M3812">
        <v>6256339.2000000002</v>
      </c>
      <c r="N3812">
        <v>0</v>
      </c>
      <c r="O3812">
        <v>0</v>
      </c>
      <c r="P3812">
        <v>0</v>
      </c>
      <c r="Q3812">
        <v>3688633.3200000003</v>
      </c>
      <c r="R3812">
        <v>0</v>
      </c>
      <c r="S3812">
        <v>0</v>
      </c>
      <c r="T3812" s="9">
        <v>45108</v>
      </c>
      <c r="U3812" s="9">
        <v>45473</v>
      </c>
      <c r="V3812">
        <f>SUM(POTABLE_NONPOTABLE_API[[#This Row],[RESIDENTIAL_SINGLEFAMILY_GAL]:[OTHER_GAL]])</f>
        <v>431166043.20000005</v>
      </c>
      <c r="W3812">
        <f>SUM(POTABLE_NONPOTABLE_API[[#This Row],[NONPOTABLE_DEMAND_RESIDENTIAL_RECYCLED_WATER_GAL]:[NONPOTABLE_DEMAND_NONRESIDENTIAL_METERED_IRRIGATION_GAL]])</f>
        <v>3688633.3200000003</v>
      </c>
      <c r="X3812" t="str">
        <f>IFERROR(INDEX(Crosswalk_API!$H$2:$H$527, MATCH(POTABLE_NONPOTABLE_API[[#This Row],[PWSID]], CW_PWSID_LIST, 0)), "")</f>
        <v>No</v>
      </c>
    </row>
    <row r="3813" spans="1:24" x14ac:dyDescent="0.25">
      <c r="A3813" t="s">
        <v>1847</v>
      </c>
      <c r="B3813" t="s">
        <v>1848</v>
      </c>
      <c r="C3813" t="s">
        <v>1849</v>
      </c>
      <c r="D3813" t="s">
        <v>1850</v>
      </c>
      <c r="E3813" s="9">
        <v>45323</v>
      </c>
      <c r="F3813" s="9">
        <v>45351</v>
      </c>
      <c r="G3813">
        <v>175601103.90000001</v>
      </c>
      <c r="H3813">
        <v>98830608.299999997</v>
      </c>
      <c r="I3813">
        <v>50865341.100000001</v>
      </c>
      <c r="J3813">
        <v>24569165.400000002</v>
      </c>
      <c r="K3813">
        <v>17139762.600000001</v>
      </c>
      <c r="L3813">
        <v>0</v>
      </c>
      <c r="M3813">
        <v>3975382.1999999997</v>
      </c>
      <c r="N3813">
        <v>0</v>
      </c>
      <c r="O3813">
        <v>0</v>
      </c>
      <c r="P3813">
        <v>0</v>
      </c>
      <c r="Q3813">
        <v>948226.41</v>
      </c>
      <c r="R3813">
        <v>0</v>
      </c>
      <c r="S3813">
        <v>0</v>
      </c>
      <c r="T3813" s="9">
        <v>45108</v>
      </c>
      <c r="U3813" s="9">
        <v>45473</v>
      </c>
      <c r="V3813">
        <f>SUM(POTABLE_NONPOTABLE_API[[#This Row],[RESIDENTIAL_SINGLEFAMILY_GAL]:[OTHER_GAL]])</f>
        <v>367005981.30000001</v>
      </c>
      <c r="W3813">
        <f>SUM(POTABLE_NONPOTABLE_API[[#This Row],[NONPOTABLE_DEMAND_RESIDENTIAL_RECYCLED_WATER_GAL]:[NONPOTABLE_DEMAND_NONRESIDENTIAL_METERED_IRRIGATION_GAL]])</f>
        <v>948226.41</v>
      </c>
      <c r="X3813" t="str">
        <f>IFERROR(INDEX(Crosswalk_API!$H$2:$H$527, MATCH(POTABLE_NONPOTABLE_API[[#This Row],[PWSID]], CW_PWSID_LIST, 0)), "")</f>
        <v>No</v>
      </c>
    </row>
    <row r="3814" spans="1:24" x14ac:dyDescent="0.25">
      <c r="A3814" t="s">
        <v>1847</v>
      </c>
      <c r="B3814" t="s">
        <v>1848</v>
      </c>
      <c r="C3814" t="s">
        <v>1849</v>
      </c>
      <c r="D3814" t="s">
        <v>1850</v>
      </c>
      <c r="E3814" s="9">
        <v>45352</v>
      </c>
      <c r="F3814" s="9">
        <v>45382</v>
      </c>
      <c r="G3814">
        <v>179022539.40000001</v>
      </c>
      <c r="H3814">
        <v>100655373.89999999</v>
      </c>
      <c r="I3814">
        <v>51517043.100000001</v>
      </c>
      <c r="J3814">
        <v>19518474.899999999</v>
      </c>
      <c r="K3814">
        <v>17595954</v>
      </c>
      <c r="L3814">
        <v>0</v>
      </c>
      <c r="M3814">
        <v>6419264.7000000002</v>
      </c>
      <c r="N3814">
        <v>0</v>
      </c>
      <c r="O3814">
        <v>0</v>
      </c>
      <c r="P3814">
        <v>0</v>
      </c>
      <c r="Q3814">
        <v>1031970.117</v>
      </c>
      <c r="R3814">
        <v>0</v>
      </c>
      <c r="S3814">
        <v>0</v>
      </c>
      <c r="T3814" s="9">
        <v>45108</v>
      </c>
      <c r="U3814" s="9">
        <v>45473</v>
      </c>
      <c r="V3814">
        <f>SUM(POTABLE_NONPOTABLE_API[[#This Row],[RESIDENTIAL_SINGLEFAMILY_GAL]:[OTHER_GAL]])</f>
        <v>368309385.30000001</v>
      </c>
      <c r="W3814">
        <f>SUM(POTABLE_NONPOTABLE_API[[#This Row],[NONPOTABLE_DEMAND_RESIDENTIAL_RECYCLED_WATER_GAL]:[NONPOTABLE_DEMAND_NONRESIDENTIAL_METERED_IRRIGATION_GAL]])</f>
        <v>1031970.117</v>
      </c>
      <c r="X3814" t="str">
        <f>IFERROR(INDEX(Crosswalk_API!$H$2:$H$527, MATCH(POTABLE_NONPOTABLE_API[[#This Row],[PWSID]], CW_PWSID_LIST, 0)), "")</f>
        <v>No</v>
      </c>
    </row>
    <row r="3815" spans="1:24" x14ac:dyDescent="0.25">
      <c r="A3815" t="s">
        <v>1847</v>
      </c>
      <c r="B3815" t="s">
        <v>1848</v>
      </c>
      <c r="C3815" t="s">
        <v>1849</v>
      </c>
      <c r="D3815" t="s">
        <v>1850</v>
      </c>
      <c r="E3815" s="9">
        <v>45383</v>
      </c>
      <c r="F3815" s="9">
        <v>45412</v>
      </c>
      <c r="G3815">
        <v>184203570.29999998</v>
      </c>
      <c r="H3815">
        <v>98765438.100000009</v>
      </c>
      <c r="I3815">
        <v>50050713.600000001</v>
      </c>
      <c r="J3815">
        <v>31151355.599999998</v>
      </c>
      <c r="K3815">
        <v>19420719.600000001</v>
      </c>
      <c r="L3815">
        <v>0</v>
      </c>
      <c r="M3815">
        <v>7853009.1000000006</v>
      </c>
      <c r="N3815">
        <v>0</v>
      </c>
      <c r="O3815">
        <v>0</v>
      </c>
      <c r="P3815">
        <v>0</v>
      </c>
      <c r="Q3815">
        <v>6930850.7699999996</v>
      </c>
      <c r="R3815">
        <v>0</v>
      </c>
      <c r="S3815">
        <v>0</v>
      </c>
      <c r="T3815" s="9">
        <v>45108</v>
      </c>
      <c r="U3815" s="9">
        <v>45473</v>
      </c>
      <c r="V3815">
        <f>SUM(POTABLE_NONPOTABLE_API[[#This Row],[RESIDENTIAL_SINGLEFAMILY_GAL]:[OTHER_GAL]])</f>
        <v>383591797.20000005</v>
      </c>
      <c r="W3815">
        <f>SUM(POTABLE_NONPOTABLE_API[[#This Row],[NONPOTABLE_DEMAND_RESIDENTIAL_RECYCLED_WATER_GAL]:[NONPOTABLE_DEMAND_NONRESIDENTIAL_METERED_IRRIGATION_GAL]])</f>
        <v>6930850.7699999996</v>
      </c>
      <c r="X3815" t="str">
        <f>IFERROR(INDEX(Crosswalk_API!$H$2:$H$527, MATCH(POTABLE_NONPOTABLE_API[[#This Row],[PWSID]], CW_PWSID_LIST, 0)), "")</f>
        <v>No</v>
      </c>
    </row>
    <row r="3816" spans="1:24" x14ac:dyDescent="0.25">
      <c r="A3816" t="s">
        <v>1847</v>
      </c>
      <c r="B3816" t="s">
        <v>1848</v>
      </c>
      <c r="C3816" t="s">
        <v>1849</v>
      </c>
      <c r="D3816" t="s">
        <v>1850</v>
      </c>
      <c r="E3816" s="9">
        <v>45413</v>
      </c>
      <c r="F3816" s="9">
        <v>45443</v>
      </c>
      <c r="G3816">
        <v>238066740.59999999</v>
      </c>
      <c r="H3816">
        <v>111571382.39999999</v>
      </c>
      <c r="I3816">
        <v>58294743.899999999</v>
      </c>
      <c r="J3816">
        <v>91629301.200000003</v>
      </c>
      <c r="K3816">
        <v>22907325.300000001</v>
      </c>
      <c r="L3816">
        <v>0</v>
      </c>
      <c r="M3816">
        <v>14174518.5</v>
      </c>
      <c r="N3816">
        <v>0</v>
      </c>
      <c r="O3816">
        <v>0</v>
      </c>
      <c r="P3816">
        <v>0</v>
      </c>
      <c r="Q3816">
        <v>10000041.339</v>
      </c>
      <c r="R3816">
        <v>0</v>
      </c>
      <c r="S3816">
        <v>0</v>
      </c>
      <c r="T3816" s="9">
        <v>45108</v>
      </c>
      <c r="U3816" s="9">
        <v>45473</v>
      </c>
      <c r="V3816">
        <f>SUM(POTABLE_NONPOTABLE_API[[#This Row],[RESIDENTIAL_SINGLEFAMILY_GAL]:[OTHER_GAL]])</f>
        <v>522469493.39999998</v>
      </c>
      <c r="W3816">
        <f>SUM(POTABLE_NONPOTABLE_API[[#This Row],[NONPOTABLE_DEMAND_RESIDENTIAL_RECYCLED_WATER_GAL]:[NONPOTABLE_DEMAND_NONRESIDENTIAL_METERED_IRRIGATION_GAL]])</f>
        <v>10000041.339</v>
      </c>
      <c r="X3816" t="str">
        <f>IFERROR(INDEX(Crosswalk_API!$H$2:$H$527, MATCH(POTABLE_NONPOTABLE_API[[#This Row],[PWSID]], CW_PWSID_LIST, 0)), "")</f>
        <v>No</v>
      </c>
    </row>
    <row r="3817" spans="1:24" x14ac:dyDescent="0.25">
      <c r="A3817" t="s">
        <v>1847</v>
      </c>
      <c r="B3817" t="s">
        <v>1848</v>
      </c>
      <c r="C3817" t="s">
        <v>1849</v>
      </c>
      <c r="D3817" t="s">
        <v>1850</v>
      </c>
      <c r="E3817" s="9">
        <v>45444</v>
      </c>
      <c r="F3817" s="9">
        <v>45473</v>
      </c>
      <c r="G3817">
        <v>281470093.80000001</v>
      </c>
      <c r="H3817">
        <v>122063784.60000001</v>
      </c>
      <c r="I3817">
        <v>63508359.899999999</v>
      </c>
      <c r="J3817">
        <v>133742284.44</v>
      </c>
      <c r="K3817">
        <v>24275899.5</v>
      </c>
      <c r="L3817">
        <v>0</v>
      </c>
      <c r="M3817">
        <v>18769017.600000001</v>
      </c>
      <c r="N3817">
        <v>0</v>
      </c>
      <c r="O3817">
        <v>0</v>
      </c>
      <c r="P3817">
        <v>0</v>
      </c>
      <c r="Q3817">
        <v>14562281.189999999</v>
      </c>
      <c r="R3817">
        <v>0</v>
      </c>
      <c r="S3817">
        <v>0</v>
      </c>
      <c r="T3817" s="9">
        <v>45108</v>
      </c>
      <c r="U3817" s="9">
        <v>45473</v>
      </c>
      <c r="V3817">
        <f>SUM(POTABLE_NONPOTABLE_API[[#This Row],[RESIDENTIAL_SINGLEFAMILY_GAL]:[OTHER_GAL]])</f>
        <v>625060422.24000001</v>
      </c>
      <c r="W3817">
        <f>SUM(POTABLE_NONPOTABLE_API[[#This Row],[NONPOTABLE_DEMAND_RESIDENTIAL_RECYCLED_WATER_GAL]:[NONPOTABLE_DEMAND_NONRESIDENTIAL_METERED_IRRIGATION_GAL]])</f>
        <v>14562281.189999999</v>
      </c>
      <c r="X3817" t="str">
        <f>IFERROR(INDEX(Crosswalk_API!$H$2:$H$527, MATCH(POTABLE_NONPOTABLE_API[[#This Row],[PWSID]], CW_PWSID_LIST, 0)), "")</f>
        <v>No</v>
      </c>
    </row>
    <row r="3818" spans="1:24" x14ac:dyDescent="0.25">
      <c r="A3818" t="s">
        <v>1851</v>
      </c>
      <c r="B3818" t="s">
        <v>1852</v>
      </c>
      <c r="C3818" t="s">
        <v>1853</v>
      </c>
      <c r="D3818" t="s">
        <v>1854</v>
      </c>
      <c r="E3818" s="9">
        <v>45108</v>
      </c>
      <c r="F3818" s="9">
        <v>45138</v>
      </c>
      <c r="T3818" s="9">
        <v>45108</v>
      </c>
      <c r="U3818" s="9">
        <v>45473</v>
      </c>
      <c r="V3818">
        <f>SUM(POTABLE_NONPOTABLE_API[[#This Row],[RESIDENTIAL_SINGLEFAMILY_GAL]:[OTHER_GAL]])</f>
        <v>0</v>
      </c>
      <c r="W3818">
        <f>SUM(POTABLE_NONPOTABLE_API[[#This Row],[NONPOTABLE_DEMAND_RESIDENTIAL_RECYCLED_WATER_GAL]:[NONPOTABLE_DEMAND_NONRESIDENTIAL_METERED_IRRIGATION_GAL]])</f>
        <v>0</v>
      </c>
      <c r="X3818" t="str">
        <f>IFERROR(INDEX(Crosswalk_API!$H$2:$H$527, MATCH(POTABLE_NONPOTABLE_API[[#This Row],[PWSID]], CW_PWSID_LIST, 0)), "")</f>
        <v>No</v>
      </c>
    </row>
    <row r="3819" spans="1:24" x14ac:dyDescent="0.25">
      <c r="A3819" t="s">
        <v>1851</v>
      </c>
      <c r="B3819" t="s">
        <v>1852</v>
      </c>
      <c r="C3819" t="s">
        <v>1853</v>
      </c>
      <c r="D3819" t="s">
        <v>1854</v>
      </c>
      <c r="E3819" s="9">
        <v>45139</v>
      </c>
      <c r="F3819" s="9">
        <v>45169</v>
      </c>
      <c r="T3819" s="9">
        <v>45108</v>
      </c>
      <c r="U3819" s="9">
        <v>45473</v>
      </c>
      <c r="V3819">
        <f>SUM(POTABLE_NONPOTABLE_API[[#This Row],[RESIDENTIAL_SINGLEFAMILY_GAL]:[OTHER_GAL]])</f>
        <v>0</v>
      </c>
      <c r="W3819">
        <f>SUM(POTABLE_NONPOTABLE_API[[#This Row],[NONPOTABLE_DEMAND_RESIDENTIAL_RECYCLED_WATER_GAL]:[NONPOTABLE_DEMAND_NONRESIDENTIAL_METERED_IRRIGATION_GAL]])</f>
        <v>0</v>
      </c>
      <c r="X3819" t="str">
        <f>IFERROR(INDEX(Crosswalk_API!$H$2:$H$527, MATCH(POTABLE_NONPOTABLE_API[[#This Row],[PWSID]], CW_PWSID_LIST, 0)), "")</f>
        <v>No</v>
      </c>
    </row>
    <row r="3820" spans="1:24" x14ac:dyDescent="0.25">
      <c r="A3820" t="s">
        <v>1851</v>
      </c>
      <c r="B3820" t="s">
        <v>1852</v>
      </c>
      <c r="C3820" t="s">
        <v>1853</v>
      </c>
      <c r="D3820" t="s">
        <v>1854</v>
      </c>
      <c r="E3820" s="9">
        <v>45170</v>
      </c>
      <c r="F3820" s="9">
        <v>45199</v>
      </c>
      <c r="T3820" s="9">
        <v>45108</v>
      </c>
      <c r="U3820" s="9">
        <v>45473</v>
      </c>
      <c r="V3820">
        <f>SUM(POTABLE_NONPOTABLE_API[[#This Row],[RESIDENTIAL_SINGLEFAMILY_GAL]:[OTHER_GAL]])</f>
        <v>0</v>
      </c>
      <c r="W3820">
        <f>SUM(POTABLE_NONPOTABLE_API[[#This Row],[NONPOTABLE_DEMAND_RESIDENTIAL_RECYCLED_WATER_GAL]:[NONPOTABLE_DEMAND_NONRESIDENTIAL_METERED_IRRIGATION_GAL]])</f>
        <v>0</v>
      </c>
      <c r="X3820" t="str">
        <f>IFERROR(INDEX(Crosswalk_API!$H$2:$H$527, MATCH(POTABLE_NONPOTABLE_API[[#This Row],[PWSID]], CW_PWSID_LIST, 0)), "")</f>
        <v>No</v>
      </c>
    </row>
    <row r="3821" spans="1:24" x14ac:dyDescent="0.25">
      <c r="A3821" t="s">
        <v>1851</v>
      </c>
      <c r="B3821" t="s">
        <v>1852</v>
      </c>
      <c r="C3821" t="s">
        <v>1853</v>
      </c>
      <c r="D3821" t="s">
        <v>1854</v>
      </c>
      <c r="E3821" s="9">
        <v>45200</v>
      </c>
      <c r="F3821" s="9">
        <v>45230</v>
      </c>
      <c r="T3821" s="9">
        <v>45108</v>
      </c>
      <c r="U3821" s="9">
        <v>45473</v>
      </c>
      <c r="V3821">
        <f>SUM(POTABLE_NONPOTABLE_API[[#This Row],[RESIDENTIAL_SINGLEFAMILY_GAL]:[OTHER_GAL]])</f>
        <v>0</v>
      </c>
      <c r="W3821">
        <f>SUM(POTABLE_NONPOTABLE_API[[#This Row],[NONPOTABLE_DEMAND_RESIDENTIAL_RECYCLED_WATER_GAL]:[NONPOTABLE_DEMAND_NONRESIDENTIAL_METERED_IRRIGATION_GAL]])</f>
        <v>0</v>
      </c>
      <c r="X3821" t="str">
        <f>IFERROR(INDEX(Crosswalk_API!$H$2:$H$527, MATCH(POTABLE_NONPOTABLE_API[[#This Row],[PWSID]], CW_PWSID_LIST, 0)), "")</f>
        <v>No</v>
      </c>
    </row>
    <row r="3822" spans="1:24" x14ac:dyDescent="0.25">
      <c r="A3822" t="s">
        <v>1851</v>
      </c>
      <c r="B3822" t="s">
        <v>1852</v>
      </c>
      <c r="C3822" t="s">
        <v>1853</v>
      </c>
      <c r="D3822" t="s">
        <v>1854</v>
      </c>
      <c r="E3822" s="9">
        <v>45231</v>
      </c>
      <c r="F3822" s="9">
        <v>45260</v>
      </c>
      <c r="T3822" s="9">
        <v>45108</v>
      </c>
      <c r="U3822" s="9">
        <v>45473</v>
      </c>
      <c r="V3822">
        <f>SUM(POTABLE_NONPOTABLE_API[[#This Row],[RESIDENTIAL_SINGLEFAMILY_GAL]:[OTHER_GAL]])</f>
        <v>0</v>
      </c>
      <c r="W3822">
        <f>SUM(POTABLE_NONPOTABLE_API[[#This Row],[NONPOTABLE_DEMAND_RESIDENTIAL_RECYCLED_WATER_GAL]:[NONPOTABLE_DEMAND_NONRESIDENTIAL_METERED_IRRIGATION_GAL]])</f>
        <v>0</v>
      </c>
      <c r="X3822" t="str">
        <f>IFERROR(INDEX(Crosswalk_API!$H$2:$H$527, MATCH(POTABLE_NONPOTABLE_API[[#This Row],[PWSID]], CW_PWSID_LIST, 0)), "")</f>
        <v>No</v>
      </c>
    </row>
    <row r="3823" spans="1:24" x14ac:dyDescent="0.25">
      <c r="A3823" t="s">
        <v>1851</v>
      </c>
      <c r="B3823" t="s">
        <v>1852</v>
      </c>
      <c r="C3823" t="s">
        <v>1853</v>
      </c>
      <c r="D3823" t="s">
        <v>1854</v>
      </c>
      <c r="E3823" s="9">
        <v>45261</v>
      </c>
      <c r="F3823" s="9">
        <v>45291</v>
      </c>
      <c r="T3823" s="9">
        <v>45108</v>
      </c>
      <c r="U3823" s="9">
        <v>45473</v>
      </c>
      <c r="V3823">
        <f>SUM(POTABLE_NONPOTABLE_API[[#This Row],[RESIDENTIAL_SINGLEFAMILY_GAL]:[OTHER_GAL]])</f>
        <v>0</v>
      </c>
      <c r="W3823">
        <f>SUM(POTABLE_NONPOTABLE_API[[#This Row],[NONPOTABLE_DEMAND_RESIDENTIAL_RECYCLED_WATER_GAL]:[NONPOTABLE_DEMAND_NONRESIDENTIAL_METERED_IRRIGATION_GAL]])</f>
        <v>0</v>
      </c>
      <c r="X3823" t="str">
        <f>IFERROR(INDEX(Crosswalk_API!$H$2:$H$527, MATCH(POTABLE_NONPOTABLE_API[[#This Row],[PWSID]], CW_PWSID_LIST, 0)), "")</f>
        <v>No</v>
      </c>
    </row>
    <row r="3824" spans="1:24" x14ac:dyDescent="0.25">
      <c r="A3824" t="s">
        <v>1851</v>
      </c>
      <c r="B3824" t="s">
        <v>1852</v>
      </c>
      <c r="C3824" t="s">
        <v>1853</v>
      </c>
      <c r="D3824" t="s">
        <v>1854</v>
      </c>
      <c r="E3824" s="9">
        <v>45292</v>
      </c>
      <c r="F3824" s="9">
        <v>45322</v>
      </c>
      <c r="T3824" s="9">
        <v>45108</v>
      </c>
      <c r="U3824" s="9">
        <v>45473</v>
      </c>
      <c r="V3824">
        <f>SUM(POTABLE_NONPOTABLE_API[[#This Row],[RESIDENTIAL_SINGLEFAMILY_GAL]:[OTHER_GAL]])</f>
        <v>0</v>
      </c>
      <c r="W3824">
        <f>SUM(POTABLE_NONPOTABLE_API[[#This Row],[NONPOTABLE_DEMAND_RESIDENTIAL_RECYCLED_WATER_GAL]:[NONPOTABLE_DEMAND_NONRESIDENTIAL_METERED_IRRIGATION_GAL]])</f>
        <v>0</v>
      </c>
      <c r="X3824" t="str">
        <f>IFERROR(INDEX(Crosswalk_API!$H$2:$H$527, MATCH(POTABLE_NONPOTABLE_API[[#This Row],[PWSID]], CW_PWSID_LIST, 0)), "")</f>
        <v>No</v>
      </c>
    </row>
    <row r="3825" spans="1:24" x14ac:dyDescent="0.25">
      <c r="A3825" t="s">
        <v>1851</v>
      </c>
      <c r="B3825" t="s">
        <v>1852</v>
      </c>
      <c r="C3825" t="s">
        <v>1853</v>
      </c>
      <c r="D3825" t="s">
        <v>1854</v>
      </c>
      <c r="E3825" s="9">
        <v>45323</v>
      </c>
      <c r="F3825" s="9">
        <v>45351</v>
      </c>
      <c r="T3825" s="9">
        <v>45108</v>
      </c>
      <c r="U3825" s="9">
        <v>45473</v>
      </c>
      <c r="V3825">
        <f>SUM(POTABLE_NONPOTABLE_API[[#This Row],[RESIDENTIAL_SINGLEFAMILY_GAL]:[OTHER_GAL]])</f>
        <v>0</v>
      </c>
      <c r="W3825">
        <f>SUM(POTABLE_NONPOTABLE_API[[#This Row],[NONPOTABLE_DEMAND_RESIDENTIAL_RECYCLED_WATER_GAL]:[NONPOTABLE_DEMAND_NONRESIDENTIAL_METERED_IRRIGATION_GAL]])</f>
        <v>0</v>
      </c>
      <c r="X3825" t="str">
        <f>IFERROR(INDEX(Crosswalk_API!$H$2:$H$527, MATCH(POTABLE_NONPOTABLE_API[[#This Row],[PWSID]], CW_PWSID_LIST, 0)), "")</f>
        <v>No</v>
      </c>
    </row>
    <row r="3826" spans="1:24" x14ac:dyDescent="0.25">
      <c r="A3826" t="s">
        <v>1851</v>
      </c>
      <c r="B3826" t="s">
        <v>1852</v>
      </c>
      <c r="C3826" t="s">
        <v>1853</v>
      </c>
      <c r="D3826" t="s">
        <v>1854</v>
      </c>
      <c r="E3826" s="9">
        <v>45352</v>
      </c>
      <c r="F3826" s="9">
        <v>45382</v>
      </c>
      <c r="T3826" s="9">
        <v>45108</v>
      </c>
      <c r="U3826" s="9">
        <v>45473</v>
      </c>
      <c r="V3826">
        <f>SUM(POTABLE_NONPOTABLE_API[[#This Row],[RESIDENTIAL_SINGLEFAMILY_GAL]:[OTHER_GAL]])</f>
        <v>0</v>
      </c>
      <c r="W3826">
        <f>SUM(POTABLE_NONPOTABLE_API[[#This Row],[NONPOTABLE_DEMAND_RESIDENTIAL_RECYCLED_WATER_GAL]:[NONPOTABLE_DEMAND_NONRESIDENTIAL_METERED_IRRIGATION_GAL]])</f>
        <v>0</v>
      </c>
      <c r="X3826" t="str">
        <f>IFERROR(INDEX(Crosswalk_API!$H$2:$H$527, MATCH(POTABLE_NONPOTABLE_API[[#This Row],[PWSID]], CW_PWSID_LIST, 0)), "")</f>
        <v>No</v>
      </c>
    </row>
    <row r="3827" spans="1:24" x14ac:dyDescent="0.25">
      <c r="A3827" t="s">
        <v>1851</v>
      </c>
      <c r="B3827" t="s">
        <v>1852</v>
      </c>
      <c r="C3827" t="s">
        <v>1853</v>
      </c>
      <c r="D3827" t="s">
        <v>1854</v>
      </c>
      <c r="E3827" s="9">
        <v>45383</v>
      </c>
      <c r="F3827" s="9">
        <v>45412</v>
      </c>
      <c r="T3827" s="9">
        <v>45108</v>
      </c>
      <c r="U3827" s="9">
        <v>45473</v>
      </c>
      <c r="V3827">
        <f>SUM(POTABLE_NONPOTABLE_API[[#This Row],[RESIDENTIAL_SINGLEFAMILY_GAL]:[OTHER_GAL]])</f>
        <v>0</v>
      </c>
      <c r="W3827">
        <f>SUM(POTABLE_NONPOTABLE_API[[#This Row],[NONPOTABLE_DEMAND_RESIDENTIAL_RECYCLED_WATER_GAL]:[NONPOTABLE_DEMAND_NONRESIDENTIAL_METERED_IRRIGATION_GAL]])</f>
        <v>0</v>
      </c>
      <c r="X3827" t="str">
        <f>IFERROR(INDEX(Crosswalk_API!$H$2:$H$527, MATCH(POTABLE_NONPOTABLE_API[[#This Row],[PWSID]], CW_PWSID_LIST, 0)), "")</f>
        <v>No</v>
      </c>
    </row>
    <row r="3828" spans="1:24" x14ac:dyDescent="0.25">
      <c r="A3828" t="s">
        <v>1851</v>
      </c>
      <c r="B3828" t="s">
        <v>1852</v>
      </c>
      <c r="C3828" t="s">
        <v>1853</v>
      </c>
      <c r="D3828" t="s">
        <v>1854</v>
      </c>
      <c r="E3828" s="9">
        <v>45413</v>
      </c>
      <c r="F3828" s="9">
        <v>45443</v>
      </c>
      <c r="T3828" s="9">
        <v>45108</v>
      </c>
      <c r="U3828" s="9">
        <v>45473</v>
      </c>
      <c r="V3828">
        <f>SUM(POTABLE_NONPOTABLE_API[[#This Row],[RESIDENTIAL_SINGLEFAMILY_GAL]:[OTHER_GAL]])</f>
        <v>0</v>
      </c>
      <c r="W3828">
        <f>SUM(POTABLE_NONPOTABLE_API[[#This Row],[NONPOTABLE_DEMAND_RESIDENTIAL_RECYCLED_WATER_GAL]:[NONPOTABLE_DEMAND_NONRESIDENTIAL_METERED_IRRIGATION_GAL]])</f>
        <v>0</v>
      </c>
      <c r="X3828" t="str">
        <f>IFERROR(INDEX(Crosswalk_API!$H$2:$H$527, MATCH(POTABLE_NONPOTABLE_API[[#This Row],[PWSID]], CW_PWSID_LIST, 0)), "")</f>
        <v>No</v>
      </c>
    </row>
    <row r="3829" spans="1:24" x14ac:dyDescent="0.25">
      <c r="A3829" t="s">
        <v>1851</v>
      </c>
      <c r="B3829" t="s">
        <v>1852</v>
      </c>
      <c r="C3829" t="s">
        <v>1853</v>
      </c>
      <c r="D3829" t="s">
        <v>1854</v>
      </c>
      <c r="E3829" s="9">
        <v>45444</v>
      </c>
      <c r="F3829" s="9">
        <v>45473</v>
      </c>
      <c r="T3829" s="9">
        <v>45108</v>
      </c>
      <c r="U3829" s="9">
        <v>45473</v>
      </c>
      <c r="V3829">
        <f>SUM(POTABLE_NONPOTABLE_API[[#This Row],[RESIDENTIAL_SINGLEFAMILY_GAL]:[OTHER_GAL]])</f>
        <v>0</v>
      </c>
      <c r="W3829">
        <f>SUM(POTABLE_NONPOTABLE_API[[#This Row],[NONPOTABLE_DEMAND_RESIDENTIAL_RECYCLED_WATER_GAL]:[NONPOTABLE_DEMAND_NONRESIDENTIAL_METERED_IRRIGATION_GAL]])</f>
        <v>0</v>
      </c>
      <c r="X3829" t="str">
        <f>IFERROR(INDEX(Crosswalk_API!$H$2:$H$527, MATCH(POTABLE_NONPOTABLE_API[[#This Row],[PWSID]], CW_PWSID_LIST, 0)), "")</f>
        <v>No</v>
      </c>
    </row>
    <row r="3830" spans="1:24" x14ac:dyDescent="0.25">
      <c r="A3830" t="s">
        <v>1855</v>
      </c>
      <c r="B3830" t="s">
        <v>1856</v>
      </c>
      <c r="C3830" t="s">
        <v>1857</v>
      </c>
      <c r="D3830" t="s">
        <v>1858</v>
      </c>
      <c r="E3830" s="9">
        <v>45108</v>
      </c>
      <c r="F3830" s="9">
        <v>45138</v>
      </c>
      <c r="G3830">
        <v>67055000.000000007</v>
      </c>
      <c r="H3830">
        <v>0</v>
      </c>
      <c r="I3830">
        <v>4025736</v>
      </c>
      <c r="J3830">
        <v>6824004</v>
      </c>
      <c r="K3830">
        <v>0</v>
      </c>
      <c r="L3830">
        <v>1384174</v>
      </c>
      <c r="M3830">
        <v>0</v>
      </c>
      <c r="T3830" s="9">
        <v>45108</v>
      </c>
      <c r="U3830" s="9">
        <v>45473</v>
      </c>
      <c r="V3830">
        <f>SUM(POTABLE_NONPOTABLE_API[[#This Row],[RESIDENTIAL_SINGLEFAMILY_GAL]:[OTHER_GAL]])</f>
        <v>79288914</v>
      </c>
      <c r="W3830">
        <f>SUM(POTABLE_NONPOTABLE_API[[#This Row],[NONPOTABLE_DEMAND_RESIDENTIAL_RECYCLED_WATER_GAL]:[NONPOTABLE_DEMAND_NONRESIDENTIAL_METERED_IRRIGATION_GAL]])</f>
        <v>0</v>
      </c>
      <c r="X3830" t="str">
        <f>IFERROR(INDEX(Crosswalk_API!$H$2:$H$527, MATCH(POTABLE_NONPOTABLE_API[[#This Row],[PWSID]], CW_PWSID_LIST, 0)), "")</f>
        <v>No</v>
      </c>
    </row>
    <row r="3831" spans="1:24" x14ac:dyDescent="0.25">
      <c r="A3831" t="s">
        <v>1855</v>
      </c>
      <c r="B3831" t="s">
        <v>1856</v>
      </c>
      <c r="C3831" t="s">
        <v>1857</v>
      </c>
      <c r="D3831" t="s">
        <v>1858</v>
      </c>
      <c r="E3831" s="9">
        <v>45139</v>
      </c>
      <c r="F3831" s="9">
        <v>45169</v>
      </c>
      <c r="G3831">
        <v>63404968</v>
      </c>
      <c r="H3831">
        <v>0</v>
      </c>
      <c r="I3831">
        <v>4276316</v>
      </c>
      <c r="J3831">
        <v>7229420</v>
      </c>
      <c r="K3831">
        <v>0</v>
      </c>
      <c r="L3831">
        <v>4193101.0000000005</v>
      </c>
      <c r="M3831">
        <v>0</v>
      </c>
      <c r="T3831" s="9">
        <v>45108</v>
      </c>
      <c r="U3831" s="9">
        <v>45473</v>
      </c>
      <c r="V3831">
        <f>SUM(POTABLE_NONPOTABLE_API[[#This Row],[RESIDENTIAL_SINGLEFAMILY_GAL]:[OTHER_GAL]])</f>
        <v>79103805</v>
      </c>
      <c r="W3831">
        <f>SUM(POTABLE_NONPOTABLE_API[[#This Row],[NONPOTABLE_DEMAND_RESIDENTIAL_RECYCLED_WATER_GAL]:[NONPOTABLE_DEMAND_NONRESIDENTIAL_METERED_IRRIGATION_GAL]])</f>
        <v>0</v>
      </c>
      <c r="X3831" t="str">
        <f>IFERROR(INDEX(Crosswalk_API!$H$2:$H$527, MATCH(POTABLE_NONPOTABLE_API[[#This Row],[PWSID]], CW_PWSID_LIST, 0)), "")</f>
        <v>No</v>
      </c>
    </row>
    <row r="3832" spans="1:24" x14ac:dyDescent="0.25">
      <c r="A3832" t="s">
        <v>1855</v>
      </c>
      <c r="B3832" t="s">
        <v>1856</v>
      </c>
      <c r="C3832" t="s">
        <v>1857</v>
      </c>
      <c r="D3832" t="s">
        <v>1858</v>
      </c>
      <c r="E3832" s="9">
        <v>45170</v>
      </c>
      <c r="F3832" s="9">
        <v>45199</v>
      </c>
      <c r="G3832">
        <v>51997220</v>
      </c>
      <c r="H3832">
        <v>0</v>
      </c>
      <c r="I3832">
        <v>3603116</v>
      </c>
      <c r="J3832">
        <v>6702080</v>
      </c>
      <c r="K3832">
        <v>0</v>
      </c>
      <c r="L3832">
        <v>886380</v>
      </c>
      <c r="M3832">
        <v>0</v>
      </c>
      <c r="T3832" s="9">
        <v>45108</v>
      </c>
      <c r="U3832" s="9">
        <v>45473</v>
      </c>
      <c r="V3832">
        <f>SUM(POTABLE_NONPOTABLE_API[[#This Row],[RESIDENTIAL_SINGLEFAMILY_GAL]:[OTHER_GAL]])</f>
        <v>63188796</v>
      </c>
      <c r="W3832">
        <f>SUM(POTABLE_NONPOTABLE_API[[#This Row],[NONPOTABLE_DEMAND_RESIDENTIAL_RECYCLED_WATER_GAL]:[NONPOTABLE_DEMAND_NONRESIDENTIAL_METERED_IRRIGATION_GAL]])</f>
        <v>0</v>
      </c>
      <c r="X3832" t="str">
        <f>IFERROR(INDEX(Crosswalk_API!$H$2:$H$527, MATCH(POTABLE_NONPOTABLE_API[[#This Row],[PWSID]], CW_PWSID_LIST, 0)), "")</f>
        <v>No</v>
      </c>
    </row>
    <row r="3833" spans="1:24" x14ac:dyDescent="0.25">
      <c r="A3833" t="s">
        <v>1855</v>
      </c>
      <c r="B3833" t="s">
        <v>1856</v>
      </c>
      <c r="C3833" t="s">
        <v>1857</v>
      </c>
      <c r="D3833" t="s">
        <v>1858</v>
      </c>
      <c r="E3833" s="9">
        <v>45200</v>
      </c>
      <c r="F3833" s="9">
        <v>45230</v>
      </c>
      <c r="G3833">
        <v>44446160</v>
      </c>
      <c r="H3833">
        <v>0</v>
      </c>
      <c r="I3833">
        <v>2730200</v>
      </c>
      <c r="J3833">
        <v>4084080</v>
      </c>
      <c r="K3833">
        <v>0</v>
      </c>
      <c r="L3833">
        <v>1191938</v>
      </c>
      <c r="M3833">
        <v>0</v>
      </c>
      <c r="T3833" s="9">
        <v>45108</v>
      </c>
      <c r="U3833" s="9">
        <v>45473</v>
      </c>
      <c r="V3833">
        <f>SUM(POTABLE_NONPOTABLE_API[[#This Row],[RESIDENTIAL_SINGLEFAMILY_GAL]:[OTHER_GAL]])</f>
        <v>52452378</v>
      </c>
      <c r="W3833">
        <f>SUM(POTABLE_NONPOTABLE_API[[#This Row],[NONPOTABLE_DEMAND_RESIDENTIAL_RECYCLED_WATER_GAL]:[NONPOTABLE_DEMAND_NONRESIDENTIAL_METERED_IRRIGATION_GAL]])</f>
        <v>0</v>
      </c>
      <c r="X3833" t="str">
        <f>IFERROR(INDEX(Crosswalk_API!$H$2:$H$527, MATCH(POTABLE_NONPOTABLE_API[[#This Row],[PWSID]], CW_PWSID_LIST, 0)), "")</f>
        <v>No</v>
      </c>
    </row>
    <row r="3834" spans="1:24" x14ac:dyDescent="0.25">
      <c r="A3834" t="s">
        <v>1855</v>
      </c>
      <c r="B3834" t="s">
        <v>1856</v>
      </c>
      <c r="C3834" t="s">
        <v>1857</v>
      </c>
      <c r="D3834" t="s">
        <v>1858</v>
      </c>
      <c r="E3834" s="9">
        <v>45231</v>
      </c>
      <c r="F3834" s="9">
        <v>45260</v>
      </c>
      <c r="G3834">
        <v>31057708</v>
      </c>
      <c r="H3834">
        <v>0</v>
      </c>
      <c r="I3834">
        <v>743512</v>
      </c>
      <c r="J3834">
        <v>3113924</v>
      </c>
      <c r="K3834">
        <v>0</v>
      </c>
      <c r="L3834">
        <v>736780</v>
      </c>
      <c r="M3834">
        <v>0</v>
      </c>
      <c r="T3834" s="9">
        <v>45108</v>
      </c>
      <c r="U3834" s="9">
        <v>45473</v>
      </c>
      <c r="V3834">
        <f>SUM(POTABLE_NONPOTABLE_API[[#This Row],[RESIDENTIAL_SINGLEFAMILY_GAL]:[OTHER_GAL]])</f>
        <v>35651924</v>
      </c>
      <c r="W3834">
        <f>SUM(POTABLE_NONPOTABLE_API[[#This Row],[NONPOTABLE_DEMAND_RESIDENTIAL_RECYCLED_WATER_GAL]:[NONPOTABLE_DEMAND_NONRESIDENTIAL_METERED_IRRIGATION_GAL]])</f>
        <v>0</v>
      </c>
      <c r="X3834" t="str">
        <f>IFERROR(INDEX(Crosswalk_API!$H$2:$H$527, MATCH(POTABLE_NONPOTABLE_API[[#This Row],[PWSID]], CW_PWSID_LIST, 0)), "")</f>
        <v>No</v>
      </c>
    </row>
    <row r="3835" spans="1:24" x14ac:dyDescent="0.25">
      <c r="A3835" t="s">
        <v>1855</v>
      </c>
      <c r="B3835" t="s">
        <v>1856</v>
      </c>
      <c r="C3835" t="s">
        <v>1857</v>
      </c>
      <c r="D3835" t="s">
        <v>1858</v>
      </c>
      <c r="E3835" s="9">
        <v>45261</v>
      </c>
      <c r="F3835" s="9">
        <v>45291</v>
      </c>
      <c r="G3835">
        <v>22837188</v>
      </c>
      <c r="H3835">
        <v>0</v>
      </c>
      <c r="I3835">
        <v>1099290.72</v>
      </c>
      <c r="J3835">
        <v>1739100</v>
      </c>
      <c r="K3835">
        <v>0</v>
      </c>
      <c r="L3835">
        <v>222904</v>
      </c>
      <c r="M3835">
        <v>0</v>
      </c>
      <c r="T3835" s="9">
        <v>45108</v>
      </c>
      <c r="U3835" s="9">
        <v>45473</v>
      </c>
      <c r="V3835">
        <f>SUM(POTABLE_NONPOTABLE_API[[#This Row],[RESIDENTIAL_SINGLEFAMILY_GAL]:[OTHER_GAL]])</f>
        <v>25898482.719999999</v>
      </c>
      <c r="W3835">
        <f>SUM(POTABLE_NONPOTABLE_API[[#This Row],[NONPOTABLE_DEMAND_RESIDENTIAL_RECYCLED_WATER_GAL]:[NONPOTABLE_DEMAND_NONRESIDENTIAL_METERED_IRRIGATION_GAL]])</f>
        <v>0</v>
      </c>
      <c r="X3835" t="str">
        <f>IFERROR(INDEX(Crosswalk_API!$H$2:$H$527, MATCH(POTABLE_NONPOTABLE_API[[#This Row],[PWSID]], CW_PWSID_LIST, 0)), "")</f>
        <v>No</v>
      </c>
    </row>
    <row r="3836" spans="1:24" x14ac:dyDescent="0.25">
      <c r="A3836" t="s">
        <v>1855</v>
      </c>
      <c r="B3836" t="s">
        <v>1856</v>
      </c>
      <c r="C3836" t="s">
        <v>1857</v>
      </c>
      <c r="D3836" t="s">
        <v>1858</v>
      </c>
      <c r="E3836" s="9">
        <v>45292</v>
      </c>
      <c r="F3836" s="9">
        <v>45322</v>
      </c>
      <c r="G3836">
        <v>22840180</v>
      </c>
      <c r="H3836">
        <v>0</v>
      </c>
      <c r="I3836">
        <v>612612</v>
      </c>
      <c r="J3836">
        <v>1038224</v>
      </c>
      <c r="K3836">
        <v>0</v>
      </c>
      <c r="L3836">
        <v>0</v>
      </c>
      <c r="M3836">
        <v>0</v>
      </c>
      <c r="T3836" s="9">
        <v>45108</v>
      </c>
      <c r="U3836" s="9">
        <v>45473</v>
      </c>
      <c r="V3836">
        <f>SUM(POTABLE_NONPOTABLE_API[[#This Row],[RESIDENTIAL_SINGLEFAMILY_GAL]:[OTHER_GAL]])</f>
        <v>24491016</v>
      </c>
      <c r="W3836">
        <f>SUM(POTABLE_NONPOTABLE_API[[#This Row],[NONPOTABLE_DEMAND_RESIDENTIAL_RECYCLED_WATER_GAL]:[NONPOTABLE_DEMAND_NONRESIDENTIAL_METERED_IRRIGATION_GAL]])</f>
        <v>0</v>
      </c>
      <c r="X3836" t="str">
        <f>IFERROR(INDEX(Crosswalk_API!$H$2:$H$527, MATCH(POTABLE_NONPOTABLE_API[[#This Row],[PWSID]], CW_PWSID_LIST, 0)), "")</f>
        <v>No</v>
      </c>
    </row>
    <row r="3837" spans="1:24" x14ac:dyDescent="0.25">
      <c r="A3837" t="s">
        <v>1855</v>
      </c>
      <c r="B3837" t="s">
        <v>1856</v>
      </c>
      <c r="C3837" t="s">
        <v>1857</v>
      </c>
      <c r="D3837" t="s">
        <v>1858</v>
      </c>
      <c r="E3837" s="9">
        <v>45323</v>
      </c>
      <c r="F3837" s="9">
        <v>45351</v>
      </c>
      <c r="G3837">
        <v>19624528</v>
      </c>
      <c r="H3837">
        <v>0</v>
      </c>
      <c r="I3837">
        <v>543048</v>
      </c>
      <c r="J3837">
        <v>474980</v>
      </c>
      <c r="K3837">
        <v>0</v>
      </c>
      <c r="L3837">
        <v>0</v>
      </c>
      <c r="M3837">
        <v>0</v>
      </c>
      <c r="T3837" s="9">
        <v>45108</v>
      </c>
      <c r="U3837" s="9">
        <v>45473</v>
      </c>
      <c r="V3837">
        <f>SUM(POTABLE_NONPOTABLE_API[[#This Row],[RESIDENTIAL_SINGLEFAMILY_GAL]:[OTHER_GAL]])</f>
        <v>20642556</v>
      </c>
      <c r="W3837">
        <f>SUM(POTABLE_NONPOTABLE_API[[#This Row],[NONPOTABLE_DEMAND_RESIDENTIAL_RECYCLED_WATER_GAL]:[NONPOTABLE_DEMAND_NONRESIDENTIAL_METERED_IRRIGATION_GAL]])</f>
        <v>0</v>
      </c>
      <c r="X3837" t="str">
        <f>IFERROR(INDEX(Crosswalk_API!$H$2:$H$527, MATCH(POTABLE_NONPOTABLE_API[[#This Row],[PWSID]], CW_PWSID_LIST, 0)), "")</f>
        <v>No</v>
      </c>
    </row>
    <row r="3838" spans="1:24" x14ac:dyDescent="0.25">
      <c r="A3838" t="s">
        <v>1855</v>
      </c>
      <c r="B3838" t="s">
        <v>1856</v>
      </c>
      <c r="C3838" t="s">
        <v>1857</v>
      </c>
      <c r="D3838" t="s">
        <v>1858</v>
      </c>
      <c r="E3838" s="9">
        <v>45352</v>
      </c>
      <c r="F3838" s="9">
        <v>45382</v>
      </c>
      <c r="G3838">
        <v>23272524</v>
      </c>
      <c r="H3838">
        <v>0</v>
      </c>
      <c r="I3838">
        <v>724812</v>
      </c>
      <c r="J3838">
        <v>1687488</v>
      </c>
      <c r="K3838">
        <v>0</v>
      </c>
      <c r="L3838">
        <v>17204</v>
      </c>
      <c r="M3838">
        <v>0</v>
      </c>
      <c r="T3838" s="9">
        <v>45108</v>
      </c>
      <c r="U3838" s="9">
        <v>45473</v>
      </c>
      <c r="V3838">
        <f>SUM(POTABLE_NONPOTABLE_API[[#This Row],[RESIDENTIAL_SINGLEFAMILY_GAL]:[OTHER_GAL]])</f>
        <v>25702028</v>
      </c>
      <c r="W3838">
        <f>SUM(POTABLE_NONPOTABLE_API[[#This Row],[NONPOTABLE_DEMAND_RESIDENTIAL_RECYCLED_WATER_GAL]:[NONPOTABLE_DEMAND_NONRESIDENTIAL_METERED_IRRIGATION_GAL]])</f>
        <v>0</v>
      </c>
      <c r="X3838" t="str">
        <f>IFERROR(INDEX(Crosswalk_API!$H$2:$H$527, MATCH(POTABLE_NONPOTABLE_API[[#This Row],[PWSID]], CW_PWSID_LIST, 0)), "")</f>
        <v>No</v>
      </c>
    </row>
    <row r="3839" spans="1:24" x14ac:dyDescent="0.25">
      <c r="A3839" t="s">
        <v>1855</v>
      </c>
      <c r="B3839" t="s">
        <v>1856</v>
      </c>
      <c r="C3839" t="s">
        <v>1857</v>
      </c>
      <c r="D3839" t="s">
        <v>1858</v>
      </c>
      <c r="E3839" s="9">
        <v>45383</v>
      </c>
      <c r="F3839" s="9">
        <v>45412</v>
      </c>
      <c r="G3839">
        <v>34109675</v>
      </c>
      <c r="H3839">
        <v>0</v>
      </c>
      <c r="I3839">
        <v>1520790</v>
      </c>
      <c r="J3839">
        <v>3700613</v>
      </c>
      <c r="K3839">
        <v>0</v>
      </c>
      <c r="L3839">
        <v>131307.79999999999</v>
      </c>
      <c r="M3839">
        <v>0</v>
      </c>
      <c r="T3839" s="9">
        <v>45108</v>
      </c>
      <c r="U3839" s="9">
        <v>45473</v>
      </c>
      <c r="V3839">
        <f>SUM(POTABLE_NONPOTABLE_API[[#This Row],[RESIDENTIAL_SINGLEFAMILY_GAL]:[OTHER_GAL]])</f>
        <v>39462385.799999997</v>
      </c>
      <c r="W3839">
        <f>SUM(POTABLE_NONPOTABLE_API[[#This Row],[NONPOTABLE_DEMAND_RESIDENTIAL_RECYCLED_WATER_GAL]:[NONPOTABLE_DEMAND_NONRESIDENTIAL_METERED_IRRIGATION_GAL]])</f>
        <v>0</v>
      </c>
      <c r="X3839" t="str">
        <f>IFERROR(INDEX(Crosswalk_API!$H$2:$H$527, MATCH(POTABLE_NONPOTABLE_API[[#This Row],[PWSID]], CW_PWSID_LIST, 0)), "")</f>
        <v>No</v>
      </c>
    </row>
    <row r="3840" spans="1:24" x14ac:dyDescent="0.25">
      <c r="A3840" t="s">
        <v>1855</v>
      </c>
      <c r="B3840" t="s">
        <v>1856</v>
      </c>
      <c r="C3840" t="s">
        <v>1857</v>
      </c>
      <c r="D3840" t="s">
        <v>1858</v>
      </c>
      <c r="E3840" s="9">
        <v>45413</v>
      </c>
      <c r="F3840" s="9">
        <v>45443</v>
      </c>
      <c r="G3840">
        <v>51662715.280000001</v>
      </c>
      <c r="H3840">
        <v>0</v>
      </c>
      <c r="I3840">
        <v>3212883.34</v>
      </c>
      <c r="J3840">
        <v>2449870.3000000003</v>
      </c>
      <c r="K3840">
        <v>0</v>
      </c>
      <c r="L3840">
        <v>1835111.44</v>
      </c>
      <c r="M3840">
        <v>0</v>
      </c>
      <c r="T3840" s="9">
        <v>45108</v>
      </c>
      <c r="U3840" s="9">
        <v>45473</v>
      </c>
      <c r="V3840">
        <f>SUM(POTABLE_NONPOTABLE_API[[#This Row],[RESIDENTIAL_SINGLEFAMILY_GAL]:[OTHER_GAL]])</f>
        <v>59160580.359999999</v>
      </c>
      <c r="W3840">
        <f>SUM(POTABLE_NONPOTABLE_API[[#This Row],[NONPOTABLE_DEMAND_RESIDENTIAL_RECYCLED_WATER_GAL]:[NONPOTABLE_DEMAND_NONRESIDENTIAL_METERED_IRRIGATION_GAL]])</f>
        <v>0</v>
      </c>
      <c r="X3840" t="str">
        <f>IFERROR(INDEX(Crosswalk_API!$H$2:$H$527, MATCH(POTABLE_NONPOTABLE_API[[#This Row],[PWSID]], CW_PWSID_LIST, 0)), "")</f>
        <v>No</v>
      </c>
    </row>
    <row r="3841" spans="1:24" x14ac:dyDescent="0.25">
      <c r="A3841" t="s">
        <v>1855</v>
      </c>
      <c r="B3841" t="s">
        <v>1856</v>
      </c>
      <c r="C3841" t="s">
        <v>1857</v>
      </c>
      <c r="D3841" t="s">
        <v>1858</v>
      </c>
      <c r="E3841" s="9">
        <v>45444</v>
      </c>
      <c r="F3841" s="9">
        <v>45473</v>
      </c>
      <c r="G3841">
        <v>69003308</v>
      </c>
      <c r="H3841">
        <v>0</v>
      </c>
      <c r="I3841">
        <v>4500280</v>
      </c>
      <c r="J3841">
        <v>6411553</v>
      </c>
      <c r="K3841">
        <v>0</v>
      </c>
      <c r="L3841">
        <v>2032612</v>
      </c>
      <c r="M3841">
        <v>0</v>
      </c>
      <c r="T3841" s="9">
        <v>45108</v>
      </c>
      <c r="U3841" s="9">
        <v>45473</v>
      </c>
      <c r="V3841">
        <f>SUM(POTABLE_NONPOTABLE_API[[#This Row],[RESIDENTIAL_SINGLEFAMILY_GAL]:[OTHER_GAL]])</f>
        <v>81947753</v>
      </c>
      <c r="W3841">
        <f>SUM(POTABLE_NONPOTABLE_API[[#This Row],[NONPOTABLE_DEMAND_RESIDENTIAL_RECYCLED_WATER_GAL]:[NONPOTABLE_DEMAND_NONRESIDENTIAL_METERED_IRRIGATION_GAL]])</f>
        <v>0</v>
      </c>
      <c r="X3841" t="str">
        <f>IFERROR(INDEX(Crosswalk_API!$H$2:$H$527, MATCH(POTABLE_NONPOTABLE_API[[#This Row],[PWSID]], CW_PWSID_LIST, 0)), "")</f>
        <v>No</v>
      </c>
    </row>
    <row r="3842" spans="1:24" x14ac:dyDescent="0.25">
      <c r="A3842" t="s">
        <v>1855</v>
      </c>
      <c r="B3842" t="s">
        <v>1856</v>
      </c>
      <c r="C3842" t="s">
        <v>1860</v>
      </c>
      <c r="D3842" t="s">
        <v>1861</v>
      </c>
      <c r="E3842" s="9">
        <v>45108</v>
      </c>
      <c r="F3842" s="9">
        <v>45138</v>
      </c>
      <c r="G3842">
        <v>62881368</v>
      </c>
      <c r="H3842">
        <v>4669016</v>
      </c>
      <c r="I3842">
        <v>9228076</v>
      </c>
      <c r="J3842">
        <v>7549564</v>
      </c>
      <c r="K3842">
        <v>1199044</v>
      </c>
      <c r="L3842">
        <v>141372</v>
      </c>
      <c r="M3842">
        <v>0</v>
      </c>
      <c r="T3842" s="9">
        <v>45108</v>
      </c>
      <c r="U3842" s="9">
        <v>45473</v>
      </c>
      <c r="V3842">
        <f>SUM(POTABLE_NONPOTABLE_API[[#This Row],[RESIDENTIAL_SINGLEFAMILY_GAL]:[OTHER_GAL]])</f>
        <v>85668440</v>
      </c>
      <c r="W3842">
        <f>SUM(POTABLE_NONPOTABLE_API[[#This Row],[NONPOTABLE_DEMAND_RESIDENTIAL_RECYCLED_WATER_GAL]:[NONPOTABLE_DEMAND_NONRESIDENTIAL_METERED_IRRIGATION_GAL]])</f>
        <v>0</v>
      </c>
      <c r="X3842" t="str">
        <f>IFERROR(INDEX(Crosswalk_API!$H$2:$H$527, MATCH(POTABLE_NONPOTABLE_API[[#This Row],[PWSID]], CW_PWSID_LIST, 0)), "")</f>
        <v>No</v>
      </c>
    </row>
    <row r="3843" spans="1:24" x14ac:dyDescent="0.25">
      <c r="A3843" t="s">
        <v>1855</v>
      </c>
      <c r="B3843" t="s">
        <v>1856</v>
      </c>
      <c r="C3843" t="s">
        <v>1860</v>
      </c>
      <c r="D3843" t="s">
        <v>1861</v>
      </c>
      <c r="E3843" s="9">
        <v>45139</v>
      </c>
      <c r="F3843" s="9">
        <v>45169</v>
      </c>
      <c r="G3843">
        <v>56692416</v>
      </c>
      <c r="H3843">
        <v>4384028</v>
      </c>
      <c r="I3843">
        <v>8691012</v>
      </c>
      <c r="J3843">
        <v>6044588</v>
      </c>
      <c r="K3843">
        <v>1672528</v>
      </c>
      <c r="L3843">
        <v>1033736</v>
      </c>
      <c r="M3843">
        <v>0</v>
      </c>
      <c r="T3843" s="9">
        <v>45108</v>
      </c>
      <c r="U3843" s="9">
        <v>45473</v>
      </c>
      <c r="V3843">
        <f>SUM(POTABLE_NONPOTABLE_API[[#This Row],[RESIDENTIAL_SINGLEFAMILY_GAL]:[OTHER_GAL]])</f>
        <v>78518308</v>
      </c>
      <c r="W3843">
        <f>SUM(POTABLE_NONPOTABLE_API[[#This Row],[NONPOTABLE_DEMAND_RESIDENTIAL_RECYCLED_WATER_GAL]:[NONPOTABLE_DEMAND_NONRESIDENTIAL_METERED_IRRIGATION_GAL]])</f>
        <v>0</v>
      </c>
      <c r="X3843" t="str">
        <f>IFERROR(INDEX(Crosswalk_API!$H$2:$H$527, MATCH(POTABLE_NONPOTABLE_API[[#This Row],[PWSID]], CW_PWSID_LIST, 0)), "")</f>
        <v>No</v>
      </c>
    </row>
    <row r="3844" spans="1:24" x14ac:dyDescent="0.25">
      <c r="A3844" t="s">
        <v>1855</v>
      </c>
      <c r="B3844" t="s">
        <v>1856</v>
      </c>
      <c r="C3844" t="s">
        <v>1860</v>
      </c>
      <c r="D3844" t="s">
        <v>1861</v>
      </c>
      <c r="E3844" s="9">
        <v>45170</v>
      </c>
      <c r="F3844" s="9">
        <v>45199</v>
      </c>
      <c r="G3844">
        <v>46934008</v>
      </c>
      <c r="H3844">
        <v>3653980</v>
      </c>
      <c r="I3844">
        <v>8471848</v>
      </c>
      <c r="J3844">
        <v>4636852</v>
      </c>
      <c r="K3844">
        <v>1555840</v>
      </c>
      <c r="L3844">
        <v>893860</v>
      </c>
      <c r="M3844">
        <v>0</v>
      </c>
      <c r="T3844" s="9">
        <v>45108</v>
      </c>
      <c r="U3844" s="9">
        <v>45473</v>
      </c>
      <c r="V3844">
        <f>SUM(POTABLE_NONPOTABLE_API[[#This Row],[RESIDENTIAL_SINGLEFAMILY_GAL]:[OTHER_GAL]])</f>
        <v>66146388</v>
      </c>
      <c r="W3844">
        <f>SUM(POTABLE_NONPOTABLE_API[[#This Row],[NONPOTABLE_DEMAND_RESIDENTIAL_RECYCLED_WATER_GAL]:[NONPOTABLE_DEMAND_NONRESIDENTIAL_METERED_IRRIGATION_GAL]])</f>
        <v>0</v>
      </c>
      <c r="X3844" t="str">
        <f>IFERROR(INDEX(Crosswalk_API!$H$2:$H$527, MATCH(POTABLE_NONPOTABLE_API[[#This Row],[PWSID]], CW_PWSID_LIST, 0)), "")</f>
        <v>No</v>
      </c>
    </row>
    <row r="3845" spans="1:24" x14ac:dyDescent="0.25">
      <c r="A3845" t="s">
        <v>1855</v>
      </c>
      <c r="B3845" t="s">
        <v>1856</v>
      </c>
      <c r="C3845" t="s">
        <v>1860</v>
      </c>
      <c r="D3845" t="s">
        <v>1861</v>
      </c>
      <c r="E3845" s="9">
        <v>45200</v>
      </c>
      <c r="F3845" s="9">
        <v>45230</v>
      </c>
      <c r="G3845">
        <v>38546684</v>
      </c>
      <c r="H3845">
        <v>3337576</v>
      </c>
      <c r="I3845">
        <v>4684724</v>
      </c>
      <c r="J3845">
        <v>2986764</v>
      </c>
      <c r="K3845">
        <v>1623908</v>
      </c>
      <c r="L3845">
        <v>2542452</v>
      </c>
      <c r="M3845">
        <v>0</v>
      </c>
      <c r="T3845" s="9">
        <v>45108</v>
      </c>
      <c r="U3845" s="9">
        <v>45473</v>
      </c>
      <c r="V3845">
        <f>SUM(POTABLE_NONPOTABLE_API[[#This Row],[RESIDENTIAL_SINGLEFAMILY_GAL]:[OTHER_GAL]])</f>
        <v>53722108</v>
      </c>
      <c r="W3845">
        <f>SUM(POTABLE_NONPOTABLE_API[[#This Row],[NONPOTABLE_DEMAND_RESIDENTIAL_RECYCLED_WATER_GAL]:[NONPOTABLE_DEMAND_NONRESIDENTIAL_METERED_IRRIGATION_GAL]])</f>
        <v>0</v>
      </c>
      <c r="X3845" t="str">
        <f>IFERROR(INDEX(Crosswalk_API!$H$2:$H$527, MATCH(POTABLE_NONPOTABLE_API[[#This Row],[PWSID]], CW_PWSID_LIST, 0)), "")</f>
        <v>No</v>
      </c>
    </row>
    <row r="3846" spans="1:24" x14ac:dyDescent="0.25">
      <c r="A3846" t="s">
        <v>1855</v>
      </c>
      <c r="B3846" t="s">
        <v>1856</v>
      </c>
      <c r="C3846" t="s">
        <v>1860</v>
      </c>
      <c r="D3846" t="s">
        <v>1861</v>
      </c>
      <c r="E3846" s="9">
        <v>45231</v>
      </c>
      <c r="F3846" s="9">
        <v>45260</v>
      </c>
      <c r="G3846">
        <v>29018660</v>
      </c>
      <c r="H3846">
        <v>2989008</v>
      </c>
      <c r="I3846">
        <v>2321792</v>
      </c>
      <c r="J3846">
        <v>691900</v>
      </c>
      <c r="K3846">
        <v>1358368</v>
      </c>
      <c r="L3846">
        <v>457028</v>
      </c>
      <c r="M3846">
        <v>0</v>
      </c>
      <c r="T3846" s="9">
        <v>45108</v>
      </c>
      <c r="U3846" s="9">
        <v>45473</v>
      </c>
      <c r="V3846">
        <f>SUM(POTABLE_NONPOTABLE_API[[#This Row],[RESIDENTIAL_SINGLEFAMILY_GAL]:[OTHER_GAL]])</f>
        <v>36836756</v>
      </c>
      <c r="W3846">
        <f>SUM(POTABLE_NONPOTABLE_API[[#This Row],[NONPOTABLE_DEMAND_RESIDENTIAL_RECYCLED_WATER_GAL]:[NONPOTABLE_DEMAND_NONRESIDENTIAL_METERED_IRRIGATION_GAL]])</f>
        <v>0</v>
      </c>
      <c r="X3846" t="str">
        <f>IFERROR(INDEX(Crosswalk_API!$H$2:$H$527, MATCH(POTABLE_NONPOTABLE_API[[#This Row],[PWSID]], CW_PWSID_LIST, 0)), "")</f>
        <v>No</v>
      </c>
    </row>
    <row r="3847" spans="1:24" x14ac:dyDescent="0.25">
      <c r="A3847" t="s">
        <v>1855</v>
      </c>
      <c r="B3847" t="s">
        <v>1856</v>
      </c>
      <c r="C3847" t="s">
        <v>1860</v>
      </c>
      <c r="D3847" t="s">
        <v>1861</v>
      </c>
      <c r="E3847" s="9">
        <v>45261</v>
      </c>
      <c r="F3847" s="9">
        <v>45291</v>
      </c>
      <c r="G3847">
        <v>24042216</v>
      </c>
      <c r="H3847">
        <v>2564144</v>
      </c>
      <c r="I3847">
        <v>1700204</v>
      </c>
      <c r="J3847">
        <v>531080</v>
      </c>
      <c r="K3847">
        <v>959684</v>
      </c>
      <c r="L3847">
        <v>6732</v>
      </c>
      <c r="M3847">
        <v>0</v>
      </c>
      <c r="T3847" s="9">
        <v>45108</v>
      </c>
      <c r="U3847" s="9">
        <v>45473</v>
      </c>
      <c r="V3847">
        <f>SUM(POTABLE_NONPOTABLE_API[[#This Row],[RESIDENTIAL_SINGLEFAMILY_GAL]:[OTHER_GAL]])</f>
        <v>29804060</v>
      </c>
      <c r="W3847">
        <f>SUM(POTABLE_NONPOTABLE_API[[#This Row],[NONPOTABLE_DEMAND_RESIDENTIAL_RECYCLED_WATER_GAL]:[NONPOTABLE_DEMAND_NONRESIDENTIAL_METERED_IRRIGATION_GAL]])</f>
        <v>0</v>
      </c>
      <c r="X3847" t="str">
        <f>IFERROR(INDEX(Crosswalk_API!$H$2:$H$527, MATCH(POTABLE_NONPOTABLE_API[[#This Row],[PWSID]], CW_PWSID_LIST, 0)), "")</f>
        <v>No</v>
      </c>
    </row>
    <row r="3848" spans="1:24" x14ac:dyDescent="0.25">
      <c r="A3848" t="s">
        <v>1855</v>
      </c>
      <c r="B3848" t="s">
        <v>1856</v>
      </c>
      <c r="C3848" t="s">
        <v>1860</v>
      </c>
      <c r="D3848" t="s">
        <v>1861</v>
      </c>
      <c r="E3848" s="9">
        <v>45292</v>
      </c>
      <c r="F3848" s="9">
        <v>45322</v>
      </c>
      <c r="G3848">
        <v>25682580</v>
      </c>
      <c r="H3848">
        <v>2908972</v>
      </c>
      <c r="I3848">
        <v>1986688</v>
      </c>
      <c r="J3848">
        <v>524348</v>
      </c>
      <c r="K3848">
        <v>940984</v>
      </c>
      <c r="L3848">
        <v>0</v>
      </c>
      <c r="M3848">
        <v>0</v>
      </c>
      <c r="T3848" s="9">
        <v>45108</v>
      </c>
      <c r="U3848" s="9">
        <v>45473</v>
      </c>
      <c r="V3848">
        <f>SUM(POTABLE_NONPOTABLE_API[[#This Row],[RESIDENTIAL_SINGLEFAMILY_GAL]:[OTHER_GAL]])</f>
        <v>32043572</v>
      </c>
      <c r="W3848">
        <f>SUM(POTABLE_NONPOTABLE_API[[#This Row],[NONPOTABLE_DEMAND_RESIDENTIAL_RECYCLED_WATER_GAL]:[NONPOTABLE_DEMAND_NONRESIDENTIAL_METERED_IRRIGATION_GAL]])</f>
        <v>0</v>
      </c>
      <c r="X3848" t="str">
        <f>IFERROR(INDEX(Crosswalk_API!$H$2:$H$527, MATCH(POTABLE_NONPOTABLE_API[[#This Row],[PWSID]], CW_PWSID_LIST, 0)), "")</f>
        <v>No</v>
      </c>
    </row>
    <row r="3849" spans="1:24" x14ac:dyDescent="0.25">
      <c r="A3849" t="s">
        <v>1855</v>
      </c>
      <c r="B3849" t="s">
        <v>1856</v>
      </c>
      <c r="C3849" t="s">
        <v>1860</v>
      </c>
      <c r="D3849" t="s">
        <v>1861</v>
      </c>
      <c r="E3849" s="9">
        <v>45323</v>
      </c>
      <c r="F3849" s="9">
        <v>45351</v>
      </c>
      <c r="G3849">
        <v>21924628</v>
      </c>
      <c r="H3849">
        <v>2460920</v>
      </c>
      <c r="I3849">
        <v>1629892</v>
      </c>
      <c r="J3849">
        <v>445808</v>
      </c>
      <c r="K3849">
        <v>949960</v>
      </c>
      <c r="L3849">
        <v>0</v>
      </c>
      <c r="M3849">
        <v>0</v>
      </c>
      <c r="T3849" s="9">
        <v>45108</v>
      </c>
      <c r="U3849" s="9">
        <v>45473</v>
      </c>
      <c r="V3849">
        <f>SUM(POTABLE_NONPOTABLE_API[[#This Row],[RESIDENTIAL_SINGLEFAMILY_GAL]:[OTHER_GAL]])</f>
        <v>27411208</v>
      </c>
      <c r="W3849">
        <f>SUM(POTABLE_NONPOTABLE_API[[#This Row],[NONPOTABLE_DEMAND_RESIDENTIAL_RECYCLED_WATER_GAL]:[NONPOTABLE_DEMAND_NONRESIDENTIAL_METERED_IRRIGATION_GAL]])</f>
        <v>0</v>
      </c>
      <c r="X3849" t="str">
        <f>IFERROR(INDEX(Crosswalk_API!$H$2:$H$527, MATCH(POTABLE_NONPOTABLE_API[[#This Row],[PWSID]], CW_PWSID_LIST, 0)), "")</f>
        <v>No</v>
      </c>
    </row>
    <row r="3850" spans="1:24" x14ac:dyDescent="0.25">
      <c r="A3850" t="s">
        <v>1855</v>
      </c>
      <c r="B3850" t="s">
        <v>1856</v>
      </c>
      <c r="C3850" t="s">
        <v>1860</v>
      </c>
      <c r="D3850" t="s">
        <v>1861</v>
      </c>
      <c r="E3850" s="9">
        <v>45352</v>
      </c>
      <c r="F3850" s="9">
        <v>45382</v>
      </c>
      <c r="G3850">
        <v>24012296</v>
      </c>
      <c r="H3850">
        <v>2692800</v>
      </c>
      <c r="I3850">
        <v>1693472</v>
      </c>
      <c r="J3850">
        <v>451792</v>
      </c>
      <c r="K3850">
        <v>797368</v>
      </c>
      <c r="L3850">
        <v>14960</v>
      </c>
      <c r="M3850">
        <v>0</v>
      </c>
      <c r="T3850" s="9">
        <v>45108</v>
      </c>
      <c r="U3850" s="9">
        <v>45473</v>
      </c>
      <c r="V3850">
        <f>SUM(POTABLE_NONPOTABLE_API[[#This Row],[RESIDENTIAL_SINGLEFAMILY_GAL]:[OTHER_GAL]])</f>
        <v>29662688</v>
      </c>
      <c r="W3850">
        <f>SUM(POTABLE_NONPOTABLE_API[[#This Row],[NONPOTABLE_DEMAND_RESIDENTIAL_RECYCLED_WATER_GAL]:[NONPOTABLE_DEMAND_NONRESIDENTIAL_METERED_IRRIGATION_GAL]])</f>
        <v>0</v>
      </c>
      <c r="X3850" t="str">
        <f>IFERROR(INDEX(Crosswalk_API!$H$2:$H$527, MATCH(POTABLE_NONPOTABLE_API[[#This Row],[PWSID]], CW_PWSID_LIST, 0)), "")</f>
        <v>No</v>
      </c>
    </row>
    <row r="3851" spans="1:24" x14ac:dyDescent="0.25">
      <c r="A3851" t="s">
        <v>1855</v>
      </c>
      <c r="B3851" t="s">
        <v>1856</v>
      </c>
      <c r="C3851" t="s">
        <v>1860</v>
      </c>
      <c r="D3851" t="s">
        <v>1861</v>
      </c>
      <c r="E3851" s="9">
        <v>45383</v>
      </c>
      <c r="F3851" s="9">
        <v>45412</v>
      </c>
      <c r="G3851">
        <v>31859535</v>
      </c>
      <c r="H3851">
        <v>3373714.52</v>
      </c>
      <c r="I3851">
        <v>2827636.56</v>
      </c>
      <c r="J3851">
        <v>510171.46399999998</v>
      </c>
      <c r="K3851">
        <v>1191646.8359999999</v>
      </c>
      <c r="L3851">
        <v>56103.9</v>
      </c>
      <c r="M3851">
        <v>0</v>
      </c>
      <c r="T3851" s="9">
        <v>45108</v>
      </c>
      <c r="U3851" s="9">
        <v>45473</v>
      </c>
      <c r="V3851">
        <f>SUM(POTABLE_NONPOTABLE_API[[#This Row],[RESIDENTIAL_SINGLEFAMILY_GAL]:[OTHER_GAL]])</f>
        <v>39818808.280000009</v>
      </c>
      <c r="W3851">
        <f>SUM(POTABLE_NONPOTABLE_API[[#This Row],[NONPOTABLE_DEMAND_RESIDENTIAL_RECYCLED_WATER_GAL]:[NONPOTABLE_DEMAND_NONRESIDENTIAL_METERED_IRRIGATION_GAL]])</f>
        <v>0</v>
      </c>
      <c r="X3851" t="str">
        <f>IFERROR(INDEX(Crosswalk_API!$H$2:$H$527, MATCH(POTABLE_NONPOTABLE_API[[#This Row],[PWSID]], CW_PWSID_LIST, 0)), "")</f>
        <v>No</v>
      </c>
    </row>
    <row r="3852" spans="1:24" x14ac:dyDescent="0.25">
      <c r="A3852" t="s">
        <v>1855</v>
      </c>
      <c r="B3852" t="s">
        <v>1856</v>
      </c>
      <c r="C3852" t="s">
        <v>1860</v>
      </c>
      <c r="D3852" t="s">
        <v>1861</v>
      </c>
      <c r="E3852" s="9">
        <v>45413</v>
      </c>
      <c r="F3852" s="9">
        <v>45443</v>
      </c>
      <c r="G3852">
        <v>46651514.93</v>
      </c>
      <c r="H3852">
        <v>4100821.0639999998</v>
      </c>
      <c r="I3852">
        <v>6614275.784</v>
      </c>
      <c r="J3852">
        <v>4492800.3119999999</v>
      </c>
      <c r="K3852">
        <v>1210348.1359999999</v>
      </c>
      <c r="L3852">
        <v>72561</v>
      </c>
      <c r="M3852">
        <v>0</v>
      </c>
      <c r="T3852" s="9">
        <v>45108</v>
      </c>
      <c r="U3852" s="9">
        <v>45473</v>
      </c>
      <c r="V3852">
        <f>SUM(POTABLE_NONPOTABLE_API[[#This Row],[RESIDENTIAL_SINGLEFAMILY_GAL]:[OTHER_GAL]])</f>
        <v>63142321.226000004</v>
      </c>
      <c r="W3852">
        <f>SUM(POTABLE_NONPOTABLE_API[[#This Row],[NONPOTABLE_DEMAND_RESIDENTIAL_RECYCLED_WATER_GAL]:[NONPOTABLE_DEMAND_NONRESIDENTIAL_METERED_IRRIGATION_GAL]])</f>
        <v>0</v>
      </c>
      <c r="X3852" t="str">
        <f>IFERROR(INDEX(Crosswalk_API!$H$2:$H$527, MATCH(POTABLE_NONPOTABLE_API[[#This Row],[PWSID]], CW_PWSID_LIST, 0)), "")</f>
        <v>No</v>
      </c>
    </row>
    <row r="3853" spans="1:24" x14ac:dyDescent="0.25">
      <c r="A3853" t="s">
        <v>1855</v>
      </c>
      <c r="B3853" t="s">
        <v>1856</v>
      </c>
      <c r="C3853" t="s">
        <v>1860</v>
      </c>
      <c r="D3853" t="s">
        <v>1861</v>
      </c>
      <c r="E3853" s="9">
        <v>45444</v>
      </c>
      <c r="F3853" s="9">
        <v>45473</v>
      </c>
      <c r="G3853">
        <v>63861947</v>
      </c>
      <c r="H3853">
        <v>5252821</v>
      </c>
      <c r="I3853">
        <v>10555013</v>
      </c>
      <c r="J3853">
        <v>6909756</v>
      </c>
      <c r="K3853">
        <v>1406337</v>
      </c>
      <c r="L3853">
        <v>2419200</v>
      </c>
      <c r="M3853">
        <v>0</v>
      </c>
      <c r="T3853" s="9">
        <v>45108</v>
      </c>
      <c r="U3853" s="9">
        <v>45473</v>
      </c>
      <c r="V3853">
        <f>SUM(POTABLE_NONPOTABLE_API[[#This Row],[RESIDENTIAL_SINGLEFAMILY_GAL]:[OTHER_GAL]])</f>
        <v>90405074</v>
      </c>
      <c r="W3853">
        <f>SUM(POTABLE_NONPOTABLE_API[[#This Row],[NONPOTABLE_DEMAND_RESIDENTIAL_RECYCLED_WATER_GAL]:[NONPOTABLE_DEMAND_NONRESIDENTIAL_METERED_IRRIGATION_GAL]])</f>
        <v>0</v>
      </c>
      <c r="X3853" t="str">
        <f>IFERROR(INDEX(Crosswalk_API!$H$2:$H$527, MATCH(POTABLE_NONPOTABLE_API[[#This Row],[PWSID]], CW_PWSID_LIST, 0)), "")</f>
        <v>No</v>
      </c>
    </row>
    <row r="3854" spans="1:24" x14ac:dyDescent="0.25">
      <c r="A3854" t="s">
        <v>1862</v>
      </c>
      <c r="B3854" t="s">
        <v>1863</v>
      </c>
      <c r="C3854" t="s">
        <v>1864</v>
      </c>
      <c r="D3854" t="s">
        <v>1865</v>
      </c>
      <c r="E3854" s="9">
        <v>45108</v>
      </c>
      <c r="F3854" s="9">
        <v>45138</v>
      </c>
      <c r="G3854">
        <v>382496937.83999997</v>
      </c>
      <c r="H3854">
        <v>17449321.050000001</v>
      </c>
      <c r="I3854">
        <v>19577128.079999998</v>
      </c>
      <c r="J3854">
        <v>74505831.150000006</v>
      </c>
      <c r="K3854">
        <v>5295078.75</v>
      </c>
      <c r="L3854">
        <v>0</v>
      </c>
      <c r="M3854">
        <v>6490951.9200000009</v>
      </c>
      <c r="N3854">
        <v>0</v>
      </c>
      <c r="O3854">
        <v>0</v>
      </c>
      <c r="P3854">
        <v>0</v>
      </c>
      <c r="Q3854">
        <v>0</v>
      </c>
      <c r="R3854">
        <v>0</v>
      </c>
      <c r="S3854">
        <v>96504032.160000011</v>
      </c>
      <c r="T3854" s="9">
        <v>45108</v>
      </c>
      <c r="U3854" s="9">
        <v>45473</v>
      </c>
      <c r="V3854">
        <f>SUM(POTABLE_NONPOTABLE_API[[#This Row],[RESIDENTIAL_SINGLEFAMILY_GAL]:[OTHER_GAL]])</f>
        <v>499324296.87</v>
      </c>
      <c r="W3854">
        <f>SUM(POTABLE_NONPOTABLE_API[[#This Row],[NONPOTABLE_DEMAND_RESIDENTIAL_RECYCLED_WATER_GAL]:[NONPOTABLE_DEMAND_NONRESIDENTIAL_METERED_IRRIGATION_GAL]])</f>
        <v>96504032.160000011</v>
      </c>
      <c r="X3854" t="str">
        <f>IFERROR(INDEX(Crosswalk_API!$H$2:$H$527, MATCH(POTABLE_NONPOTABLE_API[[#This Row],[PWSID]], CW_PWSID_LIST, 0)), "")</f>
        <v>No</v>
      </c>
    </row>
    <row r="3855" spans="1:24" x14ac:dyDescent="0.25">
      <c r="A3855" t="s">
        <v>1862</v>
      </c>
      <c r="B3855" t="s">
        <v>1863</v>
      </c>
      <c r="C3855" t="s">
        <v>1864</v>
      </c>
      <c r="D3855" t="s">
        <v>1865</v>
      </c>
      <c r="E3855" s="9">
        <v>45139</v>
      </c>
      <c r="F3855" s="9">
        <v>45169</v>
      </c>
      <c r="G3855">
        <v>435086030.73000002</v>
      </c>
      <c r="H3855">
        <v>17775172.050000001</v>
      </c>
      <c r="I3855">
        <v>22226296.709999997</v>
      </c>
      <c r="J3855">
        <v>92505840.390000001</v>
      </c>
      <c r="K3855">
        <v>5246201.1000000006</v>
      </c>
      <c r="L3855">
        <v>0</v>
      </c>
      <c r="M3855">
        <v>8120206.9200000009</v>
      </c>
      <c r="N3855">
        <v>0</v>
      </c>
      <c r="O3855">
        <v>0</v>
      </c>
      <c r="P3855">
        <v>0</v>
      </c>
      <c r="Q3855">
        <v>0</v>
      </c>
      <c r="R3855">
        <v>0</v>
      </c>
      <c r="S3855">
        <v>113708964.95999999</v>
      </c>
      <c r="T3855" s="9">
        <v>45108</v>
      </c>
      <c r="U3855" s="9">
        <v>45473</v>
      </c>
      <c r="V3855">
        <f>SUM(POTABLE_NONPOTABLE_API[[#This Row],[RESIDENTIAL_SINGLEFAMILY_GAL]:[OTHER_GAL]])</f>
        <v>572839540.98000002</v>
      </c>
      <c r="W3855">
        <f>SUM(POTABLE_NONPOTABLE_API[[#This Row],[NONPOTABLE_DEMAND_RESIDENTIAL_RECYCLED_WATER_GAL]:[NONPOTABLE_DEMAND_NONRESIDENTIAL_METERED_IRRIGATION_GAL]])</f>
        <v>113708964.95999999</v>
      </c>
      <c r="X3855" t="str">
        <f>IFERROR(INDEX(Crosswalk_API!$H$2:$H$527, MATCH(POTABLE_NONPOTABLE_API[[#This Row],[PWSID]], CW_PWSID_LIST, 0)), "")</f>
        <v>No</v>
      </c>
    </row>
    <row r="3856" spans="1:24" x14ac:dyDescent="0.25">
      <c r="A3856" t="s">
        <v>1862</v>
      </c>
      <c r="B3856" t="s">
        <v>1863</v>
      </c>
      <c r="C3856" t="s">
        <v>1864</v>
      </c>
      <c r="D3856" t="s">
        <v>1865</v>
      </c>
      <c r="E3856" s="9">
        <v>45170</v>
      </c>
      <c r="F3856" s="9">
        <v>45199</v>
      </c>
      <c r="G3856">
        <v>410679790.82999998</v>
      </c>
      <c r="H3856">
        <v>18101023.050000001</v>
      </c>
      <c r="I3856">
        <v>21548526.629999999</v>
      </c>
      <c r="J3856">
        <v>73417488.810000002</v>
      </c>
      <c r="K3856">
        <v>3040189.83</v>
      </c>
      <c r="L3856">
        <v>0</v>
      </c>
      <c r="M3856">
        <v>6709272.0899999999</v>
      </c>
      <c r="N3856">
        <v>0</v>
      </c>
      <c r="O3856">
        <v>0</v>
      </c>
      <c r="P3856">
        <v>0</v>
      </c>
      <c r="Q3856">
        <v>0</v>
      </c>
      <c r="R3856">
        <v>0</v>
      </c>
      <c r="S3856">
        <v>87275931.839999989</v>
      </c>
      <c r="T3856" s="9">
        <v>45108</v>
      </c>
      <c r="U3856" s="9">
        <v>45473</v>
      </c>
      <c r="V3856">
        <f>SUM(POTABLE_NONPOTABLE_API[[#This Row],[RESIDENTIAL_SINGLEFAMILY_GAL]:[OTHER_GAL]])</f>
        <v>526787019.14999998</v>
      </c>
      <c r="W3856">
        <f>SUM(POTABLE_NONPOTABLE_API[[#This Row],[NONPOTABLE_DEMAND_RESIDENTIAL_RECYCLED_WATER_GAL]:[NONPOTABLE_DEMAND_NONRESIDENTIAL_METERED_IRRIGATION_GAL]])</f>
        <v>87275931.839999989</v>
      </c>
      <c r="X3856" t="str">
        <f>IFERROR(INDEX(Crosswalk_API!$H$2:$H$527, MATCH(POTABLE_NONPOTABLE_API[[#This Row],[PWSID]], CW_PWSID_LIST, 0)), "")</f>
        <v>No</v>
      </c>
    </row>
    <row r="3857" spans="1:24" x14ac:dyDescent="0.25">
      <c r="A3857" t="s">
        <v>1862</v>
      </c>
      <c r="B3857" t="s">
        <v>1863</v>
      </c>
      <c r="C3857" t="s">
        <v>1864</v>
      </c>
      <c r="D3857" t="s">
        <v>1865</v>
      </c>
      <c r="E3857" s="9">
        <v>45200</v>
      </c>
      <c r="F3857" s="9">
        <v>45230</v>
      </c>
      <c r="G3857">
        <v>350948044.01999998</v>
      </c>
      <c r="H3857">
        <v>18641935.710000001</v>
      </c>
      <c r="I3857">
        <v>17576402.939999998</v>
      </c>
      <c r="J3857">
        <v>63811401.330000006</v>
      </c>
      <c r="K3857">
        <v>1749819.87</v>
      </c>
      <c r="L3857">
        <v>0</v>
      </c>
      <c r="M3857">
        <v>5826215.8799999999</v>
      </c>
      <c r="N3857">
        <v>0</v>
      </c>
      <c r="O3857">
        <v>0</v>
      </c>
      <c r="P3857">
        <v>0</v>
      </c>
      <c r="Q3857">
        <v>0</v>
      </c>
      <c r="R3857">
        <v>0</v>
      </c>
      <c r="S3857">
        <v>77096346.599999994</v>
      </c>
      <c r="T3857" s="9">
        <v>45108</v>
      </c>
      <c r="U3857" s="9">
        <v>45473</v>
      </c>
      <c r="V3857">
        <f>SUM(POTABLE_NONPOTABLE_API[[#This Row],[RESIDENTIAL_SINGLEFAMILY_GAL]:[OTHER_GAL]])</f>
        <v>452727603.86999995</v>
      </c>
      <c r="W3857">
        <f>SUM(POTABLE_NONPOTABLE_API[[#This Row],[NONPOTABLE_DEMAND_RESIDENTIAL_RECYCLED_WATER_GAL]:[NONPOTABLE_DEMAND_NONRESIDENTIAL_METERED_IRRIGATION_GAL]])</f>
        <v>77096346.599999994</v>
      </c>
      <c r="X3857" t="str">
        <f>IFERROR(INDEX(Crosswalk_API!$H$2:$H$527, MATCH(POTABLE_NONPOTABLE_API[[#This Row],[PWSID]], CW_PWSID_LIST, 0)), "")</f>
        <v>No</v>
      </c>
    </row>
    <row r="3858" spans="1:24" x14ac:dyDescent="0.25">
      <c r="A3858" t="s">
        <v>1862</v>
      </c>
      <c r="B3858" t="s">
        <v>1863</v>
      </c>
      <c r="C3858" t="s">
        <v>1864</v>
      </c>
      <c r="D3858" t="s">
        <v>1865</v>
      </c>
      <c r="E3858" s="9">
        <v>45231</v>
      </c>
      <c r="F3858" s="9">
        <v>45260</v>
      </c>
      <c r="G3858">
        <v>334404588.75</v>
      </c>
      <c r="H3858">
        <v>17690450.789999999</v>
      </c>
      <c r="I3858">
        <v>17377633.829999998</v>
      </c>
      <c r="J3858">
        <v>56893584.600000001</v>
      </c>
      <c r="K3858">
        <v>2903332.41</v>
      </c>
      <c r="L3858">
        <v>0</v>
      </c>
      <c r="M3858">
        <v>6314992.3799999999</v>
      </c>
      <c r="N3858">
        <v>0</v>
      </c>
      <c r="O3858">
        <v>0</v>
      </c>
      <c r="P3858">
        <v>0</v>
      </c>
      <c r="Q3858">
        <v>0</v>
      </c>
      <c r="R3858">
        <v>0</v>
      </c>
      <c r="S3858">
        <v>68337471.719999999</v>
      </c>
      <c r="T3858" s="9">
        <v>45108</v>
      </c>
      <c r="U3858" s="9">
        <v>45473</v>
      </c>
      <c r="V3858">
        <f>SUM(POTABLE_NONPOTABLE_API[[#This Row],[RESIDENTIAL_SINGLEFAMILY_GAL]:[OTHER_GAL]])</f>
        <v>429269590.38000005</v>
      </c>
      <c r="W3858">
        <f>SUM(POTABLE_NONPOTABLE_API[[#This Row],[NONPOTABLE_DEMAND_RESIDENTIAL_RECYCLED_WATER_GAL]:[NONPOTABLE_DEMAND_NONRESIDENTIAL_METERED_IRRIGATION_GAL]])</f>
        <v>68337471.719999999</v>
      </c>
      <c r="X3858" t="str">
        <f>IFERROR(INDEX(Crosswalk_API!$H$2:$H$527, MATCH(POTABLE_NONPOTABLE_API[[#This Row],[PWSID]], CW_PWSID_LIST, 0)), "")</f>
        <v>No</v>
      </c>
    </row>
    <row r="3859" spans="1:24" x14ac:dyDescent="0.25">
      <c r="A3859" t="s">
        <v>1862</v>
      </c>
      <c r="B3859" t="s">
        <v>1863</v>
      </c>
      <c r="C3859" t="s">
        <v>1864</v>
      </c>
      <c r="D3859" t="s">
        <v>1865</v>
      </c>
      <c r="E3859" s="9">
        <v>45261</v>
      </c>
      <c r="F3859" s="9">
        <v>45291</v>
      </c>
      <c r="G3859">
        <v>314576555.39999998</v>
      </c>
      <c r="H3859">
        <v>18625643.16</v>
      </c>
      <c r="I3859">
        <v>18716881.439999998</v>
      </c>
      <c r="J3859">
        <v>43256720.25</v>
      </c>
      <c r="K3859">
        <v>2235337.8600000003</v>
      </c>
      <c r="L3859">
        <v>0</v>
      </c>
      <c r="M3859">
        <v>4030776.8699999996</v>
      </c>
      <c r="N3859">
        <v>0</v>
      </c>
      <c r="O3859">
        <v>0</v>
      </c>
      <c r="P3859">
        <v>0</v>
      </c>
      <c r="Q3859">
        <v>0</v>
      </c>
      <c r="R3859">
        <v>0</v>
      </c>
      <c r="S3859">
        <v>54560491.439999998</v>
      </c>
      <c r="T3859" s="9">
        <v>45108</v>
      </c>
      <c r="U3859" s="9">
        <v>45473</v>
      </c>
      <c r="V3859">
        <f>SUM(POTABLE_NONPOTABLE_API[[#This Row],[RESIDENTIAL_SINGLEFAMILY_GAL]:[OTHER_GAL]])</f>
        <v>397411138.11000001</v>
      </c>
      <c r="W3859">
        <f>SUM(POTABLE_NONPOTABLE_API[[#This Row],[NONPOTABLE_DEMAND_RESIDENTIAL_RECYCLED_WATER_GAL]:[NONPOTABLE_DEMAND_NONRESIDENTIAL_METERED_IRRIGATION_GAL]])</f>
        <v>54560491.439999998</v>
      </c>
      <c r="X3859" t="str">
        <f>IFERROR(INDEX(Crosswalk_API!$H$2:$H$527, MATCH(POTABLE_NONPOTABLE_API[[#This Row],[PWSID]], CW_PWSID_LIST, 0)), "")</f>
        <v>No</v>
      </c>
    </row>
    <row r="3860" spans="1:24" x14ac:dyDescent="0.25">
      <c r="A3860" t="s">
        <v>1862</v>
      </c>
      <c r="B3860" t="s">
        <v>1863</v>
      </c>
      <c r="C3860" t="s">
        <v>1864</v>
      </c>
      <c r="D3860" t="s">
        <v>1865</v>
      </c>
      <c r="E3860" s="9">
        <v>45292</v>
      </c>
      <c r="F3860" s="9">
        <v>45322</v>
      </c>
      <c r="G3860">
        <v>219001198.59</v>
      </c>
      <c r="H3860">
        <v>15155330.01</v>
      </c>
      <c r="I3860">
        <v>13056849.57</v>
      </c>
      <c r="J3860">
        <v>19277345.16</v>
      </c>
      <c r="K3860">
        <v>752715.81</v>
      </c>
      <c r="L3860">
        <v>0</v>
      </c>
      <c r="M3860">
        <v>1834541.13</v>
      </c>
      <c r="N3860">
        <v>0</v>
      </c>
      <c r="O3860">
        <v>0</v>
      </c>
      <c r="P3860">
        <v>0</v>
      </c>
      <c r="Q3860">
        <v>0</v>
      </c>
      <c r="R3860">
        <v>0</v>
      </c>
      <c r="S3860">
        <v>25745487.510000002</v>
      </c>
      <c r="T3860" s="9">
        <v>45108</v>
      </c>
      <c r="U3860" s="9">
        <v>45473</v>
      </c>
      <c r="V3860">
        <f>SUM(POTABLE_NONPOTABLE_API[[#This Row],[RESIDENTIAL_SINGLEFAMILY_GAL]:[OTHER_GAL]])</f>
        <v>267243439.13999999</v>
      </c>
      <c r="W3860">
        <f>SUM(POTABLE_NONPOTABLE_API[[#This Row],[NONPOTABLE_DEMAND_RESIDENTIAL_RECYCLED_WATER_GAL]:[NONPOTABLE_DEMAND_NONRESIDENTIAL_METERED_IRRIGATION_GAL]])</f>
        <v>25745487.510000002</v>
      </c>
      <c r="X3860" t="str">
        <f>IFERROR(INDEX(Crosswalk_API!$H$2:$H$527, MATCH(POTABLE_NONPOTABLE_API[[#This Row],[PWSID]], CW_PWSID_LIST, 0)), "")</f>
        <v>No</v>
      </c>
    </row>
    <row r="3861" spans="1:24" x14ac:dyDescent="0.25">
      <c r="A3861" t="s">
        <v>1862</v>
      </c>
      <c r="B3861" t="s">
        <v>1863</v>
      </c>
      <c r="C3861" t="s">
        <v>1864</v>
      </c>
      <c r="D3861" t="s">
        <v>1865</v>
      </c>
      <c r="E3861" s="9">
        <v>45323</v>
      </c>
      <c r="F3861" s="9">
        <v>45351</v>
      </c>
      <c r="G3861">
        <v>171602912.13</v>
      </c>
      <c r="H3861">
        <v>15901528.799999999</v>
      </c>
      <c r="I3861">
        <v>14135416.380000001</v>
      </c>
      <c r="J3861">
        <v>10919267.01</v>
      </c>
      <c r="K3861">
        <v>667994.54999999993</v>
      </c>
      <c r="L3861">
        <v>0</v>
      </c>
      <c r="M3861">
        <v>892831.74000000011</v>
      </c>
      <c r="N3861">
        <v>0</v>
      </c>
      <c r="O3861">
        <v>0</v>
      </c>
      <c r="P3861">
        <v>0</v>
      </c>
      <c r="Q3861">
        <v>0</v>
      </c>
      <c r="R3861">
        <v>0</v>
      </c>
      <c r="S3861">
        <v>8253805.8299999991</v>
      </c>
      <c r="T3861" s="9">
        <v>45108</v>
      </c>
      <c r="U3861" s="9">
        <v>45473</v>
      </c>
      <c r="V3861">
        <f>SUM(POTABLE_NONPOTABLE_API[[#This Row],[RESIDENTIAL_SINGLEFAMILY_GAL]:[OTHER_GAL]])</f>
        <v>213227118.87</v>
      </c>
      <c r="W3861">
        <f>SUM(POTABLE_NONPOTABLE_API[[#This Row],[NONPOTABLE_DEMAND_RESIDENTIAL_RECYCLED_WATER_GAL]:[NONPOTABLE_DEMAND_NONRESIDENTIAL_METERED_IRRIGATION_GAL]])</f>
        <v>8253805.8299999991</v>
      </c>
      <c r="X3861" t="str">
        <f>IFERROR(INDEX(Crosswalk_API!$H$2:$H$527, MATCH(POTABLE_NONPOTABLE_API[[#This Row],[PWSID]], CW_PWSID_LIST, 0)), "")</f>
        <v>No</v>
      </c>
    </row>
    <row r="3862" spans="1:24" x14ac:dyDescent="0.25">
      <c r="A3862" t="s">
        <v>1862</v>
      </c>
      <c r="B3862" t="s">
        <v>1863</v>
      </c>
      <c r="C3862" t="s">
        <v>1864</v>
      </c>
      <c r="D3862" t="s">
        <v>1865</v>
      </c>
      <c r="E3862" s="9">
        <v>45352</v>
      </c>
      <c r="F3862" s="9">
        <v>45382</v>
      </c>
      <c r="G3862">
        <v>148923682.53</v>
      </c>
      <c r="H3862">
        <v>16507611.659999998</v>
      </c>
      <c r="I3862">
        <v>14826220.5</v>
      </c>
      <c r="J3862">
        <v>7468504.9200000009</v>
      </c>
      <c r="K3862">
        <v>384504.18</v>
      </c>
      <c r="L3862">
        <v>0</v>
      </c>
      <c r="M3862">
        <v>1283852.94</v>
      </c>
      <c r="N3862">
        <v>0</v>
      </c>
      <c r="O3862">
        <v>0</v>
      </c>
      <c r="P3862">
        <v>0</v>
      </c>
      <c r="Q3862">
        <v>0</v>
      </c>
      <c r="R3862">
        <v>0</v>
      </c>
      <c r="S3862">
        <v>5461262.7600000007</v>
      </c>
      <c r="T3862" s="9">
        <v>45108</v>
      </c>
      <c r="U3862" s="9">
        <v>45473</v>
      </c>
      <c r="V3862">
        <f>SUM(POTABLE_NONPOTABLE_API[[#This Row],[RESIDENTIAL_SINGLEFAMILY_GAL]:[OTHER_GAL]])</f>
        <v>188110523.78999999</v>
      </c>
      <c r="W3862">
        <f>SUM(POTABLE_NONPOTABLE_API[[#This Row],[NONPOTABLE_DEMAND_RESIDENTIAL_RECYCLED_WATER_GAL]:[NONPOTABLE_DEMAND_NONRESIDENTIAL_METERED_IRRIGATION_GAL]])</f>
        <v>5461262.7600000007</v>
      </c>
      <c r="X3862" t="str">
        <f>IFERROR(INDEX(Crosswalk_API!$H$2:$H$527, MATCH(POTABLE_NONPOTABLE_API[[#This Row],[PWSID]], CW_PWSID_LIST, 0)), "")</f>
        <v>No</v>
      </c>
    </row>
    <row r="3863" spans="1:24" x14ac:dyDescent="0.25">
      <c r="A3863" t="s">
        <v>1862</v>
      </c>
      <c r="B3863" t="s">
        <v>1863</v>
      </c>
      <c r="C3863" t="s">
        <v>1864</v>
      </c>
      <c r="D3863" t="s">
        <v>1865</v>
      </c>
      <c r="E3863" s="9">
        <v>45383</v>
      </c>
      <c r="F3863" s="9">
        <v>45412</v>
      </c>
      <c r="G3863">
        <v>179302771.25999999</v>
      </c>
      <c r="H3863">
        <v>15595228.859999999</v>
      </c>
      <c r="I3863">
        <v>13910579.189999999</v>
      </c>
      <c r="J3863">
        <v>20183210.939999998</v>
      </c>
      <c r="K3863">
        <v>843954.09</v>
      </c>
      <c r="L3863">
        <v>0</v>
      </c>
      <c r="M3863">
        <v>1538016.72</v>
      </c>
      <c r="N3863">
        <v>0</v>
      </c>
      <c r="O3863">
        <v>0</v>
      </c>
      <c r="P3863">
        <v>0</v>
      </c>
      <c r="Q3863">
        <v>0</v>
      </c>
      <c r="R3863">
        <v>0</v>
      </c>
      <c r="S3863">
        <v>17797981.619999997</v>
      </c>
      <c r="T3863" s="9">
        <v>45108</v>
      </c>
      <c r="U3863" s="9">
        <v>45473</v>
      </c>
      <c r="V3863">
        <f>SUM(POTABLE_NONPOTABLE_API[[#This Row],[RESIDENTIAL_SINGLEFAMILY_GAL]:[OTHER_GAL]])</f>
        <v>229835744.34</v>
      </c>
      <c r="W3863">
        <f>SUM(POTABLE_NONPOTABLE_API[[#This Row],[NONPOTABLE_DEMAND_RESIDENTIAL_RECYCLED_WATER_GAL]:[NONPOTABLE_DEMAND_NONRESIDENTIAL_METERED_IRRIGATION_GAL]])</f>
        <v>17797981.619999997</v>
      </c>
      <c r="X3863" t="str">
        <f>IFERROR(INDEX(Crosswalk_API!$H$2:$H$527, MATCH(POTABLE_NONPOTABLE_API[[#This Row],[PWSID]], CW_PWSID_LIST, 0)), "")</f>
        <v>No</v>
      </c>
    </row>
    <row r="3864" spans="1:24" x14ac:dyDescent="0.25">
      <c r="A3864" t="s">
        <v>1862</v>
      </c>
      <c r="B3864" t="s">
        <v>1863</v>
      </c>
      <c r="C3864" t="s">
        <v>1864</v>
      </c>
      <c r="D3864" t="s">
        <v>1865</v>
      </c>
      <c r="E3864" s="9">
        <v>45413</v>
      </c>
      <c r="F3864" s="9">
        <v>45443</v>
      </c>
      <c r="G3864">
        <v>273604050.65999997</v>
      </c>
      <c r="H3864">
        <v>17429769.990000002</v>
      </c>
      <c r="I3864">
        <v>16605366.960000001</v>
      </c>
      <c r="J3864">
        <v>51240069.75</v>
      </c>
      <c r="K3864">
        <v>2385229.3200000003</v>
      </c>
      <c r="L3864">
        <v>0</v>
      </c>
      <c r="M3864">
        <v>4105722.6</v>
      </c>
      <c r="N3864">
        <v>0</v>
      </c>
      <c r="O3864">
        <v>0</v>
      </c>
      <c r="P3864">
        <v>0</v>
      </c>
      <c r="Q3864">
        <v>0</v>
      </c>
      <c r="R3864">
        <v>0</v>
      </c>
      <c r="S3864">
        <v>68301628.109999999</v>
      </c>
      <c r="T3864" s="9">
        <v>45108</v>
      </c>
      <c r="U3864" s="9">
        <v>45473</v>
      </c>
      <c r="V3864">
        <f>SUM(POTABLE_NONPOTABLE_API[[#This Row],[RESIDENTIAL_SINGLEFAMILY_GAL]:[OTHER_GAL]])</f>
        <v>361264486.67999995</v>
      </c>
      <c r="W3864">
        <f>SUM(POTABLE_NONPOTABLE_API[[#This Row],[NONPOTABLE_DEMAND_RESIDENTIAL_RECYCLED_WATER_GAL]:[NONPOTABLE_DEMAND_NONRESIDENTIAL_METERED_IRRIGATION_GAL]])</f>
        <v>68301628.109999999</v>
      </c>
      <c r="X3864" t="str">
        <f>IFERROR(INDEX(Crosswalk_API!$H$2:$H$527, MATCH(POTABLE_NONPOTABLE_API[[#This Row],[PWSID]], CW_PWSID_LIST, 0)), "")</f>
        <v>No</v>
      </c>
    </row>
    <row r="3865" spans="1:24" x14ac:dyDescent="0.25">
      <c r="A3865" t="s">
        <v>1862</v>
      </c>
      <c r="B3865" t="s">
        <v>1863</v>
      </c>
      <c r="C3865" t="s">
        <v>1864</v>
      </c>
      <c r="D3865" t="s">
        <v>1865</v>
      </c>
      <c r="E3865" s="9">
        <v>45444</v>
      </c>
      <c r="F3865" s="9">
        <v>45473</v>
      </c>
      <c r="G3865">
        <v>365575495.41000003</v>
      </c>
      <c r="H3865">
        <v>19495665.329999998</v>
      </c>
      <c r="I3865">
        <v>18407322.990000002</v>
      </c>
      <c r="J3865">
        <v>69657168.270000011</v>
      </c>
      <c r="K3865">
        <v>2424331.44</v>
      </c>
      <c r="L3865">
        <v>0</v>
      </c>
      <c r="M3865">
        <v>6038019.0300000003</v>
      </c>
      <c r="N3865">
        <v>0</v>
      </c>
      <c r="O3865">
        <v>0</v>
      </c>
      <c r="P3865">
        <v>0</v>
      </c>
      <c r="Q3865">
        <v>0</v>
      </c>
      <c r="R3865">
        <v>0</v>
      </c>
      <c r="S3865">
        <v>91342552.319999993</v>
      </c>
      <c r="T3865" s="9">
        <v>45108</v>
      </c>
      <c r="U3865" s="9">
        <v>45473</v>
      </c>
      <c r="V3865">
        <f>SUM(POTABLE_NONPOTABLE_API[[#This Row],[RESIDENTIAL_SINGLEFAMILY_GAL]:[OTHER_GAL]])</f>
        <v>475559983.44</v>
      </c>
      <c r="W3865">
        <f>SUM(POTABLE_NONPOTABLE_API[[#This Row],[NONPOTABLE_DEMAND_RESIDENTIAL_RECYCLED_WATER_GAL]:[NONPOTABLE_DEMAND_NONRESIDENTIAL_METERED_IRRIGATION_GAL]])</f>
        <v>91342552.319999993</v>
      </c>
      <c r="X3865" t="str">
        <f>IFERROR(INDEX(Crosswalk_API!$H$2:$H$527, MATCH(POTABLE_NONPOTABLE_API[[#This Row],[PWSID]], CW_PWSID_LIST, 0)), "")</f>
        <v>No</v>
      </c>
    </row>
    <row r="3866" spans="1:24" x14ac:dyDescent="0.25">
      <c r="A3866" t="s">
        <v>1866</v>
      </c>
      <c r="B3866" t="s">
        <v>1867</v>
      </c>
      <c r="C3866" t="s">
        <v>1868</v>
      </c>
      <c r="D3866" t="s">
        <v>1869</v>
      </c>
      <c r="E3866" s="9">
        <v>45108</v>
      </c>
      <c r="F3866" s="9">
        <v>45138</v>
      </c>
      <c r="G3866">
        <v>408203323.23000002</v>
      </c>
      <c r="H3866">
        <v>155773070.55000001</v>
      </c>
      <c r="I3866">
        <v>159689799.56999999</v>
      </c>
      <c r="J3866">
        <v>163179663.78</v>
      </c>
      <c r="K3866">
        <v>57144489.870000005</v>
      </c>
      <c r="L3866">
        <v>18179227.289999999</v>
      </c>
      <c r="M3866">
        <v>0</v>
      </c>
      <c r="N3866">
        <v>0</v>
      </c>
      <c r="O3866">
        <v>0</v>
      </c>
      <c r="P3866">
        <v>33387804.916000001</v>
      </c>
      <c r="Q3866">
        <v>42141509.420000002</v>
      </c>
      <c r="R3866">
        <v>0</v>
      </c>
      <c r="S3866">
        <v>133606575.51200001</v>
      </c>
      <c r="T3866" s="9">
        <v>45108</v>
      </c>
      <c r="U3866" s="9">
        <v>45473</v>
      </c>
      <c r="V3866">
        <f>SUM(POTABLE_NONPOTABLE_API[[#This Row],[RESIDENTIAL_SINGLEFAMILY_GAL]:[OTHER_GAL]])</f>
        <v>962169574.28999984</v>
      </c>
      <c r="W3866">
        <f>SUM(POTABLE_NONPOTABLE_API[[#This Row],[NONPOTABLE_DEMAND_RESIDENTIAL_RECYCLED_WATER_GAL]:[NONPOTABLE_DEMAND_NONRESIDENTIAL_METERED_IRRIGATION_GAL]])</f>
        <v>209135889.84799999</v>
      </c>
      <c r="X3866" t="str">
        <f>IFERROR(INDEX(Crosswalk_API!$H$2:$H$527, MATCH(POTABLE_NONPOTABLE_API[[#This Row],[PWSID]], CW_PWSID_LIST, 0)), "")</f>
        <v>No</v>
      </c>
    </row>
    <row r="3867" spans="1:24" x14ac:dyDescent="0.25">
      <c r="A3867" t="s">
        <v>1866</v>
      </c>
      <c r="B3867" t="s">
        <v>1867</v>
      </c>
      <c r="C3867" t="s">
        <v>1868</v>
      </c>
      <c r="D3867" t="s">
        <v>1869</v>
      </c>
      <c r="E3867" s="9">
        <v>45139</v>
      </c>
      <c r="F3867" s="9">
        <v>45169</v>
      </c>
      <c r="G3867">
        <v>409210202.81999999</v>
      </c>
      <c r="H3867">
        <v>152201743.59</v>
      </c>
      <c r="I3867">
        <v>161622096</v>
      </c>
      <c r="J3867">
        <v>173932746.78</v>
      </c>
      <c r="K3867">
        <v>57998219.490000002</v>
      </c>
      <c r="L3867">
        <v>11267927.58</v>
      </c>
      <c r="M3867">
        <v>0</v>
      </c>
      <c r="N3867">
        <v>0</v>
      </c>
      <c r="O3867">
        <v>0</v>
      </c>
      <c r="P3867">
        <v>39512854.692000002</v>
      </c>
      <c r="Q3867">
        <v>40237717.079999998</v>
      </c>
      <c r="R3867">
        <v>0</v>
      </c>
      <c r="S3867">
        <v>134398014.528</v>
      </c>
      <c r="T3867" s="9">
        <v>45108</v>
      </c>
      <c r="U3867" s="9">
        <v>45473</v>
      </c>
      <c r="V3867">
        <f>SUM(POTABLE_NONPOTABLE_API[[#This Row],[RESIDENTIAL_SINGLEFAMILY_GAL]:[OTHER_GAL]])</f>
        <v>966232936.25999999</v>
      </c>
      <c r="W3867">
        <f>SUM(POTABLE_NONPOTABLE_API[[#This Row],[NONPOTABLE_DEMAND_RESIDENTIAL_RECYCLED_WATER_GAL]:[NONPOTABLE_DEMAND_NONRESIDENTIAL_METERED_IRRIGATION_GAL]])</f>
        <v>214148586.30000001</v>
      </c>
      <c r="X3867" t="str">
        <f>IFERROR(INDEX(Crosswalk_API!$H$2:$H$527, MATCH(POTABLE_NONPOTABLE_API[[#This Row],[PWSID]], CW_PWSID_LIST, 0)), "")</f>
        <v>No</v>
      </c>
    </row>
    <row r="3868" spans="1:24" x14ac:dyDescent="0.25">
      <c r="A3868" t="s">
        <v>1866</v>
      </c>
      <c r="B3868" t="s">
        <v>1867</v>
      </c>
      <c r="C3868" t="s">
        <v>1868</v>
      </c>
      <c r="D3868" t="s">
        <v>1869</v>
      </c>
      <c r="E3868" s="9">
        <v>45170</v>
      </c>
      <c r="F3868" s="9">
        <v>45199</v>
      </c>
      <c r="G3868">
        <v>371470140</v>
      </c>
      <c r="H3868">
        <v>153658297.56</v>
      </c>
      <c r="I3868">
        <v>158112680.73000002</v>
      </c>
      <c r="J3868">
        <v>170859971.84999999</v>
      </c>
      <c r="K3868">
        <v>59353759.649999999</v>
      </c>
      <c r="L3868">
        <v>11551417.950000001</v>
      </c>
      <c r="M3868">
        <v>0</v>
      </c>
      <c r="N3868">
        <v>0</v>
      </c>
      <c r="O3868">
        <v>0</v>
      </c>
      <c r="P3868">
        <v>42233519.816</v>
      </c>
      <c r="Q3868">
        <v>45587036.932000004</v>
      </c>
      <c r="R3868">
        <v>0</v>
      </c>
      <c r="S3868">
        <v>123042585.168</v>
      </c>
      <c r="T3868" s="9">
        <v>45108</v>
      </c>
      <c r="U3868" s="9">
        <v>45473</v>
      </c>
      <c r="V3868">
        <f>SUM(POTABLE_NONPOTABLE_API[[#This Row],[RESIDENTIAL_SINGLEFAMILY_GAL]:[OTHER_GAL]])</f>
        <v>925006267.74000001</v>
      </c>
      <c r="W3868">
        <f>SUM(POTABLE_NONPOTABLE_API[[#This Row],[NONPOTABLE_DEMAND_RESIDENTIAL_RECYCLED_WATER_GAL]:[NONPOTABLE_DEMAND_NONRESIDENTIAL_METERED_IRRIGATION_GAL]])</f>
        <v>210863141.91600001</v>
      </c>
      <c r="X3868" t="str">
        <f>IFERROR(INDEX(Crosswalk_API!$H$2:$H$527, MATCH(POTABLE_NONPOTABLE_API[[#This Row],[PWSID]], CW_PWSID_LIST, 0)), "")</f>
        <v>No</v>
      </c>
    </row>
    <row r="3869" spans="1:24" x14ac:dyDescent="0.25">
      <c r="A3869" t="s">
        <v>1866</v>
      </c>
      <c r="B3869" t="s">
        <v>1867</v>
      </c>
      <c r="C3869" t="s">
        <v>1868</v>
      </c>
      <c r="D3869" t="s">
        <v>1869</v>
      </c>
      <c r="E3869" s="9">
        <v>45200</v>
      </c>
      <c r="F3869" s="9">
        <v>45230</v>
      </c>
      <c r="G3869">
        <v>349520816.64000005</v>
      </c>
      <c r="H3869">
        <v>144870096.09</v>
      </c>
      <c r="I3869">
        <v>153857066.67000002</v>
      </c>
      <c r="J3869">
        <v>148728171.93000001</v>
      </c>
      <c r="K3869">
        <v>57085836.689999998</v>
      </c>
      <c r="L3869">
        <v>11049607.409999998</v>
      </c>
      <c r="M3869">
        <v>0</v>
      </c>
      <c r="N3869">
        <v>0</v>
      </c>
      <c r="O3869">
        <v>0</v>
      </c>
      <c r="P3869">
        <v>30061965.723999999</v>
      </c>
      <c r="Q3869">
        <v>39067015.700000003</v>
      </c>
      <c r="R3869">
        <v>0</v>
      </c>
      <c r="S3869">
        <v>107808506.18800001</v>
      </c>
      <c r="T3869" s="9">
        <v>45108</v>
      </c>
      <c r="U3869" s="9">
        <v>45473</v>
      </c>
      <c r="V3869">
        <f>SUM(POTABLE_NONPOTABLE_API[[#This Row],[RESIDENTIAL_SINGLEFAMILY_GAL]:[OTHER_GAL]])</f>
        <v>865111595.43000019</v>
      </c>
      <c r="W3869">
        <f>SUM(POTABLE_NONPOTABLE_API[[#This Row],[NONPOTABLE_DEMAND_RESIDENTIAL_RECYCLED_WATER_GAL]:[NONPOTABLE_DEMAND_NONRESIDENTIAL_METERED_IRRIGATION_GAL]])</f>
        <v>176937487.61199999</v>
      </c>
      <c r="X3869" t="str">
        <f>IFERROR(INDEX(Crosswalk_API!$H$2:$H$527, MATCH(POTABLE_NONPOTABLE_API[[#This Row],[PWSID]], CW_PWSID_LIST, 0)), "")</f>
        <v>No</v>
      </c>
    </row>
    <row r="3870" spans="1:24" x14ac:dyDescent="0.25">
      <c r="A3870" t="s">
        <v>1866</v>
      </c>
      <c r="B3870" t="s">
        <v>1867</v>
      </c>
      <c r="C3870" t="s">
        <v>1868</v>
      </c>
      <c r="D3870" t="s">
        <v>1869</v>
      </c>
      <c r="E3870" s="9">
        <v>45231</v>
      </c>
      <c r="F3870" s="9">
        <v>45260</v>
      </c>
      <c r="G3870">
        <v>324208710.96000004</v>
      </c>
      <c r="H3870">
        <v>134081169.48</v>
      </c>
      <c r="I3870">
        <v>135749526.59999999</v>
      </c>
      <c r="J3870">
        <v>129424758.69</v>
      </c>
      <c r="K3870">
        <v>55554336.990000002</v>
      </c>
      <c r="L3870">
        <v>7191531.5700000003</v>
      </c>
      <c r="M3870">
        <v>0</v>
      </c>
      <c r="N3870">
        <v>0</v>
      </c>
      <c r="O3870">
        <v>0</v>
      </c>
      <c r="P3870">
        <v>28112542.212000001</v>
      </c>
      <c r="Q3870">
        <v>35219036.211999997</v>
      </c>
      <c r="R3870">
        <v>0</v>
      </c>
      <c r="S3870">
        <v>93196806.472000003</v>
      </c>
      <c r="T3870" s="9">
        <v>45108</v>
      </c>
      <c r="U3870" s="9">
        <v>45473</v>
      </c>
      <c r="V3870">
        <f>SUM(POTABLE_NONPOTABLE_API[[#This Row],[RESIDENTIAL_SINGLEFAMILY_GAL]:[OTHER_GAL]])</f>
        <v>786210034.29000008</v>
      </c>
      <c r="W3870">
        <f>SUM(POTABLE_NONPOTABLE_API[[#This Row],[NONPOTABLE_DEMAND_RESIDENTIAL_RECYCLED_WATER_GAL]:[NONPOTABLE_DEMAND_NONRESIDENTIAL_METERED_IRRIGATION_GAL]])</f>
        <v>156528384.896</v>
      </c>
      <c r="X3870" t="str">
        <f>IFERROR(INDEX(Crosswalk_API!$H$2:$H$527, MATCH(POTABLE_NONPOTABLE_API[[#This Row],[PWSID]], CW_PWSID_LIST, 0)), "")</f>
        <v>No</v>
      </c>
    </row>
    <row r="3871" spans="1:24" x14ac:dyDescent="0.25">
      <c r="A3871" t="s">
        <v>1866</v>
      </c>
      <c r="B3871" t="s">
        <v>1867</v>
      </c>
      <c r="C3871" t="s">
        <v>1868</v>
      </c>
      <c r="D3871" t="s">
        <v>1869</v>
      </c>
      <c r="E3871" s="9">
        <v>45261</v>
      </c>
      <c r="F3871" s="9">
        <v>45291</v>
      </c>
      <c r="G3871">
        <v>309157653.26999998</v>
      </c>
      <c r="H3871">
        <v>141829906.25999999</v>
      </c>
      <c r="I3871">
        <v>135648512.79000002</v>
      </c>
      <c r="J3871">
        <v>119975079.69</v>
      </c>
      <c r="K3871">
        <v>57571354.68</v>
      </c>
      <c r="L3871">
        <v>9563726.8499999996</v>
      </c>
      <c r="M3871">
        <v>0</v>
      </c>
      <c r="N3871">
        <v>0</v>
      </c>
      <c r="O3871">
        <v>0</v>
      </c>
      <c r="P3871">
        <v>24387243.252</v>
      </c>
      <c r="Q3871">
        <v>31723389.216000002</v>
      </c>
      <c r="R3871">
        <v>0</v>
      </c>
      <c r="S3871">
        <v>75119381.840000004</v>
      </c>
      <c r="T3871" s="9">
        <v>45108</v>
      </c>
      <c r="U3871" s="9">
        <v>45473</v>
      </c>
      <c r="V3871">
        <f>SUM(POTABLE_NONPOTABLE_API[[#This Row],[RESIDENTIAL_SINGLEFAMILY_GAL]:[OTHER_GAL]])</f>
        <v>773746233.53999996</v>
      </c>
      <c r="W3871">
        <f>SUM(POTABLE_NONPOTABLE_API[[#This Row],[NONPOTABLE_DEMAND_RESIDENTIAL_RECYCLED_WATER_GAL]:[NONPOTABLE_DEMAND_NONRESIDENTIAL_METERED_IRRIGATION_GAL]])</f>
        <v>131230014.308</v>
      </c>
      <c r="X3871" t="str">
        <f>IFERROR(INDEX(Crosswalk_API!$H$2:$H$527, MATCH(POTABLE_NONPOTABLE_API[[#This Row],[PWSID]], CW_PWSID_LIST, 0)), "")</f>
        <v>No</v>
      </c>
    </row>
    <row r="3872" spans="1:24" x14ac:dyDescent="0.25">
      <c r="A3872" t="s">
        <v>1866</v>
      </c>
      <c r="B3872" t="s">
        <v>1867</v>
      </c>
      <c r="C3872" t="s">
        <v>1868</v>
      </c>
      <c r="D3872" t="s">
        <v>1869</v>
      </c>
      <c r="E3872" s="9">
        <v>45292</v>
      </c>
      <c r="F3872" s="9">
        <v>45322</v>
      </c>
      <c r="G3872">
        <v>260765521.25999999</v>
      </c>
      <c r="H3872">
        <v>127492462.25999999</v>
      </c>
      <c r="I3872">
        <v>117449734.44</v>
      </c>
      <c r="J3872">
        <v>72850508.069999993</v>
      </c>
      <c r="K3872">
        <v>54580042.5</v>
      </c>
      <c r="L3872">
        <v>3405142.9499999997</v>
      </c>
      <c r="M3872">
        <v>0</v>
      </c>
      <c r="N3872">
        <v>0</v>
      </c>
      <c r="O3872">
        <v>0</v>
      </c>
      <c r="P3872">
        <v>12728852.832</v>
      </c>
      <c r="Q3872">
        <v>29842038.436000001</v>
      </c>
      <c r="R3872">
        <v>0</v>
      </c>
      <c r="S3872">
        <v>37124324.656000003</v>
      </c>
      <c r="T3872" s="9">
        <v>45108</v>
      </c>
      <c r="U3872" s="9">
        <v>45473</v>
      </c>
      <c r="V3872">
        <f>SUM(POTABLE_NONPOTABLE_API[[#This Row],[RESIDENTIAL_SINGLEFAMILY_GAL]:[OTHER_GAL]])</f>
        <v>636543411.48000002</v>
      </c>
      <c r="W3872">
        <f>SUM(POTABLE_NONPOTABLE_API[[#This Row],[NONPOTABLE_DEMAND_RESIDENTIAL_RECYCLED_WATER_GAL]:[NONPOTABLE_DEMAND_NONRESIDENTIAL_METERED_IRRIGATION_GAL]])</f>
        <v>79695215.923999995</v>
      </c>
      <c r="X3872" t="str">
        <f>IFERROR(INDEX(Crosswalk_API!$H$2:$H$527, MATCH(POTABLE_NONPOTABLE_API[[#This Row],[PWSID]], CW_PWSID_LIST, 0)), "")</f>
        <v>No</v>
      </c>
    </row>
    <row r="3873" spans="1:24" x14ac:dyDescent="0.25">
      <c r="A3873" t="s">
        <v>1866</v>
      </c>
      <c r="B3873" t="s">
        <v>1867</v>
      </c>
      <c r="C3873" t="s">
        <v>1868</v>
      </c>
      <c r="D3873" t="s">
        <v>1869</v>
      </c>
      <c r="E3873" s="9">
        <v>45323</v>
      </c>
      <c r="F3873" s="9">
        <v>45351</v>
      </c>
      <c r="G3873">
        <v>230050806</v>
      </c>
      <c r="H3873">
        <v>120910272.06</v>
      </c>
      <c r="I3873">
        <v>116159364.48</v>
      </c>
      <c r="J3873">
        <v>38860990.260000005</v>
      </c>
      <c r="K3873">
        <v>56251658.129999995</v>
      </c>
      <c r="L3873">
        <v>2140841.0700000003</v>
      </c>
      <c r="M3873">
        <v>0</v>
      </c>
      <c r="N3873">
        <v>0</v>
      </c>
      <c r="O3873">
        <v>0</v>
      </c>
      <c r="P3873">
        <v>4557132.784</v>
      </c>
      <c r="Q3873">
        <v>26094297.916000001</v>
      </c>
      <c r="R3873">
        <v>0</v>
      </c>
      <c r="S3873">
        <v>20428552.068</v>
      </c>
      <c r="T3873" s="9">
        <v>45108</v>
      </c>
      <c r="U3873" s="9">
        <v>45473</v>
      </c>
      <c r="V3873">
        <f>SUM(POTABLE_NONPOTABLE_API[[#This Row],[RESIDENTIAL_SINGLEFAMILY_GAL]:[OTHER_GAL]])</f>
        <v>564373932.00000012</v>
      </c>
      <c r="W3873">
        <f>SUM(POTABLE_NONPOTABLE_API[[#This Row],[NONPOTABLE_DEMAND_RESIDENTIAL_RECYCLED_WATER_GAL]:[NONPOTABLE_DEMAND_NONRESIDENTIAL_METERED_IRRIGATION_GAL]])</f>
        <v>51079982.768000007</v>
      </c>
      <c r="X3873" t="str">
        <f>IFERROR(INDEX(Crosswalk_API!$H$2:$H$527, MATCH(POTABLE_NONPOTABLE_API[[#This Row],[PWSID]], CW_PWSID_LIST, 0)), "")</f>
        <v>No</v>
      </c>
    </row>
    <row r="3874" spans="1:24" x14ac:dyDescent="0.25">
      <c r="A3874" t="s">
        <v>1866</v>
      </c>
      <c r="B3874" t="s">
        <v>1867</v>
      </c>
      <c r="C3874" t="s">
        <v>1868</v>
      </c>
      <c r="D3874" t="s">
        <v>1869</v>
      </c>
      <c r="E3874" s="9">
        <v>45352</v>
      </c>
      <c r="F3874" s="9">
        <v>45382</v>
      </c>
      <c r="G3874">
        <v>205963900.08000001</v>
      </c>
      <c r="H3874">
        <v>107866456.52999999</v>
      </c>
      <c r="I3874">
        <v>102180356.58</v>
      </c>
      <c r="J3874">
        <v>27127095.75</v>
      </c>
      <c r="K3874">
        <v>52901909.850000001</v>
      </c>
      <c r="L3874">
        <v>2052861.3</v>
      </c>
      <c r="M3874">
        <v>0</v>
      </c>
      <c r="N3874">
        <v>0</v>
      </c>
      <c r="O3874">
        <v>0</v>
      </c>
      <c r="P3874">
        <v>2729641.7480000001</v>
      </c>
      <c r="Q3874">
        <v>31150381.384</v>
      </c>
      <c r="R3874">
        <v>0</v>
      </c>
      <c r="S3874">
        <v>18306328.544</v>
      </c>
      <c r="T3874" s="9">
        <v>45108</v>
      </c>
      <c r="U3874" s="9">
        <v>45473</v>
      </c>
      <c r="V3874">
        <f>SUM(POTABLE_NONPOTABLE_API[[#This Row],[RESIDENTIAL_SINGLEFAMILY_GAL]:[OTHER_GAL]])</f>
        <v>498092580.09000003</v>
      </c>
      <c r="W3874">
        <f>SUM(POTABLE_NONPOTABLE_API[[#This Row],[NONPOTABLE_DEMAND_RESIDENTIAL_RECYCLED_WATER_GAL]:[NONPOTABLE_DEMAND_NONRESIDENTIAL_METERED_IRRIGATION_GAL]])</f>
        <v>52186351.675999999</v>
      </c>
      <c r="X3874" t="str">
        <f>IFERROR(INDEX(Crosswalk_API!$H$2:$H$527, MATCH(POTABLE_NONPOTABLE_API[[#This Row],[PWSID]], CW_PWSID_LIST, 0)), "")</f>
        <v>No</v>
      </c>
    </row>
    <row r="3875" spans="1:24" x14ac:dyDescent="0.25">
      <c r="A3875" t="s">
        <v>1866</v>
      </c>
      <c r="B3875" t="s">
        <v>1867</v>
      </c>
      <c r="C3875" t="s">
        <v>1868</v>
      </c>
      <c r="D3875" t="s">
        <v>1869</v>
      </c>
      <c r="E3875" s="9">
        <v>45383</v>
      </c>
      <c r="F3875" s="9">
        <v>45412</v>
      </c>
      <c r="G3875">
        <v>220601127</v>
      </c>
      <c r="H3875">
        <v>112744446</v>
      </c>
      <c r="I3875">
        <v>111972179.13</v>
      </c>
      <c r="J3875">
        <v>54417117</v>
      </c>
      <c r="K3875">
        <v>52677072.659999996</v>
      </c>
      <c r="L3875">
        <v>5213616</v>
      </c>
      <c r="M3875">
        <v>0</v>
      </c>
      <c r="N3875">
        <v>0</v>
      </c>
      <c r="O3875">
        <v>0</v>
      </c>
      <c r="P3875">
        <v>6855896.5800000001</v>
      </c>
      <c r="Q3875">
        <v>31694963.240000002</v>
      </c>
      <c r="R3875">
        <v>0</v>
      </c>
      <c r="S3875">
        <v>40000584.596000001</v>
      </c>
      <c r="T3875" s="9">
        <v>45108</v>
      </c>
      <c r="U3875" s="9">
        <v>45473</v>
      </c>
      <c r="V3875">
        <f>SUM(POTABLE_NONPOTABLE_API[[#This Row],[RESIDENTIAL_SINGLEFAMILY_GAL]:[OTHER_GAL]])</f>
        <v>557625557.78999996</v>
      </c>
      <c r="W3875">
        <f>SUM(POTABLE_NONPOTABLE_API[[#This Row],[NONPOTABLE_DEMAND_RESIDENTIAL_RECYCLED_WATER_GAL]:[NONPOTABLE_DEMAND_NONRESIDENTIAL_METERED_IRRIGATION_GAL]])</f>
        <v>78551444.416000009</v>
      </c>
      <c r="X3875" t="str">
        <f>IFERROR(INDEX(Crosswalk_API!$H$2:$H$527, MATCH(POTABLE_NONPOTABLE_API[[#This Row],[PWSID]], CW_PWSID_LIST, 0)), "")</f>
        <v>No</v>
      </c>
    </row>
    <row r="3876" spans="1:24" x14ac:dyDescent="0.25">
      <c r="A3876" t="s">
        <v>1866</v>
      </c>
      <c r="B3876" t="s">
        <v>1867</v>
      </c>
      <c r="C3876" t="s">
        <v>1868</v>
      </c>
      <c r="D3876" t="s">
        <v>1869</v>
      </c>
      <c r="E3876" s="9">
        <v>45413</v>
      </c>
      <c r="F3876" s="9">
        <v>45443</v>
      </c>
      <c r="G3876">
        <v>309173945.81999999</v>
      </c>
      <c r="H3876">
        <v>141829906.25999999</v>
      </c>
      <c r="I3876">
        <v>132947208</v>
      </c>
      <c r="J3876">
        <v>94170939</v>
      </c>
      <c r="K3876">
        <v>58979031</v>
      </c>
      <c r="L3876">
        <v>10753083</v>
      </c>
      <c r="M3876">
        <v>0</v>
      </c>
      <c r="N3876">
        <v>0</v>
      </c>
      <c r="O3876">
        <v>0</v>
      </c>
      <c r="P3876">
        <v>16752624.540000001</v>
      </c>
      <c r="Q3876">
        <v>31814651.560000002</v>
      </c>
      <c r="R3876">
        <v>0</v>
      </c>
      <c r="S3876">
        <v>67837095.620000005</v>
      </c>
      <c r="T3876" s="9">
        <v>45108</v>
      </c>
      <c r="U3876" s="9">
        <v>45473</v>
      </c>
      <c r="V3876">
        <f>SUM(POTABLE_NONPOTABLE_API[[#This Row],[RESIDENTIAL_SINGLEFAMILY_GAL]:[OTHER_GAL]])</f>
        <v>747854113.07999992</v>
      </c>
      <c r="W3876">
        <f>SUM(POTABLE_NONPOTABLE_API[[#This Row],[NONPOTABLE_DEMAND_RESIDENTIAL_RECYCLED_WATER_GAL]:[NONPOTABLE_DEMAND_NONRESIDENTIAL_METERED_IRRIGATION_GAL]])</f>
        <v>116404371.72</v>
      </c>
      <c r="X3876" t="str">
        <f>IFERROR(INDEX(Crosswalk_API!$H$2:$H$527, MATCH(POTABLE_NONPOTABLE_API[[#This Row],[PWSID]], CW_PWSID_LIST, 0)), "")</f>
        <v>No</v>
      </c>
    </row>
    <row r="3877" spans="1:24" x14ac:dyDescent="0.25">
      <c r="A3877" t="s">
        <v>1866</v>
      </c>
      <c r="B3877" t="s">
        <v>1867</v>
      </c>
      <c r="C3877" t="s">
        <v>1868</v>
      </c>
      <c r="D3877" t="s">
        <v>1869</v>
      </c>
      <c r="E3877" s="9">
        <v>45444</v>
      </c>
      <c r="F3877" s="9">
        <v>45473</v>
      </c>
      <c r="G3877">
        <v>377143205.91000003</v>
      </c>
      <c r="H3877">
        <v>152361410.57999998</v>
      </c>
      <c r="I3877">
        <v>155492838.69</v>
      </c>
      <c r="J3877">
        <v>141357422.31</v>
      </c>
      <c r="K3877">
        <v>65196268.080000006</v>
      </c>
      <c r="L3877">
        <v>17566627.41</v>
      </c>
      <c r="M3877">
        <v>0</v>
      </c>
      <c r="N3877">
        <v>0</v>
      </c>
      <c r="O3877">
        <v>0</v>
      </c>
      <c r="P3877">
        <v>30869113.832000002</v>
      </c>
      <c r="Q3877">
        <v>34274994.588</v>
      </c>
      <c r="R3877">
        <v>0</v>
      </c>
      <c r="S3877">
        <v>114571644.32000001</v>
      </c>
      <c r="T3877" s="9">
        <v>45108</v>
      </c>
      <c r="U3877" s="9">
        <v>45473</v>
      </c>
      <c r="V3877">
        <f>SUM(POTABLE_NONPOTABLE_API[[#This Row],[RESIDENTIAL_SINGLEFAMILY_GAL]:[OTHER_GAL]])</f>
        <v>909117772.98000002</v>
      </c>
      <c r="W3877">
        <f>SUM(POTABLE_NONPOTABLE_API[[#This Row],[NONPOTABLE_DEMAND_RESIDENTIAL_RECYCLED_WATER_GAL]:[NONPOTABLE_DEMAND_NONRESIDENTIAL_METERED_IRRIGATION_GAL]])</f>
        <v>179715752.74000001</v>
      </c>
      <c r="X3877" t="str">
        <f>IFERROR(INDEX(Crosswalk_API!$H$2:$H$527, MATCH(POTABLE_NONPOTABLE_API[[#This Row],[PWSID]], CW_PWSID_LIST, 0)), "")</f>
        <v>No</v>
      </c>
    </row>
    <row r="3878" spans="1:24" x14ac:dyDescent="0.25">
      <c r="A3878" t="s">
        <v>1870</v>
      </c>
      <c r="B3878" t="s">
        <v>1871</v>
      </c>
      <c r="C3878" t="s">
        <v>1872</v>
      </c>
      <c r="D3878" t="s">
        <v>1873</v>
      </c>
      <c r="E3878" s="9">
        <v>45108</v>
      </c>
      <c r="F3878" s="9">
        <v>45138</v>
      </c>
      <c r="G3878">
        <v>247223153.70000002</v>
      </c>
      <c r="H3878">
        <v>151129693.80000001</v>
      </c>
      <c r="I3878">
        <v>225000115.5</v>
      </c>
      <c r="J3878">
        <v>0</v>
      </c>
      <c r="K3878">
        <v>0</v>
      </c>
      <c r="L3878">
        <v>0</v>
      </c>
      <c r="M3878">
        <v>32617685.099999998</v>
      </c>
      <c r="T3878" s="9">
        <v>45108</v>
      </c>
      <c r="U3878" s="9">
        <v>45473</v>
      </c>
      <c r="V3878">
        <f>SUM(POTABLE_NONPOTABLE_API[[#This Row],[RESIDENTIAL_SINGLEFAMILY_GAL]:[OTHER_GAL]])</f>
        <v>623352963</v>
      </c>
      <c r="W3878">
        <f>SUM(POTABLE_NONPOTABLE_API[[#This Row],[NONPOTABLE_DEMAND_RESIDENTIAL_RECYCLED_WATER_GAL]:[NONPOTABLE_DEMAND_NONRESIDENTIAL_METERED_IRRIGATION_GAL]])</f>
        <v>0</v>
      </c>
      <c r="X3878" t="str">
        <f>IFERROR(INDEX(Crosswalk_API!$H$2:$H$527, MATCH(POTABLE_NONPOTABLE_API[[#This Row],[PWSID]], CW_PWSID_LIST, 0)), "")</f>
        <v>No</v>
      </c>
    </row>
    <row r="3879" spans="1:24" x14ac:dyDescent="0.25">
      <c r="A3879" t="s">
        <v>1870</v>
      </c>
      <c r="B3879" t="s">
        <v>1871</v>
      </c>
      <c r="C3879" t="s">
        <v>1872</v>
      </c>
      <c r="D3879" t="s">
        <v>1873</v>
      </c>
      <c r="E3879" s="9">
        <v>45139</v>
      </c>
      <c r="F3879" s="9">
        <v>45169</v>
      </c>
      <c r="G3879">
        <v>394963997.09999996</v>
      </c>
      <c r="H3879">
        <v>92639439.299999997</v>
      </c>
      <c r="I3879">
        <v>223207935</v>
      </c>
      <c r="J3879">
        <v>0</v>
      </c>
      <c r="K3879">
        <v>0</v>
      </c>
      <c r="L3879">
        <v>0</v>
      </c>
      <c r="M3879">
        <v>7624913.3999999994</v>
      </c>
      <c r="T3879" s="9">
        <v>45108</v>
      </c>
      <c r="U3879" s="9">
        <v>45473</v>
      </c>
      <c r="V3879">
        <f>SUM(POTABLE_NONPOTABLE_API[[#This Row],[RESIDENTIAL_SINGLEFAMILY_GAL]:[OTHER_GAL]])</f>
        <v>710811371.39999998</v>
      </c>
      <c r="W3879">
        <f>SUM(POTABLE_NONPOTABLE_API[[#This Row],[NONPOTABLE_DEMAND_RESIDENTIAL_RECYCLED_WATER_GAL]:[NONPOTABLE_DEMAND_NONRESIDENTIAL_METERED_IRRIGATION_GAL]])</f>
        <v>0</v>
      </c>
      <c r="X3879" t="str">
        <f>IFERROR(INDEX(Crosswalk_API!$H$2:$H$527, MATCH(POTABLE_NONPOTABLE_API[[#This Row],[PWSID]], CW_PWSID_LIST, 0)), "")</f>
        <v>No</v>
      </c>
    </row>
    <row r="3880" spans="1:24" x14ac:dyDescent="0.25">
      <c r="A3880" t="s">
        <v>1870</v>
      </c>
      <c r="B3880" t="s">
        <v>1871</v>
      </c>
      <c r="C3880" t="s">
        <v>1872</v>
      </c>
      <c r="D3880" t="s">
        <v>1873</v>
      </c>
      <c r="E3880" s="9">
        <v>45170</v>
      </c>
      <c r="F3880" s="9">
        <v>45199</v>
      </c>
      <c r="G3880">
        <v>278928456</v>
      </c>
      <c r="H3880">
        <v>160514202.59999999</v>
      </c>
      <c r="I3880">
        <v>277918317.89999998</v>
      </c>
      <c r="J3880">
        <v>0</v>
      </c>
      <c r="K3880">
        <v>0</v>
      </c>
      <c r="L3880">
        <v>0</v>
      </c>
      <c r="M3880">
        <v>3030414.3000000003</v>
      </c>
      <c r="T3880" s="9">
        <v>45108</v>
      </c>
      <c r="U3880" s="9">
        <v>45473</v>
      </c>
      <c r="V3880">
        <f>SUM(POTABLE_NONPOTABLE_API[[#This Row],[RESIDENTIAL_SINGLEFAMILY_GAL]:[OTHER_GAL]])</f>
        <v>717360976.5</v>
      </c>
      <c r="W3880">
        <f>SUM(POTABLE_NONPOTABLE_API[[#This Row],[NONPOTABLE_DEMAND_RESIDENTIAL_RECYCLED_WATER_GAL]:[NONPOTABLE_DEMAND_NONRESIDENTIAL_METERED_IRRIGATION_GAL]])</f>
        <v>0</v>
      </c>
      <c r="X3880" t="str">
        <f>IFERROR(INDEX(Crosswalk_API!$H$2:$H$527, MATCH(POTABLE_NONPOTABLE_API[[#This Row],[PWSID]], CW_PWSID_LIST, 0)), "")</f>
        <v>No</v>
      </c>
    </row>
    <row r="3881" spans="1:24" x14ac:dyDescent="0.25">
      <c r="A3881" t="s">
        <v>1870</v>
      </c>
      <c r="B3881" t="s">
        <v>1871</v>
      </c>
      <c r="C3881" t="s">
        <v>1872</v>
      </c>
      <c r="D3881" t="s">
        <v>1873</v>
      </c>
      <c r="E3881" s="9">
        <v>45200</v>
      </c>
      <c r="F3881" s="9">
        <v>45230</v>
      </c>
      <c r="G3881">
        <v>398026996.5</v>
      </c>
      <c r="H3881">
        <v>24080388.900000002</v>
      </c>
      <c r="I3881">
        <v>231680061</v>
      </c>
      <c r="J3881">
        <v>0</v>
      </c>
      <c r="K3881">
        <v>0</v>
      </c>
      <c r="L3881">
        <v>0</v>
      </c>
      <c r="M3881">
        <v>3551775.9</v>
      </c>
      <c r="T3881" s="9">
        <v>45108</v>
      </c>
      <c r="U3881" s="9">
        <v>45473</v>
      </c>
      <c r="V3881">
        <f>SUM(POTABLE_NONPOTABLE_API[[#This Row],[RESIDENTIAL_SINGLEFAMILY_GAL]:[OTHER_GAL]])</f>
        <v>653787446.39999998</v>
      </c>
      <c r="W3881">
        <f>SUM(POTABLE_NONPOTABLE_API[[#This Row],[NONPOTABLE_DEMAND_RESIDENTIAL_RECYCLED_WATER_GAL]:[NONPOTABLE_DEMAND_NONRESIDENTIAL_METERED_IRRIGATION_GAL]])</f>
        <v>0</v>
      </c>
      <c r="X3881" t="str">
        <f>IFERROR(INDEX(Crosswalk_API!$H$2:$H$527, MATCH(POTABLE_NONPOTABLE_API[[#This Row],[PWSID]], CW_PWSID_LIST, 0)), "")</f>
        <v>No</v>
      </c>
    </row>
    <row r="3882" spans="1:24" x14ac:dyDescent="0.25">
      <c r="A3882" t="s">
        <v>1870</v>
      </c>
      <c r="B3882" t="s">
        <v>1871</v>
      </c>
      <c r="C3882" t="s">
        <v>1872</v>
      </c>
      <c r="D3882" t="s">
        <v>1873</v>
      </c>
      <c r="E3882" s="9">
        <v>45231</v>
      </c>
      <c r="F3882" s="9">
        <v>45260</v>
      </c>
      <c r="G3882">
        <v>258139162.20000002</v>
      </c>
      <c r="H3882">
        <v>150315066.30000001</v>
      </c>
      <c r="I3882">
        <v>299066047.80000001</v>
      </c>
      <c r="J3882">
        <v>0</v>
      </c>
      <c r="K3882">
        <v>0</v>
      </c>
      <c r="L3882">
        <v>0</v>
      </c>
      <c r="M3882">
        <v>5441711.7000000002</v>
      </c>
      <c r="T3882" s="9">
        <v>45108</v>
      </c>
      <c r="U3882" s="9">
        <v>45473</v>
      </c>
      <c r="V3882">
        <f>SUM(POTABLE_NONPOTABLE_API[[#This Row],[RESIDENTIAL_SINGLEFAMILY_GAL]:[OTHER_GAL]])</f>
        <v>707520276.29999995</v>
      </c>
      <c r="W3882">
        <f>SUM(POTABLE_NONPOTABLE_API[[#This Row],[NONPOTABLE_DEMAND_RESIDENTIAL_RECYCLED_WATER_GAL]:[NONPOTABLE_DEMAND_NONRESIDENTIAL_METERED_IRRIGATION_GAL]])</f>
        <v>0</v>
      </c>
      <c r="X3882" t="str">
        <f>IFERROR(INDEX(Crosswalk_API!$H$2:$H$527, MATCH(POTABLE_NONPOTABLE_API[[#This Row],[PWSID]], CW_PWSID_LIST, 0)), "")</f>
        <v>No</v>
      </c>
    </row>
    <row r="3883" spans="1:24" x14ac:dyDescent="0.25">
      <c r="A3883" t="s">
        <v>1870</v>
      </c>
      <c r="B3883" t="s">
        <v>1871</v>
      </c>
      <c r="C3883" t="s">
        <v>1872</v>
      </c>
      <c r="D3883" t="s">
        <v>1873</v>
      </c>
      <c r="E3883" s="9">
        <v>45261</v>
      </c>
      <c r="F3883" s="9">
        <v>45291</v>
      </c>
      <c r="G3883">
        <v>265516428.84</v>
      </c>
      <c r="H3883">
        <v>59927257.409999996</v>
      </c>
      <c r="I3883">
        <v>88963840.019999996</v>
      </c>
      <c r="J3883">
        <v>0</v>
      </c>
      <c r="K3883">
        <v>0</v>
      </c>
      <c r="L3883">
        <v>0</v>
      </c>
      <c r="M3883">
        <v>1971398.55</v>
      </c>
      <c r="T3883" s="9">
        <v>45108</v>
      </c>
      <c r="U3883" s="9">
        <v>45473</v>
      </c>
      <c r="V3883">
        <f>SUM(POTABLE_NONPOTABLE_API[[#This Row],[RESIDENTIAL_SINGLEFAMILY_GAL]:[OTHER_GAL]])</f>
        <v>414407526.26999998</v>
      </c>
      <c r="W3883">
        <f>SUM(POTABLE_NONPOTABLE_API[[#This Row],[NONPOTABLE_DEMAND_RESIDENTIAL_RECYCLED_WATER_GAL]:[NONPOTABLE_DEMAND_NONRESIDENTIAL_METERED_IRRIGATION_GAL]])</f>
        <v>0</v>
      </c>
      <c r="X3883" t="str">
        <f>IFERROR(INDEX(Crosswalk_API!$H$2:$H$527, MATCH(POTABLE_NONPOTABLE_API[[#This Row],[PWSID]], CW_PWSID_LIST, 0)), "")</f>
        <v>No</v>
      </c>
    </row>
    <row r="3884" spans="1:24" x14ac:dyDescent="0.25">
      <c r="A3884" t="s">
        <v>1870</v>
      </c>
      <c r="B3884" t="s">
        <v>1871</v>
      </c>
      <c r="C3884" t="s">
        <v>1872</v>
      </c>
      <c r="D3884" t="s">
        <v>1873</v>
      </c>
      <c r="E3884" s="9">
        <v>45292</v>
      </c>
      <c r="F3884" s="9">
        <v>45322</v>
      </c>
      <c r="G3884">
        <v>236079049.5</v>
      </c>
      <c r="H3884">
        <v>245333217.90000001</v>
      </c>
      <c r="I3884">
        <v>215257170.59999999</v>
      </c>
      <c r="J3884">
        <v>0</v>
      </c>
      <c r="K3884">
        <v>0</v>
      </c>
      <c r="L3884">
        <v>0</v>
      </c>
      <c r="M3884">
        <v>1401159.3</v>
      </c>
      <c r="T3884" s="9">
        <v>45108</v>
      </c>
      <c r="U3884" s="9">
        <v>45473</v>
      </c>
      <c r="V3884">
        <f>SUM(POTABLE_NONPOTABLE_API[[#This Row],[RESIDENTIAL_SINGLEFAMILY_GAL]:[OTHER_GAL]])</f>
        <v>696669438</v>
      </c>
      <c r="W3884">
        <f>SUM(POTABLE_NONPOTABLE_API[[#This Row],[NONPOTABLE_DEMAND_RESIDENTIAL_RECYCLED_WATER_GAL]:[NONPOTABLE_DEMAND_NONRESIDENTIAL_METERED_IRRIGATION_GAL]])</f>
        <v>0</v>
      </c>
      <c r="X3884" t="str">
        <f>IFERROR(INDEX(Crosswalk_API!$H$2:$H$527, MATCH(POTABLE_NONPOTABLE_API[[#This Row],[PWSID]], CW_PWSID_LIST, 0)), "")</f>
        <v>No</v>
      </c>
    </row>
    <row r="3885" spans="1:24" x14ac:dyDescent="0.25">
      <c r="A3885" t="s">
        <v>1870</v>
      </c>
      <c r="B3885" t="s">
        <v>1871</v>
      </c>
      <c r="C3885" t="s">
        <v>1872</v>
      </c>
      <c r="D3885" t="s">
        <v>1873</v>
      </c>
      <c r="E3885" s="9">
        <v>45323</v>
      </c>
      <c r="F3885" s="9">
        <v>45351</v>
      </c>
      <c r="G3885">
        <v>243671377.79999998</v>
      </c>
      <c r="H3885">
        <v>87295482.899999991</v>
      </c>
      <c r="I3885">
        <v>107889266.10000001</v>
      </c>
      <c r="J3885">
        <v>0</v>
      </c>
      <c r="K3885">
        <v>0</v>
      </c>
      <c r="L3885">
        <v>0</v>
      </c>
      <c r="M3885">
        <v>1661840.0999999999</v>
      </c>
      <c r="T3885" s="9">
        <v>45108</v>
      </c>
      <c r="U3885" s="9">
        <v>45473</v>
      </c>
      <c r="V3885">
        <f>SUM(POTABLE_NONPOTABLE_API[[#This Row],[RESIDENTIAL_SINGLEFAMILY_GAL]:[OTHER_GAL]])</f>
        <v>438856126.80000001</v>
      </c>
      <c r="W3885">
        <f>SUM(POTABLE_NONPOTABLE_API[[#This Row],[NONPOTABLE_DEMAND_RESIDENTIAL_RECYCLED_WATER_GAL]:[NONPOTABLE_DEMAND_NONRESIDENTIAL_METERED_IRRIGATION_GAL]])</f>
        <v>0</v>
      </c>
      <c r="X3885" t="str">
        <f>IFERROR(INDEX(Crosswalk_API!$H$2:$H$527, MATCH(POTABLE_NONPOTABLE_API[[#This Row],[PWSID]], CW_PWSID_LIST, 0)), "")</f>
        <v>No</v>
      </c>
    </row>
    <row r="3886" spans="1:24" x14ac:dyDescent="0.25">
      <c r="A3886" t="s">
        <v>1870</v>
      </c>
      <c r="B3886" t="s">
        <v>1871</v>
      </c>
      <c r="C3886" t="s">
        <v>1872</v>
      </c>
      <c r="D3886" t="s">
        <v>1873</v>
      </c>
      <c r="E3886" s="9">
        <v>45352</v>
      </c>
      <c r="F3886" s="9">
        <v>45382</v>
      </c>
      <c r="G3886">
        <v>171039189.90000001</v>
      </c>
      <c r="H3886">
        <v>137150685.90000001</v>
      </c>
      <c r="I3886">
        <v>145101450.30000001</v>
      </c>
      <c r="J3886">
        <v>0</v>
      </c>
      <c r="K3886">
        <v>0</v>
      </c>
      <c r="L3886">
        <v>0</v>
      </c>
      <c r="M3886">
        <v>2443882.5</v>
      </c>
      <c r="T3886" s="9">
        <v>45108</v>
      </c>
      <c r="U3886" s="9">
        <v>45473</v>
      </c>
      <c r="V3886">
        <f>SUM(POTABLE_NONPOTABLE_API[[#This Row],[RESIDENTIAL_SINGLEFAMILY_GAL]:[OTHER_GAL]])</f>
        <v>453291326.10000002</v>
      </c>
      <c r="W3886">
        <f>SUM(POTABLE_NONPOTABLE_API[[#This Row],[NONPOTABLE_DEMAND_RESIDENTIAL_RECYCLED_WATER_GAL]:[NONPOTABLE_DEMAND_NONRESIDENTIAL_METERED_IRRIGATION_GAL]])</f>
        <v>0</v>
      </c>
      <c r="X3886" t="str">
        <f>IFERROR(INDEX(Crosswalk_API!$H$2:$H$527, MATCH(POTABLE_NONPOTABLE_API[[#This Row],[PWSID]], CW_PWSID_LIST, 0)), "")</f>
        <v>No</v>
      </c>
    </row>
    <row r="3887" spans="1:24" x14ac:dyDescent="0.25">
      <c r="A3887" t="s">
        <v>1870</v>
      </c>
      <c r="B3887" t="s">
        <v>1871</v>
      </c>
      <c r="C3887" t="s">
        <v>1872</v>
      </c>
      <c r="D3887" t="s">
        <v>1873</v>
      </c>
      <c r="E3887" s="9">
        <v>45383</v>
      </c>
      <c r="F3887" s="9">
        <v>45412</v>
      </c>
      <c r="G3887">
        <v>217505542.5</v>
      </c>
      <c r="H3887">
        <v>173222391.59999999</v>
      </c>
      <c r="I3887">
        <v>112711860.89999999</v>
      </c>
      <c r="J3887">
        <v>0</v>
      </c>
      <c r="K3887">
        <v>0</v>
      </c>
      <c r="L3887">
        <v>0</v>
      </c>
      <c r="M3887">
        <v>260680.80000000002</v>
      </c>
      <c r="T3887" s="9">
        <v>45108</v>
      </c>
      <c r="U3887" s="9">
        <v>45473</v>
      </c>
      <c r="V3887">
        <f>SUM(POTABLE_NONPOTABLE_API[[#This Row],[RESIDENTIAL_SINGLEFAMILY_GAL]:[OTHER_GAL]])</f>
        <v>503439795</v>
      </c>
      <c r="W3887">
        <f>SUM(POTABLE_NONPOTABLE_API[[#This Row],[NONPOTABLE_DEMAND_RESIDENTIAL_RECYCLED_WATER_GAL]:[NONPOTABLE_DEMAND_NONRESIDENTIAL_METERED_IRRIGATION_GAL]])</f>
        <v>0</v>
      </c>
      <c r="X3887" t="str">
        <f>IFERROR(INDEX(Crosswalk_API!$H$2:$H$527, MATCH(POTABLE_NONPOTABLE_API[[#This Row],[PWSID]], CW_PWSID_LIST, 0)), "")</f>
        <v>No</v>
      </c>
    </row>
    <row r="3888" spans="1:24" x14ac:dyDescent="0.25">
      <c r="A3888" t="s">
        <v>1870</v>
      </c>
      <c r="B3888" t="s">
        <v>1871</v>
      </c>
      <c r="C3888" t="s">
        <v>1872</v>
      </c>
      <c r="D3888" t="s">
        <v>1873</v>
      </c>
      <c r="E3888" s="9">
        <v>45413</v>
      </c>
      <c r="F3888" s="9">
        <v>45443</v>
      </c>
      <c r="G3888">
        <v>219167382.59999999</v>
      </c>
      <c r="H3888">
        <v>143895801.59999999</v>
      </c>
      <c r="I3888">
        <v>202940002.79999998</v>
      </c>
      <c r="J3888">
        <v>0</v>
      </c>
      <c r="K3888">
        <v>0</v>
      </c>
      <c r="L3888">
        <v>0</v>
      </c>
      <c r="M3888">
        <v>2704563.3000000003</v>
      </c>
      <c r="T3888" s="9">
        <v>45108</v>
      </c>
      <c r="U3888" s="9">
        <v>45473</v>
      </c>
      <c r="V3888">
        <f>SUM(POTABLE_NONPOTABLE_API[[#This Row],[RESIDENTIAL_SINGLEFAMILY_GAL]:[OTHER_GAL]])</f>
        <v>566003187</v>
      </c>
      <c r="W3888">
        <f>SUM(POTABLE_NONPOTABLE_API[[#This Row],[NONPOTABLE_DEMAND_RESIDENTIAL_RECYCLED_WATER_GAL]:[NONPOTABLE_DEMAND_NONRESIDENTIAL_METERED_IRRIGATION_GAL]])</f>
        <v>0</v>
      </c>
      <c r="X3888" t="str">
        <f>IFERROR(INDEX(Crosswalk_API!$H$2:$H$527, MATCH(POTABLE_NONPOTABLE_API[[#This Row],[PWSID]], CW_PWSID_LIST, 0)), "")</f>
        <v>No</v>
      </c>
    </row>
    <row r="3889" spans="1:24" x14ac:dyDescent="0.25">
      <c r="A3889" t="s">
        <v>1870</v>
      </c>
      <c r="B3889" t="s">
        <v>1871</v>
      </c>
      <c r="C3889" t="s">
        <v>1872</v>
      </c>
      <c r="D3889" t="s">
        <v>1873</v>
      </c>
      <c r="E3889" s="9">
        <v>45444</v>
      </c>
      <c r="F3889" s="9">
        <v>45473</v>
      </c>
      <c r="G3889">
        <v>304018983</v>
      </c>
      <c r="H3889">
        <v>82538058.299999997</v>
      </c>
      <c r="I3889">
        <v>145296960.90000001</v>
      </c>
      <c r="J3889">
        <v>0</v>
      </c>
      <c r="K3889">
        <v>0</v>
      </c>
      <c r="L3889">
        <v>0</v>
      </c>
      <c r="M3889">
        <v>3519190.8000000003</v>
      </c>
      <c r="T3889" s="9">
        <v>45108</v>
      </c>
      <c r="U3889" s="9">
        <v>45473</v>
      </c>
      <c r="V3889">
        <f>SUM(POTABLE_NONPOTABLE_API[[#This Row],[RESIDENTIAL_SINGLEFAMILY_GAL]:[OTHER_GAL]])</f>
        <v>531854002.20000005</v>
      </c>
      <c r="W3889">
        <f>SUM(POTABLE_NONPOTABLE_API[[#This Row],[NONPOTABLE_DEMAND_RESIDENTIAL_RECYCLED_WATER_GAL]:[NONPOTABLE_DEMAND_NONRESIDENTIAL_METERED_IRRIGATION_GAL]])</f>
        <v>0</v>
      </c>
      <c r="X3889" t="str">
        <f>IFERROR(INDEX(Crosswalk_API!$H$2:$H$527, MATCH(POTABLE_NONPOTABLE_API[[#This Row],[PWSID]], CW_PWSID_LIST, 0)), "")</f>
        <v>No</v>
      </c>
    </row>
    <row r="3890" spans="1:24" x14ac:dyDescent="0.25">
      <c r="A3890" t="s">
        <v>1874</v>
      </c>
      <c r="B3890" t="s">
        <v>1875</v>
      </c>
      <c r="C3890" t="s">
        <v>1876</v>
      </c>
      <c r="D3890" t="s">
        <v>1877</v>
      </c>
      <c r="E3890" s="9">
        <v>45108</v>
      </c>
      <c r="F3890" s="9">
        <v>45138</v>
      </c>
      <c r="G3890">
        <v>130340400</v>
      </c>
      <c r="H3890">
        <v>0</v>
      </c>
      <c r="I3890">
        <v>13034040</v>
      </c>
      <c r="J3890">
        <v>0</v>
      </c>
      <c r="K3890">
        <v>0</v>
      </c>
      <c r="L3890">
        <v>0</v>
      </c>
      <c r="M3890">
        <v>5539467</v>
      </c>
      <c r="T3890" s="9">
        <v>45108</v>
      </c>
      <c r="U3890" s="9">
        <v>45473</v>
      </c>
      <c r="V3890">
        <f>SUM(POTABLE_NONPOTABLE_API[[#This Row],[RESIDENTIAL_SINGLEFAMILY_GAL]:[OTHER_GAL]])</f>
        <v>143374440</v>
      </c>
      <c r="W3890">
        <f>SUM(POTABLE_NONPOTABLE_API[[#This Row],[NONPOTABLE_DEMAND_RESIDENTIAL_RECYCLED_WATER_GAL]:[NONPOTABLE_DEMAND_NONRESIDENTIAL_METERED_IRRIGATION_GAL]])</f>
        <v>0</v>
      </c>
      <c r="X3890" t="str">
        <f>IFERROR(INDEX(Crosswalk_API!$H$2:$H$527, MATCH(POTABLE_NONPOTABLE_API[[#This Row],[PWSID]], CW_PWSID_LIST, 0)), "")</f>
        <v>No</v>
      </c>
    </row>
    <row r="3891" spans="1:24" x14ac:dyDescent="0.25">
      <c r="A3891" t="s">
        <v>1874</v>
      </c>
      <c r="B3891" t="s">
        <v>1875</v>
      </c>
      <c r="C3891" t="s">
        <v>1876</v>
      </c>
      <c r="D3891" t="s">
        <v>1877</v>
      </c>
      <c r="E3891" s="9">
        <v>45139</v>
      </c>
      <c r="F3891" s="9">
        <v>45169</v>
      </c>
      <c r="G3891">
        <v>130340400</v>
      </c>
      <c r="H3891">
        <v>14770825.83</v>
      </c>
      <c r="I3891">
        <v>16292550</v>
      </c>
      <c r="J3891">
        <v>0</v>
      </c>
      <c r="K3891">
        <v>0</v>
      </c>
      <c r="L3891">
        <v>0</v>
      </c>
      <c r="M3891">
        <v>16292550</v>
      </c>
      <c r="T3891" s="9">
        <v>45108</v>
      </c>
      <c r="U3891" s="9">
        <v>45473</v>
      </c>
      <c r="V3891">
        <f>SUM(POTABLE_NONPOTABLE_API[[#This Row],[RESIDENTIAL_SINGLEFAMILY_GAL]:[OTHER_GAL]])</f>
        <v>161403775.83000001</v>
      </c>
      <c r="W3891">
        <f>SUM(POTABLE_NONPOTABLE_API[[#This Row],[NONPOTABLE_DEMAND_RESIDENTIAL_RECYCLED_WATER_GAL]:[NONPOTABLE_DEMAND_NONRESIDENTIAL_METERED_IRRIGATION_GAL]])</f>
        <v>0</v>
      </c>
      <c r="X3891" t="str">
        <f>IFERROR(INDEX(Crosswalk_API!$H$2:$H$527, MATCH(POTABLE_NONPOTABLE_API[[#This Row],[PWSID]], CW_PWSID_LIST, 0)), "")</f>
        <v>No</v>
      </c>
    </row>
    <row r="3892" spans="1:24" x14ac:dyDescent="0.25">
      <c r="A3892" t="s">
        <v>1874</v>
      </c>
      <c r="B3892" t="s">
        <v>1875</v>
      </c>
      <c r="C3892" t="s">
        <v>1876</v>
      </c>
      <c r="D3892" t="s">
        <v>1877</v>
      </c>
      <c r="E3892" s="9">
        <v>45170</v>
      </c>
      <c r="F3892" s="9">
        <v>45199</v>
      </c>
      <c r="G3892">
        <v>130477257.42</v>
      </c>
      <c r="H3892">
        <v>0</v>
      </c>
      <c r="I3892">
        <v>11404785</v>
      </c>
      <c r="J3892">
        <v>1629255</v>
      </c>
      <c r="K3892">
        <v>0</v>
      </c>
      <c r="L3892">
        <v>0</v>
      </c>
      <c r="M3892">
        <v>1629255</v>
      </c>
      <c r="T3892" s="9">
        <v>45108</v>
      </c>
      <c r="U3892" s="9">
        <v>45473</v>
      </c>
      <c r="V3892">
        <f>SUM(POTABLE_NONPOTABLE_API[[#This Row],[RESIDENTIAL_SINGLEFAMILY_GAL]:[OTHER_GAL]])</f>
        <v>143511297.42000002</v>
      </c>
      <c r="W3892">
        <f>SUM(POTABLE_NONPOTABLE_API[[#This Row],[NONPOTABLE_DEMAND_RESIDENTIAL_RECYCLED_WATER_GAL]:[NONPOTABLE_DEMAND_NONRESIDENTIAL_METERED_IRRIGATION_GAL]])</f>
        <v>0</v>
      </c>
      <c r="X3892" t="str">
        <f>IFERROR(INDEX(Crosswalk_API!$H$2:$H$527, MATCH(POTABLE_NONPOTABLE_API[[#This Row],[PWSID]], CW_PWSID_LIST, 0)), "")</f>
        <v>No</v>
      </c>
    </row>
    <row r="3893" spans="1:24" x14ac:dyDescent="0.25">
      <c r="A3893" t="s">
        <v>1874</v>
      </c>
      <c r="B3893" t="s">
        <v>1875</v>
      </c>
      <c r="C3893" t="s">
        <v>1876</v>
      </c>
      <c r="D3893" t="s">
        <v>1877</v>
      </c>
      <c r="E3893" s="9">
        <v>45200</v>
      </c>
      <c r="F3893" s="9">
        <v>45230</v>
      </c>
      <c r="T3893" s="9">
        <v>45108</v>
      </c>
      <c r="U3893" s="9">
        <v>45473</v>
      </c>
      <c r="V3893">
        <f>SUM(POTABLE_NONPOTABLE_API[[#This Row],[RESIDENTIAL_SINGLEFAMILY_GAL]:[OTHER_GAL]])</f>
        <v>0</v>
      </c>
      <c r="W3893">
        <f>SUM(POTABLE_NONPOTABLE_API[[#This Row],[NONPOTABLE_DEMAND_RESIDENTIAL_RECYCLED_WATER_GAL]:[NONPOTABLE_DEMAND_NONRESIDENTIAL_METERED_IRRIGATION_GAL]])</f>
        <v>0</v>
      </c>
      <c r="X3893" t="str">
        <f>IFERROR(INDEX(Crosswalk_API!$H$2:$H$527, MATCH(POTABLE_NONPOTABLE_API[[#This Row],[PWSID]], CW_PWSID_LIST, 0)), "")</f>
        <v>No</v>
      </c>
    </row>
    <row r="3894" spans="1:24" x14ac:dyDescent="0.25">
      <c r="A3894" t="s">
        <v>1874</v>
      </c>
      <c r="B3894" t="s">
        <v>1875</v>
      </c>
      <c r="C3894" t="s">
        <v>1876</v>
      </c>
      <c r="D3894" t="s">
        <v>1877</v>
      </c>
      <c r="E3894" s="9">
        <v>45231</v>
      </c>
      <c r="F3894" s="9">
        <v>45260</v>
      </c>
      <c r="G3894">
        <v>58653180</v>
      </c>
      <c r="H3894">
        <v>0</v>
      </c>
      <c r="I3894">
        <v>7452212.3700000001</v>
      </c>
      <c r="J3894">
        <v>0</v>
      </c>
      <c r="K3894">
        <v>0</v>
      </c>
      <c r="L3894">
        <v>0</v>
      </c>
      <c r="M3894">
        <v>0</v>
      </c>
      <c r="T3894" s="9">
        <v>45108</v>
      </c>
      <c r="U3894" s="9">
        <v>45473</v>
      </c>
      <c r="V3894">
        <f>SUM(POTABLE_NONPOTABLE_API[[#This Row],[RESIDENTIAL_SINGLEFAMILY_GAL]:[OTHER_GAL]])</f>
        <v>66105392.369999997</v>
      </c>
      <c r="W3894">
        <f>SUM(POTABLE_NONPOTABLE_API[[#This Row],[NONPOTABLE_DEMAND_RESIDENTIAL_RECYCLED_WATER_GAL]:[NONPOTABLE_DEMAND_NONRESIDENTIAL_METERED_IRRIGATION_GAL]])</f>
        <v>0</v>
      </c>
      <c r="X3894" t="str">
        <f>IFERROR(INDEX(Crosswalk_API!$H$2:$H$527, MATCH(POTABLE_NONPOTABLE_API[[#This Row],[PWSID]], CW_PWSID_LIST, 0)), "")</f>
        <v>No</v>
      </c>
    </row>
    <row r="3895" spans="1:24" x14ac:dyDescent="0.25">
      <c r="A3895" t="s">
        <v>1874</v>
      </c>
      <c r="B3895" t="s">
        <v>1875</v>
      </c>
      <c r="C3895" t="s">
        <v>1876</v>
      </c>
      <c r="D3895" t="s">
        <v>1877</v>
      </c>
      <c r="E3895" s="9">
        <v>45261</v>
      </c>
      <c r="F3895" s="9">
        <v>45291</v>
      </c>
      <c r="G3895">
        <v>32585100</v>
      </c>
      <c r="H3895">
        <v>19551060</v>
      </c>
      <c r="I3895">
        <v>1039464.69</v>
      </c>
      <c r="J3895">
        <v>0</v>
      </c>
      <c r="K3895">
        <v>0</v>
      </c>
      <c r="L3895">
        <v>0</v>
      </c>
      <c r="M3895">
        <v>0</v>
      </c>
      <c r="T3895" s="9">
        <v>45108</v>
      </c>
      <c r="U3895" s="9">
        <v>45473</v>
      </c>
      <c r="V3895">
        <f>SUM(POTABLE_NONPOTABLE_API[[#This Row],[RESIDENTIAL_SINGLEFAMILY_GAL]:[OTHER_GAL]])</f>
        <v>53175624.689999998</v>
      </c>
      <c r="W3895">
        <f>SUM(POTABLE_NONPOTABLE_API[[#This Row],[NONPOTABLE_DEMAND_RESIDENTIAL_RECYCLED_WATER_GAL]:[NONPOTABLE_DEMAND_NONRESIDENTIAL_METERED_IRRIGATION_GAL]])</f>
        <v>0</v>
      </c>
      <c r="X3895" t="str">
        <f>IFERROR(INDEX(Crosswalk_API!$H$2:$H$527, MATCH(POTABLE_NONPOTABLE_API[[#This Row],[PWSID]], CW_PWSID_LIST, 0)), "")</f>
        <v>No</v>
      </c>
    </row>
    <row r="3896" spans="1:24" x14ac:dyDescent="0.25">
      <c r="A3896" t="s">
        <v>1874</v>
      </c>
      <c r="B3896" t="s">
        <v>1875</v>
      </c>
      <c r="C3896" t="s">
        <v>1876</v>
      </c>
      <c r="D3896" t="s">
        <v>1877</v>
      </c>
      <c r="E3896" s="9">
        <v>45292</v>
      </c>
      <c r="F3896" s="9">
        <v>45322</v>
      </c>
      <c r="G3896">
        <v>48551799</v>
      </c>
      <c r="H3896">
        <v>325851</v>
      </c>
      <c r="I3896">
        <v>1968140.04</v>
      </c>
      <c r="J3896">
        <v>651702</v>
      </c>
      <c r="K3896">
        <v>0</v>
      </c>
      <c r="L3896">
        <v>0</v>
      </c>
      <c r="M3896">
        <v>0</v>
      </c>
      <c r="T3896" s="9">
        <v>45108</v>
      </c>
      <c r="U3896" s="9">
        <v>45473</v>
      </c>
      <c r="V3896">
        <f>SUM(POTABLE_NONPOTABLE_API[[#This Row],[RESIDENTIAL_SINGLEFAMILY_GAL]:[OTHER_GAL]])</f>
        <v>51497492.039999999</v>
      </c>
      <c r="W3896">
        <f>SUM(POTABLE_NONPOTABLE_API[[#This Row],[NONPOTABLE_DEMAND_RESIDENTIAL_RECYCLED_WATER_GAL]:[NONPOTABLE_DEMAND_NONRESIDENTIAL_METERED_IRRIGATION_GAL]])</f>
        <v>0</v>
      </c>
      <c r="X3896" t="str">
        <f>IFERROR(INDEX(Crosswalk_API!$H$2:$H$527, MATCH(POTABLE_NONPOTABLE_API[[#This Row],[PWSID]], CW_PWSID_LIST, 0)), "")</f>
        <v>No</v>
      </c>
    </row>
    <row r="3897" spans="1:24" x14ac:dyDescent="0.25">
      <c r="A3897" t="s">
        <v>1874</v>
      </c>
      <c r="B3897" t="s">
        <v>1875</v>
      </c>
      <c r="C3897" t="s">
        <v>1876</v>
      </c>
      <c r="D3897" t="s">
        <v>1877</v>
      </c>
      <c r="E3897" s="9">
        <v>45323</v>
      </c>
      <c r="F3897" s="9">
        <v>45351</v>
      </c>
      <c r="G3897">
        <v>29238610.23</v>
      </c>
      <c r="H3897">
        <v>5418902.1299999999</v>
      </c>
      <c r="I3897">
        <v>3792905.64</v>
      </c>
      <c r="J3897">
        <v>78204.239999999991</v>
      </c>
      <c r="K3897">
        <v>0</v>
      </c>
      <c r="L3897">
        <v>0</v>
      </c>
      <c r="M3897">
        <v>2248.3719000000001</v>
      </c>
      <c r="T3897" s="9">
        <v>45108</v>
      </c>
      <c r="U3897" s="9">
        <v>45473</v>
      </c>
      <c r="V3897">
        <f>SUM(POTABLE_NONPOTABLE_API[[#This Row],[RESIDENTIAL_SINGLEFAMILY_GAL]:[OTHER_GAL]])</f>
        <v>38528622.240000002</v>
      </c>
      <c r="W3897">
        <f>SUM(POTABLE_NONPOTABLE_API[[#This Row],[NONPOTABLE_DEMAND_RESIDENTIAL_RECYCLED_WATER_GAL]:[NONPOTABLE_DEMAND_NONRESIDENTIAL_METERED_IRRIGATION_GAL]])</f>
        <v>0</v>
      </c>
      <c r="X3897" t="str">
        <f>IFERROR(INDEX(Crosswalk_API!$H$2:$H$527, MATCH(POTABLE_NONPOTABLE_API[[#This Row],[PWSID]], CW_PWSID_LIST, 0)), "")</f>
        <v>No</v>
      </c>
    </row>
    <row r="3898" spans="1:24" x14ac:dyDescent="0.25">
      <c r="A3898" t="s">
        <v>1874</v>
      </c>
      <c r="B3898" t="s">
        <v>1875</v>
      </c>
      <c r="C3898" t="s">
        <v>1876</v>
      </c>
      <c r="D3898" t="s">
        <v>1877</v>
      </c>
      <c r="E3898" s="9">
        <v>45352</v>
      </c>
      <c r="F3898" s="9">
        <v>45382</v>
      </c>
      <c r="G3898">
        <v>37684668.149999999</v>
      </c>
      <c r="H3898">
        <v>5829474.3900000006</v>
      </c>
      <c r="I3898">
        <v>2945693.0399999996</v>
      </c>
      <c r="J3898">
        <v>1502173.11</v>
      </c>
      <c r="K3898">
        <v>0</v>
      </c>
      <c r="L3898">
        <v>296524.41000000003</v>
      </c>
      <c r="M3898">
        <v>3258.51</v>
      </c>
      <c r="T3898" s="9">
        <v>45108</v>
      </c>
      <c r="U3898" s="9">
        <v>45473</v>
      </c>
      <c r="V3898">
        <f>SUM(POTABLE_NONPOTABLE_API[[#This Row],[RESIDENTIAL_SINGLEFAMILY_GAL]:[OTHER_GAL]])</f>
        <v>48258533.099999994</v>
      </c>
      <c r="W3898">
        <f>SUM(POTABLE_NONPOTABLE_API[[#This Row],[NONPOTABLE_DEMAND_RESIDENTIAL_RECYCLED_WATER_GAL]:[NONPOTABLE_DEMAND_NONRESIDENTIAL_METERED_IRRIGATION_GAL]])</f>
        <v>0</v>
      </c>
      <c r="X3898" t="str">
        <f>IFERROR(INDEX(Crosswalk_API!$H$2:$H$527, MATCH(POTABLE_NONPOTABLE_API[[#This Row],[PWSID]], CW_PWSID_LIST, 0)), "")</f>
        <v>No</v>
      </c>
    </row>
    <row r="3899" spans="1:24" x14ac:dyDescent="0.25">
      <c r="A3899" t="s">
        <v>1874</v>
      </c>
      <c r="B3899" t="s">
        <v>1875</v>
      </c>
      <c r="C3899" t="s">
        <v>1876</v>
      </c>
      <c r="D3899" t="s">
        <v>1877</v>
      </c>
      <c r="E3899" s="9">
        <v>45383</v>
      </c>
      <c r="F3899" s="9">
        <v>45412</v>
      </c>
      <c r="G3899">
        <v>47815375.740000002</v>
      </c>
      <c r="H3899">
        <v>6865680.5700000003</v>
      </c>
      <c r="I3899">
        <v>3134686.6199999996</v>
      </c>
      <c r="J3899">
        <v>2456916.54</v>
      </c>
      <c r="K3899">
        <v>0</v>
      </c>
      <c r="L3899">
        <v>0</v>
      </c>
      <c r="M3899">
        <v>9775.5299999999988</v>
      </c>
      <c r="T3899" s="9">
        <v>45108</v>
      </c>
      <c r="U3899" s="9">
        <v>45473</v>
      </c>
      <c r="V3899">
        <f>SUM(POTABLE_NONPOTABLE_API[[#This Row],[RESIDENTIAL_SINGLEFAMILY_GAL]:[OTHER_GAL]])</f>
        <v>60272659.469999999</v>
      </c>
      <c r="W3899">
        <f>SUM(POTABLE_NONPOTABLE_API[[#This Row],[NONPOTABLE_DEMAND_RESIDENTIAL_RECYCLED_WATER_GAL]:[NONPOTABLE_DEMAND_NONRESIDENTIAL_METERED_IRRIGATION_GAL]])</f>
        <v>0</v>
      </c>
      <c r="X3899" t="str">
        <f>IFERROR(INDEX(Crosswalk_API!$H$2:$H$527, MATCH(POTABLE_NONPOTABLE_API[[#This Row],[PWSID]], CW_PWSID_LIST, 0)), "")</f>
        <v>No</v>
      </c>
    </row>
    <row r="3900" spans="1:24" x14ac:dyDescent="0.25">
      <c r="A3900" t="s">
        <v>1874</v>
      </c>
      <c r="B3900" t="s">
        <v>1875</v>
      </c>
      <c r="C3900" t="s">
        <v>1876</v>
      </c>
      <c r="D3900" t="s">
        <v>1877</v>
      </c>
      <c r="E3900" s="9">
        <v>45413</v>
      </c>
      <c r="F3900" s="9">
        <v>45443</v>
      </c>
      <c r="G3900">
        <v>88644506.040000007</v>
      </c>
      <c r="H3900">
        <v>9091242.9000000004</v>
      </c>
      <c r="I3900">
        <v>7576035.75</v>
      </c>
      <c r="J3900">
        <v>5832732.8999999994</v>
      </c>
      <c r="K3900">
        <v>0</v>
      </c>
      <c r="L3900">
        <v>32585.100000000002</v>
      </c>
      <c r="M3900">
        <v>19551.059999999998</v>
      </c>
      <c r="T3900" s="9">
        <v>45108</v>
      </c>
      <c r="U3900" s="9">
        <v>45473</v>
      </c>
      <c r="V3900">
        <f>SUM(POTABLE_NONPOTABLE_API[[#This Row],[RESIDENTIAL_SINGLEFAMILY_GAL]:[OTHER_GAL]])</f>
        <v>111177102.69000001</v>
      </c>
      <c r="W3900">
        <f>SUM(POTABLE_NONPOTABLE_API[[#This Row],[NONPOTABLE_DEMAND_RESIDENTIAL_RECYCLED_WATER_GAL]:[NONPOTABLE_DEMAND_NONRESIDENTIAL_METERED_IRRIGATION_GAL]])</f>
        <v>0</v>
      </c>
      <c r="X3900" t="str">
        <f>IFERROR(INDEX(Crosswalk_API!$H$2:$H$527, MATCH(POTABLE_NONPOTABLE_API[[#This Row],[PWSID]], CW_PWSID_LIST, 0)), "")</f>
        <v>No</v>
      </c>
    </row>
    <row r="3901" spans="1:24" x14ac:dyDescent="0.25">
      <c r="A3901" t="s">
        <v>1874</v>
      </c>
      <c r="B3901" t="s">
        <v>1875</v>
      </c>
      <c r="C3901" t="s">
        <v>1876</v>
      </c>
      <c r="D3901" t="s">
        <v>1877</v>
      </c>
      <c r="E3901" s="9">
        <v>45444</v>
      </c>
      <c r="F3901" s="9">
        <v>45473</v>
      </c>
      <c r="G3901">
        <v>118365538.67549999</v>
      </c>
      <c r="H3901">
        <v>9943799.4563999996</v>
      </c>
      <c r="I3901">
        <v>9002937.279000001</v>
      </c>
      <c r="J3901">
        <v>9547336.5447000004</v>
      </c>
      <c r="K3901">
        <v>0</v>
      </c>
      <c r="L3901">
        <v>0</v>
      </c>
      <c r="M3901">
        <v>149142.00270000001</v>
      </c>
      <c r="T3901" s="9">
        <v>45108</v>
      </c>
      <c r="U3901" s="9">
        <v>45473</v>
      </c>
      <c r="V3901">
        <f>SUM(POTABLE_NONPOTABLE_API[[#This Row],[RESIDENTIAL_SINGLEFAMILY_GAL]:[OTHER_GAL]])</f>
        <v>146859611.95559999</v>
      </c>
      <c r="W3901">
        <f>SUM(POTABLE_NONPOTABLE_API[[#This Row],[NONPOTABLE_DEMAND_RESIDENTIAL_RECYCLED_WATER_GAL]:[NONPOTABLE_DEMAND_NONRESIDENTIAL_METERED_IRRIGATION_GAL]])</f>
        <v>0</v>
      </c>
      <c r="X3901" t="str">
        <f>IFERROR(INDEX(Crosswalk_API!$H$2:$H$527, MATCH(POTABLE_NONPOTABLE_API[[#This Row],[PWSID]], CW_PWSID_LIST, 0)), "")</f>
        <v>No</v>
      </c>
    </row>
    <row r="3902" spans="1:24" x14ac:dyDescent="0.25">
      <c r="A3902" t="s">
        <v>1878</v>
      </c>
      <c r="B3902" t="s">
        <v>1879</v>
      </c>
      <c r="C3902" t="s">
        <v>1880</v>
      </c>
      <c r="D3902" t="s">
        <v>1881</v>
      </c>
      <c r="E3902" s="9">
        <v>45108</v>
      </c>
      <c r="F3902" s="9">
        <v>45138</v>
      </c>
      <c r="G3902">
        <v>0</v>
      </c>
      <c r="H3902">
        <v>43347958.530000001</v>
      </c>
      <c r="I3902">
        <v>0</v>
      </c>
      <c r="J3902">
        <v>5418902.1299999999</v>
      </c>
      <c r="K3902">
        <v>0</v>
      </c>
      <c r="L3902">
        <v>0</v>
      </c>
      <c r="M3902">
        <v>0</v>
      </c>
      <c r="T3902" s="9">
        <v>45108</v>
      </c>
      <c r="U3902" s="9">
        <v>45473</v>
      </c>
      <c r="V3902">
        <f>SUM(POTABLE_NONPOTABLE_API[[#This Row],[RESIDENTIAL_SINGLEFAMILY_GAL]:[OTHER_GAL]])</f>
        <v>48766860.660000004</v>
      </c>
      <c r="W3902">
        <f>SUM(POTABLE_NONPOTABLE_API[[#This Row],[NONPOTABLE_DEMAND_RESIDENTIAL_RECYCLED_WATER_GAL]:[NONPOTABLE_DEMAND_NONRESIDENTIAL_METERED_IRRIGATION_GAL]])</f>
        <v>0</v>
      </c>
      <c r="X3902" t="str">
        <f>IFERROR(INDEX(Crosswalk_API!$H$2:$H$527, MATCH(POTABLE_NONPOTABLE_API[[#This Row],[PWSID]], CW_PWSID_LIST, 0)), "")</f>
        <v>No</v>
      </c>
    </row>
    <row r="3903" spans="1:24" x14ac:dyDescent="0.25">
      <c r="A3903" t="s">
        <v>1878</v>
      </c>
      <c r="B3903" t="s">
        <v>1879</v>
      </c>
      <c r="C3903" t="s">
        <v>1880</v>
      </c>
      <c r="D3903" t="s">
        <v>1881</v>
      </c>
      <c r="E3903" s="9">
        <v>45139</v>
      </c>
      <c r="F3903" s="9">
        <v>45169</v>
      </c>
      <c r="G3903">
        <v>0</v>
      </c>
      <c r="H3903">
        <v>49692277.5</v>
      </c>
      <c r="I3903">
        <v>0</v>
      </c>
      <c r="J3903">
        <v>5418902.1299999999</v>
      </c>
      <c r="K3903">
        <v>0</v>
      </c>
      <c r="L3903">
        <v>0</v>
      </c>
      <c r="M3903">
        <v>0</v>
      </c>
      <c r="T3903" s="9">
        <v>45108</v>
      </c>
      <c r="U3903" s="9">
        <v>45473</v>
      </c>
      <c r="V3903">
        <f>SUM(POTABLE_NONPOTABLE_API[[#This Row],[RESIDENTIAL_SINGLEFAMILY_GAL]:[OTHER_GAL]])</f>
        <v>55111179.630000003</v>
      </c>
      <c r="W3903">
        <f>SUM(POTABLE_NONPOTABLE_API[[#This Row],[NONPOTABLE_DEMAND_RESIDENTIAL_RECYCLED_WATER_GAL]:[NONPOTABLE_DEMAND_NONRESIDENTIAL_METERED_IRRIGATION_GAL]])</f>
        <v>0</v>
      </c>
      <c r="X3903" t="str">
        <f>IFERROR(INDEX(Crosswalk_API!$H$2:$H$527, MATCH(POTABLE_NONPOTABLE_API[[#This Row],[PWSID]], CW_PWSID_LIST, 0)), "")</f>
        <v>No</v>
      </c>
    </row>
    <row r="3904" spans="1:24" x14ac:dyDescent="0.25">
      <c r="A3904" t="s">
        <v>1878</v>
      </c>
      <c r="B3904" t="s">
        <v>1879</v>
      </c>
      <c r="C3904" t="s">
        <v>1880</v>
      </c>
      <c r="D3904" t="s">
        <v>1881</v>
      </c>
      <c r="E3904" s="9">
        <v>45170</v>
      </c>
      <c r="F3904" s="9">
        <v>45199</v>
      </c>
      <c r="G3904">
        <v>0</v>
      </c>
      <c r="H3904">
        <v>49747672.169999994</v>
      </c>
      <c r="I3904">
        <v>0</v>
      </c>
      <c r="J3904">
        <v>8191894.1400000006</v>
      </c>
      <c r="K3904">
        <v>0</v>
      </c>
      <c r="L3904">
        <v>0</v>
      </c>
      <c r="M3904">
        <v>0</v>
      </c>
      <c r="T3904" s="9">
        <v>45108</v>
      </c>
      <c r="U3904" s="9">
        <v>45473</v>
      </c>
      <c r="V3904">
        <f>SUM(POTABLE_NONPOTABLE_API[[#This Row],[RESIDENTIAL_SINGLEFAMILY_GAL]:[OTHER_GAL]])</f>
        <v>57939566.309999995</v>
      </c>
      <c r="W3904">
        <f>SUM(POTABLE_NONPOTABLE_API[[#This Row],[NONPOTABLE_DEMAND_RESIDENTIAL_RECYCLED_WATER_GAL]:[NONPOTABLE_DEMAND_NONRESIDENTIAL_METERED_IRRIGATION_GAL]])</f>
        <v>0</v>
      </c>
      <c r="X3904" t="str">
        <f>IFERROR(INDEX(Crosswalk_API!$H$2:$H$527, MATCH(POTABLE_NONPOTABLE_API[[#This Row],[PWSID]], CW_PWSID_LIST, 0)), "")</f>
        <v>No</v>
      </c>
    </row>
    <row r="3905" spans="1:24" x14ac:dyDescent="0.25">
      <c r="A3905" t="s">
        <v>1878</v>
      </c>
      <c r="B3905" t="s">
        <v>1879</v>
      </c>
      <c r="C3905" t="s">
        <v>1880</v>
      </c>
      <c r="D3905" t="s">
        <v>1881</v>
      </c>
      <c r="E3905" s="9">
        <v>45200</v>
      </c>
      <c r="F3905" s="9">
        <v>45230</v>
      </c>
      <c r="G3905">
        <v>0</v>
      </c>
      <c r="H3905">
        <v>47206034.370000005</v>
      </c>
      <c r="I3905">
        <v>0</v>
      </c>
      <c r="J3905">
        <v>5314629.8099999996</v>
      </c>
      <c r="K3905">
        <v>0</v>
      </c>
      <c r="L3905">
        <v>0</v>
      </c>
      <c r="M3905">
        <v>0</v>
      </c>
      <c r="T3905" s="9">
        <v>45108</v>
      </c>
      <c r="U3905" s="9">
        <v>45473</v>
      </c>
      <c r="V3905">
        <f>SUM(POTABLE_NONPOTABLE_API[[#This Row],[RESIDENTIAL_SINGLEFAMILY_GAL]:[OTHER_GAL]])</f>
        <v>52520664.180000007</v>
      </c>
      <c r="W3905">
        <f>SUM(POTABLE_NONPOTABLE_API[[#This Row],[NONPOTABLE_DEMAND_RESIDENTIAL_RECYCLED_WATER_GAL]:[NONPOTABLE_DEMAND_NONRESIDENTIAL_METERED_IRRIGATION_GAL]])</f>
        <v>0</v>
      </c>
      <c r="X3905" t="str">
        <f>IFERROR(INDEX(Crosswalk_API!$H$2:$H$527, MATCH(POTABLE_NONPOTABLE_API[[#This Row],[PWSID]], CW_PWSID_LIST, 0)), "")</f>
        <v>No</v>
      </c>
    </row>
    <row r="3906" spans="1:24" x14ac:dyDescent="0.25">
      <c r="A3906" t="s">
        <v>1878</v>
      </c>
      <c r="B3906" t="s">
        <v>1879</v>
      </c>
      <c r="C3906" t="s">
        <v>1880</v>
      </c>
      <c r="D3906" t="s">
        <v>1881</v>
      </c>
      <c r="E3906" s="9">
        <v>45231</v>
      </c>
      <c r="F3906" s="9">
        <v>45260</v>
      </c>
      <c r="G3906">
        <v>0</v>
      </c>
      <c r="H3906">
        <v>44149551.990000002</v>
      </c>
      <c r="I3906">
        <v>0</v>
      </c>
      <c r="J3906">
        <v>6956918.8500000006</v>
      </c>
      <c r="K3906">
        <v>0</v>
      </c>
      <c r="L3906">
        <v>0</v>
      </c>
      <c r="M3906">
        <v>0</v>
      </c>
      <c r="T3906" s="9">
        <v>45108</v>
      </c>
      <c r="U3906" s="9">
        <v>45473</v>
      </c>
      <c r="V3906">
        <f>SUM(POTABLE_NONPOTABLE_API[[#This Row],[RESIDENTIAL_SINGLEFAMILY_GAL]:[OTHER_GAL]])</f>
        <v>51106470.840000004</v>
      </c>
      <c r="W3906">
        <f>SUM(POTABLE_NONPOTABLE_API[[#This Row],[NONPOTABLE_DEMAND_RESIDENTIAL_RECYCLED_WATER_GAL]:[NONPOTABLE_DEMAND_NONRESIDENTIAL_METERED_IRRIGATION_GAL]])</f>
        <v>0</v>
      </c>
      <c r="X3906" t="str">
        <f>IFERROR(INDEX(Crosswalk_API!$H$2:$H$527, MATCH(POTABLE_NONPOTABLE_API[[#This Row],[PWSID]], CW_PWSID_LIST, 0)), "")</f>
        <v>No</v>
      </c>
    </row>
    <row r="3907" spans="1:24" x14ac:dyDescent="0.25">
      <c r="A3907" t="s">
        <v>1878</v>
      </c>
      <c r="B3907" t="s">
        <v>1879</v>
      </c>
      <c r="C3907" t="s">
        <v>1880</v>
      </c>
      <c r="D3907" t="s">
        <v>1881</v>
      </c>
      <c r="E3907" s="9">
        <v>45261</v>
      </c>
      <c r="F3907" s="9">
        <v>45291</v>
      </c>
      <c r="G3907">
        <v>0</v>
      </c>
      <c r="H3907">
        <v>40382714.43</v>
      </c>
      <c r="I3907">
        <v>0</v>
      </c>
      <c r="J3907">
        <v>3421435.5</v>
      </c>
      <c r="K3907">
        <v>0</v>
      </c>
      <c r="L3907">
        <v>0</v>
      </c>
      <c r="M3907">
        <v>0</v>
      </c>
      <c r="T3907" s="9">
        <v>45108</v>
      </c>
      <c r="U3907" s="9">
        <v>45473</v>
      </c>
      <c r="V3907">
        <f>SUM(POTABLE_NONPOTABLE_API[[#This Row],[RESIDENTIAL_SINGLEFAMILY_GAL]:[OTHER_GAL]])</f>
        <v>43804149.93</v>
      </c>
      <c r="W3907">
        <f>SUM(POTABLE_NONPOTABLE_API[[#This Row],[NONPOTABLE_DEMAND_RESIDENTIAL_RECYCLED_WATER_GAL]:[NONPOTABLE_DEMAND_NONRESIDENTIAL_METERED_IRRIGATION_GAL]])</f>
        <v>0</v>
      </c>
      <c r="X3907" t="str">
        <f>IFERROR(INDEX(Crosswalk_API!$H$2:$H$527, MATCH(POTABLE_NONPOTABLE_API[[#This Row],[PWSID]], CW_PWSID_LIST, 0)), "")</f>
        <v>No</v>
      </c>
    </row>
    <row r="3908" spans="1:24" x14ac:dyDescent="0.25">
      <c r="A3908" t="s">
        <v>1878</v>
      </c>
      <c r="B3908" t="s">
        <v>1879</v>
      </c>
      <c r="C3908" t="s">
        <v>1880</v>
      </c>
      <c r="D3908" t="s">
        <v>1881</v>
      </c>
      <c r="E3908" s="9">
        <v>45292</v>
      </c>
      <c r="F3908" s="9">
        <v>45322</v>
      </c>
      <c r="G3908">
        <v>0</v>
      </c>
      <c r="H3908">
        <v>37213813.454999998</v>
      </c>
      <c r="I3908">
        <v>0</v>
      </c>
      <c r="J3908">
        <v>5066983.05</v>
      </c>
      <c r="K3908">
        <v>0</v>
      </c>
      <c r="L3908">
        <v>0</v>
      </c>
      <c r="M3908">
        <v>0</v>
      </c>
      <c r="T3908" s="9">
        <v>45108</v>
      </c>
      <c r="U3908" s="9">
        <v>45473</v>
      </c>
      <c r="V3908">
        <f>SUM(POTABLE_NONPOTABLE_API[[#This Row],[RESIDENTIAL_SINGLEFAMILY_GAL]:[OTHER_GAL]])</f>
        <v>42280796.504999995</v>
      </c>
      <c r="W3908">
        <f>SUM(POTABLE_NONPOTABLE_API[[#This Row],[NONPOTABLE_DEMAND_RESIDENTIAL_RECYCLED_WATER_GAL]:[NONPOTABLE_DEMAND_NONRESIDENTIAL_METERED_IRRIGATION_GAL]])</f>
        <v>0</v>
      </c>
      <c r="X3908" t="str">
        <f>IFERROR(INDEX(Crosswalk_API!$H$2:$H$527, MATCH(POTABLE_NONPOTABLE_API[[#This Row],[PWSID]], CW_PWSID_LIST, 0)), "")</f>
        <v>No</v>
      </c>
    </row>
    <row r="3909" spans="1:24" x14ac:dyDescent="0.25">
      <c r="A3909" t="s">
        <v>1878</v>
      </c>
      <c r="B3909" t="s">
        <v>1879</v>
      </c>
      <c r="C3909" t="s">
        <v>1880</v>
      </c>
      <c r="D3909" t="s">
        <v>1881</v>
      </c>
      <c r="E3909" s="9">
        <v>45323</v>
      </c>
      <c r="F3909" s="9">
        <v>45351</v>
      </c>
      <c r="G3909">
        <v>0</v>
      </c>
      <c r="H3909">
        <v>33298713.689999998</v>
      </c>
      <c r="I3909">
        <v>0</v>
      </c>
      <c r="J3909">
        <v>1945330.47</v>
      </c>
      <c r="K3909">
        <v>0</v>
      </c>
      <c r="L3909">
        <v>0</v>
      </c>
      <c r="M3909">
        <v>0</v>
      </c>
      <c r="T3909" s="9">
        <v>45108</v>
      </c>
      <c r="U3909" s="9">
        <v>45473</v>
      </c>
      <c r="V3909">
        <f>SUM(POTABLE_NONPOTABLE_API[[#This Row],[RESIDENTIAL_SINGLEFAMILY_GAL]:[OTHER_GAL]])</f>
        <v>35244044.159999996</v>
      </c>
      <c r="W3909">
        <f>SUM(POTABLE_NONPOTABLE_API[[#This Row],[NONPOTABLE_DEMAND_RESIDENTIAL_RECYCLED_WATER_GAL]:[NONPOTABLE_DEMAND_NONRESIDENTIAL_METERED_IRRIGATION_GAL]])</f>
        <v>0</v>
      </c>
      <c r="X3909" t="str">
        <f>IFERROR(INDEX(Crosswalk_API!$H$2:$H$527, MATCH(POTABLE_NONPOTABLE_API[[#This Row],[PWSID]], CW_PWSID_LIST, 0)), "")</f>
        <v>No</v>
      </c>
    </row>
    <row r="3910" spans="1:24" x14ac:dyDescent="0.25">
      <c r="A3910" t="s">
        <v>1878</v>
      </c>
      <c r="B3910" t="s">
        <v>1879</v>
      </c>
      <c r="C3910" t="s">
        <v>1880</v>
      </c>
      <c r="D3910" t="s">
        <v>1881</v>
      </c>
      <c r="E3910" s="9">
        <v>45352</v>
      </c>
      <c r="F3910" s="9">
        <v>45382</v>
      </c>
      <c r="G3910">
        <v>0</v>
      </c>
      <c r="H3910">
        <v>31223042.819999997</v>
      </c>
      <c r="I3910">
        <v>0</v>
      </c>
      <c r="J3910">
        <v>3874368.39</v>
      </c>
      <c r="K3910">
        <v>0</v>
      </c>
      <c r="L3910">
        <v>0</v>
      </c>
      <c r="M3910">
        <v>0</v>
      </c>
      <c r="T3910" s="9">
        <v>45108</v>
      </c>
      <c r="U3910" s="9">
        <v>45473</v>
      </c>
      <c r="V3910">
        <f>SUM(POTABLE_NONPOTABLE_API[[#This Row],[RESIDENTIAL_SINGLEFAMILY_GAL]:[OTHER_GAL]])</f>
        <v>35097411.209999993</v>
      </c>
      <c r="W3910">
        <f>SUM(POTABLE_NONPOTABLE_API[[#This Row],[NONPOTABLE_DEMAND_RESIDENTIAL_RECYCLED_WATER_GAL]:[NONPOTABLE_DEMAND_NONRESIDENTIAL_METERED_IRRIGATION_GAL]])</f>
        <v>0</v>
      </c>
      <c r="X3910" t="str">
        <f>IFERROR(INDEX(Crosswalk_API!$H$2:$H$527, MATCH(POTABLE_NONPOTABLE_API[[#This Row],[PWSID]], CW_PWSID_LIST, 0)), "")</f>
        <v>No</v>
      </c>
    </row>
    <row r="3911" spans="1:24" x14ac:dyDescent="0.25">
      <c r="A3911" t="s">
        <v>1878</v>
      </c>
      <c r="B3911" t="s">
        <v>1879</v>
      </c>
      <c r="C3911" t="s">
        <v>1880</v>
      </c>
      <c r="D3911" t="s">
        <v>1881</v>
      </c>
      <c r="E3911" s="9">
        <v>45383</v>
      </c>
      <c r="F3911" s="9">
        <v>45412</v>
      </c>
      <c r="G3911">
        <v>0</v>
      </c>
      <c r="H3911">
        <v>32875107.390000001</v>
      </c>
      <c r="I3911">
        <v>0</v>
      </c>
      <c r="J3911">
        <v>1652064.57</v>
      </c>
      <c r="K3911">
        <v>0</v>
      </c>
      <c r="L3911">
        <v>0</v>
      </c>
      <c r="M3911">
        <v>0</v>
      </c>
      <c r="T3911" s="9">
        <v>45108</v>
      </c>
      <c r="U3911" s="9">
        <v>45473</v>
      </c>
      <c r="V3911">
        <f>SUM(POTABLE_NONPOTABLE_API[[#This Row],[RESIDENTIAL_SINGLEFAMILY_GAL]:[OTHER_GAL]])</f>
        <v>34527171.960000001</v>
      </c>
      <c r="W3911">
        <f>SUM(POTABLE_NONPOTABLE_API[[#This Row],[NONPOTABLE_DEMAND_RESIDENTIAL_RECYCLED_WATER_GAL]:[NONPOTABLE_DEMAND_NONRESIDENTIAL_METERED_IRRIGATION_GAL]])</f>
        <v>0</v>
      </c>
      <c r="X3911" t="str">
        <f>IFERROR(INDEX(Crosswalk_API!$H$2:$H$527, MATCH(POTABLE_NONPOTABLE_API[[#This Row],[PWSID]], CW_PWSID_LIST, 0)), "")</f>
        <v>No</v>
      </c>
    </row>
    <row r="3912" spans="1:24" x14ac:dyDescent="0.25">
      <c r="A3912" t="s">
        <v>1878</v>
      </c>
      <c r="B3912" t="s">
        <v>1879</v>
      </c>
      <c r="C3912" t="s">
        <v>1880</v>
      </c>
      <c r="D3912" t="s">
        <v>1881</v>
      </c>
      <c r="E3912" s="9">
        <v>45413</v>
      </c>
      <c r="F3912" s="9">
        <v>45443</v>
      </c>
      <c r="G3912">
        <v>0</v>
      </c>
      <c r="H3912">
        <v>37723770.269999996</v>
      </c>
      <c r="I3912">
        <v>0</v>
      </c>
      <c r="J3912">
        <v>4239321.51</v>
      </c>
      <c r="K3912">
        <v>0</v>
      </c>
      <c r="L3912">
        <v>0</v>
      </c>
      <c r="M3912">
        <v>0</v>
      </c>
      <c r="T3912" s="9">
        <v>45108</v>
      </c>
      <c r="U3912" s="9">
        <v>45473</v>
      </c>
      <c r="V3912">
        <f>SUM(POTABLE_NONPOTABLE_API[[#This Row],[RESIDENTIAL_SINGLEFAMILY_GAL]:[OTHER_GAL]])</f>
        <v>41963091.779999994</v>
      </c>
      <c r="W3912">
        <f>SUM(POTABLE_NONPOTABLE_API[[#This Row],[NONPOTABLE_DEMAND_RESIDENTIAL_RECYCLED_WATER_GAL]:[NONPOTABLE_DEMAND_NONRESIDENTIAL_METERED_IRRIGATION_GAL]])</f>
        <v>0</v>
      </c>
      <c r="X3912" t="str">
        <f>IFERROR(INDEX(Crosswalk_API!$H$2:$H$527, MATCH(POTABLE_NONPOTABLE_API[[#This Row],[PWSID]], CW_PWSID_LIST, 0)), "")</f>
        <v>No</v>
      </c>
    </row>
    <row r="3913" spans="1:24" x14ac:dyDescent="0.25">
      <c r="A3913" t="s">
        <v>1878</v>
      </c>
      <c r="B3913" t="s">
        <v>1879</v>
      </c>
      <c r="C3913" t="s">
        <v>1880</v>
      </c>
      <c r="D3913" t="s">
        <v>1881</v>
      </c>
      <c r="E3913" s="9">
        <v>45444</v>
      </c>
      <c r="F3913" s="9">
        <v>45473</v>
      </c>
      <c r="G3913">
        <v>0</v>
      </c>
      <c r="H3913">
        <v>40594517.579999998</v>
      </c>
      <c r="I3913">
        <v>0</v>
      </c>
      <c r="J3913">
        <v>6119481.7800000003</v>
      </c>
      <c r="K3913">
        <v>0</v>
      </c>
      <c r="L3913">
        <v>0</v>
      </c>
      <c r="M3913">
        <v>0</v>
      </c>
      <c r="T3913" s="9">
        <v>45108</v>
      </c>
      <c r="U3913" s="9">
        <v>45473</v>
      </c>
      <c r="V3913">
        <f>SUM(POTABLE_NONPOTABLE_API[[#This Row],[RESIDENTIAL_SINGLEFAMILY_GAL]:[OTHER_GAL]])</f>
        <v>46713999.359999999</v>
      </c>
      <c r="W3913">
        <f>SUM(POTABLE_NONPOTABLE_API[[#This Row],[NONPOTABLE_DEMAND_RESIDENTIAL_RECYCLED_WATER_GAL]:[NONPOTABLE_DEMAND_NONRESIDENTIAL_METERED_IRRIGATION_GAL]])</f>
        <v>0</v>
      </c>
      <c r="X3913" t="str">
        <f>IFERROR(INDEX(Crosswalk_API!$H$2:$H$527, MATCH(POTABLE_NONPOTABLE_API[[#This Row],[PWSID]], CW_PWSID_LIST, 0)), "")</f>
        <v>No</v>
      </c>
    </row>
    <row r="3914" spans="1:24" x14ac:dyDescent="0.25">
      <c r="A3914" t="s">
        <v>1882</v>
      </c>
      <c r="B3914" t="s">
        <v>1883</v>
      </c>
      <c r="C3914" t="s">
        <v>1884</v>
      </c>
      <c r="D3914" t="s">
        <v>1885</v>
      </c>
      <c r="E3914" s="9">
        <v>45108</v>
      </c>
      <c r="F3914" s="9">
        <v>45138</v>
      </c>
      <c r="G3914">
        <v>441625860.30000001</v>
      </c>
      <c r="H3914">
        <v>123399773.7</v>
      </c>
      <c r="I3914">
        <v>133924761</v>
      </c>
      <c r="J3914">
        <v>116850168.60000001</v>
      </c>
      <c r="K3914">
        <v>0</v>
      </c>
      <c r="L3914">
        <v>23950048.5</v>
      </c>
      <c r="M3914">
        <v>228095.69999999998</v>
      </c>
      <c r="N3914">
        <v>0</v>
      </c>
      <c r="O3914">
        <v>0</v>
      </c>
      <c r="P3914">
        <v>0</v>
      </c>
      <c r="Q3914">
        <v>150184725.90000001</v>
      </c>
      <c r="R3914">
        <v>0</v>
      </c>
      <c r="S3914">
        <v>0</v>
      </c>
      <c r="T3914" s="9">
        <v>45108</v>
      </c>
      <c r="U3914" s="9">
        <v>45473</v>
      </c>
      <c r="V3914">
        <f>SUM(POTABLE_NONPOTABLE_API[[#This Row],[RESIDENTIAL_SINGLEFAMILY_GAL]:[OTHER_GAL]])</f>
        <v>839750612.10000002</v>
      </c>
      <c r="W3914">
        <f>SUM(POTABLE_NONPOTABLE_API[[#This Row],[NONPOTABLE_DEMAND_RESIDENTIAL_RECYCLED_WATER_GAL]:[NONPOTABLE_DEMAND_NONRESIDENTIAL_METERED_IRRIGATION_GAL]])</f>
        <v>150184725.90000001</v>
      </c>
      <c r="X3914" t="str">
        <f>IFERROR(INDEX(Crosswalk_API!$H$2:$H$527, MATCH(POTABLE_NONPOTABLE_API[[#This Row],[PWSID]], CW_PWSID_LIST, 0)), "")</f>
        <v>No</v>
      </c>
    </row>
    <row r="3915" spans="1:24" x14ac:dyDescent="0.25">
      <c r="A3915" t="s">
        <v>1882</v>
      </c>
      <c r="B3915" t="s">
        <v>1883</v>
      </c>
      <c r="C3915" t="s">
        <v>1884</v>
      </c>
      <c r="D3915" t="s">
        <v>1885</v>
      </c>
      <c r="E3915" s="9">
        <v>45139</v>
      </c>
      <c r="F3915" s="9">
        <v>45169</v>
      </c>
      <c r="G3915">
        <v>468932174.09999996</v>
      </c>
      <c r="H3915">
        <v>130992102</v>
      </c>
      <c r="I3915">
        <v>154323033.59999999</v>
      </c>
      <c r="J3915">
        <v>134934899.09999999</v>
      </c>
      <c r="K3915">
        <v>0</v>
      </c>
      <c r="L3915">
        <v>23787123</v>
      </c>
      <c r="M3915">
        <v>260680.80000000002</v>
      </c>
      <c r="N3915">
        <v>0</v>
      </c>
      <c r="O3915">
        <v>0</v>
      </c>
      <c r="P3915">
        <v>0</v>
      </c>
      <c r="Q3915">
        <v>158005149.90000001</v>
      </c>
      <c r="R3915">
        <v>0</v>
      </c>
      <c r="S3915">
        <v>0</v>
      </c>
      <c r="T3915" s="9">
        <v>45108</v>
      </c>
      <c r="U3915" s="9">
        <v>45473</v>
      </c>
      <c r="V3915">
        <f>SUM(POTABLE_NONPOTABLE_API[[#This Row],[RESIDENTIAL_SINGLEFAMILY_GAL]:[OTHER_GAL]])</f>
        <v>912969331.79999995</v>
      </c>
      <c r="W3915">
        <f>SUM(POTABLE_NONPOTABLE_API[[#This Row],[NONPOTABLE_DEMAND_RESIDENTIAL_RECYCLED_WATER_GAL]:[NONPOTABLE_DEMAND_NONRESIDENTIAL_METERED_IRRIGATION_GAL]])</f>
        <v>158005149.90000001</v>
      </c>
      <c r="X3915" t="str">
        <f>IFERROR(INDEX(Crosswalk_API!$H$2:$H$527, MATCH(POTABLE_NONPOTABLE_API[[#This Row],[PWSID]], CW_PWSID_LIST, 0)), "")</f>
        <v>No</v>
      </c>
    </row>
    <row r="3916" spans="1:24" x14ac:dyDescent="0.25">
      <c r="A3916" t="s">
        <v>1882</v>
      </c>
      <c r="B3916" t="s">
        <v>1883</v>
      </c>
      <c r="C3916" t="s">
        <v>1884</v>
      </c>
      <c r="D3916" t="s">
        <v>1885</v>
      </c>
      <c r="E3916" s="9">
        <v>45170</v>
      </c>
      <c r="F3916" s="9">
        <v>45199</v>
      </c>
      <c r="G3916">
        <v>429406447.80000001</v>
      </c>
      <c r="H3916">
        <v>128645974.8</v>
      </c>
      <c r="I3916">
        <v>149445044.13</v>
      </c>
      <c r="J3916">
        <v>112451180.10000001</v>
      </c>
      <c r="K3916">
        <v>0</v>
      </c>
      <c r="L3916">
        <v>21701676.599999998</v>
      </c>
      <c r="M3916">
        <v>130340.40000000001</v>
      </c>
      <c r="N3916">
        <v>0</v>
      </c>
      <c r="O3916">
        <v>0</v>
      </c>
      <c r="P3916">
        <v>0</v>
      </c>
      <c r="Q3916">
        <v>121021061.39999999</v>
      </c>
      <c r="R3916">
        <v>0</v>
      </c>
      <c r="S3916">
        <v>0</v>
      </c>
      <c r="T3916" s="9">
        <v>45108</v>
      </c>
      <c r="U3916" s="9">
        <v>45473</v>
      </c>
      <c r="V3916">
        <f>SUM(POTABLE_NONPOTABLE_API[[#This Row],[RESIDENTIAL_SINGLEFAMILY_GAL]:[OTHER_GAL]])</f>
        <v>841650323.43000007</v>
      </c>
      <c r="W3916">
        <f>SUM(POTABLE_NONPOTABLE_API[[#This Row],[NONPOTABLE_DEMAND_RESIDENTIAL_RECYCLED_WATER_GAL]:[NONPOTABLE_DEMAND_NONRESIDENTIAL_METERED_IRRIGATION_GAL]])</f>
        <v>121021061.39999999</v>
      </c>
      <c r="X3916" t="str">
        <f>IFERROR(INDEX(Crosswalk_API!$H$2:$H$527, MATCH(POTABLE_NONPOTABLE_API[[#This Row],[PWSID]], CW_PWSID_LIST, 0)), "")</f>
        <v>No</v>
      </c>
    </row>
    <row r="3917" spans="1:24" x14ac:dyDescent="0.25">
      <c r="A3917" t="s">
        <v>1882</v>
      </c>
      <c r="B3917" t="s">
        <v>1883</v>
      </c>
      <c r="C3917" t="s">
        <v>1884</v>
      </c>
      <c r="D3917" t="s">
        <v>1885</v>
      </c>
      <c r="E3917" s="9">
        <v>45200</v>
      </c>
      <c r="F3917" s="9">
        <v>45230</v>
      </c>
      <c r="G3917">
        <v>382744584.59999996</v>
      </c>
      <c r="H3917">
        <v>119131125.60000001</v>
      </c>
      <c r="I3917">
        <v>131643804</v>
      </c>
      <c r="J3917">
        <v>103001501.10000001</v>
      </c>
      <c r="K3917">
        <v>0</v>
      </c>
      <c r="L3917">
        <v>21082559.699999999</v>
      </c>
      <c r="M3917">
        <v>130340.40000000001</v>
      </c>
      <c r="N3917">
        <v>0</v>
      </c>
      <c r="O3917">
        <v>0</v>
      </c>
      <c r="P3917">
        <v>0</v>
      </c>
      <c r="Q3917">
        <v>105054362.39999999</v>
      </c>
      <c r="R3917">
        <v>0</v>
      </c>
      <c r="S3917">
        <v>0</v>
      </c>
      <c r="T3917" s="9">
        <v>45108</v>
      </c>
      <c r="U3917" s="9">
        <v>45473</v>
      </c>
      <c r="V3917">
        <f>SUM(POTABLE_NONPOTABLE_API[[#This Row],[RESIDENTIAL_SINGLEFAMILY_GAL]:[OTHER_GAL]])</f>
        <v>757603575.00000012</v>
      </c>
      <c r="W3917">
        <f>SUM(POTABLE_NONPOTABLE_API[[#This Row],[NONPOTABLE_DEMAND_RESIDENTIAL_RECYCLED_WATER_GAL]:[NONPOTABLE_DEMAND_NONRESIDENTIAL_METERED_IRRIGATION_GAL]])</f>
        <v>105054362.39999999</v>
      </c>
      <c r="X3917" t="str">
        <f>IFERROR(INDEX(Crosswalk_API!$H$2:$H$527, MATCH(POTABLE_NONPOTABLE_API[[#This Row],[PWSID]], CW_PWSID_LIST, 0)), "")</f>
        <v>No</v>
      </c>
    </row>
    <row r="3918" spans="1:24" x14ac:dyDescent="0.25">
      <c r="A3918" t="s">
        <v>1882</v>
      </c>
      <c r="B3918" t="s">
        <v>1883</v>
      </c>
      <c r="C3918" t="s">
        <v>1884</v>
      </c>
      <c r="D3918" t="s">
        <v>1885</v>
      </c>
      <c r="E3918" s="9">
        <v>45231</v>
      </c>
      <c r="F3918" s="9">
        <v>45260</v>
      </c>
      <c r="G3918">
        <v>382516488.90000004</v>
      </c>
      <c r="H3918">
        <v>121542423</v>
      </c>
      <c r="I3918">
        <v>131937069.89999999</v>
      </c>
      <c r="J3918">
        <v>101339661</v>
      </c>
      <c r="K3918">
        <v>0</v>
      </c>
      <c r="L3918">
        <v>31314281.099999998</v>
      </c>
      <c r="M3918">
        <v>97755.3</v>
      </c>
      <c r="N3918">
        <v>0</v>
      </c>
      <c r="O3918">
        <v>0</v>
      </c>
      <c r="P3918">
        <v>0</v>
      </c>
      <c r="Q3918">
        <v>95148492</v>
      </c>
      <c r="R3918">
        <v>0</v>
      </c>
      <c r="S3918">
        <v>0</v>
      </c>
      <c r="T3918" s="9">
        <v>45108</v>
      </c>
      <c r="U3918" s="9">
        <v>45473</v>
      </c>
      <c r="V3918">
        <f>SUM(POTABLE_NONPOTABLE_API[[#This Row],[RESIDENTIAL_SINGLEFAMILY_GAL]:[OTHER_GAL]])</f>
        <v>768649923.9000001</v>
      </c>
      <c r="W3918">
        <f>SUM(POTABLE_NONPOTABLE_API[[#This Row],[NONPOTABLE_DEMAND_RESIDENTIAL_RECYCLED_WATER_GAL]:[NONPOTABLE_DEMAND_NONRESIDENTIAL_METERED_IRRIGATION_GAL]])</f>
        <v>95148492</v>
      </c>
      <c r="X3918" t="str">
        <f>IFERROR(INDEX(Crosswalk_API!$H$2:$H$527, MATCH(POTABLE_NONPOTABLE_API[[#This Row],[PWSID]], CW_PWSID_LIST, 0)), "")</f>
        <v>No</v>
      </c>
    </row>
    <row r="3919" spans="1:24" x14ac:dyDescent="0.25">
      <c r="A3919" t="s">
        <v>1882</v>
      </c>
      <c r="B3919" t="s">
        <v>1883</v>
      </c>
      <c r="C3919" t="s">
        <v>1884</v>
      </c>
      <c r="D3919" t="s">
        <v>1885</v>
      </c>
      <c r="E3919" s="9">
        <v>45261</v>
      </c>
      <c r="F3919" s="9">
        <v>45291</v>
      </c>
      <c r="G3919">
        <v>316662001.80000001</v>
      </c>
      <c r="H3919">
        <v>110887095.3</v>
      </c>
      <c r="I3919">
        <v>109714031.7</v>
      </c>
      <c r="J3919">
        <v>64876934.100000001</v>
      </c>
      <c r="K3919">
        <v>0</v>
      </c>
      <c r="L3919">
        <v>20593783.199999999</v>
      </c>
      <c r="M3919">
        <v>130340.40000000001</v>
      </c>
      <c r="N3919">
        <v>0</v>
      </c>
      <c r="O3919">
        <v>0</v>
      </c>
      <c r="P3919">
        <v>0</v>
      </c>
      <c r="Q3919">
        <v>65170200</v>
      </c>
      <c r="R3919">
        <v>0</v>
      </c>
      <c r="S3919">
        <v>0</v>
      </c>
      <c r="T3919" s="9">
        <v>45108</v>
      </c>
      <c r="U3919" s="9">
        <v>45473</v>
      </c>
      <c r="V3919">
        <f>SUM(POTABLE_NONPOTABLE_API[[#This Row],[RESIDENTIAL_SINGLEFAMILY_GAL]:[OTHER_GAL]])</f>
        <v>622733846.10000014</v>
      </c>
      <c r="W3919">
        <f>SUM(POTABLE_NONPOTABLE_API[[#This Row],[NONPOTABLE_DEMAND_RESIDENTIAL_RECYCLED_WATER_GAL]:[NONPOTABLE_DEMAND_NONRESIDENTIAL_METERED_IRRIGATION_GAL]])</f>
        <v>65170200</v>
      </c>
      <c r="X3919" t="str">
        <f>IFERROR(INDEX(Crosswalk_API!$H$2:$H$527, MATCH(POTABLE_NONPOTABLE_API[[#This Row],[PWSID]], CW_PWSID_LIST, 0)), "")</f>
        <v>No</v>
      </c>
    </row>
    <row r="3920" spans="1:24" x14ac:dyDescent="0.25">
      <c r="A3920" t="s">
        <v>1882</v>
      </c>
      <c r="B3920" t="s">
        <v>1883</v>
      </c>
      <c r="C3920" t="s">
        <v>1884</v>
      </c>
      <c r="D3920" t="s">
        <v>1885</v>
      </c>
      <c r="E3920" s="9">
        <v>45292</v>
      </c>
      <c r="F3920" s="9">
        <v>45322</v>
      </c>
      <c r="G3920">
        <v>320148607.5</v>
      </c>
      <c r="H3920">
        <v>122096369.7</v>
      </c>
      <c r="I3920">
        <v>108540968.10000001</v>
      </c>
      <c r="J3920">
        <v>40926885.600000001</v>
      </c>
      <c r="K3920">
        <v>0</v>
      </c>
      <c r="L3920">
        <v>17726294.399999999</v>
      </c>
      <c r="M3920">
        <v>65170.200000000004</v>
      </c>
      <c r="N3920">
        <v>0</v>
      </c>
      <c r="O3920">
        <v>0</v>
      </c>
      <c r="P3920">
        <v>0</v>
      </c>
      <c r="Q3920">
        <v>30434483.400000002</v>
      </c>
      <c r="R3920">
        <v>0</v>
      </c>
      <c r="S3920">
        <v>0</v>
      </c>
      <c r="T3920" s="9">
        <v>45108</v>
      </c>
      <c r="U3920" s="9">
        <v>45473</v>
      </c>
      <c r="V3920">
        <f>SUM(POTABLE_NONPOTABLE_API[[#This Row],[RESIDENTIAL_SINGLEFAMILY_GAL]:[OTHER_GAL]])</f>
        <v>609439125.29999995</v>
      </c>
      <c r="W3920">
        <f>SUM(POTABLE_NONPOTABLE_API[[#This Row],[NONPOTABLE_DEMAND_RESIDENTIAL_RECYCLED_WATER_GAL]:[NONPOTABLE_DEMAND_NONRESIDENTIAL_METERED_IRRIGATION_GAL]])</f>
        <v>30434483.400000002</v>
      </c>
      <c r="X3920" t="str">
        <f>IFERROR(INDEX(Crosswalk_API!$H$2:$H$527, MATCH(POTABLE_NONPOTABLE_API[[#This Row],[PWSID]], CW_PWSID_LIST, 0)), "")</f>
        <v>No</v>
      </c>
    </row>
    <row r="3921" spans="1:24" x14ac:dyDescent="0.25">
      <c r="A3921" t="s">
        <v>1882</v>
      </c>
      <c r="B3921" t="s">
        <v>1883</v>
      </c>
      <c r="C3921" t="s">
        <v>1884</v>
      </c>
      <c r="D3921" t="s">
        <v>1885</v>
      </c>
      <c r="E3921" s="9">
        <v>45323</v>
      </c>
      <c r="F3921" s="9">
        <v>45351</v>
      </c>
      <c r="G3921">
        <v>264982033.20000002</v>
      </c>
      <c r="H3921">
        <v>113624243.7</v>
      </c>
      <c r="I3921">
        <v>117697381.2</v>
      </c>
      <c r="J3921">
        <v>21115144.800000001</v>
      </c>
      <c r="K3921">
        <v>0</v>
      </c>
      <c r="L3921">
        <v>10753083</v>
      </c>
      <c r="M3921">
        <v>65170.200000000004</v>
      </c>
      <c r="N3921">
        <v>0</v>
      </c>
      <c r="O3921">
        <v>0</v>
      </c>
      <c r="P3921">
        <v>0</v>
      </c>
      <c r="Q3921">
        <v>10622742.6</v>
      </c>
      <c r="R3921">
        <v>0</v>
      </c>
      <c r="S3921">
        <v>0</v>
      </c>
      <c r="T3921" s="9">
        <v>45108</v>
      </c>
      <c r="U3921" s="9">
        <v>45473</v>
      </c>
      <c r="V3921">
        <f>SUM(POTABLE_NONPOTABLE_API[[#This Row],[RESIDENTIAL_SINGLEFAMILY_GAL]:[OTHER_GAL]])</f>
        <v>528171885.90000004</v>
      </c>
      <c r="W3921">
        <f>SUM(POTABLE_NONPOTABLE_API[[#This Row],[NONPOTABLE_DEMAND_RESIDENTIAL_RECYCLED_WATER_GAL]:[NONPOTABLE_DEMAND_NONRESIDENTIAL_METERED_IRRIGATION_GAL]])</f>
        <v>10622742.6</v>
      </c>
      <c r="X3921" t="str">
        <f>IFERROR(INDEX(Crosswalk_API!$H$2:$H$527, MATCH(POTABLE_NONPOTABLE_API[[#This Row],[PWSID]], CW_PWSID_LIST, 0)), "")</f>
        <v>No</v>
      </c>
    </row>
    <row r="3922" spans="1:24" x14ac:dyDescent="0.25">
      <c r="A3922" t="s">
        <v>1882</v>
      </c>
      <c r="B3922" t="s">
        <v>1883</v>
      </c>
      <c r="C3922" t="s">
        <v>1884</v>
      </c>
      <c r="D3922" t="s">
        <v>1885</v>
      </c>
      <c r="E3922" s="9">
        <v>45352</v>
      </c>
      <c r="F3922" s="9">
        <v>45382</v>
      </c>
      <c r="G3922">
        <v>262733661.29999998</v>
      </c>
      <c r="H3922">
        <v>111506212.2</v>
      </c>
      <c r="I3922">
        <v>112386009.89999999</v>
      </c>
      <c r="J3922">
        <v>18312826.199999999</v>
      </c>
      <c r="K3922">
        <v>0</v>
      </c>
      <c r="L3922">
        <v>5311371.3</v>
      </c>
      <c r="M3922">
        <v>97755.3</v>
      </c>
      <c r="N3922">
        <v>0</v>
      </c>
      <c r="O3922">
        <v>0</v>
      </c>
      <c r="P3922">
        <v>0</v>
      </c>
      <c r="Q3922">
        <v>22027527.599999998</v>
      </c>
      <c r="R3922">
        <v>0</v>
      </c>
      <c r="S3922">
        <v>0</v>
      </c>
      <c r="T3922" s="9">
        <v>45108</v>
      </c>
      <c r="U3922" s="9">
        <v>45473</v>
      </c>
      <c r="V3922">
        <f>SUM(POTABLE_NONPOTABLE_API[[#This Row],[RESIDENTIAL_SINGLEFAMILY_GAL]:[OTHER_GAL]])</f>
        <v>510250080.89999998</v>
      </c>
      <c r="W3922">
        <f>SUM(POTABLE_NONPOTABLE_API[[#This Row],[NONPOTABLE_DEMAND_RESIDENTIAL_RECYCLED_WATER_GAL]:[NONPOTABLE_DEMAND_NONRESIDENTIAL_METERED_IRRIGATION_GAL]])</f>
        <v>22027527.599999998</v>
      </c>
      <c r="X3922" t="str">
        <f>IFERROR(INDEX(Crosswalk_API!$H$2:$H$527, MATCH(POTABLE_NONPOTABLE_API[[#This Row],[PWSID]], CW_PWSID_LIST, 0)), "")</f>
        <v>No</v>
      </c>
    </row>
    <row r="3923" spans="1:24" x14ac:dyDescent="0.25">
      <c r="A3923" t="s">
        <v>1882</v>
      </c>
      <c r="B3923" t="s">
        <v>1883</v>
      </c>
      <c r="C3923" t="s">
        <v>1884</v>
      </c>
      <c r="D3923" t="s">
        <v>1885</v>
      </c>
      <c r="E3923" s="9">
        <v>45383</v>
      </c>
      <c r="F3923" s="9">
        <v>45412</v>
      </c>
      <c r="G3923">
        <v>267425915.70000002</v>
      </c>
      <c r="H3923">
        <v>111669137.7</v>
      </c>
      <c r="I3923">
        <v>107628585.3</v>
      </c>
      <c r="J3923">
        <v>32976121.199999999</v>
      </c>
      <c r="K3923">
        <v>0</v>
      </c>
      <c r="L3923">
        <v>7983349.5</v>
      </c>
      <c r="M3923">
        <v>130340.40000000001</v>
      </c>
      <c r="N3923">
        <v>0</v>
      </c>
      <c r="O3923">
        <v>0</v>
      </c>
      <c r="P3923">
        <v>0</v>
      </c>
      <c r="Q3923">
        <v>38287492.5</v>
      </c>
      <c r="R3923">
        <v>0</v>
      </c>
      <c r="S3923">
        <v>0</v>
      </c>
      <c r="T3923" s="9">
        <v>45108</v>
      </c>
      <c r="U3923" s="9">
        <v>45473</v>
      </c>
      <c r="V3923">
        <f>SUM(POTABLE_NONPOTABLE_API[[#This Row],[RESIDENTIAL_SINGLEFAMILY_GAL]:[OTHER_GAL]])</f>
        <v>527683109.40000004</v>
      </c>
      <c r="W3923">
        <f>SUM(POTABLE_NONPOTABLE_API[[#This Row],[NONPOTABLE_DEMAND_RESIDENTIAL_RECYCLED_WATER_GAL]:[NONPOTABLE_DEMAND_NONRESIDENTIAL_METERED_IRRIGATION_GAL]])</f>
        <v>38287492.5</v>
      </c>
      <c r="X3923" t="str">
        <f>IFERROR(INDEX(Crosswalk_API!$H$2:$H$527, MATCH(POTABLE_NONPOTABLE_API[[#This Row],[PWSID]], CW_PWSID_LIST, 0)), "")</f>
        <v>No</v>
      </c>
    </row>
    <row r="3924" spans="1:24" x14ac:dyDescent="0.25">
      <c r="A3924" t="s">
        <v>1882</v>
      </c>
      <c r="B3924" t="s">
        <v>1883</v>
      </c>
      <c r="C3924" t="s">
        <v>1884</v>
      </c>
      <c r="D3924" t="s">
        <v>1885</v>
      </c>
      <c r="E3924" s="9">
        <v>45413</v>
      </c>
      <c r="F3924" s="9">
        <v>45443</v>
      </c>
      <c r="G3924">
        <v>344587432.5</v>
      </c>
      <c r="H3924">
        <v>116850168.60000001</v>
      </c>
      <c r="I3924">
        <v>130307814.89999999</v>
      </c>
      <c r="J3924">
        <v>80126760.900000006</v>
      </c>
      <c r="K3924">
        <v>0</v>
      </c>
      <c r="L3924">
        <v>11469955.200000001</v>
      </c>
      <c r="M3924">
        <v>162925.5</v>
      </c>
      <c r="N3924">
        <v>0</v>
      </c>
      <c r="O3924">
        <v>0</v>
      </c>
      <c r="P3924">
        <v>0</v>
      </c>
      <c r="Q3924">
        <v>112353424.8</v>
      </c>
      <c r="R3924">
        <v>0</v>
      </c>
      <c r="S3924">
        <v>0</v>
      </c>
      <c r="T3924" s="9">
        <v>45108</v>
      </c>
      <c r="U3924" s="9">
        <v>45473</v>
      </c>
      <c r="V3924">
        <f>SUM(POTABLE_NONPOTABLE_API[[#This Row],[RESIDENTIAL_SINGLEFAMILY_GAL]:[OTHER_GAL]])</f>
        <v>683342132.10000002</v>
      </c>
      <c r="W3924">
        <f>SUM(POTABLE_NONPOTABLE_API[[#This Row],[NONPOTABLE_DEMAND_RESIDENTIAL_RECYCLED_WATER_GAL]:[NONPOTABLE_DEMAND_NONRESIDENTIAL_METERED_IRRIGATION_GAL]])</f>
        <v>112353424.8</v>
      </c>
      <c r="X3924" t="str">
        <f>IFERROR(INDEX(Crosswalk_API!$H$2:$H$527, MATCH(POTABLE_NONPOTABLE_API[[#This Row],[PWSID]], CW_PWSID_LIST, 0)), "")</f>
        <v>No</v>
      </c>
    </row>
    <row r="3925" spans="1:24" x14ac:dyDescent="0.25">
      <c r="A3925" t="s">
        <v>1882</v>
      </c>
      <c r="B3925" t="s">
        <v>1883</v>
      </c>
      <c r="C3925" t="s">
        <v>1884</v>
      </c>
      <c r="D3925" t="s">
        <v>1885</v>
      </c>
      <c r="E3925" s="9">
        <v>45444</v>
      </c>
      <c r="F3925" s="9">
        <v>45473</v>
      </c>
      <c r="G3925">
        <v>426115352.69999999</v>
      </c>
      <c r="H3925">
        <v>124051475.7</v>
      </c>
      <c r="I3925">
        <v>141191238.30000001</v>
      </c>
      <c r="J3925">
        <v>114145605.3</v>
      </c>
      <c r="K3925">
        <v>0</v>
      </c>
      <c r="L3925">
        <v>19518474.899999999</v>
      </c>
      <c r="M3925">
        <v>162925.5</v>
      </c>
      <c r="N3925">
        <v>0</v>
      </c>
      <c r="O3925">
        <v>0</v>
      </c>
      <c r="P3925">
        <v>0</v>
      </c>
      <c r="Q3925">
        <v>132849452.7</v>
      </c>
      <c r="R3925">
        <v>0</v>
      </c>
      <c r="S3925">
        <v>0</v>
      </c>
      <c r="T3925" s="9">
        <v>45108</v>
      </c>
      <c r="U3925" s="9">
        <v>45473</v>
      </c>
      <c r="V3925">
        <f>SUM(POTABLE_NONPOTABLE_API[[#This Row],[RESIDENTIAL_SINGLEFAMILY_GAL]:[OTHER_GAL]])</f>
        <v>825022146.89999998</v>
      </c>
      <c r="W3925">
        <f>SUM(POTABLE_NONPOTABLE_API[[#This Row],[NONPOTABLE_DEMAND_RESIDENTIAL_RECYCLED_WATER_GAL]:[NONPOTABLE_DEMAND_NONRESIDENTIAL_METERED_IRRIGATION_GAL]])</f>
        <v>132849452.7</v>
      </c>
      <c r="X3925" t="str">
        <f>IFERROR(INDEX(Crosswalk_API!$H$2:$H$527, MATCH(POTABLE_NONPOTABLE_API[[#This Row],[PWSID]], CW_PWSID_LIST, 0)), "")</f>
        <v>No</v>
      </c>
    </row>
    <row r="3926" spans="1:24" x14ac:dyDescent="0.25">
      <c r="A3926" t="s">
        <v>1886</v>
      </c>
      <c r="B3926" t="s">
        <v>1887</v>
      </c>
      <c r="C3926" t="s">
        <v>1888</v>
      </c>
      <c r="D3926" t="s">
        <v>1889</v>
      </c>
      <c r="E3926" s="9">
        <v>45108</v>
      </c>
      <c r="F3926" s="9">
        <v>45138</v>
      </c>
      <c r="G3926">
        <v>214024476.26699999</v>
      </c>
      <c r="H3926">
        <v>92043131.970000014</v>
      </c>
      <c r="I3926">
        <v>132589423.602</v>
      </c>
      <c r="J3926">
        <v>157896315.66599998</v>
      </c>
      <c r="K3926">
        <v>25306892.063999999</v>
      </c>
      <c r="L3926">
        <v>1791528.7980000002</v>
      </c>
      <c r="M3926">
        <v>29943425.943</v>
      </c>
      <c r="N3926">
        <v>0</v>
      </c>
      <c r="O3926">
        <v>0</v>
      </c>
      <c r="P3926">
        <v>0</v>
      </c>
      <c r="Q3926">
        <v>24161851.650000002</v>
      </c>
      <c r="R3926">
        <v>0</v>
      </c>
      <c r="S3926">
        <v>0</v>
      </c>
      <c r="T3926" s="9">
        <v>45108</v>
      </c>
      <c r="U3926" s="9">
        <v>45473</v>
      </c>
      <c r="V3926">
        <f>SUM(POTABLE_NONPOTABLE_API[[#This Row],[RESIDENTIAL_SINGLEFAMILY_GAL]:[OTHER_GAL]])</f>
        <v>623651768.36699998</v>
      </c>
      <c r="W3926">
        <f>SUM(POTABLE_NONPOTABLE_API[[#This Row],[NONPOTABLE_DEMAND_RESIDENTIAL_RECYCLED_WATER_GAL]:[NONPOTABLE_DEMAND_NONRESIDENTIAL_METERED_IRRIGATION_GAL]])</f>
        <v>24161851.650000002</v>
      </c>
      <c r="X3926" t="str">
        <f>IFERROR(INDEX(Crosswalk_API!$H$2:$H$527, MATCH(POTABLE_NONPOTABLE_API[[#This Row],[PWSID]], CW_PWSID_LIST, 0)), "")</f>
        <v>No</v>
      </c>
    </row>
    <row r="3927" spans="1:24" x14ac:dyDescent="0.25">
      <c r="A3927" t="s">
        <v>1886</v>
      </c>
      <c r="B3927" t="s">
        <v>1887</v>
      </c>
      <c r="C3927" t="s">
        <v>1888</v>
      </c>
      <c r="D3927" t="s">
        <v>1889</v>
      </c>
      <c r="E3927" s="9">
        <v>45139</v>
      </c>
      <c r="F3927" s="9">
        <v>45169</v>
      </c>
      <c r="G3927">
        <v>253172990.606529</v>
      </c>
      <c r="H3927">
        <v>106175669.88327982</v>
      </c>
      <c r="I3927">
        <v>192940959.1581088</v>
      </c>
      <c r="J3927">
        <v>215790588.68699998</v>
      </c>
      <c r="K3927">
        <v>22849924.085161138</v>
      </c>
      <c r="L3927">
        <v>2160898.04952111</v>
      </c>
      <c r="M3927">
        <v>33635862.628457099</v>
      </c>
      <c r="N3927">
        <v>0</v>
      </c>
      <c r="O3927">
        <v>0</v>
      </c>
      <c r="P3927">
        <v>0</v>
      </c>
      <c r="Q3927">
        <v>15233534.25</v>
      </c>
      <c r="R3927">
        <v>0</v>
      </c>
      <c r="S3927">
        <v>0</v>
      </c>
      <c r="T3927" s="9">
        <v>45108</v>
      </c>
      <c r="U3927" s="9">
        <v>45473</v>
      </c>
      <c r="V3927">
        <f>SUM(POTABLE_NONPOTABLE_API[[#This Row],[RESIDENTIAL_SINGLEFAMILY_GAL]:[OTHER_GAL]])</f>
        <v>793091030.46959972</v>
      </c>
      <c r="W3927">
        <f>SUM(POTABLE_NONPOTABLE_API[[#This Row],[NONPOTABLE_DEMAND_RESIDENTIAL_RECYCLED_WATER_GAL]:[NONPOTABLE_DEMAND_NONRESIDENTIAL_METERED_IRRIGATION_GAL]])</f>
        <v>15233534.25</v>
      </c>
      <c r="X3927" t="str">
        <f>IFERROR(INDEX(Crosswalk_API!$H$2:$H$527, MATCH(POTABLE_NONPOTABLE_API[[#This Row],[PWSID]], CW_PWSID_LIST, 0)), "")</f>
        <v>No</v>
      </c>
    </row>
    <row r="3928" spans="1:24" x14ac:dyDescent="0.25">
      <c r="A3928" t="s">
        <v>1886</v>
      </c>
      <c r="B3928" t="s">
        <v>1887</v>
      </c>
      <c r="C3928" t="s">
        <v>1888</v>
      </c>
      <c r="D3928" t="s">
        <v>1889</v>
      </c>
      <c r="E3928" s="9">
        <v>45170</v>
      </c>
      <c r="F3928" s="9">
        <v>45199</v>
      </c>
      <c r="G3928">
        <v>233568490.57330358</v>
      </c>
      <c r="H3928">
        <v>95058419.067448318</v>
      </c>
      <c r="I3928">
        <v>156138143.22799042</v>
      </c>
      <c r="J3928">
        <v>0</v>
      </c>
      <c r="K3928">
        <v>69947133.527465701</v>
      </c>
      <c r="L3928">
        <v>2527518.3731285702</v>
      </c>
      <c r="M3928">
        <v>45089961.299680196</v>
      </c>
      <c r="N3928">
        <v>0</v>
      </c>
      <c r="O3928">
        <v>0</v>
      </c>
      <c r="P3928">
        <v>0</v>
      </c>
      <c r="Q3928">
        <v>15556126.74</v>
      </c>
      <c r="R3928">
        <v>0</v>
      </c>
      <c r="S3928">
        <v>0</v>
      </c>
      <c r="T3928" s="9">
        <v>45108</v>
      </c>
      <c r="U3928" s="9">
        <v>45473</v>
      </c>
      <c r="V3928">
        <f>SUM(POTABLE_NONPOTABLE_API[[#This Row],[RESIDENTIAL_SINGLEFAMILY_GAL]:[OTHER_GAL]])</f>
        <v>557239704.76933658</v>
      </c>
      <c r="W3928">
        <f>SUM(POTABLE_NONPOTABLE_API[[#This Row],[NONPOTABLE_DEMAND_RESIDENTIAL_RECYCLED_WATER_GAL]:[NONPOTABLE_DEMAND_NONRESIDENTIAL_METERED_IRRIGATION_GAL]])</f>
        <v>15556126.74</v>
      </c>
      <c r="X3928" t="str">
        <f>IFERROR(INDEX(Crosswalk_API!$H$2:$H$527, MATCH(POTABLE_NONPOTABLE_API[[#This Row],[PWSID]], CW_PWSID_LIST, 0)), "")</f>
        <v>No</v>
      </c>
    </row>
    <row r="3929" spans="1:24" x14ac:dyDescent="0.25">
      <c r="A3929" t="s">
        <v>1886</v>
      </c>
      <c r="B3929" t="s">
        <v>1887</v>
      </c>
      <c r="C3929" t="s">
        <v>1888</v>
      </c>
      <c r="D3929" t="s">
        <v>1889</v>
      </c>
      <c r="E3929" s="9">
        <v>45200</v>
      </c>
      <c r="F3929" s="9">
        <v>45230</v>
      </c>
      <c r="G3929">
        <v>206552140.96849501</v>
      </c>
      <c r="H3929">
        <v>92786584.895085737</v>
      </c>
      <c r="I3929">
        <v>147308959.31479493</v>
      </c>
      <c r="J3929">
        <v>0</v>
      </c>
      <c r="K3929">
        <v>62490251.158689</v>
      </c>
      <c r="L3929">
        <v>1215509.8277991901</v>
      </c>
      <c r="M3929">
        <v>21751334.796743911</v>
      </c>
      <c r="N3929">
        <v>0</v>
      </c>
      <c r="O3929">
        <v>0</v>
      </c>
      <c r="P3929">
        <v>0</v>
      </c>
      <c r="Q3929">
        <v>30740783.34</v>
      </c>
      <c r="R3929">
        <v>0</v>
      </c>
      <c r="S3929">
        <v>0</v>
      </c>
      <c r="T3929" s="9">
        <v>45108</v>
      </c>
      <c r="U3929" s="9">
        <v>45473</v>
      </c>
      <c r="V3929">
        <f>SUM(POTABLE_NONPOTABLE_API[[#This Row],[RESIDENTIAL_SINGLEFAMILY_GAL]:[OTHER_GAL]])</f>
        <v>510353446.16486394</v>
      </c>
      <c r="W3929">
        <f>SUM(POTABLE_NONPOTABLE_API[[#This Row],[NONPOTABLE_DEMAND_RESIDENTIAL_RECYCLED_WATER_GAL]:[NONPOTABLE_DEMAND_NONRESIDENTIAL_METERED_IRRIGATION_GAL]])</f>
        <v>30740783.34</v>
      </c>
      <c r="X3929" t="str">
        <f>IFERROR(INDEX(Crosswalk_API!$H$2:$H$527, MATCH(POTABLE_NONPOTABLE_API[[#This Row],[PWSID]], CW_PWSID_LIST, 0)), "")</f>
        <v>No</v>
      </c>
    </row>
    <row r="3930" spans="1:24" x14ac:dyDescent="0.25">
      <c r="A3930" t="s">
        <v>1886</v>
      </c>
      <c r="B3930" t="s">
        <v>1887</v>
      </c>
      <c r="C3930" t="s">
        <v>1888</v>
      </c>
      <c r="D3930" t="s">
        <v>1889</v>
      </c>
      <c r="E3930" s="9">
        <v>45231</v>
      </c>
      <c r="F3930" s="9">
        <v>45260</v>
      </c>
      <c r="G3930">
        <v>219096600.19653976</v>
      </c>
      <c r="H3930">
        <v>90478320.584181696</v>
      </c>
      <c r="I3930">
        <v>131903948.76858798</v>
      </c>
      <c r="J3930">
        <v>80146524.453954116</v>
      </c>
      <c r="K3930">
        <v>59931015.384412795</v>
      </c>
      <c r="L3930">
        <v>7756252.8135468597</v>
      </c>
      <c r="M3930">
        <v>40475527.222032003</v>
      </c>
      <c r="N3930">
        <v>0</v>
      </c>
      <c r="O3930">
        <v>0</v>
      </c>
      <c r="P3930">
        <v>0</v>
      </c>
      <c r="Q3930">
        <v>33204216.900000002</v>
      </c>
      <c r="R3930">
        <v>0</v>
      </c>
      <c r="S3930">
        <v>0</v>
      </c>
      <c r="T3930" s="9">
        <v>45108</v>
      </c>
      <c r="U3930" s="9">
        <v>45473</v>
      </c>
      <c r="V3930">
        <f>SUM(POTABLE_NONPOTABLE_API[[#This Row],[RESIDENTIAL_SINGLEFAMILY_GAL]:[OTHER_GAL]])</f>
        <v>589312662.20122313</v>
      </c>
      <c r="W3930">
        <f>SUM(POTABLE_NONPOTABLE_API[[#This Row],[NONPOTABLE_DEMAND_RESIDENTIAL_RECYCLED_WATER_GAL]:[NONPOTABLE_DEMAND_NONRESIDENTIAL_METERED_IRRIGATION_GAL]])</f>
        <v>33204216.900000002</v>
      </c>
      <c r="X3930" t="str">
        <f>IFERROR(INDEX(Crosswalk_API!$H$2:$H$527, MATCH(POTABLE_NONPOTABLE_API[[#This Row],[PWSID]], CW_PWSID_LIST, 0)), "")</f>
        <v>No</v>
      </c>
    </row>
    <row r="3931" spans="1:24" x14ac:dyDescent="0.25">
      <c r="A3931" t="s">
        <v>1886</v>
      </c>
      <c r="B3931" t="s">
        <v>1887</v>
      </c>
      <c r="C3931" t="s">
        <v>1888</v>
      </c>
      <c r="D3931" t="s">
        <v>1889</v>
      </c>
      <c r="E3931" s="9">
        <v>45261</v>
      </c>
      <c r="F3931" s="9">
        <v>45291</v>
      </c>
      <c r="G3931">
        <v>213717507.28646827</v>
      </c>
      <c r="H3931">
        <v>96147059.261330411</v>
      </c>
      <c r="I3931">
        <v>135703754.12103644</v>
      </c>
      <c r="J3931">
        <v>0</v>
      </c>
      <c r="K3931">
        <v>54121343.7091401</v>
      </c>
      <c r="L3931">
        <v>2509565.1235070699</v>
      </c>
      <c r="M3931">
        <v>29999805.882151682</v>
      </c>
      <c r="N3931">
        <v>0</v>
      </c>
      <c r="O3931">
        <v>0</v>
      </c>
      <c r="P3931">
        <v>0</v>
      </c>
      <c r="Q3931">
        <v>7911662.2800000003</v>
      </c>
      <c r="R3931">
        <v>0</v>
      </c>
      <c r="S3931">
        <v>0</v>
      </c>
      <c r="T3931" s="9">
        <v>45108</v>
      </c>
      <c r="U3931" s="9">
        <v>45473</v>
      </c>
      <c r="V3931">
        <f>SUM(POTABLE_NONPOTABLE_API[[#This Row],[RESIDENTIAL_SINGLEFAMILY_GAL]:[OTHER_GAL]])</f>
        <v>502199229.50148237</v>
      </c>
      <c r="W3931">
        <f>SUM(POTABLE_NONPOTABLE_API[[#This Row],[NONPOTABLE_DEMAND_RESIDENTIAL_RECYCLED_WATER_GAL]:[NONPOTABLE_DEMAND_NONRESIDENTIAL_METERED_IRRIGATION_GAL]])</f>
        <v>7911662.2800000003</v>
      </c>
      <c r="X3931" t="str">
        <f>IFERROR(INDEX(Crosswalk_API!$H$2:$H$527, MATCH(POTABLE_NONPOTABLE_API[[#This Row],[PWSID]], CW_PWSID_LIST, 0)), "")</f>
        <v>No</v>
      </c>
    </row>
    <row r="3932" spans="1:24" x14ac:dyDescent="0.25">
      <c r="A3932" t="s">
        <v>1886</v>
      </c>
      <c r="B3932" t="s">
        <v>1887</v>
      </c>
      <c r="C3932" t="s">
        <v>1888</v>
      </c>
      <c r="D3932" t="s">
        <v>1889</v>
      </c>
      <c r="E3932" s="9">
        <v>45292</v>
      </c>
      <c r="F3932" s="9">
        <v>45322</v>
      </c>
      <c r="G3932">
        <v>196847137.51700854</v>
      </c>
      <c r="H3932">
        <v>88196088.499892086</v>
      </c>
      <c r="I3932">
        <v>110890193.32186547</v>
      </c>
      <c r="J3932">
        <v>48998757.848555334</v>
      </c>
      <c r="K3932">
        <v>63818342.832839191</v>
      </c>
      <c r="L3932">
        <v>841034.95381650003</v>
      </c>
      <c r="M3932">
        <v>14942564.745820379</v>
      </c>
      <c r="N3932">
        <v>0</v>
      </c>
      <c r="O3932">
        <v>0</v>
      </c>
      <c r="P3932">
        <v>0</v>
      </c>
      <c r="Q3932">
        <v>11235342.479999999</v>
      </c>
      <c r="R3932">
        <v>0</v>
      </c>
      <c r="S3932">
        <v>0</v>
      </c>
      <c r="T3932" s="9">
        <v>45108</v>
      </c>
      <c r="U3932" s="9">
        <v>45473</v>
      </c>
      <c r="V3932">
        <f>SUM(POTABLE_NONPOTABLE_API[[#This Row],[RESIDENTIAL_SINGLEFAMILY_GAL]:[OTHER_GAL]])</f>
        <v>509591554.97397709</v>
      </c>
      <c r="W3932">
        <f>SUM(POTABLE_NONPOTABLE_API[[#This Row],[NONPOTABLE_DEMAND_RESIDENTIAL_RECYCLED_WATER_GAL]:[NONPOTABLE_DEMAND_NONRESIDENTIAL_METERED_IRRIGATION_GAL]])</f>
        <v>11235342.479999999</v>
      </c>
      <c r="X3932" t="str">
        <f>IFERROR(INDEX(Crosswalk_API!$H$2:$H$527, MATCH(POTABLE_NONPOTABLE_API[[#This Row],[PWSID]], CW_PWSID_LIST, 0)), "")</f>
        <v>No</v>
      </c>
    </row>
    <row r="3933" spans="1:24" x14ac:dyDescent="0.25">
      <c r="A3933" t="s">
        <v>1886</v>
      </c>
      <c r="B3933" t="s">
        <v>1887</v>
      </c>
      <c r="C3933" t="s">
        <v>1888</v>
      </c>
      <c r="D3933" t="s">
        <v>1889</v>
      </c>
      <c r="E3933" s="9">
        <v>45323</v>
      </c>
      <c r="F3933" s="9">
        <v>45351</v>
      </c>
      <c r="G3933">
        <v>180938687.91874188</v>
      </c>
      <c r="H3933">
        <v>88697807.019569695</v>
      </c>
      <c r="I3933">
        <v>135217595.0745886</v>
      </c>
      <c r="J3933">
        <v>23782221.39284952</v>
      </c>
      <c r="K3933">
        <v>64230145.506215185</v>
      </c>
      <c r="L3933">
        <v>832881.18750201003</v>
      </c>
      <c r="M3933">
        <v>10452232.517178271</v>
      </c>
      <c r="N3933">
        <v>0</v>
      </c>
      <c r="O3933">
        <v>0</v>
      </c>
      <c r="P3933">
        <v>0</v>
      </c>
      <c r="Q3933">
        <v>3457279.11</v>
      </c>
      <c r="R3933">
        <v>0</v>
      </c>
      <c r="S3933">
        <v>0</v>
      </c>
      <c r="T3933" s="9">
        <v>45108</v>
      </c>
      <c r="U3933" s="9">
        <v>45473</v>
      </c>
      <c r="V3933">
        <f>SUM(POTABLE_NONPOTABLE_API[[#This Row],[RESIDENTIAL_SINGLEFAMILY_GAL]:[OTHER_GAL]])</f>
        <v>493699338.09946692</v>
      </c>
      <c r="W3933">
        <f>SUM(POTABLE_NONPOTABLE_API[[#This Row],[NONPOTABLE_DEMAND_RESIDENTIAL_RECYCLED_WATER_GAL]:[NONPOTABLE_DEMAND_NONRESIDENTIAL_METERED_IRRIGATION_GAL]])</f>
        <v>3457279.11</v>
      </c>
      <c r="X3933" t="str">
        <f>IFERROR(INDEX(Crosswalk_API!$H$2:$H$527, MATCH(POTABLE_NONPOTABLE_API[[#This Row],[PWSID]], CW_PWSID_LIST, 0)), "")</f>
        <v>No</v>
      </c>
    </row>
    <row r="3934" spans="1:24" x14ac:dyDescent="0.25">
      <c r="A3934" t="s">
        <v>1886</v>
      </c>
      <c r="B3934" t="s">
        <v>1887</v>
      </c>
      <c r="C3934" t="s">
        <v>1888</v>
      </c>
      <c r="D3934" t="s">
        <v>1889</v>
      </c>
      <c r="E3934" s="9">
        <v>45352</v>
      </c>
      <c r="F3934" s="9">
        <v>45382</v>
      </c>
      <c r="G3934">
        <v>177048817.09572968</v>
      </c>
      <c r="H3934">
        <v>82900478.192414314</v>
      </c>
      <c r="I3934">
        <v>140960166.49202767</v>
      </c>
      <c r="J3934">
        <v>13117467.279610919</v>
      </c>
      <c r="K3934">
        <v>25726782.779543791</v>
      </c>
      <c r="L3934">
        <v>446437.47392129997</v>
      </c>
      <c r="M3934">
        <v>9822522.276114</v>
      </c>
      <c r="N3934">
        <v>0</v>
      </c>
      <c r="O3934">
        <v>0</v>
      </c>
      <c r="P3934">
        <v>0</v>
      </c>
      <c r="Q3934">
        <v>7986608.0100000007</v>
      </c>
      <c r="R3934">
        <v>0</v>
      </c>
      <c r="S3934">
        <v>0</v>
      </c>
      <c r="T3934" s="9">
        <v>45108</v>
      </c>
      <c r="U3934" s="9">
        <v>45473</v>
      </c>
      <c r="V3934">
        <f>SUM(POTABLE_NONPOTABLE_API[[#This Row],[RESIDENTIAL_SINGLEFAMILY_GAL]:[OTHER_GAL]])</f>
        <v>440200149.31324768</v>
      </c>
      <c r="W3934">
        <f>SUM(POTABLE_NONPOTABLE_API[[#This Row],[NONPOTABLE_DEMAND_RESIDENTIAL_RECYCLED_WATER_GAL]:[NONPOTABLE_DEMAND_NONRESIDENTIAL_METERED_IRRIGATION_GAL]])</f>
        <v>7986608.0100000007</v>
      </c>
      <c r="X3934" t="str">
        <f>IFERROR(INDEX(Crosswalk_API!$H$2:$H$527, MATCH(POTABLE_NONPOTABLE_API[[#This Row],[PWSID]], CW_PWSID_LIST, 0)), "")</f>
        <v>No</v>
      </c>
    </row>
    <row r="3935" spans="1:24" x14ac:dyDescent="0.25">
      <c r="A3935" t="s">
        <v>1886</v>
      </c>
      <c r="B3935" t="s">
        <v>1887</v>
      </c>
      <c r="C3935" t="s">
        <v>1888</v>
      </c>
      <c r="D3935" t="s">
        <v>1889</v>
      </c>
      <c r="E3935" s="9">
        <v>45383</v>
      </c>
      <c r="F3935" s="9">
        <v>45412</v>
      </c>
      <c r="G3935">
        <v>191240113.13584104</v>
      </c>
      <c r="H3935">
        <v>87972794.94102484</v>
      </c>
      <c r="I3935">
        <v>130837675.32948944</v>
      </c>
      <c r="J3935">
        <v>27642394.550001454</v>
      </c>
      <c r="K3935">
        <v>49800669.678016379</v>
      </c>
      <c r="L3935">
        <v>529770.4783209</v>
      </c>
      <c r="M3935">
        <v>35928791.876456581</v>
      </c>
      <c r="N3935">
        <v>0</v>
      </c>
      <c r="O3935">
        <v>0</v>
      </c>
      <c r="P3935">
        <v>0</v>
      </c>
      <c r="Q3935">
        <v>14881615.17</v>
      </c>
      <c r="R3935">
        <v>0</v>
      </c>
      <c r="S3935">
        <v>0</v>
      </c>
      <c r="T3935" s="9">
        <v>45108</v>
      </c>
      <c r="U3935" s="9">
        <v>45473</v>
      </c>
      <c r="V3935">
        <f>SUM(POTABLE_NONPOTABLE_API[[#This Row],[RESIDENTIAL_SINGLEFAMILY_GAL]:[OTHER_GAL]])</f>
        <v>488023418.11269408</v>
      </c>
      <c r="W3935">
        <f>SUM(POTABLE_NONPOTABLE_API[[#This Row],[NONPOTABLE_DEMAND_RESIDENTIAL_RECYCLED_WATER_GAL]:[NONPOTABLE_DEMAND_NONRESIDENTIAL_METERED_IRRIGATION_GAL]])</f>
        <v>14881615.17</v>
      </c>
      <c r="X3935" t="str">
        <f>IFERROR(INDEX(Crosswalk_API!$H$2:$H$527, MATCH(POTABLE_NONPOTABLE_API[[#This Row],[PWSID]], CW_PWSID_LIST, 0)), "")</f>
        <v>No</v>
      </c>
    </row>
    <row r="3936" spans="1:24" x14ac:dyDescent="0.25">
      <c r="A3936" t="s">
        <v>1886</v>
      </c>
      <c r="B3936" t="s">
        <v>1887</v>
      </c>
      <c r="C3936" t="s">
        <v>1888</v>
      </c>
      <c r="D3936" t="s">
        <v>1889</v>
      </c>
      <c r="E3936" s="9">
        <v>45413</v>
      </c>
      <c r="F3936" s="9">
        <v>45443</v>
      </c>
      <c r="G3936">
        <v>198470634.95141721</v>
      </c>
      <c r="H3936">
        <v>88718154.035807401</v>
      </c>
      <c r="I3936">
        <v>141316912.52671406</v>
      </c>
      <c r="J3936">
        <v>43394276.848490693</v>
      </c>
      <c r="K3936">
        <v>62574257.403839692</v>
      </c>
      <c r="L3936">
        <v>835349.75973227993</v>
      </c>
      <c r="M3936">
        <v>24970876.151830532</v>
      </c>
      <c r="N3936">
        <v>0</v>
      </c>
      <c r="O3936">
        <v>0</v>
      </c>
      <c r="P3936">
        <v>0</v>
      </c>
      <c r="Q3936">
        <v>13050332.549999999</v>
      </c>
      <c r="R3936">
        <v>0</v>
      </c>
      <c r="S3936">
        <v>0</v>
      </c>
      <c r="T3936" s="9">
        <v>45108</v>
      </c>
      <c r="U3936" s="9">
        <v>45473</v>
      </c>
      <c r="V3936">
        <f>SUM(POTABLE_NONPOTABLE_API[[#This Row],[RESIDENTIAL_SINGLEFAMILY_GAL]:[OTHER_GAL]])</f>
        <v>535309585.52600139</v>
      </c>
      <c r="W3936">
        <f>SUM(POTABLE_NONPOTABLE_API[[#This Row],[NONPOTABLE_DEMAND_RESIDENTIAL_RECYCLED_WATER_GAL]:[NONPOTABLE_DEMAND_NONRESIDENTIAL_METERED_IRRIGATION_GAL]])</f>
        <v>13050332.549999999</v>
      </c>
      <c r="X3936" t="str">
        <f>IFERROR(INDEX(Crosswalk_API!$H$2:$H$527, MATCH(POTABLE_NONPOTABLE_API[[#This Row],[PWSID]], CW_PWSID_LIST, 0)), "")</f>
        <v>No</v>
      </c>
    </row>
    <row r="3937" spans="1:24" x14ac:dyDescent="0.25">
      <c r="A3937" t="s">
        <v>1886</v>
      </c>
      <c r="B3937" t="s">
        <v>1887</v>
      </c>
      <c r="C3937" t="s">
        <v>1888</v>
      </c>
      <c r="D3937" t="s">
        <v>1889</v>
      </c>
      <c r="E3937" s="9">
        <v>45444</v>
      </c>
      <c r="F3937" s="9">
        <v>45473</v>
      </c>
      <c r="G3937">
        <v>213231572.65360415</v>
      </c>
      <c r="H3937">
        <v>92220907.911004826</v>
      </c>
      <c r="I3937">
        <v>154785814.67499748</v>
      </c>
      <c r="J3937">
        <v>76162698.287997544</v>
      </c>
      <c r="K3937">
        <v>57805723.011749998</v>
      </c>
      <c r="L3937">
        <v>2049438.2873811601</v>
      </c>
      <c r="M3937">
        <v>259551855.21772367</v>
      </c>
      <c r="N3937">
        <v>0</v>
      </c>
      <c r="O3937">
        <v>0</v>
      </c>
      <c r="P3937">
        <v>0</v>
      </c>
      <c r="Q3937">
        <v>9400801.3499999996</v>
      </c>
      <c r="R3937">
        <v>0</v>
      </c>
      <c r="S3937">
        <v>0</v>
      </c>
      <c r="T3937" s="9">
        <v>45108</v>
      </c>
      <c r="U3937" s="9">
        <v>45473</v>
      </c>
      <c r="V3937">
        <f>SUM(POTABLE_NONPOTABLE_API[[#This Row],[RESIDENTIAL_SINGLEFAMILY_GAL]:[OTHER_GAL]])</f>
        <v>596256154.82673526</v>
      </c>
      <c r="W3937">
        <f>SUM(POTABLE_NONPOTABLE_API[[#This Row],[NONPOTABLE_DEMAND_RESIDENTIAL_RECYCLED_WATER_GAL]:[NONPOTABLE_DEMAND_NONRESIDENTIAL_METERED_IRRIGATION_GAL]])</f>
        <v>9400801.3499999996</v>
      </c>
      <c r="X3937" t="str">
        <f>IFERROR(INDEX(Crosswalk_API!$H$2:$H$527, MATCH(POTABLE_NONPOTABLE_API[[#This Row],[PWSID]], CW_PWSID_LIST, 0)), "")</f>
        <v>No</v>
      </c>
    </row>
    <row r="3938" spans="1:24" x14ac:dyDescent="0.25">
      <c r="A3938" t="s">
        <v>1890</v>
      </c>
      <c r="B3938" t="s">
        <v>1891</v>
      </c>
      <c r="C3938" t="s">
        <v>1892</v>
      </c>
      <c r="D3938" t="s">
        <v>1893</v>
      </c>
      <c r="E3938" s="9">
        <v>45108</v>
      </c>
      <c r="F3938" s="9">
        <v>45138</v>
      </c>
      <c r="G3938">
        <v>197233634.47600001</v>
      </c>
      <c r="H3938">
        <v>57646383.223999999</v>
      </c>
      <c r="I3938">
        <v>54568897.296000004</v>
      </c>
      <c r="J3938">
        <v>19946806.580000002</v>
      </c>
      <c r="K3938">
        <v>0</v>
      </c>
      <c r="L3938">
        <v>2080332.612</v>
      </c>
      <c r="M3938">
        <v>2084072.872</v>
      </c>
      <c r="N3938">
        <v>0</v>
      </c>
      <c r="O3938">
        <v>0</v>
      </c>
      <c r="Q3938">
        <v>74072109.040000007</v>
      </c>
      <c r="R3938">
        <v>0</v>
      </c>
      <c r="T3938" s="9">
        <v>45108</v>
      </c>
      <c r="U3938" s="9">
        <v>45473</v>
      </c>
      <c r="V3938">
        <f>SUM(POTABLE_NONPOTABLE_API[[#This Row],[RESIDENTIAL_SINGLEFAMILY_GAL]:[OTHER_GAL]])</f>
        <v>331476054.18800002</v>
      </c>
      <c r="W3938">
        <f>SUM(POTABLE_NONPOTABLE_API[[#This Row],[NONPOTABLE_DEMAND_RESIDENTIAL_RECYCLED_WATER_GAL]:[NONPOTABLE_DEMAND_NONRESIDENTIAL_METERED_IRRIGATION_GAL]])</f>
        <v>74072109.040000007</v>
      </c>
      <c r="X3938" t="str">
        <f>IFERROR(INDEX(Crosswalk_API!$H$2:$H$527, MATCH(POTABLE_NONPOTABLE_API[[#This Row],[PWSID]], CW_PWSID_LIST, 0)), "")</f>
        <v>No</v>
      </c>
    </row>
    <row r="3939" spans="1:24" x14ac:dyDescent="0.25">
      <c r="A3939" t="s">
        <v>1890</v>
      </c>
      <c r="B3939" t="s">
        <v>1891</v>
      </c>
      <c r="C3939" t="s">
        <v>1892</v>
      </c>
      <c r="D3939" t="s">
        <v>1893</v>
      </c>
      <c r="E3939" s="9">
        <v>45139</v>
      </c>
      <c r="F3939" s="9">
        <v>45169</v>
      </c>
      <c r="G3939">
        <v>175656822.588</v>
      </c>
      <c r="H3939">
        <v>48381011.152000003</v>
      </c>
      <c r="I3939">
        <v>35085134.903999999</v>
      </c>
      <c r="J3939">
        <v>21094318.348000001</v>
      </c>
      <c r="K3939">
        <v>0</v>
      </c>
      <c r="L3939">
        <v>4032000.2800000003</v>
      </c>
      <c r="M3939">
        <v>2105766.38</v>
      </c>
      <c r="N3939">
        <v>0</v>
      </c>
      <c r="O3939">
        <v>0</v>
      </c>
      <c r="P3939">
        <v>0</v>
      </c>
      <c r="Q3939">
        <v>58244764.979840003</v>
      </c>
      <c r="R3939">
        <v>0</v>
      </c>
      <c r="T3939" s="9">
        <v>45108</v>
      </c>
      <c r="U3939" s="9">
        <v>45473</v>
      </c>
      <c r="V3939">
        <f>SUM(POTABLE_NONPOTABLE_API[[#This Row],[RESIDENTIAL_SINGLEFAMILY_GAL]:[OTHER_GAL]])</f>
        <v>284249287.27199996</v>
      </c>
      <c r="W3939">
        <f>SUM(POTABLE_NONPOTABLE_API[[#This Row],[NONPOTABLE_DEMAND_RESIDENTIAL_RECYCLED_WATER_GAL]:[NONPOTABLE_DEMAND_NONRESIDENTIAL_METERED_IRRIGATION_GAL]])</f>
        <v>58244764.979840003</v>
      </c>
      <c r="X3939" t="str">
        <f>IFERROR(INDEX(Crosswalk_API!$H$2:$H$527, MATCH(POTABLE_NONPOTABLE_API[[#This Row],[PWSID]], CW_PWSID_LIST, 0)), "")</f>
        <v>No</v>
      </c>
    </row>
    <row r="3940" spans="1:24" x14ac:dyDescent="0.25">
      <c r="A3940" t="s">
        <v>1890</v>
      </c>
      <c r="B3940" t="s">
        <v>1891</v>
      </c>
      <c r="C3940" t="s">
        <v>1892</v>
      </c>
      <c r="D3940" t="s">
        <v>1893</v>
      </c>
      <c r="E3940" s="9">
        <v>45170</v>
      </c>
      <c r="F3940" s="9">
        <v>45199</v>
      </c>
      <c r="G3940">
        <v>191772854.87600002</v>
      </c>
      <c r="H3940">
        <v>60079796.380000003</v>
      </c>
      <c r="I3940">
        <v>41439088.592</v>
      </c>
      <c r="J3940">
        <v>23489580.852000002</v>
      </c>
      <c r="K3940">
        <v>0</v>
      </c>
      <c r="L3940">
        <v>2194784.568</v>
      </c>
      <c r="M3940">
        <v>1603823.4880000001</v>
      </c>
      <c r="N3940">
        <v>0</v>
      </c>
      <c r="O3940">
        <v>0</v>
      </c>
      <c r="P3940">
        <v>0</v>
      </c>
      <c r="Q3940">
        <v>59213643.719999999</v>
      </c>
      <c r="R3940">
        <v>0</v>
      </c>
      <c r="S3940">
        <v>0</v>
      </c>
      <c r="T3940" s="9">
        <v>45108</v>
      </c>
      <c r="U3940" s="9">
        <v>45473</v>
      </c>
      <c r="V3940">
        <f>SUM(POTABLE_NONPOTABLE_API[[#This Row],[RESIDENTIAL_SINGLEFAMILY_GAL]:[OTHER_GAL]])</f>
        <v>318976105.26800001</v>
      </c>
      <c r="W3940">
        <f>SUM(POTABLE_NONPOTABLE_API[[#This Row],[NONPOTABLE_DEMAND_RESIDENTIAL_RECYCLED_WATER_GAL]:[NONPOTABLE_DEMAND_NONRESIDENTIAL_METERED_IRRIGATION_GAL]])</f>
        <v>59213643.719999999</v>
      </c>
      <c r="X3940" t="str">
        <f>IFERROR(INDEX(Crosswalk_API!$H$2:$H$527, MATCH(POTABLE_NONPOTABLE_API[[#This Row],[PWSID]], CW_PWSID_LIST, 0)), "")</f>
        <v>No</v>
      </c>
    </row>
    <row r="3941" spans="1:24" x14ac:dyDescent="0.25">
      <c r="A3941" t="s">
        <v>1890</v>
      </c>
      <c r="B3941" t="s">
        <v>1891</v>
      </c>
      <c r="C3941" t="s">
        <v>1892</v>
      </c>
      <c r="D3941" t="s">
        <v>1893</v>
      </c>
      <c r="E3941" s="9">
        <v>45200</v>
      </c>
      <c r="F3941" s="9">
        <v>45230</v>
      </c>
      <c r="G3941">
        <v>146953319.296</v>
      </c>
      <c r="H3941">
        <v>48048128.012000002</v>
      </c>
      <c r="I3941">
        <v>31406215.168000001</v>
      </c>
      <c r="J3941">
        <v>17425123.287999999</v>
      </c>
      <c r="K3941">
        <v>0</v>
      </c>
      <c r="L3941">
        <v>1809537.7879999999</v>
      </c>
      <c r="M3941">
        <v>1344997.496</v>
      </c>
      <c r="N3941">
        <v>0</v>
      </c>
      <c r="O3941">
        <v>0</v>
      </c>
      <c r="P3941">
        <v>0</v>
      </c>
      <c r="Q3941">
        <v>44876199.719999999</v>
      </c>
      <c r="R3941">
        <v>0</v>
      </c>
      <c r="S3941">
        <v>0</v>
      </c>
      <c r="T3941" s="9">
        <v>45108</v>
      </c>
      <c r="U3941" s="9">
        <v>45473</v>
      </c>
      <c r="V3941">
        <f>SUM(POTABLE_NONPOTABLE_API[[#This Row],[RESIDENTIAL_SINGLEFAMILY_GAL]:[OTHER_GAL]])</f>
        <v>245642323.55199999</v>
      </c>
      <c r="W3941">
        <f>SUM(POTABLE_NONPOTABLE_API[[#This Row],[NONPOTABLE_DEMAND_RESIDENTIAL_RECYCLED_WATER_GAL]:[NONPOTABLE_DEMAND_NONRESIDENTIAL_METERED_IRRIGATION_GAL]])</f>
        <v>44876199.719999999</v>
      </c>
      <c r="X3941" t="str">
        <f>IFERROR(INDEX(Crosswalk_API!$H$2:$H$527, MATCH(POTABLE_NONPOTABLE_API[[#This Row],[PWSID]], CW_PWSID_LIST, 0)), "")</f>
        <v>No</v>
      </c>
    </row>
    <row r="3942" spans="1:24" x14ac:dyDescent="0.25">
      <c r="A3942" t="s">
        <v>1890</v>
      </c>
      <c r="B3942" t="s">
        <v>1891</v>
      </c>
      <c r="C3942" t="s">
        <v>1892</v>
      </c>
      <c r="D3942" t="s">
        <v>1893</v>
      </c>
      <c r="E3942" s="9">
        <v>45231</v>
      </c>
      <c r="F3942" s="9">
        <v>45260</v>
      </c>
      <c r="G3942">
        <v>150852914.37200001</v>
      </c>
      <c r="H3942">
        <v>46198195.416000001</v>
      </c>
      <c r="I3942">
        <v>29426121.524</v>
      </c>
      <c r="J3942">
        <v>15814567.332</v>
      </c>
      <c r="K3942">
        <v>0</v>
      </c>
      <c r="L3942">
        <v>1260467.6200000001</v>
      </c>
      <c r="M3942">
        <v>1558940.368</v>
      </c>
      <c r="N3942">
        <v>0</v>
      </c>
      <c r="O3942">
        <v>0</v>
      </c>
      <c r="P3942">
        <v>0</v>
      </c>
      <c r="Q3942">
        <v>69833287.343040004</v>
      </c>
      <c r="R3942">
        <v>0</v>
      </c>
      <c r="T3942" s="9">
        <v>45108</v>
      </c>
      <c r="U3942" s="9">
        <v>45473</v>
      </c>
      <c r="V3942">
        <f>SUM(POTABLE_NONPOTABLE_API[[#This Row],[RESIDENTIAL_SINGLEFAMILY_GAL]:[OTHER_GAL]])</f>
        <v>243552266.264</v>
      </c>
      <c r="W3942">
        <f>SUM(POTABLE_NONPOTABLE_API[[#This Row],[NONPOTABLE_DEMAND_RESIDENTIAL_RECYCLED_WATER_GAL]:[NONPOTABLE_DEMAND_NONRESIDENTIAL_METERED_IRRIGATION_GAL]])</f>
        <v>69833287.343040004</v>
      </c>
      <c r="X3942" t="str">
        <f>IFERROR(INDEX(Crosswalk_API!$H$2:$H$527, MATCH(POTABLE_NONPOTABLE_API[[#This Row],[PWSID]], CW_PWSID_LIST, 0)), "")</f>
        <v>No</v>
      </c>
    </row>
    <row r="3943" spans="1:24" x14ac:dyDescent="0.25">
      <c r="A3943" t="s">
        <v>1890</v>
      </c>
      <c r="B3943" t="s">
        <v>1891</v>
      </c>
      <c r="C3943" t="s">
        <v>1892</v>
      </c>
      <c r="D3943" t="s">
        <v>1893</v>
      </c>
      <c r="E3943" s="9">
        <v>45261</v>
      </c>
      <c r="F3943" s="9">
        <v>45291</v>
      </c>
      <c r="G3943">
        <v>120372039.528</v>
      </c>
      <c r="H3943">
        <v>45696252.524000004</v>
      </c>
      <c r="I3943">
        <v>26927627.844000001</v>
      </c>
      <c r="J3943">
        <v>12323408.648</v>
      </c>
      <c r="K3943">
        <v>0</v>
      </c>
      <c r="L3943">
        <v>1245506.58</v>
      </c>
      <c r="M3943">
        <v>296976.64400000003</v>
      </c>
      <c r="N3943">
        <v>0</v>
      </c>
      <c r="O3943">
        <v>0</v>
      </c>
      <c r="P3943">
        <v>0</v>
      </c>
      <c r="Q3943">
        <v>58614369.992519997</v>
      </c>
      <c r="R3943">
        <v>0</v>
      </c>
      <c r="T3943" s="9">
        <v>45108</v>
      </c>
      <c r="U3943" s="9">
        <v>45473</v>
      </c>
      <c r="V3943">
        <f>SUM(POTABLE_NONPOTABLE_API[[#This Row],[RESIDENTIAL_SINGLEFAMILY_GAL]:[OTHER_GAL]])</f>
        <v>206564835.12400001</v>
      </c>
      <c r="W3943">
        <f>SUM(POTABLE_NONPOTABLE_API[[#This Row],[NONPOTABLE_DEMAND_RESIDENTIAL_RECYCLED_WATER_GAL]:[NONPOTABLE_DEMAND_NONRESIDENTIAL_METERED_IRRIGATION_GAL]])</f>
        <v>58614369.992519997</v>
      </c>
      <c r="X3943" t="str">
        <f>IFERROR(INDEX(Crosswalk_API!$H$2:$H$527, MATCH(POTABLE_NONPOTABLE_API[[#This Row],[PWSID]], CW_PWSID_LIST, 0)), "")</f>
        <v>No</v>
      </c>
    </row>
    <row r="3944" spans="1:24" x14ac:dyDescent="0.25">
      <c r="A3944" t="s">
        <v>1890</v>
      </c>
      <c r="B3944" t="s">
        <v>1891</v>
      </c>
      <c r="C3944" t="s">
        <v>1892</v>
      </c>
      <c r="D3944" t="s">
        <v>1893</v>
      </c>
      <c r="E3944" s="9">
        <v>45292</v>
      </c>
      <c r="F3944" s="9">
        <v>45322</v>
      </c>
      <c r="G3944">
        <v>133849692.412</v>
      </c>
      <c r="H3944">
        <v>54105105.056000002</v>
      </c>
      <c r="I3944">
        <v>30919233.316</v>
      </c>
      <c r="J3944">
        <v>9782276.0040000007</v>
      </c>
      <c r="K3944">
        <v>0</v>
      </c>
      <c r="L3944">
        <v>786950.70400000003</v>
      </c>
      <c r="M3944">
        <v>242368.848</v>
      </c>
      <c r="N3944">
        <v>0</v>
      </c>
      <c r="O3944">
        <v>0</v>
      </c>
      <c r="P3944">
        <v>0</v>
      </c>
      <c r="Q3944">
        <v>40210013.399999999</v>
      </c>
      <c r="R3944">
        <v>0</v>
      </c>
      <c r="S3944">
        <v>0</v>
      </c>
      <c r="T3944" s="9">
        <v>45108</v>
      </c>
      <c r="U3944" s="9">
        <v>45473</v>
      </c>
      <c r="V3944">
        <f>SUM(POTABLE_NONPOTABLE_API[[#This Row],[RESIDENTIAL_SINGLEFAMILY_GAL]:[OTHER_GAL]])</f>
        <v>229443257.49199998</v>
      </c>
      <c r="W3944">
        <f>SUM(POTABLE_NONPOTABLE_API[[#This Row],[NONPOTABLE_DEMAND_RESIDENTIAL_RECYCLED_WATER_GAL]:[NONPOTABLE_DEMAND_NONRESIDENTIAL_METERED_IRRIGATION_GAL]])</f>
        <v>40210013.399999999</v>
      </c>
      <c r="X3944" t="str">
        <f>IFERROR(INDEX(Crosswalk_API!$H$2:$H$527, MATCH(POTABLE_NONPOTABLE_API[[#This Row],[PWSID]], CW_PWSID_LIST, 0)), "")</f>
        <v>No</v>
      </c>
    </row>
    <row r="3945" spans="1:24" x14ac:dyDescent="0.25">
      <c r="A3945" t="s">
        <v>1890</v>
      </c>
      <c r="B3945" t="s">
        <v>1891</v>
      </c>
      <c r="C3945" t="s">
        <v>1892</v>
      </c>
      <c r="D3945" t="s">
        <v>1893</v>
      </c>
      <c r="E3945" s="9">
        <v>45323</v>
      </c>
      <c r="F3945" s="9">
        <v>45351</v>
      </c>
      <c r="G3945">
        <v>90770125.784000009</v>
      </c>
      <c r="H3945">
        <v>41769727.575999998</v>
      </c>
      <c r="I3945">
        <v>23280874.344000001</v>
      </c>
      <c r="J3945">
        <v>3965423.6520000002</v>
      </c>
      <c r="K3945">
        <v>0</v>
      </c>
      <c r="L3945">
        <v>600685.75600000005</v>
      </c>
      <c r="M3945">
        <v>9724.6759999999995</v>
      </c>
      <c r="N3945">
        <v>0</v>
      </c>
      <c r="O3945">
        <v>0</v>
      </c>
      <c r="P3945">
        <v>0</v>
      </c>
      <c r="Q3945">
        <v>40340353.799999997</v>
      </c>
      <c r="R3945">
        <v>0</v>
      </c>
      <c r="S3945">
        <v>0</v>
      </c>
      <c r="T3945" s="9">
        <v>45108</v>
      </c>
      <c r="U3945" s="9">
        <v>45473</v>
      </c>
      <c r="V3945">
        <f>SUM(POTABLE_NONPOTABLE_API[[#This Row],[RESIDENTIAL_SINGLEFAMILY_GAL]:[OTHER_GAL]])</f>
        <v>160386837.11200005</v>
      </c>
      <c r="W3945">
        <f>SUM(POTABLE_NONPOTABLE_API[[#This Row],[NONPOTABLE_DEMAND_RESIDENTIAL_RECYCLED_WATER_GAL]:[NONPOTABLE_DEMAND_NONRESIDENTIAL_METERED_IRRIGATION_GAL]])</f>
        <v>40340353.799999997</v>
      </c>
      <c r="X3945" t="str">
        <f>IFERROR(INDEX(Crosswalk_API!$H$2:$H$527, MATCH(POTABLE_NONPOTABLE_API[[#This Row],[PWSID]], CW_PWSID_LIST, 0)), "")</f>
        <v>No</v>
      </c>
    </row>
    <row r="3946" spans="1:24" x14ac:dyDescent="0.25">
      <c r="A3946" t="s">
        <v>1890</v>
      </c>
      <c r="B3946" t="s">
        <v>1891</v>
      </c>
      <c r="C3946" t="s">
        <v>1892</v>
      </c>
      <c r="D3946" t="s">
        <v>1893</v>
      </c>
      <c r="E3946" s="9">
        <v>45352</v>
      </c>
      <c r="F3946" s="9">
        <v>45382</v>
      </c>
      <c r="G3946">
        <v>86001294.284000009</v>
      </c>
      <c r="H3946">
        <v>41632086.008000001</v>
      </c>
      <c r="I3946">
        <v>22823066.52</v>
      </c>
      <c r="J3946">
        <v>2461839.1320000002</v>
      </c>
      <c r="K3946">
        <v>0</v>
      </c>
      <c r="L3946">
        <v>492966.26800000004</v>
      </c>
      <c r="M3946">
        <v>100987.02</v>
      </c>
      <c r="N3946">
        <v>0</v>
      </c>
      <c r="O3946">
        <v>0</v>
      </c>
      <c r="P3946">
        <v>0</v>
      </c>
      <c r="Q3946">
        <v>47127830.129999995</v>
      </c>
      <c r="R3946">
        <v>0</v>
      </c>
      <c r="T3946" s="9">
        <v>45108</v>
      </c>
      <c r="U3946" s="9">
        <v>45473</v>
      </c>
      <c r="V3946">
        <f>SUM(POTABLE_NONPOTABLE_API[[#This Row],[RESIDENTIAL_SINGLEFAMILY_GAL]:[OTHER_GAL]])</f>
        <v>153411252.21200001</v>
      </c>
      <c r="W3946">
        <f>SUM(POTABLE_NONPOTABLE_API[[#This Row],[NONPOTABLE_DEMAND_RESIDENTIAL_RECYCLED_WATER_GAL]:[NONPOTABLE_DEMAND_NONRESIDENTIAL_METERED_IRRIGATION_GAL]])</f>
        <v>47127830.129999995</v>
      </c>
      <c r="X3946" t="str">
        <f>IFERROR(INDEX(Crosswalk_API!$H$2:$H$527, MATCH(POTABLE_NONPOTABLE_API[[#This Row],[PWSID]], CW_PWSID_LIST, 0)), "")</f>
        <v>No</v>
      </c>
    </row>
    <row r="3947" spans="1:24" x14ac:dyDescent="0.25">
      <c r="A3947" t="s">
        <v>1890</v>
      </c>
      <c r="B3947" t="s">
        <v>1891</v>
      </c>
      <c r="C3947" t="s">
        <v>1892</v>
      </c>
      <c r="D3947" t="s">
        <v>1893</v>
      </c>
      <c r="E3947" s="9">
        <v>45383</v>
      </c>
      <c r="F3947" s="9">
        <v>45412</v>
      </c>
      <c r="G3947">
        <v>112016298.68800001</v>
      </c>
      <c r="H3947">
        <v>51711338.656000003</v>
      </c>
      <c r="I3947">
        <v>30578121.604000002</v>
      </c>
      <c r="J3947">
        <v>5040374.3760000002</v>
      </c>
      <c r="K3947">
        <v>0</v>
      </c>
      <c r="L3947">
        <v>692696.152</v>
      </c>
      <c r="M3947">
        <v>240124.69200000001</v>
      </c>
      <c r="N3947">
        <v>0</v>
      </c>
      <c r="O3947">
        <v>0</v>
      </c>
      <c r="Q3947">
        <v>47339797.573200002</v>
      </c>
      <c r="R3947">
        <v>0</v>
      </c>
      <c r="T3947" s="9">
        <v>45108</v>
      </c>
      <c r="U3947" s="9">
        <v>45473</v>
      </c>
      <c r="V3947">
        <f>SUM(POTABLE_NONPOTABLE_API[[#This Row],[RESIDENTIAL_SINGLEFAMILY_GAL]:[OTHER_GAL]])</f>
        <v>200038829.47600001</v>
      </c>
      <c r="W3947">
        <f>SUM(POTABLE_NONPOTABLE_API[[#This Row],[NONPOTABLE_DEMAND_RESIDENTIAL_RECYCLED_WATER_GAL]:[NONPOTABLE_DEMAND_NONRESIDENTIAL_METERED_IRRIGATION_GAL]])</f>
        <v>47339797.573200002</v>
      </c>
      <c r="X3947" t="str">
        <f>IFERROR(INDEX(Crosswalk_API!$H$2:$H$527, MATCH(POTABLE_NONPOTABLE_API[[#This Row],[PWSID]], CW_PWSID_LIST, 0)), "")</f>
        <v>No</v>
      </c>
    </row>
    <row r="3948" spans="1:24" x14ac:dyDescent="0.25">
      <c r="A3948" t="s">
        <v>1890</v>
      </c>
      <c r="B3948" t="s">
        <v>1891</v>
      </c>
      <c r="C3948" t="s">
        <v>1892</v>
      </c>
      <c r="D3948" t="s">
        <v>1893</v>
      </c>
      <c r="E3948" s="9">
        <v>45413</v>
      </c>
      <c r="F3948" s="9">
        <v>45443</v>
      </c>
      <c r="G3948">
        <v>152515085.91600001</v>
      </c>
      <c r="H3948">
        <v>61830238.060000002</v>
      </c>
      <c r="I3948">
        <v>36871483.079999998</v>
      </c>
      <c r="J3948">
        <v>13917507.460000001</v>
      </c>
      <c r="K3948">
        <v>0</v>
      </c>
      <c r="L3948">
        <v>1913517.0160000001</v>
      </c>
      <c r="M3948">
        <v>1193890.9920000001</v>
      </c>
      <c r="N3948">
        <v>0</v>
      </c>
      <c r="O3948">
        <v>0</v>
      </c>
      <c r="P3948">
        <v>0</v>
      </c>
      <c r="Q3948">
        <v>41083294.079999998</v>
      </c>
      <c r="R3948">
        <v>0</v>
      </c>
      <c r="S3948">
        <v>0</v>
      </c>
      <c r="T3948" s="9">
        <v>45108</v>
      </c>
      <c r="U3948" s="9">
        <v>45473</v>
      </c>
      <c r="V3948">
        <f>SUM(POTABLE_NONPOTABLE_API[[#This Row],[RESIDENTIAL_SINGLEFAMILY_GAL]:[OTHER_GAL]])</f>
        <v>267047831.53200001</v>
      </c>
      <c r="W3948">
        <f>SUM(POTABLE_NONPOTABLE_API[[#This Row],[NONPOTABLE_DEMAND_RESIDENTIAL_RECYCLED_WATER_GAL]:[NONPOTABLE_DEMAND_NONRESIDENTIAL_METERED_IRRIGATION_GAL]])</f>
        <v>41083294.079999998</v>
      </c>
      <c r="X3948" t="str">
        <f>IFERROR(INDEX(Crosswalk_API!$H$2:$H$527, MATCH(POTABLE_NONPOTABLE_API[[#This Row],[PWSID]], CW_PWSID_LIST, 0)), "")</f>
        <v>No</v>
      </c>
    </row>
    <row r="3949" spans="1:24" x14ac:dyDescent="0.25">
      <c r="A3949" t="s">
        <v>1890</v>
      </c>
      <c r="B3949" t="s">
        <v>1891</v>
      </c>
      <c r="C3949" t="s">
        <v>1892</v>
      </c>
      <c r="D3949" t="s">
        <v>1893</v>
      </c>
      <c r="E3949" s="9">
        <v>45444</v>
      </c>
      <c r="F3949" s="9">
        <v>45473</v>
      </c>
      <c r="G3949">
        <v>111469472.676</v>
      </c>
      <c r="H3949">
        <v>25480895.276000001</v>
      </c>
      <c r="I3949">
        <v>21104043.024</v>
      </c>
      <c r="J3949">
        <v>8449995.3920000009</v>
      </c>
      <c r="K3949">
        <v>0</v>
      </c>
      <c r="L3949">
        <v>290992.228</v>
      </c>
      <c r="M3949">
        <v>1407833.8640000001</v>
      </c>
      <c r="N3949">
        <v>0</v>
      </c>
      <c r="O3949">
        <v>0</v>
      </c>
      <c r="P3949">
        <v>0</v>
      </c>
      <c r="Q3949">
        <v>36765768.329999998</v>
      </c>
      <c r="R3949">
        <v>0</v>
      </c>
      <c r="S3949">
        <v>0</v>
      </c>
      <c r="T3949" s="9">
        <v>45108</v>
      </c>
      <c r="U3949" s="9">
        <v>45473</v>
      </c>
      <c r="V3949">
        <f>SUM(POTABLE_NONPOTABLE_API[[#This Row],[RESIDENTIAL_SINGLEFAMILY_GAL]:[OTHER_GAL]])</f>
        <v>166795398.59599996</v>
      </c>
      <c r="W3949">
        <f>SUM(POTABLE_NONPOTABLE_API[[#This Row],[NONPOTABLE_DEMAND_RESIDENTIAL_RECYCLED_WATER_GAL]:[NONPOTABLE_DEMAND_NONRESIDENTIAL_METERED_IRRIGATION_GAL]])</f>
        <v>36765768.329999998</v>
      </c>
      <c r="X3949" t="str">
        <f>IFERROR(INDEX(Crosswalk_API!$H$2:$H$527, MATCH(POTABLE_NONPOTABLE_API[[#This Row],[PWSID]], CW_PWSID_LIST, 0)), "")</f>
        <v>No</v>
      </c>
    </row>
    <row r="3950" spans="1:24" x14ac:dyDescent="0.25">
      <c r="A3950" t="s">
        <v>1894</v>
      </c>
      <c r="B3950" t="s">
        <v>1895</v>
      </c>
      <c r="C3950" t="s">
        <v>1896</v>
      </c>
      <c r="D3950" t="s">
        <v>1897</v>
      </c>
      <c r="E3950" s="9">
        <v>45108</v>
      </c>
      <c r="F3950" s="9">
        <v>45138</v>
      </c>
      <c r="G3950">
        <v>354721022.03600001</v>
      </c>
      <c r="H3950">
        <v>52118278.943999998</v>
      </c>
      <c r="I3950">
        <v>61283412.048</v>
      </c>
      <c r="J3950">
        <v>126420.788</v>
      </c>
      <c r="K3950">
        <v>0</v>
      </c>
      <c r="L3950">
        <v>0</v>
      </c>
      <c r="M3950">
        <v>0</v>
      </c>
      <c r="T3950" s="9">
        <v>45108</v>
      </c>
      <c r="U3950" s="9">
        <v>45473</v>
      </c>
      <c r="V3950">
        <f>SUM(POTABLE_NONPOTABLE_API[[#This Row],[RESIDENTIAL_SINGLEFAMILY_GAL]:[OTHER_GAL]])</f>
        <v>468249133.81599998</v>
      </c>
      <c r="W3950">
        <f>SUM(POTABLE_NONPOTABLE_API[[#This Row],[NONPOTABLE_DEMAND_RESIDENTIAL_RECYCLED_WATER_GAL]:[NONPOTABLE_DEMAND_NONRESIDENTIAL_METERED_IRRIGATION_GAL]])</f>
        <v>0</v>
      </c>
      <c r="X3950" t="str">
        <f>IFERROR(INDEX(Crosswalk_API!$H$2:$H$527, MATCH(POTABLE_NONPOTABLE_API[[#This Row],[PWSID]], CW_PWSID_LIST, 0)), "")</f>
        <v>No</v>
      </c>
    </row>
    <row r="3951" spans="1:24" x14ac:dyDescent="0.25">
      <c r="A3951" t="s">
        <v>1894</v>
      </c>
      <c r="B3951" t="s">
        <v>1895</v>
      </c>
      <c r="C3951" t="s">
        <v>1896</v>
      </c>
      <c r="D3951" t="s">
        <v>1897</v>
      </c>
      <c r="E3951" s="9">
        <v>45139</v>
      </c>
      <c r="F3951" s="9">
        <v>45169</v>
      </c>
      <c r="G3951">
        <v>389770998.49599999</v>
      </c>
      <c r="H3951">
        <v>54954144.076000005</v>
      </c>
      <c r="I3951">
        <v>62340409.524000004</v>
      </c>
      <c r="J3951">
        <v>126420.788</v>
      </c>
      <c r="K3951">
        <v>0</v>
      </c>
      <c r="L3951">
        <v>0</v>
      </c>
      <c r="M3951">
        <v>0</v>
      </c>
      <c r="T3951" s="9">
        <v>45108</v>
      </c>
      <c r="U3951" s="9">
        <v>45473</v>
      </c>
      <c r="V3951">
        <f>SUM(POTABLE_NONPOTABLE_API[[#This Row],[RESIDENTIAL_SINGLEFAMILY_GAL]:[OTHER_GAL]])</f>
        <v>507191972.884</v>
      </c>
      <c r="W3951">
        <f>SUM(POTABLE_NONPOTABLE_API[[#This Row],[NONPOTABLE_DEMAND_RESIDENTIAL_RECYCLED_WATER_GAL]:[NONPOTABLE_DEMAND_NONRESIDENTIAL_METERED_IRRIGATION_GAL]])</f>
        <v>0</v>
      </c>
      <c r="X3951" t="str">
        <f>IFERROR(INDEX(Crosswalk_API!$H$2:$H$527, MATCH(POTABLE_NONPOTABLE_API[[#This Row],[PWSID]], CW_PWSID_LIST, 0)), "")</f>
        <v>No</v>
      </c>
    </row>
    <row r="3952" spans="1:24" x14ac:dyDescent="0.25">
      <c r="A3952" t="s">
        <v>1894</v>
      </c>
      <c r="B3952" t="s">
        <v>1895</v>
      </c>
      <c r="C3952" t="s">
        <v>1896</v>
      </c>
      <c r="D3952" t="s">
        <v>1897</v>
      </c>
      <c r="E3952" s="9">
        <v>45170</v>
      </c>
      <c r="F3952" s="9">
        <v>45199</v>
      </c>
      <c r="G3952">
        <v>341587473.07200003</v>
      </c>
      <c r="H3952">
        <v>57253655.924000002</v>
      </c>
      <c r="I3952">
        <v>64512752.532000005</v>
      </c>
      <c r="J3952">
        <v>126420.788</v>
      </c>
      <c r="K3952">
        <v>0</v>
      </c>
      <c r="L3952">
        <v>0</v>
      </c>
      <c r="M3952">
        <v>0</v>
      </c>
      <c r="T3952" s="9">
        <v>45108</v>
      </c>
      <c r="U3952" s="9">
        <v>45473</v>
      </c>
      <c r="V3952">
        <f>SUM(POTABLE_NONPOTABLE_API[[#This Row],[RESIDENTIAL_SINGLEFAMILY_GAL]:[OTHER_GAL]])</f>
        <v>463480302.31600004</v>
      </c>
      <c r="W3952">
        <f>SUM(POTABLE_NONPOTABLE_API[[#This Row],[NONPOTABLE_DEMAND_RESIDENTIAL_RECYCLED_WATER_GAL]:[NONPOTABLE_DEMAND_NONRESIDENTIAL_METERED_IRRIGATION_GAL]])</f>
        <v>0</v>
      </c>
      <c r="X3952" t="str">
        <f>IFERROR(INDEX(Crosswalk_API!$H$2:$H$527, MATCH(POTABLE_NONPOTABLE_API[[#This Row],[PWSID]], CW_PWSID_LIST, 0)), "")</f>
        <v>No</v>
      </c>
    </row>
    <row r="3953" spans="1:24" x14ac:dyDescent="0.25">
      <c r="A3953" t="s">
        <v>1894</v>
      </c>
      <c r="B3953" t="s">
        <v>1895</v>
      </c>
      <c r="C3953" t="s">
        <v>1896</v>
      </c>
      <c r="D3953" t="s">
        <v>1897</v>
      </c>
      <c r="E3953" s="9">
        <v>45200</v>
      </c>
      <c r="F3953" s="9">
        <v>45230</v>
      </c>
      <c r="G3953">
        <v>319932115.72400004</v>
      </c>
      <c r="H3953">
        <v>50811432.100000001</v>
      </c>
      <c r="I3953">
        <v>48472273.495999999</v>
      </c>
      <c r="J3953">
        <v>126420.788</v>
      </c>
      <c r="K3953">
        <v>0</v>
      </c>
      <c r="L3953">
        <v>0</v>
      </c>
      <c r="M3953">
        <v>0</v>
      </c>
      <c r="T3953" s="9">
        <v>45108</v>
      </c>
      <c r="U3953" s="9">
        <v>45473</v>
      </c>
      <c r="V3953">
        <f>SUM(POTABLE_NONPOTABLE_API[[#This Row],[RESIDENTIAL_SINGLEFAMILY_GAL]:[OTHER_GAL]])</f>
        <v>419342242.10800004</v>
      </c>
      <c r="W3953">
        <f>SUM(POTABLE_NONPOTABLE_API[[#This Row],[NONPOTABLE_DEMAND_RESIDENTIAL_RECYCLED_WATER_GAL]:[NONPOTABLE_DEMAND_NONRESIDENTIAL_METERED_IRRIGATION_GAL]])</f>
        <v>0</v>
      </c>
      <c r="X3953" t="str">
        <f>IFERROR(INDEX(Crosswalk_API!$H$2:$H$527, MATCH(POTABLE_NONPOTABLE_API[[#This Row],[PWSID]], CW_PWSID_LIST, 0)), "")</f>
        <v>No</v>
      </c>
    </row>
    <row r="3954" spans="1:24" x14ac:dyDescent="0.25">
      <c r="A3954" t="s">
        <v>1894</v>
      </c>
      <c r="B3954" t="s">
        <v>1895</v>
      </c>
      <c r="C3954" t="s">
        <v>1896</v>
      </c>
      <c r="D3954" t="s">
        <v>1897</v>
      </c>
      <c r="E3954" s="9">
        <v>45231</v>
      </c>
      <c r="F3954" s="9">
        <v>45260</v>
      </c>
      <c r="G3954">
        <v>264310709.264</v>
      </c>
      <c r="H3954">
        <v>47199837.044</v>
      </c>
      <c r="I3954">
        <v>42233519.816</v>
      </c>
      <c r="J3954">
        <v>126420.788</v>
      </c>
      <c r="K3954">
        <v>0</v>
      </c>
      <c r="L3954">
        <v>0</v>
      </c>
      <c r="M3954">
        <v>0</v>
      </c>
      <c r="T3954" s="9">
        <v>45108</v>
      </c>
      <c r="U3954" s="9">
        <v>45473</v>
      </c>
      <c r="V3954">
        <f>SUM(POTABLE_NONPOTABLE_API[[#This Row],[RESIDENTIAL_SINGLEFAMILY_GAL]:[OTHER_GAL]])</f>
        <v>353870486.91199994</v>
      </c>
      <c r="W3954">
        <f>SUM(POTABLE_NONPOTABLE_API[[#This Row],[NONPOTABLE_DEMAND_RESIDENTIAL_RECYCLED_WATER_GAL]:[NONPOTABLE_DEMAND_NONRESIDENTIAL_METERED_IRRIGATION_GAL]])</f>
        <v>0</v>
      </c>
      <c r="X3954" t="str">
        <f>IFERROR(INDEX(Crosswalk_API!$H$2:$H$527, MATCH(POTABLE_NONPOTABLE_API[[#This Row],[PWSID]], CW_PWSID_LIST, 0)), "")</f>
        <v>No</v>
      </c>
    </row>
    <row r="3955" spans="1:24" x14ac:dyDescent="0.25">
      <c r="A3955" t="s">
        <v>1894</v>
      </c>
      <c r="B3955" t="s">
        <v>1895</v>
      </c>
      <c r="C3955" t="s">
        <v>1896</v>
      </c>
      <c r="D3955" t="s">
        <v>1897</v>
      </c>
      <c r="E3955" s="9">
        <v>45261</v>
      </c>
      <c r="F3955" s="9">
        <v>45291</v>
      </c>
      <c r="G3955">
        <v>232292587.56</v>
      </c>
      <c r="H3955">
        <v>46121146.060000002</v>
      </c>
      <c r="I3955">
        <v>37882849.384000003</v>
      </c>
      <c r="J3955">
        <v>126420.788</v>
      </c>
      <c r="K3955">
        <v>0</v>
      </c>
      <c r="L3955">
        <v>0</v>
      </c>
      <c r="M3955">
        <v>0</v>
      </c>
      <c r="T3955" s="9">
        <v>45108</v>
      </c>
      <c r="U3955" s="9">
        <v>45473</v>
      </c>
      <c r="V3955">
        <f>SUM(POTABLE_NONPOTABLE_API[[#This Row],[RESIDENTIAL_SINGLEFAMILY_GAL]:[OTHER_GAL]])</f>
        <v>316423003.792</v>
      </c>
      <c r="W3955">
        <f>SUM(POTABLE_NONPOTABLE_API[[#This Row],[NONPOTABLE_DEMAND_RESIDENTIAL_RECYCLED_WATER_GAL]:[NONPOTABLE_DEMAND_NONRESIDENTIAL_METERED_IRRIGATION_GAL]])</f>
        <v>0</v>
      </c>
      <c r="X3955" t="str">
        <f>IFERROR(INDEX(Crosswalk_API!$H$2:$H$527, MATCH(POTABLE_NONPOTABLE_API[[#This Row],[PWSID]], CW_PWSID_LIST, 0)), "")</f>
        <v>No</v>
      </c>
    </row>
    <row r="3956" spans="1:24" x14ac:dyDescent="0.25">
      <c r="A3956" t="s">
        <v>1894</v>
      </c>
      <c r="B3956" t="s">
        <v>1895</v>
      </c>
      <c r="C3956" t="s">
        <v>1896</v>
      </c>
      <c r="D3956" t="s">
        <v>1897</v>
      </c>
      <c r="E3956" s="9">
        <v>45292</v>
      </c>
      <c r="F3956" s="9">
        <v>45322</v>
      </c>
      <c r="G3956">
        <v>200017884.02000001</v>
      </c>
      <c r="H3956">
        <v>42701800.368000001</v>
      </c>
      <c r="I3956">
        <v>35462153.112000003</v>
      </c>
      <c r="J3956">
        <v>126420.788</v>
      </c>
      <c r="K3956">
        <v>0</v>
      </c>
      <c r="L3956">
        <v>0</v>
      </c>
      <c r="M3956">
        <v>0</v>
      </c>
      <c r="T3956" s="9">
        <v>45108</v>
      </c>
      <c r="U3956" s="9">
        <v>45473</v>
      </c>
      <c r="V3956">
        <f>SUM(POTABLE_NONPOTABLE_API[[#This Row],[RESIDENTIAL_SINGLEFAMILY_GAL]:[OTHER_GAL]])</f>
        <v>278308258.28799999</v>
      </c>
      <c r="W3956">
        <f>SUM(POTABLE_NONPOTABLE_API[[#This Row],[NONPOTABLE_DEMAND_RESIDENTIAL_RECYCLED_WATER_GAL]:[NONPOTABLE_DEMAND_NONRESIDENTIAL_METERED_IRRIGATION_GAL]])</f>
        <v>0</v>
      </c>
      <c r="X3956" t="str">
        <f>IFERROR(INDEX(Crosswalk_API!$H$2:$H$527, MATCH(POTABLE_NONPOTABLE_API[[#This Row],[PWSID]], CW_PWSID_LIST, 0)), "")</f>
        <v>No</v>
      </c>
    </row>
    <row r="3957" spans="1:24" x14ac:dyDescent="0.25">
      <c r="A3957" t="s">
        <v>1894</v>
      </c>
      <c r="B3957" t="s">
        <v>1895</v>
      </c>
      <c r="C3957" t="s">
        <v>1896</v>
      </c>
      <c r="D3957" t="s">
        <v>1897</v>
      </c>
      <c r="E3957" s="9">
        <v>45323</v>
      </c>
      <c r="F3957" s="9">
        <v>45351</v>
      </c>
      <c r="G3957">
        <v>176452001.86399999</v>
      </c>
      <c r="H3957">
        <v>38173093.560000002</v>
      </c>
      <c r="I3957">
        <v>28298059.107999999</v>
      </c>
      <c r="J3957">
        <v>126420.788</v>
      </c>
      <c r="K3957">
        <v>0</v>
      </c>
      <c r="L3957">
        <v>0</v>
      </c>
      <c r="M3957">
        <v>0</v>
      </c>
      <c r="T3957" s="9">
        <v>45108</v>
      </c>
      <c r="U3957" s="9">
        <v>45473</v>
      </c>
      <c r="V3957">
        <f>SUM(POTABLE_NONPOTABLE_API[[#This Row],[RESIDENTIAL_SINGLEFAMILY_GAL]:[OTHER_GAL]])</f>
        <v>243049575.31999999</v>
      </c>
      <c r="W3957">
        <f>SUM(POTABLE_NONPOTABLE_API[[#This Row],[NONPOTABLE_DEMAND_RESIDENTIAL_RECYCLED_WATER_GAL]:[NONPOTABLE_DEMAND_NONRESIDENTIAL_METERED_IRRIGATION_GAL]])</f>
        <v>0</v>
      </c>
      <c r="X3957" t="str">
        <f>IFERROR(INDEX(Crosswalk_API!$H$2:$H$527, MATCH(POTABLE_NONPOTABLE_API[[#This Row],[PWSID]], CW_PWSID_LIST, 0)), "")</f>
        <v>No</v>
      </c>
    </row>
    <row r="3958" spans="1:24" x14ac:dyDescent="0.25">
      <c r="A3958" t="s">
        <v>1894</v>
      </c>
      <c r="B3958" t="s">
        <v>1895</v>
      </c>
      <c r="C3958" t="s">
        <v>1896</v>
      </c>
      <c r="D3958" t="s">
        <v>1897</v>
      </c>
      <c r="E3958" s="9">
        <v>45352</v>
      </c>
      <c r="F3958" s="9">
        <v>45382</v>
      </c>
      <c r="G3958">
        <v>175590994.01199999</v>
      </c>
      <c r="H3958">
        <v>39106662.456</v>
      </c>
      <c r="I3958">
        <v>29409664.380000003</v>
      </c>
      <c r="J3958">
        <v>126420.788</v>
      </c>
      <c r="K3958">
        <v>0</v>
      </c>
      <c r="L3958">
        <v>0</v>
      </c>
      <c r="M3958">
        <v>0</v>
      </c>
      <c r="T3958" s="9">
        <v>45108</v>
      </c>
      <c r="U3958" s="9">
        <v>45473</v>
      </c>
      <c r="V3958">
        <f>SUM(POTABLE_NONPOTABLE_API[[#This Row],[RESIDENTIAL_SINGLEFAMILY_GAL]:[OTHER_GAL]])</f>
        <v>244233741.63599998</v>
      </c>
      <c r="W3958">
        <f>SUM(POTABLE_NONPOTABLE_API[[#This Row],[NONPOTABLE_DEMAND_RESIDENTIAL_RECYCLED_WATER_GAL]:[NONPOTABLE_DEMAND_NONRESIDENTIAL_METERED_IRRIGATION_GAL]])</f>
        <v>0</v>
      </c>
      <c r="X3958" t="str">
        <f>IFERROR(INDEX(Crosswalk_API!$H$2:$H$527, MATCH(POTABLE_NONPOTABLE_API[[#This Row],[PWSID]], CW_PWSID_LIST, 0)), "")</f>
        <v>No</v>
      </c>
    </row>
    <row r="3959" spans="1:24" x14ac:dyDescent="0.25">
      <c r="A3959" t="s">
        <v>1894</v>
      </c>
      <c r="B3959" t="s">
        <v>1895</v>
      </c>
      <c r="C3959" t="s">
        <v>1896</v>
      </c>
      <c r="D3959" t="s">
        <v>1897</v>
      </c>
      <c r="E3959" s="9">
        <v>45383</v>
      </c>
      <c r="F3959" s="9">
        <v>45412</v>
      </c>
      <c r="G3959">
        <v>201269375.016</v>
      </c>
      <c r="H3959">
        <v>41441332.748000003</v>
      </c>
      <c r="I3959">
        <v>36356823.303999998</v>
      </c>
      <c r="J3959">
        <v>126420.788</v>
      </c>
      <c r="K3959">
        <v>0</v>
      </c>
      <c r="L3959">
        <v>0</v>
      </c>
      <c r="M3959">
        <v>0</v>
      </c>
      <c r="T3959" s="9">
        <v>45108</v>
      </c>
      <c r="U3959" s="9">
        <v>45473</v>
      </c>
      <c r="V3959">
        <f>SUM(POTABLE_NONPOTABLE_API[[#This Row],[RESIDENTIAL_SINGLEFAMILY_GAL]:[OTHER_GAL]])</f>
        <v>279193951.85600001</v>
      </c>
      <c r="W3959">
        <f>SUM(POTABLE_NONPOTABLE_API[[#This Row],[NONPOTABLE_DEMAND_RESIDENTIAL_RECYCLED_WATER_GAL]:[NONPOTABLE_DEMAND_NONRESIDENTIAL_METERED_IRRIGATION_GAL]])</f>
        <v>0</v>
      </c>
      <c r="X3959" t="str">
        <f>IFERROR(INDEX(Crosswalk_API!$H$2:$H$527, MATCH(POTABLE_NONPOTABLE_API[[#This Row],[PWSID]], CW_PWSID_LIST, 0)), "")</f>
        <v>No</v>
      </c>
    </row>
    <row r="3960" spans="1:24" x14ac:dyDescent="0.25">
      <c r="A3960" t="s">
        <v>1894</v>
      </c>
      <c r="B3960" t="s">
        <v>1895</v>
      </c>
      <c r="C3960" t="s">
        <v>1896</v>
      </c>
      <c r="D3960" t="s">
        <v>1897</v>
      </c>
      <c r="E3960" s="9">
        <v>45413</v>
      </c>
      <c r="F3960" s="9">
        <v>45443</v>
      </c>
      <c r="G3960">
        <v>266694750.98800001</v>
      </c>
      <c r="H3960">
        <v>45345416.136</v>
      </c>
      <c r="I3960">
        <v>42463919.832000002</v>
      </c>
      <c r="J3960">
        <v>126420.788</v>
      </c>
      <c r="K3960">
        <v>0</v>
      </c>
      <c r="L3960">
        <v>0</v>
      </c>
      <c r="M3960">
        <v>0</v>
      </c>
      <c r="T3960" s="9">
        <v>45108</v>
      </c>
      <c r="U3960" s="9">
        <v>45473</v>
      </c>
      <c r="V3960">
        <f>SUM(POTABLE_NONPOTABLE_API[[#This Row],[RESIDENTIAL_SINGLEFAMILY_GAL]:[OTHER_GAL]])</f>
        <v>354630507.74400002</v>
      </c>
      <c r="W3960">
        <f>SUM(POTABLE_NONPOTABLE_API[[#This Row],[NONPOTABLE_DEMAND_RESIDENTIAL_RECYCLED_WATER_GAL]:[NONPOTABLE_DEMAND_NONRESIDENTIAL_METERED_IRRIGATION_GAL]])</f>
        <v>0</v>
      </c>
      <c r="X3960" t="str">
        <f>IFERROR(INDEX(Crosswalk_API!$H$2:$H$527, MATCH(POTABLE_NONPOTABLE_API[[#This Row],[PWSID]], CW_PWSID_LIST, 0)), "")</f>
        <v>No</v>
      </c>
    </row>
    <row r="3961" spans="1:24" x14ac:dyDescent="0.25">
      <c r="A3961" t="s">
        <v>1894</v>
      </c>
      <c r="B3961" t="s">
        <v>1895</v>
      </c>
      <c r="C3961" t="s">
        <v>1896</v>
      </c>
      <c r="D3961" t="s">
        <v>1897</v>
      </c>
      <c r="E3961" s="9">
        <v>45444</v>
      </c>
      <c r="F3961" s="9">
        <v>45473</v>
      </c>
      <c r="G3961">
        <v>338460615.71200001</v>
      </c>
      <c r="H3961">
        <v>54942923.296000004</v>
      </c>
      <c r="I3961">
        <v>58516367.700000003</v>
      </c>
      <c r="J3961">
        <v>126420.788</v>
      </c>
      <c r="K3961">
        <v>0</v>
      </c>
      <c r="L3961">
        <v>0</v>
      </c>
      <c r="M3961">
        <v>0</v>
      </c>
      <c r="T3961" s="9">
        <v>45108</v>
      </c>
      <c r="U3961" s="9">
        <v>45473</v>
      </c>
      <c r="V3961">
        <f>SUM(POTABLE_NONPOTABLE_API[[#This Row],[RESIDENTIAL_SINGLEFAMILY_GAL]:[OTHER_GAL]])</f>
        <v>452046327.49599999</v>
      </c>
      <c r="W3961">
        <f>SUM(POTABLE_NONPOTABLE_API[[#This Row],[NONPOTABLE_DEMAND_RESIDENTIAL_RECYCLED_WATER_GAL]:[NONPOTABLE_DEMAND_NONRESIDENTIAL_METERED_IRRIGATION_GAL]])</f>
        <v>0</v>
      </c>
      <c r="X3961" t="str">
        <f>IFERROR(INDEX(Crosswalk_API!$H$2:$H$527, MATCH(POTABLE_NONPOTABLE_API[[#This Row],[PWSID]], CW_PWSID_LIST, 0)), "")</f>
        <v>No</v>
      </c>
    </row>
    <row r="3962" spans="1:24" x14ac:dyDescent="0.25">
      <c r="A3962" t="s">
        <v>1898</v>
      </c>
      <c r="B3962" t="s">
        <v>1899</v>
      </c>
      <c r="C3962" t="s">
        <v>1900</v>
      </c>
      <c r="D3962" t="s">
        <v>1901</v>
      </c>
      <c r="E3962" s="9">
        <v>45108</v>
      </c>
      <c r="F3962" s="9">
        <v>45138</v>
      </c>
      <c r="G3962">
        <v>151450607.92000002</v>
      </c>
      <c r="H3962">
        <v>40003576.803999998</v>
      </c>
      <c r="I3962">
        <v>88464629.519999996</v>
      </c>
      <c r="J3962">
        <v>50246652.840000004</v>
      </c>
      <c r="K3962">
        <v>7126691.4040000001</v>
      </c>
      <c r="L3962">
        <v>138389.62</v>
      </c>
      <c r="M3962">
        <v>0</v>
      </c>
      <c r="N3962">
        <v>0</v>
      </c>
      <c r="O3962">
        <v>0</v>
      </c>
      <c r="P3962">
        <v>0</v>
      </c>
      <c r="Q3962">
        <v>15690000</v>
      </c>
      <c r="R3962">
        <v>0</v>
      </c>
      <c r="S3962">
        <v>0</v>
      </c>
      <c r="T3962" s="9">
        <v>45108</v>
      </c>
      <c r="U3962" s="9">
        <v>45473</v>
      </c>
      <c r="V3962">
        <f>SUM(POTABLE_NONPOTABLE_API[[#This Row],[RESIDENTIAL_SINGLEFAMILY_GAL]:[OTHER_GAL]])</f>
        <v>337430548.10799998</v>
      </c>
      <c r="W3962">
        <f>SUM(POTABLE_NONPOTABLE_API[[#This Row],[NONPOTABLE_DEMAND_RESIDENTIAL_RECYCLED_WATER_GAL]:[NONPOTABLE_DEMAND_NONRESIDENTIAL_METERED_IRRIGATION_GAL]])</f>
        <v>15690000</v>
      </c>
      <c r="X3962" t="str">
        <f>IFERROR(INDEX(Crosswalk_API!$H$2:$H$527, MATCH(POTABLE_NONPOTABLE_API[[#This Row],[PWSID]], CW_PWSID_LIST, 0)), "")</f>
        <v>No</v>
      </c>
    </row>
    <row r="3963" spans="1:24" x14ac:dyDescent="0.25">
      <c r="A3963" t="s">
        <v>1898</v>
      </c>
      <c r="B3963" t="s">
        <v>1899</v>
      </c>
      <c r="C3963" t="s">
        <v>1900</v>
      </c>
      <c r="D3963" t="s">
        <v>1901</v>
      </c>
      <c r="E3963" s="9">
        <v>45139</v>
      </c>
      <c r="F3963" s="9">
        <v>45169</v>
      </c>
      <c r="G3963">
        <v>170874526.15200001</v>
      </c>
      <c r="H3963">
        <v>37294132.460000001</v>
      </c>
      <c r="I3963">
        <v>78368171.675999999</v>
      </c>
      <c r="J3963">
        <v>58636804.072000004</v>
      </c>
      <c r="K3963">
        <v>7152873.2240000004</v>
      </c>
      <c r="L3963">
        <v>67324.680000000008</v>
      </c>
      <c r="M3963">
        <v>0</v>
      </c>
      <c r="N3963">
        <v>0</v>
      </c>
      <c r="O3963">
        <v>0</v>
      </c>
      <c r="P3963">
        <v>0</v>
      </c>
      <c r="Q3963">
        <v>15920000</v>
      </c>
      <c r="R3963">
        <v>0</v>
      </c>
      <c r="S3963">
        <v>0</v>
      </c>
      <c r="T3963" s="9">
        <v>45108</v>
      </c>
      <c r="U3963" s="9">
        <v>45473</v>
      </c>
      <c r="V3963">
        <f>SUM(POTABLE_NONPOTABLE_API[[#This Row],[RESIDENTIAL_SINGLEFAMILY_GAL]:[OTHER_GAL]])</f>
        <v>352393832.264</v>
      </c>
      <c r="W3963">
        <f>SUM(POTABLE_NONPOTABLE_API[[#This Row],[NONPOTABLE_DEMAND_RESIDENTIAL_RECYCLED_WATER_GAL]:[NONPOTABLE_DEMAND_NONRESIDENTIAL_METERED_IRRIGATION_GAL]])</f>
        <v>15920000</v>
      </c>
      <c r="X3963" t="str">
        <f>IFERROR(INDEX(Crosswalk_API!$H$2:$H$527, MATCH(POTABLE_NONPOTABLE_API[[#This Row],[PWSID]], CW_PWSID_LIST, 0)), "")</f>
        <v>No</v>
      </c>
    </row>
    <row r="3964" spans="1:24" x14ac:dyDescent="0.25">
      <c r="A3964" t="s">
        <v>1898</v>
      </c>
      <c r="B3964" t="s">
        <v>1899</v>
      </c>
      <c r="C3964" t="s">
        <v>1900</v>
      </c>
      <c r="D3964" t="s">
        <v>1901</v>
      </c>
      <c r="E3964" s="9">
        <v>45170</v>
      </c>
      <c r="F3964" s="9">
        <v>45199</v>
      </c>
      <c r="G3964">
        <v>142218898.18799999</v>
      </c>
      <c r="H3964">
        <v>39928771.604000002</v>
      </c>
      <c r="I3964">
        <v>90699808.895999998</v>
      </c>
      <c r="J3964">
        <v>61077697.748000003</v>
      </c>
      <c r="K3964">
        <v>8171720.0480000004</v>
      </c>
      <c r="L3964">
        <v>409184.44400000002</v>
      </c>
      <c r="M3964">
        <v>0</v>
      </c>
      <c r="N3964">
        <v>0</v>
      </c>
      <c r="O3964">
        <v>0</v>
      </c>
      <c r="P3964">
        <v>0</v>
      </c>
      <c r="Q3964">
        <v>11970000</v>
      </c>
      <c r="R3964">
        <v>0</v>
      </c>
      <c r="S3964">
        <v>0</v>
      </c>
      <c r="T3964" s="9">
        <v>45108</v>
      </c>
      <c r="U3964" s="9">
        <v>45473</v>
      </c>
      <c r="V3964">
        <f>SUM(POTABLE_NONPOTABLE_API[[#This Row],[RESIDENTIAL_SINGLEFAMILY_GAL]:[OTHER_GAL]])</f>
        <v>342506080.92799997</v>
      </c>
      <c r="W3964">
        <f>SUM(POTABLE_NONPOTABLE_API[[#This Row],[NONPOTABLE_DEMAND_RESIDENTIAL_RECYCLED_WATER_GAL]:[NONPOTABLE_DEMAND_NONRESIDENTIAL_METERED_IRRIGATION_GAL]])</f>
        <v>11970000</v>
      </c>
      <c r="X3964" t="str">
        <f>IFERROR(INDEX(Crosswalk_API!$H$2:$H$527, MATCH(POTABLE_NONPOTABLE_API[[#This Row],[PWSID]], CW_PWSID_LIST, 0)), "")</f>
        <v>No</v>
      </c>
    </row>
    <row r="3965" spans="1:24" x14ac:dyDescent="0.25">
      <c r="A3965" t="s">
        <v>1898</v>
      </c>
      <c r="B3965" t="s">
        <v>1899</v>
      </c>
      <c r="C3965" t="s">
        <v>1900</v>
      </c>
      <c r="D3965" t="s">
        <v>1901</v>
      </c>
      <c r="E3965" s="9">
        <v>45200</v>
      </c>
      <c r="F3965" s="9">
        <v>45230</v>
      </c>
      <c r="G3965">
        <v>145872384.15600002</v>
      </c>
      <c r="H3965">
        <v>38065374.072000004</v>
      </c>
      <c r="I3965">
        <v>76076140.348000005</v>
      </c>
      <c r="J3965">
        <v>46973177.288000003</v>
      </c>
      <c r="K3965">
        <v>6970348.5360000003</v>
      </c>
      <c r="L3965">
        <v>129412.996</v>
      </c>
      <c r="M3965">
        <v>0</v>
      </c>
      <c r="N3965">
        <v>0</v>
      </c>
      <c r="O3965">
        <v>0</v>
      </c>
      <c r="P3965">
        <v>0</v>
      </c>
      <c r="Q3965">
        <v>7820000</v>
      </c>
      <c r="R3965">
        <v>0</v>
      </c>
      <c r="S3965">
        <v>0</v>
      </c>
      <c r="T3965" s="9">
        <v>45108</v>
      </c>
      <c r="U3965" s="9">
        <v>45473</v>
      </c>
      <c r="V3965">
        <f>SUM(POTABLE_NONPOTABLE_API[[#This Row],[RESIDENTIAL_SINGLEFAMILY_GAL]:[OTHER_GAL]])</f>
        <v>314086837.39600003</v>
      </c>
      <c r="W3965">
        <f>SUM(POTABLE_NONPOTABLE_API[[#This Row],[NONPOTABLE_DEMAND_RESIDENTIAL_RECYCLED_WATER_GAL]:[NONPOTABLE_DEMAND_NONRESIDENTIAL_METERED_IRRIGATION_GAL]])</f>
        <v>7820000</v>
      </c>
      <c r="X3965" t="str">
        <f>IFERROR(INDEX(Crosswalk_API!$H$2:$H$527, MATCH(POTABLE_NONPOTABLE_API[[#This Row],[PWSID]], CW_PWSID_LIST, 0)), "")</f>
        <v>No</v>
      </c>
    </row>
    <row r="3966" spans="1:24" x14ac:dyDescent="0.25">
      <c r="A3966" t="s">
        <v>1898</v>
      </c>
      <c r="B3966" t="s">
        <v>1899</v>
      </c>
      <c r="C3966" t="s">
        <v>1900</v>
      </c>
      <c r="D3966" t="s">
        <v>1901</v>
      </c>
      <c r="E3966" s="9">
        <v>45231</v>
      </c>
      <c r="F3966" s="9">
        <v>45260</v>
      </c>
      <c r="G3966">
        <v>126129795.772</v>
      </c>
      <c r="H3966">
        <v>35670111.568000004</v>
      </c>
      <c r="I3966">
        <v>70341573.716000006</v>
      </c>
      <c r="J3966">
        <v>36003742.759999998</v>
      </c>
      <c r="K3966">
        <v>7161101.7960000001</v>
      </c>
      <c r="L3966">
        <v>637340.304</v>
      </c>
      <c r="M3966">
        <v>0</v>
      </c>
      <c r="N3966">
        <v>0</v>
      </c>
      <c r="O3966">
        <v>0</v>
      </c>
      <c r="P3966">
        <v>0</v>
      </c>
      <c r="Q3966">
        <v>2440000</v>
      </c>
      <c r="R3966">
        <v>0</v>
      </c>
      <c r="S3966">
        <v>0</v>
      </c>
      <c r="T3966" s="9">
        <v>45108</v>
      </c>
      <c r="U3966" s="9">
        <v>45473</v>
      </c>
      <c r="V3966">
        <f>SUM(POTABLE_NONPOTABLE_API[[#This Row],[RESIDENTIAL_SINGLEFAMILY_GAL]:[OTHER_GAL]])</f>
        <v>275943665.91600001</v>
      </c>
      <c r="W3966">
        <f>SUM(POTABLE_NONPOTABLE_API[[#This Row],[NONPOTABLE_DEMAND_RESIDENTIAL_RECYCLED_WATER_GAL]:[NONPOTABLE_DEMAND_NONRESIDENTIAL_METERED_IRRIGATION_GAL]])</f>
        <v>2440000</v>
      </c>
      <c r="X3966" t="str">
        <f>IFERROR(INDEX(Crosswalk_API!$H$2:$H$527, MATCH(POTABLE_NONPOTABLE_API[[#This Row],[PWSID]], CW_PWSID_LIST, 0)), "")</f>
        <v>No</v>
      </c>
    </row>
    <row r="3967" spans="1:24" x14ac:dyDescent="0.25">
      <c r="A3967" t="s">
        <v>1898</v>
      </c>
      <c r="B3967" t="s">
        <v>1899</v>
      </c>
      <c r="C3967" t="s">
        <v>1900</v>
      </c>
      <c r="D3967" t="s">
        <v>1901</v>
      </c>
      <c r="E3967" s="9">
        <v>45261</v>
      </c>
      <c r="F3967" s="9">
        <v>45291</v>
      </c>
      <c r="G3967">
        <v>92765928.519999996</v>
      </c>
      <c r="H3967">
        <v>33129726.976</v>
      </c>
      <c r="I3967">
        <v>61317074.388000004</v>
      </c>
      <c r="J3967">
        <v>20626785.848000001</v>
      </c>
      <c r="K3967">
        <v>6527501.7520000003</v>
      </c>
      <c r="L3967">
        <v>0</v>
      </c>
      <c r="M3967">
        <v>0</v>
      </c>
      <c r="N3967">
        <v>0</v>
      </c>
      <c r="O3967">
        <v>0</v>
      </c>
      <c r="P3967">
        <v>0</v>
      </c>
      <c r="Q3967">
        <v>920000</v>
      </c>
      <c r="R3967">
        <v>0</v>
      </c>
      <c r="S3967">
        <v>0</v>
      </c>
      <c r="T3967" s="9">
        <v>45108</v>
      </c>
      <c r="U3967" s="9">
        <v>45473</v>
      </c>
      <c r="V3967">
        <f>SUM(POTABLE_NONPOTABLE_API[[#This Row],[RESIDENTIAL_SINGLEFAMILY_GAL]:[OTHER_GAL]])</f>
        <v>214367017.484</v>
      </c>
      <c r="W3967">
        <f>SUM(POTABLE_NONPOTABLE_API[[#This Row],[NONPOTABLE_DEMAND_RESIDENTIAL_RECYCLED_WATER_GAL]:[NONPOTABLE_DEMAND_NONRESIDENTIAL_METERED_IRRIGATION_GAL]])</f>
        <v>920000</v>
      </c>
      <c r="X3967" t="str">
        <f>IFERROR(INDEX(Crosswalk_API!$H$2:$H$527, MATCH(POTABLE_NONPOTABLE_API[[#This Row],[PWSID]], CW_PWSID_LIST, 0)), "")</f>
        <v>No</v>
      </c>
    </row>
    <row r="3968" spans="1:24" x14ac:dyDescent="0.25">
      <c r="A3968" t="s">
        <v>1898</v>
      </c>
      <c r="B3968" t="s">
        <v>1899</v>
      </c>
      <c r="C3968" t="s">
        <v>1900</v>
      </c>
      <c r="D3968" t="s">
        <v>1901</v>
      </c>
      <c r="E3968" s="9">
        <v>45292</v>
      </c>
      <c r="F3968" s="9">
        <v>45322</v>
      </c>
      <c r="G3968">
        <v>76312524.780000001</v>
      </c>
      <c r="H3968">
        <v>30181654.044</v>
      </c>
      <c r="I3968">
        <v>52367380.259999998</v>
      </c>
      <c r="J3968">
        <v>12156593.052000001</v>
      </c>
      <c r="K3968">
        <v>5441330.2480000006</v>
      </c>
      <c r="L3968">
        <v>402451.97600000002</v>
      </c>
      <c r="M3968">
        <v>0</v>
      </c>
      <c r="N3968">
        <v>0</v>
      </c>
      <c r="O3968">
        <v>0</v>
      </c>
      <c r="P3968">
        <v>0</v>
      </c>
      <c r="Q3968">
        <v>490000</v>
      </c>
      <c r="R3968">
        <v>0</v>
      </c>
      <c r="S3968">
        <v>0</v>
      </c>
      <c r="T3968" s="9">
        <v>45108</v>
      </c>
      <c r="U3968" s="9">
        <v>45473</v>
      </c>
      <c r="V3968">
        <f>SUM(POTABLE_NONPOTABLE_API[[#This Row],[RESIDENTIAL_SINGLEFAMILY_GAL]:[OTHER_GAL]])</f>
        <v>176861934.35999998</v>
      </c>
      <c r="W3968">
        <f>SUM(POTABLE_NONPOTABLE_API[[#This Row],[NONPOTABLE_DEMAND_RESIDENTIAL_RECYCLED_WATER_GAL]:[NONPOTABLE_DEMAND_NONRESIDENTIAL_METERED_IRRIGATION_GAL]])</f>
        <v>490000</v>
      </c>
      <c r="X3968" t="str">
        <f>IFERROR(INDEX(Crosswalk_API!$H$2:$H$527, MATCH(POTABLE_NONPOTABLE_API[[#This Row],[PWSID]], CW_PWSID_LIST, 0)), "")</f>
        <v>No</v>
      </c>
    </row>
    <row r="3969" spans="1:24" x14ac:dyDescent="0.25">
      <c r="A3969" t="s">
        <v>1898</v>
      </c>
      <c r="B3969" t="s">
        <v>1899</v>
      </c>
      <c r="C3969" t="s">
        <v>1900</v>
      </c>
      <c r="D3969" t="s">
        <v>1901</v>
      </c>
      <c r="E3969" s="9">
        <v>45323</v>
      </c>
      <c r="F3969" s="9">
        <v>45351</v>
      </c>
      <c r="G3969">
        <v>64806736.968000002</v>
      </c>
      <c r="H3969">
        <v>31504209.98</v>
      </c>
      <c r="I3969">
        <v>49918258.012000002</v>
      </c>
      <c r="J3969">
        <v>5972447.1680000005</v>
      </c>
      <c r="K3969">
        <v>5180260.1000000006</v>
      </c>
      <c r="L3969">
        <v>265558.46000000002</v>
      </c>
      <c r="M3969">
        <v>0</v>
      </c>
      <c r="N3969">
        <v>0</v>
      </c>
      <c r="O3969">
        <v>0</v>
      </c>
      <c r="Q3969">
        <v>0</v>
      </c>
      <c r="R3969">
        <v>0</v>
      </c>
      <c r="T3969" s="9">
        <v>45108</v>
      </c>
      <c r="U3969" s="9">
        <v>45473</v>
      </c>
      <c r="V3969">
        <f>SUM(POTABLE_NONPOTABLE_API[[#This Row],[RESIDENTIAL_SINGLEFAMILY_GAL]:[OTHER_GAL]])</f>
        <v>157647470.68800002</v>
      </c>
      <c r="W3969">
        <f>SUM(POTABLE_NONPOTABLE_API[[#This Row],[NONPOTABLE_DEMAND_RESIDENTIAL_RECYCLED_WATER_GAL]:[NONPOTABLE_DEMAND_NONRESIDENTIAL_METERED_IRRIGATION_GAL]])</f>
        <v>0</v>
      </c>
      <c r="X3969" t="str">
        <f>IFERROR(INDEX(Crosswalk_API!$H$2:$H$527, MATCH(POTABLE_NONPOTABLE_API[[#This Row],[PWSID]], CW_PWSID_LIST, 0)), "")</f>
        <v>No</v>
      </c>
    </row>
    <row r="3970" spans="1:24" x14ac:dyDescent="0.25">
      <c r="A3970" t="s">
        <v>1898</v>
      </c>
      <c r="B3970" t="s">
        <v>1899</v>
      </c>
      <c r="C3970" t="s">
        <v>1900</v>
      </c>
      <c r="D3970" t="s">
        <v>1901</v>
      </c>
      <c r="E3970" s="9">
        <v>45352</v>
      </c>
      <c r="F3970" s="9">
        <v>45382</v>
      </c>
      <c r="G3970">
        <v>70699142.571999997</v>
      </c>
      <c r="H3970">
        <v>30845176.168000001</v>
      </c>
      <c r="I3970">
        <v>50563078.836000003</v>
      </c>
      <c r="J3970">
        <v>3449267.7719999999</v>
      </c>
      <c r="K3970">
        <v>4515241.8720000004</v>
      </c>
      <c r="L3970">
        <v>0</v>
      </c>
      <c r="M3970">
        <v>0</v>
      </c>
      <c r="N3970">
        <v>0</v>
      </c>
      <c r="O3970">
        <v>0</v>
      </c>
      <c r="P3970">
        <v>0</v>
      </c>
      <c r="Q3970">
        <v>490000</v>
      </c>
      <c r="R3970">
        <v>0</v>
      </c>
      <c r="S3970">
        <v>0</v>
      </c>
      <c r="T3970" s="9">
        <v>45108</v>
      </c>
      <c r="U3970" s="9">
        <v>45473</v>
      </c>
      <c r="V3970">
        <f>SUM(POTABLE_NONPOTABLE_API[[#This Row],[RESIDENTIAL_SINGLEFAMILY_GAL]:[OTHER_GAL]])</f>
        <v>160071907.22</v>
      </c>
      <c r="W3970">
        <f>SUM(POTABLE_NONPOTABLE_API[[#This Row],[NONPOTABLE_DEMAND_RESIDENTIAL_RECYCLED_WATER_GAL]:[NONPOTABLE_DEMAND_NONRESIDENTIAL_METERED_IRRIGATION_GAL]])</f>
        <v>490000</v>
      </c>
      <c r="X3970" t="str">
        <f>IFERROR(INDEX(Crosswalk_API!$H$2:$H$527, MATCH(POTABLE_NONPOTABLE_API[[#This Row],[PWSID]], CW_PWSID_LIST, 0)), "")</f>
        <v>No</v>
      </c>
    </row>
    <row r="3971" spans="1:24" x14ac:dyDescent="0.25">
      <c r="A3971" t="s">
        <v>1898</v>
      </c>
      <c r="B3971" t="s">
        <v>1899</v>
      </c>
      <c r="C3971" t="s">
        <v>1900</v>
      </c>
      <c r="D3971" t="s">
        <v>1901</v>
      </c>
      <c r="E3971" s="9">
        <v>45383</v>
      </c>
      <c r="F3971" s="9">
        <v>45412</v>
      </c>
      <c r="G3971">
        <v>74965283.128000006</v>
      </c>
      <c r="H3971">
        <v>31306724.252</v>
      </c>
      <c r="I3971">
        <v>58022653.380000003</v>
      </c>
      <c r="J3971">
        <v>9016270.756000001</v>
      </c>
      <c r="K3971">
        <v>10396426.696</v>
      </c>
      <c r="L3971">
        <v>500446.788</v>
      </c>
      <c r="M3971">
        <v>0</v>
      </c>
      <c r="N3971">
        <v>0</v>
      </c>
      <c r="O3971">
        <v>0</v>
      </c>
      <c r="P3971">
        <v>0</v>
      </c>
      <c r="Q3971">
        <v>2360000</v>
      </c>
      <c r="R3971">
        <v>0</v>
      </c>
      <c r="S3971">
        <v>0</v>
      </c>
      <c r="T3971" s="9">
        <v>45108</v>
      </c>
      <c r="U3971" s="9">
        <v>45473</v>
      </c>
      <c r="V3971">
        <f>SUM(POTABLE_NONPOTABLE_API[[#This Row],[RESIDENTIAL_SINGLEFAMILY_GAL]:[OTHER_GAL]])</f>
        <v>184207805.00000003</v>
      </c>
      <c r="W3971">
        <f>SUM(POTABLE_NONPOTABLE_API[[#This Row],[NONPOTABLE_DEMAND_RESIDENTIAL_RECYCLED_WATER_GAL]:[NONPOTABLE_DEMAND_NONRESIDENTIAL_METERED_IRRIGATION_GAL]])</f>
        <v>2360000</v>
      </c>
      <c r="X3971" t="str">
        <f>IFERROR(INDEX(Crosswalk_API!$H$2:$H$527, MATCH(POTABLE_NONPOTABLE_API[[#This Row],[PWSID]], CW_PWSID_LIST, 0)), "")</f>
        <v>No</v>
      </c>
    </row>
    <row r="3972" spans="1:24" x14ac:dyDescent="0.25">
      <c r="A3972" t="s">
        <v>1898</v>
      </c>
      <c r="B3972" t="s">
        <v>1899</v>
      </c>
      <c r="C3972" t="s">
        <v>1900</v>
      </c>
      <c r="D3972" t="s">
        <v>1901</v>
      </c>
      <c r="E3972" s="9">
        <v>45413</v>
      </c>
      <c r="F3972" s="9">
        <v>45443</v>
      </c>
      <c r="G3972">
        <v>113371768.912</v>
      </c>
      <c r="H3972">
        <v>34325114.072000004</v>
      </c>
      <c r="I3972">
        <v>65134383.744000003</v>
      </c>
      <c r="J3972">
        <v>27037591.488000002</v>
      </c>
      <c r="K3972">
        <v>6436239.4079999998</v>
      </c>
      <c r="L3972">
        <v>73309.096000000005</v>
      </c>
      <c r="M3972">
        <v>0</v>
      </c>
      <c r="N3972">
        <v>0</v>
      </c>
      <c r="O3972">
        <v>0</v>
      </c>
      <c r="Q3972">
        <v>9490000</v>
      </c>
      <c r="R3972">
        <v>0</v>
      </c>
      <c r="T3972" s="9">
        <v>45108</v>
      </c>
      <c r="U3972" s="9">
        <v>45473</v>
      </c>
      <c r="V3972">
        <f>SUM(POTABLE_NONPOTABLE_API[[#This Row],[RESIDENTIAL_SINGLEFAMILY_GAL]:[OTHER_GAL]])</f>
        <v>246378406.71999997</v>
      </c>
      <c r="W3972">
        <f>SUM(POTABLE_NONPOTABLE_API[[#This Row],[NONPOTABLE_DEMAND_RESIDENTIAL_RECYCLED_WATER_GAL]:[NONPOTABLE_DEMAND_NONRESIDENTIAL_METERED_IRRIGATION_GAL]])</f>
        <v>9490000</v>
      </c>
      <c r="X3972" t="str">
        <f>IFERROR(INDEX(Crosswalk_API!$H$2:$H$527, MATCH(POTABLE_NONPOTABLE_API[[#This Row],[PWSID]], CW_PWSID_LIST, 0)), "")</f>
        <v>No</v>
      </c>
    </row>
    <row r="3973" spans="1:24" x14ac:dyDescent="0.25">
      <c r="A3973" t="s">
        <v>1898</v>
      </c>
      <c r="B3973" t="s">
        <v>1899</v>
      </c>
      <c r="C3973" t="s">
        <v>1900</v>
      </c>
      <c r="D3973" t="s">
        <v>1901</v>
      </c>
      <c r="E3973" s="9">
        <v>45444</v>
      </c>
      <c r="F3973" s="9">
        <v>45473</v>
      </c>
      <c r="G3973">
        <v>157846452.52000001</v>
      </c>
      <c r="H3973">
        <v>15795866.032</v>
      </c>
      <c r="I3973">
        <v>15460738.736</v>
      </c>
      <c r="J3973">
        <v>101472505.748</v>
      </c>
      <c r="K3973">
        <v>1091407.868</v>
      </c>
      <c r="L3973">
        <v>14785995.832</v>
      </c>
      <c r="M3973">
        <v>0</v>
      </c>
      <c r="N3973">
        <v>0</v>
      </c>
      <c r="O3973">
        <v>0</v>
      </c>
      <c r="P3973">
        <v>0</v>
      </c>
      <c r="Q3973">
        <v>12110000</v>
      </c>
      <c r="R3973">
        <v>0</v>
      </c>
      <c r="S3973">
        <v>0</v>
      </c>
      <c r="T3973" s="9">
        <v>45108</v>
      </c>
      <c r="U3973" s="9">
        <v>45473</v>
      </c>
      <c r="V3973">
        <f>SUM(POTABLE_NONPOTABLE_API[[#This Row],[RESIDENTIAL_SINGLEFAMILY_GAL]:[OTHER_GAL]])</f>
        <v>306452966.736</v>
      </c>
      <c r="W3973">
        <f>SUM(POTABLE_NONPOTABLE_API[[#This Row],[NONPOTABLE_DEMAND_RESIDENTIAL_RECYCLED_WATER_GAL]:[NONPOTABLE_DEMAND_NONRESIDENTIAL_METERED_IRRIGATION_GAL]])</f>
        <v>12110000</v>
      </c>
      <c r="X3973" t="str">
        <f>IFERROR(INDEX(Crosswalk_API!$H$2:$H$527, MATCH(POTABLE_NONPOTABLE_API[[#This Row],[PWSID]], CW_PWSID_LIST, 0)), "")</f>
        <v>No</v>
      </c>
    </row>
    <row r="3974" spans="1:24" x14ac:dyDescent="0.25">
      <c r="A3974" t="s">
        <v>1902</v>
      </c>
      <c r="B3974" t="s">
        <v>1903</v>
      </c>
      <c r="C3974" t="s">
        <v>1904</v>
      </c>
      <c r="D3974" t="s">
        <v>1905</v>
      </c>
      <c r="E3974" s="9">
        <v>45108</v>
      </c>
      <c r="F3974" s="9">
        <v>45138</v>
      </c>
      <c r="G3974">
        <v>161947947</v>
      </c>
      <c r="H3974">
        <v>0</v>
      </c>
      <c r="I3974">
        <v>0</v>
      </c>
      <c r="J3974">
        <v>0</v>
      </c>
      <c r="K3974">
        <v>0</v>
      </c>
      <c r="L3974">
        <v>0</v>
      </c>
      <c r="M3974">
        <v>0</v>
      </c>
      <c r="T3974" s="9">
        <v>45108</v>
      </c>
      <c r="U3974" s="9">
        <v>45473</v>
      </c>
      <c r="V3974">
        <f>SUM(POTABLE_NONPOTABLE_API[[#This Row],[RESIDENTIAL_SINGLEFAMILY_GAL]:[OTHER_GAL]])</f>
        <v>161947947</v>
      </c>
      <c r="W3974">
        <f>SUM(POTABLE_NONPOTABLE_API[[#This Row],[NONPOTABLE_DEMAND_RESIDENTIAL_RECYCLED_WATER_GAL]:[NONPOTABLE_DEMAND_NONRESIDENTIAL_METERED_IRRIGATION_GAL]])</f>
        <v>0</v>
      </c>
      <c r="X3974" t="str">
        <f>IFERROR(INDEX(Crosswalk_API!$H$2:$H$527, MATCH(POTABLE_NONPOTABLE_API[[#This Row],[PWSID]], CW_PWSID_LIST, 0)), "")</f>
        <v>No</v>
      </c>
    </row>
    <row r="3975" spans="1:24" x14ac:dyDescent="0.25">
      <c r="A3975" t="s">
        <v>1902</v>
      </c>
      <c r="B3975" t="s">
        <v>1903</v>
      </c>
      <c r="C3975" t="s">
        <v>1904</v>
      </c>
      <c r="D3975" t="s">
        <v>1905</v>
      </c>
      <c r="E3975" s="9">
        <v>45139</v>
      </c>
      <c r="F3975" s="9">
        <v>45169</v>
      </c>
      <c r="G3975">
        <v>160318692</v>
      </c>
      <c r="H3975">
        <v>0</v>
      </c>
      <c r="I3975">
        <v>0</v>
      </c>
      <c r="J3975">
        <v>0</v>
      </c>
      <c r="K3975">
        <v>0</v>
      </c>
      <c r="L3975">
        <v>0</v>
      </c>
      <c r="M3975">
        <v>0</v>
      </c>
      <c r="T3975" s="9">
        <v>45108</v>
      </c>
      <c r="U3975" s="9">
        <v>45473</v>
      </c>
      <c r="V3975">
        <f>SUM(POTABLE_NONPOTABLE_API[[#This Row],[RESIDENTIAL_SINGLEFAMILY_GAL]:[OTHER_GAL]])</f>
        <v>160318692</v>
      </c>
      <c r="W3975">
        <f>SUM(POTABLE_NONPOTABLE_API[[#This Row],[NONPOTABLE_DEMAND_RESIDENTIAL_RECYCLED_WATER_GAL]:[NONPOTABLE_DEMAND_NONRESIDENTIAL_METERED_IRRIGATION_GAL]])</f>
        <v>0</v>
      </c>
      <c r="X3975" t="str">
        <f>IFERROR(INDEX(Crosswalk_API!$H$2:$H$527, MATCH(POTABLE_NONPOTABLE_API[[#This Row],[PWSID]], CW_PWSID_LIST, 0)), "")</f>
        <v>No</v>
      </c>
    </row>
    <row r="3976" spans="1:24" x14ac:dyDescent="0.25">
      <c r="A3976" t="s">
        <v>1902</v>
      </c>
      <c r="B3976" t="s">
        <v>1903</v>
      </c>
      <c r="C3976" t="s">
        <v>1904</v>
      </c>
      <c r="D3976" t="s">
        <v>1905</v>
      </c>
      <c r="E3976" s="9">
        <v>45170</v>
      </c>
      <c r="F3976" s="9">
        <v>45199</v>
      </c>
      <c r="T3976" s="9">
        <v>45108</v>
      </c>
      <c r="U3976" s="9">
        <v>45473</v>
      </c>
      <c r="V3976">
        <f>SUM(POTABLE_NONPOTABLE_API[[#This Row],[RESIDENTIAL_SINGLEFAMILY_GAL]:[OTHER_GAL]])</f>
        <v>0</v>
      </c>
      <c r="W3976">
        <f>SUM(POTABLE_NONPOTABLE_API[[#This Row],[NONPOTABLE_DEMAND_RESIDENTIAL_RECYCLED_WATER_GAL]:[NONPOTABLE_DEMAND_NONRESIDENTIAL_METERED_IRRIGATION_GAL]])</f>
        <v>0</v>
      </c>
      <c r="X3976" t="str">
        <f>IFERROR(INDEX(Crosswalk_API!$H$2:$H$527, MATCH(POTABLE_NONPOTABLE_API[[#This Row],[PWSID]], CW_PWSID_LIST, 0)), "")</f>
        <v>No</v>
      </c>
    </row>
    <row r="3977" spans="1:24" x14ac:dyDescent="0.25">
      <c r="A3977" t="s">
        <v>1902</v>
      </c>
      <c r="B3977" t="s">
        <v>1903</v>
      </c>
      <c r="C3977" t="s">
        <v>1904</v>
      </c>
      <c r="D3977" t="s">
        <v>1905</v>
      </c>
      <c r="E3977" s="9">
        <v>45200</v>
      </c>
      <c r="F3977" s="9">
        <v>45230</v>
      </c>
      <c r="T3977" s="9">
        <v>45108</v>
      </c>
      <c r="U3977" s="9">
        <v>45473</v>
      </c>
      <c r="V3977">
        <f>SUM(POTABLE_NONPOTABLE_API[[#This Row],[RESIDENTIAL_SINGLEFAMILY_GAL]:[OTHER_GAL]])</f>
        <v>0</v>
      </c>
      <c r="W3977">
        <f>SUM(POTABLE_NONPOTABLE_API[[#This Row],[NONPOTABLE_DEMAND_RESIDENTIAL_RECYCLED_WATER_GAL]:[NONPOTABLE_DEMAND_NONRESIDENTIAL_METERED_IRRIGATION_GAL]])</f>
        <v>0</v>
      </c>
      <c r="X3977" t="str">
        <f>IFERROR(INDEX(Crosswalk_API!$H$2:$H$527, MATCH(POTABLE_NONPOTABLE_API[[#This Row],[PWSID]], CW_PWSID_LIST, 0)), "")</f>
        <v>No</v>
      </c>
    </row>
    <row r="3978" spans="1:24" x14ac:dyDescent="0.25">
      <c r="A3978" t="s">
        <v>1902</v>
      </c>
      <c r="B3978" t="s">
        <v>1903</v>
      </c>
      <c r="C3978" t="s">
        <v>1904</v>
      </c>
      <c r="D3978" t="s">
        <v>1905</v>
      </c>
      <c r="E3978" s="9">
        <v>45231</v>
      </c>
      <c r="F3978" s="9">
        <v>45260</v>
      </c>
      <c r="T3978" s="9">
        <v>45108</v>
      </c>
      <c r="U3978" s="9">
        <v>45473</v>
      </c>
      <c r="V3978">
        <f>SUM(POTABLE_NONPOTABLE_API[[#This Row],[RESIDENTIAL_SINGLEFAMILY_GAL]:[OTHER_GAL]])</f>
        <v>0</v>
      </c>
      <c r="W3978">
        <f>SUM(POTABLE_NONPOTABLE_API[[#This Row],[NONPOTABLE_DEMAND_RESIDENTIAL_RECYCLED_WATER_GAL]:[NONPOTABLE_DEMAND_NONRESIDENTIAL_METERED_IRRIGATION_GAL]])</f>
        <v>0</v>
      </c>
      <c r="X3978" t="str">
        <f>IFERROR(INDEX(Crosswalk_API!$H$2:$H$527, MATCH(POTABLE_NONPOTABLE_API[[#This Row],[PWSID]], CW_PWSID_LIST, 0)), "")</f>
        <v>No</v>
      </c>
    </row>
    <row r="3979" spans="1:24" x14ac:dyDescent="0.25">
      <c r="A3979" t="s">
        <v>1902</v>
      </c>
      <c r="B3979" t="s">
        <v>1903</v>
      </c>
      <c r="C3979" t="s">
        <v>1904</v>
      </c>
      <c r="D3979" t="s">
        <v>1905</v>
      </c>
      <c r="E3979" s="9">
        <v>45261</v>
      </c>
      <c r="F3979" s="9">
        <v>45291</v>
      </c>
      <c r="T3979" s="9">
        <v>45108</v>
      </c>
      <c r="U3979" s="9">
        <v>45473</v>
      </c>
      <c r="V3979">
        <f>SUM(POTABLE_NONPOTABLE_API[[#This Row],[RESIDENTIAL_SINGLEFAMILY_GAL]:[OTHER_GAL]])</f>
        <v>0</v>
      </c>
      <c r="W3979">
        <f>SUM(POTABLE_NONPOTABLE_API[[#This Row],[NONPOTABLE_DEMAND_RESIDENTIAL_RECYCLED_WATER_GAL]:[NONPOTABLE_DEMAND_NONRESIDENTIAL_METERED_IRRIGATION_GAL]])</f>
        <v>0</v>
      </c>
      <c r="X3979" t="str">
        <f>IFERROR(INDEX(Crosswalk_API!$H$2:$H$527, MATCH(POTABLE_NONPOTABLE_API[[#This Row],[PWSID]], CW_PWSID_LIST, 0)), "")</f>
        <v>No</v>
      </c>
    </row>
    <row r="3980" spans="1:24" x14ac:dyDescent="0.25">
      <c r="A3980" t="s">
        <v>1902</v>
      </c>
      <c r="B3980" t="s">
        <v>1903</v>
      </c>
      <c r="C3980" t="s">
        <v>1904</v>
      </c>
      <c r="D3980" t="s">
        <v>1905</v>
      </c>
      <c r="E3980" s="9">
        <v>45292</v>
      </c>
      <c r="F3980" s="9">
        <v>45322</v>
      </c>
      <c r="T3980" s="9">
        <v>45108</v>
      </c>
      <c r="U3980" s="9">
        <v>45473</v>
      </c>
      <c r="V3980">
        <f>SUM(POTABLE_NONPOTABLE_API[[#This Row],[RESIDENTIAL_SINGLEFAMILY_GAL]:[OTHER_GAL]])</f>
        <v>0</v>
      </c>
      <c r="W3980">
        <f>SUM(POTABLE_NONPOTABLE_API[[#This Row],[NONPOTABLE_DEMAND_RESIDENTIAL_RECYCLED_WATER_GAL]:[NONPOTABLE_DEMAND_NONRESIDENTIAL_METERED_IRRIGATION_GAL]])</f>
        <v>0</v>
      </c>
      <c r="X3980" t="str">
        <f>IFERROR(INDEX(Crosswalk_API!$H$2:$H$527, MATCH(POTABLE_NONPOTABLE_API[[#This Row],[PWSID]], CW_PWSID_LIST, 0)), "")</f>
        <v>No</v>
      </c>
    </row>
    <row r="3981" spans="1:24" x14ac:dyDescent="0.25">
      <c r="A3981" t="s">
        <v>1902</v>
      </c>
      <c r="B3981" t="s">
        <v>1903</v>
      </c>
      <c r="C3981" t="s">
        <v>1904</v>
      </c>
      <c r="D3981" t="s">
        <v>1905</v>
      </c>
      <c r="E3981" s="9">
        <v>45323</v>
      </c>
      <c r="F3981" s="9">
        <v>45351</v>
      </c>
      <c r="T3981" s="9">
        <v>45108</v>
      </c>
      <c r="U3981" s="9">
        <v>45473</v>
      </c>
      <c r="V3981">
        <f>SUM(POTABLE_NONPOTABLE_API[[#This Row],[RESIDENTIAL_SINGLEFAMILY_GAL]:[OTHER_GAL]])</f>
        <v>0</v>
      </c>
      <c r="W3981">
        <f>SUM(POTABLE_NONPOTABLE_API[[#This Row],[NONPOTABLE_DEMAND_RESIDENTIAL_RECYCLED_WATER_GAL]:[NONPOTABLE_DEMAND_NONRESIDENTIAL_METERED_IRRIGATION_GAL]])</f>
        <v>0</v>
      </c>
      <c r="X3981" t="str">
        <f>IFERROR(INDEX(Crosswalk_API!$H$2:$H$527, MATCH(POTABLE_NONPOTABLE_API[[#This Row],[PWSID]], CW_PWSID_LIST, 0)), "")</f>
        <v>No</v>
      </c>
    </row>
    <row r="3982" spans="1:24" x14ac:dyDescent="0.25">
      <c r="A3982" t="s">
        <v>1902</v>
      </c>
      <c r="B3982" t="s">
        <v>1903</v>
      </c>
      <c r="C3982" t="s">
        <v>1904</v>
      </c>
      <c r="D3982" t="s">
        <v>1905</v>
      </c>
      <c r="E3982" s="9">
        <v>45352</v>
      </c>
      <c r="F3982" s="9">
        <v>45382</v>
      </c>
      <c r="T3982" s="9">
        <v>45108</v>
      </c>
      <c r="U3982" s="9">
        <v>45473</v>
      </c>
      <c r="V3982">
        <f>SUM(POTABLE_NONPOTABLE_API[[#This Row],[RESIDENTIAL_SINGLEFAMILY_GAL]:[OTHER_GAL]])</f>
        <v>0</v>
      </c>
      <c r="W3982">
        <f>SUM(POTABLE_NONPOTABLE_API[[#This Row],[NONPOTABLE_DEMAND_RESIDENTIAL_RECYCLED_WATER_GAL]:[NONPOTABLE_DEMAND_NONRESIDENTIAL_METERED_IRRIGATION_GAL]])</f>
        <v>0</v>
      </c>
      <c r="X3982" t="str">
        <f>IFERROR(INDEX(Crosswalk_API!$H$2:$H$527, MATCH(POTABLE_NONPOTABLE_API[[#This Row],[PWSID]], CW_PWSID_LIST, 0)), "")</f>
        <v>No</v>
      </c>
    </row>
    <row r="3983" spans="1:24" x14ac:dyDescent="0.25">
      <c r="A3983" t="s">
        <v>1902</v>
      </c>
      <c r="B3983" t="s">
        <v>1903</v>
      </c>
      <c r="C3983" t="s">
        <v>1904</v>
      </c>
      <c r="D3983" t="s">
        <v>1905</v>
      </c>
      <c r="E3983" s="9">
        <v>45383</v>
      </c>
      <c r="F3983" s="9">
        <v>45412</v>
      </c>
      <c r="T3983" s="9">
        <v>45108</v>
      </c>
      <c r="U3983" s="9">
        <v>45473</v>
      </c>
      <c r="V3983">
        <f>SUM(POTABLE_NONPOTABLE_API[[#This Row],[RESIDENTIAL_SINGLEFAMILY_GAL]:[OTHER_GAL]])</f>
        <v>0</v>
      </c>
      <c r="W3983">
        <f>SUM(POTABLE_NONPOTABLE_API[[#This Row],[NONPOTABLE_DEMAND_RESIDENTIAL_RECYCLED_WATER_GAL]:[NONPOTABLE_DEMAND_NONRESIDENTIAL_METERED_IRRIGATION_GAL]])</f>
        <v>0</v>
      </c>
      <c r="X3983" t="str">
        <f>IFERROR(INDEX(Crosswalk_API!$H$2:$H$527, MATCH(POTABLE_NONPOTABLE_API[[#This Row],[PWSID]], CW_PWSID_LIST, 0)), "")</f>
        <v>No</v>
      </c>
    </row>
    <row r="3984" spans="1:24" x14ac:dyDescent="0.25">
      <c r="A3984" t="s">
        <v>1902</v>
      </c>
      <c r="B3984" t="s">
        <v>1903</v>
      </c>
      <c r="C3984" t="s">
        <v>1904</v>
      </c>
      <c r="D3984" t="s">
        <v>1905</v>
      </c>
      <c r="E3984" s="9">
        <v>45413</v>
      </c>
      <c r="F3984" s="9">
        <v>45443</v>
      </c>
      <c r="T3984" s="9">
        <v>45108</v>
      </c>
      <c r="U3984" s="9">
        <v>45473</v>
      </c>
      <c r="V3984">
        <f>SUM(POTABLE_NONPOTABLE_API[[#This Row],[RESIDENTIAL_SINGLEFAMILY_GAL]:[OTHER_GAL]])</f>
        <v>0</v>
      </c>
      <c r="W3984">
        <f>SUM(POTABLE_NONPOTABLE_API[[#This Row],[NONPOTABLE_DEMAND_RESIDENTIAL_RECYCLED_WATER_GAL]:[NONPOTABLE_DEMAND_NONRESIDENTIAL_METERED_IRRIGATION_GAL]])</f>
        <v>0</v>
      </c>
      <c r="X3984" t="str">
        <f>IFERROR(INDEX(Crosswalk_API!$H$2:$H$527, MATCH(POTABLE_NONPOTABLE_API[[#This Row],[PWSID]], CW_PWSID_LIST, 0)), "")</f>
        <v>No</v>
      </c>
    </row>
    <row r="3985" spans="1:24" x14ac:dyDescent="0.25">
      <c r="A3985" t="s">
        <v>1902</v>
      </c>
      <c r="B3985" t="s">
        <v>1903</v>
      </c>
      <c r="C3985" t="s">
        <v>1904</v>
      </c>
      <c r="D3985" t="s">
        <v>1905</v>
      </c>
      <c r="E3985" s="9">
        <v>45444</v>
      </c>
      <c r="F3985" s="9">
        <v>45473</v>
      </c>
      <c r="T3985" s="9">
        <v>45108</v>
      </c>
      <c r="U3985" s="9">
        <v>45473</v>
      </c>
      <c r="V3985">
        <f>SUM(POTABLE_NONPOTABLE_API[[#This Row],[RESIDENTIAL_SINGLEFAMILY_GAL]:[OTHER_GAL]])</f>
        <v>0</v>
      </c>
      <c r="W3985">
        <f>SUM(POTABLE_NONPOTABLE_API[[#This Row],[NONPOTABLE_DEMAND_RESIDENTIAL_RECYCLED_WATER_GAL]:[NONPOTABLE_DEMAND_NONRESIDENTIAL_METERED_IRRIGATION_GAL]])</f>
        <v>0</v>
      </c>
      <c r="X3985" t="str">
        <f>IFERROR(INDEX(Crosswalk_API!$H$2:$H$527, MATCH(POTABLE_NONPOTABLE_API[[#This Row],[PWSID]], CW_PWSID_LIST, 0)), "")</f>
        <v>No</v>
      </c>
    </row>
    <row r="3986" spans="1:24" x14ac:dyDescent="0.25">
      <c r="A3986" t="s">
        <v>1906</v>
      </c>
      <c r="B3986" t="s">
        <v>1907</v>
      </c>
      <c r="C3986" t="s">
        <v>1908</v>
      </c>
      <c r="D3986" t="s">
        <v>1909</v>
      </c>
      <c r="E3986" s="9">
        <v>45108</v>
      </c>
      <c r="F3986" s="9">
        <v>45138</v>
      </c>
      <c r="G3986">
        <v>30294609.896000002</v>
      </c>
      <c r="H3986">
        <v>43693717.32</v>
      </c>
      <c r="I3986">
        <v>11871585.24</v>
      </c>
      <c r="J3986">
        <v>8848707.1080000009</v>
      </c>
      <c r="K3986">
        <v>12846296.996000001</v>
      </c>
      <c r="L3986">
        <v>0</v>
      </c>
      <c r="M3986">
        <v>0</v>
      </c>
      <c r="T3986" s="9">
        <v>45108</v>
      </c>
      <c r="U3986" s="9">
        <v>45473</v>
      </c>
      <c r="V3986">
        <f>SUM(POTABLE_NONPOTABLE_API[[#This Row],[RESIDENTIAL_SINGLEFAMILY_GAL]:[OTHER_GAL]])</f>
        <v>107554916.56</v>
      </c>
      <c r="W3986">
        <f>SUM(POTABLE_NONPOTABLE_API[[#This Row],[NONPOTABLE_DEMAND_RESIDENTIAL_RECYCLED_WATER_GAL]:[NONPOTABLE_DEMAND_NONRESIDENTIAL_METERED_IRRIGATION_GAL]])</f>
        <v>0</v>
      </c>
      <c r="X3986" t="str">
        <f>IFERROR(INDEX(Crosswalk_API!$H$2:$H$527, MATCH(POTABLE_NONPOTABLE_API[[#This Row],[PWSID]], CW_PWSID_LIST, 0)), "")</f>
        <v>No</v>
      </c>
    </row>
    <row r="3987" spans="1:24" x14ac:dyDescent="0.25">
      <c r="A3987" t="s">
        <v>1906</v>
      </c>
      <c r="B3987" t="s">
        <v>1907</v>
      </c>
      <c r="C3987" t="s">
        <v>1908</v>
      </c>
      <c r="D3987" t="s">
        <v>1909</v>
      </c>
      <c r="E3987" s="9">
        <v>45139</v>
      </c>
      <c r="F3987" s="9">
        <v>45169</v>
      </c>
      <c r="G3987">
        <v>55922871.416000001</v>
      </c>
      <c r="H3987">
        <v>82897626.535999998</v>
      </c>
      <c r="I3987">
        <v>31924615.204</v>
      </c>
      <c r="J3987">
        <v>15643263.424000001</v>
      </c>
      <c r="K3987">
        <v>43410205.612000003</v>
      </c>
      <c r="L3987">
        <v>0</v>
      </c>
      <c r="M3987">
        <v>0</v>
      </c>
      <c r="T3987" s="9">
        <v>45108</v>
      </c>
      <c r="U3987" s="9">
        <v>45473</v>
      </c>
      <c r="V3987">
        <f>SUM(POTABLE_NONPOTABLE_API[[#This Row],[RESIDENTIAL_SINGLEFAMILY_GAL]:[OTHER_GAL]])</f>
        <v>229798582.19199997</v>
      </c>
      <c r="W3987">
        <f>SUM(POTABLE_NONPOTABLE_API[[#This Row],[NONPOTABLE_DEMAND_RESIDENTIAL_RECYCLED_WATER_GAL]:[NONPOTABLE_DEMAND_NONRESIDENTIAL_METERED_IRRIGATION_GAL]])</f>
        <v>0</v>
      </c>
      <c r="X3987" t="str">
        <f>IFERROR(INDEX(Crosswalk_API!$H$2:$H$527, MATCH(POTABLE_NONPOTABLE_API[[#This Row],[PWSID]], CW_PWSID_LIST, 0)), "")</f>
        <v>No</v>
      </c>
    </row>
    <row r="3988" spans="1:24" x14ac:dyDescent="0.25">
      <c r="A3988" t="s">
        <v>1906</v>
      </c>
      <c r="B3988" t="s">
        <v>1907</v>
      </c>
      <c r="C3988" t="s">
        <v>1908</v>
      </c>
      <c r="D3988" t="s">
        <v>1909</v>
      </c>
      <c r="E3988" s="9">
        <v>45170</v>
      </c>
      <c r="F3988" s="9">
        <v>45199</v>
      </c>
      <c r="G3988">
        <v>31235659.312000003</v>
      </c>
      <c r="H3988">
        <v>40132989.800000004</v>
      </c>
      <c r="I3988">
        <v>4127750.9360000002</v>
      </c>
      <c r="J3988">
        <v>3341548.284</v>
      </c>
      <c r="K3988">
        <v>3711085.9720000001</v>
      </c>
      <c r="L3988">
        <v>0</v>
      </c>
      <c r="M3988">
        <v>0</v>
      </c>
      <c r="T3988" s="9">
        <v>45108</v>
      </c>
      <c r="U3988" s="9">
        <v>45473</v>
      </c>
      <c r="V3988">
        <f>SUM(POTABLE_NONPOTABLE_API[[#This Row],[RESIDENTIAL_SINGLEFAMILY_GAL]:[OTHER_GAL]])</f>
        <v>82549034.304000005</v>
      </c>
      <c r="W3988">
        <f>SUM(POTABLE_NONPOTABLE_API[[#This Row],[NONPOTABLE_DEMAND_RESIDENTIAL_RECYCLED_WATER_GAL]:[NONPOTABLE_DEMAND_NONRESIDENTIAL_METERED_IRRIGATION_GAL]])</f>
        <v>0</v>
      </c>
      <c r="X3988" t="str">
        <f>IFERROR(INDEX(Crosswalk_API!$H$2:$H$527, MATCH(POTABLE_NONPOTABLE_API[[#This Row],[PWSID]], CW_PWSID_LIST, 0)), "")</f>
        <v>No</v>
      </c>
    </row>
    <row r="3989" spans="1:24" x14ac:dyDescent="0.25">
      <c r="A3989" t="s">
        <v>1906</v>
      </c>
      <c r="B3989" t="s">
        <v>1907</v>
      </c>
      <c r="C3989" t="s">
        <v>1908</v>
      </c>
      <c r="D3989" t="s">
        <v>1909</v>
      </c>
      <c r="E3989" s="9">
        <v>45200</v>
      </c>
      <c r="F3989" s="9">
        <v>45230</v>
      </c>
      <c r="G3989">
        <v>38232937.719999999</v>
      </c>
      <c r="H3989">
        <v>59342965.160000004</v>
      </c>
      <c r="I3989">
        <v>27342048.652000003</v>
      </c>
      <c r="J3989">
        <v>16322494.640000001</v>
      </c>
      <c r="K3989">
        <v>31721893.112</v>
      </c>
      <c r="L3989">
        <v>0</v>
      </c>
      <c r="M3989">
        <v>0</v>
      </c>
      <c r="T3989" s="9">
        <v>45108</v>
      </c>
      <c r="U3989" s="9">
        <v>45473</v>
      </c>
      <c r="V3989">
        <f>SUM(POTABLE_NONPOTABLE_API[[#This Row],[RESIDENTIAL_SINGLEFAMILY_GAL]:[OTHER_GAL]])</f>
        <v>172962339.28399998</v>
      </c>
      <c r="W3989">
        <f>SUM(POTABLE_NONPOTABLE_API[[#This Row],[NONPOTABLE_DEMAND_RESIDENTIAL_RECYCLED_WATER_GAL]:[NONPOTABLE_DEMAND_NONRESIDENTIAL_METERED_IRRIGATION_GAL]])</f>
        <v>0</v>
      </c>
      <c r="X3989" t="str">
        <f>IFERROR(INDEX(Crosswalk_API!$H$2:$H$527, MATCH(POTABLE_NONPOTABLE_API[[#This Row],[PWSID]], CW_PWSID_LIST, 0)), "")</f>
        <v>No</v>
      </c>
    </row>
    <row r="3990" spans="1:24" x14ac:dyDescent="0.25">
      <c r="A3990" t="s">
        <v>1906</v>
      </c>
      <c r="B3990" t="s">
        <v>1907</v>
      </c>
      <c r="C3990" t="s">
        <v>1908</v>
      </c>
      <c r="D3990" t="s">
        <v>1909</v>
      </c>
      <c r="E3990" s="9">
        <v>45231</v>
      </c>
      <c r="F3990" s="9">
        <v>45260</v>
      </c>
      <c r="G3990">
        <v>29032646.172000002</v>
      </c>
      <c r="H3990">
        <v>40608002.82</v>
      </c>
      <c r="I3990">
        <v>3954950.9240000001</v>
      </c>
      <c r="J3990">
        <v>2689246.94</v>
      </c>
      <c r="K3990">
        <v>2770036.5559999999</v>
      </c>
      <c r="L3990">
        <v>0</v>
      </c>
      <c r="M3990">
        <v>0</v>
      </c>
      <c r="T3990" s="9">
        <v>45108</v>
      </c>
      <c r="U3990" s="9">
        <v>45473</v>
      </c>
      <c r="V3990">
        <f>SUM(POTABLE_NONPOTABLE_API[[#This Row],[RESIDENTIAL_SINGLEFAMILY_GAL]:[OTHER_GAL]])</f>
        <v>79054883.411999986</v>
      </c>
      <c r="W3990">
        <f>SUM(POTABLE_NONPOTABLE_API[[#This Row],[NONPOTABLE_DEMAND_RESIDENTIAL_RECYCLED_WATER_GAL]:[NONPOTABLE_DEMAND_NONRESIDENTIAL_METERED_IRRIGATION_GAL]])</f>
        <v>0</v>
      </c>
      <c r="X3990" t="str">
        <f>IFERROR(INDEX(Crosswalk_API!$H$2:$H$527, MATCH(POTABLE_NONPOTABLE_API[[#This Row],[PWSID]], CW_PWSID_LIST, 0)), "")</f>
        <v>No</v>
      </c>
    </row>
    <row r="3991" spans="1:24" x14ac:dyDescent="0.25">
      <c r="A3991" t="s">
        <v>1906</v>
      </c>
      <c r="B3991" t="s">
        <v>1907</v>
      </c>
      <c r="C3991" t="s">
        <v>1908</v>
      </c>
      <c r="D3991" t="s">
        <v>1909</v>
      </c>
      <c r="E3991" s="9">
        <v>45261</v>
      </c>
      <c r="F3991" s="9">
        <v>45291</v>
      </c>
      <c r="G3991">
        <v>40741904.127999999</v>
      </c>
      <c r="H3991">
        <v>65146352.576000005</v>
      </c>
      <c r="I3991">
        <v>29028157.859999999</v>
      </c>
      <c r="J3991">
        <v>14295273.720000001</v>
      </c>
      <c r="K3991">
        <v>30352209.900000002</v>
      </c>
      <c r="L3991">
        <v>0</v>
      </c>
      <c r="M3991">
        <v>0</v>
      </c>
      <c r="T3991" s="9">
        <v>45108</v>
      </c>
      <c r="U3991" s="9">
        <v>45473</v>
      </c>
      <c r="V3991">
        <f>SUM(POTABLE_NONPOTABLE_API[[#This Row],[RESIDENTIAL_SINGLEFAMILY_GAL]:[OTHER_GAL]])</f>
        <v>179563898.18400002</v>
      </c>
      <c r="W3991">
        <f>SUM(POTABLE_NONPOTABLE_API[[#This Row],[NONPOTABLE_DEMAND_RESIDENTIAL_RECYCLED_WATER_GAL]:[NONPOTABLE_DEMAND_NONRESIDENTIAL_METERED_IRRIGATION_GAL]])</f>
        <v>0</v>
      </c>
      <c r="X3991" t="str">
        <f>IFERROR(INDEX(Crosswalk_API!$H$2:$H$527, MATCH(POTABLE_NONPOTABLE_API[[#This Row],[PWSID]], CW_PWSID_LIST, 0)), "")</f>
        <v>No</v>
      </c>
    </row>
    <row r="3992" spans="1:24" x14ac:dyDescent="0.25">
      <c r="A3992" t="s">
        <v>1906</v>
      </c>
      <c r="B3992" t="s">
        <v>1907</v>
      </c>
      <c r="C3992" t="s">
        <v>1908</v>
      </c>
      <c r="D3992" t="s">
        <v>1909</v>
      </c>
      <c r="E3992" s="9">
        <v>45292</v>
      </c>
      <c r="F3992" s="9">
        <v>45322</v>
      </c>
      <c r="G3992">
        <v>29113435.788000003</v>
      </c>
      <c r="H3992">
        <v>43025706.884000003</v>
      </c>
      <c r="I3992">
        <v>4004322.3560000001</v>
      </c>
      <c r="J3992">
        <v>2692239.148</v>
      </c>
      <c r="K3992">
        <v>2378805.36</v>
      </c>
      <c r="L3992">
        <v>0</v>
      </c>
      <c r="M3992">
        <v>0</v>
      </c>
      <c r="T3992" s="9">
        <v>45108</v>
      </c>
      <c r="U3992" s="9">
        <v>45473</v>
      </c>
      <c r="V3992">
        <f>SUM(POTABLE_NONPOTABLE_API[[#This Row],[RESIDENTIAL_SINGLEFAMILY_GAL]:[OTHER_GAL]])</f>
        <v>81214509.536000013</v>
      </c>
      <c r="W3992">
        <f>SUM(POTABLE_NONPOTABLE_API[[#This Row],[NONPOTABLE_DEMAND_RESIDENTIAL_RECYCLED_WATER_GAL]:[NONPOTABLE_DEMAND_NONRESIDENTIAL_METERED_IRRIGATION_GAL]])</f>
        <v>0</v>
      </c>
      <c r="X3992" t="str">
        <f>IFERROR(INDEX(Crosswalk_API!$H$2:$H$527, MATCH(POTABLE_NONPOTABLE_API[[#This Row],[PWSID]], CW_PWSID_LIST, 0)), "")</f>
        <v>No</v>
      </c>
    </row>
    <row r="3993" spans="1:24" x14ac:dyDescent="0.25">
      <c r="A3993" t="s">
        <v>1906</v>
      </c>
      <c r="B3993" t="s">
        <v>1907</v>
      </c>
      <c r="C3993" t="s">
        <v>1908</v>
      </c>
      <c r="D3993" t="s">
        <v>1909</v>
      </c>
      <c r="E3993" s="9">
        <v>45323</v>
      </c>
      <c r="F3993" s="9">
        <v>45351</v>
      </c>
      <c r="G3993">
        <v>36365799.928000003</v>
      </c>
      <c r="H3993">
        <v>62644866.688000001</v>
      </c>
      <c r="I3993">
        <v>24981196.539999999</v>
      </c>
      <c r="J3993">
        <v>8948946.0759999994</v>
      </c>
      <c r="K3993">
        <v>33930890.667999998</v>
      </c>
      <c r="L3993">
        <v>0</v>
      </c>
      <c r="M3993">
        <v>0</v>
      </c>
      <c r="T3993" s="9">
        <v>45108</v>
      </c>
      <c r="U3993" s="9">
        <v>45473</v>
      </c>
      <c r="V3993">
        <f>SUM(POTABLE_NONPOTABLE_API[[#This Row],[RESIDENTIAL_SINGLEFAMILY_GAL]:[OTHER_GAL]])</f>
        <v>166871699.89999998</v>
      </c>
      <c r="W3993">
        <f>SUM(POTABLE_NONPOTABLE_API[[#This Row],[NONPOTABLE_DEMAND_RESIDENTIAL_RECYCLED_WATER_GAL]:[NONPOTABLE_DEMAND_NONRESIDENTIAL_METERED_IRRIGATION_GAL]])</f>
        <v>0</v>
      </c>
      <c r="X3993" t="str">
        <f>IFERROR(INDEX(Crosswalk_API!$H$2:$H$527, MATCH(POTABLE_NONPOTABLE_API[[#This Row],[PWSID]], CW_PWSID_LIST, 0)), "")</f>
        <v>No</v>
      </c>
    </row>
    <row r="3994" spans="1:24" x14ac:dyDescent="0.25">
      <c r="A3994" t="s">
        <v>1906</v>
      </c>
      <c r="B3994" t="s">
        <v>1907</v>
      </c>
      <c r="C3994" t="s">
        <v>1908</v>
      </c>
      <c r="D3994" t="s">
        <v>1909</v>
      </c>
      <c r="E3994" s="9">
        <v>45352</v>
      </c>
      <c r="F3994" s="9">
        <v>45382</v>
      </c>
      <c r="G3994">
        <v>27304.646052</v>
      </c>
      <c r="H3994">
        <v>41784.688615999999</v>
      </c>
      <c r="I3994">
        <v>41784688.616000004</v>
      </c>
      <c r="J3994">
        <v>2338410.5520000001</v>
      </c>
      <c r="K3994">
        <v>1801309.216</v>
      </c>
      <c r="L3994">
        <v>0</v>
      </c>
      <c r="M3994">
        <v>0</v>
      </c>
      <c r="T3994" s="9">
        <v>45108</v>
      </c>
      <c r="U3994" s="9">
        <v>45473</v>
      </c>
      <c r="V3994">
        <f>SUM(POTABLE_NONPOTABLE_API[[#This Row],[RESIDENTIAL_SINGLEFAMILY_GAL]:[OTHER_GAL]])</f>
        <v>45993497.718668006</v>
      </c>
      <c r="W3994">
        <f>SUM(POTABLE_NONPOTABLE_API[[#This Row],[NONPOTABLE_DEMAND_RESIDENTIAL_RECYCLED_WATER_GAL]:[NONPOTABLE_DEMAND_NONRESIDENTIAL_METERED_IRRIGATION_GAL]])</f>
        <v>0</v>
      </c>
      <c r="X3994" t="str">
        <f>IFERROR(INDEX(Crosswalk_API!$H$2:$H$527, MATCH(POTABLE_NONPOTABLE_API[[#This Row],[PWSID]], CW_PWSID_LIST, 0)), "")</f>
        <v>No</v>
      </c>
    </row>
    <row r="3995" spans="1:24" x14ac:dyDescent="0.25">
      <c r="A3995" t="s">
        <v>1906</v>
      </c>
      <c r="B3995" t="s">
        <v>1907</v>
      </c>
      <c r="C3995" t="s">
        <v>1908</v>
      </c>
      <c r="D3995" t="s">
        <v>1909</v>
      </c>
      <c r="E3995" s="9">
        <v>45383</v>
      </c>
      <c r="F3995" s="9">
        <v>45412</v>
      </c>
      <c r="G3995">
        <v>28963825.388</v>
      </c>
      <c r="H3995">
        <v>48473769.600000001</v>
      </c>
      <c r="I3995">
        <v>18289123.348000001</v>
      </c>
      <c r="J3995">
        <v>3757465.196</v>
      </c>
      <c r="K3995">
        <v>25967877.128000002</v>
      </c>
      <c r="L3995">
        <v>0</v>
      </c>
      <c r="M3995">
        <v>0</v>
      </c>
      <c r="T3995" s="9">
        <v>45108</v>
      </c>
      <c r="U3995" s="9">
        <v>45473</v>
      </c>
      <c r="V3995">
        <f>SUM(POTABLE_NONPOTABLE_API[[#This Row],[RESIDENTIAL_SINGLEFAMILY_GAL]:[OTHER_GAL]])</f>
        <v>125452060.66000001</v>
      </c>
      <c r="W3995">
        <f>SUM(POTABLE_NONPOTABLE_API[[#This Row],[NONPOTABLE_DEMAND_RESIDENTIAL_RECYCLED_WATER_GAL]:[NONPOTABLE_DEMAND_NONRESIDENTIAL_METERED_IRRIGATION_GAL]])</f>
        <v>0</v>
      </c>
      <c r="X3995" t="str">
        <f>IFERROR(INDEX(Crosswalk_API!$H$2:$H$527, MATCH(POTABLE_NONPOTABLE_API[[#This Row],[PWSID]], CW_PWSID_LIST, 0)), "")</f>
        <v>No</v>
      </c>
    </row>
    <row r="3996" spans="1:24" x14ac:dyDescent="0.25">
      <c r="A3996" t="s">
        <v>1906</v>
      </c>
      <c r="B3996" t="s">
        <v>1907</v>
      </c>
      <c r="C3996" t="s">
        <v>1908</v>
      </c>
      <c r="D3996" t="s">
        <v>1909</v>
      </c>
      <c r="E3996" s="9">
        <v>45413</v>
      </c>
      <c r="F3996" s="9">
        <v>45443</v>
      </c>
      <c r="G3996">
        <v>35120293.347999997</v>
      </c>
      <c r="H3996">
        <v>55466559.696000002</v>
      </c>
      <c r="I3996">
        <v>11084634.536</v>
      </c>
      <c r="J3996">
        <v>6045756.2640000004</v>
      </c>
      <c r="K3996">
        <v>14143419.164000001</v>
      </c>
      <c r="L3996">
        <v>0</v>
      </c>
      <c r="M3996">
        <v>0</v>
      </c>
      <c r="T3996" s="9">
        <v>45108</v>
      </c>
      <c r="U3996" s="9">
        <v>45473</v>
      </c>
      <c r="V3996">
        <f>SUM(POTABLE_NONPOTABLE_API[[#This Row],[RESIDENTIAL_SINGLEFAMILY_GAL]:[OTHER_GAL]])</f>
        <v>121860663.008</v>
      </c>
      <c r="W3996">
        <f>SUM(POTABLE_NONPOTABLE_API[[#This Row],[NONPOTABLE_DEMAND_RESIDENTIAL_RECYCLED_WATER_GAL]:[NONPOTABLE_DEMAND_NONRESIDENTIAL_METERED_IRRIGATION_GAL]])</f>
        <v>0</v>
      </c>
      <c r="X3996" t="str">
        <f>IFERROR(INDEX(Crosswalk_API!$H$2:$H$527, MATCH(POTABLE_NONPOTABLE_API[[#This Row],[PWSID]], CW_PWSID_LIST, 0)), "")</f>
        <v>No</v>
      </c>
    </row>
    <row r="3997" spans="1:24" x14ac:dyDescent="0.25">
      <c r="A3997" t="s">
        <v>1906</v>
      </c>
      <c r="B3997" t="s">
        <v>1907</v>
      </c>
      <c r="C3997" t="s">
        <v>1908</v>
      </c>
      <c r="D3997" t="s">
        <v>1909</v>
      </c>
      <c r="E3997" s="9">
        <v>45444</v>
      </c>
      <c r="F3997" s="9">
        <v>45473</v>
      </c>
      <c r="G3997">
        <v>32433290.563999999</v>
      </c>
      <c r="H3997">
        <v>49884595.671999998</v>
      </c>
      <c r="I3997">
        <v>19721642.927999999</v>
      </c>
      <c r="J3997">
        <v>6117569.2560000001</v>
      </c>
      <c r="K3997">
        <v>21543149.548</v>
      </c>
      <c r="L3997">
        <v>0</v>
      </c>
      <c r="M3997">
        <v>0</v>
      </c>
      <c r="T3997" s="9">
        <v>45108</v>
      </c>
      <c r="U3997" s="9">
        <v>45473</v>
      </c>
      <c r="V3997">
        <f>SUM(POTABLE_NONPOTABLE_API[[#This Row],[RESIDENTIAL_SINGLEFAMILY_GAL]:[OTHER_GAL]])</f>
        <v>129700247.96799999</v>
      </c>
      <c r="W3997">
        <f>SUM(POTABLE_NONPOTABLE_API[[#This Row],[NONPOTABLE_DEMAND_RESIDENTIAL_RECYCLED_WATER_GAL]:[NONPOTABLE_DEMAND_NONRESIDENTIAL_METERED_IRRIGATION_GAL]])</f>
        <v>0</v>
      </c>
      <c r="X3997" t="str">
        <f>IFERROR(INDEX(Crosswalk_API!$H$2:$H$527, MATCH(POTABLE_NONPOTABLE_API[[#This Row],[PWSID]], CW_PWSID_LIST, 0)), "")</f>
        <v>No</v>
      </c>
    </row>
    <row r="3998" spans="1:24" x14ac:dyDescent="0.25">
      <c r="A3998" t="s">
        <v>1918</v>
      </c>
      <c r="B3998" t="s">
        <v>1919</v>
      </c>
      <c r="C3998" t="s">
        <v>1920</v>
      </c>
      <c r="D3998" t="s">
        <v>1921</v>
      </c>
      <c r="E3998" s="9">
        <v>45108</v>
      </c>
      <c r="F3998" s="9">
        <v>45138</v>
      </c>
      <c r="G3998">
        <v>323568396.49599999</v>
      </c>
      <c r="H3998">
        <v>150365184.46799999</v>
      </c>
      <c r="I3998">
        <v>229604836.72400001</v>
      </c>
      <c r="J3998">
        <v>4682057.4680000003</v>
      </c>
      <c r="K3998">
        <v>0</v>
      </c>
      <c r="L3998">
        <v>601433.80799999996</v>
      </c>
      <c r="M3998">
        <v>0</v>
      </c>
      <c r="T3998" s="9">
        <v>45108</v>
      </c>
      <c r="U3998" s="9">
        <v>45473</v>
      </c>
      <c r="V3998">
        <f>SUM(POTABLE_NONPOTABLE_API[[#This Row],[RESIDENTIAL_SINGLEFAMILY_GAL]:[OTHER_GAL]])</f>
        <v>708821908.96399999</v>
      </c>
      <c r="W3998">
        <f>SUM(POTABLE_NONPOTABLE_API[[#This Row],[NONPOTABLE_DEMAND_RESIDENTIAL_RECYCLED_WATER_GAL]:[NONPOTABLE_DEMAND_NONRESIDENTIAL_METERED_IRRIGATION_GAL]])</f>
        <v>0</v>
      </c>
      <c r="X3998" t="str">
        <f>IFERROR(INDEX(Crosswalk_API!$H$2:$H$527, MATCH(POTABLE_NONPOTABLE_API[[#This Row],[PWSID]], CW_PWSID_LIST, 0)), "")</f>
        <v>No</v>
      </c>
    </row>
    <row r="3999" spans="1:24" x14ac:dyDescent="0.25">
      <c r="A3999" t="s">
        <v>1918</v>
      </c>
      <c r="B3999" t="s">
        <v>1919</v>
      </c>
      <c r="C3999" t="s">
        <v>1920</v>
      </c>
      <c r="D3999" t="s">
        <v>1921</v>
      </c>
      <c r="E3999" s="9">
        <v>45139</v>
      </c>
      <c r="F3999" s="9">
        <v>45169</v>
      </c>
      <c r="G3999">
        <v>381505771.94800001</v>
      </c>
      <c r="H3999">
        <v>115037680.71600001</v>
      </c>
      <c r="I3999">
        <v>267300673.10800001</v>
      </c>
      <c r="J3999">
        <v>5904374.4359999998</v>
      </c>
      <c r="K3999">
        <v>0</v>
      </c>
      <c r="L3999">
        <v>8228.5720000000001</v>
      </c>
      <c r="M3999">
        <v>0</v>
      </c>
      <c r="T3999" s="9">
        <v>45108</v>
      </c>
      <c r="U3999" s="9">
        <v>45473</v>
      </c>
      <c r="V3999">
        <f>SUM(POTABLE_NONPOTABLE_API[[#This Row],[RESIDENTIAL_SINGLEFAMILY_GAL]:[OTHER_GAL]])</f>
        <v>769756728.78000009</v>
      </c>
      <c r="W3999">
        <f>SUM(POTABLE_NONPOTABLE_API[[#This Row],[NONPOTABLE_DEMAND_RESIDENTIAL_RECYCLED_WATER_GAL]:[NONPOTABLE_DEMAND_NONRESIDENTIAL_METERED_IRRIGATION_GAL]])</f>
        <v>0</v>
      </c>
      <c r="X3999" t="str">
        <f>IFERROR(INDEX(Crosswalk_API!$H$2:$H$527, MATCH(POTABLE_NONPOTABLE_API[[#This Row],[PWSID]], CW_PWSID_LIST, 0)), "")</f>
        <v>No</v>
      </c>
    </row>
    <row r="4000" spans="1:24" x14ac:dyDescent="0.25">
      <c r="A4000" t="s">
        <v>1918</v>
      </c>
      <c r="B4000" t="s">
        <v>1919</v>
      </c>
      <c r="C4000" t="s">
        <v>1920</v>
      </c>
      <c r="D4000" t="s">
        <v>1921</v>
      </c>
      <c r="E4000" s="9">
        <v>45170</v>
      </c>
      <c r="F4000" s="9">
        <v>45199</v>
      </c>
      <c r="G4000">
        <v>381942634.31599998</v>
      </c>
      <c r="H4000">
        <v>153059667.77200001</v>
      </c>
      <c r="I4000">
        <v>237126499.58400002</v>
      </c>
      <c r="J4000">
        <v>5618618.5719999997</v>
      </c>
      <c r="K4000">
        <v>0</v>
      </c>
      <c r="L4000">
        <v>728602.64800000004</v>
      </c>
      <c r="M4000">
        <v>0</v>
      </c>
      <c r="T4000" s="9">
        <v>45108</v>
      </c>
      <c r="U4000" s="9">
        <v>45473</v>
      </c>
      <c r="V4000">
        <f>SUM(POTABLE_NONPOTABLE_API[[#This Row],[RESIDENTIAL_SINGLEFAMILY_GAL]:[OTHER_GAL]])</f>
        <v>778476022.89200008</v>
      </c>
      <c r="W4000">
        <f>SUM(POTABLE_NONPOTABLE_API[[#This Row],[NONPOTABLE_DEMAND_RESIDENTIAL_RECYCLED_WATER_GAL]:[NONPOTABLE_DEMAND_NONRESIDENTIAL_METERED_IRRIGATION_GAL]])</f>
        <v>0</v>
      </c>
      <c r="X4000" t="str">
        <f>IFERROR(INDEX(Crosswalk_API!$H$2:$H$527, MATCH(POTABLE_NONPOTABLE_API[[#This Row],[PWSID]], CW_PWSID_LIST, 0)), "")</f>
        <v>No</v>
      </c>
    </row>
    <row r="4001" spans="1:24" x14ac:dyDescent="0.25">
      <c r="A4001" t="s">
        <v>1918</v>
      </c>
      <c r="B4001" t="s">
        <v>1919</v>
      </c>
      <c r="C4001" t="s">
        <v>1920</v>
      </c>
      <c r="D4001" t="s">
        <v>1921</v>
      </c>
      <c r="E4001" s="9">
        <v>45200</v>
      </c>
      <c r="F4001" s="9">
        <v>45230</v>
      </c>
      <c r="G4001">
        <v>368718571.06</v>
      </c>
      <c r="H4001">
        <v>120799177.22</v>
      </c>
      <c r="I4001">
        <v>237724941.18400002</v>
      </c>
      <c r="J4001">
        <v>4242950.9440000001</v>
      </c>
      <c r="K4001">
        <v>0</v>
      </c>
      <c r="L4001">
        <v>3017641.7680000002</v>
      </c>
      <c r="M4001">
        <v>0</v>
      </c>
      <c r="T4001" s="9">
        <v>45108</v>
      </c>
      <c r="U4001" s="9">
        <v>45473</v>
      </c>
      <c r="V4001">
        <f>SUM(POTABLE_NONPOTABLE_API[[#This Row],[RESIDENTIAL_SINGLEFAMILY_GAL]:[OTHER_GAL]])</f>
        <v>734503282.176</v>
      </c>
      <c r="W4001">
        <f>SUM(POTABLE_NONPOTABLE_API[[#This Row],[NONPOTABLE_DEMAND_RESIDENTIAL_RECYCLED_WATER_GAL]:[NONPOTABLE_DEMAND_NONRESIDENTIAL_METERED_IRRIGATION_GAL]])</f>
        <v>0</v>
      </c>
      <c r="X4001" t="str">
        <f>IFERROR(INDEX(Crosswalk_API!$H$2:$H$527, MATCH(POTABLE_NONPOTABLE_API[[#This Row],[PWSID]], CW_PWSID_LIST, 0)), "")</f>
        <v>No</v>
      </c>
    </row>
    <row r="4002" spans="1:24" x14ac:dyDescent="0.25">
      <c r="A4002" t="s">
        <v>1918</v>
      </c>
      <c r="B4002" t="s">
        <v>1919</v>
      </c>
      <c r="C4002" t="s">
        <v>1920</v>
      </c>
      <c r="D4002" t="s">
        <v>1921</v>
      </c>
      <c r="E4002" s="9">
        <v>45231</v>
      </c>
      <c r="F4002" s="9">
        <v>45260</v>
      </c>
      <c r="G4002">
        <v>333352916.65600002</v>
      </c>
      <c r="H4002">
        <v>145479656.85600001</v>
      </c>
      <c r="I4002">
        <v>233159579.82800001</v>
      </c>
      <c r="J4002">
        <v>5505662.7199999997</v>
      </c>
      <c r="K4002">
        <v>0</v>
      </c>
      <c r="L4002">
        <v>955262.40399999998</v>
      </c>
      <c r="M4002">
        <v>0</v>
      </c>
      <c r="T4002" s="9">
        <v>45108</v>
      </c>
      <c r="U4002" s="9">
        <v>45473</v>
      </c>
      <c r="V4002">
        <f>SUM(POTABLE_NONPOTABLE_API[[#This Row],[RESIDENTIAL_SINGLEFAMILY_GAL]:[OTHER_GAL]])</f>
        <v>718453078.46400011</v>
      </c>
      <c r="W4002">
        <f>SUM(POTABLE_NONPOTABLE_API[[#This Row],[NONPOTABLE_DEMAND_RESIDENTIAL_RECYCLED_WATER_GAL]:[NONPOTABLE_DEMAND_NONRESIDENTIAL_METERED_IRRIGATION_GAL]])</f>
        <v>0</v>
      </c>
      <c r="X4002" t="str">
        <f>IFERROR(INDEX(Crosswalk_API!$H$2:$H$527, MATCH(POTABLE_NONPOTABLE_API[[#This Row],[PWSID]], CW_PWSID_LIST, 0)), "")</f>
        <v>No</v>
      </c>
    </row>
    <row r="4003" spans="1:24" x14ac:dyDescent="0.25">
      <c r="A4003" t="s">
        <v>1918</v>
      </c>
      <c r="B4003" t="s">
        <v>1919</v>
      </c>
      <c r="C4003" t="s">
        <v>1920</v>
      </c>
      <c r="D4003" t="s">
        <v>1921</v>
      </c>
      <c r="E4003" s="9">
        <v>45261</v>
      </c>
      <c r="F4003" s="9">
        <v>45291</v>
      </c>
      <c r="G4003">
        <v>323961123.796</v>
      </c>
      <c r="H4003">
        <v>102623757.77600001</v>
      </c>
      <c r="I4003">
        <v>198795567.05200002</v>
      </c>
      <c r="J4003">
        <v>3949714.56</v>
      </c>
      <c r="K4003">
        <v>0</v>
      </c>
      <c r="L4003">
        <v>1798317.0080000001</v>
      </c>
      <c r="M4003">
        <v>0</v>
      </c>
      <c r="T4003" s="9">
        <v>45108</v>
      </c>
      <c r="U4003" s="9">
        <v>45473</v>
      </c>
      <c r="V4003">
        <f>SUM(POTABLE_NONPOTABLE_API[[#This Row],[RESIDENTIAL_SINGLEFAMILY_GAL]:[OTHER_GAL]])</f>
        <v>631128480.19200003</v>
      </c>
      <c r="W4003">
        <f>SUM(POTABLE_NONPOTABLE_API[[#This Row],[NONPOTABLE_DEMAND_RESIDENTIAL_RECYCLED_WATER_GAL]:[NONPOTABLE_DEMAND_NONRESIDENTIAL_METERED_IRRIGATION_GAL]])</f>
        <v>0</v>
      </c>
      <c r="X4003" t="str">
        <f>IFERROR(INDEX(Crosswalk_API!$H$2:$H$527, MATCH(POTABLE_NONPOTABLE_API[[#This Row],[PWSID]], CW_PWSID_LIST, 0)), "")</f>
        <v>No</v>
      </c>
    </row>
    <row r="4004" spans="1:24" x14ac:dyDescent="0.25">
      <c r="A4004" t="s">
        <v>1918</v>
      </c>
      <c r="B4004" t="s">
        <v>1919</v>
      </c>
      <c r="C4004" t="s">
        <v>1920</v>
      </c>
      <c r="D4004" t="s">
        <v>1921</v>
      </c>
      <c r="E4004" s="9">
        <v>45292</v>
      </c>
      <c r="F4004" s="9">
        <v>45322</v>
      </c>
      <c r="G4004">
        <v>257053108.76000002</v>
      </c>
      <c r="H4004">
        <v>159652998.09999999</v>
      </c>
      <c r="I4004">
        <v>170422702.74400002</v>
      </c>
      <c r="J4004">
        <v>3944478.196</v>
      </c>
      <c r="K4004">
        <v>0</v>
      </c>
      <c r="L4004">
        <v>288000.02</v>
      </c>
      <c r="M4004">
        <v>0</v>
      </c>
      <c r="T4004" s="9">
        <v>45108</v>
      </c>
      <c r="U4004" s="9">
        <v>45473</v>
      </c>
      <c r="V4004">
        <f>SUM(POTABLE_NONPOTABLE_API[[#This Row],[RESIDENTIAL_SINGLEFAMILY_GAL]:[OTHER_GAL]])</f>
        <v>591361287.82000005</v>
      </c>
      <c r="W4004">
        <f>SUM(POTABLE_NONPOTABLE_API[[#This Row],[NONPOTABLE_DEMAND_RESIDENTIAL_RECYCLED_WATER_GAL]:[NONPOTABLE_DEMAND_NONRESIDENTIAL_METERED_IRRIGATION_GAL]])</f>
        <v>0</v>
      </c>
      <c r="X4004" t="str">
        <f>IFERROR(INDEX(Crosswalk_API!$H$2:$H$527, MATCH(POTABLE_NONPOTABLE_API[[#This Row],[PWSID]], CW_PWSID_LIST, 0)), "")</f>
        <v>No</v>
      </c>
    </row>
    <row r="4005" spans="1:24" x14ac:dyDescent="0.25">
      <c r="A4005" t="s">
        <v>1918</v>
      </c>
      <c r="B4005" t="s">
        <v>1919</v>
      </c>
      <c r="C4005" t="s">
        <v>1920</v>
      </c>
      <c r="D4005" t="s">
        <v>1921</v>
      </c>
      <c r="E4005" s="9">
        <v>45323</v>
      </c>
      <c r="F4005" s="9">
        <v>45351</v>
      </c>
      <c r="G4005">
        <v>199612439.836</v>
      </c>
      <c r="H4005">
        <v>77999382.040000007</v>
      </c>
      <c r="I4005">
        <v>125506668.456</v>
      </c>
      <c r="J4005">
        <v>2197028.7239999999</v>
      </c>
      <c r="K4005">
        <v>0</v>
      </c>
      <c r="L4005">
        <v>89018.188000000009</v>
      </c>
      <c r="M4005">
        <v>0</v>
      </c>
      <c r="T4005" s="9">
        <v>45108</v>
      </c>
      <c r="U4005" s="9">
        <v>45473</v>
      </c>
      <c r="V4005">
        <f>SUM(POTABLE_NONPOTABLE_API[[#This Row],[RESIDENTIAL_SINGLEFAMILY_GAL]:[OTHER_GAL]])</f>
        <v>405404537.24400002</v>
      </c>
      <c r="W4005">
        <f>SUM(POTABLE_NONPOTABLE_API[[#This Row],[NONPOTABLE_DEMAND_RESIDENTIAL_RECYCLED_WATER_GAL]:[NONPOTABLE_DEMAND_NONRESIDENTIAL_METERED_IRRIGATION_GAL]])</f>
        <v>0</v>
      </c>
      <c r="X4005" t="str">
        <f>IFERROR(INDEX(Crosswalk_API!$H$2:$H$527, MATCH(POTABLE_NONPOTABLE_API[[#This Row],[PWSID]], CW_PWSID_LIST, 0)), "")</f>
        <v>No</v>
      </c>
    </row>
    <row r="4006" spans="1:24" x14ac:dyDescent="0.25">
      <c r="A4006" t="s">
        <v>1918</v>
      </c>
      <c r="B4006" t="s">
        <v>1919</v>
      </c>
      <c r="C4006" t="s">
        <v>1920</v>
      </c>
      <c r="D4006" t="s">
        <v>1921</v>
      </c>
      <c r="E4006" s="9">
        <v>45352</v>
      </c>
      <c r="F4006" s="9">
        <v>45382</v>
      </c>
      <c r="G4006">
        <v>175873009.616</v>
      </c>
      <c r="H4006">
        <v>144320924.308</v>
      </c>
      <c r="I4006">
        <v>145378669.836</v>
      </c>
      <c r="J4006">
        <v>3827782.0840000003</v>
      </c>
      <c r="K4006">
        <v>0</v>
      </c>
      <c r="L4006">
        <v>430877.95199999999</v>
      </c>
      <c r="M4006">
        <v>0</v>
      </c>
      <c r="T4006" s="9">
        <v>45108</v>
      </c>
      <c r="U4006" s="9">
        <v>45473</v>
      </c>
      <c r="V4006">
        <f>SUM(POTABLE_NONPOTABLE_API[[#This Row],[RESIDENTIAL_SINGLEFAMILY_GAL]:[OTHER_GAL]])</f>
        <v>469831263.796</v>
      </c>
      <c r="W4006">
        <f>SUM(POTABLE_NONPOTABLE_API[[#This Row],[NONPOTABLE_DEMAND_RESIDENTIAL_RECYCLED_WATER_GAL]:[NONPOTABLE_DEMAND_NONRESIDENTIAL_METERED_IRRIGATION_GAL]])</f>
        <v>0</v>
      </c>
      <c r="X4006" t="str">
        <f>IFERROR(INDEX(Crosswalk_API!$H$2:$H$527, MATCH(POTABLE_NONPOTABLE_API[[#This Row],[PWSID]], CW_PWSID_LIST, 0)), "")</f>
        <v>No</v>
      </c>
    </row>
    <row r="4007" spans="1:24" x14ac:dyDescent="0.25">
      <c r="A4007" t="s">
        <v>1918</v>
      </c>
      <c r="B4007" t="s">
        <v>1919</v>
      </c>
      <c r="C4007" t="s">
        <v>1920</v>
      </c>
      <c r="D4007" t="s">
        <v>1921</v>
      </c>
      <c r="E4007" s="9">
        <v>45383</v>
      </c>
      <c r="F4007" s="9">
        <v>45412</v>
      </c>
      <c r="G4007">
        <v>189633426.15600002</v>
      </c>
      <c r="H4007">
        <v>91344629.719999999</v>
      </c>
      <c r="I4007">
        <v>139782492.824</v>
      </c>
      <c r="J4007">
        <v>1852176.7520000001</v>
      </c>
      <c r="K4007">
        <v>0</v>
      </c>
      <c r="L4007">
        <v>160831.18</v>
      </c>
      <c r="M4007">
        <v>0</v>
      </c>
      <c r="T4007" s="9">
        <v>45108</v>
      </c>
      <c r="U4007" s="9">
        <v>45473</v>
      </c>
      <c r="V4007">
        <f>SUM(POTABLE_NONPOTABLE_API[[#This Row],[RESIDENTIAL_SINGLEFAMILY_GAL]:[OTHER_GAL]])</f>
        <v>422773556.63200003</v>
      </c>
      <c r="W4007">
        <f>SUM(POTABLE_NONPOTABLE_API[[#This Row],[NONPOTABLE_DEMAND_RESIDENTIAL_RECYCLED_WATER_GAL]:[NONPOTABLE_DEMAND_NONRESIDENTIAL_METERED_IRRIGATION_GAL]])</f>
        <v>0</v>
      </c>
      <c r="X4007" t="str">
        <f>IFERROR(INDEX(Crosswalk_API!$H$2:$H$527, MATCH(POTABLE_NONPOTABLE_API[[#This Row],[PWSID]], CW_PWSID_LIST, 0)), "")</f>
        <v>No</v>
      </c>
    </row>
    <row r="4008" spans="1:24" x14ac:dyDescent="0.25">
      <c r="A4008" t="s">
        <v>1918</v>
      </c>
      <c r="B4008" t="s">
        <v>1919</v>
      </c>
      <c r="C4008" t="s">
        <v>1920</v>
      </c>
      <c r="D4008" t="s">
        <v>1921</v>
      </c>
      <c r="E4008" s="9">
        <v>45413</v>
      </c>
      <c r="F4008" s="9">
        <v>45443</v>
      </c>
      <c r="G4008">
        <v>227323278.12400001</v>
      </c>
      <c r="H4008">
        <v>140007656.47600001</v>
      </c>
      <c r="I4008">
        <v>192470039.34</v>
      </c>
      <c r="J4008">
        <v>3686400.2560000001</v>
      </c>
      <c r="K4008">
        <v>0</v>
      </c>
      <c r="L4008">
        <v>5984.4160000000002</v>
      </c>
      <c r="M4008">
        <v>0</v>
      </c>
      <c r="T4008" s="9">
        <v>45108</v>
      </c>
      <c r="U4008" s="9">
        <v>45473</v>
      </c>
      <c r="V4008">
        <f>SUM(POTABLE_NONPOTABLE_API[[#This Row],[RESIDENTIAL_SINGLEFAMILY_GAL]:[OTHER_GAL]])</f>
        <v>563493358.61200011</v>
      </c>
      <c r="W4008">
        <f>SUM(POTABLE_NONPOTABLE_API[[#This Row],[NONPOTABLE_DEMAND_RESIDENTIAL_RECYCLED_WATER_GAL]:[NONPOTABLE_DEMAND_NONRESIDENTIAL_METERED_IRRIGATION_GAL]])</f>
        <v>0</v>
      </c>
      <c r="X4008" t="str">
        <f>IFERROR(INDEX(Crosswalk_API!$H$2:$H$527, MATCH(POTABLE_NONPOTABLE_API[[#This Row],[PWSID]], CW_PWSID_LIST, 0)), "")</f>
        <v>No</v>
      </c>
    </row>
    <row r="4009" spans="1:24" x14ac:dyDescent="0.25">
      <c r="A4009" t="s">
        <v>1918</v>
      </c>
      <c r="B4009" t="s">
        <v>1919</v>
      </c>
      <c r="C4009" t="s">
        <v>1920</v>
      </c>
      <c r="D4009" t="s">
        <v>1921</v>
      </c>
      <c r="E4009" s="9">
        <v>45444</v>
      </c>
      <c r="F4009" s="9">
        <v>45473</v>
      </c>
      <c r="G4009">
        <v>288089786.24000001</v>
      </c>
      <c r="H4009">
        <v>80248774.403999999</v>
      </c>
      <c r="I4009">
        <v>191010589.88800001</v>
      </c>
      <c r="J4009">
        <v>3931013.2600000002</v>
      </c>
      <c r="K4009">
        <v>0</v>
      </c>
      <c r="L4009">
        <v>7480.52</v>
      </c>
      <c r="M4009">
        <v>0</v>
      </c>
      <c r="T4009" s="9">
        <v>45108</v>
      </c>
      <c r="U4009" s="9">
        <v>45473</v>
      </c>
      <c r="V4009">
        <f>SUM(POTABLE_NONPOTABLE_API[[#This Row],[RESIDENTIAL_SINGLEFAMILY_GAL]:[OTHER_GAL]])</f>
        <v>563287644.31200004</v>
      </c>
      <c r="W4009">
        <f>SUM(POTABLE_NONPOTABLE_API[[#This Row],[NONPOTABLE_DEMAND_RESIDENTIAL_RECYCLED_WATER_GAL]:[NONPOTABLE_DEMAND_NONRESIDENTIAL_METERED_IRRIGATION_GAL]])</f>
        <v>0</v>
      </c>
      <c r="X4009" t="str">
        <f>IFERROR(INDEX(Crosswalk_API!$H$2:$H$527, MATCH(POTABLE_NONPOTABLE_API[[#This Row],[PWSID]], CW_PWSID_LIST, 0)), "")</f>
        <v>No</v>
      </c>
    </row>
    <row r="4010" spans="1:24" x14ac:dyDescent="0.25">
      <c r="A4010" t="s">
        <v>1922</v>
      </c>
      <c r="B4010" t="s">
        <v>1923</v>
      </c>
      <c r="C4010" t="s">
        <v>1924</v>
      </c>
      <c r="D4010" t="s">
        <v>1925</v>
      </c>
      <c r="E4010" s="9">
        <v>45108</v>
      </c>
      <c r="F4010" s="9">
        <v>45138</v>
      </c>
      <c r="G4010">
        <v>92271000</v>
      </c>
      <c r="H4010">
        <v>18102000</v>
      </c>
      <c r="I4010">
        <v>27019000</v>
      </c>
      <c r="J4010">
        <v>43789000</v>
      </c>
      <c r="K4010">
        <v>10583000</v>
      </c>
      <c r="L4010">
        <v>3579000</v>
      </c>
      <c r="M4010">
        <v>0</v>
      </c>
      <c r="N4010">
        <v>0</v>
      </c>
      <c r="O4010">
        <v>0</v>
      </c>
      <c r="P4010">
        <v>0</v>
      </c>
      <c r="Q4010">
        <v>183000</v>
      </c>
      <c r="R4010">
        <v>2349000</v>
      </c>
      <c r="S4010">
        <v>0</v>
      </c>
      <c r="T4010" s="9">
        <v>45108</v>
      </c>
      <c r="U4010" s="9">
        <v>45473</v>
      </c>
      <c r="V4010">
        <f>SUM(POTABLE_NONPOTABLE_API[[#This Row],[RESIDENTIAL_SINGLEFAMILY_GAL]:[OTHER_GAL]])</f>
        <v>195343000</v>
      </c>
      <c r="W4010">
        <f>SUM(POTABLE_NONPOTABLE_API[[#This Row],[NONPOTABLE_DEMAND_RESIDENTIAL_RECYCLED_WATER_GAL]:[NONPOTABLE_DEMAND_NONRESIDENTIAL_METERED_IRRIGATION_GAL]])</f>
        <v>2532000</v>
      </c>
      <c r="X4010" t="str">
        <f>IFERROR(INDEX(Crosswalk_API!$H$2:$H$527, MATCH(POTABLE_NONPOTABLE_API[[#This Row],[PWSID]], CW_PWSID_LIST, 0)), "")</f>
        <v>No</v>
      </c>
    </row>
    <row r="4011" spans="1:24" x14ac:dyDescent="0.25">
      <c r="A4011" t="s">
        <v>1922</v>
      </c>
      <c r="B4011" t="s">
        <v>1923</v>
      </c>
      <c r="C4011" t="s">
        <v>1924</v>
      </c>
      <c r="D4011" t="s">
        <v>1925</v>
      </c>
      <c r="E4011" s="9">
        <v>45139</v>
      </c>
      <c r="F4011" s="9">
        <v>45169</v>
      </c>
      <c r="G4011">
        <v>89634000</v>
      </c>
      <c r="H4011">
        <v>17051000</v>
      </c>
      <c r="I4011">
        <v>25172000</v>
      </c>
      <c r="J4011">
        <v>43807000</v>
      </c>
      <c r="K4011">
        <v>10149000</v>
      </c>
      <c r="L4011">
        <v>3065000</v>
      </c>
      <c r="M4011">
        <v>0</v>
      </c>
      <c r="N4011">
        <v>0</v>
      </c>
      <c r="O4011">
        <v>0</v>
      </c>
      <c r="P4011">
        <v>0</v>
      </c>
      <c r="Q4011">
        <v>127000</v>
      </c>
      <c r="R4011">
        <v>2554000</v>
      </c>
      <c r="S4011">
        <v>0</v>
      </c>
      <c r="T4011" s="9">
        <v>45108</v>
      </c>
      <c r="U4011" s="9">
        <v>45473</v>
      </c>
      <c r="V4011">
        <f>SUM(POTABLE_NONPOTABLE_API[[#This Row],[RESIDENTIAL_SINGLEFAMILY_GAL]:[OTHER_GAL]])</f>
        <v>188878000</v>
      </c>
      <c r="W4011">
        <f>SUM(POTABLE_NONPOTABLE_API[[#This Row],[NONPOTABLE_DEMAND_RESIDENTIAL_RECYCLED_WATER_GAL]:[NONPOTABLE_DEMAND_NONRESIDENTIAL_METERED_IRRIGATION_GAL]])</f>
        <v>2681000</v>
      </c>
      <c r="X4011" t="str">
        <f>IFERROR(INDEX(Crosswalk_API!$H$2:$H$527, MATCH(POTABLE_NONPOTABLE_API[[#This Row],[PWSID]], CW_PWSID_LIST, 0)), "")</f>
        <v>No</v>
      </c>
    </row>
    <row r="4012" spans="1:24" x14ac:dyDescent="0.25">
      <c r="A4012" t="s">
        <v>1922</v>
      </c>
      <c r="B4012" t="s">
        <v>1923</v>
      </c>
      <c r="C4012" t="s">
        <v>1924</v>
      </c>
      <c r="D4012" t="s">
        <v>1925</v>
      </c>
      <c r="E4012" s="9">
        <v>45170</v>
      </c>
      <c r="F4012" s="9">
        <v>45199</v>
      </c>
      <c r="G4012">
        <v>90270000</v>
      </c>
      <c r="H4012">
        <v>18731000</v>
      </c>
      <c r="I4012">
        <v>25080000</v>
      </c>
      <c r="J4012">
        <v>44491000</v>
      </c>
      <c r="K4012">
        <v>8997000</v>
      </c>
      <c r="L4012">
        <v>3626000</v>
      </c>
      <c r="M4012">
        <v>0</v>
      </c>
      <c r="N4012">
        <v>0</v>
      </c>
      <c r="O4012">
        <v>0</v>
      </c>
      <c r="P4012">
        <v>0</v>
      </c>
      <c r="Q4012">
        <v>135000</v>
      </c>
      <c r="R4012">
        <v>1902000</v>
      </c>
      <c r="S4012">
        <v>0</v>
      </c>
      <c r="T4012" s="9">
        <v>45108</v>
      </c>
      <c r="U4012" s="9">
        <v>45473</v>
      </c>
      <c r="V4012">
        <f>SUM(POTABLE_NONPOTABLE_API[[#This Row],[RESIDENTIAL_SINGLEFAMILY_GAL]:[OTHER_GAL]])</f>
        <v>191195000</v>
      </c>
      <c r="W4012">
        <f>SUM(POTABLE_NONPOTABLE_API[[#This Row],[NONPOTABLE_DEMAND_RESIDENTIAL_RECYCLED_WATER_GAL]:[NONPOTABLE_DEMAND_NONRESIDENTIAL_METERED_IRRIGATION_GAL]])</f>
        <v>2037000</v>
      </c>
      <c r="X4012" t="str">
        <f>IFERROR(INDEX(Crosswalk_API!$H$2:$H$527, MATCH(POTABLE_NONPOTABLE_API[[#This Row],[PWSID]], CW_PWSID_LIST, 0)), "")</f>
        <v>No</v>
      </c>
    </row>
    <row r="4013" spans="1:24" x14ac:dyDescent="0.25">
      <c r="A4013" t="s">
        <v>1922</v>
      </c>
      <c r="B4013" t="s">
        <v>1923</v>
      </c>
      <c r="C4013" t="s">
        <v>1924</v>
      </c>
      <c r="D4013" t="s">
        <v>1925</v>
      </c>
      <c r="E4013" s="9">
        <v>45200</v>
      </c>
      <c r="F4013" s="9">
        <v>45230</v>
      </c>
      <c r="G4013">
        <v>83750000</v>
      </c>
      <c r="H4013">
        <v>18126000</v>
      </c>
      <c r="I4013">
        <v>26276000</v>
      </c>
      <c r="J4013">
        <v>36480000</v>
      </c>
      <c r="K4013">
        <v>10863000</v>
      </c>
      <c r="L4013">
        <v>4883000</v>
      </c>
      <c r="M4013">
        <v>0</v>
      </c>
      <c r="N4013">
        <v>0</v>
      </c>
      <c r="O4013">
        <v>0</v>
      </c>
      <c r="P4013">
        <v>0</v>
      </c>
      <c r="Q4013">
        <v>130000</v>
      </c>
      <c r="R4013">
        <v>2108000</v>
      </c>
      <c r="T4013" s="9">
        <v>45108</v>
      </c>
      <c r="U4013" s="9">
        <v>45473</v>
      </c>
      <c r="V4013">
        <f>SUM(POTABLE_NONPOTABLE_API[[#This Row],[RESIDENTIAL_SINGLEFAMILY_GAL]:[OTHER_GAL]])</f>
        <v>180378000</v>
      </c>
      <c r="W4013">
        <f>SUM(POTABLE_NONPOTABLE_API[[#This Row],[NONPOTABLE_DEMAND_RESIDENTIAL_RECYCLED_WATER_GAL]:[NONPOTABLE_DEMAND_NONRESIDENTIAL_METERED_IRRIGATION_GAL]])</f>
        <v>2238000</v>
      </c>
      <c r="X4013" t="str">
        <f>IFERROR(INDEX(Crosswalk_API!$H$2:$H$527, MATCH(POTABLE_NONPOTABLE_API[[#This Row],[PWSID]], CW_PWSID_LIST, 0)), "")</f>
        <v>No</v>
      </c>
    </row>
    <row r="4014" spans="1:24" x14ac:dyDescent="0.25">
      <c r="A4014" t="s">
        <v>1922</v>
      </c>
      <c r="B4014" t="s">
        <v>1923</v>
      </c>
      <c r="C4014" t="s">
        <v>1924</v>
      </c>
      <c r="D4014" t="s">
        <v>1925</v>
      </c>
      <c r="E4014" s="9">
        <v>45231</v>
      </c>
      <c r="F4014" s="9">
        <v>45260</v>
      </c>
      <c r="G4014">
        <v>73896000</v>
      </c>
      <c r="H4014">
        <v>18528000</v>
      </c>
      <c r="I4014">
        <v>24239000</v>
      </c>
      <c r="J4014">
        <v>24594000</v>
      </c>
      <c r="K4014">
        <v>10249000</v>
      </c>
      <c r="L4014">
        <v>2367000</v>
      </c>
      <c r="M4014">
        <v>0</v>
      </c>
      <c r="N4014">
        <v>0</v>
      </c>
      <c r="O4014">
        <v>0</v>
      </c>
      <c r="P4014">
        <v>0</v>
      </c>
      <c r="Q4014">
        <v>126000</v>
      </c>
      <c r="R4014">
        <v>2302000</v>
      </c>
      <c r="S4014">
        <v>0</v>
      </c>
      <c r="T4014" s="9">
        <v>45108</v>
      </c>
      <c r="U4014" s="9">
        <v>45473</v>
      </c>
      <c r="V4014">
        <f>SUM(POTABLE_NONPOTABLE_API[[#This Row],[RESIDENTIAL_SINGLEFAMILY_GAL]:[OTHER_GAL]])</f>
        <v>153873000</v>
      </c>
      <c r="W4014">
        <f>SUM(POTABLE_NONPOTABLE_API[[#This Row],[NONPOTABLE_DEMAND_RESIDENTIAL_RECYCLED_WATER_GAL]:[NONPOTABLE_DEMAND_NONRESIDENTIAL_METERED_IRRIGATION_GAL]])</f>
        <v>2428000</v>
      </c>
      <c r="X4014" t="str">
        <f>IFERROR(INDEX(Crosswalk_API!$H$2:$H$527, MATCH(POTABLE_NONPOTABLE_API[[#This Row],[PWSID]], CW_PWSID_LIST, 0)), "")</f>
        <v>No</v>
      </c>
    </row>
    <row r="4015" spans="1:24" x14ac:dyDescent="0.25">
      <c r="A4015" t="s">
        <v>1922</v>
      </c>
      <c r="B4015" t="s">
        <v>1923</v>
      </c>
      <c r="C4015" t="s">
        <v>1924</v>
      </c>
      <c r="D4015" t="s">
        <v>1925</v>
      </c>
      <c r="E4015" s="9">
        <v>45261</v>
      </c>
      <c r="F4015" s="9">
        <v>45291</v>
      </c>
      <c r="G4015">
        <v>51491000</v>
      </c>
      <c r="H4015">
        <v>15412000</v>
      </c>
      <c r="I4015">
        <v>19068000</v>
      </c>
      <c r="J4015">
        <v>6480000</v>
      </c>
      <c r="K4015">
        <v>11686000</v>
      </c>
      <c r="L4015">
        <v>626000</v>
      </c>
      <c r="M4015">
        <v>0</v>
      </c>
      <c r="N4015">
        <v>0</v>
      </c>
      <c r="O4015">
        <v>0</v>
      </c>
      <c r="P4015">
        <v>0</v>
      </c>
      <c r="Q4015">
        <v>76000</v>
      </c>
      <c r="R4015">
        <v>2009000</v>
      </c>
      <c r="S4015">
        <v>0</v>
      </c>
      <c r="T4015" s="9">
        <v>45108</v>
      </c>
      <c r="U4015" s="9">
        <v>45473</v>
      </c>
      <c r="V4015">
        <f>SUM(POTABLE_NONPOTABLE_API[[#This Row],[RESIDENTIAL_SINGLEFAMILY_GAL]:[OTHER_GAL]])</f>
        <v>104763000</v>
      </c>
      <c r="W4015">
        <f>SUM(POTABLE_NONPOTABLE_API[[#This Row],[NONPOTABLE_DEMAND_RESIDENTIAL_RECYCLED_WATER_GAL]:[NONPOTABLE_DEMAND_NONRESIDENTIAL_METERED_IRRIGATION_GAL]])</f>
        <v>2085000</v>
      </c>
      <c r="X4015" t="str">
        <f>IFERROR(INDEX(Crosswalk_API!$H$2:$H$527, MATCH(POTABLE_NONPOTABLE_API[[#This Row],[PWSID]], CW_PWSID_LIST, 0)), "")</f>
        <v>No</v>
      </c>
    </row>
    <row r="4016" spans="1:24" x14ac:dyDescent="0.25">
      <c r="A4016" t="s">
        <v>1922</v>
      </c>
      <c r="B4016" t="s">
        <v>1923</v>
      </c>
      <c r="C4016" t="s">
        <v>1924</v>
      </c>
      <c r="D4016" t="s">
        <v>1925</v>
      </c>
      <c r="E4016" s="9">
        <v>45292</v>
      </c>
      <c r="F4016" s="9">
        <v>45322</v>
      </c>
      <c r="G4016">
        <v>23669000</v>
      </c>
      <c r="H4016">
        <v>7669000</v>
      </c>
      <c r="I4016">
        <v>7179000</v>
      </c>
      <c r="J4016">
        <v>1233000</v>
      </c>
      <c r="K4016">
        <v>7814000</v>
      </c>
      <c r="L4016">
        <v>153000</v>
      </c>
      <c r="M4016">
        <v>0</v>
      </c>
      <c r="N4016">
        <v>0</v>
      </c>
      <c r="O4016">
        <v>0</v>
      </c>
      <c r="P4016">
        <v>0</v>
      </c>
      <c r="Q4016">
        <v>53000</v>
      </c>
      <c r="R4016">
        <v>783000</v>
      </c>
      <c r="S4016">
        <v>0</v>
      </c>
      <c r="T4016" s="9">
        <v>45108</v>
      </c>
      <c r="U4016" s="9">
        <v>45473</v>
      </c>
      <c r="V4016">
        <f>SUM(POTABLE_NONPOTABLE_API[[#This Row],[RESIDENTIAL_SINGLEFAMILY_GAL]:[OTHER_GAL]])</f>
        <v>47717000</v>
      </c>
      <c r="W4016">
        <f>SUM(POTABLE_NONPOTABLE_API[[#This Row],[NONPOTABLE_DEMAND_RESIDENTIAL_RECYCLED_WATER_GAL]:[NONPOTABLE_DEMAND_NONRESIDENTIAL_METERED_IRRIGATION_GAL]])</f>
        <v>836000</v>
      </c>
      <c r="X4016" t="str">
        <f>IFERROR(INDEX(Crosswalk_API!$H$2:$H$527, MATCH(POTABLE_NONPOTABLE_API[[#This Row],[PWSID]], CW_PWSID_LIST, 0)), "")</f>
        <v>No</v>
      </c>
    </row>
    <row r="4017" spans="1:24" x14ac:dyDescent="0.25">
      <c r="A4017" t="s">
        <v>1922</v>
      </c>
      <c r="B4017" t="s">
        <v>1923</v>
      </c>
      <c r="C4017" t="s">
        <v>1924</v>
      </c>
      <c r="D4017" t="s">
        <v>1925</v>
      </c>
      <c r="E4017" s="9">
        <v>45323</v>
      </c>
      <c r="F4017" s="9">
        <v>45351</v>
      </c>
      <c r="G4017">
        <v>31234000</v>
      </c>
      <c r="H4017">
        <v>10854000</v>
      </c>
      <c r="I4017">
        <v>12813000</v>
      </c>
      <c r="J4017">
        <v>1625000</v>
      </c>
      <c r="K4017">
        <v>10358000</v>
      </c>
      <c r="L4017">
        <v>125000</v>
      </c>
      <c r="M4017">
        <v>0</v>
      </c>
      <c r="N4017">
        <v>0</v>
      </c>
      <c r="O4017">
        <v>0</v>
      </c>
      <c r="P4017">
        <v>0</v>
      </c>
      <c r="Q4017">
        <v>33000</v>
      </c>
      <c r="R4017">
        <v>947000</v>
      </c>
      <c r="S4017">
        <v>0</v>
      </c>
      <c r="T4017" s="9">
        <v>45108</v>
      </c>
      <c r="U4017" s="9">
        <v>45473</v>
      </c>
      <c r="V4017">
        <f>SUM(POTABLE_NONPOTABLE_API[[#This Row],[RESIDENTIAL_SINGLEFAMILY_GAL]:[OTHER_GAL]])</f>
        <v>67009000</v>
      </c>
      <c r="W4017">
        <f>SUM(POTABLE_NONPOTABLE_API[[#This Row],[NONPOTABLE_DEMAND_RESIDENTIAL_RECYCLED_WATER_GAL]:[NONPOTABLE_DEMAND_NONRESIDENTIAL_METERED_IRRIGATION_GAL]])</f>
        <v>980000</v>
      </c>
      <c r="X4017" t="str">
        <f>IFERROR(INDEX(Crosswalk_API!$H$2:$H$527, MATCH(POTABLE_NONPOTABLE_API[[#This Row],[PWSID]], CW_PWSID_LIST, 0)), "")</f>
        <v>No</v>
      </c>
    </row>
    <row r="4018" spans="1:24" x14ac:dyDescent="0.25">
      <c r="A4018" t="s">
        <v>1922</v>
      </c>
      <c r="B4018" t="s">
        <v>1923</v>
      </c>
      <c r="C4018" t="s">
        <v>1924</v>
      </c>
      <c r="D4018" t="s">
        <v>1925</v>
      </c>
      <c r="E4018" s="9">
        <v>45352</v>
      </c>
      <c r="F4018" s="9">
        <v>45382</v>
      </c>
      <c r="G4018">
        <v>38303000</v>
      </c>
      <c r="H4018">
        <v>11665000</v>
      </c>
      <c r="I4018">
        <v>14513000</v>
      </c>
      <c r="J4018">
        <v>3539000</v>
      </c>
      <c r="K4018">
        <v>9438000</v>
      </c>
      <c r="L4018">
        <v>161000</v>
      </c>
      <c r="M4018">
        <v>0</v>
      </c>
      <c r="N4018">
        <v>0</v>
      </c>
      <c r="O4018">
        <v>0</v>
      </c>
      <c r="P4018">
        <v>0</v>
      </c>
      <c r="Q4018">
        <v>18000</v>
      </c>
      <c r="R4018">
        <v>1951000</v>
      </c>
      <c r="S4018">
        <v>0</v>
      </c>
      <c r="T4018" s="9">
        <v>45108</v>
      </c>
      <c r="U4018" s="9">
        <v>45473</v>
      </c>
      <c r="V4018">
        <f>SUM(POTABLE_NONPOTABLE_API[[#This Row],[RESIDENTIAL_SINGLEFAMILY_GAL]:[OTHER_GAL]])</f>
        <v>77619000</v>
      </c>
      <c r="W4018">
        <f>SUM(POTABLE_NONPOTABLE_API[[#This Row],[NONPOTABLE_DEMAND_RESIDENTIAL_RECYCLED_WATER_GAL]:[NONPOTABLE_DEMAND_NONRESIDENTIAL_METERED_IRRIGATION_GAL]])</f>
        <v>1969000</v>
      </c>
      <c r="X4018" t="str">
        <f>IFERROR(INDEX(Crosswalk_API!$H$2:$H$527, MATCH(POTABLE_NONPOTABLE_API[[#This Row],[PWSID]], CW_PWSID_LIST, 0)), "")</f>
        <v>No</v>
      </c>
    </row>
    <row r="4019" spans="1:24" x14ac:dyDescent="0.25">
      <c r="A4019" t="s">
        <v>1922</v>
      </c>
      <c r="B4019" t="s">
        <v>1923</v>
      </c>
      <c r="C4019" t="s">
        <v>1924</v>
      </c>
      <c r="D4019" t="s">
        <v>1925</v>
      </c>
      <c r="E4019" s="9">
        <v>45383</v>
      </c>
      <c r="F4019" s="9">
        <v>45412</v>
      </c>
      <c r="G4019">
        <v>45294000</v>
      </c>
      <c r="H4019">
        <v>13155000</v>
      </c>
      <c r="I4019">
        <v>17731000</v>
      </c>
      <c r="J4019">
        <v>8571000</v>
      </c>
      <c r="K4019">
        <v>9667000</v>
      </c>
      <c r="L4019">
        <v>540000</v>
      </c>
      <c r="M4019">
        <v>0</v>
      </c>
      <c r="N4019">
        <v>0</v>
      </c>
      <c r="O4019">
        <v>0</v>
      </c>
      <c r="P4019">
        <v>0</v>
      </c>
      <c r="Q4019">
        <v>34000</v>
      </c>
      <c r="R4019">
        <v>1822000</v>
      </c>
      <c r="S4019">
        <v>0</v>
      </c>
      <c r="T4019" s="9">
        <v>45108</v>
      </c>
      <c r="U4019" s="9">
        <v>45473</v>
      </c>
      <c r="V4019">
        <f>SUM(POTABLE_NONPOTABLE_API[[#This Row],[RESIDENTIAL_SINGLEFAMILY_GAL]:[OTHER_GAL]])</f>
        <v>94958000</v>
      </c>
      <c r="W4019">
        <f>SUM(POTABLE_NONPOTABLE_API[[#This Row],[NONPOTABLE_DEMAND_RESIDENTIAL_RECYCLED_WATER_GAL]:[NONPOTABLE_DEMAND_NONRESIDENTIAL_METERED_IRRIGATION_GAL]])</f>
        <v>1856000</v>
      </c>
      <c r="X4019" t="str">
        <f>IFERROR(INDEX(Crosswalk_API!$H$2:$H$527, MATCH(POTABLE_NONPOTABLE_API[[#This Row],[PWSID]], CW_PWSID_LIST, 0)), "")</f>
        <v>No</v>
      </c>
    </row>
    <row r="4020" spans="1:24" x14ac:dyDescent="0.25">
      <c r="A4020" t="s">
        <v>1922</v>
      </c>
      <c r="B4020" t="s">
        <v>1923</v>
      </c>
      <c r="C4020" t="s">
        <v>1924</v>
      </c>
      <c r="D4020" t="s">
        <v>1925</v>
      </c>
      <c r="E4020" s="9">
        <v>45413</v>
      </c>
      <c r="F4020" s="9">
        <v>45443</v>
      </c>
      <c r="G4020">
        <v>63369000</v>
      </c>
      <c r="H4020">
        <v>14447000</v>
      </c>
      <c r="I4020">
        <v>21094000</v>
      </c>
      <c r="J4020">
        <v>22534000</v>
      </c>
      <c r="K4020">
        <v>10018000</v>
      </c>
      <c r="L4020">
        <v>1679000</v>
      </c>
      <c r="M4020">
        <v>0</v>
      </c>
      <c r="N4020">
        <v>0</v>
      </c>
      <c r="O4020">
        <v>0</v>
      </c>
      <c r="P4020">
        <v>0</v>
      </c>
      <c r="Q4020">
        <v>25000</v>
      </c>
      <c r="R4020">
        <v>2235000</v>
      </c>
      <c r="S4020">
        <v>0</v>
      </c>
      <c r="T4020" s="9">
        <v>45108</v>
      </c>
      <c r="U4020" s="9">
        <v>45473</v>
      </c>
      <c r="V4020">
        <f>SUM(POTABLE_NONPOTABLE_API[[#This Row],[RESIDENTIAL_SINGLEFAMILY_GAL]:[OTHER_GAL]])</f>
        <v>133141000</v>
      </c>
      <c r="W4020">
        <f>SUM(POTABLE_NONPOTABLE_API[[#This Row],[NONPOTABLE_DEMAND_RESIDENTIAL_RECYCLED_WATER_GAL]:[NONPOTABLE_DEMAND_NONRESIDENTIAL_METERED_IRRIGATION_GAL]])</f>
        <v>2260000</v>
      </c>
      <c r="X4020" t="str">
        <f>IFERROR(INDEX(Crosswalk_API!$H$2:$H$527, MATCH(POTABLE_NONPOTABLE_API[[#This Row],[PWSID]], CW_PWSID_LIST, 0)), "")</f>
        <v>No</v>
      </c>
    </row>
    <row r="4021" spans="1:24" x14ac:dyDescent="0.25">
      <c r="A4021" t="s">
        <v>1922</v>
      </c>
      <c r="B4021" t="s">
        <v>1923</v>
      </c>
      <c r="C4021" t="s">
        <v>1924</v>
      </c>
      <c r="D4021" t="s">
        <v>1925</v>
      </c>
      <c r="E4021" s="9">
        <v>45444</v>
      </c>
      <c r="F4021" s="9">
        <v>45473</v>
      </c>
      <c r="G4021">
        <v>91469000</v>
      </c>
      <c r="H4021">
        <v>18442000</v>
      </c>
      <c r="I4021">
        <v>26996000</v>
      </c>
      <c r="J4021">
        <v>40656000</v>
      </c>
      <c r="K4021">
        <v>10503000</v>
      </c>
      <c r="L4021">
        <v>3878000</v>
      </c>
      <c r="M4021">
        <v>0</v>
      </c>
      <c r="N4021">
        <v>0</v>
      </c>
      <c r="O4021">
        <v>0</v>
      </c>
      <c r="P4021">
        <v>0</v>
      </c>
      <c r="Q4021">
        <v>30000</v>
      </c>
      <c r="R4021">
        <v>2216000</v>
      </c>
      <c r="S4021">
        <v>0</v>
      </c>
      <c r="T4021" s="9">
        <v>45108</v>
      </c>
      <c r="U4021" s="9">
        <v>45473</v>
      </c>
      <c r="V4021">
        <f>SUM(POTABLE_NONPOTABLE_API[[#This Row],[RESIDENTIAL_SINGLEFAMILY_GAL]:[OTHER_GAL]])</f>
        <v>191944000</v>
      </c>
      <c r="W4021">
        <f>SUM(POTABLE_NONPOTABLE_API[[#This Row],[NONPOTABLE_DEMAND_RESIDENTIAL_RECYCLED_WATER_GAL]:[NONPOTABLE_DEMAND_NONRESIDENTIAL_METERED_IRRIGATION_GAL]])</f>
        <v>2246000</v>
      </c>
      <c r="X4021" t="str">
        <f>IFERROR(INDEX(Crosswalk_API!$H$2:$H$527, MATCH(POTABLE_NONPOTABLE_API[[#This Row],[PWSID]], CW_PWSID_LIST, 0)), "")</f>
        <v>No</v>
      </c>
    </row>
    <row r="4022" spans="1:24" x14ac:dyDescent="0.25">
      <c r="A4022" t="s">
        <v>1926</v>
      </c>
      <c r="B4022" t="s">
        <v>1927</v>
      </c>
      <c r="C4022" t="s">
        <v>1928</v>
      </c>
      <c r="D4022" t="s">
        <v>1929</v>
      </c>
      <c r="E4022" s="9">
        <v>45108</v>
      </c>
      <c r="F4022" s="9">
        <v>45138</v>
      </c>
      <c r="G4022">
        <v>72638280</v>
      </c>
      <c r="H4022">
        <v>3128884</v>
      </c>
      <c r="I4022">
        <v>10372217</v>
      </c>
      <c r="J4022">
        <v>5134010</v>
      </c>
      <c r="K4022">
        <v>0</v>
      </c>
      <c r="L4022">
        <v>0</v>
      </c>
      <c r="M4022">
        <v>0</v>
      </c>
      <c r="N4022">
        <v>0</v>
      </c>
      <c r="O4022">
        <v>0</v>
      </c>
      <c r="P4022">
        <v>0</v>
      </c>
      <c r="Q4022">
        <v>0</v>
      </c>
      <c r="R4022">
        <v>0</v>
      </c>
      <c r="S4022">
        <v>28918600</v>
      </c>
      <c r="T4022" s="9">
        <v>45108</v>
      </c>
      <c r="U4022" s="9">
        <v>45473</v>
      </c>
      <c r="V4022">
        <f>SUM(POTABLE_NONPOTABLE_API[[#This Row],[RESIDENTIAL_SINGLEFAMILY_GAL]:[OTHER_GAL]])</f>
        <v>91273391</v>
      </c>
      <c r="W4022">
        <f>SUM(POTABLE_NONPOTABLE_API[[#This Row],[NONPOTABLE_DEMAND_RESIDENTIAL_RECYCLED_WATER_GAL]:[NONPOTABLE_DEMAND_NONRESIDENTIAL_METERED_IRRIGATION_GAL]])</f>
        <v>28918600</v>
      </c>
      <c r="X4022" t="str">
        <f>IFERROR(INDEX(Crosswalk_API!$H$2:$H$527, MATCH(POTABLE_NONPOTABLE_API[[#This Row],[PWSID]], CW_PWSID_LIST, 0)), "")</f>
        <v>No</v>
      </c>
    </row>
    <row r="4023" spans="1:24" x14ac:dyDescent="0.25">
      <c r="A4023" t="s">
        <v>1926</v>
      </c>
      <c r="B4023" t="s">
        <v>1927</v>
      </c>
      <c r="C4023" t="s">
        <v>1928</v>
      </c>
      <c r="D4023" t="s">
        <v>1929</v>
      </c>
      <c r="E4023" s="9">
        <v>45139</v>
      </c>
      <c r="F4023" s="9">
        <v>45169</v>
      </c>
      <c r="G4023">
        <v>91738460</v>
      </c>
      <c r="H4023">
        <v>3496900</v>
      </c>
      <c r="I4023">
        <v>13733684</v>
      </c>
      <c r="J4023">
        <v>15789804</v>
      </c>
      <c r="K4023">
        <v>0</v>
      </c>
      <c r="L4023">
        <v>0</v>
      </c>
      <c r="M4023">
        <v>0</v>
      </c>
      <c r="N4023">
        <v>0</v>
      </c>
      <c r="O4023">
        <v>0</v>
      </c>
      <c r="P4023">
        <v>0</v>
      </c>
      <c r="Q4023">
        <v>0</v>
      </c>
      <c r="R4023">
        <v>0</v>
      </c>
      <c r="S4023">
        <v>24589600</v>
      </c>
      <c r="T4023" s="9">
        <v>45108</v>
      </c>
      <c r="U4023" s="9">
        <v>45473</v>
      </c>
      <c r="V4023">
        <f>SUM(POTABLE_NONPOTABLE_API[[#This Row],[RESIDENTIAL_SINGLEFAMILY_GAL]:[OTHER_GAL]])</f>
        <v>124758848</v>
      </c>
      <c r="W4023">
        <f>SUM(POTABLE_NONPOTABLE_API[[#This Row],[NONPOTABLE_DEMAND_RESIDENTIAL_RECYCLED_WATER_GAL]:[NONPOTABLE_DEMAND_NONRESIDENTIAL_METERED_IRRIGATION_GAL]])</f>
        <v>24589600</v>
      </c>
      <c r="X4023" t="str">
        <f>IFERROR(INDEX(Crosswalk_API!$H$2:$H$527, MATCH(POTABLE_NONPOTABLE_API[[#This Row],[PWSID]], CW_PWSID_LIST, 0)), "")</f>
        <v>No</v>
      </c>
    </row>
    <row r="4024" spans="1:24" x14ac:dyDescent="0.25">
      <c r="A4024" t="s">
        <v>1926</v>
      </c>
      <c r="B4024" t="s">
        <v>1927</v>
      </c>
      <c r="C4024" t="s">
        <v>1928</v>
      </c>
      <c r="D4024" t="s">
        <v>1929</v>
      </c>
      <c r="E4024" s="9">
        <v>45170</v>
      </c>
      <c r="F4024" s="9">
        <v>45199</v>
      </c>
      <c r="G4024">
        <v>72513364</v>
      </c>
      <c r="H4024">
        <v>3410880</v>
      </c>
      <c r="I4024">
        <v>11392040</v>
      </c>
      <c r="J4024">
        <v>28508920</v>
      </c>
      <c r="K4024">
        <v>0</v>
      </c>
      <c r="L4024">
        <v>0</v>
      </c>
      <c r="M4024">
        <v>0</v>
      </c>
      <c r="N4024">
        <v>0</v>
      </c>
      <c r="O4024">
        <v>0</v>
      </c>
      <c r="P4024">
        <v>0</v>
      </c>
      <c r="Q4024">
        <v>0</v>
      </c>
      <c r="R4024">
        <v>0</v>
      </c>
      <c r="S4024">
        <v>19710900</v>
      </c>
      <c r="T4024" s="9">
        <v>45108</v>
      </c>
      <c r="U4024" s="9">
        <v>45473</v>
      </c>
      <c r="V4024">
        <f>SUM(POTABLE_NONPOTABLE_API[[#This Row],[RESIDENTIAL_SINGLEFAMILY_GAL]:[OTHER_GAL]])</f>
        <v>115825204</v>
      </c>
      <c r="W4024">
        <f>SUM(POTABLE_NONPOTABLE_API[[#This Row],[NONPOTABLE_DEMAND_RESIDENTIAL_RECYCLED_WATER_GAL]:[NONPOTABLE_DEMAND_NONRESIDENTIAL_METERED_IRRIGATION_GAL]])</f>
        <v>19710900</v>
      </c>
      <c r="X4024" t="str">
        <f>IFERROR(INDEX(Crosswalk_API!$H$2:$H$527, MATCH(POTABLE_NONPOTABLE_API[[#This Row],[PWSID]], CW_PWSID_LIST, 0)), "")</f>
        <v>No</v>
      </c>
    </row>
    <row r="4025" spans="1:24" x14ac:dyDescent="0.25">
      <c r="A4025" t="s">
        <v>1926</v>
      </c>
      <c r="B4025" t="s">
        <v>1927</v>
      </c>
      <c r="C4025" t="s">
        <v>1928</v>
      </c>
      <c r="D4025" t="s">
        <v>1929</v>
      </c>
      <c r="E4025" s="9">
        <v>45200</v>
      </c>
      <c r="F4025" s="9">
        <v>45230</v>
      </c>
      <c r="G4025">
        <v>67153196</v>
      </c>
      <c r="H4025">
        <v>2827440</v>
      </c>
      <c r="I4025">
        <v>10701636</v>
      </c>
      <c r="J4025">
        <v>24413984</v>
      </c>
      <c r="K4025">
        <v>0</v>
      </c>
      <c r="L4025">
        <v>0</v>
      </c>
      <c r="M4025">
        <v>0</v>
      </c>
      <c r="N4025">
        <v>0</v>
      </c>
      <c r="O4025">
        <v>0</v>
      </c>
      <c r="P4025">
        <v>0</v>
      </c>
      <c r="Q4025">
        <v>0</v>
      </c>
      <c r="R4025">
        <v>0</v>
      </c>
      <c r="S4025">
        <v>16077500</v>
      </c>
      <c r="T4025" s="9">
        <v>45108</v>
      </c>
      <c r="U4025" s="9">
        <v>45473</v>
      </c>
      <c r="V4025">
        <f>SUM(POTABLE_NONPOTABLE_API[[#This Row],[RESIDENTIAL_SINGLEFAMILY_GAL]:[OTHER_GAL]])</f>
        <v>105096256</v>
      </c>
      <c r="W4025">
        <f>SUM(POTABLE_NONPOTABLE_API[[#This Row],[NONPOTABLE_DEMAND_RESIDENTIAL_RECYCLED_WATER_GAL]:[NONPOTABLE_DEMAND_NONRESIDENTIAL_METERED_IRRIGATION_GAL]])</f>
        <v>16077500</v>
      </c>
      <c r="X4025" t="str">
        <f>IFERROR(INDEX(Crosswalk_API!$H$2:$H$527, MATCH(POTABLE_NONPOTABLE_API[[#This Row],[PWSID]], CW_PWSID_LIST, 0)), "")</f>
        <v>No</v>
      </c>
    </row>
    <row r="4026" spans="1:24" x14ac:dyDescent="0.25">
      <c r="A4026" t="s">
        <v>1926</v>
      </c>
      <c r="B4026" t="s">
        <v>1927</v>
      </c>
      <c r="C4026" t="s">
        <v>1928</v>
      </c>
      <c r="D4026" t="s">
        <v>1929</v>
      </c>
      <c r="E4026" s="9">
        <v>45231</v>
      </c>
      <c r="F4026" s="9">
        <v>45260</v>
      </c>
      <c r="G4026">
        <v>70179604</v>
      </c>
      <c r="H4026">
        <v>3445288</v>
      </c>
      <c r="I4026">
        <v>11983581</v>
      </c>
      <c r="J4026">
        <v>21023785</v>
      </c>
      <c r="K4026">
        <v>0</v>
      </c>
      <c r="L4026">
        <v>0</v>
      </c>
      <c r="M4026">
        <v>0</v>
      </c>
      <c r="N4026">
        <v>0</v>
      </c>
      <c r="O4026">
        <v>0</v>
      </c>
      <c r="P4026">
        <v>0</v>
      </c>
      <c r="Q4026">
        <v>0</v>
      </c>
      <c r="R4026">
        <v>0</v>
      </c>
      <c r="S4026">
        <v>6311600</v>
      </c>
      <c r="T4026" s="9">
        <v>45108</v>
      </c>
      <c r="U4026" s="9">
        <v>45473</v>
      </c>
      <c r="V4026">
        <f>SUM(POTABLE_NONPOTABLE_API[[#This Row],[RESIDENTIAL_SINGLEFAMILY_GAL]:[OTHER_GAL]])</f>
        <v>106632258</v>
      </c>
      <c r="W4026">
        <f>SUM(POTABLE_NONPOTABLE_API[[#This Row],[NONPOTABLE_DEMAND_RESIDENTIAL_RECYCLED_WATER_GAL]:[NONPOTABLE_DEMAND_NONRESIDENTIAL_METERED_IRRIGATION_GAL]])</f>
        <v>6311600</v>
      </c>
      <c r="X4026" t="str">
        <f>IFERROR(INDEX(Crosswalk_API!$H$2:$H$527, MATCH(POTABLE_NONPOTABLE_API[[#This Row],[PWSID]], CW_PWSID_LIST, 0)), "")</f>
        <v>No</v>
      </c>
    </row>
    <row r="4027" spans="1:24" x14ac:dyDescent="0.25">
      <c r="A4027" t="s">
        <v>1926</v>
      </c>
      <c r="B4027" t="s">
        <v>1927</v>
      </c>
      <c r="C4027" t="s">
        <v>1928</v>
      </c>
      <c r="D4027" t="s">
        <v>1929</v>
      </c>
      <c r="E4027" s="9">
        <v>45261</v>
      </c>
      <c r="F4027" s="9">
        <v>45291</v>
      </c>
      <c r="G4027">
        <v>38572116</v>
      </c>
      <c r="H4027">
        <v>1973224</v>
      </c>
      <c r="I4027">
        <v>7565302</v>
      </c>
      <c r="J4027">
        <v>5826562</v>
      </c>
      <c r="K4027">
        <v>0</v>
      </c>
      <c r="L4027">
        <v>0</v>
      </c>
      <c r="M4027">
        <v>0</v>
      </c>
      <c r="N4027">
        <v>0</v>
      </c>
      <c r="O4027">
        <v>0</v>
      </c>
      <c r="P4027">
        <v>0</v>
      </c>
      <c r="Q4027">
        <v>0</v>
      </c>
      <c r="R4027">
        <v>0</v>
      </c>
      <c r="S4027">
        <v>3432800</v>
      </c>
      <c r="T4027" s="9">
        <v>45108</v>
      </c>
      <c r="U4027" s="9">
        <v>45473</v>
      </c>
      <c r="V4027">
        <f>SUM(POTABLE_NONPOTABLE_API[[#This Row],[RESIDENTIAL_SINGLEFAMILY_GAL]:[OTHER_GAL]])</f>
        <v>53937204</v>
      </c>
      <c r="W4027">
        <f>SUM(POTABLE_NONPOTABLE_API[[#This Row],[NONPOTABLE_DEMAND_RESIDENTIAL_RECYCLED_WATER_GAL]:[NONPOTABLE_DEMAND_NONRESIDENTIAL_METERED_IRRIGATION_GAL]])</f>
        <v>3432800</v>
      </c>
      <c r="X4027" t="str">
        <f>IFERROR(INDEX(Crosswalk_API!$H$2:$H$527, MATCH(POTABLE_NONPOTABLE_API[[#This Row],[PWSID]], CW_PWSID_LIST, 0)), "")</f>
        <v>No</v>
      </c>
    </row>
    <row r="4028" spans="1:24" x14ac:dyDescent="0.25">
      <c r="A4028" t="s">
        <v>1926</v>
      </c>
      <c r="B4028" t="s">
        <v>1927</v>
      </c>
      <c r="C4028" t="s">
        <v>1928</v>
      </c>
      <c r="D4028" t="s">
        <v>1929</v>
      </c>
      <c r="E4028" s="9">
        <v>45292</v>
      </c>
      <c r="F4028" s="9">
        <v>45322</v>
      </c>
      <c r="G4028">
        <v>51096448</v>
      </c>
      <c r="H4028">
        <v>2632122</v>
      </c>
      <c r="I4028">
        <v>10558566</v>
      </c>
      <c r="J4028">
        <v>8025654</v>
      </c>
      <c r="K4028">
        <v>0</v>
      </c>
      <c r="L4028">
        <v>0</v>
      </c>
      <c r="M4028">
        <v>0</v>
      </c>
      <c r="N4028">
        <v>0</v>
      </c>
      <c r="O4028">
        <v>0</v>
      </c>
      <c r="P4028">
        <v>0</v>
      </c>
      <c r="Q4028">
        <v>0</v>
      </c>
      <c r="R4028">
        <v>0</v>
      </c>
      <c r="S4028">
        <v>2179400</v>
      </c>
      <c r="T4028" s="9">
        <v>45108</v>
      </c>
      <c r="U4028" s="9">
        <v>45473</v>
      </c>
      <c r="V4028">
        <f>SUM(POTABLE_NONPOTABLE_API[[#This Row],[RESIDENTIAL_SINGLEFAMILY_GAL]:[OTHER_GAL]])</f>
        <v>72312790</v>
      </c>
      <c r="W4028">
        <f>SUM(POTABLE_NONPOTABLE_API[[#This Row],[NONPOTABLE_DEMAND_RESIDENTIAL_RECYCLED_WATER_GAL]:[NONPOTABLE_DEMAND_NONRESIDENTIAL_METERED_IRRIGATION_GAL]])</f>
        <v>2179400</v>
      </c>
      <c r="X4028" t="str">
        <f>IFERROR(INDEX(Crosswalk_API!$H$2:$H$527, MATCH(POTABLE_NONPOTABLE_API[[#This Row],[PWSID]], CW_PWSID_LIST, 0)), "")</f>
        <v>No</v>
      </c>
    </row>
    <row r="4029" spans="1:24" x14ac:dyDescent="0.25">
      <c r="A4029" t="s">
        <v>1926</v>
      </c>
      <c r="B4029" t="s">
        <v>1927</v>
      </c>
      <c r="C4029" t="s">
        <v>1928</v>
      </c>
      <c r="D4029" t="s">
        <v>1929</v>
      </c>
      <c r="E4029" s="9">
        <v>45323</v>
      </c>
      <c r="F4029" s="9">
        <v>45351</v>
      </c>
      <c r="G4029">
        <v>45626594</v>
      </c>
      <c r="H4029">
        <v>2481415</v>
      </c>
      <c r="I4029">
        <v>8523258</v>
      </c>
      <c r="J4029">
        <v>11790880</v>
      </c>
      <c r="K4029">
        <v>0</v>
      </c>
      <c r="L4029">
        <v>0</v>
      </c>
      <c r="M4029">
        <v>0</v>
      </c>
      <c r="N4029">
        <v>0</v>
      </c>
      <c r="O4029">
        <v>0</v>
      </c>
      <c r="P4029">
        <v>0</v>
      </c>
      <c r="Q4029">
        <v>0</v>
      </c>
      <c r="R4029">
        <v>0</v>
      </c>
      <c r="S4029">
        <v>970000</v>
      </c>
      <c r="T4029" s="9">
        <v>45108</v>
      </c>
      <c r="U4029" s="9">
        <v>45473</v>
      </c>
      <c r="V4029">
        <f>SUM(POTABLE_NONPOTABLE_API[[#This Row],[RESIDENTIAL_SINGLEFAMILY_GAL]:[OTHER_GAL]])</f>
        <v>68422147</v>
      </c>
      <c r="W4029">
        <f>SUM(POTABLE_NONPOTABLE_API[[#This Row],[NONPOTABLE_DEMAND_RESIDENTIAL_RECYCLED_WATER_GAL]:[NONPOTABLE_DEMAND_NONRESIDENTIAL_METERED_IRRIGATION_GAL]])</f>
        <v>970000</v>
      </c>
      <c r="X4029" t="str">
        <f>IFERROR(INDEX(Crosswalk_API!$H$2:$H$527, MATCH(POTABLE_NONPOTABLE_API[[#This Row],[PWSID]], CW_PWSID_LIST, 0)), "")</f>
        <v>No</v>
      </c>
    </row>
    <row r="4030" spans="1:24" x14ac:dyDescent="0.25">
      <c r="A4030" t="s">
        <v>1926</v>
      </c>
      <c r="B4030" t="s">
        <v>1927</v>
      </c>
      <c r="C4030" t="s">
        <v>1928</v>
      </c>
      <c r="D4030" t="s">
        <v>1929</v>
      </c>
      <c r="E4030" s="9">
        <v>45352</v>
      </c>
      <c r="F4030" s="9">
        <v>45382</v>
      </c>
      <c r="G4030">
        <v>37925096</v>
      </c>
      <c r="H4030">
        <v>2179672</v>
      </c>
      <c r="I4030">
        <v>9490624</v>
      </c>
      <c r="J4030">
        <v>4685404</v>
      </c>
      <c r="K4030">
        <v>0</v>
      </c>
      <c r="L4030">
        <v>0</v>
      </c>
      <c r="M4030">
        <v>0</v>
      </c>
      <c r="N4030">
        <v>0</v>
      </c>
      <c r="O4030">
        <v>0</v>
      </c>
      <c r="P4030">
        <v>0</v>
      </c>
      <c r="Q4030">
        <v>0</v>
      </c>
      <c r="R4030">
        <v>0</v>
      </c>
      <c r="S4030">
        <v>3354100</v>
      </c>
      <c r="T4030" s="9">
        <v>45108</v>
      </c>
      <c r="U4030" s="9">
        <v>45473</v>
      </c>
      <c r="V4030">
        <f>SUM(POTABLE_NONPOTABLE_API[[#This Row],[RESIDENTIAL_SINGLEFAMILY_GAL]:[OTHER_GAL]])</f>
        <v>54280796</v>
      </c>
      <c r="W4030">
        <f>SUM(POTABLE_NONPOTABLE_API[[#This Row],[NONPOTABLE_DEMAND_RESIDENTIAL_RECYCLED_WATER_GAL]:[NONPOTABLE_DEMAND_NONRESIDENTIAL_METERED_IRRIGATION_GAL]])</f>
        <v>3354100</v>
      </c>
      <c r="X4030" t="str">
        <f>IFERROR(INDEX(Crosswalk_API!$H$2:$H$527, MATCH(POTABLE_NONPOTABLE_API[[#This Row],[PWSID]], CW_PWSID_LIST, 0)), "")</f>
        <v>No</v>
      </c>
    </row>
    <row r="4031" spans="1:24" x14ac:dyDescent="0.25">
      <c r="A4031" t="s">
        <v>1926</v>
      </c>
      <c r="B4031" t="s">
        <v>1927</v>
      </c>
      <c r="C4031" t="s">
        <v>1928</v>
      </c>
      <c r="D4031" t="s">
        <v>1929</v>
      </c>
      <c r="E4031" s="9">
        <v>45383</v>
      </c>
      <c r="F4031" s="9">
        <v>45412</v>
      </c>
      <c r="G4031">
        <v>44566588</v>
      </c>
      <c r="H4031">
        <v>2272424</v>
      </c>
      <c r="I4031">
        <v>9603235.4000000004</v>
      </c>
      <c r="J4031">
        <v>3804972</v>
      </c>
      <c r="K4031">
        <v>0</v>
      </c>
      <c r="L4031">
        <v>0</v>
      </c>
      <c r="M4031">
        <v>0</v>
      </c>
      <c r="N4031">
        <v>0</v>
      </c>
      <c r="O4031">
        <v>0</v>
      </c>
      <c r="P4031">
        <v>0</v>
      </c>
      <c r="Q4031">
        <v>0</v>
      </c>
      <c r="R4031">
        <v>0</v>
      </c>
      <c r="S4031">
        <v>6546600</v>
      </c>
      <c r="T4031" s="9">
        <v>45108</v>
      </c>
      <c r="U4031" s="9">
        <v>45473</v>
      </c>
      <c r="V4031">
        <f>SUM(POTABLE_NONPOTABLE_API[[#This Row],[RESIDENTIAL_SINGLEFAMILY_GAL]:[OTHER_GAL]])</f>
        <v>60247219.399999999</v>
      </c>
      <c r="W4031">
        <f>SUM(POTABLE_NONPOTABLE_API[[#This Row],[NONPOTABLE_DEMAND_RESIDENTIAL_RECYCLED_WATER_GAL]:[NONPOTABLE_DEMAND_NONRESIDENTIAL_METERED_IRRIGATION_GAL]])</f>
        <v>6546600</v>
      </c>
      <c r="X4031" t="str">
        <f>IFERROR(INDEX(Crosswalk_API!$H$2:$H$527, MATCH(POTABLE_NONPOTABLE_API[[#This Row],[PWSID]], CW_PWSID_LIST, 0)), "")</f>
        <v>No</v>
      </c>
    </row>
    <row r="4032" spans="1:24" x14ac:dyDescent="0.25">
      <c r="A4032" t="s">
        <v>1926</v>
      </c>
      <c r="B4032" t="s">
        <v>1927</v>
      </c>
      <c r="C4032" t="s">
        <v>1928</v>
      </c>
      <c r="D4032" t="s">
        <v>1929</v>
      </c>
      <c r="E4032" s="9">
        <v>45413</v>
      </c>
      <c r="F4032" s="9">
        <v>45443</v>
      </c>
      <c r="G4032">
        <v>69254328</v>
      </c>
      <c r="H4032">
        <v>3086248</v>
      </c>
      <c r="I4032">
        <v>13401168</v>
      </c>
      <c r="J4032">
        <v>10916068</v>
      </c>
      <c r="K4032">
        <v>0</v>
      </c>
      <c r="L4032">
        <v>0</v>
      </c>
      <c r="M4032">
        <v>0</v>
      </c>
      <c r="N4032">
        <v>0</v>
      </c>
      <c r="O4032">
        <v>0</v>
      </c>
      <c r="P4032">
        <v>0</v>
      </c>
      <c r="Q4032">
        <v>0</v>
      </c>
      <c r="R4032">
        <v>0</v>
      </c>
      <c r="S4032">
        <v>16510100</v>
      </c>
      <c r="T4032" s="9">
        <v>45108</v>
      </c>
      <c r="U4032" s="9">
        <v>45473</v>
      </c>
      <c r="V4032">
        <f>SUM(POTABLE_NONPOTABLE_API[[#This Row],[RESIDENTIAL_SINGLEFAMILY_GAL]:[OTHER_GAL]])</f>
        <v>96657812</v>
      </c>
      <c r="W4032">
        <f>SUM(POTABLE_NONPOTABLE_API[[#This Row],[NONPOTABLE_DEMAND_RESIDENTIAL_RECYCLED_WATER_GAL]:[NONPOTABLE_DEMAND_NONRESIDENTIAL_METERED_IRRIGATION_GAL]])</f>
        <v>16510100</v>
      </c>
      <c r="X4032" t="str">
        <f>IFERROR(INDEX(Crosswalk_API!$H$2:$H$527, MATCH(POTABLE_NONPOTABLE_API[[#This Row],[PWSID]], CW_PWSID_LIST, 0)), "")</f>
        <v>No</v>
      </c>
    </row>
    <row r="4033" spans="1:24" x14ac:dyDescent="0.25">
      <c r="A4033" t="s">
        <v>1926</v>
      </c>
      <c r="B4033" t="s">
        <v>1927</v>
      </c>
      <c r="C4033" t="s">
        <v>1928</v>
      </c>
      <c r="D4033" t="s">
        <v>1929</v>
      </c>
      <c r="E4033" s="9">
        <v>45444</v>
      </c>
      <c r="F4033" s="9">
        <v>45473</v>
      </c>
      <c r="G4033">
        <v>69793636</v>
      </c>
      <c r="H4033">
        <v>3008456</v>
      </c>
      <c r="I4033">
        <v>9362641</v>
      </c>
      <c r="J4033">
        <v>14879485</v>
      </c>
      <c r="K4033">
        <v>0</v>
      </c>
      <c r="L4033">
        <v>0</v>
      </c>
      <c r="M4033">
        <v>0</v>
      </c>
      <c r="N4033">
        <v>0</v>
      </c>
      <c r="O4033">
        <v>0</v>
      </c>
      <c r="P4033">
        <v>0</v>
      </c>
      <c r="Q4033">
        <v>0</v>
      </c>
      <c r="R4033">
        <v>0</v>
      </c>
      <c r="S4033">
        <v>21890400</v>
      </c>
      <c r="T4033" s="9">
        <v>45108</v>
      </c>
      <c r="U4033" s="9">
        <v>45473</v>
      </c>
      <c r="V4033">
        <f>SUM(POTABLE_NONPOTABLE_API[[#This Row],[RESIDENTIAL_SINGLEFAMILY_GAL]:[OTHER_GAL]])</f>
        <v>97044218</v>
      </c>
      <c r="W4033">
        <f>SUM(POTABLE_NONPOTABLE_API[[#This Row],[NONPOTABLE_DEMAND_RESIDENTIAL_RECYCLED_WATER_GAL]:[NONPOTABLE_DEMAND_NONRESIDENTIAL_METERED_IRRIGATION_GAL]])</f>
        <v>21890400</v>
      </c>
      <c r="X4033" t="str">
        <f>IFERROR(INDEX(Crosswalk_API!$H$2:$H$527, MATCH(POTABLE_NONPOTABLE_API[[#This Row],[PWSID]], CW_PWSID_LIST, 0)), "")</f>
        <v>No</v>
      </c>
    </row>
    <row r="4034" spans="1:24" x14ac:dyDescent="0.25">
      <c r="A4034" t="s">
        <v>1930</v>
      </c>
      <c r="B4034" t="s">
        <v>1931</v>
      </c>
      <c r="C4034" t="s">
        <v>1932</v>
      </c>
      <c r="D4034" t="s">
        <v>1933</v>
      </c>
      <c r="E4034" s="9">
        <v>45108</v>
      </c>
      <c r="F4034" s="9">
        <v>45138</v>
      </c>
      <c r="G4034">
        <v>144983698.38</v>
      </c>
      <c r="H4034">
        <v>24265310.776000001</v>
      </c>
      <c r="I4034">
        <v>35857124.568000004</v>
      </c>
      <c r="J4034">
        <v>30492095.624000002</v>
      </c>
      <c r="K4034">
        <v>9331948.7000000011</v>
      </c>
      <c r="L4034">
        <v>0</v>
      </c>
      <c r="M4034">
        <v>0</v>
      </c>
      <c r="N4034">
        <v>0</v>
      </c>
      <c r="O4034">
        <v>0</v>
      </c>
      <c r="P4034">
        <v>0</v>
      </c>
      <c r="Q4034">
        <v>72586473</v>
      </c>
      <c r="R4034">
        <v>0</v>
      </c>
      <c r="S4034">
        <v>0</v>
      </c>
      <c r="T4034" s="9">
        <v>45108</v>
      </c>
      <c r="U4034" s="9">
        <v>45473</v>
      </c>
      <c r="V4034">
        <f>SUM(POTABLE_NONPOTABLE_API[[#This Row],[RESIDENTIAL_SINGLEFAMILY_GAL]:[OTHER_GAL]])</f>
        <v>244930178.04799998</v>
      </c>
      <c r="W4034">
        <f>SUM(POTABLE_NONPOTABLE_API[[#This Row],[NONPOTABLE_DEMAND_RESIDENTIAL_RECYCLED_WATER_GAL]:[NONPOTABLE_DEMAND_NONRESIDENTIAL_METERED_IRRIGATION_GAL]])</f>
        <v>72586473</v>
      </c>
      <c r="X4034" t="str">
        <f>IFERROR(INDEX(Crosswalk_API!$H$2:$H$527, MATCH(POTABLE_NONPOTABLE_API[[#This Row],[PWSID]], CW_PWSID_LIST, 0)), "")</f>
        <v>No</v>
      </c>
    </row>
    <row r="4035" spans="1:24" x14ac:dyDescent="0.25">
      <c r="A4035" t="s">
        <v>1930</v>
      </c>
      <c r="B4035" t="s">
        <v>1931</v>
      </c>
      <c r="C4035" t="s">
        <v>1932</v>
      </c>
      <c r="D4035" t="s">
        <v>1933</v>
      </c>
      <c r="E4035" s="9">
        <v>45139</v>
      </c>
      <c r="F4035" s="9">
        <v>45169</v>
      </c>
      <c r="G4035">
        <v>133431531.344</v>
      </c>
      <c r="H4035">
        <v>29077529.291999999</v>
      </c>
      <c r="I4035">
        <v>36439857.075999998</v>
      </c>
      <c r="J4035">
        <v>38072854.592</v>
      </c>
      <c r="K4035">
        <v>11978556.676000001</v>
      </c>
      <c r="L4035">
        <v>0</v>
      </c>
      <c r="M4035">
        <v>0</v>
      </c>
      <c r="N4035">
        <v>0</v>
      </c>
      <c r="O4035">
        <v>0</v>
      </c>
      <c r="P4035">
        <v>0</v>
      </c>
      <c r="Q4035">
        <v>77081517.200000003</v>
      </c>
      <c r="R4035">
        <v>0</v>
      </c>
      <c r="S4035">
        <v>0</v>
      </c>
      <c r="T4035" s="9">
        <v>45108</v>
      </c>
      <c r="U4035" s="9">
        <v>45473</v>
      </c>
      <c r="V4035">
        <f>SUM(POTABLE_NONPOTABLE_API[[#This Row],[RESIDENTIAL_SINGLEFAMILY_GAL]:[OTHER_GAL]])</f>
        <v>249000328.98000002</v>
      </c>
      <c r="W4035">
        <f>SUM(POTABLE_NONPOTABLE_API[[#This Row],[NONPOTABLE_DEMAND_RESIDENTIAL_RECYCLED_WATER_GAL]:[NONPOTABLE_DEMAND_NONRESIDENTIAL_METERED_IRRIGATION_GAL]])</f>
        <v>77081517.200000003</v>
      </c>
      <c r="X4035" t="str">
        <f>IFERROR(INDEX(Crosswalk_API!$H$2:$H$527, MATCH(POTABLE_NONPOTABLE_API[[#This Row],[PWSID]], CW_PWSID_LIST, 0)), "")</f>
        <v>No</v>
      </c>
    </row>
    <row r="4036" spans="1:24" x14ac:dyDescent="0.25">
      <c r="A4036" t="s">
        <v>1930</v>
      </c>
      <c r="B4036" t="s">
        <v>1931</v>
      </c>
      <c r="C4036" t="s">
        <v>1932</v>
      </c>
      <c r="D4036" t="s">
        <v>1933</v>
      </c>
      <c r="E4036" s="9">
        <v>45170</v>
      </c>
      <c r="F4036" s="9">
        <v>45199</v>
      </c>
      <c r="G4036">
        <v>109707062.164</v>
      </c>
      <c r="H4036">
        <v>22347305.447999999</v>
      </c>
      <c r="I4036">
        <v>28323492.876000002</v>
      </c>
      <c r="J4036">
        <v>27490162.947999999</v>
      </c>
      <c r="K4036">
        <v>9468842.216</v>
      </c>
      <c r="L4036">
        <v>0</v>
      </c>
      <c r="M4036">
        <v>0</v>
      </c>
      <c r="N4036">
        <v>0</v>
      </c>
      <c r="O4036">
        <v>0</v>
      </c>
      <c r="P4036">
        <v>0</v>
      </c>
      <c r="Q4036">
        <v>67447356</v>
      </c>
      <c r="R4036">
        <v>0</v>
      </c>
      <c r="S4036">
        <v>0</v>
      </c>
      <c r="T4036" s="9">
        <v>45108</v>
      </c>
      <c r="U4036" s="9">
        <v>45473</v>
      </c>
      <c r="V4036">
        <f>SUM(POTABLE_NONPOTABLE_API[[#This Row],[RESIDENTIAL_SINGLEFAMILY_GAL]:[OTHER_GAL]])</f>
        <v>197336865.65199998</v>
      </c>
      <c r="W4036">
        <f>SUM(POTABLE_NONPOTABLE_API[[#This Row],[NONPOTABLE_DEMAND_RESIDENTIAL_RECYCLED_WATER_GAL]:[NONPOTABLE_DEMAND_NONRESIDENTIAL_METERED_IRRIGATION_GAL]])</f>
        <v>67447356</v>
      </c>
      <c r="X4036" t="str">
        <f>IFERROR(INDEX(Crosswalk_API!$H$2:$H$527, MATCH(POTABLE_NONPOTABLE_API[[#This Row],[PWSID]], CW_PWSID_LIST, 0)), "")</f>
        <v>No</v>
      </c>
    </row>
    <row r="4037" spans="1:24" x14ac:dyDescent="0.25">
      <c r="A4037" t="s">
        <v>1930</v>
      </c>
      <c r="B4037" t="s">
        <v>1931</v>
      </c>
      <c r="C4037" t="s">
        <v>1932</v>
      </c>
      <c r="D4037" t="s">
        <v>1933</v>
      </c>
      <c r="E4037" s="9">
        <v>45200</v>
      </c>
      <c r="F4037" s="9">
        <v>45230</v>
      </c>
      <c r="G4037">
        <v>71105334.807999998</v>
      </c>
      <c r="H4037">
        <v>19221196.140000001</v>
      </c>
      <c r="I4037">
        <v>22542547.02</v>
      </c>
      <c r="J4037">
        <v>20302879.332000002</v>
      </c>
      <c r="K4037">
        <v>10433081.244000001</v>
      </c>
      <c r="L4037">
        <v>0</v>
      </c>
      <c r="M4037">
        <v>0</v>
      </c>
      <c r="N4037">
        <v>0</v>
      </c>
      <c r="O4037">
        <v>0</v>
      </c>
      <c r="P4037">
        <v>0</v>
      </c>
      <c r="Q4037">
        <v>24374525</v>
      </c>
      <c r="R4037">
        <v>0</v>
      </c>
      <c r="S4037">
        <v>0</v>
      </c>
      <c r="T4037" s="9">
        <v>45108</v>
      </c>
      <c r="U4037" s="9">
        <v>45473</v>
      </c>
      <c r="V4037">
        <f>SUM(POTABLE_NONPOTABLE_API[[#This Row],[RESIDENTIAL_SINGLEFAMILY_GAL]:[OTHER_GAL]])</f>
        <v>143605038.544</v>
      </c>
      <c r="W4037">
        <f>SUM(POTABLE_NONPOTABLE_API[[#This Row],[NONPOTABLE_DEMAND_RESIDENTIAL_RECYCLED_WATER_GAL]:[NONPOTABLE_DEMAND_NONRESIDENTIAL_METERED_IRRIGATION_GAL]])</f>
        <v>24374525</v>
      </c>
      <c r="X4037" t="str">
        <f>IFERROR(INDEX(Crosswalk_API!$H$2:$H$527, MATCH(POTABLE_NONPOTABLE_API[[#This Row],[PWSID]], CW_PWSID_LIST, 0)), "")</f>
        <v>No</v>
      </c>
    </row>
    <row r="4038" spans="1:24" x14ac:dyDescent="0.25">
      <c r="A4038" t="s">
        <v>1930</v>
      </c>
      <c r="B4038" t="s">
        <v>1931</v>
      </c>
      <c r="C4038" t="s">
        <v>1932</v>
      </c>
      <c r="D4038" t="s">
        <v>1933</v>
      </c>
      <c r="E4038" s="9">
        <v>45231</v>
      </c>
      <c r="F4038" s="9">
        <v>45260</v>
      </c>
      <c r="G4038">
        <v>94496172.796000004</v>
      </c>
      <c r="H4038">
        <v>24477009.492000002</v>
      </c>
      <c r="I4038">
        <v>24827097.828000002</v>
      </c>
      <c r="J4038">
        <v>9776291.5879999995</v>
      </c>
      <c r="K4038">
        <v>12848541.152000001</v>
      </c>
      <c r="L4038">
        <v>0</v>
      </c>
      <c r="M4038">
        <v>0</v>
      </c>
      <c r="N4038">
        <v>0</v>
      </c>
      <c r="O4038">
        <v>0</v>
      </c>
      <c r="P4038">
        <v>0</v>
      </c>
      <c r="Q4038">
        <v>8637008.3920000009</v>
      </c>
      <c r="R4038">
        <v>0</v>
      </c>
      <c r="S4038">
        <v>0</v>
      </c>
      <c r="T4038" s="9">
        <v>45108</v>
      </c>
      <c r="U4038" s="9">
        <v>45473</v>
      </c>
      <c r="V4038">
        <f>SUM(POTABLE_NONPOTABLE_API[[#This Row],[RESIDENTIAL_SINGLEFAMILY_GAL]:[OTHER_GAL]])</f>
        <v>166425112.85600001</v>
      </c>
      <c r="W4038">
        <f>SUM(POTABLE_NONPOTABLE_API[[#This Row],[NONPOTABLE_DEMAND_RESIDENTIAL_RECYCLED_WATER_GAL]:[NONPOTABLE_DEMAND_NONRESIDENTIAL_METERED_IRRIGATION_GAL]])</f>
        <v>8637008.3920000009</v>
      </c>
      <c r="X4038" t="str">
        <f>IFERROR(INDEX(Crosswalk_API!$H$2:$H$527, MATCH(POTABLE_NONPOTABLE_API[[#This Row],[PWSID]], CW_PWSID_LIST, 0)), "")</f>
        <v>No</v>
      </c>
    </row>
    <row r="4039" spans="1:24" x14ac:dyDescent="0.25">
      <c r="A4039" t="s">
        <v>1930</v>
      </c>
      <c r="B4039" t="s">
        <v>1931</v>
      </c>
      <c r="C4039" t="s">
        <v>1932</v>
      </c>
      <c r="D4039" t="s">
        <v>1933</v>
      </c>
      <c r="E4039" s="9">
        <v>45261</v>
      </c>
      <c r="F4039" s="9">
        <v>45291</v>
      </c>
      <c r="G4039">
        <v>65890664.316</v>
      </c>
      <c r="H4039">
        <v>18699055.844000001</v>
      </c>
      <c r="I4039">
        <v>17205944.052000001</v>
      </c>
      <c r="J4039">
        <v>2833620.9760000003</v>
      </c>
      <c r="K4039">
        <v>9963304.5879999995</v>
      </c>
      <c r="L4039">
        <v>0</v>
      </c>
      <c r="M4039">
        <v>0</v>
      </c>
      <c r="N4039">
        <v>0</v>
      </c>
      <c r="O4039">
        <v>0</v>
      </c>
      <c r="P4039">
        <v>0</v>
      </c>
      <c r="Q4039">
        <v>2937600.2039999999</v>
      </c>
      <c r="R4039">
        <v>0</v>
      </c>
      <c r="S4039">
        <v>0</v>
      </c>
      <c r="T4039" s="9">
        <v>45108</v>
      </c>
      <c r="U4039" s="9">
        <v>45473</v>
      </c>
      <c r="V4039">
        <f>SUM(POTABLE_NONPOTABLE_API[[#This Row],[RESIDENTIAL_SINGLEFAMILY_GAL]:[OTHER_GAL]])</f>
        <v>114592589.77599999</v>
      </c>
      <c r="W4039">
        <f>SUM(POTABLE_NONPOTABLE_API[[#This Row],[NONPOTABLE_DEMAND_RESIDENTIAL_RECYCLED_WATER_GAL]:[NONPOTABLE_DEMAND_NONRESIDENTIAL_METERED_IRRIGATION_GAL]])</f>
        <v>2937600.2039999999</v>
      </c>
      <c r="X4039" t="str">
        <f>IFERROR(INDEX(Crosswalk_API!$H$2:$H$527, MATCH(POTABLE_NONPOTABLE_API[[#This Row],[PWSID]], CW_PWSID_LIST, 0)), "")</f>
        <v>No</v>
      </c>
    </row>
    <row r="4040" spans="1:24" x14ac:dyDescent="0.25">
      <c r="A4040" t="s">
        <v>1930</v>
      </c>
      <c r="B4040" t="s">
        <v>1931</v>
      </c>
      <c r="C4040" t="s">
        <v>1932</v>
      </c>
      <c r="D4040" t="s">
        <v>1933</v>
      </c>
      <c r="E4040" s="9">
        <v>45292</v>
      </c>
      <c r="F4040" s="9">
        <v>45322</v>
      </c>
      <c r="G4040">
        <v>58149822.219999999</v>
      </c>
      <c r="H4040">
        <v>18513538.947999999</v>
      </c>
      <c r="I4040">
        <v>16564863.488</v>
      </c>
      <c r="J4040">
        <v>2058639.1040000001</v>
      </c>
      <c r="K4040">
        <v>9359626.6239999998</v>
      </c>
      <c r="L4040">
        <v>0</v>
      </c>
      <c r="M4040">
        <v>0</v>
      </c>
      <c r="N4040">
        <v>0</v>
      </c>
      <c r="O4040">
        <v>0</v>
      </c>
      <c r="P4040">
        <v>0</v>
      </c>
      <c r="Q4040">
        <v>207210.40400000001</v>
      </c>
      <c r="R4040">
        <v>0</v>
      </c>
      <c r="S4040">
        <v>0</v>
      </c>
      <c r="T4040" s="9">
        <v>45108</v>
      </c>
      <c r="U4040" s="9">
        <v>45473</v>
      </c>
      <c r="V4040">
        <f>SUM(POTABLE_NONPOTABLE_API[[#This Row],[RESIDENTIAL_SINGLEFAMILY_GAL]:[OTHER_GAL]])</f>
        <v>104646490.384</v>
      </c>
      <c r="W4040">
        <f>SUM(POTABLE_NONPOTABLE_API[[#This Row],[NONPOTABLE_DEMAND_RESIDENTIAL_RECYCLED_WATER_GAL]:[NONPOTABLE_DEMAND_NONRESIDENTIAL_METERED_IRRIGATION_GAL]])</f>
        <v>207210.40400000001</v>
      </c>
      <c r="X4040" t="str">
        <f>IFERROR(INDEX(Crosswalk_API!$H$2:$H$527, MATCH(POTABLE_NONPOTABLE_API[[#This Row],[PWSID]], CW_PWSID_LIST, 0)), "")</f>
        <v>No</v>
      </c>
    </row>
    <row r="4041" spans="1:24" x14ac:dyDescent="0.25">
      <c r="A4041" t="s">
        <v>1930</v>
      </c>
      <c r="B4041" t="s">
        <v>1931</v>
      </c>
      <c r="C4041" t="s">
        <v>1932</v>
      </c>
      <c r="D4041" t="s">
        <v>1933</v>
      </c>
      <c r="E4041" s="9">
        <v>45323</v>
      </c>
      <c r="F4041" s="9">
        <v>45351</v>
      </c>
      <c r="G4041">
        <v>53489458.259999998</v>
      </c>
      <c r="H4041">
        <v>21409996.291999999</v>
      </c>
      <c r="I4041">
        <v>20085196.199999999</v>
      </c>
      <c r="J4041">
        <v>1847688.44</v>
      </c>
      <c r="K4041">
        <v>12645071.007999999</v>
      </c>
      <c r="L4041">
        <v>32166.236000000001</v>
      </c>
      <c r="M4041">
        <v>0</v>
      </c>
      <c r="N4041">
        <v>0</v>
      </c>
      <c r="O4041">
        <v>0</v>
      </c>
      <c r="P4041">
        <v>0</v>
      </c>
      <c r="Q4041">
        <v>254337.68</v>
      </c>
      <c r="R4041">
        <v>0</v>
      </c>
      <c r="T4041" s="9">
        <v>45108</v>
      </c>
      <c r="U4041" s="9">
        <v>45473</v>
      </c>
      <c r="V4041">
        <f>SUM(POTABLE_NONPOTABLE_API[[#This Row],[RESIDENTIAL_SINGLEFAMILY_GAL]:[OTHER_GAL]])</f>
        <v>109509576.436</v>
      </c>
      <c r="W4041">
        <f>SUM(POTABLE_NONPOTABLE_API[[#This Row],[NONPOTABLE_DEMAND_RESIDENTIAL_RECYCLED_WATER_GAL]:[NONPOTABLE_DEMAND_NONRESIDENTIAL_METERED_IRRIGATION_GAL]])</f>
        <v>254337.68</v>
      </c>
      <c r="X4041" t="str">
        <f>IFERROR(INDEX(Crosswalk_API!$H$2:$H$527, MATCH(POTABLE_NONPOTABLE_API[[#This Row],[PWSID]], CW_PWSID_LIST, 0)), "")</f>
        <v>No</v>
      </c>
    </row>
    <row r="4042" spans="1:24" x14ac:dyDescent="0.25">
      <c r="A4042" t="s">
        <v>1930</v>
      </c>
      <c r="B4042" t="s">
        <v>1931</v>
      </c>
      <c r="C4042" t="s">
        <v>1932</v>
      </c>
      <c r="D4042" t="s">
        <v>1933</v>
      </c>
      <c r="E4042" s="9">
        <v>45352</v>
      </c>
      <c r="F4042" s="9">
        <v>45382</v>
      </c>
      <c r="G4042">
        <v>61648461.424000002</v>
      </c>
      <c r="H4042">
        <v>18477632.452</v>
      </c>
      <c r="I4042">
        <v>17553040.18</v>
      </c>
      <c r="J4042">
        <v>2151397.5520000001</v>
      </c>
      <c r="K4042">
        <v>11402556.636</v>
      </c>
      <c r="L4042">
        <v>59844.160000000003</v>
      </c>
      <c r="M4042">
        <v>0</v>
      </c>
      <c r="N4042">
        <v>0</v>
      </c>
      <c r="O4042">
        <v>0</v>
      </c>
      <c r="P4042">
        <v>0</v>
      </c>
      <c r="Q4042">
        <v>208706.508</v>
      </c>
      <c r="R4042">
        <v>0</v>
      </c>
      <c r="T4042" s="9">
        <v>45108</v>
      </c>
      <c r="U4042" s="9">
        <v>45473</v>
      </c>
      <c r="V4042">
        <f>SUM(POTABLE_NONPOTABLE_API[[#This Row],[RESIDENTIAL_SINGLEFAMILY_GAL]:[OTHER_GAL]])</f>
        <v>111292932.40399998</v>
      </c>
      <c r="W4042">
        <f>SUM(POTABLE_NONPOTABLE_API[[#This Row],[NONPOTABLE_DEMAND_RESIDENTIAL_RECYCLED_WATER_GAL]:[NONPOTABLE_DEMAND_NONRESIDENTIAL_METERED_IRRIGATION_GAL]])</f>
        <v>208706.508</v>
      </c>
      <c r="X4042" t="str">
        <f>IFERROR(INDEX(Crosswalk_API!$H$2:$H$527, MATCH(POTABLE_NONPOTABLE_API[[#This Row],[PWSID]], CW_PWSID_LIST, 0)), "")</f>
        <v>No</v>
      </c>
    </row>
    <row r="4043" spans="1:24" x14ac:dyDescent="0.25">
      <c r="A4043" t="s">
        <v>1930</v>
      </c>
      <c r="B4043" t="s">
        <v>1931</v>
      </c>
      <c r="C4043" t="s">
        <v>1932</v>
      </c>
      <c r="D4043" t="s">
        <v>1933</v>
      </c>
      <c r="E4043" s="9">
        <v>45383</v>
      </c>
      <c r="F4043" s="9">
        <v>45412</v>
      </c>
      <c r="G4043">
        <v>72757033.623999998</v>
      </c>
      <c r="H4043">
        <v>18617518.175999999</v>
      </c>
      <c r="I4043">
        <v>19765029.944000002</v>
      </c>
      <c r="J4043">
        <v>6242493.9400000004</v>
      </c>
      <c r="K4043">
        <v>11059200.768000001</v>
      </c>
      <c r="L4043">
        <v>35158.444000000003</v>
      </c>
      <c r="M4043">
        <v>0</v>
      </c>
      <c r="N4043">
        <v>0</v>
      </c>
      <c r="O4043">
        <v>0</v>
      </c>
      <c r="P4043">
        <v>0</v>
      </c>
      <c r="Q4043">
        <v>17238110.287999999</v>
      </c>
      <c r="R4043">
        <v>0</v>
      </c>
      <c r="T4043" s="9">
        <v>45108</v>
      </c>
      <c r="U4043" s="9">
        <v>45473</v>
      </c>
      <c r="V4043">
        <f>SUM(POTABLE_NONPOTABLE_API[[#This Row],[RESIDENTIAL_SINGLEFAMILY_GAL]:[OTHER_GAL]])</f>
        <v>128476434.89600001</v>
      </c>
      <c r="W4043">
        <f>SUM(POTABLE_NONPOTABLE_API[[#This Row],[NONPOTABLE_DEMAND_RESIDENTIAL_RECYCLED_WATER_GAL]:[NONPOTABLE_DEMAND_NONRESIDENTIAL_METERED_IRRIGATION_GAL]])</f>
        <v>17238110.287999999</v>
      </c>
      <c r="X4043" t="str">
        <f>IFERROR(INDEX(Crosswalk_API!$H$2:$H$527, MATCH(POTABLE_NONPOTABLE_API[[#This Row],[PWSID]], CW_PWSID_LIST, 0)), "")</f>
        <v>No</v>
      </c>
    </row>
    <row r="4044" spans="1:24" x14ac:dyDescent="0.25">
      <c r="A4044" t="s">
        <v>1930</v>
      </c>
      <c r="B4044" t="s">
        <v>1931</v>
      </c>
      <c r="C4044" t="s">
        <v>1932</v>
      </c>
      <c r="D4044" t="s">
        <v>1933</v>
      </c>
      <c r="E4044" s="9">
        <v>45413</v>
      </c>
      <c r="F4044" s="9">
        <v>45443</v>
      </c>
      <c r="G4044">
        <v>132227915.676</v>
      </c>
      <c r="H4044">
        <v>26781757.704</v>
      </c>
      <c r="I4044">
        <v>34494173.824000001</v>
      </c>
      <c r="J4044">
        <v>27077238.243999999</v>
      </c>
      <c r="K4044">
        <v>14797216.612</v>
      </c>
      <c r="L4044">
        <v>139885.72400000002</v>
      </c>
      <c r="M4044">
        <v>0</v>
      </c>
      <c r="N4044">
        <v>0</v>
      </c>
      <c r="O4044">
        <v>0</v>
      </c>
      <c r="P4044">
        <v>0</v>
      </c>
      <c r="Q4044">
        <v>50069364.516000003</v>
      </c>
      <c r="R4044">
        <v>0</v>
      </c>
      <c r="T4044" s="9">
        <v>45108</v>
      </c>
      <c r="U4044" s="9">
        <v>45473</v>
      </c>
      <c r="V4044">
        <f>SUM(POTABLE_NONPOTABLE_API[[#This Row],[RESIDENTIAL_SINGLEFAMILY_GAL]:[OTHER_GAL]])</f>
        <v>235518187.78399998</v>
      </c>
      <c r="W4044">
        <f>SUM(POTABLE_NONPOTABLE_API[[#This Row],[NONPOTABLE_DEMAND_RESIDENTIAL_RECYCLED_WATER_GAL]:[NONPOTABLE_DEMAND_NONRESIDENTIAL_METERED_IRRIGATION_GAL]])</f>
        <v>50069364.516000003</v>
      </c>
      <c r="X4044" t="str">
        <f>IFERROR(INDEX(Crosswalk_API!$H$2:$H$527, MATCH(POTABLE_NONPOTABLE_API[[#This Row],[PWSID]], CW_PWSID_LIST, 0)), "")</f>
        <v>No</v>
      </c>
    </row>
    <row r="4045" spans="1:24" x14ac:dyDescent="0.25">
      <c r="A4045" t="s">
        <v>1930</v>
      </c>
      <c r="B4045" t="s">
        <v>1931</v>
      </c>
      <c r="C4045" t="s">
        <v>1932</v>
      </c>
      <c r="D4045" t="s">
        <v>1933</v>
      </c>
      <c r="E4045" s="9">
        <v>45444</v>
      </c>
      <c r="F4045" s="9">
        <v>45473</v>
      </c>
      <c r="G4045">
        <v>120951031.77600001</v>
      </c>
      <c r="H4045">
        <v>22457269.092</v>
      </c>
      <c r="I4045">
        <v>31381529.452</v>
      </c>
      <c r="J4045">
        <v>30568396.927999999</v>
      </c>
      <c r="K4045">
        <v>13161974.939999999</v>
      </c>
      <c r="L4045">
        <v>103979.228</v>
      </c>
      <c r="M4045">
        <v>0</v>
      </c>
      <c r="N4045">
        <v>0</v>
      </c>
      <c r="O4045">
        <v>0</v>
      </c>
      <c r="P4045">
        <v>0</v>
      </c>
      <c r="Q4045">
        <v>70068534.736000001</v>
      </c>
      <c r="R4045">
        <v>0</v>
      </c>
      <c r="T4045" s="9">
        <v>45108</v>
      </c>
      <c r="U4045" s="9">
        <v>45473</v>
      </c>
      <c r="V4045">
        <f>SUM(POTABLE_NONPOTABLE_API[[#This Row],[RESIDENTIAL_SINGLEFAMILY_GAL]:[OTHER_GAL]])</f>
        <v>218624181.41599998</v>
      </c>
      <c r="W4045">
        <f>SUM(POTABLE_NONPOTABLE_API[[#This Row],[NONPOTABLE_DEMAND_RESIDENTIAL_RECYCLED_WATER_GAL]:[NONPOTABLE_DEMAND_NONRESIDENTIAL_METERED_IRRIGATION_GAL]])</f>
        <v>70068534.736000001</v>
      </c>
      <c r="X4045" t="str">
        <f>IFERROR(INDEX(Crosswalk_API!$H$2:$H$527, MATCH(POTABLE_NONPOTABLE_API[[#This Row],[PWSID]], CW_PWSID_LIST, 0)), "")</f>
        <v>No</v>
      </c>
    </row>
    <row r="4046" spans="1:24" x14ac:dyDescent="0.25">
      <c r="A4046" t="s">
        <v>1934</v>
      </c>
      <c r="B4046" t="s">
        <v>1935</v>
      </c>
      <c r="C4046" t="s">
        <v>1936</v>
      </c>
      <c r="D4046" t="s">
        <v>1937</v>
      </c>
      <c r="E4046" s="9">
        <v>45108</v>
      </c>
      <c r="F4046" s="9">
        <v>45138</v>
      </c>
      <c r="G4046">
        <v>82652106.150000006</v>
      </c>
      <c r="H4046">
        <v>61911.69</v>
      </c>
      <c r="I4046">
        <v>10303408.620000001</v>
      </c>
      <c r="J4046">
        <v>0</v>
      </c>
      <c r="K4046">
        <v>0</v>
      </c>
      <c r="L4046">
        <v>1384540.899</v>
      </c>
      <c r="M4046">
        <v>0</v>
      </c>
      <c r="T4046" s="9">
        <v>45108</v>
      </c>
      <c r="U4046" s="9">
        <v>45473</v>
      </c>
      <c r="V4046">
        <f>SUM(POTABLE_NONPOTABLE_API[[#This Row],[RESIDENTIAL_SINGLEFAMILY_GAL]:[OTHER_GAL]])</f>
        <v>94401967.359000012</v>
      </c>
      <c r="W4046">
        <f>SUM(POTABLE_NONPOTABLE_API[[#This Row],[NONPOTABLE_DEMAND_RESIDENTIAL_RECYCLED_WATER_GAL]:[NONPOTABLE_DEMAND_NONRESIDENTIAL_METERED_IRRIGATION_GAL]])</f>
        <v>0</v>
      </c>
      <c r="X4046" t="str">
        <f>IFERROR(INDEX(Crosswalk_API!$H$2:$H$527, MATCH(POTABLE_NONPOTABLE_API[[#This Row],[PWSID]], CW_PWSID_LIST, 0)), "")</f>
        <v>No</v>
      </c>
    </row>
    <row r="4047" spans="1:24" x14ac:dyDescent="0.25">
      <c r="A4047" t="s">
        <v>1934</v>
      </c>
      <c r="B4047" t="s">
        <v>1935</v>
      </c>
      <c r="C4047" t="s">
        <v>1936</v>
      </c>
      <c r="D4047" t="s">
        <v>1937</v>
      </c>
      <c r="E4047" s="9">
        <v>45139</v>
      </c>
      <c r="F4047" s="9">
        <v>45169</v>
      </c>
      <c r="G4047">
        <v>78292219.770000011</v>
      </c>
      <c r="H4047">
        <v>65170.200000000004</v>
      </c>
      <c r="I4047">
        <v>8553588.75</v>
      </c>
      <c r="J4047">
        <v>0</v>
      </c>
      <c r="K4047">
        <v>0</v>
      </c>
      <c r="L4047">
        <v>562265.67602999997</v>
      </c>
      <c r="M4047">
        <v>0</v>
      </c>
      <c r="T4047" s="9">
        <v>45108</v>
      </c>
      <c r="U4047" s="9">
        <v>45473</v>
      </c>
      <c r="V4047">
        <f>SUM(POTABLE_NONPOTABLE_API[[#This Row],[RESIDENTIAL_SINGLEFAMILY_GAL]:[OTHER_GAL]])</f>
        <v>87473244.396030009</v>
      </c>
      <c r="W4047">
        <f>SUM(POTABLE_NONPOTABLE_API[[#This Row],[NONPOTABLE_DEMAND_RESIDENTIAL_RECYCLED_WATER_GAL]:[NONPOTABLE_DEMAND_NONRESIDENTIAL_METERED_IRRIGATION_GAL]])</f>
        <v>0</v>
      </c>
      <c r="X4047" t="str">
        <f>IFERROR(INDEX(Crosswalk_API!$H$2:$H$527, MATCH(POTABLE_NONPOTABLE_API[[#This Row],[PWSID]], CW_PWSID_LIST, 0)), "")</f>
        <v>No</v>
      </c>
    </row>
    <row r="4048" spans="1:24" x14ac:dyDescent="0.25">
      <c r="A4048" t="s">
        <v>1934</v>
      </c>
      <c r="B4048" t="s">
        <v>1935</v>
      </c>
      <c r="C4048" t="s">
        <v>1936</v>
      </c>
      <c r="D4048" t="s">
        <v>1937</v>
      </c>
      <c r="E4048" s="9">
        <v>45170</v>
      </c>
      <c r="F4048" s="9">
        <v>45199</v>
      </c>
      <c r="G4048">
        <v>56825155.889999993</v>
      </c>
      <c r="H4048">
        <v>78204.239999999991</v>
      </c>
      <c r="I4048">
        <v>6325745.4630000005</v>
      </c>
      <c r="J4048">
        <v>0</v>
      </c>
      <c r="K4048">
        <v>0</v>
      </c>
      <c r="L4048">
        <v>854055.47100000002</v>
      </c>
      <c r="M4048">
        <v>0</v>
      </c>
      <c r="T4048" s="9">
        <v>45108</v>
      </c>
      <c r="U4048" s="9">
        <v>45473</v>
      </c>
      <c r="V4048">
        <f>SUM(POTABLE_NONPOTABLE_API[[#This Row],[RESIDENTIAL_SINGLEFAMILY_GAL]:[OTHER_GAL]])</f>
        <v>64083161.063999996</v>
      </c>
      <c r="W4048">
        <f>SUM(POTABLE_NONPOTABLE_API[[#This Row],[NONPOTABLE_DEMAND_RESIDENTIAL_RECYCLED_WATER_GAL]:[NONPOTABLE_DEMAND_NONRESIDENTIAL_METERED_IRRIGATION_GAL]])</f>
        <v>0</v>
      </c>
      <c r="X4048" t="str">
        <f>IFERROR(INDEX(Crosswalk_API!$H$2:$H$527, MATCH(POTABLE_NONPOTABLE_API[[#This Row],[PWSID]], CW_PWSID_LIST, 0)), "")</f>
        <v>No</v>
      </c>
    </row>
    <row r="4049" spans="1:24" x14ac:dyDescent="0.25">
      <c r="A4049" t="s">
        <v>1934</v>
      </c>
      <c r="B4049" t="s">
        <v>1935</v>
      </c>
      <c r="C4049" t="s">
        <v>1936</v>
      </c>
      <c r="D4049" t="s">
        <v>1937</v>
      </c>
      <c r="E4049" s="9">
        <v>45200</v>
      </c>
      <c r="F4049" s="9">
        <v>45230</v>
      </c>
      <c r="G4049">
        <v>62644854.75</v>
      </c>
      <c r="H4049">
        <v>81462.75</v>
      </c>
      <c r="I4049">
        <v>4926867.12</v>
      </c>
      <c r="J4049">
        <v>0</v>
      </c>
      <c r="K4049">
        <v>0</v>
      </c>
      <c r="L4049">
        <v>1798371.669</v>
      </c>
      <c r="M4049">
        <v>0</v>
      </c>
      <c r="T4049" s="9">
        <v>45108</v>
      </c>
      <c r="U4049" s="9">
        <v>45473</v>
      </c>
      <c r="V4049">
        <f>SUM(POTABLE_NONPOTABLE_API[[#This Row],[RESIDENTIAL_SINGLEFAMILY_GAL]:[OTHER_GAL]])</f>
        <v>69451556.289000005</v>
      </c>
      <c r="W4049">
        <f>SUM(POTABLE_NONPOTABLE_API[[#This Row],[NONPOTABLE_DEMAND_RESIDENTIAL_RECYCLED_WATER_GAL]:[NONPOTABLE_DEMAND_NONRESIDENTIAL_METERED_IRRIGATION_GAL]])</f>
        <v>0</v>
      </c>
      <c r="X4049" t="str">
        <f>IFERROR(INDEX(Crosswalk_API!$H$2:$H$527, MATCH(POTABLE_NONPOTABLE_API[[#This Row],[PWSID]], CW_PWSID_LIST, 0)), "")</f>
        <v>No</v>
      </c>
    </row>
    <row r="4050" spans="1:24" x14ac:dyDescent="0.25">
      <c r="A4050" t="s">
        <v>1934</v>
      </c>
      <c r="B4050" t="s">
        <v>1935</v>
      </c>
      <c r="C4050" t="s">
        <v>1936</v>
      </c>
      <c r="D4050" t="s">
        <v>1937</v>
      </c>
      <c r="E4050" s="9">
        <v>45231</v>
      </c>
      <c r="F4050" s="9">
        <v>45260</v>
      </c>
      <c r="G4050">
        <v>45954766.530000001</v>
      </c>
      <c r="H4050">
        <v>68428.709999999992</v>
      </c>
      <c r="I4050">
        <v>2509052.7000000002</v>
      </c>
      <c r="J4050">
        <v>0</v>
      </c>
      <c r="K4050">
        <v>0</v>
      </c>
      <c r="L4050">
        <v>593374.67099999997</v>
      </c>
      <c r="M4050">
        <v>0</v>
      </c>
      <c r="T4050" s="9">
        <v>45108</v>
      </c>
      <c r="U4050" s="9">
        <v>45473</v>
      </c>
      <c r="V4050">
        <f>SUM(POTABLE_NONPOTABLE_API[[#This Row],[RESIDENTIAL_SINGLEFAMILY_GAL]:[OTHER_GAL]])</f>
        <v>49125622.611000001</v>
      </c>
      <c r="W4050">
        <f>SUM(POTABLE_NONPOTABLE_API[[#This Row],[NONPOTABLE_DEMAND_RESIDENTIAL_RECYCLED_WATER_GAL]:[NONPOTABLE_DEMAND_NONRESIDENTIAL_METERED_IRRIGATION_GAL]])</f>
        <v>0</v>
      </c>
      <c r="X4050" t="str">
        <f>IFERROR(INDEX(Crosswalk_API!$H$2:$H$527, MATCH(POTABLE_NONPOTABLE_API[[#This Row],[PWSID]], CW_PWSID_LIST, 0)), "")</f>
        <v>No</v>
      </c>
    </row>
    <row r="4051" spans="1:24" x14ac:dyDescent="0.25">
      <c r="A4051" t="s">
        <v>1934</v>
      </c>
      <c r="B4051" t="s">
        <v>1935</v>
      </c>
      <c r="C4051" t="s">
        <v>1936</v>
      </c>
      <c r="D4051" t="s">
        <v>1937</v>
      </c>
      <c r="E4051" s="9">
        <v>45261</v>
      </c>
      <c r="F4051" s="9">
        <v>45291</v>
      </c>
      <c r="G4051">
        <v>40581483.539999999</v>
      </c>
      <c r="H4051">
        <v>65170.200000000004</v>
      </c>
      <c r="I4051">
        <v>1616220.96</v>
      </c>
      <c r="J4051">
        <v>0</v>
      </c>
      <c r="K4051">
        <v>0</v>
      </c>
      <c r="L4051">
        <v>264916.86299999995</v>
      </c>
      <c r="M4051">
        <v>0</v>
      </c>
      <c r="T4051" s="9">
        <v>45108</v>
      </c>
      <c r="U4051" s="9">
        <v>45473</v>
      </c>
      <c r="V4051">
        <f>SUM(POTABLE_NONPOTABLE_API[[#This Row],[RESIDENTIAL_SINGLEFAMILY_GAL]:[OTHER_GAL]])</f>
        <v>42527791.563000001</v>
      </c>
      <c r="W4051">
        <f>SUM(POTABLE_NONPOTABLE_API[[#This Row],[NONPOTABLE_DEMAND_RESIDENTIAL_RECYCLED_WATER_GAL]:[NONPOTABLE_DEMAND_NONRESIDENTIAL_METERED_IRRIGATION_GAL]])</f>
        <v>0</v>
      </c>
      <c r="X4051" t="str">
        <f>IFERROR(INDEX(Crosswalk_API!$H$2:$H$527, MATCH(POTABLE_NONPOTABLE_API[[#This Row],[PWSID]], CW_PWSID_LIST, 0)), "")</f>
        <v>No</v>
      </c>
    </row>
    <row r="4052" spans="1:24" x14ac:dyDescent="0.25">
      <c r="A4052" t="s">
        <v>1934</v>
      </c>
      <c r="B4052" t="s">
        <v>1935</v>
      </c>
      <c r="C4052" t="s">
        <v>1936</v>
      </c>
      <c r="D4052" t="s">
        <v>1937</v>
      </c>
      <c r="E4052" s="9">
        <v>45292</v>
      </c>
      <c r="F4052" s="9">
        <v>45322</v>
      </c>
      <c r="G4052">
        <v>44452593.419999994</v>
      </c>
      <c r="H4052">
        <v>91238.280000000013</v>
      </c>
      <c r="I4052">
        <v>1197046.2335999999</v>
      </c>
      <c r="J4052">
        <v>0</v>
      </c>
      <c r="K4052">
        <v>0</v>
      </c>
      <c r="L4052">
        <v>682331.99399999995</v>
      </c>
      <c r="M4052">
        <v>0</v>
      </c>
      <c r="T4052" s="9">
        <v>45108</v>
      </c>
      <c r="U4052" s="9">
        <v>45473</v>
      </c>
      <c r="V4052">
        <f>SUM(POTABLE_NONPOTABLE_API[[#This Row],[RESIDENTIAL_SINGLEFAMILY_GAL]:[OTHER_GAL]])</f>
        <v>46423209.927599996</v>
      </c>
      <c r="W4052">
        <f>SUM(POTABLE_NONPOTABLE_API[[#This Row],[NONPOTABLE_DEMAND_RESIDENTIAL_RECYCLED_WATER_GAL]:[NONPOTABLE_DEMAND_NONRESIDENTIAL_METERED_IRRIGATION_GAL]])</f>
        <v>0</v>
      </c>
      <c r="X4052" t="str">
        <f>IFERROR(INDEX(Crosswalk_API!$H$2:$H$527, MATCH(POTABLE_NONPOTABLE_API[[#This Row],[PWSID]], CW_PWSID_LIST, 0)), "")</f>
        <v>No</v>
      </c>
    </row>
    <row r="4053" spans="1:24" x14ac:dyDescent="0.25">
      <c r="A4053" t="s">
        <v>1934</v>
      </c>
      <c r="B4053" t="s">
        <v>1935</v>
      </c>
      <c r="C4053" t="s">
        <v>1936</v>
      </c>
      <c r="D4053" t="s">
        <v>1937</v>
      </c>
      <c r="E4053" s="9">
        <v>45323</v>
      </c>
      <c r="F4053" s="9">
        <v>45351</v>
      </c>
      <c r="G4053">
        <v>34465260.269999996</v>
      </c>
      <c r="H4053">
        <v>65170.200000000004</v>
      </c>
      <c r="I4053">
        <v>772266.87</v>
      </c>
      <c r="J4053">
        <v>0</v>
      </c>
      <c r="K4053">
        <v>0</v>
      </c>
      <c r="L4053">
        <v>283490.37</v>
      </c>
      <c r="M4053">
        <v>0</v>
      </c>
      <c r="T4053" s="9">
        <v>45108</v>
      </c>
      <c r="U4053" s="9">
        <v>45473</v>
      </c>
      <c r="V4053">
        <f>SUM(POTABLE_NONPOTABLE_API[[#This Row],[RESIDENTIAL_SINGLEFAMILY_GAL]:[OTHER_GAL]])</f>
        <v>35586187.709999993</v>
      </c>
      <c r="W4053">
        <f>SUM(POTABLE_NONPOTABLE_API[[#This Row],[NONPOTABLE_DEMAND_RESIDENTIAL_RECYCLED_WATER_GAL]:[NONPOTABLE_DEMAND_NONRESIDENTIAL_METERED_IRRIGATION_GAL]])</f>
        <v>0</v>
      </c>
      <c r="X4053" t="str">
        <f>IFERROR(INDEX(Crosswalk_API!$H$2:$H$527, MATCH(POTABLE_NONPOTABLE_API[[#This Row],[PWSID]], CW_PWSID_LIST, 0)), "")</f>
        <v>No</v>
      </c>
    </row>
    <row r="4054" spans="1:24" x14ac:dyDescent="0.25">
      <c r="A4054" t="s">
        <v>1934</v>
      </c>
      <c r="B4054" t="s">
        <v>1935</v>
      </c>
      <c r="C4054" t="s">
        <v>1936</v>
      </c>
      <c r="D4054" t="s">
        <v>1937</v>
      </c>
      <c r="E4054" s="9">
        <v>45352</v>
      </c>
      <c r="F4054" s="9">
        <v>45382</v>
      </c>
      <c r="G4054">
        <v>42324786.389999993</v>
      </c>
      <c r="H4054">
        <v>81462.75</v>
      </c>
      <c r="I4054">
        <v>1586894.37</v>
      </c>
      <c r="J4054">
        <v>0</v>
      </c>
      <c r="K4054">
        <v>0</v>
      </c>
      <c r="L4054">
        <v>653513.73155999999</v>
      </c>
      <c r="M4054">
        <v>0</v>
      </c>
      <c r="T4054" s="9">
        <v>45108</v>
      </c>
      <c r="U4054" s="9">
        <v>45473</v>
      </c>
      <c r="V4054">
        <f>SUM(POTABLE_NONPOTABLE_API[[#This Row],[RESIDENTIAL_SINGLEFAMILY_GAL]:[OTHER_GAL]])</f>
        <v>44646657.24155999</v>
      </c>
      <c r="W4054">
        <f>SUM(POTABLE_NONPOTABLE_API[[#This Row],[NONPOTABLE_DEMAND_RESIDENTIAL_RECYCLED_WATER_GAL]:[NONPOTABLE_DEMAND_NONRESIDENTIAL_METERED_IRRIGATION_GAL]])</f>
        <v>0</v>
      </c>
      <c r="X4054" t="str">
        <f>IFERROR(INDEX(Crosswalk_API!$H$2:$H$527, MATCH(POTABLE_NONPOTABLE_API[[#This Row],[PWSID]], CW_PWSID_LIST, 0)), "")</f>
        <v>No</v>
      </c>
    </row>
    <row r="4055" spans="1:24" x14ac:dyDescent="0.25">
      <c r="A4055" t="s">
        <v>1934</v>
      </c>
      <c r="B4055" t="s">
        <v>1935</v>
      </c>
      <c r="C4055" t="s">
        <v>1936</v>
      </c>
      <c r="D4055" t="s">
        <v>1937</v>
      </c>
      <c r="E4055" s="9">
        <v>45383</v>
      </c>
      <c r="F4055" s="9">
        <v>45412</v>
      </c>
      <c r="G4055">
        <v>40346870.82</v>
      </c>
      <c r="H4055">
        <v>74945.73000000001</v>
      </c>
      <c r="I4055">
        <v>2844679.23</v>
      </c>
      <c r="J4055">
        <v>0</v>
      </c>
      <c r="K4055">
        <v>0</v>
      </c>
      <c r="L4055">
        <v>1005191.6818200001</v>
      </c>
      <c r="M4055">
        <v>0</v>
      </c>
      <c r="T4055" s="9">
        <v>45108</v>
      </c>
      <c r="U4055" s="9">
        <v>45473</v>
      </c>
      <c r="V4055">
        <f>SUM(POTABLE_NONPOTABLE_API[[#This Row],[RESIDENTIAL_SINGLEFAMILY_GAL]:[OTHER_GAL]])</f>
        <v>44271687.461819991</v>
      </c>
      <c r="W4055">
        <f>SUM(POTABLE_NONPOTABLE_API[[#This Row],[NONPOTABLE_DEMAND_RESIDENTIAL_RECYCLED_WATER_GAL]:[NONPOTABLE_DEMAND_NONRESIDENTIAL_METERED_IRRIGATION_GAL]])</f>
        <v>0</v>
      </c>
      <c r="X4055" t="str">
        <f>IFERROR(INDEX(Crosswalk_API!$H$2:$H$527, MATCH(POTABLE_NONPOTABLE_API[[#This Row],[PWSID]], CW_PWSID_LIST, 0)), "")</f>
        <v>No</v>
      </c>
    </row>
    <row r="4056" spans="1:24" x14ac:dyDescent="0.25">
      <c r="A4056" t="s">
        <v>1934</v>
      </c>
      <c r="B4056" t="s">
        <v>1935</v>
      </c>
      <c r="C4056" t="s">
        <v>1936</v>
      </c>
      <c r="D4056" t="s">
        <v>1937</v>
      </c>
      <c r="E4056" s="9">
        <v>45413</v>
      </c>
      <c r="F4056" s="9">
        <v>45443</v>
      </c>
      <c r="G4056">
        <v>62843623.860000007</v>
      </c>
      <c r="H4056">
        <v>84721.260000000009</v>
      </c>
      <c r="I4056">
        <v>5464521.2699999996</v>
      </c>
      <c r="J4056">
        <v>0</v>
      </c>
      <c r="K4056">
        <v>0</v>
      </c>
      <c r="L4056">
        <v>1471539.8574900001</v>
      </c>
      <c r="M4056">
        <v>0</v>
      </c>
      <c r="T4056" s="9">
        <v>45108</v>
      </c>
      <c r="U4056" s="9">
        <v>45473</v>
      </c>
      <c r="V4056">
        <f>SUM(POTABLE_NONPOTABLE_API[[#This Row],[RESIDENTIAL_SINGLEFAMILY_GAL]:[OTHER_GAL]])</f>
        <v>69864406.247490004</v>
      </c>
      <c r="W4056">
        <f>SUM(POTABLE_NONPOTABLE_API[[#This Row],[NONPOTABLE_DEMAND_RESIDENTIAL_RECYCLED_WATER_GAL]:[NONPOTABLE_DEMAND_NONRESIDENTIAL_METERED_IRRIGATION_GAL]])</f>
        <v>0</v>
      </c>
      <c r="X4056" t="str">
        <f>IFERROR(INDEX(Crosswalk_API!$H$2:$H$527, MATCH(POTABLE_NONPOTABLE_API[[#This Row],[PWSID]], CW_PWSID_LIST, 0)), "")</f>
        <v>No</v>
      </c>
    </row>
    <row r="4057" spans="1:24" x14ac:dyDescent="0.25">
      <c r="A4057" t="s">
        <v>1934</v>
      </c>
      <c r="B4057" t="s">
        <v>1935</v>
      </c>
      <c r="C4057" t="s">
        <v>1936</v>
      </c>
      <c r="D4057" t="s">
        <v>1937</v>
      </c>
      <c r="E4057" s="9">
        <v>45444</v>
      </c>
      <c r="F4057" s="9">
        <v>45473</v>
      </c>
      <c r="G4057">
        <v>71768682.75</v>
      </c>
      <c r="H4057">
        <v>71687.22</v>
      </c>
      <c r="I4057">
        <v>7944247.3799999999</v>
      </c>
      <c r="J4057">
        <v>0</v>
      </c>
      <c r="K4057">
        <v>0</v>
      </c>
      <c r="L4057">
        <v>1687927.7310600001</v>
      </c>
      <c r="M4057">
        <v>0</v>
      </c>
      <c r="T4057" s="9">
        <v>45108</v>
      </c>
      <c r="U4057" s="9">
        <v>45473</v>
      </c>
      <c r="V4057">
        <f>SUM(POTABLE_NONPOTABLE_API[[#This Row],[RESIDENTIAL_SINGLEFAMILY_GAL]:[OTHER_GAL]])</f>
        <v>81472545.081059992</v>
      </c>
      <c r="W4057">
        <f>SUM(POTABLE_NONPOTABLE_API[[#This Row],[NONPOTABLE_DEMAND_RESIDENTIAL_RECYCLED_WATER_GAL]:[NONPOTABLE_DEMAND_NONRESIDENTIAL_METERED_IRRIGATION_GAL]])</f>
        <v>0</v>
      </c>
      <c r="X4057" t="str">
        <f>IFERROR(INDEX(Crosswalk_API!$H$2:$H$527, MATCH(POTABLE_NONPOTABLE_API[[#This Row],[PWSID]], CW_PWSID_LIST, 0)), "")</f>
        <v>No</v>
      </c>
    </row>
    <row r="4058" spans="1:24" x14ac:dyDescent="0.25">
      <c r="A4058" t="s">
        <v>1938</v>
      </c>
      <c r="B4058" t="s">
        <v>1939</v>
      </c>
      <c r="C4058" t="s">
        <v>1940</v>
      </c>
      <c r="D4058" t="s">
        <v>1941</v>
      </c>
      <c r="E4058" s="9">
        <v>45108</v>
      </c>
      <c r="F4058" s="9">
        <v>45138</v>
      </c>
      <c r="G4058">
        <v>213045.2096</v>
      </c>
      <c r="H4058">
        <v>0</v>
      </c>
      <c r="I4058">
        <v>91374.551800000001</v>
      </c>
      <c r="J4058">
        <v>0</v>
      </c>
      <c r="K4058">
        <v>0</v>
      </c>
      <c r="L4058">
        <v>0</v>
      </c>
      <c r="M4058">
        <v>0</v>
      </c>
      <c r="T4058" s="9">
        <v>45108</v>
      </c>
      <c r="U4058" s="9">
        <v>45473</v>
      </c>
      <c r="V4058">
        <f>SUM(POTABLE_NONPOTABLE_API[[#This Row],[RESIDENTIAL_SINGLEFAMILY_GAL]:[OTHER_GAL]])</f>
        <v>304419.76140000002</v>
      </c>
      <c r="W4058">
        <f>SUM(POTABLE_NONPOTABLE_API[[#This Row],[NONPOTABLE_DEMAND_RESIDENTIAL_RECYCLED_WATER_GAL]:[NONPOTABLE_DEMAND_NONRESIDENTIAL_METERED_IRRIGATION_GAL]])</f>
        <v>0</v>
      </c>
      <c r="X4058" t="str">
        <f>IFERROR(INDEX(Crosswalk_API!$H$2:$H$527, MATCH(POTABLE_NONPOTABLE_API[[#This Row],[PWSID]], CW_PWSID_LIST, 0)), "")</f>
        <v>No</v>
      </c>
    </row>
    <row r="4059" spans="1:24" x14ac:dyDescent="0.25">
      <c r="A4059" t="s">
        <v>1938</v>
      </c>
      <c r="B4059" t="s">
        <v>1939</v>
      </c>
      <c r="C4059" t="s">
        <v>1940</v>
      </c>
      <c r="D4059" t="s">
        <v>1941</v>
      </c>
      <c r="E4059" s="9">
        <v>45139</v>
      </c>
      <c r="F4059" s="9">
        <v>45169</v>
      </c>
      <c r="G4059">
        <v>54607.796000000002</v>
      </c>
      <c r="H4059">
        <v>0</v>
      </c>
      <c r="I4059">
        <v>54607.796000000002</v>
      </c>
      <c r="J4059">
        <v>0</v>
      </c>
      <c r="K4059">
        <v>0</v>
      </c>
      <c r="L4059">
        <v>0</v>
      </c>
      <c r="M4059">
        <v>0</v>
      </c>
      <c r="N4059">
        <v>0</v>
      </c>
      <c r="O4059">
        <v>0</v>
      </c>
      <c r="P4059">
        <v>0</v>
      </c>
      <c r="Q4059">
        <v>0</v>
      </c>
      <c r="R4059">
        <v>0</v>
      </c>
      <c r="S4059">
        <v>0</v>
      </c>
      <c r="T4059" s="9">
        <v>45108</v>
      </c>
      <c r="U4059" s="9">
        <v>45473</v>
      </c>
      <c r="V4059">
        <f>SUM(POTABLE_NONPOTABLE_API[[#This Row],[RESIDENTIAL_SINGLEFAMILY_GAL]:[OTHER_GAL]])</f>
        <v>109215.592</v>
      </c>
      <c r="W4059">
        <f>SUM(POTABLE_NONPOTABLE_API[[#This Row],[NONPOTABLE_DEMAND_RESIDENTIAL_RECYCLED_WATER_GAL]:[NONPOTABLE_DEMAND_NONRESIDENTIAL_METERED_IRRIGATION_GAL]])</f>
        <v>0</v>
      </c>
      <c r="X4059" t="str">
        <f>IFERROR(INDEX(Crosswalk_API!$H$2:$H$527, MATCH(POTABLE_NONPOTABLE_API[[#This Row],[PWSID]], CW_PWSID_LIST, 0)), "")</f>
        <v>No</v>
      </c>
    </row>
    <row r="4060" spans="1:24" x14ac:dyDescent="0.25">
      <c r="A4060" t="s">
        <v>1938</v>
      </c>
      <c r="B4060" t="s">
        <v>1939</v>
      </c>
      <c r="C4060" t="s">
        <v>1940</v>
      </c>
      <c r="D4060" t="s">
        <v>1941</v>
      </c>
      <c r="E4060" s="9">
        <v>45170</v>
      </c>
      <c r="F4060" s="9">
        <v>45199</v>
      </c>
      <c r="G4060">
        <v>44883.12</v>
      </c>
      <c r="H4060">
        <v>0</v>
      </c>
      <c r="I4060">
        <v>92863.175279999996</v>
      </c>
      <c r="J4060">
        <v>0</v>
      </c>
      <c r="K4060">
        <v>0</v>
      </c>
      <c r="L4060">
        <v>0</v>
      </c>
      <c r="M4060">
        <v>0</v>
      </c>
      <c r="N4060">
        <v>0</v>
      </c>
      <c r="O4060">
        <v>0</v>
      </c>
      <c r="Q4060">
        <v>124176.632</v>
      </c>
      <c r="R4060">
        <v>124176.632</v>
      </c>
      <c r="T4060" s="9">
        <v>45108</v>
      </c>
      <c r="U4060" s="9">
        <v>45473</v>
      </c>
      <c r="V4060">
        <f>SUM(POTABLE_NONPOTABLE_API[[#This Row],[RESIDENTIAL_SINGLEFAMILY_GAL]:[OTHER_GAL]])</f>
        <v>137746.29527999999</v>
      </c>
      <c r="W4060">
        <f>SUM(POTABLE_NONPOTABLE_API[[#This Row],[NONPOTABLE_DEMAND_RESIDENTIAL_RECYCLED_WATER_GAL]:[NONPOTABLE_DEMAND_NONRESIDENTIAL_METERED_IRRIGATION_GAL]])</f>
        <v>248353.264</v>
      </c>
      <c r="X4060" t="str">
        <f>IFERROR(INDEX(Crosswalk_API!$H$2:$H$527, MATCH(POTABLE_NONPOTABLE_API[[#This Row],[PWSID]], CW_PWSID_LIST, 0)), "")</f>
        <v>No</v>
      </c>
    </row>
    <row r="4061" spans="1:24" x14ac:dyDescent="0.25">
      <c r="A4061" t="s">
        <v>1938</v>
      </c>
      <c r="B4061" t="s">
        <v>1939</v>
      </c>
      <c r="C4061" t="s">
        <v>1940</v>
      </c>
      <c r="D4061" t="s">
        <v>1941</v>
      </c>
      <c r="E4061" s="9">
        <v>45200</v>
      </c>
      <c r="F4061" s="9">
        <v>45230</v>
      </c>
      <c r="G4061">
        <v>80778462.900000006</v>
      </c>
      <c r="H4061">
        <v>0</v>
      </c>
      <c r="I4061">
        <v>33692993.399999999</v>
      </c>
      <c r="J4061">
        <v>0</v>
      </c>
      <c r="K4061">
        <v>0</v>
      </c>
      <c r="L4061">
        <v>0</v>
      </c>
      <c r="M4061">
        <v>0</v>
      </c>
      <c r="N4061">
        <v>0</v>
      </c>
      <c r="O4061">
        <v>0</v>
      </c>
      <c r="P4061">
        <v>0</v>
      </c>
      <c r="Q4061">
        <v>1727010.3</v>
      </c>
      <c r="R4061">
        <v>0</v>
      </c>
      <c r="S4061">
        <v>0</v>
      </c>
      <c r="T4061" s="9">
        <v>45108</v>
      </c>
      <c r="U4061" s="9">
        <v>45473</v>
      </c>
      <c r="V4061">
        <f>SUM(POTABLE_NONPOTABLE_API[[#This Row],[RESIDENTIAL_SINGLEFAMILY_GAL]:[OTHER_GAL]])</f>
        <v>114471456.30000001</v>
      </c>
      <c r="W4061">
        <f>SUM(POTABLE_NONPOTABLE_API[[#This Row],[NONPOTABLE_DEMAND_RESIDENTIAL_RECYCLED_WATER_GAL]:[NONPOTABLE_DEMAND_NONRESIDENTIAL_METERED_IRRIGATION_GAL]])</f>
        <v>1727010.3</v>
      </c>
      <c r="X4061" t="str">
        <f>IFERROR(INDEX(Crosswalk_API!$H$2:$H$527, MATCH(POTABLE_NONPOTABLE_API[[#This Row],[PWSID]], CW_PWSID_LIST, 0)), "")</f>
        <v>No</v>
      </c>
    </row>
    <row r="4062" spans="1:24" x14ac:dyDescent="0.25">
      <c r="A4062" t="s">
        <v>1938</v>
      </c>
      <c r="B4062" t="s">
        <v>1939</v>
      </c>
      <c r="C4062" t="s">
        <v>1940</v>
      </c>
      <c r="D4062" t="s">
        <v>1941</v>
      </c>
      <c r="E4062" s="9">
        <v>45231</v>
      </c>
      <c r="F4062" s="9">
        <v>45260</v>
      </c>
      <c r="G4062">
        <v>170929.88200000001</v>
      </c>
      <c r="H4062">
        <v>0</v>
      </c>
      <c r="I4062">
        <v>71409.043919999996</v>
      </c>
      <c r="J4062">
        <v>0</v>
      </c>
      <c r="K4062">
        <v>0</v>
      </c>
      <c r="L4062">
        <v>0</v>
      </c>
      <c r="M4062">
        <v>0</v>
      </c>
      <c r="N4062">
        <v>0</v>
      </c>
      <c r="O4062">
        <v>0</v>
      </c>
      <c r="P4062">
        <v>0</v>
      </c>
      <c r="Q4062">
        <v>977553</v>
      </c>
      <c r="R4062">
        <v>0</v>
      </c>
      <c r="T4062" s="9">
        <v>45108</v>
      </c>
      <c r="U4062" s="9">
        <v>45473</v>
      </c>
      <c r="V4062">
        <f>SUM(POTABLE_NONPOTABLE_API[[#This Row],[RESIDENTIAL_SINGLEFAMILY_GAL]:[OTHER_GAL]])</f>
        <v>242338.92592000001</v>
      </c>
      <c r="W4062">
        <f>SUM(POTABLE_NONPOTABLE_API[[#This Row],[NONPOTABLE_DEMAND_RESIDENTIAL_RECYCLED_WATER_GAL]:[NONPOTABLE_DEMAND_NONRESIDENTIAL_METERED_IRRIGATION_GAL]])</f>
        <v>977553</v>
      </c>
      <c r="X4062" t="str">
        <f>IFERROR(INDEX(Crosswalk_API!$H$2:$H$527, MATCH(POTABLE_NONPOTABLE_API[[#This Row],[PWSID]], CW_PWSID_LIST, 0)), "")</f>
        <v>No</v>
      </c>
    </row>
    <row r="4063" spans="1:24" x14ac:dyDescent="0.25">
      <c r="A4063" t="s">
        <v>1938</v>
      </c>
      <c r="B4063" t="s">
        <v>1939</v>
      </c>
      <c r="C4063" t="s">
        <v>1940</v>
      </c>
      <c r="D4063" t="s">
        <v>1941</v>
      </c>
      <c r="E4063" s="9">
        <v>45261</v>
      </c>
      <c r="F4063" s="9">
        <v>45291</v>
      </c>
      <c r="G4063">
        <v>68233199.400000006</v>
      </c>
      <c r="H4063">
        <v>0</v>
      </c>
      <c r="I4063">
        <v>31105736.459999997</v>
      </c>
      <c r="J4063">
        <v>0</v>
      </c>
      <c r="K4063">
        <v>0</v>
      </c>
      <c r="L4063">
        <v>0</v>
      </c>
      <c r="M4063">
        <v>0</v>
      </c>
      <c r="N4063">
        <v>0</v>
      </c>
      <c r="O4063">
        <v>0</v>
      </c>
      <c r="P4063">
        <v>0</v>
      </c>
      <c r="Q4063">
        <v>847212.6</v>
      </c>
      <c r="R4063">
        <v>847212.6</v>
      </c>
      <c r="T4063" s="9">
        <v>45108</v>
      </c>
      <c r="U4063" s="9">
        <v>45473</v>
      </c>
      <c r="V4063">
        <f>SUM(POTABLE_NONPOTABLE_API[[#This Row],[RESIDENTIAL_SINGLEFAMILY_GAL]:[OTHER_GAL]])</f>
        <v>99338935.859999999</v>
      </c>
      <c r="W4063">
        <f>SUM(POTABLE_NONPOTABLE_API[[#This Row],[NONPOTABLE_DEMAND_RESIDENTIAL_RECYCLED_WATER_GAL]:[NONPOTABLE_DEMAND_NONRESIDENTIAL_METERED_IRRIGATION_GAL]])</f>
        <v>1694425.2</v>
      </c>
      <c r="X4063" t="str">
        <f>IFERROR(INDEX(Crosswalk_API!$H$2:$H$527, MATCH(POTABLE_NONPOTABLE_API[[#This Row],[PWSID]], CW_PWSID_LIST, 0)), "")</f>
        <v>No</v>
      </c>
    </row>
    <row r="4064" spans="1:24" x14ac:dyDescent="0.25">
      <c r="A4064" t="s">
        <v>1938</v>
      </c>
      <c r="B4064" t="s">
        <v>1939</v>
      </c>
      <c r="C4064" t="s">
        <v>1940</v>
      </c>
      <c r="D4064" t="s">
        <v>1941</v>
      </c>
      <c r="E4064" s="9">
        <v>45292</v>
      </c>
      <c r="F4064" s="9">
        <v>45322</v>
      </c>
      <c r="G4064">
        <v>45</v>
      </c>
      <c r="H4064">
        <v>56</v>
      </c>
      <c r="I4064">
        <v>0</v>
      </c>
      <c r="J4064">
        <v>0</v>
      </c>
      <c r="K4064">
        <v>0</v>
      </c>
      <c r="L4064">
        <v>0</v>
      </c>
      <c r="M4064">
        <v>0</v>
      </c>
      <c r="T4064" s="9">
        <v>45108</v>
      </c>
      <c r="U4064" s="9">
        <v>45473</v>
      </c>
      <c r="V4064">
        <f>SUM(POTABLE_NONPOTABLE_API[[#This Row],[RESIDENTIAL_SINGLEFAMILY_GAL]:[OTHER_GAL]])</f>
        <v>101</v>
      </c>
      <c r="W4064">
        <f>SUM(POTABLE_NONPOTABLE_API[[#This Row],[NONPOTABLE_DEMAND_RESIDENTIAL_RECYCLED_WATER_GAL]:[NONPOTABLE_DEMAND_NONRESIDENTIAL_METERED_IRRIGATION_GAL]])</f>
        <v>0</v>
      </c>
      <c r="X4064" t="str">
        <f>IFERROR(INDEX(Crosswalk_API!$H$2:$H$527, MATCH(POTABLE_NONPOTABLE_API[[#This Row],[PWSID]], CW_PWSID_LIST, 0)), "")</f>
        <v>No</v>
      </c>
    </row>
    <row r="4065" spans="1:24" x14ac:dyDescent="0.25">
      <c r="A4065" t="s">
        <v>1938</v>
      </c>
      <c r="B4065" t="s">
        <v>1939</v>
      </c>
      <c r="C4065" t="s">
        <v>1940</v>
      </c>
      <c r="D4065" t="s">
        <v>1941</v>
      </c>
      <c r="E4065" s="9">
        <v>45323</v>
      </c>
      <c r="F4065" s="9">
        <v>45351</v>
      </c>
      <c r="G4065">
        <v>31418.184000000001</v>
      </c>
      <c r="H4065">
        <v>35906.495999999999</v>
      </c>
      <c r="I4065">
        <v>791439.01600000006</v>
      </c>
      <c r="J4065">
        <v>0</v>
      </c>
      <c r="K4065">
        <v>0</v>
      </c>
      <c r="L4065">
        <v>0</v>
      </c>
      <c r="M4065">
        <v>0</v>
      </c>
      <c r="T4065" s="9">
        <v>45108</v>
      </c>
      <c r="U4065" s="9">
        <v>45473</v>
      </c>
      <c r="V4065">
        <f>SUM(POTABLE_NONPOTABLE_API[[#This Row],[RESIDENTIAL_SINGLEFAMILY_GAL]:[OTHER_GAL]])</f>
        <v>858763.696</v>
      </c>
      <c r="W4065">
        <f>SUM(POTABLE_NONPOTABLE_API[[#This Row],[NONPOTABLE_DEMAND_RESIDENTIAL_RECYCLED_WATER_GAL]:[NONPOTABLE_DEMAND_NONRESIDENTIAL_METERED_IRRIGATION_GAL]])</f>
        <v>0</v>
      </c>
      <c r="X4065" t="str">
        <f>IFERROR(INDEX(Crosswalk_API!$H$2:$H$527, MATCH(POTABLE_NONPOTABLE_API[[#This Row],[PWSID]], CW_PWSID_LIST, 0)), "")</f>
        <v>No</v>
      </c>
    </row>
    <row r="4066" spans="1:24" x14ac:dyDescent="0.25">
      <c r="A4066" t="s">
        <v>1938</v>
      </c>
      <c r="B4066" t="s">
        <v>1939</v>
      </c>
      <c r="C4066" t="s">
        <v>1940</v>
      </c>
      <c r="D4066" t="s">
        <v>1941</v>
      </c>
      <c r="E4066" s="9">
        <v>45352</v>
      </c>
      <c r="F4066" s="9">
        <v>45382</v>
      </c>
      <c r="G4066">
        <v>31418.184000000001</v>
      </c>
      <c r="H4066">
        <v>33662.340000000004</v>
      </c>
      <c r="I4066">
        <v>65080.524000000005</v>
      </c>
      <c r="J4066">
        <v>0</v>
      </c>
      <c r="K4066">
        <v>0</v>
      </c>
      <c r="L4066">
        <v>0</v>
      </c>
      <c r="M4066">
        <v>0</v>
      </c>
      <c r="N4066">
        <v>0</v>
      </c>
      <c r="O4066">
        <v>0</v>
      </c>
      <c r="P4066">
        <v>0</v>
      </c>
      <c r="Q4066">
        <v>0</v>
      </c>
      <c r="R4066">
        <v>0</v>
      </c>
      <c r="S4066">
        <v>0</v>
      </c>
      <c r="T4066" s="9">
        <v>45108</v>
      </c>
      <c r="U4066" s="9">
        <v>45473</v>
      </c>
      <c r="V4066">
        <f>SUM(POTABLE_NONPOTABLE_API[[#This Row],[RESIDENTIAL_SINGLEFAMILY_GAL]:[OTHER_GAL]])</f>
        <v>130161.04800000001</v>
      </c>
      <c r="W4066">
        <f>SUM(POTABLE_NONPOTABLE_API[[#This Row],[NONPOTABLE_DEMAND_RESIDENTIAL_RECYCLED_WATER_GAL]:[NONPOTABLE_DEMAND_NONRESIDENTIAL_METERED_IRRIGATION_GAL]])</f>
        <v>0</v>
      </c>
      <c r="X4066" t="str">
        <f>IFERROR(INDEX(Crosswalk_API!$H$2:$H$527, MATCH(POTABLE_NONPOTABLE_API[[#This Row],[PWSID]], CW_PWSID_LIST, 0)), "")</f>
        <v>No</v>
      </c>
    </row>
    <row r="4067" spans="1:24" x14ac:dyDescent="0.25">
      <c r="A4067" t="s">
        <v>1938</v>
      </c>
      <c r="B4067" t="s">
        <v>1939</v>
      </c>
      <c r="C4067" t="s">
        <v>1940</v>
      </c>
      <c r="D4067" t="s">
        <v>1941</v>
      </c>
      <c r="E4067" s="9">
        <v>45383</v>
      </c>
      <c r="F4067" s="9">
        <v>45412</v>
      </c>
      <c r="G4067">
        <v>58001478</v>
      </c>
      <c r="H4067">
        <v>0</v>
      </c>
      <c r="I4067">
        <v>31105736.459999997</v>
      </c>
      <c r="J4067">
        <v>0</v>
      </c>
      <c r="K4067">
        <v>0</v>
      </c>
      <c r="L4067">
        <v>0</v>
      </c>
      <c r="M4067">
        <v>0</v>
      </c>
      <c r="N4067">
        <v>0</v>
      </c>
      <c r="O4067">
        <v>0</v>
      </c>
      <c r="P4067">
        <v>0</v>
      </c>
      <c r="Q4067">
        <v>0</v>
      </c>
      <c r="R4067">
        <v>0</v>
      </c>
      <c r="S4067">
        <v>0</v>
      </c>
      <c r="T4067" s="9">
        <v>45108</v>
      </c>
      <c r="U4067" s="9">
        <v>45473</v>
      </c>
      <c r="V4067">
        <f>SUM(POTABLE_NONPOTABLE_API[[#This Row],[RESIDENTIAL_SINGLEFAMILY_GAL]:[OTHER_GAL]])</f>
        <v>89107214.459999993</v>
      </c>
      <c r="W4067">
        <f>SUM(POTABLE_NONPOTABLE_API[[#This Row],[NONPOTABLE_DEMAND_RESIDENTIAL_RECYCLED_WATER_GAL]:[NONPOTABLE_DEMAND_NONRESIDENTIAL_METERED_IRRIGATION_GAL]])</f>
        <v>0</v>
      </c>
      <c r="X4067" t="str">
        <f>IFERROR(INDEX(Crosswalk_API!$H$2:$H$527, MATCH(POTABLE_NONPOTABLE_API[[#This Row],[PWSID]], CW_PWSID_LIST, 0)), "")</f>
        <v>No</v>
      </c>
    </row>
    <row r="4068" spans="1:24" x14ac:dyDescent="0.25">
      <c r="A4068" t="s">
        <v>1938</v>
      </c>
      <c r="B4068" t="s">
        <v>1939</v>
      </c>
      <c r="C4068" t="s">
        <v>1940</v>
      </c>
      <c r="D4068" t="s">
        <v>1941</v>
      </c>
      <c r="E4068" s="9">
        <v>45413</v>
      </c>
      <c r="F4068" s="9">
        <v>45443</v>
      </c>
      <c r="G4068">
        <v>74294028</v>
      </c>
      <c r="H4068">
        <v>74294028</v>
      </c>
      <c r="I4068">
        <v>31105736.459999997</v>
      </c>
      <c r="J4068">
        <v>0</v>
      </c>
      <c r="K4068">
        <v>0</v>
      </c>
      <c r="L4068">
        <v>0</v>
      </c>
      <c r="M4068">
        <v>0</v>
      </c>
      <c r="N4068">
        <v>0</v>
      </c>
      <c r="O4068">
        <v>0</v>
      </c>
      <c r="P4068">
        <v>0</v>
      </c>
      <c r="Q4068">
        <v>0</v>
      </c>
      <c r="R4068">
        <v>0</v>
      </c>
      <c r="S4068">
        <v>0</v>
      </c>
      <c r="T4068" s="9">
        <v>45108</v>
      </c>
      <c r="U4068" s="9">
        <v>45473</v>
      </c>
      <c r="V4068">
        <f>SUM(POTABLE_NONPOTABLE_API[[#This Row],[RESIDENTIAL_SINGLEFAMILY_GAL]:[OTHER_GAL]])</f>
        <v>179693792.46000001</v>
      </c>
      <c r="W4068">
        <f>SUM(POTABLE_NONPOTABLE_API[[#This Row],[NONPOTABLE_DEMAND_RESIDENTIAL_RECYCLED_WATER_GAL]:[NONPOTABLE_DEMAND_NONRESIDENTIAL_METERED_IRRIGATION_GAL]])</f>
        <v>0</v>
      </c>
      <c r="X4068" t="str">
        <f>IFERROR(INDEX(Crosswalk_API!$H$2:$H$527, MATCH(POTABLE_NONPOTABLE_API[[#This Row],[PWSID]], CW_PWSID_LIST, 0)), "")</f>
        <v>No</v>
      </c>
    </row>
    <row r="4069" spans="1:24" x14ac:dyDescent="0.25">
      <c r="A4069" t="s">
        <v>1938</v>
      </c>
      <c r="B4069" t="s">
        <v>1939</v>
      </c>
      <c r="C4069" t="s">
        <v>1940</v>
      </c>
      <c r="D4069" t="s">
        <v>1941</v>
      </c>
      <c r="E4069" s="9">
        <v>45444</v>
      </c>
      <c r="F4069" s="9">
        <v>45473</v>
      </c>
      <c r="G4069">
        <v>86676366</v>
      </c>
      <c r="H4069">
        <v>0</v>
      </c>
      <c r="I4069">
        <v>30955845</v>
      </c>
      <c r="J4069">
        <v>0</v>
      </c>
      <c r="K4069">
        <v>0</v>
      </c>
      <c r="L4069">
        <v>0</v>
      </c>
      <c r="M4069">
        <v>0</v>
      </c>
      <c r="N4069">
        <v>0</v>
      </c>
      <c r="O4069">
        <v>0</v>
      </c>
      <c r="P4069">
        <v>0</v>
      </c>
      <c r="Q4069">
        <v>1140478.5</v>
      </c>
      <c r="R4069">
        <v>86676366</v>
      </c>
      <c r="T4069" s="9">
        <v>45108</v>
      </c>
      <c r="U4069" s="9">
        <v>45473</v>
      </c>
      <c r="V4069">
        <f>SUM(POTABLE_NONPOTABLE_API[[#This Row],[RESIDENTIAL_SINGLEFAMILY_GAL]:[OTHER_GAL]])</f>
        <v>117632211</v>
      </c>
      <c r="W4069">
        <f>SUM(POTABLE_NONPOTABLE_API[[#This Row],[NONPOTABLE_DEMAND_RESIDENTIAL_RECYCLED_WATER_GAL]:[NONPOTABLE_DEMAND_NONRESIDENTIAL_METERED_IRRIGATION_GAL]])</f>
        <v>87816844.5</v>
      </c>
      <c r="X4069" t="str">
        <f>IFERROR(INDEX(Crosswalk_API!$H$2:$H$527, MATCH(POTABLE_NONPOTABLE_API[[#This Row],[PWSID]], CW_PWSID_LIST, 0)), "")</f>
        <v>No</v>
      </c>
    </row>
    <row r="4070" spans="1:24" x14ac:dyDescent="0.25">
      <c r="A4070" t="s">
        <v>1942</v>
      </c>
      <c r="B4070" t="s">
        <v>1943</v>
      </c>
      <c r="C4070" t="s">
        <v>1944</v>
      </c>
      <c r="D4070" t="s">
        <v>1945</v>
      </c>
      <c r="E4070" s="9">
        <v>45108</v>
      </c>
      <c r="F4070" s="9">
        <v>45138</v>
      </c>
      <c r="G4070">
        <v>48306954.004000001</v>
      </c>
      <c r="H4070">
        <v>11285112.472000001</v>
      </c>
      <c r="I4070">
        <v>23045237.964000002</v>
      </c>
      <c r="J4070">
        <v>0</v>
      </c>
      <c r="K4070">
        <v>20945.456000000002</v>
      </c>
      <c r="L4070">
        <v>39646.756000000001</v>
      </c>
      <c r="M4070">
        <v>0</v>
      </c>
      <c r="N4070">
        <v>0</v>
      </c>
      <c r="O4070">
        <v>0</v>
      </c>
      <c r="P4070">
        <v>0</v>
      </c>
      <c r="Q4070">
        <v>1711542.976</v>
      </c>
      <c r="R4070">
        <v>0</v>
      </c>
      <c r="S4070">
        <v>0</v>
      </c>
      <c r="T4070" s="9">
        <v>45108</v>
      </c>
      <c r="U4070" s="9">
        <v>45473</v>
      </c>
      <c r="V4070">
        <f>SUM(POTABLE_NONPOTABLE_API[[#This Row],[RESIDENTIAL_SINGLEFAMILY_GAL]:[OTHER_GAL]])</f>
        <v>82697896.651999995</v>
      </c>
      <c r="W4070">
        <f>SUM(POTABLE_NONPOTABLE_API[[#This Row],[NONPOTABLE_DEMAND_RESIDENTIAL_RECYCLED_WATER_GAL]:[NONPOTABLE_DEMAND_NONRESIDENTIAL_METERED_IRRIGATION_GAL]])</f>
        <v>1711542.976</v>
      </c>
      <c r="X4070" t="str">
        <f>IFERROR(INDEX(Crosswalk_API!$H$2:$H$527, MATCH(POTABLE_NONPOTABLE_API[[#This Row],[PWSID]], CW_PWSID_LIST, 0)), "")</f>
        <v>No</v>
      </c>
    </row>
    <row r="4071" spans="1:24" x14ac:dyDescent="0.25">
      <c r="A4071" t="s">
        <v>1942</v>
      </c>
      <c r="B4071" t="s">
        <v>1943</v>
      </c>
      <c r="C4071" t="s">
        <v>1944</v>
      </c>
      <c r="D4071" t="s">
        <v>1945</v>
      </c>
      <c r="E4071" s="9">
        <v>45139</v>
      </c>
      <c r="F4071" s="9">
        <v>45169</v>
      </c>
      <c r="G4071">
        <v>40565363.855999999</v>
      </c>
      <c r="H4071">
        <v>9790504.5759999994</v>
      </c>
      <c r="I4071">
        <v>21230463.811999999</v>
      </c>
      <c r="J4071">
        <v>0</v>
      </c>
      <c r="K4071">
        <v>31418.184000000001</v>
      </c>
      <c r="L4071">
        <v>20197.404000000002</v>
      </c>
      <c r="M4071">
        <v>0</v>
      </c>
      <c r="N4071">
        <v>0</v>
      </c>
      <c r="O4071">
        <v>0</v>
      </c>
      <c r="P4071">
        <v>0</v>
      </c>
      <c r="Q4071">
        <v>1770639.084</v>
      </c>
      <c r="R4071">
        <v>0</v>
      </c>
      <c r="S4071">
        <v>0</v>
      </c>
      <c r="T4071" s="9">
        <v>45108</v>
      </c>
      <c r="U4071" s="9">
        <v>45473</v>
      </c>
      <c r="V4071">
        <f>SUM(POTABLE_NONPOTABLE_API[[#This Row],[RESIDENTIAL_SINGLEFAMILY_GAL]:[OTHER_GAL]])</f>
        <v>71637947.831999987</v>
      </c>
      <c r="W4071">
        <f>SUM(POTABLE_NONPOTABLE_API[[#This Row],[NONPOTABLE_DEMAND_RESIDENTIAL_RECYCLED_WATER_GAL]:[NONPOTABLE_DEMAND_NONRESIDENTIAL_METERED_IRRIGATION_GAL]])</f>
        <v>1770639.084</v>
      </c>
      <c r="X4071" t="str">
        <f>IFERROR(INDEX(Crosswalk_API!$H$2:$H$527, MATCH(POTABLE_NONPOTABLE_API[[#This Row],[PWSID]], CW_PWSID_LIST, 0)), "")</f>
        <v>No</v>
      </c>
    </row>
    <row r="4072" spans="1:24" x14ac:dyDescent="0.25">
      <c r="A4072" t="s">
        <v>1942</v>
      </c>
      <c r="B4072" t="s">
        <v>1943</v>
      </c>
      <c r="C4072" t="s">
        <v>1944</v>
      </c>
      <c r="D4072" t="s">
        <v>1945</v>
      </c>
      <c r="E4072" s="9">
        <v>45170</v>
      </c>
      <c r="F4072" s="9">
        <v>45199</v>
      </c>
      <c r="G4072">
        <v>43497727.696000002</v>
      </c>
      <c r="H4072">
        <v>10366504.616</v>
      </c>
      <c r="I4072">
        <v>21876780.740000002</v>
      </c>
      <c r="J4072">
        <v>0</v>
      </c>
      <c r="K4072">
        <v>19449.351999999999</v>
      </c>
      <c r="L4072">
        <v>2992.2080000000001</v>
      </c>
      <c r="M4072">
        <v>0</v>
      </c>
      <c r="N4072">
        <v>0</v>
      </c>
      <c r="O4072">
        <v>0</v>
      </c>
      <c r="P4072">
        <v>0</v>
      </c>
      <c r="Q4072">
        <v>917111.75199999998</v>
      </c>
      <c r="R4072">
        <v>0</v>
      </c>
      <c r="S4072">
        <v>0</v>
      </c>
      <c r="T4072" s="9">
        <v>45108</v>
      </c>
      <c r="U4072" s="9">
        <v>45473</v>
      </c>
      <c r="V4072">
        <f>SUM(POTABLE_NONPOTABLE_API[[#This Row],[RESIDENTIAL_SINGLEFAMILY_GAL]:[OTHER_GAL]])</f>
        <v>75763454.612000018</v>
      </c>
      <c r="W4072">
        <f>SUM(POTABLE_NONPOTABLE_API[[#This Row],[NONPOTABLE_DEMAND_RESIDENTIAL_RECYCLED_WATER_GAL]:[NONPOTABLE_DEMAND_NONRESIDENTIAL_METERED_IRRIGATION_GAL]])</f>
        <v>917111.75199999998</v>
      </c>
      <c r="X4072" t="str">
        <f>IFERROR(INDEX(Crosswalk_API!$H$2:$H$527, MATCH(POTABLE_NONPOTABLE_API[[#This Row],[PWSID]], CW_PWSID_LIST, 0)), "")</f>
        <v>No</v>
      </c>
    </row>
    <row r="4073" spans="1:24" x14ac:dyDescent="0.25">
      <c r="A4073" t="s">
        <v>1942</v>
      </c>
      <c r="B4073" t="s">
        <v>1943</v>
      </c>
      <c r="C4073" t="s">
        <v>1944</v>
      </c>
      <c r="D4073" t="s">
        <v>1945</v>
      </c>
      <c r="E4073" s="9">
        <v>45200</v>
      </c>
      <c r="F4073" s="9">
        <v>45230</v>
      </c>
      <c r="G4073">
        <v>35624480.395999998</v>
      </c>
      <c r="H4073">
        <v>11133257.916000001</v>
      </c>
      <c r="I4073">
        <v>21214006.668000001</v>
      </c>
      <c r="J4073">
        <v>0</v>
      </c>
      <c r="K4073">
        <v>26929.871999999999</v>
      </c>
      <c r="L4073">
        <v>620883.16</v>
      </c>
      <c r="M4073">
        <v>0</v>
      </c>
      <c r="N4073">
        <v>0</v>
      </c>
      <c r="O4073">
        <v>0</v>
      </c>
      <c r="P4073">
        <v>0</v>
      </c>
      <c r="Q4073">
        <v>1988322.216</v>
      </c>
      <c r="R4073">
        <v>0</v>
      </c>
      <c r="S4073">
        <v>0</v>
      </c>
      <c r="T4073" s="9">
        <v>45108</v>
      </c>
      <c r="U4073" s="9">
        <v>45473</v>
      </c>
      <c r="V4073">
        <f>SUM(POTABLE_NONPOTABLE_API[[#This Row],[RESIDENTIAL_SINGLEFAMILY_GAL]:[OTHER_GAL]])</f>
        <v>68619558.011999995</v>
      </c>
      <c r="W4073">
        <f>SUM(POTABLE_NONPOTABLE_API[[#This Row],[NONPOTABLE_DEMAND_RESIDENTIAL_RECYCLED_WATER_GAL]:[NONPOTABLE_DEMAND_NONRESIDENTIAL_METERED_IRRIGATION_GAL]])</f>
        <v>1988322.216</v>
      </c>
      <c r="X4073" t="str">
        <f>IFERROR(INDEX(Crosswalk_API!$H$2:$H$527, MATCH(POTABLE_NONPOTABLE_API[[#This Row],[PWSID]], CW_PWSID_LIST, 0)), "")</f>
        <v>No</v>
      </c>
    </row>
    <row r="4074" spans="1:24" x14ac:dyDescent="0.25">
      <c r="A4074" t="s">
        <v>1942</v>
      </c>
      <c r="B4074" t="s">
        <v>1943</v>
      </c>
      <c r="C4074" t="s">
        <v>1944</v>
      </c>
      <c r="D4074" t="s">
        <v>1945</v>
      </c>
      <c r="E4074" s="9">
        <v>45231</v>
      </c>
      <c r="F4074" s="9">
        <v>45260</v>
      </c>
      <c r="G4074">
        <v>42649436.728</v>
      </c>
      <c r="H4074">
        <v>9947595.4960000012</v>
      </c>
      <c r="I4074">
        <v>19732863.708000001</v>
      </c>
      <c r="J4074">
        <v>0</v>
      </c>
      <c r="K4074">
        <v>28425.976000000002</v>
      </c>
      <c r="L4074">
        <v>10472.728000000001</v>
      </c>
      <c r="M4074">
        <v>0</v>
      </c>
      <c r="N4074">
        <v>0</v>
      </c>
      <c r="O4074">
        <v>0</v>
      </c>
      <c r="P4074">
        <v>0</v>
      </c>
      <c r="Q4074">
        <v>1861153.3760000002</v>
      </c>
      <c r="R4074">
        <v>0</v>
      </c>
      <c r="S4074">
        <v>0</v>
      </c>
      <c r="T4074" s="9">
        <v>45108</v>
      </c>
      <c r="U4074" s="9">
        <v>45473</v>
      </c>
      <c r="V4074">
        <f>SUM(POTABLE_NONPOTABLE_API[[#This Row],[RESIDENTIAL_SINGLEFAMILY_GAL]:[OTHER_GAL]])</f>
        <v>72368794.635999992</v>
      </c>
      <c r="W4074">
        <f>SUM(POTABLE_NONPOTABLE_API[[#This Row],[NONPOTABLE_DEMAND_RESIDENTIAL_RECYCLED_WATER_GAL]:[NONPOTABLE_DEMAND_NONRESIDENTIAL_METERED_IRRIGATION_GAL]])</f>
        <v>1861153.3760000002</v>
      </c>
      <c r="X4074" t="str">
        <f>IFERROR(INDEX(Crosswalk_API!$H$2:$H$527, MATCH(POTABLE_NONPOTABLE_API[[#This Row],[PWSID]], CW_PWSID_LIST, 0)), "")</f>
        <v>No</v>
      </c>
    </row>
    <row r="4075" spans="1:24" x14ac:dyDescent="0.25">
      <c r="A4075" t="s">
        <v>1942</v>
      </c>
      <c r="B4075" t="s">
        <v>1943</v>
      </c>
      <c r="C4075" t="s">
        <v>1944</v>
      </c>
      <c r="D4075" t="s">
        <v>1945</v>
      </c>
      <c r="E4075" s="9">
        <v>45261</v>
      </c>
      <c r="F4075" s="9">
        <v>45291</v>
      </c>
      <c r="G4075">
        <v>30274412.492000002</v>
      </c>
      <c r="H4075">
        <v>8843470.7440000009</v>
      </c>
      <c r="I4075">
        <v>17468510.304000001</v>
      </c>
      <c r="J4075">
        <v>0</v>
      </c>
      <c r="K4075">
        <v>29174.028000000002</v>
      </c>
      <c r="L4075">
        <v>59844.160000000003</v>
      </c>
      <c r="M4075">
        <v>0</v>
      </c>
      <c r="N4075">
        <v>0</v>
      </c>
      <c r="O4075">
        <v>0</v>
      </c>
      <c r="P4075">
        <v>0</v>
      </c>
      <c r="Q4075">
        <v>393475.35200000001</v>
      </c>
      <c r="R4075">
        <v>0</v>
      </c>
      <c r="S4075">
        <v>0</v>
      </c>
      <c r="T4075" s="9">
        <v>45108</v>
      </c>
      <c r="U4075" s="9">
        <v>45473</v>
      </c>
      <c r="V4075">
        <f>SUM(POTABLE_NONPOTABLE_API[[#This Row],[RESIDENTIAL_SINGLEFAMILY_GAL]:[OTHER_GAL]])</f>
        <v>56675411.728</v>
      </c>
      <c r="W4075">
        <f>SUM(POTABLE_NONPOTABLE_API[[#This Row],[NONPOTABLE_DEMAND_RESIDENTIAL_RECYCLED_WATER_GAL]:[NONPOTABLE_DEMAND_NONRESIDENTIAL_METERED_IRRIGATION_GAL]])</f>
        <v>393475.35200000001</v>
      </c>
      <c r="X4075" t="str">
        <f>IFERROR(INDEX(Crosswalk_API!$H$2:$H$527, MATCH(POTABLE_NONPOTABLE_API[[#This Row],[PWSID]], CW_PWSID_LIST, 0)), "")</f>
        <v>No</v>
      </c>
    </row>
    <row r="4076" spans="1:24" x14ac:dyDescent="0.25">
      <c r="A4076" t="s">
        <v>1942</v>
      </c>
      <c r="B4076" t="s">
        <v>1943</v>
      </c>
      <c r="C4076" t="s">
        <v>1944</v>
      </c>
      <c r="D4076" t="s">
        <v>1945</v>
      </c>
      <c r="E4076" s="9">
        <v>45292</v>
      </c>
      <c r="F4076" s="9">
        <v>45322</v>
      </c>
      <c r="G4076">
        <v>37036054.520000003</v>
      </c>
      <c r="H4076">
        <v>10601392.944</v>
      </c>
      <c r="I4076">
        <v>18240499.968000002</v>
      </c>
      <c r="J4076">
        <v>0</v>
      </c>
      <c r="K4076">
        <v>22441.56</v>
      </c>
      <c r="L4076">
        <v>168311.7</v>
      </c>
      <c r="M4076">
        <v>0</v>
      </c>
      <c r="N4076">
        <v>0</v>
      </c>
      <c r="O4076">
        <v>0</v>
      </c>
      <c r="P4076">
        <v>0</v>
      </c>
      <c r="Q4076">
        <v>1289641.648</v>
      </c>
      <c r="R4076">
        <v>0</v>
      </c>
      <c r="S4076">
        <v>0</v>
      </c>
      <c r="T4076" s="9">
        <v>45108</v>
      </c>
      <c r="U4076" s="9">
        <v>45473</v>
      </c>
      <c r="V4076">
        <f>SUM(POTABLE_NONPOTABLE_API[[#This Row],[RESIDENTIAL_SINGLEFAMILY_GAL]:[OTHER_GAL]])</f>
        <v>66068700.692000009</v>
      </c>
      <c r="W4076">
        <f>SUM(POTABLE_NONPOTABLE_API[[#This Row],[NONPOTABLE_DEMAND_RESIDENTIAL_RECYCLED_WATER_GAL]:[NONPOTABLE_DEMAND_NONRESIDENTIAL_METERED_IRRIGATION_GAL]])</f>
        <v>1289641.648</v>
      </c>
      <c r="X4076" t="str">
        <f>IFERROR(INDEX(Crosswalk_API!$H$2:$H$527, MATCH(POTABLE_NONPOTABLE_API[[#This Row],[PWSID]], CW_PWSID_LIST, 0)), "")</f>
        <v>No</v>
      </c>
    </row>
    <row r="4077" spans="1:24" x14ac:dyDescent="0.25">
      <c r="A4077" t="s">
        <v>1942</v>
      </c>
      <c r="B4077" t="s">
        <v>1943</v>
      </c>
      <c r="C4077" t="s">
        <v>1944</v>
      </c>
      <c r="D4077" t="s">
        <v>1945</v>
      </c>
      <c r="E4077" s="9">
        <v>45323</v>
      </c>
      <c r="F4077" s="9">
        <v>45351</v>
      </c>
      <c r="G4077">
        <v>28973550.063999999</v>
      </c>
      <c r="H4077">
        <v>8743231.7760000005</v>
      </c>
      <c r="I4077">
        <v>12949528.172</v>
      </c>
      <c r="J4077">
        <v>0</v>
      </c>
      <c r="K4077">
        <v>23189.612000000001</v>
      </c>
      <c r="L4077">
        <v>2992.2080000000001</v>
      </c>
      <c r="M4077">
        <v>0</v>
      </c>
      <c r="N4077">
        <v>0</v>
      </c>
      <c r="O4077">
        <v>0</v>
      </c>
      <c r="P4077">
        <v>0</v>
      </c>
      <c r="Q4077">
        <v>394223.40400000004</v>
      </c>
      <c r="R4077">
        <v>0</v>
      </c>
      <c r="S4077">
        <v>0</v>
      </c>
      <c r="T4077" s="9">
        <v>45108</v>
      </c>
      <c r="U4077" s="9">
        <v>45473</v>
      </c>
      <c r="V4077">
        <f>SUM(POTABLE_NONPOTABLE_API[[#This Row],[RESIDENTIAL_SINGLEFAMILY_GAL]:[OTHER_GAL]])</f>
        <v>50692491.832000002</v>
      </c>
      <c r="W4077">
        <f>SUM(POTABLE_NONPOTABLE_API[[#This Row],[NONPOTABLE_DEMAND_RESIDENTIAL_RECYCLED_WATER_GAL]:[NONPOTABLE_DEMAND_NONRESIDENTIAL_METERED_IRRIGATION_GAL]])</f>
        <v>394223.40400000004</v>
      </c>
      <c r="X4077" t="str">
        <f>IFERROR(INDEX(Crosswalk_API!$H$2:$H$527, MATCH(POTABLE_NONPOTABLE_API[[#This Row],[PWSID]], CW_PWSID_LIST, 0)), "")</f>
        <v>No</v>
      </c>
    </row>
    <row r="4078" spans="1:24" x14ac:dyDescent="0.25">
      <c r="A4078" t="s">
        <v>1942</v>
      </c>
      <c r="B4078" t="s">
        <v>1943</v>
      </c>
      <c r="C4078" t="s">
        <v>1944</v>
      </c>
      <c r="D4078" t="s">
        <v>1945</v>
      </c>
      <c r="E4078" s="9">
        <v>45352</v>
      </c>
      <c r="F4078" s="9">
        <v>45382</v>
      </c>
      <c r="G4078">
        <v>30986557.995999999</v>
      </c>
      <c r="H4078">
        <v>8837486.3279999997</v>
      </c>
      <c r="I4078">
        <v>13671398.352</v>
      </c>
      <c r="J4078">
        <v>0</v>
      </c>
      <c r="K4078">
        <v>34410.392</v>
      </c>
      <c r="L4078">
        <v>748.05200000000002</v>
      </c>
      <c r="M4078">
        <v>0</v>
      </c>
      <c r="N4078">
        <v>0</v>
      </c>
      <c r="O4078">
        <v>0</v>
      </c>
      <c r="P4078">
        <v>0</v>
      </c>
      <c r="Q4078">
        <v>361309.11600000004</v>
      </c>
      <c r="R4078">
        <v>0</v>
      </c>
      <c r="S4078">
        <v>0</v>
      </c>
      <c r="T4078" s="9">
        <v>45108</v>
      </c>
      <c r="U4078" s="9">
        <v>45473</v>
      </c>
      <c r="V4078">
        <f>SUM(POTABLE_NONPOTABLE_API[[#This Row],[RESIDENTIAL_SINGLEFAMILY_GAL]:[OTHER_GAL]])</f>
        <v>53530601.119999997</v>
      </c>
      <c r="W4078">
        <f>SUM(POTABLE_NONPOTABLE_API[[#This Row],[NONPOTABLE_DEMAND_RESIDENTIAL_RECYCLED_WATER_GAL]:[NONPOTABLE_DEMAND_NONRESIDENTIAL_METERED_IRRIGATION_GAL]])</f>
        <v>361309.11600000004</v>
      </c>
      <c r="X4078" t="str">
        <f>IFERROR(INDEX(Crosswalk_API!$H$2:$H$527, MATCH(POTABLE_NONPOTABLE_API[[#This Row],[PWSID]], CW_PWSID_LIST, 0)), "")</f>
        <v>No</v>
      </c>
    </row>
    <row r="4079" spans="1:24" x14ac:dyDescent="0.25">
      <c r="A4079" t="s">
        <v>1942</v>
      </c>
      <c r="B4079" t="s">
        <v>1943</v>
      </c>
      <c r="C4079" t="s">
        <v>1944</v>
      </c>
      <c r="D4079" t="s">
        <v>1945</v>
      </c>
      <c r="E4079" s="9">
        <v>45383</v>
      </c>
      <c r="F4079" s="9">
        <v>45412</v>
      </c>
      <c r="G4079">
        <v>26346391.440000001</v>
      </c>
      <c r="H4079">
        <v>10004447.448000001</v>
      </c>
      <c r="I4079">
        <v>14973756.884</v>
      </c>
      <c r="J4079">
        <v>0</v>
      </c>
      <c r="K4079">
        <v>18701.3</v>
      </c>
      <c r="L4079">
        <v>3740.26</v>
      </c>
      <c r="M4079">
        <v>0</v>
      </c>
      <c r="N4079">
        <v>0</v>
      </c>
      <c r="O4079">
        <v>0</v>
      </c>
      <c r="P4079">
        <v>0</v>
      </c>
      <c r="Q4079">
        <v>251345.47200000001</v>
      </c>
      <c r="R4079">
        <v>0</v>
      </c>
      <c r="S4079">
        <v>0</v>
      </c>
      <c r="T4079" s="9">
        <v>45108</v>
      </c>
      <c r="U4079" s="9">
        <v>45473</v>
      </c>
      <c r="V4079">
        <f>SUM(POTABLE_NONPOTABLE_API[[#This Row],[RESIDENTIAL_SINGLEFAMILY_GAL]:[OTHER_GAL]])</f>
        <v>51347037.331999995</v>
      </c>
      <c r="W4079">
        <f>SUM(POTABLE_NONPOTABLE_API[[#This Row],[NONPOTABLE_DEMAND_RESIDENTIAL_RECYCLED_WATER_GAL]:[NONPOTABLE_DEMAND_NONRESIDENTIAL_METERED_IRRIGATION_GAL]])</f>
        <v>251345.47200000001</v>
      </c>
      <c r="X4079" t="str">
        <f>IFERROR(INDEX(Crosswalk_API!$H$2:$H$527, MATCH(POTABLE_NONPOTABLE_API[[#This Row],[PWSID]], CW_PWSID_LIST, 0)), "")</f>
        <v>No</v>
      </c>
    </row>
    <row r="4080" spans="1:24" x14ac:dyDescent="0.25">
      <c r="A4080" t="s">
        <v>1942</v>
      </c>
      <c r="B4080" t="s">
        <v>1943</v>
      </c>
      <c r="C4080" t="s">
        <v>1944</v>
      </c>
      <c r="D4080" t="s">
        <v>1945</v>
      </c>
      <c r="E4080" s="9">
        <v>45413</v>
      </c>
      <c r="F4080" s="9">
        <v>45443</v>
      </c>
      <c r="G4080">
        <v>35594558.316</v>
      </c>
      <c r="H4080">
        <v>9325964.284</v>
      </c>
      <c r="I4080">
        <v>16006068.644000001</v>
      </c>
      <c r="J4080">
        <v>0</v>
      </c>
      <c r="K4080">
        <v>14961.04</v>
      </c>
      <c r="L4080">
        <v>139137.67199999999</v>
      </c>
      <c r="M4080">
        <v>0</v>
      </c>
      <c r="N4080">
        <v>0</v>
      </c>
      <c r="O4080">
        <v>0</v>
      </c>
      <c r="P4080">
        <v>0</v>
      </c>
      <c r="Q4080">
        <v>771241.61199999996</v>
      </c>
      <c r="R4080">
        <v>0</v>
      </c>
      <c r="S4080">
        <v>0</v>
      </c>
      <c r="T4080" s="9">
        <v>45108</v>
      </c>
      <c r="U4080" s="9">
        <v>45473</v>
      </c>
      <c r="V4080">
        <f>SUM(POTABLE_NONPOTABLE_API[[#This Row],[RESIDENTIAL_SINGLEFAMILY_GAL]:[OTHER_GAL]])</f>
        <v>61080689.956</v>
      </c>
      <c r="W4080">
        <f>SUM(POTABLE_NONPOTABLE_API[[#This Row],[NONPOTABLE_DEMAND_RESIDENTIAL_RECYCLED_WATER_GAL]:[NONPOTABLE_DEMAND_NONRESIDENTIAL_METERED_IRRIGATION_GAL]])</f>
        <v>771241.61199999996</v>
      </c>
      <c r="X4080" t="str">
        <f>IFERROR(INDEX(Crosswalk_API!$H$2:$H$527, MATCH(POTABLE_NONPOTABLE_API[[#This Row],[PWSID]], CW_PWSID_LIST, 0)), "")</f>
        <v>No</v>
      </c>
    </row>
    <row r="4081" spans="1:24" x14ac:dyDescent="0.25">
      <c r="A4081" t="s">
        <v>1942</v>
      </c>
      <c r="B4081" t="s">
        <v>1943</v>
      </c>
      <c r="C4081" t="s">
        <v>1944</v>
      </c>
      <c r="D4081" t="s">
        <v>1945</v>
      </c>
      <c r="E4081" s="9">
        <v>45444</v>
      </c>
      <c r="F4081" s="9">
        <v>45473</v>
      </c>
      <c r="G4081">
        <v>32897830.856000002</v>
      </c>
      <c r="H4081">
        <v>9757590.2880000006</v>
      </c>
      <c r="I4081">
        <v>18202349.316</v>
      </c>
      <c r="J4081">
        <v>0</v>
      </c>
      <c r="K4081">
        <v>14212.988000000001</v>
      </c>
      <c r="L4081">
        <v>123428.58</v>
      </c>
      <c r="M4081">
        <v>0</v>
      </c>
      <c r="N4081">
        <v>0</v>
      </c>
      <c r="O4081">
        <v>0</v>
      </c>
      <c r="P4081">
        <v>0</v>
      </c>
      <c r="Q4081">
        <v>2017496.2439999999</v>
      </c>
      <c r="R4081">
        <v>0</v>
      </c>
      <c r="S4081">
        <v>0</v>
      </c>
      <c r="T4081" s="9">
        <v>45108</v>
      </c>
      <c r="U4081" s="9">
        <v>45473</v>
      </c>
      <c r="V4081">
        <f>SUM(POTABLE_NONPOTABLE_API[[#This Row],[RESIDENTIAL_SINGLEFAMILY_GAL]:[OTHER_GAL]])</f>
        <v>60995412.027999997</v>
      </c>
      <c r="W4081">
        <f>SUM(POTABLE_NONPOTABLE_API[[#This Row],[NONPOTABLE_DEMAND_RESIDENTIAL_RECYCLED_WATER_GAL]:[NONPOTABLE_DEMAND_NONRESIDENTIAL_METERED_IRRIGATION_GAL]])</f>
        <v>2017496.2439999999</v>
      </c>
      <c r="X4081" t="str">
        <f>IFERROR(INDEX(Crosswalk_API!$H$2:$H$527, MATCH(POTABLE_NONPOTABLE_API[[#This Row],[PWSID]], CW_PWSID_LIST, 0)), "")</f>
        <v>No</v>
      </c>
    </row>
    <row r="4082" spans="1:24" x14ac:dyDescent="0.25">
      <c r="A4082" t="s">
        <v>1946</v>
      </c>
      <c r="B4082" t="s">
        <v>1947</v>
      </c>
      <c r="C4082" t="s">
        <v>1948</v>
      </c>
      <c r="D4082" t="s">
        <v>1949</v>
      </c>
      <c r="E4082" s="9">
        <v>45108</v>
      </c>
      <c r="F4082" s="9">
        <v>45138</v>
      </c>
      <c r="G4082">
        <v>20705331.308000002</v>
      </c>
      <c r="H4082">
        <v>3987117.16</v>
      </c>
      <c r="I4082">
        <v>14568312.700000001</v>
      </c>
      <c r="J4082">
        <v>6139262.7640000004</v>
      </c>
      <c r="K4082">
        <v>0</v>
      </c>
      <c r="L4082">
        <v>1365942.952</v>
      </c>
      <c r="M4082">
        <v>0</v>
      </c>
      <c r="T4082" s="9">
        <v>45108</v>
      </c>
      <c r="U4082" s="9">
        <v>45473</v>
      </c>
      <c r="V4082">
        <f>SUM(POTABLE_NONPOTABLE_API[[#This Row],[RESIDENTIAL_SINGLEFAMILY_GAL]:[OTHER_GAL]])</f>
        <v>46765966.884000003</v>
      </c>
      <c r="W4082">
        <f>SUM(POTABLE_NONPOTABLE_API[[#This Row],[NONPOTABLE_DEMAND_RESIDENTIAL_RECYCLED_WATER_GAL]:[NONPOTABLE_DEMAND_NONRESIDENTIAL_METERED_IRRIGATION_GAL]])</f>
        <v>0</v>
      </c>
      <c r="X4082" t="str">
        <f>IFERROR(INDEX(Crosswalk_API!$H$2:$H$527, MATCH(POTABLE_NONPOTABLE_API[[#This Row],[PWSID]], CW_PWSID_LIST, 0)), "")</f>
        <v>No</v>
      </c>
    </row>
    <row r="4083" spans="1:24" x14ac:dyDescent="0.25">
      <c r="A4083" t="s">
        <v>1946</v>
      </c>
      <c r="B4083" t="s">
        <v>1947</v>
      </c>
      <c r="C4083" t="s">
        <v>1948</v>
      </c>
      <c r="D4083" t="s">
        <v>1949</v>
      </c>
      <c r="E4083" s="9">
        <v>45139</v>
      </c>
      <c r="F4083" s="9">
        <v>45169</v>
      </c>
      <c r="G4083">
        <v>20557217.012000002</v>
      </c>
      <c r="H4083">
        <v>3861444.4240000001</v>
      </c>
      <c r="I4083">
        <v>13811284.076000001</v>
      </c>
      <c r="J4083">
        <v>6554431.6239999998</v>
      </c>
      <c r="K4083">
        <v>0</v>
      </c>
      <c r="L4083">
        <v>1152748.132</v>
      </c>
      <c r="M4083">
        <v>0</v>
      </c>
      <c r="T4083" s="9">
        <v>45108</v>
      </c>
      <c r="U4083" s="9">
        <v>45473</v>
      </c>
      <c r="V4083">
        <f>SUM(POTABLE_NONPOTABLE_API[[#This Row],[RESIDENTIAL_SINGLEFAMILY_GAL]:[OTHER_GAL]])</f>
        <v>45937125.267999999</v>
      </c>
      <c r="W4083">
        <f>SUM(POTABLE_NONPOTABLE_API[[#This Row],[NONPOTABLE_DEMAND_RESIDENTIAL_RECYCLED_WATER_GAL]:[NONPOTABLE_DEMAND_NONRESIDENTIAL_METERED_IRRIGATION_GAL]])</f>
        <v>0</v>
      </c>
      <c r="X4083" t="str">
        <f>IFERROR(INDEX(Crosswalk_API!$H$2:$H$527, MATCH(POTABLE_NONPOTABLE_API[[#This Row],[PWSID]], CW_PWSID_LIST, 0)), "")</f>
        <v>No</v>
      </c>
    </row>
    <row r="4084" spans="1:24" x14ac:dyDescent="0.25">
      <c r="A4084" t="s">
        <v>1946</v>
      </c>
      <c r="B4084" t="s">
        <v>1947</v>
      </c>
      <c r="C4084" t="s">
        <v>1948</v>
      </c>
      <c r="D4084" t="s">
        <v>1949</v>
      </c>
      <c r="E4084" s="9">
        <v>45170</v>
      </c>
      <c r="F4084" s="9">
        <v>45199</v>
      </c>
      <c r="G4084">
        <v>20276697.512000002</v>
      </c>
      <c r="H4084">
        <v>3868176.892</v>
      </c>
      <c r="I4084">
        <v>13509071.068</v>
      </c>
      <c r="J4084">
        <v>6366670.5720000006</v>
      </c>
      <c r="K4084">
        <v>0</v>
      </c>
      <c r="L4084">
        <v>1183418.264</v>
      </c>
      <c r="M4084">
        <v>0</v>
      </c>
      <c r="T4084" s="9">
        <v>45108</v>
      </c>
      <c r="U4084" s="9">
        <v>45473</v>
      </c>
      <c r="V4084">
        <f>SUM(POTABLE_NONPOTABLE_API[[#This Row],[RESIDENTIAL_SINGLEFAMILY_GAL]:[OTHER_GAL]])</f>
        <v>45204034.307999998</v>
      </c>
      <c r="W4084">
        <f>SUM(POTABLE_NONPOTABLE_API[[#This Row],[NONPOTABLE_DEMAND_RESIDENTIAL_RECYCLED_WATER_GAL]:[NONPOTABLE_DEMAND_NONRESIDENTIAL_METERED_IRRIGATION_GAL]])</f>
        <v>0</v>
      </c>
      <c r="X4084" t="str">
        <f>IFERROR(INDEX(Crosswalk_API!$H$2:$H$527, MATCH(POTABLE_NONPOTABLE_API[[#This Row],[PWSID]], CW_PWSID_LIST, 0)), "")</f>
        <v>No</v>
      </c>
    </row>
    <row r="4085" spans="1:24" x14ac:dyDescent="0.25">
      <c r="A4085" t="s">
        <v>1946</v>
      </c>
      <c r="B4085" t="s">
        <v>1947</v>
      </c>
      <c r="C4085" t="s">
        <v>1948</v>
      </c>
      <c r="D4085" t="s">
        <v>1949</v>
      </c>
      <c r="E4085" s="9">
        <v>45200</v>
      </c>
      <c r="F4085" s="9">
        <v>45230</v>
      </c>
      <c r="G4085">
        <v>20175710.492000002</v>
      </c>
      <c r="H4085">
        <v>3631792.46</v>
      </c>
      <c r="I4085">
        <v>12586722.952</v>
      </c>
      <c r="J4085">
        <v>6009849.7680000002</v>
      </c>
      <c r="K4085">
        <v>0</v>
      </c>
      <c r="L4085">
        <v>1195387.0960000001</v>
      </c>
      <c r="M4085">
        <v>0</v>
      </c>
      <c r="T4085" s="9">
        <v>45108</v>
      </c>
      <c r="U4085" s="9">
        <v>45473</v>
      </c>
      <c r="V4085">
        <f>SUM(POTABLE_NONPOTABLE_API[[#This Row],[RESIDENTIAL_SINGLEFAMILY_GAL]:[OTHER_GAL]])</f>
        <v>43599462.767999999</v>
      </c>
      <c r="W4085">
        <f>SUM(POTABLE_NONPOTABLE_API[[#This Row],[NONPOTABLE_DEMAND_RESIDENTIAL_RECYCLED_WATER_GAL]:[NONPOTABLE_DEMAND_NONRESIDENTIAL_METERED_IRRIGATION_GAL]])</f>
        <v>0</v>
      </c>
      <c r="X4085" t="str">
        <f>IFERROR(INDEX(Crosswalk_API!$H$2:$H$527, MATCH(POTABLE_NONPOTABLE_API[[#This Row],[PWSID]], CW_PWSID_LIST, 0)), "")</f>
        <v>No</v>
      </c>
    </row>
    <row r="4086" spans="1:24" x14ac:dyDescent="0.25">
      <c r="A4086" t="s">
        <v>1946</v>
      </c>
      <c r="B4086" t="s">
        <v>1947</v>
      </c>
      <c r="C4086" t="s">
        <v>1948</v>
      </c>
      <c r="D4086" t="s">
        <v>1949</v>
      </c>
      <c r="E4086" s="9">
        <v>45231</v>
      </c>
      <c r="F4086" s="9">
        <v>45260</v>
      </c>
      <c r="G4086">
        <v>19592229.932</v>
      </c>
      <c r="H4086">
        <v>3642265.1880000001</v>
      </c>
      <c r="I4086">
        <v>12666016.464</v>
      </c>
      <c r="J4086">
        <v>4410514.5920000002</v>
      </c>
      <c r="K4086">
        <v>0</v>
      </c>
      <c r="L4086">
        <v>1131802.676</v>
      </c>
      <c r="M4086">
        <v>0</v>
      </c>
      <c r="T4086" s="9">
        <v>45108</v>
      </c>
      <c r="U4086" s="9">
        <v>45473</v>
      </c>
      <c r="V4086">
        <f>SUM(POTABLE_NONPOTABLE_API[[#This Row],[RESIDENTIAL_SINGLEFAMILY_GAL]:[OTHER_GAL]])</f>
        <v>41442828.851999998</v>
      </c>
      <c r="W4086">
        <f>SUM(POTABLE_NONPOTABLE_API[[#This Row],[NONPOTABLE_DEMAND_RESIDENTIAL_RECYCLED_WATER_GAL]:[NONPOTABLE_DEMAND_NONRESIDENTIAL_METERED_IRRIGATION_GAL]])</f>
        <v>0</v>
      </c>
      <c r="X4086" t="str">
        <f>IFERROR(INDEX(Crosswalk_API!$H$2:$H$527, MATCH(POTABLE_NONPOTABLE_API[[#This Row],[PWSID]], CW_PWSID_LIST, 0)), "")</f>
        <v>No</v>
      </c>
    </row>
    <row r="4087" spans="1:24" x14ac:dyDescent="0.25">
      <c r="A4087" t="s">
        <v>1946</v>
      </c>
      <c r="B4087" t="s">
        <v>1947</v>
      </c>
      <c r="C4087" t="s">
        <v>1948</v>
      </c>
      <c r="D4087" t="s">
        <v>1949</v>
      </c>
      <c r="E4087" s="9">
        <v>45261</v>
      </c>
      <c r="F4087" s="9">
        <v>45291</v>
      </c>
      <c r="G4087">
        <v>15414359.512</v>
      </c>
      <c r="H4087">
        <v>2902441.7600000002</v>
      </c>
      <c r="I4087">
        <v>10283470.844000001</v>
      </c>
      <c r="J4087">
        <v>2190296.2560000001</v>
      </c>
      <c r="K4087">
        <v>0</v>
      </c>
      <c r="L4087">
        <v>864000.06</v>
      </c>
      <c r="M4087">
        <v>0</v>
      </c>
      <c r="T4087" s="9">
        <v>45108</v>
      </c>
      <c r="U4087" s="9">
        <v>45473</v>
      </c>
      <c r="V4087">
        <f>SUM(POTABLE_NONPOTABLE_API[[#This Row],[RESIDENTIAL_SINGLEFAMILY_GAL]:[OTHER_GAL]])</f>
        <v>31654568.432</v>
      </c>
      <c r="W4087">
        <f>SUM(POTABLE_NONPOTABLE_API[[#This Row],[NONPOTABLE_DEMAND_RESIDENTIAL_RECYCLED_WATER_GAL]:[NONPOTABLE_DEMAND_NONRESIDENTIAL_METERED_IRRIGATION_GAL]])</f>
        <v>0</v>
      </c>
      <c r="X4087" t="str">
        <f>IFERROR(INDEX(Crosswalk_API!$H$2:$H$527, MATCH(POTABLE_NONPOTABLE_API[[#This Row],[PWSID]], CW_PWSID_LIST, 0)), "")</f>
        <v>No</v>
      </c>
    </row>
    <row r="4088" spans="1:24" x14ac:dyDescent="0.25">
      <c r="A4088" t="s">
        <v>1946</v>
      </c>
      <c r="B4088" t="s">
        <v>1947</v>
      </c>
      <c r="C4088" t="s">
        <v>1948</v>
      </c>
      <c r="D4088" t="s">
        <v>1949</v>
      </c>
      <c r="E4088" s="9">
        <v>45292</v>
      </c>
      <c r="F4088" s="9">
        <v>45322</v>
      </c>
      <c r="G4088">
        <v>10667969.572000001</v>
      </c>
      <c r="H4088">
        <v>2298015.7439999999</v>
      </c>
      <c r="I4088">
        <v>9091075.9560000002</v>
      </c>
      <c r="J4088">
        <v>1110109.1680000001</v>
      </c>
      <c r="K4088">
        <v>0</v>
      </c>
      <c r="L4088">
        <v>750296.15600000008</v>
      </c>
      <c r="M4088">
        <v>0</v>
      </c>
      <c r="T4088" s="9">
        <v>45108</v>
      </c>
      <c r="U4088" s="9">
        <v>45473</v>
      </c>
      <c r="V4088">
        <f>SUM(POTABLE_NONPOTABLE_API[[#This Row],[RESIDENTIAL_SINGLEFAMILY_GAL]:[OTHER_GAL]])</f>
        <v>23917466.596000001</v>
      </c>
      <c r="W4088">
        <f>SUM(POTABLE_NONPOTABLE_API[[#This Row],[NONPOTABLE_DEMAND_RESIDENTIAL_RECYCLED_WATER_GAL]:[NONPOTABLE_DEMAND_NONRESIDENTIAL_METERED_IRRIGATION_GAL]])</f>
        <v>0</v>
      </c>
      <c r="X4088" t="str">
        <f>IFERROR(INDEX(Crosswalk_API!$H$2:$H$527, MATCH(POTABLE_NONPOTABLE_API[[#This Row],[PWSID]], CW_PWSID_LIST, 0)), "")</f>
        <v>No</v>
      </c>
    </row>
    <row r="4089" spans="1:24" x14ac:dyDescent="0.25">
      <c r="A4089" t="s">
        <v>1946</v>
      </c>
      <c r="B4089" t="s">
        <v>1947</v>
      </c>
      <c r="C4089" t="s">
        <v>1948</v>
      </c>
      <c r="D4089" t="s">
        <v>1949</v>
      </c>
      <c r="E4089" s="9">
        <v>45323</v>
      </c>
      <c r="F4089" s="9">
        <v>45351</v>
      </c>
      <c r="G4089">
        <v>11139990.384</v>
      </c>
      <c r="H4089">
        <v>2342898.8640000001</v>
      </c>
      <c r="I4089">
        <v>9479314.9440000001</v>
      </c>
      <c r="J4089">
        <v>947781.88400000008</v>
      </c>
      <c r="K4089">
        <v>0</v>
      </c>
      <c r="L4089">
        <v>886441.62</v>
      </c>
      <c r="M4089">
        <v>0</v>
      </c>
      <c r="T4089" s="9">
        <v>45108</v>
      </c>
      <c r="U4089" s="9">
        <v>45473</v>
      </c>
      <c r="V4089">
        <f>SUM(POTABLE_NONPOTABLE_API[[#This Row],[RESIDENTIAL_SINGLEFAMILY_GAL]:[OTHER_GAL]])</f>
        <v>24796427.696000002</v>
      </c>
      <c r="W4089">
        <f>SUM(POTABLE_NONPOTABLE_API[[#This Row],[NONPOTABLE_DEMAND_RESIDENTIAL_RECYCLED_WATER_GAL]:[NONPOTABLE_DEMAND_NONRESIDENTIAL_METERED_IRRIGATION_GAL]])</f>
        <v>0</v>
      </c>
      <c r="X4089" t="str">
        <f>IFERROR(INDEX(Crosswalk_API!$H$2:$H$527, MATCH(POTABLE_NONPOTABLE_API[[#This Row],[PWSID]], CW_PWSID_LIST, 0)), "")</f>
        <v>No</v>
      </c>
    </row>
    <row r="4090" spans="1:24" x14ac:dyDescent="0.25">
      <c r="A4090" t="s">
        <v>1946</v>
      </c>
      <c r="B4090" t="s">
        <v>1947</v>
      </c>
      <c r="C4090" t="s">
        <v>1948</v>
      </c>
      <c r="D4090" t="s">
        <v>1949</v>
      </c>
      <c r="E4090" s="9">
        <v>45352</v>
      </c>
      <c r="F4090" s="9">
        <v>45382</v>
      </c>
      <c r="G4090">
        <v>13533756.784</v>
      </c>
      <c r="H4090">
        <v>2627906.676</v>
      </c>
      <c r="I4090">
        <v>10318629.288000001</v>
      </c>
      <c r="J4090">
        <v>1763158.564</v>
      </c>
      <c r="K4090">
        <v>0</v>
      </c>
      <c r="L4090">
        <v>923844.22</v>
      </c>
      <c r="M4090">
        <v>0</v>
      </c>
      <c r="T4090" s="9">
        <v>45108</v>
      </c>
      <c r="U4090" s="9">
        <v>45473</v>
      </c>
      <c r="V4090">
        <f>SUM(POTABLE_NONPOTABLE_API[[#This Row],[RESIDENTIAL_SINGLEFAMILY_GAL]:[OTHER_GAL]])</f>
        <v>29167295.532000002</v>
      </c>
      <c r="W4090">
        <f>SUM(POTABLE_NONPOTABLE_API[[#This Row],[NONPOTABLE_DEMAND_RESIDENTIAL_RECYCLED_WATER_GAL]:[NONPOTABLE_DEMAND_NONRESIDENTIAL_METERED_IRRIGATION_GAL]])</f>
        <v>0</v>
      </c>
      <c r="X4090" t="str">
        <f>IFERROR(INDEX(Crosswalk_API!$H$2:$H$527, MATCH(POTABLE_NONPOTABLE_API[[#This Row],[PWSID]], CW_PWSID_LIST, 0)), "")</f>
        <v>No</v>
      </c>
    </row>
    <row r="4091" spans="1:24" x14ac:dyDescent="0.25">
      <c r="A4091" t="s">
        <v>1946</v>
      </c>
      <c r="B4091" t="s">
        <v>1947</v>
      </c>
      <c r="C4091" t="s">
        <v>1948</v>
      </c>
      <c r="D4091" t="s">
        <v>1949</v>
      </c>
      <c r="E4091" s="9">
        <v>45383</v>
      </c>
      <c r="F4091" s="9">
        <v>45412</v>
      </c>
      <c r="G4091">
        <v>15269237.424000001</v>
      </c>
      <c r="H4091">
        <v>3012405.4040000001</v>
      </c>
      <c r="I4091">
        <v>11644925.484000001</v>
      </c>
      <c r="J4091">
        <v>2986223.5840000003</v>
      </c>
      <c r="K4091">
        <v>0</v>
      </c>
      <c r="L4091">
        <v>1146015.6640000001</v>
      </c>
      <c r="M4091">
        <v>0</v>
      </c>
      <c r="T4091" s="9">
        <v>45108</v>
      </c>
      <c r="U4091" s="9">
        <v>45473</v>
      </c>
      <c r="V4091">
        <f>SUM(POTABLE_NONPOTABLE_API[[#This Row],[RESIDENTIAL_SINGLEFAMILY_GAL]:[OTHER_GAL]])</f>
        <v>34058807.560000002</v>
      </c>
      <c r="W4091">
        <f>SUM(POTABLE_NONPOTABLE_API[[#This Row],[NONPOTABLE_DEMAND_RESIDENTIAL_RECYCLED_WATER_GAL]:[NONPOTABLE_DEMAND_NONRESIDENTIAL_METERED_IRRIGATION_GAL]])</f>
        <v>0</v>
      </c>
      <c r="X4091" t="str">
        <f>IFERROR(INDEX(Crosswalk_API!$H$2:$H$527, MATCH(POTABLE_NONPOTABLE_API[[#This Row],[PWSID]], CW_PWSID_LIST, 0)), "")</f>
        <v>No</v>
      </c>
    </row>
    <row r="4092" spans="1:24" x14ac:dyDescent="0.25">
      <c r="A4092" t="s">
        <v>1946</v>
      </c>
      <c r="B4092" t="s">
        <v>1947</v>
      </c>
      <c r="C4092" t="s">
        <v>1948</v>
      </c>
      <c r="D4092" t="s">
        <v>1949</v>
      </c>
      <c r="E4092" s="9">
        <v>45413</v>
      </c>
      <c r="F4092" s="9">
        <v>45443</v>
      </c>
      <c r="G4092">
        <v>17407170.039999999</v>
      </c>
      <c r="H4092">
        <v>3245049.5759999999</v>
      </c>
      <c r="I4092">
        <v>11985289.144000001</v>
      </c>
      <c r="J4092">
        <v>5333610.76</v>
      </c>
      <c r="K4092">
        <v>0</v>
      </c>
      <c r="L4092">
        <v>1333028.6640000001</v>
      </c>
      <c r="M4092">
        <v>0</v>
      </c>
      <c r="T4092" s="9">
        <v>45108</v>
      </c>
      <c r="U4092" s="9">
        <v>45473</v>
      </c>
      <c r="V4092">
        <f>SUM(POTABLE_NONPOTABLE_API[[#This Row],[RESIDENTIAL_SINGLEFAMILY_GAL]:[OTHER_GAL]])</f>
        <v>39304148.184</v>
      </c>
      <c r="W4092">
        <f>SUM(POTABLE_NONPOTABLE_API[[#This Row],[NONPOTABLE_DEMAND_RESIDENTIAL_RECYCLED_WATER_GAL]:[NONPOTABLE_DEMAND_NONRESIDENTIAL_METERED_IRRIGATION_GAL]])</f>
        <v>0</v>
      </c>
      <c r="X4092" t="str">
        <f>IFERROR(INDEX(Crosswalk_API!$H$2:$H$527, MATCH(POTABLE_NONPOTABLE_API[[#This Row],[PWSID]], CW_PWSID_LIST, 0)), "")</f>
        <v>No</v>
      </c>
    </row>
    <row r="4093" spans="1:24" x14ac:dyDescent="0.25">
      <c r="A4093" t="s">
        <v>1946</v>
      </c>
      <c r="B4093" t="s">
        <v>1947</v>
      </c>
      <c r="C4093" t="s">
        <v>1948</v>
      </c>
      <c r="D4093" t="s">
        <v>1949</v>
      </c>
      <c r="E4093" s="9">
        <v>45444</v>
      </c>
      <c r="F4093" s="9">
        <v>45473</v>
      </c>
      <c r="G4093">
        <v>19857040.34</v>
      </c>
      <c r="H4093">
        <v>3692384.6720000003</v>
      </c>
      <c r="I4093">
        <v>14215980.208000001</v>
      </c>
      <c r="J4093">
        <v>6670379.6840000004</v>
      </c>
      <c r="K4093">
        <v>0</v>
      </c>
      <c r="L4093">
        <v>1502836.4680000001</v>
      </c>
      <c r="M4093">
        <v>0</v>
      </c>
      <c r="T4093" s="9">
        <v>45108</v>
      </c>
      <c r="U4093" s="9">
        <v>45473</v>
      </c>
      <c r="V4093">
        <f>SUM(POTABLE_NONPOTABLE_API[[#This Row],[RESIDENTIAL_SINGLEFAMILY_GAL]:[OTHER_GAL]])</f>
        <v>45938621.372000001</v>
      </c>
      <c r="W4093">
        <f>SUM(POTABLE_NONPOTABLE_API[[#This Row],[NONPOTABLE_DEMAND_RESIDENTIAL_RECYCLED_WATER_GAL]:[NONPOTABLE_DEMAND_NONRESIDENTIAL_METERED_IRRIGATION_GAL]])</f>
        <v>0</v>
      </c>
      <c r="X4093" t="str">
        <f>IFERROR(INDEX(Crosswalk_API!$H$2:$H$527, MATCH(POTABLE_NONPOTABLE_API[[#This Row],[PWSID]], CW_PWSID_LIST, 0)), "")</f>
        <v>No</v>
      </c>
    </row>
    <row r="4094" spans="1:24" x14ac:dyDescent="0.25">
      <c r="A4094" t="s">
        <v>1950</v>
      </c>
      <c r="B4094" t="s">
        <v>1951</v>
      </c>
      <c r="C4094" t="s">
        <v>1952</v>
      </c>
      <c r="D4094" t="s">
        <v>1953</v>
      </c>
      <c r="E4094" s="9">
        <v>45108</v>
      </c>
      <c r="F4094" s="9">
        <v>45138</v>
      </c>
      <c r="G4094">
        <v>121016000</v>
      </c>
      <c r="H4094">
        <v>32540000</v>
      </c>
      <c r="I4094">
        <v>40140000</v>
      </c>
      <c r="J4094">
        <v>34390000</v>
      </c>
      <c r="K4094">
        <v>0</v>
      </c>
      <c r="L4094">
        <v>40000</v>
      </c>
      <c r="M4094">
        <v>0</v>
      </c>
      <c r="T4094" s="9">
        <v>45108</v>
      </c>
      <c r="U4094" s="9">
        <v>45473</v>
      </c>
      <c r="V4094">
        <f>SUM(POTABLE_NONPOTABLE_API[[#This Row],[RESIDENTIAL_SINGLEFAMILY_GAL]:[OTHER_GAL]])</f>
        <v>228126000</v>
      </c>
      <c r="W4094">
        <f>SUM(POTABLE_NONPOTABLE_API[[#This Row],[NONPOTABLE_DEMAND_RESIDENTIAL_RECYCLED_WATER_GAL]:[NONPOTABLE_DEMAND_NONRESIDENTIAL_METERED_IRRIGATION_GAL]])</f>
        <v>0</v>
      </c>
      <c r="X4094" t="str">
        <f>IFERROR(INDEX(Crosswalk_API!$H$2:$H$527, MATCH(POTABLE_NONPOTABLE_API[[#This Row],[PWSID]], CW_PWSID_LIST, 0)), "")</f>
        <v>No</v>
      </c>
    </row>
    <row r="4095" spans="1:24" x14ac:dyDescent="0.25">
      <c r="A4095" t="s">
        <v>1950</v>
      </c>
      <c r="B4095" t="s">
        <v>1951</v>
      </c>
      <c r="C4095" t="s">
        <v>1952</v>
      </c>
      <c r="D4095" t="s">
        <v>1953</v>
      </c>
      <c r="E4095" s="9">
        <v>45139</v>
      </c>
      <c r="F4095" s="9">
        <v>45169</v>
      </c>
      <c r="G4095">
        <v>144940000</v>
      </c>
      <c r="H4095">
        <v>35320000</v>
      </c>
      <c r="I4095">
        <v>47320000</v>
      </c>
      <c r="J4095">
        <v>48170000</v>
      </c>
      <c r="K4095">
        <v>0</v>
      </c>
      <c r="L4095">
        <v>1800000</v>
      </c>
      <c r="M4095">
        <v>0</v>
      </c>
      <c r="T4095" s="9">
        <v>45108</v>
      </c>
      <c r="U4095" s="9">
        <v>45473</v>
      </c>
      <c r="V4095">
        <f>SUM(POTABLE_NONPOTABLE_API[[#This Row],[RESIDENTIAL_SINGLEFAMILY_GAL]:[OTHER_GAL]])</f>
        <v>277550000</v>
      </c>
      <c r="W4095">
        <f>SUM(POTABLE_NONPOTABLE_API[[#This Row],[NONPOTABLE_DEMAND_RESIDENTIAL_RECYCLED_WATER_GAL]:[NONPOTABLE_DEMAND_NONRESIDENTIAL_METERED_IRRIGATION_GAL]])</f>
        <v>0</v>
      </c>
      <c r="X4095" t="str">
        <f>IFERROR(INDEX(Crosswalk_API!$H$2:$H$527, MATCH(POTABLE_NONPOTABLE_API[[#This Row],[PWSID]], CW_PWSID_LIST, 0)), "")</f>
        <v>No</v>
      </c>
    </row>
    <row r="4096" spans="1:24" x14ac:dyDescent="0.25">
      <c r="A4096" t="s">
        <v>1950</v>
      </c>
      <c r="B4096" t="s">
        <v>1951</v>
      </c>
      <c r="C4096" t="s">
        <v>1952</v>
      </c>
      <c r="D4096" t="s">
        <v>1953</v>
      </c>
      <c r="E4096" s="9">
        <v>45170</v>
      </c>
      <c r="F4096" s="9">
        <v>45199</v>
      </c>
      <c r="G4096">
        <v>131410000</v>
      </c>
      <c r="H4096">
        <v>33170000</v>
      </c>
      <c r="I4096">
        <v>42807000</v>
      </c>
      <c r="J4096">
        <v>43215000</v>
      </c>
      <c r="K4096">
        <v>0</v>
      </c>
      <c r="L4096">
        <v>260000</v>
      </c>
      <c r="M4096">
        <v>0</v>
      </c>
      <c r="T4096" s="9">
        <v>45108</v>
      </c>
      <c r="U4096" s="9">
        <v>45473</v>
      </c>
      <c r="V4096">
        <f>SUM(POTABLE_NONPOTABLE_API[[#This Row],[RESIDENTIAL_SINGLEFAMILY_GAL]:[OTHER_GAL]])</f>
        <v>250862000</v>
      </c>
      <c r="W4096">
        <f>SUM(POTABLE_NONPOTABLE_API[[#This Row],[NONPOTABLE_DEMAND_RESIDENTIAL_RECYCLED_WATER_GAL]:[NONPOTABLE_DEMAND_NONRESIDENTIAL_METERED_IRRIGATION_GAL]])</f>
        <v>0</v>
      </c>
      <c r="X4096" t="str">
        <f>IFERROR(INDEX(Crosswalk_API!$H$2:$H$527, MATCH(POTABLE_NONPOTABLE_API[[#This Row],[PWSID]], CW_PWSID_LIST, 0)), "")</f>
        <v>No</v>
      </c>
    </row>
    <row r="4097" spans="1:24" x14ac:dyDescent="0.25">
      <c r="A4097" t="s">
        <v>1950</v>
      </c>
      <c r="B4097" t="s">
        <v>1951</v>
      </c>
      <c r="C4097" t="s">
        <v>1952</v>
      </c>
      <c r="D4097" t="s">
        <v>1953</v>
      </c>
      <c r="E4097" s="9">
        <v>45200</v>
      </c>
      <c r="F4097" s="9">
        <v>45230</v>
      </c>
      <c r="G4097">
        <v>124100000</v>
      </c>
      <c r="H4097">
        <v>34110000</v>
      </c>
      <c r="I4097">
        <v>45300000</v>
      </c>
      <c r="J4097">
        <v>36400000</v>
      </c>
      <c r="K4097">
        <v>0</v>
      </c>
      <c r="L4097">
        <v>260000</v>
      </c>
      <c r="M4097">
        <v>0</v>
      </c>
      <c r="T4097" s="9">
        <v>45108</v>
      </c>
      <c r="U4097" s="9">
        <v>45473</v>
      </c>
      <c r="V4097">
        <f>SUM(POTABLE_NONPOTABLE_API[[#This Row],[RESIDENTIAL_SINGLEFAMILY_GAL]:[OTHER_GAL]])</f>
        <v>240170000</v>
      </c>
      <c r="W4097">
        <f>SUM(POTABLE_NONPOTABLE_API[[#This Row],[NONPOTABLE_DEMAND_RESIDENTIAL_RECYCLED_WATER_GAL]:[NONPOTABLE_DEMAND_NONRESIDENTIAL_METERED_IRRIGATION_GAL]])</f>
        <v>0</v>
      </c>
      <c r="X4097" t="str">
        <f>IFERROR(INDEX(Crosswalk_API!$H$2:$H$527, MATCH(POTABLE_NONPOTABLE_API[[#This Row],[PWSID]], CW_PWSID_LIST, 0)), "")</f>
        <v>No</v>
      </c>
    </row>
    <row r="4098" spans="1:24" x14ac:dyDescent="0.25">
      <c r="A4098" t="s">
        <v>1950</v>
      </c>
      <c r="B4098" t="s">
        <v>1951</v>
      </c>
      <c r="C4098" t="s">
        <v>1952</v>
      </c>
      <c r="D4098" t="s">
        <v>1953</v>
      </c>
      <c r="E4098" s="9">
        <v>45231</v>
      </c>
      <c r="F4098" s="9">
        <v>45260</v>
      </c>
      <c r="G4098">
        <v>114950000</v>
      </c>
      <c r="H4098">
        <v>32220000</v>
      </c>
      <c r="I4098">
        <v>41700000</v>
      </c>
      <c r="J4098">
        <v>29430000</v>
      </c>
      <c r="K4098">
        <v>0</v>
      </c>
      <c r="L4098">
        <v>0</v>
      </c>
      <c r="M4098">
        <v>0</v>
      </c>
      <c r="T4098" s="9">
        <v>45108</v>
      </c>
      <c r="U4098" s="9">
        <v>45473</v>
      </c>
      <c r="V4098">
        <f>SUM(POTABLE_NONPOTABLE_API[[#This Row],[RESIDENTIAL_SINGLEFAMILY_GAL]:[OTHER_GAL]])</f>
        <v>218300000</v>
      </c>
      <c r="W4098">
        <f>SUM(POTABLE_NONPOTABLE_API[[#This Row],[NONPOTABLE_DEMAND_RESIDENTIAL_RECYCLED_WATER_GAL]:[NONPOTABLE_DEMAND_NONRESIDENTIAL_METERED_IRRIGATION_GAL]])</f>
        <v>0</v>
      </c>
      <c r="X4098" t="str">
        <f>IFERROR(INDEX(Crosswalk_API!$H$2:$H$527, MATCH(POTABLE_NONPOTABLE_API[[#This Row],[PWSID]], CW_PWSID_LIST, 0)), "")</f>
        <v>No</v>
      </c>
    </row>
    <row r="4099" spans="1:24" x14ac:dyDescent="0.25">
      <c r="A4099" t="s">
        <v>1950</v>
      </c>
      <c r="B4099" t="s">
        <v>1951</v>
      </c>
      <c r="C4099" t="s">
        <v>1952</v>
      </c>
      <c r="D4099" t="s">
        <v>1953</v>
      </c>
      <c r="E4099" s="9">
        <v>45261</v>
      </c>
      <c r="F4099" s="9">
        <v>45291</v>
      </c>
      <c r="G4099">
        <v>98350000</v>
      </c>
      <c r="H4099">
        <v>28440000</v>
      </c>
      <c r="I4099">
        <v>35080000</v>
      </c>
      <c r="J4099">
        <v>15110000</v>
      </c>
      <c r="K4099">
        <v>0</v>
      </c>
      <c r="L4099">
        <v>0</v>
      </c>
      <c r="M4099">
        <v>0</v>
      </c>
      <c r="T4099" s="9">
        <v>45108</v>
      </c>
      <c r="U4099" s="9">
        <v>45473</v>
      </c>
      <c r="V4099">
        <f>SUM(POTABLE_NONPOTABLE_API[[#This Row],[RESIDENTIAL_SINGLEFAMILY_GAL]:[OTHER_GAL]])</f>
        <v>176980000</v>
      </c>
      <c r="W4099">
        <f>SUM(POTABLE_NONPOTABLE_API[[#This Row],[NONPOTABLE_DEMAND_RESIDENTIAL_RECYCLED_WATER_GAL]:[NONPOTABLE_DEMAND_NONRESIDENTIAL_METERED_IRRIGATION_GAL]])</f>
        <v>0</v>
      </c>
      <c r="X4099" t="str">
        <f>IFERROR(INDEX(Crosswalk_API!$H$2:$H$527, MATCH(POTABLE_NONPOTABLE_API[[#This Row],[PWSID]], CW_PWSID_LIST, 0)), "")</f>
        <v>No</v>
      </c>
    </row>
    <row r="4100" spans="1:24" x14ac:dyDescent="0.25">
      <c r="A4100" t="s">
        <v>1950</v>
      </c>
      <c r="B4100" t="s">
        <v>1951</v>
      </c>
      <c r="C4100" t="s">
        <v>1952</v>
      </c>
      <c r="D4100" t="s">
        <v>1953</v>
      </c>
      <c r="E4100" s="9">
        <v>45292</v>
      </c>
      <c r="F4100" s="9">
        <v>45322</v>
      </c>
      <c r="G4100">
        <v>95850000</v>
      </c>
      <c r="H4100">
        <v>28510000</v>
      </c>
      <c r="I4100">
        <v>33950000</v>
      </c>
      <c r="J4100">
        <v>6600000</v>
      </c>
      <c r="K4100">
        <v>0</v>
      </c>
      <c r="L4100">
        <v>330000</v>
      </c>
      <c r="M4100">
        <v>0</v>
      </c>
      <c r="T4100" s="9">
        <v>45108</v>
      </c>
      <c r="U4100" s="9">
        <v>45473</v>
      </c>
      <c r="V4100">
        <f>SUM(POTABLE_NONPOTABLE_API[[#This Row],[RESIDENTIAL_SINGLEFAMILY_GAL]:[OTHER_GAL]])</f>
        <v>165240000</v>
      </c>
      <c r="W4100">
        <f>SUM(POTABLE_NONPOTABLE_API[[#This Row],[NONPOTABLE_DEMAND_RESIDENTIAL_RECYCLED_WATER_GAL]:[NONPOTABLE_DEMAND_NONRESIDENTIAL_METERED_IRRIGATION_GAL]])</f>
        <v>0</v>
      </c>
      <c r="X4100" t="str">
        <f>IFERROR(INDEX(Crosswalk_API!$H$2:$H$527, MATCH(POTABLE_NONPOTABLE_API[[#This Row],[PWSID]], CW_PWSID_LIST, 0)), "")</f>
        <v>No</v>
      </c>
    </row>
    <row r="4101" spans="1:24" x14ac:dyDescent="0.25">
      <c r="A4101" t="s">
        <v>1950</v>
      </c>
      <c r="B4101" t="s">
        <v>1951</v>
      </c>
      <c r="C4101" t="s">
        <v>1952</v>
      </c>
      <c r="D4101" t="s">
        <v>1953</v>
      </c>
      <c r="E4101" s="9">
        <v>45323</v>
      </c>
      <c r="F4101" s="9">
        <v>45351</v>
      </c>
      <c r="G4101">
        <v>86980000</v>
      </c>
      <c r="H4101">
        <v>25110000</v>
      </c>
      <c r="I4101">
        <v>25120000</v>
      </c>
      <c r="J4101">
        <v>4350000</v>
      </c>
      <c r="K4101">
        <v>0</v>
      </c>
      <c r="L4101">
        <v>300000</v>
      </c>
      <c r="M4101">
        <v>0</v>
      </c>
      <c r="T4101" s="9">
        <v>45108</v>
      </c>
      <c r="U4101" s="9">
        <v>45473</v>
      </c>
      <c r="V4101">
        <f>SUM(POTABLE_NONPOTABLE_API[[#This Row],[RESIDENTIAL_SINGLEFAMILY_GAL]:[OTHER_GAL]])</f>
        <v>141860000</v>
      </c>
      <c r="W4101">
        <f>SUM(POTABLE_NONPOTABLE_API[[#This Row],[NONPOTABLE_DEMAND_RESIDENTIAL_RECYCLED_WATER_GAL]:[NONPOTABLE_DEMAND_NONRESIDENTIAL_METERED_IRRIGATION_GAL]])</f>
        <v>0</v>
      </c>
      <c r="X4101" t="str">
        <f>IFERROR(INDEX(Crosswalk_API!$H$2:$H$527, MATCH(POTABLE_NONPOTABLE_API[[#This Row],[PWSID]], CW_PWSID_LIST, 0)), "")</f>
        <v>No</v>
      </c>
    </row>
    <row r="4102" spans="1:24" x14ac:dyDescent="0.25">
      <c r="A4102" t="s">
        <v>1950</v>
      </c>
      <c r="B4102" t="s">
        <v>1951</v>
      </c>
      <c r="C4102" t="s">
        <v>1952</v>
      </c>
      <c r="D4102" t="s">
        <v>1953</v>
      </c>
      <c r="E4102" s="9">
        <v>45352</v>
      </c>
      <c r="F4102" s="9">
        <v>45382</v>
      </c>
      <c r="G4102">
        <v>83105600</v>
      </c>
      <c r="H4102">
        <v>28648100</v>
      </c>
      <c r="I4102">
        <v>40409000</v>
      </c>
      <c r="J4102">
        <v>3696100</v>
      </c>
      <c r="K4102">
        <v>0</v>
      </c>
      <c r="L4102">
        <v>112400</v>
      </c>
      <c r="M4102">
        <v>0</v>
      </c>
      <c r="T4102" s="9">
        <v>45108</v>
      </c>
      <c r="U4102" s="9">
        <v>45473</v>
      </c>
      <c r="V4102">
        <f>SUM(POTABLE_NONPOTABLE_API[[#This Row],[RESIDENTIAL_SINGLEFAMILY_GAL]:[OTHER_GAL]])</f>
        <v>155971200</v>
      </c>
      <c r="W4102">
        <f>SUM(POTABLE_NONPOTABLE_API[[#This Row],[NONPOTABLE_DEMAND_RESIDENTIAL_RECYCLED_WATER_GAL]:[NONPOTABLE_DEMAND_NONRESIDENTIAL_METERED_IRRIGATION_GAL]])</f>
        <v>0</v>
      </c>
      <c r="X4102" t="str">
        <f>IFERROR(INDEX(Crosswalk_API!$H$2:$H$527, MATCH(POTABLE_NONPOTABLE_API[[#This Row],[PWSID]], CW_PWSID_LIST, 0)), "")</f>
        <v>No</v>
      </c>
    </row>
    <row r="4103" spans="1:24" x14ac:dyDescent="0.25">
      <c r="A4103" t="s">
        <v>1950</v>
      </c>
      <c r="B4103" t="s">
        <v>1951</v>
      </c>
      <c r="C4103" t="s">
        <v>1952</v>
      </c>
      <c r="D4103" t="s">
        <v>1953</v>
      </c>
      <c r="E4103" s="9">
        <v>45383</v>
      </c>
      <c r="F4103" s="9">
        <v>45412</v>
      </c>
      <c r="G4103">
        <v>85836700</v>
      </c>
      <c r="H4103">
        <v>25315600</v>
      </c>
      <c r="I4103">
        <v>24876500</v>
      </c>
      <c r="J4103">
        <v>6326300</v>
      </c>
      <c r="K4103">
        <v>0</v>
      </c>
      <c r="L4103">
        <v>112400</v>
      </c>
      <c r="M4103">
        <v>0</v>
      </c>
      <c r="T4103" s="9">
        <v>45108</v>
      </c>
      <c r="U4103" s="9">
        <v>45473</v>
      </c>
      <c r="V4103">
        <f>SUM(POTABLE_NONPOTABLE_API[[#This Row],[RESIDENTIAL_SINGLEFAMILY_GAL]:[OTHER_GAL]])</f>
        <v>142467500</v>
      </c>
      <c r="W4103">
        <f>SUM(POTABLE_NONPOTABLE_API[[#This Row],[NONPOTABLE_DEMAND_RESIDENTIAL_RECYCLED_WATER_GAL]:[NONPOTABLE_DEMAND_NONRESIDENTIAL_METERED_IRRIGATION_GAL]])</f>
        <v>0</v>
      </c>
      <c r="X4103" t="str">
        <f>IFERROR(INDEX(Crosswalk_API!$H$2:$H$527, MATCH(POTABLE_NONPOTABLE_API[[#This Row],[PWSID]], CW_PWSID_LIST, 0)), "")</f>
        <v>No</v>
      </c>
    </row>
    <row r="4104" spans="1:24" x14ac:dyDescent="0.25">
      <c r="A4104" t="s">
        <v>1950</v>
      </c>
      <c r="B4104" t="s">
        <v>1951</v>
      </c>
      <c r="C4104" t="s">
        <v>1952</v>
      </c>
      <c r="D4104" t="s">
        <v>1953</v>
      </c>
      <c r="E4104" s="9">
        <v>45413</v>
      </c>
      <c r="F4104" s="9">
        <v>45443</v>
      </c>
      <c r="G4104">
        <v>102311110</v>
      </c>
      <c r="H4104">
        <v>29530800</v>
      </c>
      <c r="I4104">
        <v>21781000</v>
      </c>
      <c r="J4104">
        <v>18500800</v>
      </c>
      <c r="K4104">
        <v>0</v>
      </c>
      <c r="L4104">
        <v>849500</v>
      </c>
      <c r="M4104">
        <v>0</v>
      </c>
      <c r="T4104" s="9">
        <v>45108</v>
      </c>
      <c r="U4104" s="9">
        <v>45473</v>
      </c>
      <c r="V4104">
        <f>SUM(POTABLE_NONPOTABLE_API[[#This Row],[RESIDENTIAL_SINGLEFAMILY_GAL]:[OTHER_GAL]])</f>
        <v>172973210</v>
      </c>
      <c r="W4104">
        <f>SUM(POTABLE_NONPOTABLE_API[[#This Row],[NONPOTABLE_DEMAND_RESIDENTIAL_RECYCLED_WATER_GAL]:[NONPOTABLE_DEMAND_NONRESIDENTIAL_METERED_IRRIGATION_GAL]])</f>
        <v>0</v>
      </c>
      <c r="X4104" t="str">
        <f>IFERROR(INDEX(Crosswalk_API!$H$2:$H$527, MATCH(POTABLE_NONPOTABLE_API[[#This Row],[PWSID]], CW_PWSID_LIST, 0)), "")</f>
        <v>No</v>
      </c>
    </row>
    <row r="4105" spans="1:24" x14ac:dyDescent="0.25">
      <c r="A4105" t="s">
        <v>1950</v>
      </c>
      <c r="B4105" t="s">
        <v>1951</v>
      </c>
      <c r="C4105" t="s">
        <v>1952</v>
      </c>
      <c r="D4105" t="s">
        <v>1953</v>
      </c>
      <c r="E4105" s="9">
        <v>45444</v>
      </c>
      <c r="F4105" s="9">
        <v>45473</v>
      </c>
      <c r="G4105">
        <v>119529000</v>
      </c>
      <c r="H4105">
        <v>30021600</v>
      </c>
      <c r="I4105">
        <v>32387700.000000004</v>
      </c>
      <c r="J4105">
        <v>27743000</v>
      </c>
      <c r="K4105">
        <v>0</v>
      </c>
      <c r="L4105">
        <v>131100</v>
      </c>
      <c r="M4105">
        <v>0</v>
      </c>
      <c r="T4105" s="9">
        <v>45108</v>
      </c>
      <c r="U4105" s="9">
        <v>45473</v>
      </c>
      <c r="V4105">
        <f>SUM(POTABLE_NONPOTABLE_API[[#This Row],[RESIDENTIAL_SINGLEFAMILY_GAL]:[OTHER_GAL]])</f>
        <v>209812400</v>
      </c>
      <c r="W4105">
        <f>SUM(POTABLE_NONPOTABLE_API[[#This Row],[NONPOTABLE_DEMAND_RESIDENTIAL_RECYCLED_WATER_GAL]:[NONPOTABLE_DEMAND_NONRESIDENTIAL_METERED_IRRIGATION_GAL]])</f>
        <v>0</v>
      </c>
      <c r="X4105" t="str">
        <f>IFERROR(INDEX(Crosswalk_API!$H$2:$H$527, MATCH(POTABLE_NONPOTABLE_API[[#This Row],[PWSID]], CW_PWSID_LIST, 0)), "")</f>
        <v>No</v>
      </c>
    </row>
    <row r="4106" spans="1:24" x14ac:dyDescent="0.25">
      <c r="A4106" t="s">
        <v>1954</v>
      </c>
      <c r="B4106" t="s">
        <v>1955</v>
      </c>
      <c r="C4106" t="s">
        <v>1956</v>
      </c>
      <c r="D4106" t="s">
        <v>1957</v>
      </c>
      <c r="E4106" s="9">
        <v>45108</v>
      </c>
      <c r="F4106" s="9">
        <v>45138</v>
      </c>
      <c r="G4106">
        <v>135707000</v>
      </c>
      <c r="H4106">
        <v>17307000</v>
      </c>
      <c r="I4106">
        <v>50762300</v>
      </c>
      <c r="J4106">
        <v>9455300</v>
      </c>
      <c r="K4106">
        <v>0</v>
      </c>
      <c r="L4106">
        <v>50100</v>
      </c>
      <c r="M4106">
        <v>12048800</v>
      </c>
      <c r="T4106" s="9">
        <v>45108</v>
      </c>
      <c r="U4106" s="9">
        <v>45473</v>
      </c>
      <c r="V4106">
        <f>SUM(POTABLE_NONPOTABLE_API[[#This Row],[RESIDENTIAL_SINGLEFAMILY_GAL]:[OTHER_GAL]])</f>
        <v>213281700</v>
      </c>
      <c r="W4106">
        <f>SUM(POTABLE_NONPOTABLE_API[[#This Row],[NONPOTABLE_DEMAND_RESIDENTIAL_RECYCLED_WATER_GAL]:[NONPOTABLE_DEMAND_NONRESIDENTIAL_METERED_IRRIGATION_GAL]])</f>
        <v>0</v>
      </c>
      <c r="X4106" t="str">
        <f>IFERROR(INDEX(Crosswalk_API!$H$2:$H$527, MATCH(POTABLE_NONPOTABLE_API[[#This Row],[PWSID]], CW_PWSID_LIST, 0)), "")</f>
        <v>No</v>
      </c>
    </row>
    <row r="4107" spans="1:24" x14ac:dyDescent="0.25">
      <c r="A4107" t="s">
        <v>1954</v>
      </c>
      <c r="B4107" t="s">
        <v>1955</v>
      </c>
      <c r="C4107" t="s">
        <v>1956</v>
      </c>
      <c r="D4107" t="s">
        <v>1957</v>
      </c>
      <c r="E4107" s="9">
        <v>45139</v>
      </c>
      <c r="F4107" s="9">
        <v>45169</v>
      </c>
      <c r="G4107">
        <v>133705099.99999999</v>
      </c>
      <c r="H4107">
        <v>17591400</v>
      </c>
      <c r="I4107">
        <v>51678300</v>
      </c>
      <c r="J4107">
        <v>9301700</v>
      </c>
      <c r="K4107">
        <v>0</v>
      </c>
      <c r="L4107">
        <v>82900</v>
      </c>
      <c r="M4107">
        <v>10296900</v>
      </c>
      <c r="T4107" s="9">
        <v>45108</v>
      </c>
      <c r="U4107" s="9">
        <v>45473</v>
      </c>
      <c r="V4107">
        <f>SUM(POTABLE_NONPOTABLE_API[[#This Row],[RESIDENTIAL_SINGLEFAMILY_GAL]:[OTHER_GAL]])</f>
        <v>212359400</v>
      </c>
      <c r="W4107">
        <f>SUM(POTABLE_NONPOTABLE_API[[#This Row],[NONPOTABLE_DEMAND_RESIDENTIAL_RECYCLED_WATER_GAL]:[NONPOTABLE_DEMAND_NONRESIDENTIAL_METERED_IRRIGATION_GAL]])</f>
        <v>0</v>
      </c>
      <c r="X4107" t="str">
        <f>IFERROR(INDEX(Crosswalk_API!$H$2:$H$527, MATCH(POTABLE_NONPOTABLE_API[[#This Row],[PWSID]], CW_PWSID_LIST, 0)), "")</f>
        <v>No</v>
      </c>
    </row>
    <row r="4108" spans="1:24" x14ac:dyDescent="0.25">
      <c r="A4108" t="s">
        <v>1954</v>
      </c>
      <c r="B4108" t="s">
        <v>1955</v>
      </c>
      <c r="C4108" t="s">
        <v>1956</v>
      </c>
      <c r="D4108" t="s">
        <v>1957</v>
      </c>
      <c r="E4108" s="9">
        <v>45170</v>
      </c>
      <c r="F4108" s="9">
        <v>45199</v>
      </c>
      <c r="G4108">
        <v>112477500</v>
      </c>
      <c r="H4108">
        <v>15304700</v>
      </c>
      <c r="I4108">
        <v>42569000</v>
      </c>
      <c r="J4108">
        <v>7660100</v>
      </c>
      <c r="K4108">
        <v>0</v>
      </c>
      <c r="L4108">
        <v>96900</v>
      </c>
      <c r="M4108">
        <v>8131600.0000000009</v>
      </c>
      <c r="T4108" s="9">
        <v>45108</v>
      </c>
      <c r="U4108" s="9">
        <v>45473</v>
      </c>
      <c r="V4108">
        <f>SUM(POTABLE_NONPOTABLE_API[[#This Row],[RESIDENTIAL_SINGLEFAMILY_GAL]:[OTHER_GAL]])</f>
        <v>178108200</v>
      </c>
      <c r="W4108">
        <f>SUM(POTABLE_NONPOTABLE_API[[#This Row],[NONPOTABLE_DEMAND_RESIDENTIAL_RECYCLED_WATER_GAL]:[NONPOTABLE_DEMAND_NONRESIDENTIAL_METERED_IRRIGATION_GAL]])</f>
        <v>0</v>
      </c>
      <c r="X4108" t="str">
        <f>IFERROR(INDEX(Crosswalk_API!$H$2:$H$527, MATCH(POTABLE_NONPOTABLE_API[[#This Row],[PWSID]], CW_PWSID_LIST, 0)), "")</f>
        <v>No</v>
      </c>
    </row>
    <row r="4109" spans="1:24" x14ac:dyDescent="0.25">
      <c r="A4109" t="s">
        <v>1954</v>
      </c>
      <c r="B4109" t="s">
        <v>1955</v>
      </c>
      <c r="C4109" t="s">
        <v>1956</v>
      </c>
      <c r="D4109" t="s">
        <v>1957</v>
      </c>
      <c r="E4109" s="9">
        <v>45200</v>
      </c>
      <c r="F4109" s="9">
        <v>45230</v>
      </c>
      <c r="G4109">
        <v>89424100</v>
      </c>
      <c r="H4109">
        <v>13168000</v>
      </c>
      <c r="I4109">
        <v>35252200</v>
      </c>
      <c r="J4109">
        <v>5866800</v>
      </c>
      <c r="K4109">
        <v>0</v>
      </c>
      <c r="L4109">
        <v>81300</v>
      </c>
      <c r="M4109">
        <v>4513900</v>
      </c>
      <c r="T4109" s="9">
        <v>45108</v>
      </c>
      <c r="U4109" s="9">
        <v>45473</v>
      </c>
      <c r="V4109">
        <f>SUM(POTABLE_NONPOTABLE_API[[#This Row],[RESIDENTIAL_SINGLEFAMILY_GAL]:[OTHER_GAL]])</f>
        <v>143792400</v>
      </c>
      <c r="W4109">
        <f>SUM(POTABLE_NONPOTABLE_API[[#This Row],[NONPOTABLE_DEMAND_RESIDENTIAL_RECYCLED_WATER_GAL]:[NONPOTABLE_DEMAND_NONRESIDENTIAL_METERED_IRRIGATION_GAL]])</f>
        <v>0</v>
      </c>
      <c r="X4109" t="str">
        <f>IFERROR(INDEX(Crosswalk_API!$H$2:$H$527, MATCH(POTABLE_NONPOTABLE_API[[#This Row],[PWSID]], CW_PWSID_LIST, 0)), "")</f>
        <v>No</v>
      </c>
    </row>
    <row r="4110" spans="1:24" x14ac:dyDescent="0.25">
      <c r="A4110" t="s">
        <v>1954</v>
      </c>
      <c r="B4110" t="s">
        <v>1955</v>
      </c>
      <c r="C4110" t="s">
        <v>1956</v>
      </c>
      <c r="D4110" t="s">
        <v>1957</v>
      </c>
      <c r="E4110" s="9">
        <v>45231</v>
      </c>
      <c r="F4110" s="9">
        <v>45260</v>
      </c>
      <c r="G4110">
        <v>59378000</v>
      </c>
      <c r="H4110">
        <v>10712500</v>
      </c>
      <c r="I4110">
        <v>26039400</v>
      </c>
      <c r="J4110">
        <v>3623400</v>
      </c>
      <c r="K4110">
        <v>0</v>
      </c>
      <c r="L4110">
        <v>55400</v>
      </c>
      <c r="M4110">
        <v>1630400</v>
      </c>
      <c r="T4110" s="9">
        <v>45108</v>
      </c>
      <c r="U4110" s="9">
        <v>45473</v>
      </c>
      <c r="V4110">
        <f>SUM(POTABLE_NONPOTABLE_API[[#This Row],[RESIDENTIAL_SINGLEFAMILY_GAL]:[OTHER_GAL]])</f>
        <v>99808700</v>
      </c>
      <c r="W4110">
        <f>SUM(POTABLE_NONPOTABLE_API[[#This Row],[NONPOTABLE_DEMAND_RESIDENTIAL_RECYCLED_WATER_GAL]:[NONPOTABLE_DEMAND_NONRESIDENTIAL_METERED_IRRIGATION_GAL]])</f>
        <v>0</v>
      </c>
      <c r="X4110" t="str">
        <f>IFERROR(INDEX(Crosswalk_API!$H$2:$H$527, MATCH(POTABLE_NONPOTABLE_API[[#This Row],[PWSID]], CW_PWSID_LIST, 0)), "")</f>
        <v>No</v>
      </c>
    </row>
    <row r="4111" spans="1:24" x14ac:dyDescent="0.25">
      <c r="A4111" t="s">
        <v>1954</v>
      </c>
      <c r="B4111" t="s">
        <v>1955</v>
      </c>
      <c r="C4111" t="s">
        <v>1956</v>
      </c>
      <c r="D4111" t="s">
        <v>1957</v>
      </c>
      <c r="E4111" s="9">
        <v>45261</v>
      </c>
      <c r="F4111" s="9">
        <v>45291</v>
      </c>
      <c r="G4111">
        <v>46116400</v>
      </c>
      <c r="H4111">
        <v>9886900</v>
      </c>
      <c r="I4111">
        <v>21227700</v>
      </c>
      <c r="J4111">
        <v>2187000</v>
      </c>
      <c r="K4111">
        <v>0</v>
      </c>
      <c r="L4111">
        <v>65600</v>
      </c>
      <c r="M4111">
        <v>774000</v>
      </c>
      <c r="T4111" s="9">
        <v>45108</v>
      </c>
      <c r="U4111" s="9">
        <v>45473</v>
      </c>
      <c r="V4111">
        <f>SUM(POTABLE_NONPOTABLE_API[[#This Row],[RESIDENTIAL_SINGLEFAMILY_GAL]:[OTHER_GAL]])</f>
        <v>79483600</v>
      </c>
      <c r="W4111">
        <f>SUM(POTABLE_NONPOTABLE_API[[#This Row],[NONPOTABLE_DEMAND_RESIDENTIAL_RECYCLED_WATER_GAL]:[NONPOTABLE_DEMAND_NONRESIDENTIAL_METERED_IRRIGATION_GAL]])</f>
        <v>0</v>
      </c>
      <c r="X4111" t="str">
        <f>IFERROR(INDEX(Crosswalk_API!$H$2:$H$527, MATCH(POTABLE_NONPOTABLE_API[[#This Row],[PWSID]], CW_PWSID_LIST, 0)), "")</f>
        <v>No</v>
      </c>
    </row>
    <row r="4112" spans="1:24" x14ac:dyDescent="0.25">
      <c r="A4112" t="s">
        <v>1954</v>
      </c>
      <c r="B4112" t="s">
        <v>1955</v>
      </c>
      <c r="C4112" t="s">
        <v>1956</v>
      </c>
      <c r="D4112" t="s">
        <v>1957</v>
      </c>
      <c r="E4112" s="9">
        <v>45292</v>
      </c>
      <c r="F4112" s="9">
        <v>45322</v>
      </c>
      <c r="G4112">
        <v>38270200</v>
      </c>
      <c r="H4112">
        <v>9703700</v>
      </c>
      <c r="I4112">
        <v>18355100</v>
      </c>
      <c r="J4112">
        <v>1494000</v>
      </c>
      <c r="K4112">
        <v>0</v>
      </c>
      <c r="L4112">
        <v>66200</v>
      </c>
      <c r="M4112">
        <v>0</v>
      </c>
      <c r="T4112" s="9">
        <v>45108</v>
      </c>
      <c r="U4112" s="9">
        <v>45473</v>
      </c>
      <c r="V4112">
        <f>SUM(POTABLE_NONPOTABLE_API[[#This Row],[RESIDENTIAL_SINGLEFAMILY_GAL]:[OTHER_GAL]])</f>
        <v>67889200</v>
      </c>
      <c r="W4112">
        <f>SUM(POTABLE_NONPOTABLE_API[[#This Row],[NONPOTABLE_DEMAND_RESIDENTIAL_RECYCLED_WATER_GAL]:[NONPOTABLE_DEMAND_NONRESIDENTIAL_METERED_IRRIGATION_GAL]])</f>
        <v>0</v>
      </c>
      <c r="X4112" t="str">
        <f>IFERROR(INDEX(Crosswalk_API!$H$2:$H$527, MATCH(POTABLE_NONPOTABLE_API[[#This Row],[PWSID]], CW_PWSID_LIST, 0)), "")</f>
        <v>No</v>
      </c>
    </row>
    <row r="4113" spans="1:24" x14ac:dyDescent="0.25">
      <c r="A4113" t="s">
        <v>1954</v>
      </c>
      <c r="B4113" t="s">
        <v>1955</v>
      </c>
      <c r="C4113" t="s">
        <v>1956</v>
      </c>
      <c r="D4113" t="s">
        <v>1957</v>
      </c>
      <c r="E4113" s="9">
        <v>45323</v>
      </c>
      <c r="F4113" s="9">
        <v>45351</v>
      </c>
      <c r="G4113">
        <v>34465600</v>
      </c>
      <c r="H4113">
        <v>8666200</v>
      </c>
      <c r="I4113">
        <v>17689800</v>
      </c>
      <c r="J4113">
        <v>1272300</v>
      </c>
      <c r="K4113">
        <v>0</v>
      </c>
      <c r="L4113">
        <v>62100</v>
      </c>
      <c r="M4113">
        <v>0</v>
      </c>
      <c r="T4113" s="9">
        <v>45108</v>
      </c>
      <c r="U4113" s="9">
        <v>45473</v>
      </c>
      <c r="V4113">
        <f>SUM(POTABLE_NONPOTABLE_API[[#This Row],[RESIDENTIAL_SINGLEFAMILY_GAL]:[OTHER_GAL]])</f>
        <v>62156000</v>
      </c>
      <c r="W4113">
        <f>SUM(POTABLE_NONPOTABLE_API[[#This Row],[NONPOTABLE_DEMAND_RESIDENTIAL_RECYCLED_WATER_GAL]:[NONPOTABLE_DEMAND_NONRESIDENTIAL_METERED_IRRIGATION_GAL]])</f>
        <v>0</v>
      </c>
      <c r="X4113" t="str">
        <f>IFERROR(INDEX(Crosswalk_API!$H$2:$H$527, MATCH(POTABLE_NONPOTABLE_API[[#This Row],[PWSID]], CW_PWSID_LIST, 0)), "")</f>
        <v>No</v>
      </c>
    </row>
    <row r="4114" spans="1:24" x14ac:dyDescent="0.25">
      <c r="A4114" t="s">
        <v>1954</v>
      </c>
      <c r="B4114" t="s">
        <v>1955</v>
      </c>
      <c r="C4114" t="s">
        <v>1956</v>
      </c>
      <c r="D4114" t="s">
        <v>1957</v>
      </c>
      <c r="E4114" s="9">
        <v>45352</v>
      </c>
      <c r="F4114" s="9">
        <v>45382</v>
      </c>
      <c r="G4114">
        <v>40149200</v>
      </c>
      <c r="H4114">
        <v>9237700</v>
      </c>
      <c r="I4114">
        <v>19416300</v>
      </c>
      <c r="J4114">
        <v>1736100</v>
      </c>
      <c r="K4114">
        <v>0</v>
      </c>
      <c r="L4114">
        <v>28900</v>
      </c>
      <c r="M4114">
        <v>0</v>
      </c>
      <c r="T4114" s="9">
        <v>45108</v>
      </c>
      <c r="U4114" s="9">
        <v>45473</v>
      </c>
      <c r="V4114">
        <f>SUM(POTABLE_NONPOTABLE_API[[#This Row],[RESIDENTIAL_SINGLEFAMILY_GAL]:[OTHER_GAL]])</f>
        <v>70568200</v>
      </c>
      <c r="W4114">
        <f>SUM(POTABLE_NONPOTABLE_API[[#This Row],[NONPOTABLE_DEMAND_RESIDENTIAL_RECYCLED_WATER_GAL]:[NONPOTABLE_DEMAND_NONRESIDENTIAL_METERED_IRRIGATION_GAL]])</f>
        <v>0</v>
      </c>
      <c r="X4114" t="str">
        <f>IFERROR(INDEX(Crosswalk_API!$H$2:$H$527, MATCH(POTABLE_NONPOTABLE_API[[#This Row],[PWSID]], CW_PWSID_LIST, 0)), "")</f>
        <v>No</v>
      </c>
    </row>
    <row r="4115" spans="1:24" x14ac:dyDescent="0.25">
      <c r="A4115" t="s">
        <v>1954</v>
      </c>
      <c r="B4115" t="s">
        <v>1955</v>
      </c>
      <c r="C4115" t="s">
        <v>1956</v>
      </c>
      <c r="D4115" t="s">
        <v>1957</v>
      </c>
      <c r="E4115" s="9">
        <v>45383</v>
      </c>
      <c r="F4115" s="9">
        <v>45412</v>
      </c>
      <c r="G4115">
        <v>54314200</v>
      </c>
      <c r="H4115">
        <v>9750600</v>
      </c>
      <c r="I4115">
        <v>21553000</v>
      </c>
      <c r="J4115">
        <v>2934900</v>
      </c>
      <c r="K4115">
        <v>0</v>
      </c>
      <c r="L4115">
        <v>6100</v>
      </c>
      <c r="M4115">
        <v>0</v>
      </c>
      <c r="T4115" s="9">
        <v>45108</v>
      </c>
      <c r="U4115" s="9">
        <v>45473</v>
      </c>
      <c r="V4115">
        <f>SUM(POTABLE_NONPOTABLE_API[[#This Row],[RESIDENTIAL_SINGLEFAMILY_GAL]:[OTHER_GAL]])</f>
        <v>88558800</v>
      </c>
      <c r="W4115">
        <f>SUM(POTABLE_NONPOTABLE_API[[#This Row],[NONPOTABLE_DEMAND_RESIDENTIAL_RECYCLED_WATER_GAL]:[NONPOTABLE_DEMAND_NONRESIDENTIAL_METERED_IRRIGATION_GAL]])</f>
        <v>0</v>
      </c>
      <c r="X4115" t="str">
        <f>IFERROR(INDEX(Crosswalk_API!$H$2:$H$527, MATCH(POTABLE_NONPOTABLE_API[[#This Row],[PWSID]], CW_PWSID_LIST, 0)), "")</f>
        <v>No</v>
      </c>
    </row>
    <row r="4116" spans="1:24" x14ac:dyDescent="0.25">
      <c r="A4116" t="s">
        <v>1954</v>
      </c>
      <c r="B4116" t="s">
        <v>1955</v>
      </c>
      <c r="C4116" t="s">
        <v>1956</v>
      </c>
      <c r="D4116" t="s">
        <v>1957</v>
      </c>
      <c r="E4116" s="9">
        <v>45413</v>
      </c>
      <c r="F4116" s="9">
        <v>45443</v>
      </c>
      <c r="G4116">
        <v>96762400</v>
      </c>
      <c r="H4116">
        <v>12804200</v>
      </c>
      <c r="I4116">
        <v>28560200</v>
      </c>
      <c r="J4116">
        <v>5431500</v>
      </c>
      <c r="K4116">
        <v>0</v>
      </c>
      <c r="L4116">
        <v>10900</v>
      </c>
      <c r="M4116">
        <v>0</v>
      </c>
      <c r="T4116" s="9">
        <v>45108</v>
      </c>
      <c r="U4116" s="9">
        <v>45473</v>
      </c>
      <c r="V4116">
        <f>SUM(POTABLE_NONPOTABLE_API[[#This Row],[RESIDENTIAL_SINGLEFAMILY_GAL]:[OTHER_GAL]])</f>
        <v>143569200</v>
      </c>
      <c r="W4116">
        <f>SUM(POTABLE_NONPOTABLE_API[[#This Row],[NONPOTABLE_DEMAND_RESIDENTIAL_RECYCLED_WATER_GAL]:[NONPOTABLE_DEMAND_NONRESIDENTIAL_METERED_IRRIGATION_GAL]])</f>
        <v>0</v>
      </c>
      <c r="X4116" t="str">
        <f>IFERROR(INDEX(Crosswalk_API!$H$2:$H$527, MATCH(POTABLE_NONPOTABLE_API[[#This Row],[PWSID]], CW_PWSID_LIST, 0)), "")</f>
        <v>No</v>
      </c>
    </row>
    <row r="4117" spans="1:24" x14ac:dyDescent="0.25">
      <c r="A4117" t="s">
        <v>1954</v>
      </c>
      <c r="B4117" t="s">
        <v>1955</v>
      </c>
      <c r="C4117" t="s">
        <v>1956</v>
      </c>
      <c r="D4117" t="s">
        <v>1957</v>
      </c>
      <c r="E4117" s="9">
        <v>45444</v>
      </c>
      <c r="F4117" s="9">
        <v>45473</v>
      </c>
      <c r="G4117">
        <v>131889299.99999999</v>
      </c>
      <c r="H4117">
        <v>15372100</v>
      </c>
      <c r="I4117">
        <v>34098000</v>
      </c>
      <c r="J4117">
        <v>7815100</v>
      </c>
      <c r="K4117">
        <v>0</v>
      </c>
      <c r="L4117">
        <v>13000</v>
      </c>
      <c r="M4117">
        <v>0</v>
      </c>
      <c r="T4117" s="9">
        <v>45108</v>
      </c>
      <c r="U4117" s="9">
        <v>45473</v>
      </c>
      <c r="V4117">
        <f>SUM(POTABLE_NONPOTABLE_API[[#This Row],[RESIDENTIAL_SINGLEFAMILY_GAL]:[OTHER_GAL]])</f>
        <v>189187500</v>
      </c>
      <c r="W4117">
        <f>SUM(POTABLE_NONPOTABLE_API[[#This Row],[NONPOTABLE_DEMAND_RESIDENTIAL_RECYCLED_WATER_GAL]:[NONPOTABLE_DEMAND_NONRESIDENTIAL_METERED_IRRIGATION_GAL]])</f>
        <v>0</v>
      </c>
      <c r="X4117" t="str">
        <f>IFERROR(INDEX(Crosswalk_API!$H$2:$H$527, MATCH(POTABLE_NONPOTABLE_API[[#This Row],[PWSID]], CW_PWSID_LIST, 0)), "")</f>
        <v>No</v>
      </c>
    </row>
    <row r="4118" spans="1:24" x14ac:dyDescent="0.25">
      <c r="A4118" t="s">
        <v>1954</v>
      </c>
      <c r="B4118" t="s">
        <v>1955</v>
      </c>
      <c r="C4118" t="s">
        <v>1958</v>
      </c>
      <c r="D4118" t="s">
        <v>1959</v>
      </c>
      <c r="E4118" s="9">
        <v>45108</v>
      </c>
      <c r="F4118" s="9">
        <v>45138</v>
      </c>
      <c r="G4118">
        <v>8305930</v>
      </c>
      <c r="H4118">
        <v>2250900</v>
      </c>
      <c r="I4118">
        <v>3541550</v>
      </c>
      <c r="J4118">
        <v>257240.00000000003</v>
      </c>
      <c r="K4118">
        <v>0</v>
      </c>
      <c r="L4118">
        <v>0</v>
      </c>
      <c r="M4118">
        <v>0</v>
      </c>
      <c r="T4118" s="9">
        <v>45108</v>
      </c>
      <c r="U4118" s="9">
        <v>45473</v>
      </c>
      <c r="V4118">
        <f>SUM(POTABLE_NONPOTABLE_API[[#This Row],[RESIDENTIAL_SINGLEFAMILY_GAL]:[OTHER_GAL]])</f>
        <v>14355620</v>
      </c>
      <c r="W4118">
        <f>SUM(POTABLE_NONPOTABLE_API[[#This Row],[NONPOTABLE_DEMAND_RESIDENTIAL_RECYCLED_WATER_GAL]:[NONPOTABLE_DEMAND_NONRESIDENTIAL_METERED_IRRIGATION_GAL]])</f>
        <v>0</v>
      </c>
      <c r="X4118" t="str">
        <f>IFERROR(INDEX(Crosswalk_API!$H$2:$H$527, MATCH(POTABLE_NONPOTABLE_API[[#This Row],[PWSID]], CW_PWSID_LIST, 0)), "")</f>
        <v>No</v>
      </c>
    </row>
    <row r="4119" spans="1:24" x14ac:dyDescent="0.25">
      <c r="A4119" t="s">
        <v>1954</v>
      </c>
      <c r="B4119" t="s">
        <v>1955</v>
      </c>
      <c r="C4119" t="s">
        <v>1958</v>
      </c>
      <c r="D4119" t="s">
        <v>1959</v>
      </c>
      <c r="E4119" s="9">
        <v>45139</v>
      </c>
      <c r="F4119" s="9">
        <v>45169</v>
      </c>
      <c r="G4119">
        <v>7218200</v>
      </c>
      <c r="H4119">
        <v>2057000</v>
      </c>
      <c r="I4119">
        <v>3272500</v>
      </c>
      <c r="J4119">
        <v>262548</v>
      </c>
      <c r="K4119">
        <v>0</v>
      </c>
      <c r="L4119">
        <v>0</v>
      </c>
      <c r="M4119">
        <v>0</v>
      </c>
      <c r="T4119" s="9">
        <v>45108</v>
      </c>
      <c r="U4119" s="9">
        <v>45473</v>
      </c>
      <c r="V4119">
        <f>SUM(POTABLE_NONPOTABLE_API[[#This Row],[RESIDENTIAL_SINGLEFAMILY_GAL]:[OTHER_GAL]])</f>
        <v>12810248</v>
      </c>
      <c r="W4119">
        <f>SUM(POTABLE_NONPOTABLE_API[[#This Row],[NONPOTABLE_DEMAND_RESIDENTIAL_RECYCLED_WATER_GAL]:[NONPOTABLE_DEMAND_NONRESIDENTIAL_METERED_IRRIGATION_GAL]])</f>
        <v>0</v>
      </c>
      <c r="X4119" t="str">
        <f>IFERROR(INDEX(Crosswalk_API!$H$2:$H$527, MATCH(POTABLE_NONPOTABLE_API[[#This Row],[PWSID]], CW_PWSID_LIST, 0)), "")</f>
        <v>No</v>
      </c>
    </row>
    <row r="4120" spans="1:24" x14ac:dyDescent="0.25">
      <c r="A4120" t="s">
        <v>1954</v>
      </c>
      <c r="B4120" t="s">
        <v>1955</v>
      </c>
      <c r="C4120" t="s">
        <v>1958</v>
      </c>
      <c r="D4120" t="s">
        <v>1959</v>
      </c>
      <c r="E4120" s="9">
        <v>45170</v>
      </c>
      <c r="F4120" s="9">
        <v>45199</v>
      </c>
      <c r="G4120">
        <v>6487404</v>
      </c>
      <c r="H4120">
        <v>1801184</v>
      </c>
      <c r="I4120">
        <v>3080264</v>
      </c>
      <c r="J4120">
        <v>258807.99999999997</v>
      </c>
      <c r="K4120">
        <v>0</v>
      </c>
      <c r="L4120">
        <v>0</v>
      </c>
      <c r="M4120">
        <v>0</v>
      </c>
      <c r="T4120" s="9">
        <v>45108</v>
      </c>
      <c r="U4120" s="9">
        <v>45473</v>
      </c>
      <c r="V4120">
        <f>SUM(POTABLE_NONPOTABLE_API[[#This Row],[RESIDENTIAL_SINGLEFAMILY_GAL]:[OTHER_GAL]])</f>
        <v>11627660</v>
      </c>
      <c r="W4120">
        <f>SUM(POTABLE_NONPOTABLE_API[[#This Row],[NONPOTABLE_DEMAND_RESIDENTIAL_RECYCLED_WATER_GAL]:[NONPOTABLE_DEMAND_NONRESIDENTIAL_METERED_IRRIGATION_GAL]])</f>
        <v>0</v>
      </c>
      <c r="X4120" t="str">
        <f>IFERROR(INDEX(Crosswalk_API!$H$2:$H$527, MATCH(POTABLE_NONPOTABLE_API[[#This Row],[PWSID]], CW_PWSID_LIST, 0)), "")</f>
        <v>No</v>
      </c>
    </row>
    <row r="4121" spans="1:24" x14ac:dyDescent="0.25">
      <c r="A4121" t="s">
        <v>1954</v>
      </c>
      <c r="B4121" t="s">
        <v>1955</v>
      </c>
      <c r="C4121" t="s">
        <v>1958</v>
      </c>
      <c r="D4121" t="s">
        <v>1959</v>
      </c>
      <c r="E4121" s="9">
        <v>45200</v>
      </c>
      <c r="F4121" s="9">
        <v>45230</v>
      </c>
      <c r="G4121">
        <v>5439460</v>
      </c>
      <c r="H4121">
        <v>1636620</v>
      </c>
      <c r="I4121">
        <v>2832680</v>
      </c>
      <c r="J4121">
        <v>197470</v>
      </c>
      <c r="K4121">
        <v>0</v>
      </c>
      <c r="L4121">
        <v>0</v>
      </c>
      <c r="M4121">
        <v>0</v>
      </c>
      <c r="T4121" s="9">
        <v>45108</v>
      </c>
      <c r="U4121" s="9">
        <v>45473</v>
      </c>
      <c r="V4121">
        <f>SUM(POTABLE_NONPOTABLE_API[[#This Row],[RESIDENTIAL_SINGLEFAMILY_GAL]:[OTHER_GAL]])</f>
        <v>10106230</v>
      </c>
      <c r="W4121">
        <f>SUM(POTABLE_NONPOTABLE_API[[#This Row],[NONPOTABLE_DEMAND_RESIDENTIAL_RECYCLED_WATER_GAL]:[NONPOTABLE_DEMAND_NONRESIDENTIAL_METERED_IRRIGATION_GAL]])</f>
        <v>0</v>
      </c>
      <c r="X4121" t="str">
        <f>IFERROR(INDEX(Crosswalk_API!$H$2:$H$527, MATCH(POTABLE_NONPOTABLE_API[[#This Row],[PWSID]], CW_PWSID_LIST, 0)), "")</f>
        <v>No</v>
      </c>
    </row>
    <row r="4122" spans="1:24" x14ac:dyDescent="0.25">
      <c r="A4122" t="s">
        <v>1954</v>
      </c>
      <c r="B4122" t="s">
        <v>1955</v>
      </c>
      <c r="C4122" t="s">
        <v>1958</v>
      </c>
      <c r="D4122" t="s">
        <v>1959</v>
      </c>
      <c r="E4122" s="9">
        <v>45231</v>
      </c>
      <c r="F4122" s="9">
        <v>45260</v>
      </c>
      <c r="G4122">
        <v>3373480</v>
      </c>
      <c r="H4122">
        <v>1113772</v>
      </c>
      <c r="I4122">
        <v>1838584</v>
      </c>
      <c r="J4122">
        <v>52360</v>
      </c>
      <c r="K4122">
        <v>0</v>
      </c>
      <c r="L4122">
        <v>0</v>
      </c>
      <c r="M4122">
        <v>0</v>
      </c>
      <c r="T4122" s="9">
        <v>45108</v>
      </c>
      <c r="U4122" s="9">
        <v>45473</v>
      </c>
      <c r="V4122">
        <f>SUM(POTABLE_NONPOTABLE_API[[#This Row],[RESIDENTIAL_SINGLEFAMILY_GAL]:[OTHER_GAL]])</f>
        <v>6378196</v>
      </c>
      <c r="W4122">
        <f>SUM(POTABLE_NONPOTABLE_API[[#This Row],[NONPOTABLE_DEMAND_RESIDENTIAL_RECYCLED_WATER_GAL]:[NONPOTABLE_DEMAND_NONRESIDENTIAL_METERED_IRRIGATION_GAL]])</f>
        <v>0</v>
      </c>
      <c r="X4122" t="str">
        <f>IFERROR(INDEX(Crosswalk_API!$H$2:$H$527, MATCH(POTABLE_NONPOTABLE_API[[#This Row],[PWSID]], CW_PWSID_LIST, 0)), "")</f>
        <v>No</v>
      </c>
    </row>
    <row r="4123" spans="1:24" x14ac:dyDescent="0.25">
      <c r="A4123" t="s">
        <v>1954</v>
      </c>
      <c r="B4123" t="s">
        <v>1955</v>
      </c>
      <c r="C4123" t="s">
        <v>1958</v>
      </c>
      <c r="D4123" t="s">
        <v>1959</v>
      </c>
      <c r="E4123" s="9">
        <v>45261</v>
      </c>
      <c r="F4123" s="9">
        <v>45291</v>
      </c>
      <c r="G4123">
        <v>3348796</v>
      </c>
      <c r="H4123">
        <v>1071136</v>
      </c>
      <c r="I4123">
        <v>1580524</v>
      </c>
      <c r="J4123">
        <v>44132</v>
      </c>
      <c r="K4123">
        <v>0</v>
      </c>
      <c r="L4123">
        <v>3740</v>
      </c>
      <c r="M4123">
        <v>0</v>
      </c>
      <c r="T4123" s="9">
        <v>45108</v>
      </c>
      <c r="U4123" s="9">
        <v>45473</v>
      </c>
      <c r="V4123">
        <f>SUM(POTABLE_NONPOTABLE_API[[#This Row],[RESIDENTIAL_SINGLEFAMILY_GAL]:[OTHER_GAL]])</f>
        <v>6048328</v>
      </c>
      <c r="W4123">
        <f>SUM(POTABLE_NONPOTABLE_API[[#This Row],[NONPOTABLE_DEMAND_RESIDENTIAL_RECYCLED_WATER_GAL]:[NONPOTABLE_DEMAND_NONRESIDENTIAL_METERED_IRRIGATION_GAL]])</f>
        <v>0</v>
      </c>
      <c r="X4123" t="str">
        <f>IFERROR(INDEX(Crosswalk_API!$H$2:$H$527, MATCH(POTABLE_NONPOTABLE_API[[#This Row],[PWSID]], CW_PWSID_LIST, 0)), "")</f>
        <v>No</v>
      </c>
    </row>
    <row r="4124" spans="1:24" x14ac:dyDescent="0.25">
      <c r="A4124" t="s">
        <v>1954</v>
      </c>
      <c r="B4124" t="s">
        <v>1955</v>
      </c>
      <c r="C4124" t="s">
        <v>1958</v>
      </c>
      <c r="D4124" t="s">
        <v>1959</v>
      </c>
      <c r="E4124" s="9">
        <v>45292</v>
      </c>
      <c r="F4124" s="9">
        <v>45322</v>
      </c>
      <c r="G4124">
        <v>3221636</v>
      </c>
      <c r="H4124">
        <v>1162392</v>
      </c>
      <c r="I4124">
        <v>1838584</v>
      </c>
      <c r="J4124">
        <v>26930</v>
      </c>
      <c r="K4124">
        <v>0</v>
      </c>
      <c r="L4124">
        <v>14212</v>
      </c>
      <c r="M4124">
        <v>0</v>
      </c>
      <c r="T4124" s="9">
        <v>45108</v>
      </c>
      <c r="U4124" s="9">
        <v>45473</v>
      </c>
      <c r="V4124">
        <f>SUM(POTABLE_NONPOTABLE_API[[#This Row],[RESIDENTIAL_SINGLEFAMILY_GAL]:[OTHER_GAL]])</f>
        <v>6263754</v>
      </c>
      <c r="W4124">
        <f>SUM(POTABLE_NONPOTABLE_API[[#This Row],[NONPOTABLE_DEMAND_RESIDENTIAL_RECYCLED_WATER_GAL]:[NONPOTABLE_DEMAND_NONRESIDENTIAL_METERED_IRRIGATION_GAL]])</f>
        <v>0</v>
      </c>
      <c r="X4124" t="str">
        <f>IFERROR(INDEX(Crosswalk_API!$H$2:$H$527, MATCH(POTABLE_NONPOTABLE_API[[#This Row],[PWSID]], CW_PWSID_LIST, 0)), "")</f>
        <v>No</v>
      </c>
    </row>
    <row r="4125" spans="1:24" x14ac:dyDescent="0.25">
      <c r="A4125" t="s">
        <v>1954</v>
      </c>
      <c r="B4125" t="s">
        <v>1955</v>
      </c>
      <c r="C4125" t="s">
        <v>1958</v>
      </c>
      <c r="D4125" t="s">
        <v>1959</v>
      </c>
      <c r="E4125" s="9">
        <v>45323</v>
      </c>
      <c r="F4125" s="9">
        <v>45351</v>
      </c>
      <c r="G4125">
        <v>2927672</v>
      </c>
      <c r="H4125">
        <v>1097316</v>
      </c>
      <c r="I4125">
        <v>1773508</v>
      </c>
      <c r="J4125">
        <v>29920</v>
      </c>
      <c r="K4125">
        <v>0</v>
      </c>
      <c r="L4125">
        <v>2244</v>
      </c>
      <c r="M4125">
        <v>0</v>
      </c>
      <c r="T4125" s="9">
        <v>45108</v>
      </c>
      <c r="U4125" s="9">
        <v>45473</v>
      </c>
      <c r="V4125">
        <f>SUM(POTABLE_NONPOTABLE_API[[#This Row],[RESIDENTIAL_SINGLEFAMILY_GAL]:[OTHER_GAL]])</f>
        <v>5830660</v>
      </c>
      <c r="W4125">
        <f>SUM(POTABLE_NONPOTABLE_API[[#This Row],[NONPOTABLE_DEMAND_RESIDENTIAL_RECYCLED_WATER_GAL]:[NONPOTABLE_DEMAND_NONRESIDENTIAL_METERED_IRRIGATION_GAL]])</f>
        <v>0</v>
      </c>
      <c r="X4125" t="str">
        <f>IFERROR(INDEX(Crosswalk_API!$H$2:$H$527, MATCH(POTABLE_NONPOTABLE_API[[#This Row],[PWSID]], CW_PWSID_LIST, 0)), "")</f>
        <v>No</v>
      </c>
    </row>
    <row r="4126" spans="1:24" x14ac:dyDescent="0.25">
      <c r="A4126" t="s">
        <v>1954</v>
      </c>
      <c r="B4126" t="s">
        <v>1955</v>
      </c>
      <c r="C4126" t="s">
        <v>1958</v>
      </c>
      <c r="D4126" t="s">
        <v>1959</v>
      </c>
      <c r="E4126" s="9">
        <v>45352</v>
      </c>
      <c r="F4126" s="9">
        <v>45382</v>
      </c>
      <c r="G4126">
        <v>2856612</v>
      </c>
      <c r="H4126">
        <v>1032240</v>
      </c>
      <c r="I4126">
        <v>1725636</v>
      </c>
      <c r="J4126">
        <v>68068</v>
      </c>
      <c r="K4126">
        <v>0</v>
      </c>
      <c r="L4126">
        <v>0</v>
      </c>
      <c r="M4126">
        <v>0</v>
      </c>
      <c r="T4126" s="9">
        <v>45108</v>
      </c>
      <c r="U4126" s="9">
        <v>45473</v>
      </c>
      <c r="V4126">
        <f>SUM(POTABLE_NONPOTABLE_API[[#This Row],[RESIDENTIAL_SINGLEFAMILY_GAL]:[OTHER_GAL]])</f>
        <v>5682556</v>
      </c>
      <c r="W4126">
        <f>SUM(POTABLE_NONPOTABLE_API[[#This Row],[NONPOTABLE_DEMAND_RESIDENTIAL_RECYCLED_WATER_GAL]:[NONPOTABLE_DEMAND_NONRESIDENTIAL_METERED_IRRIGATION_GAL]])</f>
        <v>0</v>
      </c>
      <c r="X4126" t="str">
        <f>IFERROR(INDEX(Crosswalk_API!$H$2:$H$527, MATCH(POTABLE_NONPOTABLE_API[[#This Row],[PWSID]], CW_PWSID_LIST, 0)), "")</f>
        <v>No</v>
      </c>
    </row>
    <row r="4127" spans="1:24" x14ac:dyDescent="0.25">
      <c r="A4127" t="s">
        <v>1954</v>
      </c>
      <c r="B4127" t="s">
        <v>1955</v>
      </c>
      <c r="C4127" t="s">
        <v>1958</v>
      </c>
      <c r="D4127" t="s">
        <v>1959</v>
      </c>
      <c r="E4127" s="9">
        <v>45383</v>
      </c>
      <c r="F4127" s="9">
        <v>45412</v>
      </c>
      <c r="G4127">
        <v>3549260</v>
      </c>
      <c r="H4127">
        <v>1214752</v>
      </c>
      <c r="I4127">
        <v>1962752</v>
      </c>
      <c r="J4127">
        <v>132396</v>
      </c>
      <c r="K4127">
        <v>0</v>
      </c>
      <c r="L4127">
        <v>748</v>
      </c>
      <c r="M4127">
        <v>0</v>
      </c>
      <c r="T4127" s="9">
        <v>45108</v>
      </c>
      <c r="U4127" s="9">
        <v>45473</v>
      </c>
      <c r="V4127">
        <f>SUM(POTABLE_NONPOTABLE_API[[#This Row],[RESIDENTIAL_SINGLEFAMILY_GAL]:[OTHER_GAL]])</f>
        <v>6859908</v>
      </c>
      <c r="W4127">
        <f>SUM(POTABLE_NONPOTABLE_API[[#This Row],[NONPOTABLE_DEMAND_RESIDENTIAL_RECYCLED_WATER_GAL]:[NONPOTABLE_DEMAND_NONRESIDENTIAL_METERED_IRRIGATION_GAL]])</f>
        <v>0</v>
      </c>
      <c r="X4127" t="str">
        <f>IFERROR(INDEX(Crosswalk_API!$H$2:$H$527, MATCH(POTABLE_NONPOTABLE_API[[#This Row],[PWSID]], CW_PWSID_LIST, 0)), "")</f>
        <v>No</v>
      </c>
    </row>
    <row r="4128" spans="1:24" x14ac:dyDescent="0.25">
      <c r="A4128" t="s">
        <v>1954</v>
      </c>
      <c r="B4128" t="s">
        <v>1955</v>
      </c>
      <c r="C4128" t="s">
        <v>1958</v>
      </c>
      <c r="D4128" t="s">
        <v>1959</v>
      </c>
      <c r="E4128" s="9">
        <v>45413</v>
      </c>
      <c r="F4128" s="9">
        <v>45443</v>
      </c>
      <c r="G4128">
        <v>5862076</v>
      </c>
      <c r="H4128">
        <v>1671780</v>
      </c>
      <c r="I4128">
        <v>2666620</v>
      </c>
      <c r="J4128">
        <v>181016</v>
      </c>
      <c r="K4128">
        <v>0</v>
      </c>
      <c r="L4128">
        <v>0</v>
      </c>
      <c r="M4128">
        <v>0</v>
      </c>
      <c r="T4128" s="9">
        <v>45108</v>
      </c>
      <c r="U4128" s="9">
        <v>45473</v>
      </c>
      <c r="V4128">
        <f>SUM(POTABLE_NONPOTABLE_API[[#This Row],[RESIDENTIAL_SINGLEFAMILY_GAL]:[OTHER_GAL]])</f>
        <v>10381492</v>
      </c>
      <c r="W4128">
        <f>SUM(POTABLE_NONPOTABLE_API[[#This Row],[NONPOTABLE_DEMAND_RESIDENTIAL_RECYCLED_WATER_GAL]:[NONPOTABLE_DEMAND_NONRESIDENTIAL_METERED_IRRIGATION_GAL]])</f>
        <v>0</v>
      </c>
      <c r="X4128" t="str">
        <f>IFERROR(INDEX(Crosswalk_API!$H$2:$H$527, MATCH(POTABLE_NONPOTABLE_API[[#This Row],[PWSID]], CW_PWSID_LIST, 0)), "")</f>
        <v>No</v>
      </c>
    </row>
    <row r="4129" spans="1:24" x14ac:dyDescent="0.25">
      <c r="A4129" t="s">
        <v>1954</v>
      </c>
      <c r="B4129" t="s">
        <v>1955</v>
      </c>
      <c r="C4129" t="s">
        <v>1958</v>
      </c>
      <c r="D4129" t="s">
        <v>1959</v>
      </c>
      <c r="E4129" s="9">
        <v>45444</v>
      </c>
      <c r="F4129" s="9">
        <v>45473</v>
      </c>
      <c r="G4129">
        <v>7161352</v>
      </c>
      <c r="H4129">
        <v>2021844.0000000002</v>
      </c>
      <c r="I4129">
        <v>3483436</v>
      </c>
      <c r="J4129">
        <v>225896</v>
      </c>
      <c r="K4129">
        <v>0</v>
      </c>
      <c r="L4129">
        <v>2992</v>
      </c>
      <c r="M4129">
        <v>0</v>
      </c>
      <c r="T4129" s="9">
        <v>45108</v>
      </c>
      <c r="U4129" s="9">
        <v>45473</v>
      </c>
      <c r="V4129">
        <f>SUM(POTABLE_NONPOTABLE_API[[#This Row],[RESIDENTIAL_SINGLEFAMILY_GAL]:[OTHER_GAL]])</f>
        <v>12895520</v>
      </c>
      <c r="W4129">
        <f>SUM(POTABLE_NONPOTABLE_API[[#This Row],[NONPOTABLE_DEMAND_RESIDENTIAL_RECYCLED_WATER_GAL]:[NONPOTABLE_DEMAND_NONRESIDENTIAL_METERED_IRRIGATION_GAL]])</f>
        <v>0</v>
      </c>
      <c r="X4129" t="str">
        <f>IFERROR(INDEX(Crosswalk_API!$H$2:$H$527, MATCH(POTABLE_NONPOTABLE_API[[#This Row],[PWSID]], CW_PWSID_LIST, 0)), "")</f>
        <v>No</v>
      </c>
    </row>
    <row r="4130" spans="1:24" x14ac:dyDescent="0.25">
      <c r="A4130" t="s">
        <v>1954</v>
      </c>
      <c r="B4130" t="s">
        <v>1955</v>
      </c>
      <c r="C4130" t="s">
        <v>1960</v>
      </c>
      <c r="D4130" t="s">
        <v>1961</v>
      </c>
      <c r="E4130" s="9">
        <v>45108</v>
      </c>
      <c r="F4130" s="9">
        <v>45138</v>
      </c>
      <c r="G4130">
        <v>3286570</v>
      </c>
      <c r="H4130">
        <v>42760</v>
      </c>
      <c r="I4130">
        <v>944910</v>
      </c>
      <c r="J4130">
        <v>0</v>
      </c>
      <c r="K4130">
        <v>0</v>
      </c>
      <c r="L4130">
        <v>0</v>
      </c>
      <c r="M4130">
        <v>0</v>
      </c>
      <c r="T4130" s="9">
        <v>45108</v>
      </c>
      <c r="U4130" s="9">
        <v>45473</v>
      </c>
      <c r="V4130">
        <f>SUM(POTABLE_NONPOTABLE_API[[#This Row],[RESIDENTIAL_SINGLEFAMILY_GAL]:[OTHER_GAL]])</f>
        <v>4274240</v>
      </c>
      <c r="W4130">
        <f>SUM(POTABLE_NONPOTABLE_API[[#This Row],[NONPOTABLE_DEMAND_RESIDENTIAL_RECYCLED_WATER_GAL]:[NONPOTABLE_DEMAND_NONRESIDENTIAL_METERED_IRRIGATION_GAL]])</f>
        <v>0</v>
      </c>
      <c r="X4130" t="str">
        <f>IFERROR(INDEX(Crosswalk_API!$H$2:$H$527, MATCH(POTABLE_NONPOTABLE_API[[#This Row],[PWSID]], CW_PWSID_LIST, 0)), "")</f>
        <v>No</v>
      </c>
    </row>
    <row r="4131" spans="1:24" x14ac:dyDescent="0.25">
      <c r="A4131" t="s">
        <v>1954</v>
      </c>
      <c r="B4131" t="s">
        <v>1955</v>
      </c>
      <c r="C4131" t="s">
        <v>1960</v>
      </c>
      <c r="D4131" t="s">
        <v>1961</v>
      </c>
      <c r="E4131" s="9">
        <v>45139</v>
      </c>
      <c r="F4131" s="9">
        <v>45169</v>
      </c>
      <c r="G4131">
        <v>2657644</v>
      </c>
      <c r="H4131">
        <v>24684</v>
      </c>
      <c r="I4131">
        <v>766700</v>
      </c>
      <c r="J4131">
        <v>0</v>
      </c>
      <c r="K4131">
        <v>0</v>
      </c>
      <c r="L4131">
        <v>0</v>
      </c>
      <c r="M4131">
        <v>0</v>
      </c>
      <c r="T4131" s="9">
        <v>45108</v>
      </c>
      <c r="U4131" s="9">
        <v>45473</v>
      </c>
      <c r="V4131">
        <f>SUM(POTABLE_NONPOTABLE_API[[#This Row],[RESIDENTIAL_SINGLEFAMILY_GAL]:[OTHER_GAL]])</f>
        <v>3449028</v>
      </c>
      <c r="W4131">
        <f>SUM(POTABLE_NONPOTABLE_API[[#This Row],[NONPOTABLE_DEMAND_RESIDENTIAL_RECYCLED_WATER_GAL]:[NONPOTABLE_DEMAND_NONRESIDENTIAL_METERED_IRRIGATION_GAL]])</f>
        <v>0</v>
      </c>
      <c r="X4131" t="str">
        <f>IFERROR(INDEX(Crosswalk_API!$H$2:$H$527, MATCH(POTABLE_NONPOTABLE_API[[#This Row],[PWSID]], CW_PWSID_LIST, 0)), "")</f>
        <v>No</v>
      </c>
    </row>
    <row r="4132" spans="1:24" x14ac:dyDescent="0.25">
      <c r="A4132" t="s">
        <v>1954</v>
      </c>
      <c r="B4132" t="s">
        <v>1955</v>
      </c>
      <c r="C4132" t="s">
        <v>1960</v>
      </c>
      <c r="D4132" t="s">
        <v>1961</v>
      </c>
      <c r="E4132" s="9">
        <v>45170</v>
      </c>
      <c r="F4132" s="9">
        <v>45199</v>
      </c>
      <c r="G4132">
        <v>2163216</v>
      </c>
      <c r="H4132">
        <v>29920</v>
      </c>
      <c r="I4132">
        <v>544544</v>
      </c>
      <c r="J4132">
        <v>0</v>
      </c>
      <c r="K4132">
        <v>0</v>
      </c>
      <c r="L4132">
        <v>0</v>
      </c>
      <c r="M4132">
        <v>0</v>
      </c>
      <c r="T4132" s="9">
        <v>45108</v>
      </c>
      <c r="U4132" s="9">
        <v>45473</v>
      </c>
      <c r="V4132">
        <f>SUM(POTABLE_NONPOTABLE_API[[#This Row],[RESIDENTIAL_SINGLEFAMILY_GAL]:[OTHER_GAL]])</f>
        <v>2737680</v>
      </c>
      <c r="W4132">
        <f>SUM(POTABLE_NONPOTABLE_API[[#This Row],[NONPOTABLE_DEMAND_RESIDENTIAL_RECYCLED_WATER_GAL]:[NONPOTABLE_DEMAND_NONRESIDENTIAL_METERED_IRRIGATION_GAL]])</f>
        <v>0</v>
      </c>
      <c r="X4132" t="str">
        <f>IFERROR(INDEX(Crosswalk_API!$H$2:$H$527, MATCH(POTABLE_NONPOTABLE_API[[#This Row],[PWSID]], CW_PWSID_LIST, 0)), "")</f>
        <v>No</v>
      </c>
    </row>
    <row r="4133" spans="1:24" x14ac:dyDescent="0.25">
      <c r="A4133" t="s">
        <v>1954</v>
      </c>
      <c r="B4133" t="s">
        <v>1955</v>
      </c>
      <c r="C4133" t="s">
        <v>1960</v>
      </c>
      <c r="D4133" t="s">
        <v>1961</v>
      </c>
      <c r="E4133" s="9">
        <v>45200</v>
      </c>
      <c r="F4133" s="9">
        <v>45230</v>
      </c>
      <c r="G4133">
        <v>1581270</v>
      </c>
      <c r="H4133">
        <v>14960</v>
      </c>
      <c r="I4133">
        <v>366520</v>
      </c>
      <c r="J4133">
        <v>0</v>
      </c>
      <c r="K4133">
        <v>0</v>
      </c>
      <c r="L4133">
        <v>0</v>
      </c>
      <c r="M4133">
        <v>0</v>
      </c>
      <c r="T4133" s="9">
        <v>45108</v>
      </c>
      <c r="U4133" s="9">
        <v>45473</v>
      </c>
      <c r="V4133">
        <f>SUM(POTABLE_NONPOTABLE_API[[#This Row],[RESIDENTIAL_SINGLEFAMILY_GAL]:[OTHER_GAL]])</f>
        <v>1962750</v>
      </c>
      <c r="W4133">
        <f>SUM(POTABLE_NONPOTABLE_API[[#This Row],[NONPOTABLE_DEMAND_RESIDENTIAL_RECYCLED_WATER_GAL]:[NONPOTABLE_DEMAND_NONRESIDENTIAL_METERED_IRRIGATION_GAL]])</f>
        <v>0</v>
      </c>
      <c r="X4133" t="str">
        <f>IFERROR(INDEX(Crosswalk_API!$H$2:$H$527, MATCH(POTABLE_NONPOTABLE_API[[#This Row],[PWSID]], CW_PWSID_LIST, 0)), "")</f>
        <v>No</v>
      </c>
    </row>
    <row r="4134" spans="1:24" x14ac:dyDescent="0.25">
      <c r="A4134" t="s">
        <v>1954</v>
      </c>
      <c r="B4134" t="s">
        <v>1955</v>
      </c>
      <c r="C4134" t="s">
        <v>1960</v>
      </c>
      <c r="D4134" t="s">
        <v>1961</v>
      </c>
      <c r="E4134" s="9">
        <v>45231</v>
      </c>
      <c r="F4134" s="9">
        <v>45260</v>
      </c>
      <c r="G4134">
        <v>822800</v>
      </c>
      <c r="H4134">
        <v>8228</v>
      </c>
      <c r="I4134">
        <v>63580</v>
      </c>
      <c r="J4134">
        <v>0</v>
      </c>
      <c r="K4134">
        <v>0</v>
      </c>
      <c r="L4134">
        <v>0</v>
      </c>
      <c r="M4134">
        <v>0</v>
      </c>
      <c r="T4134" s="9">
        <v>45108</v>
      </c>
      <c r="U4134" s="9">
        <v>45473</v>
      </c>
      <c r="V4134">
        <f>SUM(POTABLE_NONPOTABLE_API[[#This Row],[RESIDENTIAL_SINGLEFAMILY_GAL]:[OTHER_GAL]])</f>
        <v>894608</v>
      </c>
      <c r="W4134">
        <f>SUM(POTABLE_NONPOTABLE_API[[#This Row],[NONPOTABLE_DEMAND_RESIDENTIAL_RECYCLED_WATER_GAL]:[NONPOTABLE_DEMAND_NONRESIDENTIAL_METERED_IRRIGATION_GAL]])</f>
        <v>0</v>
      </c>
      <c r="X4134" t="str">
        <f>IFERROR(INDEX(Crosswalk_API!$H$2:$H$527, MATCH(POTABLE_NONPOTABLE_API[[#This Row],[PWSID]], CW_PWSID_LIST, 0)), "")</f>
        <v>No</v>
      </c>
    </row>
    <row r="4135" spans="1:24" x14ac:dyDescent="0.25">
      <c r="A4135" t="s">
        <v>1954</v>
      </c>
      <c r="B4135" t="s">
        <v>1955</v>
      </c>
      <c r="C4135" t="s">
        <v>1960</v>
      </c>
      <c r="D4135" t="s">
        <v>1961</v>
      </c>
      <c r="E4135" s="9">
        <v>45261</v>
      </c>
      <c r="F4135" s="9">
        <v>45291</v>
      </c>
      <c r="G4135">
        <v>856460</v>
      </c>
      <c r="H4135">
        <v>8228</v>
      </c>
      <c r="I4135">
        <v>158576</v>
      </c>
      <c r="J4135">
        <v>0</v>
      </c>
      <c r="K4135">
        <v>0</v>
      </c>
      <c r="L4135">
        <v>0</v>
      </c>
      <c r="M4135">
        <v>0</v>
      </c>
      <c r="T4135" s="9">
        <v>45108</v>
      </c>
      <c r="U4135" s="9">
        <v>45473</v>
      </c>
      <c r="V4135">
        <f>SUM(POTABLE_NONPOTABLE_API[[#This Row],[RESIDENTIAL_SINGLEFAMILY_GAL]:[OTHER_GAL]])</f>
        <v>1023264</v>
      </c>
      <c r="W4135">
        <f>SUM(POTABLE_NONPOTABLE_API[[#This Row],[NONPOTABLE_DEMAND_RESIDENTIAL_RECYCLED_WATER_GAL]:[NONPOTABLE_DEMAND_NONRESIDENTIAL_METERED_IRRIGATION_GAL]])</f>
        <v>0</v>
      </c>
      <c r="X4135" t="str">
        <f>IFERROR(INDEX(Crosswalk_API!$H$2:$H$527, MATCH(POTABLE_NONPOTABLE_API[[#This Row],[PWSID]], CW_PWSID_LIST, 0)), "")</f>
        <v>No</v>
      </c>
    </row>
    <row r="4136" spans="1:24" x14ac:dyDescent="0.25">
      <c r="A4136" t="s">
        <v>1954</v>
      </c>
      <c r="B4136" t="s">
        <v>1955</v>
      </c>
      <c r="C4136" t="s">
        <v>1960</v>
      </c>
      <c r="D4136" t="s">
        <v>1961</v>
      </c>
      <c r="E4136" s="9">
        <v>45292</v>
      </c>
      <c r="F4136" s="9">
        <v>45322</v>
      </c>
      <c r="G4136">
        <v>926772</v>
      </c>
      <c r="H4136">
        <v>8976</v>
      </c>
      <c r="I4136">
        <v>219164</v>
      </c>
      <c r="J4136">
        <v>0</v>
      </c>
      <c r="K4136">
        <v>0</v>
      </c>
      <c r="L4136">
        <v>0</v>
      </c>
      <c r="M4136">
        <v>0</v>
      </c>
      <c r="T4136" s="9">
        <v>45108</v>
      </c>
      <c r="U4136" s="9">
        <v>45473</v>
      </c>
      <c r="V4136">
        <f>SUM(POTABLE_NONPOTABLE_API[[#This Row],[RESIDENTIAL_SINGLEFAMILY_GAL]:[OTHER_GAL]])</f>
        <v>1154912</v>
      </c>
      <c r="W4136">
        <f>SUM(POTABLE_NONPOTABLE_API[[#This Row],[NONPOTABLE_DEMAND_RESIDENTIAL_RECYCLED_WATER_GAL]:[NONPOTABLE_DEMAND_NONRESIDENTIAL_METERED_IRRIGATION_GAL]])</f>
        <v>0</v>
      </c>
      <c r="X4136" t="str">
        <f>IFERROR(INDEX(Crosswalk_API!$H$2:$H$527, MATCH(POTABLE_NONPOTABLE_API[[#This Row],[PWSID]], CW_PWSID_LIST, 0)), "")</f>
        <v>No</v>
      </c>
    </row>
    <row r="4137" spans="1:24" x14ac:dyDescent="0.25">
      <c r="A4137" t="s">
        <v>1954</v>
      </c>
      <c r="B4137" t="s">
        <v>1955</v>
      </c>
      <c r="C4137" t="s">
        <v>1960</v>
      </c>
      <c r="D4137" t="s">
        <v>1961</v>
      </c>
      <c r="E4137" s="9">
        <v>45323</v>
      </c>
      <c r="F4137" s="9">
        <v>45351</v>
      </c>
      <c r="G4137">
        <v>806344</v>
      </c>
      <c r="H4137">
        <v>8976</v>
      </c>
      <c r="I4137">
        <v>321640</v>
      </c>
      <c r="J4137">
        <v>0</v>
      </c>
      <c r="K4137">
        <v>0</v>
      </c>
      <c r="L4137">
        <v>0</v>
      </c>
      <c r="M4137">
        <v>0</v>
      </c>
      <c r="T4137" s="9">
        <v>45108</v>
      </c>
      <c r="U4137" s="9">
        <v>45473</v>
      </c>
      <c r="V4137">
        <f>SUM(POTABLE_NONPOTABLE_API[[#This Row],[RESIDENTIAL_SINGLEFAMILY_GAL]:[OTHER_GAL]])</f>
        <v>1136960</v>
      </c>
      <c r="W4137">
        <f>SUM(POTABLE_NONPOTABLE_API[[#This Row],[NONPOTABLE_DEMAND_RESIDENTIAL_RECYCLED_WATER_GAL]:[NONPOTABLE_DEMAND_NONRESIDENTIAL_METERED_IRRIGATION_GAL]])</f>
        <v>0</v>
      </c>
      <c r="X4137" t="str">
        <f>IFERROR(INDEX(Crosswalk_API!$H$2:$H$527, MATCH(POTABLE_NONPOTABLE_API[[#This Row],[PWSID]], CW_PWSID_LIST, 0)), "")</f>
        <v>No</v>
      </c>
    </row>
    <row r="4138" spans="1:24" x14ac:dyDescent="0.25">
      <c r="A4138" t="s">
        <v>1954</v>
      </c>
      <c r="B4138" t="s">
        <v>1955</v>
      </c>
      <c r="C4138" t="s">
        <v>1960</v>
      </c>
      <c r="D4138" t="s">
        <v>1961</v>
      </c>
      <c r="E4138" s="9">
        <v>45352</v>
      </c>
      <c r="F4138" s="9">
        <v>45382</v>
      </c>
      <c r="G4138">
        <v>967912</v>
      </c>
      <c r="H4138">
        <v>6732</v>
      </c>
      <c r="I4138">
        <v>266288</v>
      </c>
      <c r="J4138">
        <v>0</v>
      </c>
      <c r="K4138">
        <v>0</v>
      </c>
      <c r="L4138">
        <v>0</v>
      </c>
      <c r="M4138">
        <v>0</v>
      </c>
      <c r="T4138" s="9">
        <v>45108</v>
      </c>
      <c r="U4138" s="9">
        <v>45473</v>
      </c>
      <c r="V4138">
        <f>SUM(POTABLE_NONPOTABLE_API[[#This Row],[RESIDENTIAL_SINGLEFAMILY_GAL]:[OTHER_GAL]])</f>
        <v>1240932</v>
      </c>
      <c r="W4138">
        <f>SUM(POTABLE_NONPOTABLE_API[[#This Row],[NONPOTABLE_DEMAND_RESIDENTIAL_RECYCLED_WATER_GAL]:[NONPOTABLE_DEMAND_NONRESIDENTIAL_METERED_IRRIGATION_GAL]])</f>
        <v>0</v>
      </c>
      <c r="X4138" t="str">
        <f>IFERROR(INDEX(Crosswalk_API!$H$2:$H$527, MATCH(POTABLE_NONPOTABLE_API[[#This Row],[PWSID]], CW_PWSID_LIST, 0)), "")</f>
        <v>No</v>
      </c>
    </row>
    <row r="4139" spans="1:24" x14ac:dyDescent="0.25">
      <c r="A4139" t="s">
        <v>1954</v>
      </c>
      <c r="B4139" t="s">
        <v>1955</v>
      </c>
      <c r="C4139" t="s">
        <v>1960</v>
      </c>
      <c r="D4139" t="s">
        <v>1961</v>
      </c>
      <c r="E4139" s="9">
        <v>45383</v>
      </c>
      <c r="F4139" s="9">
        <v>45412</v>
      </c>
      <c r="G4139">
        <v>966416</v>
      </c>
      <c r="H4139">
        <v>10472</v>
      </c>
      <c r="I4139">
        <v>314908</v>
      </c>
      <c r="J4139">
        <v>0</v>
      </c>
      <c r="K4139">
        <v>0</v>
      </c>
      <c r="L4139">
        <v>0</v>
      </c>
      <c r="M4139">
        <v>0</v>
      </c>
      <c r="T4139" s="9">
        <v>45108</v>
      </c>
      <c r="U4139" s="9">
        <v>45473</v>
      </c>
      <c r="V4139">
        <f>SUM(POTABLE_NONPOTABLE_API[[#This Row],[RESIDENTIAL_SINGLEFAMILY_GAL]:[OTHER_GAL]])</f>
        <v>1291796</v>
      </c>
      <c r="W4139">
        <f>SUM(POTABLE_NONPOTABLE_API[[#This Row],[NONPOTABLE_DEMAND_RESIDENTIAL_RECYCLED_WATER_GAL]:[NONPOTABLE_DEMAND_NONRESIDENTIAL_METERED_IRRIGATION_GAL]])</f>
        <v>0</v>
      </c>
      <c r="X4139" t="str">
        <f>IFERROR(INDEX(Crosswalk_API!$H$2:$H$527, MATCH(POTABLE_NONPOTABLE_API[[#This Row],[PWSID]], CW_PWSID_LIST, 0)), "")</f>
        <v>No</v>
      </c>
    </row>
    <row r="4140" spans="1:24" x14ac:dyDescent="0.25">
      <c r="A4140" t="s">
        <v>1954</v>
      </c>
      <c r="B4140" t="s">
        <v>1955</v>
      </c>
      <c r="C4140" t="s">
        <v>1960</v>
      </c>
      <c r="D4140" t="s">
        <v>1961</v>
      </c>
      <c r="E4140" s="9">
        <v>45413</v>
      </c>
      <c r="F4140" s="9">
        <v>45443</v>
      </c>
      <c r="G4140">
        <v>1719652</v>
      </c>
      <c r="H4140">
        <v>41888</v>
      </c>
      <c r="I4140">
        <v>644028</v>
      </c>
      <c r="J4140">
        <v>0</v>
      </c>
      <c r="K4140">
        <v>0</v>
      </c>
      <c r="L4140">
        <v>0</v>
      </c>
      <c r="M4140">
        <v>0</v>
      </c>
      <c r="T4140" s="9">
        <v>45108</v>
      </c>
      <c r="U4140" s="9">
        <v>45473</v>
      </c>
      <c r="V4140">
        <f>SUM(POTABLE_NONPOTABLE_API[[#This Row],[RESIDENTIAL_SINGLEFAMILY_GAL]:[OTHER_GAL]])</f>
        <v>2405568</v>
      </c>
      <c r="W4140">
        <f>SUM(POTABLE_NONPOTABLE_API[[#This Row],[NONPOTABLE_DEMAND_RESIDENTIAL_RECYCLED_WATER_GAL]:[NONPOTABLE_DEMAND_NONRESIDENTIAL_METERED_IRRIGATION_GAL]])</f>
        <v>0</v>
      </c>
      <c r="X4140" t="str">
        <f>IFERROR(INDEX(Crosswalk_API!$H$2:$H$527, MATCH(POTABLE_NONPOTABLE_API[[#This Row],[PWSID]], CW_PWSID_LIST, 0)), "")</f>
        <v>No</v>
      </c>
    </row>
    <row r="4141" spans="1:24" x14ac:dyDescent="0.25">
      <c r="A4141" t="s">
        <v>1954</v>
      </c>
      <c r="B4141" t="s">
        <v>1955</v>
      </c>
      <c r="C4141" t="s">
        <v>1960</v>
      </c>
      <c r="D4141" t="s">
        <v>1961</v>
      </c>
      <c r="E4141" s="9">
        <v>45444</v>
      </c>
      <c r="F4141" s="9">
        <v>45473</v>
      </c>
      <c r="G4141">
        <v>2659140</v>
      </c>
      <c r="H4141">
        <v>35904</v>
      </c>
      <c r="I4141">
        <v>875160</v>
      </c>
      <c r="J4141">
        <v>0</v>
      </c>
      <c r="K4141">
        <v>0</v>
      </c>
      <c r="L4141">
        <v>0</v>
      </c>
      <c r="M4141">
        <v>0</v>
      </c>
      <c r="T4141" s="9">
        <v>45108</v>
      </c>
      <c r="U4141" s="9">
        <v>45473</v>
      </c>
      <c r="V4141">
        <f>SUM(POTABLE_NONPOTABLE_API[[#This Row],[RESIDENTIAL_SINGLEFAMILY_GAL]:[OTHER_GAL]])</f>
        <v>3570204</v>
      </c>
      <c r="W4141">
        <f>SUM(POTABLE_NONPOTABLE_API[[#This Row],[NONPOTABLE_DEMAND_RESIDENTIAL_RECYCLED_WATER_GAL]:[NONPOTABLE_DEMAND_NONRESIDENTIAL_METERED_IRRIGATION_GAL]])</f>
        <v>0</v>
      </c>
      <c r="X4141" t="str">
        <f>IFERROR(INDEX(Crosswalk_API!$H$2:$H$527, MATCH(POTABLE_NONPOTABLE_API[[#This Row],[PWSID]], CW_PWSID_LIST, 0)), "")</f>
        <v>No</v>
      </c>
    </row>
    <row r="4142" spans="1:24" x14ac:dyDescent="0.25">
      <c r="A4142" t="s">
        <v>1954</v>
      </c>
      <c r="B4142" t="s">
        <v>1955</v>
      </c>
      <c r="C4142" t="s">
        <v>1962</v>
      </c>
      <c r="D4142" t="s">
        <v>1963</v>
      </c>
      <c r="E4142" s="9">
        <v>45108</v>
      </c>
      <c r="F4142" s="9">
        <v>45138</v>
      </c>
      <c r="G4142">
        <v>560562800</v>
      </c>
      <c r="H4142">
        <v>52888800</v>
      </c>
      <c r="I4142">
        <v>108745900</v>
      </c>
      <c r="J4142">
        <v>127051300</v>
      </c>
      <c r="K4142">
        <v>12700600</v>
      </c>
      <c r="L4142">
        <v>454500</v>
      </c>
      <c r="M4142">
        <v>0</v>
      </c>
      <c r="T4142" s="9">
        <v>45108</v>
      </c>
      <c r="U4142" s="9">
        <v>45473</v>
      </c>
      <c r="V4142">
        <f>SUM(POTABLE_NONPOTABLE_API[[#This Row],[RESIDENTIAL_SINGLEFAMILY_GAL]:[OTHER_GAL]])</f>
        <v>862403900</v>
      </c>
      <c r="W4142">
        <f>SUM(POTABLE_NONPOTABLE_API[[#This Row],[NONPOTABLE_DEMAND_RESIDENTIAL_RECYCLED_WATER_GAL]:[NONPOTABLE_DEMAND_NONRESIDENTIAL_METERED_IRRIGATION_GAL]])</f>
        <v>0</v>
      </c>
      <c r="X4142" t="str">
        <f>IFERROR(INDEX(Crosswalk_API!$H$2:$H$527, MATCH(POTABLE_NONPOTABLE_API[[#This Row],[PWSID]], CW_PWSID_LIST, 0)), "")</f>
        <v>No</v>
      </c>
    </row>
    <row r="4143" spans="1:24" x14ac:dyDescent="0.25">
      <c r="A4143" t="s">
        <v>1954</v>
      </c>
      <c r="B4143" t="s">
        <v>1955</v>
      </c>
      <c r="C4143" t="s">
        <v>1962</v>
      </c>
      <c r="D4143" t="s">
        <v>1963</v>
      </c>
      <c r="E4143" s="9">
        <v>45139</v>
      </c>
      <c r="F4143" s="9">
        <v>45169</v>
      </c>
      <c r="G4143">
        <v>597807200</v>
      </c>
      <c r="H4143">
        <v>62139000</v>
      </c>
      <c r="I4143">
        <v>113153200</v>
      </c>
      <c r="J4143">
        <v>130647200</v>
      </c>
      <c r="K4143">
        <v>13818500</v>
      </c>
      <c r="L4143">
        <v>464500</v>
      </c>
      <c r="M4143">
        <v>0</v>
      </c>
      <c r="T4143" s="9">
        <v>45108</v>
      </c>
      <c r="U4143" s="9">
        <v>45473</v>
      </c>
      <c r="V4143">
        <f>SUM(POTABLE_NONPOTABLE_API[[#This Row],[RESIDENTIAL_SINGLEFAMILY_GAL]:[OTHER_GAL]])</f>
        <v>918029600</v>
      </c>
      <c r="W4143">
        <f>SUM(POTABLE_NONPOTABLE_API[[#This Row],[NONPOTABLE_DEMAND_RESIDENTIAL_RECYCLED_WATER_GAL]:[NONPOTABLE_DEMAND_NONRESIDENTIAL_METERED_IRRIGATION_GAL]])</f>
        <v>0</v>
      </c>
      <c r="X4143" t="str">
        <f>IFERROR(INDEX(Crosswalk_API!$H$2:$H$527, MATCH(POTABLE_NONPOTABLE_API[[#This Row],[PWSID]], CW_PWSID_LIST, 0)), "")</f>
        <v>No</v>
      </c>
    </row>
    <row r="4144" spans="1:24" x14ac:dyDescent="0.25">
      <c r="A4144" t="s">
        <v>1954</v>
      </c>
      <c r="B4144" t="s">
        <v>1955</v>
      </c>
      <c r="C4144" t="s">
        <v>1962</v>
      </c>
      <c r="D4144" t="s">
        <v>1963</v>
      </c>
      <c r="E4144" s="9">
        <v>45170</v>
      </c>
      <c r="F4144" s="9">
        <v>45199</v>
      </c>
      <c r="G4144">
        <v>423163000</v>
      </c>
      <c r="H4144">
        <v>38331300</v>
      </c>
      <c r="I4144">
        <v>87730000</v>
      </c>
      <c r="J4144">
        <v>99948300</v>
      </c>
      <c r="K4144">
        <v>7775700</v>
      </c>
      <c r="L4144">
        <v>417800</v>
      </c>
      <c r="M4144">
        <v>0</v>
      </c>
      <c r="T4144" s="9">
        <v>45108</v>
      </c>
      <c r="U4144" s="9">
        <v>45473</v>
      </c>
      <c r="V4144">
        <f>SUM(POTABLE_NONPOTABLE_API[[#This Row],[RESIDENTIAL_SINGLEFAMILY_GAL]:[OTHER_GAL]])</f>
        <v>657366100</v>
      </c>
      <c r="W4144">
        <f>SUM(POTABLE_NONPOTABLE_API[[#This Row],[NONPOTABLE_DEMAND_RESIDENTIAL_RECYCLED_WATER_GAL]:[NONPOTABLE_DEMAND_NONRESIDENTIAL_METERED_IRRIGATION_GAL]])</f>
        <v>0</v>
      </c>
      <c r="X4144" t="str">
        <f>IFERROR(INDEX(Crosswalk_API!$H$2:$H$527, MATCH(POTABLE_NONPOTABLE_API[[#This Row],[PWSID]], CW_PWSID_LIST, 0)), "")</f>
        <v>No</v>
      </c>
    </row>
    <row r="4145" spans="1:24" x14ac:dyDescent="0.25">
      <c r="A4145" t="s">
        <v>1954</v>
      </c>
      <c r="B4145" t="s">
        <v>1955</v>
      </c>
      <c r="C4145" t="s">
        <v>1962</v>
      </c>
      <c r="D4145" t="s">
        <v>1963</v>
      </c>
      <c r="E4145" s="9">
        <v>45200</v>
      </c>
      <c r="F4145" s="9">
        <v>45230</v>
      </c>
      <c r="G4145">
        <v>371513400</v>
      </c>
      <c r="H4145">
        <v>37379700</v>
      </c>
      <c r="I4145">
        <v>75725400</v>
      </c>
      <c r="J4145">
        <v>70651200</v>
      </c>
      <c r="K4145">
        <v>6629000</v>
      </c>
      <c r="L4145">
        <v>396800</v>
      </c>
      <c r="M4145">
        <v>0</v>
      </c>
      <c r="T4145" s="9">
        <v>45108</v>
      </c>
      <c r="U4145" s="9">
        <v>45473</v>
      </c>
      <c r="V4145">
        <f>SUM(POTABLE_NONPOTABLE_API[[#This Row],[RESIDENTIAL_SINGLEFAMILY_GAL]:[OTHER_GAL]])</f>
        <v>562295500</v>
      </c>
      <c r="W4145">
        <f>SUM(POTABLE_NONPOTABLE_API[[#This Row],[NONPOTABLE_DEMAND_RESIDENTIAL_RECYCLED_WATER_GAL]:[NONPOTABLE_DEMAND_NONRESIDENTIAL_METERED_IRRIGATION_GAL]])</f>
        <v>0</v>
      </c>
      <c r="X4145" t="str">
        <f>IFERROR(INDEX(Crosswalk_API!$H$2:$H$527, MATCH(POTABLE_NONPOTABLE_API[[#This Row],[PWSID]], CW_PWSID_LIST, 0)), "")</f>
        <v>No</v>
      </c>
    </row>
    <row r="4146" spans="1:24" x14ac:dyDescent="0.25">
      <c r="A4146" t="s">
        <v>1954</v>
      </c>
      <c r="B4146" t="s">
        <v>1955</v>
      </c>
      <c r="C4146" t="s">
        <v>1962</v>
      </c>
      <c r="D4146" t="s">
        <v>1963</v>
      </c>
      <c r="E4146" s="9">
        <v>45231</v>
      </c>
      <c r="F4146" s="9">
        <v>45260</v>
      </c>
      <c r="G4146">
        <v>246563300</v>
      </c>
      <c r="H4146">
        <v>30872500</v>
      </c>
      <c r="I4146">
        <v>51820800</v>
      </c>
      <c r="J4146">
        <v>28044700</v>
      </c>
      <c r="K4146">
        <v>9994500</v>
      </c>
      <c r="L4146">
        <v>451900</v>
      </c>
      <c r="M4146">
        <v>0</v>
      </c>
      <c r="T4146" s="9">
        <v>45108</v>
      </c>
      <c r="U4146" s="9">
        <v>45473</v>
      </c>
      <c r="V4146">
        <f>SUM(POTABLE_NONPOTABLE_API[[#This Row],[RESIDENTIAL_SINGLEFAMILY_GAL]:[OTHER_GAL]])</f>
        <v>367747700</v>
      </c>
      <c r="W4146">
        <f>SUM(POTABLE_NONPOTABLE_API[[#This Row],[NONPOTABLE_DEMAND_RESIDENTIAL_RECYCLED_WATER_GAL]:[NONPOTABLE_DEMAND_NONRESIDENTIAL_METERED_IRRIGATION_GAL]])</f>
        <v>0</v>
      </c>
      <c r="X4146" t="str">
        <f>IFERROR(INDEX(Crosswalk_API!$H$2:$H$527, MATCH(POTABLE_NONPOTABLE_API[[#This Row],[PWSID]], CW_PWSID_LIST, 0)), "")</f>
        <v>No</v>
      </c>
    </row>
    <row r="4147" spans="1:24" x14ac:dyDescent="0.25">
      <c r="A4147" t="s">
        <v>1954</v>
      </c>
      <c r="B4147" t="s">
        <v>1955</v>
      </c>
      <c r="C4147" t="s">
        <v>1962</v>
      </c>
      <c r="D4147" t="s">
        <v>1963</v>
      </c>
      <c r="E4147" s="9">
        <v>45261</v>
      </c>
      <c r="F4147" s="9">
        <v>45291</v>
      </c>
      <c r="G4147">
        <v>191383100</v>
      </c>
      <c r="H4147">
        <v>27841200</v>
      </c>
      <c r="I4147">
        <v>41415000</v>
      </c>
      <c r="J4147">
        <v>9944400</v>
      </c>
      <c r="K4147">
        <v>9608700</v>
      </c>
      <c r="L4147">
        <v>236200</v>
      </c>
      <c r="M4147">
        <v>0</v>
      </c>
      <c r="T4147" s="9">
        <v>45108</v>
      </c>
      <c r="U4147" s="9">
        <v>45473</v>
      </c>
      <c r="V4147">
        <f>SUM(POTABLE_NONPOTABLE_API[[#This Row],[RESIDENTIAL_SINGLEFAMILY_GAL]:[OTHER_GAL]])</f>
        <v>280428600</v>
      </c>
      <c r="W4147">
        <f>SUM(POTABLE_NONPOTABLE_API[[#This Row],[NONPOTABLE_DEMAND_RESIDENTIAL_RECYCLED_WATER_GAL]:[NONPOTABLE_DEMAND_NONRESIDENTIAL_METERED_IRRIGATION_GAL]])</f>
        <v>0</v>
      </c>
      <c r="X4147" t="str">
        <f>IFERROR(INDEX(Crosswalk_API!$H$2:$H$527, MATCH(POTABLE_NONPOTABLE_API[[#This Row],[PWSID]], CW_PWSID_LIST, 0)), "")</f>
        <v>No</v>
      </c>
    </row>
    <row r="4148" spans="1:24" x14ac:dyDescent="0.25">
      <c r="A4148" t="s">
        <v>1954</v>
      </c>
      <c r="B4148" t="s">
        <v>1955</v>
      </c>
      <c r="C4148" t="s">
        <v>1962</v>
      </c>
      <c r="D4148" t="s">
        <v>1963</v>
      </c>
      <c r="E4148" s="9">
        <v>45292</v>
      </c>
      <c r="F4148" s="9">
        <v>45322</v>
      </c>
      <c r="G4148">
        <v>192642300</v>
      </c>
      <c r="H4148">
        <v>28640700</v>
      </c>
      <c r="I4148">
        <v>44582100</v>
      </c>
      <c r="J4148">
        <v>6618500</v>
      </c>
      <c r="K4148">
        <v>8373200.0000000009</v>
      </c>
      <c r="L4148">
        <v>152000</v>
      </c>
      <c r="M4148">
        <v>0</v>
      </c>
      <c r="T4148" s="9">
        <v>45108</v>
      </c>
      <c r="U4148" s="9">
        <v>45473</v>
      </c>
      <c r="V4148">
        <f>SUM(POTABLE_NONPOTABLE_API[[#This Row],[RESIDENTIAL_SINGLEFAMILY_GAL]:[OTHER_GAL]])</f>
        <v>281008800</v>
      </c>
      <c r="W4148">
        <f>SUM(POTABLE_NONPOTABLE_API[[#This Row],[NONPOTABLE_DEMAND_RESIDENTIAL_RECYCLED_WATER_GAL]:[NONPOTABLE_DEMAND_NONRESIDENTIAL_METERED_IRRIGATION_GAL]])</f>
        <v>0</v>
      </c>
      <c r="X4148" t="str">
        <f>IFERROR(INDEX(Crosswalk_API!$H$2:$H$527, MATCH(POTABLE_NONPOTABLE_API[[#This Row],[PWSID]], CW_PWSID_LIST, 0)), "")</f>
        <v>No</v>
      </c>
    </row>
    <row r="4149" spans="1:24" x14ac:dyDescent="0.25">
      <c r="A4149" t="s">
        <v>1954</v>
      </c>
      <c r="B4149" t="s">
        <v>1955</v>
      </c>
      <c r="C4149" t="s">
        <v>1962</v>
      </c>
      <c r="D4149" t="s">
        <v>1963</v>
      </c>
      <c r="E4149" s="9">
        <v>45323</v>
      </c>
      <c r="F4149" s="9">
        <v>45351</v>
      </c>
      <c r="G4149">
        <v>145062500</v>
      </c>
      <c r="H4149">
        <v>24073100</v>
      </c>
      <c r="I4149">
        <v>36115000</v>
      </c>
      <c r="J4149">
        <v>5073000</v>
      </c>
      <c r="K4149">
        <v>8855100</v>
      </c>
      <c r="L4149">
        <v>113400</v>
      </c>
      <c r="M4149">
        <v>0</v>
      </c>
      <c r="T4149" s="9">
        <v>45108</v>
      </c>
      <c r="U4149" s="9">
        <v>45473</v>
      </c>
      <c r="V4149">
        <f>SUM(POTABLE_NONPOTABLE_API[[#This Row],[RESIDENTIAL_SINGLEFAMILY_GAL]:[OTHER_GAL]])</f>
        <v>219292100</v>
      </c>
      <c r="W4149">
        <f>SUM(POTABLE_NONPOTABLE_API[[#This Row],[NONPOTABLE_DEMAND_RESIDENTIAL_RECYCLED_WATER_GAL]:[NONPOTABLE_DEMAND_NONRESIDENTIAL_METERED_IRRIGATION_GAL]])</f>
        <v>0</v>
      </c>
      <c r="X4149" t="str">
        <f>IFERROR(INDEX(Crosswalk_API!$H$2:$H$527, MATCH(POTABLE_NONPOTABLE_API[[#This Row],[PWSID]], CW_PWSID_LIST, 0)), "")</f>
        <v>No</v>
      </c>
    </row>
    <row r="4150" spans="1:24" x14ac:dyDescent="0.25">
      <c r="A4150" t="s">
        <v>1954</v>
      </c>
      <c r="B4150" t="s">
        <v>1955</v>
      </c>
      <c r="C4150" t="s">
        <v>1962</v>
      </c>
      <c r="D4150" t="s">
        <v>1963</v>
      </c>
      <c r="E4150" s="9">
        <v>45352</v>
      </c>
      <c r="F4150" s="9">
        <v>45382</v>
      </c>
      <c r="G4150">
        <v>182799900</v>
      </c>
      <c r="H4150">
        <v>28120100</v>
      </c>
      <c r="I4150">
        <v>45070900</v>
      </c>
      <c r="J4150">
        <v>11154900</v>
      </c>
      <c r="K4150">
        <v>10591200</v>
      </c>
      <c r="L4150">
        <v>40700</v>
      </c>
      <c r="M4150">
        <v>0</v>
      </c>
      <c r="T4150" s="9">
        <v>45108</v>
      </c>
      <c r="U4150" s="9">
        <v>45473</v>
      </c>
      <c r="V4150">
        <f>SUM(POTABLE_NONPOTABLE_API[[#This Row],[RESIDENTIAL_SINGLEFAMILY_GAL]:[OTHER_GAL]])</f>
        <v>277777700</v>
      </c>
      <c r="W4150">
        <f>SUM(POTABLE_NONPOTABLE_API[[#This Row],[NONPOTABLE_DEMAND_RESIDENTIAL_RECYCLED_WATER_GAL]:[NONPOTABLE_DEMAND_NONRESIDENTIAL_METERED_IRRIGATION_GAL]])</f>
        <v>0</v>
      </c>
      <c r="X4150" t="str">
        <f>IFERROR(INDEX(Crosswalk_API!$H$2:$H$527, MATCH(POTABLE_NONPOTABLE_API[[#This Row],[PWSID]], CW_PWSID_LIST, 0)), "")</f>
        <v>No</v>
      </c>
    </row>
    <row r="4151" spans="1:24" x14ac:dyDescent="0.25">
      <c r="A4151" t="s">
        <v>1954</v>
      </c>
      <c r="B4151" t="s">
        <v>1955</v>
      </c>
      <c r="C4151" t="s">
        <v>1962</v>
      </c>
      <c r="D4151" t="s">
        <v>1963</v>
      </c>
      <c r="E4151" s="9">
        <v>45383</v>
      </c>
      <c r="F4151" s="9">
        <v>45412</v>
      </c>
      <c r="G4151">
        <v>245512400</v>
      </c>
      <c r="H4151">
        <v>32601000</v>
      </c>
      <c r="I4151">
        <v>59110600</v>
      </c>
      <c r="J4151">
        <v>34654100</v>
      </c>
      <c r="K4151">
        <v>12070900</v>
      </c>
      <c r="L4151">
        <v>11000</v>
      </c>
      <c r="M4151">
        <v>0</v>
      </c>
      <c r="T4151" s="9">
        <v>45108</v>
      </c>
      <c r="U4151" s="9">
        <v>45473</v>
      </c>
      <c r="V4151">
        <f>SUM(POTABLE_NONPOTABLE_API[[#This Row],[RESIDENTIAL_SINGLEFAMILY_GAL]:[OTHER_GAL]])</f>
        <v>383960000</v>
      </c>
      <c r="W4151">
        <f>SUM(POTABLE_NONPOTABLE_API[[#This Row],[NONPOTABLE_DEMAND_RESIDENTIAL_RECYCLED_WATER_GAL]:[NONPOTABLE_DEMAND_NONRESIDENTIAL_METERED_IRRIGATION_GAL]])</f>
        <v>0</v>
      </c>
      <c r="X4151" t="str">
        <f>IFERROR(INDEX(Crosswalk_API!$H$2:$H$527, MATCH(POTABLE_NONPOTABLE_API[[#This Row],[PWSID]], CW_PWSID_LIST, 0)), "")</f>
        <v>No</v>
      </c>
    </row>
    <row r="4152" spans="1:24" x14ac:dyDescent="0.25">
      <c r="A4152" t="s">
        <v>1954</v>
      </c>
      <c r="B4152" t="s">
        <v>1955</v>
      </c>
      <c r="C4152" t="s">
        <v>1962</v>
      </c>
      <c r="D4152" t="s">
        <v>1963</v>
      </c>
      <c r="E4152" s="9">
        <v>45413</v>
      </c>
      <c r="F4152" s="9">
        <v>45443</v>
      </c>
      <c r="G4152">
        <v>402167800</v>
      </c>
      <c r="H4152">
        <v>43435000</v>
      </c>
      <c r="I4152">
        <v>86127100</v>
      </c>
      <c r="J4152">
        <v>80633300</v>
      </c>
      <c r="K4152">
        <v>12647900</v>
      </c>
      <c r="L4152">
        <v>11400</v>
      </c>
      <c r="M4152">
        <v>0</v>
      </c>
      <c r="T4152" s="9">
        <v>45108</v>
      </c>
      <c r="U4152" s="9">
        <v>45473</v>
      </c>
      <c r="V4152">
        <f>SUM(POTABLE_NONPOTABLE_API[[#This Row],[RESIDENTIAL_SINGLEFAMILY_GAL]:[OTHER_GAL]])</f>
        <v>625022500</v>
      </c>
      <c r="W4152">
        <f>SUM(POTABLE_NONPOTABLE_API[[#This Row],[NONPOTABLE_DEMAND_RESIDENTIAL_RECYCLED_WATER_GAL]:[NONPOTABLE_DEMAND_NONRESIDENTIAL_METERED_IRRIGATION_GAL]])</f>
        <v>0</v>
      </c>
      <c r="X4152" t="str">
        <f>IFERROR(INDEX(Crosswalk_API!$H$2:$H$527, MATCH(POTABLE_NONPOTABLE_API[[#This Row],[PWSID]], CW_PWSID_LIST, 0)), "")</f>
        <v>No</v>
      </c>
    </row>
    <row r="4153" spans="1:24" x14ac:dyDescent="0.25">
      <c r="A4153" t="s">
        <v>1954</v>
      </c>
      <c r="B4153" t="s">
        <v>1955</v>
      </c>
      <c r="C4153" t="s">
        <v>1962</v>
      </c>
      <c r="D4153" t="s">
        <v>1963</v>
      </c>
      <c r="E4153" s="9">
        <v>45444</v>
      </c>
      <c r="F4153" s="9">
        <v>45473</v>
      </c>
      <c r="G4153">
        <v>531353800</v>
      </c>
      <c r="H4153">
        <v>51146000</v>
      </c>
      <c r="I4153">
        <v>84317800</v>
      </c>
      <c r="J4153">
        <v>106702900</v>
      </c>
      <c r="K4153">
        <v>13042100</v>
      </c>
      <c r="L4153">
        <v>24500</v>
      </c>
      <c r="M4153">
        <v>0</v>
      </c>
      <c r="T4153" s="9">
        <v>45108</v>
      </c>
      <c r="U4153" s="9">
        <v>45473</v>
      </c>
      <c r="V4153">
        <f>SUM(POTABLE_NONPOTABLE_API[[#This Row],[RESIDENTIAL_SINGLEFAMILY_GAL]:[OTHER_GAL]])</f>
        <v>786587100</v>
      </c>
      <c r="W4153">
        <f>SUM(POTABLE_NONPOTABLE_API[[#This Row],[NONPOTABLE_DEMAND_RESIDENTIAL_RECYCLED_WATER_GAL]:[NONPOTABLE_DEMAND_NONRESIDENTIAL_METERED_IRRIGATION_GAL]])</f>
        <v>0</v>
      </c>
      <c r="X4153" t="str">
        <f>IFERROR(INDEX(Crosswalk_API!$H$2:$H$527, MATCH(POTABLE_NONPOTABLE_API[[#This Row],[PWSID]], CW_PWSID_LIST, 0)), "")</f>
        <v>No</v>
      </c>
    </row>
    <row r="4154" spans="1:24" x14ac:dyDescent="0.25">
      <c r="A4154" t="s">
        <v>1954</v>
      </c>
      <c r="B4154" t="s">
        <v>1955</v>
      </c>
      <c r="C4154" t="s">
        <v>1964</v>
      </c>
      <c r="D4154" t="s">
        <v>1965</v>
      </c>
      <c r="E4154" s="9">
        <v>45108</v>
      </c>
      <c r="F4154" s="9">
        <v>45138</v>
      </c>
      <c r="G4154">
        <v>1478136</v>
      </c>
      <c r="H4154">
        <v>0</v>
      </c>
      <c r="I4154">
        <v>0</v>
      </c>
      <c r="J4154">
        <v>0</v>
      </c>
      <c r="K4154">
        <v>0</v>
      </c>
      <c r="L4154">
        <v>0</v>
      </c>
      <c r="M4154">
        <v>0</v>
      </c>
      <c r="T4154" s="9">
        <v>45108</v>
      </c>
      <c r="U4154" s="9">
        <v>45473</v>
      </c>
      <c r="V4154">
        <f>SUM(POTABLE_NONPOTABLE_API[[#This Row],[RESIDENTIAL_SINGLEFAMILY_GAL]:[OTHER_GAL]])</f>
        <v>1478136</v>
      </c>
      <c r="W4154">
        <f>SUM(POTABLE_NONPOTABLE_API[[#This Row],[NONPOTABLE_DEMAND_RESIDENTIAL_RECYCLED_WATER_GAL]:[NONPOTABLE_DEMAND_NONRESIDENTIAL_METERED_IRRIGATION_GAL]])</f>
        <v>0</v>
      </c>
      <c r="X4154" t="str">
        <f>IFERROR(INDEX(Crosswalk_API!$H$2:$H$527, MATCH(POTABLE_NONPOTABLE_API[[#This Row],[PWSID]], CW_PWSID_LIST, 0)), "")</f>
        <v>No</v>
      </c>
    </row>
    <row r="4155" spans="1:24" x14ac:dyDescent="0.25">
      <c r="A4155" t="s">
        <v>1954</v>
      </c>
      <c r="B4155" t="s">
        <v>1955</v>
      </c>
      <c r="C4155" t="s">
        <v>1964</v>
      </c>
      <c r="D4155" t="s">
        <v>1965</v>
      </c>
      <c r="E4155" s="9">
        <v>45139</v>
      </c>
      <c r="F4155" s="9">
        <v>45169</v>
      </c>
      <c r="G4155">
        <v>1297780</v>
      </c>
      <c r="H4155">
        <v>0</v>
      </c>
      <c r="I4155">
        <v>0</v>
      </c>
      <c r="J4155">
        <v>0</v>
      </c>
      <c r="K4155">
        <v>0</v>
      </c>
      <c r="L4155">
        <v>0</v>
      </c>
      <c r="M4155">
        <v>0</v>
      </c>
      <c r="T4155" s="9">
        <v>45108</v>
      </c>
      <c r="U4155" s="9">
        <v>45473</v>
      </c>
      <c r="V4155">
        <f>SUM(POTABLE_NONPOTABLE_API[[#This Row],[RESIDENTIAL_SINGLEFAMILY_GAL]:[OTHER_GAL]])</f>
        <v>1297780</v>
      </c>
      <c r="W4155">
        <f>SUM(POTABLE_NONPOTABLE_API[[#This Row],[NONPOTABLE_DEMAND_RESIDENTIAL_RECYCLED_WATER_GAL]:[NONPOTABLE_DEMAND_NONRESIDENTIAL_METERED_IRRIGATION_GAL]])</f>
        <v>0</v>
      </c>
      <c r="X4155" t="str">
        <f>IFERROR(INDEX(Crosswalk_API!$H$2:$H$527, MATCH(POTABLE_NONPOTABLE_API[[#This Row],[PWSID]], CW_PWSID_LIST, 0)), "")</f>
        <v>No</v>
      </c>
    </row>
    <row r="4156" spans="1:24" x14ac:dyDescent="0.25">
      <c r="A4156" t="s">
        <v>1954</v>
      </c>
      <c r="B4156" t="s">
        <v>1955</v>
      </c>
      <c r="C4156" t="s">
        <v>1964</v>
      </c>
      <c r="D4156" t="s">
        <v>1965</v>
      </c>
      <c r="E4156" s="9">
        <v>45170</v>
      </c>
      <c r="F4156" s="9">
        <v>45199</v>
      </c>
      <c r="G4156">
        <v>1035885</v>
      </c>
      <c r="H4156">
        <v>0</v>
      </c>
      <c r="I4156">
        <v>0</v>
      </c>
      <c r="J4156">
        <v>0</v>
      </c>
      <c r="K4156">
        <v>0</v>
      </c>
      <c r="L4156">
        <v>0</v>
      </c>
      <c r="M4156">
        <v>0</v>
      </c>
      <c r="T4156" s="9">
        <v>45108</v>
      </c>
      <c r="U4156" s="9">
        <v>45473</v>
      </c>
      <c r="V4156">
        <f>SUM(POTABLE_NONPOTABLE_API[[#This Row],[RESIDENTIAL_SINGLEFAMILY_GAL]:[OTHER_GAL]])</f>
        <v>1035885</v>
      </c>
      <c r="W4156">
        <f>SUM(POTABLE_NONPOTABLE_API[[#This Row],[NONPOTABLE_DEMAND_RESIDENTIAL_RECYCLED_WATER_GAL]:[NONPOTABLE_DEMAND_NONRESIDENTIAL_METERED_IRRIGATION_GAL]])</f>
        <v>0</v>
      </c>
      <c r="X4156" t="str">
        <f>IFERROR(INDEX(Crosswalk_API!$H$2:$H$527, MATCH(POTABLE_NONPOTABLE_API[[#This Row],[PWSID]], CW_PWSID_LIST, 0)), "")</f>
        <v>No</v>
      </c>
    </row>
    <row r="4157" spans="1:24" x14ac:dyDescent="0.25">
      <c r="A4157" t="s">
        <v>1954</v>
      </c>
      <c r="B4157" t="s">
        <v>1955</v>
      </c>
      <c r="C4157" t="s">
        <v>1964</v>
      </c>
      <c r="D4157" t="s">
        <v>1965</v>
      </c>
      <c r="E4157" s="9">
        <v>45200</v>
      </c>
      <c r="F4157" s="9">
        <v>45230</v>
      </c>
      <c r="G4157">
        <v>787640</v>
      </c>
      <c r="H4157">
        <v>0</v>
      </c>
      <c r="I4157">
        <v>0</v>
      </c>
      <c r="J4157">
        <v>0</v>
      </c>
      <c r="K4157">
        <v>0.2</v>
      </c>
      <c r="L4157">
        <v>0</v>
      </c>
      <c r="M4157">
        <v>0</v>
      </c>
      <c r="T4157" s="9">
        <v>45108</v>
      </c>
      <c r="U4157" s="9">
        <v>45473</v>
      </c>
      <c r="V4157">
        <f>SUM(POTABLE_NONPOTABLE_API[[#This Row],[RESIDENTIAL_SINGLEFAMILY_GAL]:[OTHER_GAL]])</f>
        <v>787640.2</v>
      </c>
      <c r="W4157">
        <f>SUM(POTABLE_NONPOTABLE_API[[#This Row],[NONPOTABLE_DEMAND_RESIDENTIAL_RECYCLED_WATER_GAL]:[NONPOTABLE_DEMAND_NONRESIDENTIAL_METERED_IRRIGATION_GAL]])</f>
        <v>0</v>
      </c>
      <c r="X4157" t="str">
        <f>IFERROR(INDEX(Crosswalk_API!$H$2:$H$527, MATCH(POTABLE_NONPOTABLE_API[[#This Row],[PWSID]], CW_PWSID_LIST, 0)), "")</f>
        <v>No</v>
      </c>
    </row>
    <row r="4158" spans="1:24" x14ac:dyDescent="0.25">
      <c r="A4158" t="s">
        <v>1954</v>
      </c>
      <c r="B4158" t="s">
        <v>1955</v>
      </c>
      <c r="C4158" t="s">
        <v>1964</v>
      </c>
      <c r="D4158" t="s">
        <v>1965</v>
      </c>
      <c r="E4158" s="9">
        <v>45231</v>
      </c>
      <c r="F4158" s="9">
        <v>45260</v>
      </c>
      <c r="G4158">
        <v>336600</v>
      </c>
      <c r="H4158">
        <v>0</v>
      </c>
      <c r="I4158">
        <v>0</v>
      </c>
      <c r="J4158">
        <v>0</v>
      </c>
      <c r="K4158">
        <v>0</v>
      </c>
      <c r="L4158">
        <v>0</v>
      </c>
      <c r="M4158">
        <v>0</v>
      </c>
      <c r="T4158" s="9">
        <v>45108</v>
      </c>
      <c r="U4158" s="9">
        <v>45473</v>
      </c>
      <c r="V4158">
        <f>SUM(POTABLE_NONPOTABLE_API[[#This Row],[RESIDENTIAL_SINGLEFAMILY_GAL]:[OTHER_GAL]])</f>
        <v>336600</v>
      </c>
      <c r="W4158">
        <f>SUM(POTABLE_NONPOTABLE_API[[#This Row],[NONPOTABLE_DEMAND_RESIDENTIAL_RECYCLED_WATER_GAL]:[NONPOTABLE_DEMAND_NONRESIDENTIAL_METERED_IRRIGATION_GAL]])</f>
        <v>0</v>
      </c>
      <c r="X4158" t="str">
        <f>IFERROR(INDEX(Crosswalk_API!$H$2:$H$527, MATCH(POTABLE_NONPOTABLE_API[[#This Row],[PWSID]], CW_PWSID_LIST, 0)), "")</f>
        <v>No</v>
      </c>
    </row>
    <row r="4159" spans="1:24" x14ac:dyDescent="0.25">
      <c r="A4159" t="s">
        <v>1954</v>
      </c>
      <c r="B4159" t="s">
        <v>1955</v>
      </c>
      <c r="C4159" t="s">
        <v>1964</v>
      </c>
      <c r="D4159" t="s">
        <v>1965</v>
      </c>
      <c r="E4159" s="9">
        <v>45261</v>
      </c>
      <c r="F4159" s="9">
        <v>45291</v>
      </c>
      <c r="G4159">
        <v>264792</v>
      </c>
      <c r="H4159">
        <v>0</v>
      </c>
      <c r="I4159">
        <v>0</v>
      </c>
      <c r="J4159">
        <v>0</v>
      </c>
      <c r="K4159">
        <v>0</v>
      </c>
      <c r="L4159">
        <v>0</v>
      </c>
      <c r="M4159">
        <v>0</v>
      </c>
      <c r="T4159" s="9">
        <v>45108</v>
      </c>
      <c r="U4159" s="9">
        <v>45473</v>
      </c>
      <c r="V4159">
        <f>SUM(POTABLE_NONPOTABLE_API[[#This Row],[RESIDENTIAL_SINGLEFAMILY_GAL]:[OTHER_GAL]])</f>
        <v>264792</v>
      </c>
      <c r="W4159">
        <f>SUM(POTABLE_NONPOTABLE_API[[#This Row],[NONPOTABLE_DEMAND_RESIDENTIAL_RECYCLED_WATER_GAL]:[NONPOTABLE_DEMAND_NONRESIDENTIAL_METERED_IRRIGATION_GAL]])</f>
        <v>0</v>
      </c>
      <c r="X4159" t="str">
        <f>IFERROR(INDEX(Crosswalk_API!$H$2:$H$527, MATCH(POTABLE_NONPOTABLE_API[[#This Row],[PWSID]], CW_PWSID_LIST, 0)), "")</f>
        <v>No</v>
      </c>
    </row>
    <row r="4160" spans="1:24" x14ac:dyDescent="0.25">
      <c r="A4160" t="s">
        <v>1954</v>
      </c>
      <c r="B4160" t="s">
        <v>1955</v>
      </c>
      <c r="C4160" t="s">
        <v>1964</v>
      </c>
      <c r="D4160" t="s">
        <v>1965</v>
      </c>
      <c r="E4160" s="9">
        <v>45292</v>
      </c>
      <c r="F4160" s="9">
        <v>45322</v>
      </c>
      <c r="G4160">
        <v>240295</v>
      </c>
      <c r="H4160">
        <v>0</v>
      </c>
      <c r="I4160">
        <v>0</v>
      </c>
      <c r="J4160">
        <v>0</v>
      </c>
      <c r="K4160">
        <v>0</v>
      </c>
      <c r="L4160">
        <v>0</v>
      </c>
      <c r="M4160">
        <v>0</v>
      </c>
      <c r="T4160" s="9">
        <v>45108</v>
      </c>
      <c r="U4160" s="9">
        <v>45473</v>
      </c>
      <c r="V4160">
        <f>SUM(POTABLE_NONPOTABLE_API[[#This Row],[RESIDENTIAL_SINGLEFAMILY_GAL]:[OTHER_GAL]])</f>
        <v>240295</v>
      </c>
      <c r="W4160">
        <f>SUM(POTABLE_NONPOTABLE_API[[#This Row],[NONPOTABLE_DEMAND_RESIDENTIAL_RECYCLED_WATER_GAL]:[NONPOTABLE_DEMAND_NONRESIDENTIAL_METERED_IRRIGATION_GAL]])</f>
        <v>0</v>
      </c>
      <c r="X4160" t="str">
        <f>IFERROR(INDEX(Crosswalk_API!$H$2:$H$527, MATCH(POTABLE_NONPOTABLE_API[[#This Row],[PWSID]], CW_PWSID_LIST, 0)), "")</f>
        <v>No</v>
      </c>
    </row>
    <row r="4161" spans="1:24" x14ac:dyDescent="0.25">
      <c r="A4161" t="s">
        <v>1954</v>
      </c>
      <c r="B4161" t="s">
        <v>1955</v>
      </c>
      <c r="C4161" t="s">
        <v>1964</v>
      </c>
      <c r="D4161" t="s">
        <v>1965</v>
      </c>
      <c r="E4161" s="9">
        <v>45323</v>
      </c>
      <c r="F4161" s="9">
        <v>45351</v>
      </c>
      <c r="G4161">
        <v>226772</v>
      </c>
      <c r="H4161">
        <v>0</v>
      </c>
      <c r="I4161">
        <v>0</v>
      </c>
      <c r="J4161">
        <v>0</v>
      </c>
      <c r="K4161">
        <v>0</v>
      </c>
      <c r="L4161">
        <v>0</v>
      </c>
      <c r="M4161">
        <v>0</v>
      </c>
      <c r="T4161" s="9">
        <v>45108</v>
      </c>
      <c r="U4161" s="9">
        <v>45473</v>
      </c>
      <c r="V4161">
        <f>SUM(POTABLE_NONPOTABLE_API[[#This Row],[RESIDENTIAL_SINGLEFAMILY_GAL]:[OTHER_GAL]])</f>
        <v>226772</v>
      </c>
      <c r="W4161">
        <f>SUM(POTABLE_NONPOTABLE_API[[#This Row],[NONPOTABLE_DEMAND_RESIDENTIAL_RECYCLED_WATER_GAL]:[NONPOTABLE_DEMAND_NONRESIDENTIAL_METERED_IRRIGATION_GAL]])</f>
        <v>0</v>
      </c>
      <c r="X4161" t="str">
        <f>IFERROR(INDEX(Crosswalk_API!$H$2:$H$527, MATCH(POTABLE_NONPOTABLE_API[[#This Row],[PWSID]], CW_PWSID_LIST, 0)), "")</f>
        <v>No</v>
      </c>
    </row>
    <row r="4162" spans="1:24" x14ac:dyDescent="0.25">
      <c r="A4162" t="s">
        <v>1954</v>
      </c>
      <c r="B4162" t="s">
        <v>1955</v>
      </c>
      <c r="C4162" t="s">
        <v>1964</v>
      </c>
      <c r="D4162" t="s">
        <v>1965</v>
      </c>
      <c r="E4162" s="9">
        <v>45352</v>
      </c>
      <c r="F4162" s="9">
        <v>45382</v>
      </c>
      <c r="G4162">
        <v>231880</v>
      </c>
      <c r="H4162">
        <v>0</v>
      </c>
      <c r="I4162">
        <v>0</v>
      </c>
      <c r="J4162">
        <v>0</v>
      </c>
      <c r="K4162">
        <v>0</v>
      </c>
      <c r="L4162">
        <v>0</v>
      </c>
      <c r="M4162">
        <v>0</v>
      </c>
      <c r="T4162" s="9">
        <v>45108</v>
      </c>
      <c r="U4162" s="9">
        <v>45473</v>
      </c>
      <c r="V4162">
        <f>SUM(POTABLE_NONPOTABLE_API[[#This Row],[RESIDENTIAL_SINGLEFAMILY_GAL]:[OTHER_GAL]])</f>
        <v>231880</v>
      </c>
      <c r="W4162">
        <f>SUM(POTABLE_NONPOTABLE_API[[#This Row],[NONPOTABLE_DEMAND_RESIDENTIAL_RECYCLED_WATER_GAL]:[NONPOTABLE_DEMAND_NONRESIDENTIAL_METERED_IRRIGATION_GAL]])</f>
        <v>0</v>
      </c>
      <c r="X4162" t="str">
        <f>IFERROR(INDEX(Crosswalk_API!$H$2:$H$527, MATCH(POTABLE_NONPOTABLE_API[[#This Row],[PWSID]], CW_PWSID_LIST, 0)), "")</f>
        <v>No</v>
      </c>
    </row>
    <row r="4163" spans="1:24" x14ac:dyDescent="0.25">
      <c r="A4163" t="s">
        <v>1954</v>
      </c>
      <c r="B4163" t="s">
        <v>1955</v>
      </c>
      <c r="C4163" t="s">
        <v>1964</v>
      </c>
      <c r="D4163" t="s">
        <v>1965</v>
      </c>
      <c r="E4163" s="9">
        <v>45383</v>
      </c>
      <c r="F4163" s="9">
        <v>45412</v>
      </c>
      <c r="G4163">
        <v>391952</v>
      </c>
      <c r="H4163">
        <v>0</v>
      </c>
      <c r="I4163">
        <v>0</v>
      </c>
      <c r="J4163">
        <v>0</v>
      </c>
      <c r="K4163">
        <v>0</v>
      </c>
      <c r="L4163">
        <v>0</v>
      </c>
      <c r="M4163">
        <v>0</v>
      </c>
      <c r="T4163" s="9">
        <v>45108</v>
      </c>
      <c r="U4163" s="9">
        <v>45473</v>
      </c>
      <c r="V4163">
        <f>SUM(POTABLE_NONPOTABLE_API[[#This Row],[RESIDENTIAL_SINGLEFAMILY_GAL]:[OTHER_GAL]])</f>
        <v>391952</v>
      </c>
      <c r="W4163">
        <f>SUM(POTABLE_NONPOTABLE_API[[#This Row],[NONPOTABLE_DEMAND_RESIDENTIAL_RECYCLED_WATER_GAL]:[NONPOTABLE_DEMAND_NONRESIDENTIAL_METERED_IRRIGATION_GAL]])</f>
        <v>0</v>
      </c>
      <c r="X4163" t="str">
        <f>IFERROR(INDEX(Crosswalk_API!$H$2:$H$527, MATCH(POTABLE_NONPOTABLE_API[[#This Row],[PWSID]], CW_PWSID_LIST, 0)), "")</f>
        <v>No</v>
      </c>
    </row>
    <row r="4164" spans="1:24" x14ac:dyDescent="0.25">
      <c r="A4164" t="s">
        <v>1954</v>
      </c>
      <c r="B4164" t="s">
        <v>1955</v>
      </c>
      <c r="C4164" t="s">
        <v>1964</v>
      </c>
      <c r="D4164" t="s">
        <v>1965</v>
      </c>
      <c r="E4164" s="9">
        <v>45413</v>
      </c>
      <c r="F4164" s="9">
        <v>45443</v>
      </c>
      <c r="G4164">
        <v>935000</v>
      </c>
      <c r="H4164">
        <v>0</v>
      </c>
      <c r="I4164">
        <v>0</v>
      </c>
      <c r="J4164">
        <v>0</v>
      </c>
      <c r="K4164">
        <v>0</v>
      </c>
      <c r="L4164">
        <v>0</v>
      </c>
      <c r="M4164">
        <v>0</v>
      </c>
      <c r="T4164" s="9">
        <v>45108</v>
      </c>
      <c r="U4164" s="9">
        <v>45473</v>
      </c>
      <c r="V4164">
        <f>SUM(POTABLE_NONPOTABLE_API[[#This Row],[RESIDENTIAL_SINGLEFAMILY_GAL]:[OTHER_GAL]])</f>
        <v>935000</v>
      </c>
      <c r="W4164">
        <f>SUM(POTABLE_NONPOTABLE_API[[#This Row],[NONPOTABLE_DEMAND_RESIDENTIAL_RECYCLED_WATER_GAL]:[NONPOTABLE_DEMAND_NONRESIDENTIAL_METERED_IRRIGATION_GAL]])</f>
        <v>0</v>
      </c>
      <c r="X4164" t="str">
        <f>IFERROR(INDEX(Crosswalk_API!$H$2:$H$527, MATCH(POTABLE_NONPOTABLE_API[[#This Row],[PWSID]], CW_PWSID_LIST, 0)), "")</f>
        <v>No</v>
      </c>
    </row>
    <row r="4165" spans="1:24" x14ac:dyDescent="0.25">
      <c r="A4165" t="s">
        <v>1954</v>
      </c>
      <c r="B4165" t="s">
        <v>1955</v>
      </c>
      <c r="C4165" t="s">
        <v>1964</v>
      </c>
      <c r="D4165" t="s">
        <v>1965</v>
      </c>
      <c r="E4165" s="9">
        <v>45444</v>
      </c>
      <c r="F4165" s="9">
        <v>45473</v>
      </c>
      <c r="G4165">
        <v>1267860</v>
      </c>
      <c r="H4165">
        <v>0</v>
      </c>
      <c r="I4165">
        <v>0</v>
      </c>
      <c r="J4165">
        <v>0</v>
      </c>
      <c r="K4165">
        <v>0</v>
      </c>
      <c r="L4165">
        <v>0</v>
      </c>
      <c r="M4165">
        <v>0</v>
      </c>
      <c r="T4165" s="9">
        <v>45108</v>
      </c>
      <c r="U4165" s="9">
        <v>45473</v>
      </c>
      <c r="V4165">
        <f>SUM(POTABLE_NONPOTABLE_API[[#This Row],[RESIDENTIAL_SINGLEFAMILY_GAL]:[OTHER_GAL]])</f>
        <v>1267860</v>
      </c>
      <c r="W4165">
        <f>SUM(POTABLE_NONPOTABLE_API[[#This Row],[NONPOTABLE_DEMAND_RESIDENTIAL_RECYCLED_WATER_GAL]:[NONPOTABLE_DEMAND_NONRESIDENTIAL_METERED_IRRIGATION_GAL]])</f>
        <v>0</v>
      </c>
      <c r="X4165" t="str">
        <f>IFERROR(INDEX(Crosswalk_API!$H$2:$H$527, MATCH(POTABLE_NONPOTABLE_API[[#This Row],[PWSID]], CW_PWSID_LIST, 0)), "")</f>
        <v>No</v>
      </c>
    </row>
    <row r="4166" spans="1:24" x14ac:dyDescent="0.25">
      <c r="A4166" t="s">
        <v>1954</v>
      </c>
      <c r="B4166" t="s">
        <v>1955</v>
      </c>
      <c r="C4166" t="s">
        <v>1966</v>
      </c>
      <c r="D4166" t="s">
        <v>1967</v>
      </c>
      <c r="E4166" s="9">
        <v>45108</v>
      </c>
      <c r="F4166" s="9">
        <v>45138</v>
      </c>
      <c r="G4166">
        <v>871000</v>
      </c>
      <c r="H4166">
        <v>19570</v>
      </c>
      <c r="I4166">
        <v>0</v>
      </c>
      <c r="J4166">
        <v>8700</v>
      </c>
      <c r="K4166">
        <v>0</v>
      </c>
      <c r="L4166">
        <v>0</v>
      </c>
      <c r="M4166">
        <v>0</v>
      </c>
      <c r="T4166" s="9">
        <v>45108</v>
      </c>
      <c r="U4166" s="9">
        <v>45473</v>
      </c>
      <c r="V4166">
        <f>SUM(POTABLE_NONPOTABLE_API[[#This Row],[RESIDENTIAL_SINGLEFAMILY_GAL]:[OTHER_GAL]])</f>
        <v>899270</v>
      </c>
      <c r="W4166">
        <f>SUM(POTABLE_NONPOTABLE_API[[#This Row],[NONPOTABLE_DEMAND_RESIDENTIAL_RECYCLED_WATER_GAL]:[NONPOTABLE_DEMAND_NONRESIDENTIAL_METERED_IRRIGATION_GAL]])</f>
        <v>0</v>
      </c>
      <c r="X4166" t="str">
        <f>IFERROR(INDEX(Crosswalk_API!$H$2:$H$527, MATCH(POTABLE_NONPOTABLE_API[[#This Row],[PWSID]], CW_PWSID_LIST, 0)), "")</f>
        <v>No</v>
      </c>
    </row>
    <row r="4167" spans="1:24" x14ac:dyDescent="0.25">
      <c r="A4167" t="s">
        <v>1954</v>
      </c>
      <c r="B4167" t="s">
        <v>1955</v>
      </c>
      <c r="C4167" t="s">
        <v>1966</v>
      </c>
      <c r="D4167" t="s">
        <v>1967</v>
      </c>
      <c r="E4167" s="9">
        <v>45139</v>
      </c>
      <c r="F4167" s="9">
        <v>45169</v>
      </c>
      <c r="G4167">
        <v>841500</v>
      </c>
      <c r="H4167">
        <v>19448</v>
      </c>
      <c r="I4167">
        <v>0</v>
      </c>
      <c r="J4167">
        <v>8228</v>
      </c>
      <c r="K4167">
        <v>0</v>
      </c>
      <c r="L4167">
        <v>0</v>
      </c>
      <c r="M4167">
        <v>0</v>
      </c>
      <c r="T4167" s="9">
        <v>45108</v>
      </c>
      <c r="U4167" s="9">
        <v>45473</v>
      </c>
      <c r="V4167">
        <f>SUM(POTABLE_NONPOTABLE_API[[#This Row],[RESIDENTIAL_SINGLEFAMILY_GAL]:[OTHER_GAL]])</f>
        <v>869176</v>
      </c>
      <c r="W4167">
        <f>SUM(POTABLE_NONPOTABLE_API[[#This Row],[NONPOTABLE_DEMAND_RESIDENTIAL_RECYCLED_WATER_GAL]:[NONPOTABLE_DEMAND_NONRESIDENTIAL_METERED_IRRIGATION_GAL]])</f>
        <v>0</v>
      </c>
      <c r="X4167" t="str">
        <f>IFERROR(INDEX(Crosswalk_API!$H$2:$H$527, MATCH(POTABLE_NONPOTABLE_API[[#This Row],[PWSID]], CW_PWSID_LIST, 0)), "")</f>
        <v>No</v>
      </c>
    </row>
    <row r="4168" spans="1:24" x14ac:dyDescent="0.25">
      <c r="A4168" t="s">
        <v>1954</v>
      </c>
      <c r="B4168" t="s">
        <v>1955</v>
      </c>
      <c r="C4168" t="s">
        <v>1966</v>
      </c>
      <c r="D4168" t="s">
        <v>1967</v>
      </c>
      <c r="E4168" s="9">
        <v>45170</v>
      </c>
      <c r="F4168" s="9">
        <v>45199</v>
      </c>
      <c r="G4168">
        <v>706860</v>
      </c>
      <c r="H4168">
        <v>6732</v>
      </c>
      <c r="I4168">
        <v>0</v>
      </c>
      <c r="J4168">
        <v>8228</v>
      </c>
      <c r="K4168">
        <v>0</v>
      </c>
      <c r="L4168">
        <v>0</v>
      </c>
      <c r="M4168">
        <v>0</v>
      </c>
      <c r="T4168" s="9">
        <v>45108</v>
      </c>
      <c r="U4168" s="9">
        <v>45473</v>
      </c>
      <c r="V4168">
        <f>SUM(POTABLE_NONPOTABLE_API[[#This Row],[RESIDENTIAL_SINGLEFAMILY_GAL]:[OTHER_GAL]])</f>
        <v>721820</v>
      </c>
      <c r="W4168">
        <f>SUM(POTABLE_NONPOTABLE_API[[#This Row],[NONPOTABLE_DEMAND_RESIDENTIAL_RECYCLED_WATER_GAL]:[NONPOTABLE_DEMAND_NONRESIDENTIAL_METERED_IRRIGATION_GAL]])</f>
        <v>0</v>
      </c>
      <c r="X4168" t="str">
        <f>IFERROR(INDEX(Crosswalk_API!$H$2:$H$527, MATCH(POTABLE_NONPOTABLE_API[[#This Row],[PWSID]], CW_PWSID_LIST, 0)), "")</f>
        <v>No</v>
      </c>
    </row>
    <row r="4169" spans="1:24" x14ac:dyDescent="0.25">
      <c r="A4169" t="s">
        <v>1954</v>
      </c>
      <c r="B4169" t="s">
        <v>1955</v>
      </c>
      <c r="C4169" t="s">
        <v>1966</v>
      </c>
      <c r="D4169" t="s">
        <v>1967</v>
      </c>
      <c r="E4169" s="9">
        <v>45200</v>
      </c>
      <c r="F4169" s="9">
        <v>45230</v>
      </c>
      <c r="G4169">
        <v>575210</v>
      </c>
      <c r="H4169">
        <v>9720</v>
      </c>
      <c r="I4169">
        <v>0</v>
      </c>
      <c r="J4169">
        <v>8230</v>
      </c>
      <c r="K4169">
        <v>0</v>
      </c>
      <c r="L4169">
        <v>0</v>
      </c>
      <c r="M4169">
        <v>0</v>
      </c>
      <c r="T4169" s="9">
        <v>45108</v>
      </c>
      <c r="U4169" s="9">
        <v>45473</v>
      </c>
      <c r="V4169">
        <f>SUM(POTABLE_NONPOTABLE_API[[#This Row],[RESIDENTIAL_SINGLEFAMILY_GAL]:[OTHER_GAL]])</f>
        <v>593160</v>
      </c>
      <c r="W4169">
        <f>SUM(POTABLE_NONPOTABLE_API[[#This Row],[NONPOTABLE_DEMAND_RESIDENTIAL_RECYCLED_WATER_GAL]:[NONPOTABLE_DEMAND_NONRESIDENTIAL_METERED_IRRIGATION_GAL]])</f>
        <v>0</v>
      </c>
      <c r="X4169" t="str">
        <f>IFERROR(INDEX(Crosswalk_API!$H$2:$H$527, MATCH(POTABLE_NONPOTABLE_API[[#This Row],[PWSID]], CW_PWSID_LIST, 0)), "")</f>
        <v>No</v>
      </c>
    </row>
    <row r="4170" spans="1:24" x14ac:dyDescent="0.25">
      <c r="A4170" t="s">
        <v>1954</v>
      </c>
      <c r="B4170" t="s">
        <v>1955</v>
      </c>
      <c r="C4170" t="s">
        <v>1966</v>
      </c>
      <c r="D4170" t="s">
        <v>1967</v>
      </c>
      <c r="E4170" s="9">
        <v>45231</v>
      </c>
      <c r="F4170" s="9">
        <v>45260</v>
      </c>
      <c r="G4170">
        <v>350064</v>
      </c>
      <c r="H4170">
        <v>2244</v>
      </c>
      <c r="I4170">
        <v>0</v>
      </c>
      <c r="J4170">
        <v>4488</v>
      </c>
      <c r="K4170">
        <v>0</v>
      </c>
      <c r="L4170">
        <v>0</v>
      </c>
      <c r="M4170">
        <v>0</v>
      </c>
      <c r="T4170" s="9">
        <v>45108</v>
      </c>
      <c r="U4170" s="9">
        <v>45473</v>
      </c>
      <c r="V4170">
        <f>SUM(POTABLE_NONPOTABLE_API[[#This Row],[RESIDENTIAL_SINGLEFAMILY_GAL]:[OTHER_GAL]])</f>
        <v>356796</v>
      </c>
      <c r="W4170">
        <f>SUM(POTABLE_NONPOTABLE_API[[#This Row],[NONPOTABLE_DEMAND_RESIDENTIAL_RECYCLED_WATER_GAL]:[NONPOTABLE_DEMAND_NONRESIDENTIAL_METERED_IRRIGATION_GAL]])</f>
        <v>0</v>
      </c>
      <c r="X4170" t="str">
        <f>IFERROR(INDEX(Crosswalk_API!$H$2:$H$527, MATCH(POTABLE_NONPOTABLE_API[[#This Row],[PWSID]], CW_PWSID_LIST, 0)), "")</f>
        <v>No</v>
      </c>
    </row>
    <row r="4171" spans="1:24" x14ac:dyDescent="0.25">
      <c r="A4171" t="s">
        <v>1954</v>
      </c>
      <c r="B4171" t="s">
        <v>1955</v>
      </c>
      <c r="C4171" t="s">
        <v>1966</v>
      </c>
      <c r="D4171" t="s">
        <v>1967</v>
      </c>
      <c r="E4171" s="9">
        <v>45261</v>
      </c>
      <c r="F4171" s="9">
        <v>45291</v>
      </c>
      <c r="G4171">
        <v>341836</v>
      </c>
      <c r="H4171">
        <v>2244</v>
      </c>
      <c r="I4171">
        <v>0</v>
      </c>
      <c r="J4171">
        <v>3740</v>
      </c>
      <c r="K4171">
        <v>0</v>
      </c>
      <c r="L4171">
        <v>0</v>
      </c>
      <c r="M4171">
        <v>0</v>
      </c>
      <c r="T4171" s="9">
        <v>45108</v>
      </c>
      <c r="U4171" s="9">
        <v>45473</v>
      </c>
      <c r="V4171">
        <f>SUM(POTABLE_NONPOTABLE_API[[#This Row],[RESIDENTIAL_SINGLEFAMILY_GAL]:[OTHER_GAL]])</f>
        <v>347820</v>
      </c>
      <c r="W4171">
        <f>SUM(POTABLE_NONPOTABLE_API[[#This Row],[NONPOTABLE_DEMAND_RESIDENTIAL_RECYCLED_WATER_GAL]:[NONPOTABLE_DEMAND_NONRESIDENTIAL_METERED_IRRIGATION_GAL]])</f>
        <v>0</v>
      </c>
      <c r="X4171" t="str">
        <f>IFERROR(INDEX(Crosswalk_API!$H$2:$H$527, MATCH(POTABLE_NONPOTABLE_API[[#This Row],[PWSID]], CW_PWSID_LIST, 0)), "")</f>
        <v>No</v>
      </c>
    </row>
    <row r="4172" spans="1:24" x14ac:dyDescent="0.25">
      <c r="A4172" t="s">
        <v>1954</v>
      </c>
      <c r="B4172" t="s">
        <v>1955</v>
      </c>
      <c r="C4172" t="s">
        <v>1966</v>
      </c>
      <c r="D4172" t="s">
        <v>1967</v>
      </c>
      <c r="E4172" s="9">
        <v>45292</v>
      </c>
      <c r="F4172" s="9">
        <v>45322</v>
      </c>
      <c r="G4172">
        <v>317900</v>
      </c>
      <c r="H4172">
        <v>2990</v>
      </c>
      <c r="I4172">
        <v>0</v>
      </c>
      <c r="J4172">
        <v>4490</v>
      </c>
      <c r="K4172">
        <v>0</v>
      </c>
      <c r="L4172">
        <v>0</v>
      </c>
      <c r="M4172">
        <v>0</v>
      </c>
      <c r="T4172" s="9">
        <v>45108</v>
      </c>
      <c r="U4172" s="9">
        <v>45473</v>
      </c>
      <c r="V4172">
        <f>SUM(POTABLE_NONPOTABLE_API[[#This Row],[RESIDENTIAL_SINGLEFAMILY_GAL]:[OTHER_GAL]])</f>
        <v>325380</v>
      </c>
      <c r="W4172">
        <f>SUM(POTABLE_NONPOTABLE_API[[#This Row],[NONPOTABLE_DEMAND_RESIDENTIAL_RECYCLED_WATER_GAL]:[NONPOTABLE_DEMAND_NONRESIDENTIAL_METERED_IRRIGATION_GAL]])</f>
        <v>0</v>
      </c>
      <c r="X4172" t="str">
        <f>IFERROR(INDEX(Crosswalk_API!$H$2:$H$527, MATCH(POTABLE_NONPOTABLE_API[[#This Row],[PWSID]], CW_PWSID_LIST, 0)), "")</f>
        <v>No</v>
      </c>
    </row>
    <row r="4173" spans="1:24" x14ac:dyDescent="0.25">
      <c r="A4173" t="s">
        <v>1954</v>
      </c>
      <c r="B4173" t="s">
        <v>1955</v>
      </c>
      <c r="C4173" t="s">
        <v>1966</v>
      </c>
      <c r="D4173" t="s">
        <v>1967</v>
      </c>
      <c r="E4173" s="9">
        <v>45323</v>
      </c>
      <c r="F4173" s="9">
        <v>45351</v>
      </c>
      <c r="G4173">
        <v>408408</v>
      </c>
      <c r="H4173">
        <v>2992</v>
      </c>
      <c r="I4173">
        <v>0</v>
      </c>
      <c r="J4173">
        <v>2992</v>
      </c>
      <c r="K4173">
        <v>0</v>
      </c>
      <c r="L4173">
        <v>0</v>
      </c>
      <c r="M4173">
        <v>0</v>
      </c>
      <c r="T4173" s="9">
        <v>45108</v>
      </c>
      <c r="U4173" s="9">
        <v>45473</v>
      </c>
      <c r="V4173">
        <f>SUM(POTABLE_NONPOTABLE_API[[#This Row],[RESIDENTIAL_SINGLEFAMILY_GAL]:[OTHER_GAL]])</f>
        <v>414392</v>
      </c>
      <c r="W4173">
        <f>SUM(POTABLE_NONPOTABLE_API[[#This Row],[NONPOTABLE_DEMAND_RESIDENTIAL_RECYCLED_WATER_GAL]:[NONPOTABLE_DEMAND_NONRESIDENTIAL_METERED_IRRIGATION_GAL]])</f>
        <v>0</v>
      </c>
      <c r="X4173" t="str">
        <f>IFERROR(INDEX(Crosswalk_API!$H$2:$H$527, MATCH(POTABLE_NONPOTABLE_API[[#This Row],[PWSID]], CW_PWSID_LIST, 0)), "")</f>
        <v>No</v>
      </c>
    </row>
    <row r="4174" spans="1:24" x14ac:dyDescent="0.25">
      <c r="A4174" t="s">
        <v>1954</v>
      </c>
      <c r="B4174" t="s">
        <v>1955</v>
      </c>
      <c r="C4174" t="s">
        <v>1966</v>
      </c>
      <c r="D4174" t="s">
        <v>1967</v>
      </c>
      <c r="E4174" s="9">
        <v>45352</v>
      </c>
      <c r="F4174" s="9">
        <v>45382</v>
      </c>
      <c r="G4174">
        <v>299948</v>
      </c>
      <c r="H4174">
        <v>4488</v>
      </c>
      <c r="I4174">
        <v>0</v>
      </c>
      <c r="J4174">
        <v>2992</v>
      </c>
      <c r="K4174">
        <v>0</v>
      </c>
      <c r="L4174">
        <v>0</v>
      </c>
      <c r="M4174">
        <v>0</v>
      </c>
      <c r="T4174" s="9">
        <v>45108</v>
      </c>
      <c r="U4174" s="9">
        <v>45473</v>
      </c>
      <c r="V4174">
        <f>SUM(POTABLE_NONPOTABLE_API[[#This Row],[RESIDENTIAL_SINGLEFAMILY_GAL]:[OTHER_GAL]])</f>
        <v>307428</v>
      </c>
      <c r="W4174">
        <f>SUM(POTABLE_NONPOTABLE_API[[#This Row],[NONPOTABLE_DEMAND_RESIDENTIAL_RECYCLED_WATER_GAL]:[NONPOTABLE_DEMAND_NONRESIDENTIAL_METERED_IRRIGATION_GAL]])</f>
        <v>0</v>
      </c>
      <c r="X4174" t="str">
        <f>IFERROR(INDEX(Crosswalk_API!$H$2:$H$527, MATCH(POTABLE_NONPOTABLE_API[[#This Row],[PWSID]], CW_PWSID_LIST, 0)), "")</f>
        <v>No</v>
      </c>
    </row>
    <row r="4175" spans="1:24" x14ac:dyDescent="0.25">
      <c r="A4175" t="s">
        <v>1954</v>
      </c>
      <c r="B4175" t="s">
        <v>1955</v>
      </c>
      <c r="C4175" t="s">
        <v>1966</v>
      </c>
      <c r="D4175" t="s">
        <v>1967</v>
      </c>
      <c r="E4175" s="9">
        <v>45383</v>
      </c>
      <c r="F4175" s="9">
        <v>45412</v>
      </c>
      <c r="G4175">
        <v>412896</v>
      </c>
      <c r="H4175">
        <v>3740</v>
      </c>
      <c r="I4175">
        <v>0</v>
      </c>
      <c r="J4175">
        <v>2244</v>
      </c>
      <c r="K4175">
        <v>0</v>
      </c>
      <c r="L4175">
        <v>0</v>
      </c>
      <c r="M4175">
        <v>0</v>
      </c>
      <c r="T4175" s="9">
        <v>45108</v>
      </c>
      <c r="U4175" s="9">
        <v>45473</v>
      </c>
      <c r="V4175">
        <f>SUM(POTABLE_NONPOTABLE_API[[#This Row],[RESIDENTIAL_SINGLEFAMILY_GAL]:[OTHER_GAL]])</f>
        <v>418880</v>
      </c>
      <c r="W4175">
        <f>SUM(POTABLE_NONPOTABLE_API[[#This Row],[NONPOTABLE_DEMAND_RESIDENTIAL_RECYCLED_WATER_GAL]:[NONPOTABLE_DEMAND_NONRESIDENTIAL_METERED_IRRIGATION_GAL]])</f>
        <v>0</v>
      </c>
      <c r="X4175" t="str">
        <f>IFERROR(INDEX(Crosswalk_API!$H$2:$H$527, MATCH(POTABLE_NONPOTABLE_API[[#This Row],[PWSID]], CW_PWSID_LIST, 0)), "")</f>
        <v>No</v>
      </c>
    </row>
    <row r="4176" spans="1:24" x14ac:dyDescent="0.25">
      <c r="A4176" t="s">
        <v>1954</v>
      </c>
      <c r="B4176" t="s">
        <v>1955</v>
      </c>
      <c r="C4176" t="s">
        <v>1966</v>
      </c>
      <c r="D4176" t="s">
        <v>1967</v>
      </c>
      <c r="E4176" s="9">
        <v>45413</v>
      </c>
      <c r="F4176" s="9">
        <v>45443</v>
      </c>
      <c r="G4176">
        <v>563992</v>
      </c>
      <c r="H4176">
        <v>2992</v>
      </c>
      <c r="I4176">
        <v>0</v>
      </c>
      <c r="J4176">
        <v>748</v>
      </c>
      <c r="K4176">
        <v>0</v>
      </c>
      <c r="L4176">
        <v>0</v>
      </c>
      <c r="M4176">
        <v>0</v>
      </c>
      <c r="T4176" s="9">
        <v>45108</v>
      </c>
      <c r="U4176" s="9">
        <v>45473</v>
      </c>
      <c r="V4176">
        <f>SUM(POTABLE_NONPOTABLE_API[[#This Row],[RESIDENTIAL_SINGLEFAMILY_GAL]:[OTHER_GAL]])</f>
        <v>567732</v>
      </c>
      <c r="W4176">
        <f>SUM(POTABLE_NONPOTABLE_API[[#This Row],[NONPOTABLE_DEMAND_RESIDENTIAL_RECYCLED_WATER_GAL]:[NONPOTABLE_DEMAND_NONRESIDENTIAL_METERED_IRRIGATION_GAL]])</f>
        <v>0</v>
      </c>
      <c r="X4176" t="str">
        <f>IFERROR(INDEX(Crosswalk_API!$H$2:$H$527, MATCH(POTABLE_NONPOTABLE_API[[#This Row],[PWSID]], CW_PWSID_LIST, 0)), "")</f>
        <v>No</v>
      </c>
    </row>
    <row r="4177" spans="1:24" x14ac:dyDescent="0.25">
      <c r="A4177" t="s">
        <v>1954</v>
      </c>
      <c r="B4177" t="s">
        <v>1955</v>
      </c>
      <c r="C4177" t="s">
        <v>1966</v>
      </c>
      <c r="D4177" t="s">
        <v>1967</v>
      </c>
      <c r="E4177" s="9">
        <v>45444</v>
      </c>
      <c r="F4177" s="9">
        <v>45473</v>
      </c>
      <c r="G4177">
        <v>872916</v>
      </c>
      <c r="H4177">
        <v>2992</v>
      </c>
      <c r="I4177">
        <v>0</v>
      </c>
      <c r="J4177">
        <v>7480</v>
      </c>
      <c r="K4177">
        <v>0</v>
      </c>
      <c r="L4177">
        <v>0</v>
      </c>
      <c r="M4177">
        <v>0</v>
      </c>
      <c r="T4177" s="9">
        <v>45108</v>
      </c>
      <c r="U4177" s="9">
        <v>45473</v>
      </c>
      <c r="V4177">
        <f>SUM(POTABLE_NONPOTABLE_API[[#This Row],[RESIDENTIAL_SINGLEFAMILY_GAL]:[OTHER_GAL]])</f>
        <v>883388</v>
      </c>
      <c r="W4177">
        <f>SUM(POTABLE_NONPOTABLE_API[[#This Row],[NONPOTABLE_DEMAND_RESIDENTIAL_RECYCLED_WATER_GAL]:[NONPOTABLE_DEMAND_NONRESIDENTIAL_METERED_IRRIGATION_GAL]])</f>
        <v>0</v>
      </c>
      <c r="X4177" t="str">
        <f>IFERROR(INDEX(Crosswalk_API!$H$2:$H$527, MATCH(POTABLE_NONPOTABLE_API[[#This Row],[PWSID]], CW_PWSID_LIST, 0)), "")</f>
        <v>No</v>
      </c>
    </row>
    <row r="4178" spans="1:24" x14ac:dyDescent="0.25">
      <c r="A4178" t="s">
        <v>1954</v>
      </c>
      <c r="B4178" t="s">
        <v>1955</v>
      </c>
      <c r="C4178" t="s">
        <v>1968</v>
      </c>
      <c r="D4178" t="s">
        <v>1969</v>
      </c>
      <c r="E4178" s="9">
        <v>45108</v>
      </c>
      <c r="F4178" s="9">
        <v>45138</v>
      </c>
      <c r="G4178">
        <v>141300</v>
      </c>
      <c r="H4178">
        <v>36230</v>
      </c>
      <c r="I4178">
        <v>158700</v>
      </c>
      <c r="J4178">
        <v>526080</v>
      </c>
      <c r="K4178">
        <v>0</v>
      </c>
      <c r="L4178">
        <v>0</v>
      </c>
      <c r="M4178">
        <v>0</v>
      </c>
      <c r="T4178" s="9">
        <v>45108</v>
      </c>
      <c r="U4178" s="9">
        <v>45473</v>
      </c>
      <c r="V4178">
        <f>SUM(POTABLE_NONPOTABLE_API[[#This Row],[RESIDENTIAL_SINGLEFAMILY_GAL]:[OTHER_GAL]])</f>
        <v>862310</v>
      </c>
      <c r="W4178">
        <f>SUM(POTABLE_NONPOTABLE_API[[#This Row],[NONPOTABLE_DEMAND_RESIDENTIAL_RECYCLED_WATER_GAL]:[NONPOTABLE_DEMAND_NONRESIDENTIAL_METERED_IRRIGATION_GAL]])</f>
        <v>0</v>
      </c>
      <c r="X4178" t="str">
        <f>IFERROR(INDEX(Crosswalk_API!$H$2:$H$527, MATCH(POTABLE_NONPOTABLE_API[[#This Row],[PWSID]], CW_PWSID_LIST, 0)), "")</f>
        <v>No</v>
      </c>
    </row>
    <row r="4179" spans="1:24" x14ac:dyDescent="0.25">
      <c r="A4179" t="s">
        <v>1954</v>
      </c>
      <c r="B4179" t="s">
        <v>1955</v>
      </c>
      <c r="C4179" t="s">
        <v>1968</v>
      </c>
      <c r="D4179" t="s">
        <v>1969</v>
      </c>
      <c r="E4179" s="9">
        <v>45139</v>
      </c>
      <c r="F4179" s="9">
        <v>45169</v>
      </c>
      <c r="G4179">
        <v>189992</v>
      </c>
      <c r="H4179">
        <v>24684</v>
      </c>
      <c r="I4179">
        <v>94996</v>
      </c>
      <c r="J4179">
        <v>450296</v>
      </c>
      <c r="K4179">
        <v>0</v>
      </c>
      <c r="L4179">
        <v>0</v>
      </c>
      <c r="M4179">
        <v>0</v>
      </c>
      <c r="T4179" s="9">
        <v>45108</v>
      </c>
      <c r="U4179" s="9">
        <v>45473</v>
      </c>
      <c r="V4179">
        <f>SUM(POTABLE_NONPOTABLE_API[[#This Row],[RESIDENTIAL_SINGLEFAMILY_GAL]:[OTHER_GAL]])</f>
        <v>759968</v>
      </c>
      <c r="W4179">
        <f>SUM(POTABLE_NONPOTABLE_API[[#This Row],[NONPOTABLE_DEMAND_RESIDENTIAL_RECYCLED_WATER_GAL]:[NONPOTABLE_DEMAND_NONRESIDENTIAL_METERED_IRRIGATION_GAL]])</f>
        <v>0</v>
      </c>
      <c r="X4179" t="str">
        <f>IFERROR(INDEX(Crosswalk_API!$H$2:$H$527, MATCH(POTABLE_NONPOTABLE_API[[#This Row],[PWSID]], CW_PWSID_LIST, 0)), "")</f>
        <v>No</v>
      </c>
    </row>
    <row r="4180" spans="1:24" x14ac:dyDescent="0.25">
      <c r="A4180" t="s">
        <v>1954</v>
      </c>
      <c r="B4180" t="s">
        <v>1955</v>
      </c>
      <c r="C4180" t="s">
        <v>1968</v>
      </c>
      <c r="D4180" t="s">
        <v>1969</v>
      </c>
      <c r="E4180" s="9">
        <v>45170</v>
      </c>
      <c r="F4180" s="9">
        <v>45199</v>
      </c>
      <c r="G4180">
        <v>166056</v>
      </c>
      <c r="H4180">
        <v>14960</v>
      </c>
      <c r="I4180">
        <v>139876</v>
      </c>
      <c r="J4180">
        <v>460020</v>
      </c>
      <c r="K4180">
        <v>0</v>
      </c>
      <c r="L4180">
        <v>0</v>
      </c>
      <c r="M4180">
        <v>0</v>
      </c>
      <c r="T4180" s="9">
        <v>45108</v>
      </c>
      <c r="U4180" s="9">
        <v>45473</v>
      </c>
      <c r="V4180">
        <f>SUM(POTABLE_NONPOTABLE_API[[#This Row],[RESIDENTIAL_SINGLEFAMILY_GAL]:[OTHER_GAL]])</f>
        <v>780912</v>
      </c>
      <c r="W4180">
        <f>SUM(POTABLE_NONPOTABLE_API[[#This Row],[NONPOTABLE_DEMAND_RESIDENTIAL_RECYCLED_WATER_GAL]:[NONPOTABLE_DEMAND_NONRESIDENTIAL_METERED_IRRIGATION_GAL]])</f>
        <v>0</v>
      </c>
      <c r="X4180" t="str">
        <f>IFERROR(INDEX(Crosswalk_API!$H$2:$H$527, MATCH(POTABLE_NONPOTABLE_API[[#This Row],[PWSID]], CW_PWSID_LIST, 0)), "")</f>
        <v>No</v>
      </c>
    </row>
    <row r="4181" spans="1:24" x14ac:dyDescent="0.25">
      <c r="A4181" t="s">
        <v>1954</v>
      </c>
      <c r="B4181" t="s">
        <v>1955</v>
      </c>
      <c r="C4181" t="s">
        <v>1968</v>
      </c>
      <c r="D4181" t="s">
        <v>1969</v>
      </c>
      <c r="E4181" s="9">
        <v>45200</v>
      </c>
      <c r="F4181" s="9">
        <v>45230</v>
      </c>
      <c r="G4181">
        <v>118930</v>
      </c>
      <c r="H4181">
        <v>10470</v>
      </c>
      <c r="I4181">
        <v>220660</v>
      </c>
      <c r="J4181">
        <v>471240</v>
      </c>
      <c r="K4181">
        <v>0</v>
      </c>
      <c r="L4181">
        <v>0</v>
      </c>
      <c r="M4181">
        <v>0</v>
      </c>
      <c r="T4181" s="9">
        <v>45108</v>
      </c>
      <c r="U4181" s="9">
        <v>45473</v>
      </c>
      <c r="V4181">
        <f>SUM(POTABLE_NONPOTABLE_API[[#This Row],[RESIDENTIAL_SINGLEFAMILY_GAL]:[OTHER_GAL]])</f>
        <v>821300</v>
      </c>
      <c r="W4181">
        <f>SUM(POTABLE_NONPOTABLE_API[[#This Row],[NONPOTABLE_DEMAND_RESIDENTIAL_RECYCLED_WATER_GAL]:[NONPOTABLE_DEMAND_NONRESIDENTIAL_METERED_IRRIGATION_GAL]])</f>
        <v>0</v>
      </c>
      <c r="X4181" t="str">
        <f>IFERROR(INDEX(Crosswalk_API!$H$2:$H$527, MATCH(POTABLE_NONPOTABLE_API[[#This Row],[PWSID]], CW_PWSID_LIST, 0)), "")</f>
        <v>No</v>
      </c>
    </row>
    <row r="4182" spans="1:24" x14ac:dyDescent="0.25">
      <c r="A4182" t="s">
        <v>1954</v>
      </c>
      <c r="B4182" t="s">
        <v>1955</v>
      </c>
      <c r="C4182" t="s">
        <v>1968</v>
      </c>
      <c r="D4182" t="s">
        <v>1969</v>
      </c>
      <c r="E4182" s="9">
        <v>45231</v>
      </c>
      <c r="F4182" s="9">
        <v>45260</v>
      </c>
      <c r="G4182">
        <v>71808</v>
      </c>
      <c r="H4182">
        <v>6732</v>
      </c>
      <c r="I4182">
        <v>102476</v>
      </c>
      <c r="J4182">
        <v>362032</v>
      </c>
      <c r="K4182">
        <v>0</v>
      </c>
      <c r="L4182">
        <v>0</v>
      </c>
      <c r="M4182">
        <v>0</v>
      </c>
      <c r="T4182" s="9">
        <v>45108</v>
      </c>
      <c r="U4182" s="9">
        <v>45473</v>
      </c>
      <c r="V4182">
        <f>SUM(POTABLE_NONPOTABLE_API[[#This Row],[RESIDENTIAL_SINGLEFAMILY_GAL]:[OTHER_GAL]])</f>
        <v>543048</v>
      </c>
      <c r="W4182">
        <f>SUM(POTABLE_NONPOTABLE_API[[#This Row],[NONPOTABLE_DEMAND_RESIDENTIAL_RECYCLED_WATER_GAL]:[NONPOTABLE_DEMAND_NONRESIDENTIAL_METERED_IRRIGATION_GAL]])</f>
        <v>0</v>
      </c>
      <c r="X4182" t="str">
        <f>IFERROR(INDEX(Crosswalk_API!$H$2:$H$527, MATCH(POTABLE_NONPOTABLE_API[[#This Row],[PWSID]], CW_PWSID_LIST, 0)), "")</f>
        <v>No</v>
      </c>
    </row>
    <row r="4183" spans="1:24" x14ac:dyDescent="0.25">
      <c r="A4183" t="s">
        <v>1954</v>
      </c>
      <c r="B4183" t="s">
        <v>1955</v>
      </c>
      <c r="C4183" t="s">
        <v>1968</v>
      </c>
      <c r="D4183" t="s">
        <v>1969</v>
      </c>
      <c r="E4183" s="9">
        <v>45261</v>
      </c>
      <c r="F4183" s="9">
        <v>45291</v>
      </c>
      <c r="G4183">
        <v>65824</v>
      </c>
      <c r="H4183">
        <v>8976</v>
      </c>
      <c r="I4183">
        <v>106216</v>
      </c>
      <c r="J4183">
        <v>364276</v>
      </c>
      <c r="K4183">
        <v>0</v>
      </c>
      <c r="L4183">
        <v>0</v>
      </c>
      <c r="M4183">
        <v>0</v>
      </c>
      <c r="T4183" s="9">
        <v>45108</v>
      </c>
      <c r="U4183" s="9">
        <v>45473</v>
      </c>
      <c r="V4183">
        <f>SUM(POTABLE_NONPOTABLE_API[[#This Row],[RESIDENTIAL_SINGLEFAMILY_GAL]:[OTHER_GAL]])</f>
        <v>545292</v>
      </c>
      <c r="W4183">
        <f>SUM(POTABLE_NONPOTABLE_API[[#This Row],[NONPOTABLE_DEMAND_RESIDENTIAL_RECYCLED_WATER_GAL]:[NONPOTABLE_DEMAND_NONRESIDENTIAL_METERED_IRRIGATION_GAL]])</f>
        <v>0</v>
      </c>
      <c r="X4183" t="str">
        <f>IFERROR(INDEX(Crosswalk_API!$H$2:$H$527, MATCH(POTABLE_NONPOTABLE_API[[#This Row],[PWSID]], CW_PWSID_LIST, 0)), "")</f>
        <v>No</v>
      </c>
    </row>
    <row r="4184" spans="1:24" x14ac:dyDescent="0.25">
      <c r="A4184" t="s">
        <v>1954</v>
      </c>
      <c r="B4184" t="s">
        <v>1955</v>
      </c>
      <c r="C4184" t="s">
        <v>1968</v>
      </c>
      <c r="D4184" t="s">
        <v>1969</v>
      </c>
      <c r="E4184" s="9">
        <v>45292</v>
      </c>
      <c r="F4184" s="9">
        <v>45322</v>
      </c>
      <c r="G4184">
        <v>118932</v>
      </c>
      <c r="H4184">
        <v>11220</v>
      </c>
      <c r="I4184">
        <v>142868</v>
      </c>
      <c r="J4184">
        <v>406160</v>
      </c>
      <c r="K4184">
        <v>0</v>
      </c>
      <c r="L4184">
        <v>0</v>
      </c>
      <c r="M4184">
        <v>0</v>
      </c>
      <c r="T4184" s="9">
        <v>45108</v>
      </c>
      <c r="U4184" s="9">
        <v>45473</v>
      </c>
      <c r="V4184">
        <f>SUM(POTABLE_NONPOTABLE_API[[#This Row],[RESIDENTIAL_SINGLEFAMILY_GAL]:[OTHER_GAL]])</f>
        <v>679180</v>
      </c>
      <c r="W4184">
        <f>SUM(POTABLE_NONPOTABLE_API[[#This Row],[NONPOTABLE_DEMAND_RESIDENTIAL_RECYCLED_WATER_GAL]:[NONPOTABLE_DEMAND_NONRESIDENTIAL_METERED_IRRIGATION_GAL]])</f>
        <v>0</v>
      </c>
      <c r="X4184" t="str">
        <f>IFERROR(INDEX(Crosswalk_API!$H$2:$H$527, MATCH(POTABLE_NONPOTABLE_API[[#This Row],[PWSID]], CW_PWSID_LIST, 0)), "")</f>
        <v>No</v>
      </c>
    </row>
    <row r="4185" spans="1:24" x14ac:dyDescent="0.25">
      <c r="A4185" t="s">
        <v>1954</v>
      </c>
      <c r="B4185" t="s">
        <v>1955</v>
      </c>
      <c r="C4185" t="s">
        <v>1968</v>
      </c>
      <c r="D4185" t="s">
        <v>1969</v>
      </c>
      <c r="E4185" s="9">
        <v>45323</v>
      </c>
      <c r="F4185" s="9">
        <v>45351</v>
      </c>
      <c r="G4185">
        <v>71808</v>
      </c>
      <c r="H4185">
        <v>9724</v>
      </c>
      <c r="I4185">
        <v>120428</v>
      </c>
      <c r="J4185">
        <v>377740</v>
      </c>
      <c r="K4185">
        <v>0</v>
      </c>
      <c r="L4185">
        <v>0</v>
      </c>
      <c r="M4185">
        <v>0</v>
      </c>
      <c r="T4185" s="9">
        <v>45108</v>
      </c>
      <c r="U4185" s="9">
        <v>45473</v>
      </c>
      <c r="V4185">
        <f>SUM(POTABLE_NONPOTABLE_API[[#This Row],[RESIDENTIAL_SINGLEFAMILY_GAL]:[OTHER_GAL]])</f>
        <v>579700</v>
      </c>
      <c r="W4185">
        <f>SUM(POTABLE_NONPOTABLE_API[[#This Row],[NONPOTABLE_DEMAND_RESIDENTIAL_RECYCLED_WATER_GAL]:[NONPOTABLE_DEMAND_NONRESIDENTIAL_METERED_IRRIGATION_GAL]])</f>
        <v>0</v>
      </c>
      <c r="X4185" t="str">
        <f>IFERROR(INDEX(Crosswalk_API!$H$2:$H$527, MATCH(POTABLE_NONPOTABLE_API[[#This Row],[PWSID]], CW_PWSID_LIST, 0)), "")</f>
        <v>No</v>
      </c>
    </row>
    <row r="4186" spans="1:24" x14ac:dyDescent="0.25">
      <c r="A4186" t="s">
        <v>1954</v>
      </c>
      <c r="B4186" t="s">
        <v>1955</v>
      </c>
      <c r="C4186" t="s">
        <v>1968</v>
      </c>
      <c r="D4186" t="s">
        <v>1969</v>
      </c>
      <c r="E4186" s="9">
        <v>45352</v>
      </c>
      <c r="F4186" s="9">
        <v>45382</v>
      </c>
      <c r="G4186">
        <v>56848</v>
      </c>
      <c r="H4186">
        <v>7480</v>
      </c>
      <c r="I4186">
        <v>127160</v>
      </c>
      <c r="J4186">
        <v>329120</v>
      </c>
      <c r="K4186">
        <v>0</v>
      </c>
      <c r="L4186">
        <v>0</v>
      </c>
      <c r="M4186">
        <v>0</v>
      </c>
      <c r="T4186" s="9">
        <v>45108</v>
      </c>
      <c r="U4186" s="9">
        <v>45473</v>
      </c>
      <c r="V4186">
        <f>SUM(POTABLE_NONPOTABLE_API[[#This Row],[RESIDENTIAL_SINGLEFAMILY_GAL]:[OTHER_GAL]])</f>
        <v>520608</v>
      </c>
      <c r="W4186">
        <f>SUM(POTABLE_NONPOTABLE_API[[#This Row],[NONPOTABLE_DEMAND_RESIDENTIAL_RECYCLED_WATER_GAL]:[NONPOTABLE_DEMAND_NONRESIDENTIAL_METERED_IRRIGATION_GAL]])</f>
        <v>0</v>
      </c>
      <c r="X4186" t="str">
        <f>IFERROR(INDEX(Crosswalk_API!$H$2:$H$527, MATCH(POTABLE_NONPOTABLE_API[[#This Row],[PWSID]], CW_PWSID_LIST, 0)), "")</f>
        <v>No</v>
      </c>
    </row>
    <row r="4187" spans="1:24" x14ac:dyDescent="0.25">
      <c r="A4187" t="s">
        <v>1954</v>
      </c>
      <c r="B4187" t="s">
        <v>1955</v>
      </c>
      <c r="C4187" t="s">
        <v>1968</v>
      </c>
      <c r="D4187" t="s">
        <v>1969</v>
      </c>
      <c r="E4187" s="9">
        <v>45383</v>
      </c>
      <c r="F4187" s="9">
        <v>45412</v>
      </c>
      <c r="G4187">
        <v>70312</v>
      </c>
      <c r="H4187">
        <v>9724</v>
      </c>
      <c r="I4187">
        <v>164560</v>
      </c>
      <c r="J4187">
        <v>416636</v>
      </c>
      <c r="K4187">
        <v>0</v>
      </c>
      <c r="L4187">
        <v>0</v>
      </c>
      <c r="M4187">
        <v>0</v>
      </c>
      <c r="T4187" s="9">
        <v>45108</v>
      </c>
      <c r="U4187" s="9">
        <v>45473</v>
      </c>
      <c r="V4187">
        <f>SUM(POTABLE_NONPOTABLE_API[[#This Row],[RESIDENTIAL_SINGLEFAMILY_GAL]:[OTHER_GAL]])</f>
        <v>661232</v>
      </c>
      <c r="W4187">
        <f>SUM(POTABLE_NONPOTABLE_API[[#This Row],[NONPOTABLE_DEMAND_RESIDENTIAL_RECYCLED_WATER_GAL]:[NONPOTABLE_DEMAND_NONRESIDENTIAL_METERED_IRRIGATION_GAL]])</f>
        <v>0</v>
      </c>
      <c r="X4187" t="str">
        <f>IFERROR(INDEX(Crosswalk_API!$H$2:$H$527, MATCH(POTABLE_NONPOTABLE_API[[#This Row],[PWSID]], CW_PWSID_LIST, 0)), "")</f>
        <v>No</v>
      </c>
    </row>
    <row r="4188" spans="1:24" x14ac:dyDescent="0.25">
      <c r="A4188" t="s">
        <v>1954</v>
      </c>
      <c r="B4188" t="s">
        <v>1955</v>
      </c>
      <c r="C4188" t="s">
        <v>1968</v>
      </c>
      <c r="D4188" t="s">
        <v>1969</v>
      </c>
      <c r="E4188" s="9">
        <v>45413</v>
      </c>
      <c r="F4188" s="9">
        <v>45443</v>
      </c>
      <c r="G4188">
        <v>120428</v>
      </c>
      <c r="H4188">
        <v>13464</v>
      </c>
      <c r="I4188">
        <v>201212</v>
      </c>
      <c r="J4188">
        <v>419628</v>
      </c>
      <c r="K4188">
        <v>0</v>
      </c>
      <c r="L4188">
        <v>0</v>
      </c>
      <c r="M4188">
        <v>0</v>
      </c>
      <c r="T4188" s="9">
        <v>45108</v>
      </c>
      <c r="U4188" s="9">
        <v>45473</v>
      </c>
      <c r="V4188">
        <f>SUM(POTABLE_NONPOTABLE_API[[#This Row],[RESIDENTIAL_SINGLEFAMILY_GAL]:[OTHER_GAL]])</f>
        <v>754732</v>
      </c>
      <c r="W4188">
        <f>SUM(POTABLE_NONPOTABLE_API[[#This Row],[NONPOTABLE_DEMAND_RESIDENTIAL_RECYCLED_WATER_GAL]:[NONPOTABLE_DEMAND_NONRESIDENTIAL_METERED_IRRIGATION_GAL]])</f>
        <v>0</v>
      </c>
      <c r="X4188" t="str">
        <f>IFERROR(INDEX(Crosswalk_API!$H$2:$H$527, MATCH(POTABLE_NONPOTABLE_API[[#This Row],[PWSID]], CW_PWSID_LIST, 0)), "")</f>
        <v>No</v>
      </c>
    </row>
    <row r="4189" spans="1:24" x14ac:dyDescent="0.25">
      <c r="A4189" t="s">
        <v>1954</v>
      </c>
      <c r="B4189" t="s">
        <v>1955</v>
      </c>
      <c r="C4189" t="s">
        <v>1968</v>
      </c>
      <c r="D4189" t="s">
        <v>1969</v>
      </c>
      <c r="E4189" s="9">
        <v>45444</v>
      </c>
      <c r="F4189" s="9">
        <v>45473</v>
      </c>
      <c r="G4189">
        <v>133892</v>
      </c>
      <c r="H4189">
        <v>14960</v>
      </c>
      <c r="I4189">
        <v>154088</v>
      </c>
      <c r="J4189">
        <v>385968</v>
      </c>
      <c r="K4189">
        <v>0</v>
      </c>
      <c r="L4189">
        <v>0</v>
      </c>
      <c r="M4189">
        <v>0</v>
      </c>
      <c r="T4189" s="9">
        <v>45108</v>
      </c>
      <c r="U4189" s="9">
        <v>45473</v>
      </c>
      <c r="V4189">
        <f>SUM(POTABLE_NONPOTABLE_API[[#This Row],[RESIDENTIAL_SINGLEFAMILY_GAL]:[OTHER_GAL]])</f>
        <v>688908</v>
      </c>
      <c r="W4189">
        <f>SUM(POTABLE_NONPOTABLE_API[[#This Row],[NONPOTABLE_DEMAND_RESIDENTIAL_RECYCLED_WATER_GAL]:[NONPOTABLE_DEMAND_NONRESIDENTIAL_METERED_IRRIGATION_GAL]])</f>
        <v>0</v>
      </c>
      <c r="X4189" t="str">
        <f>IFERROR(INDEX(Crosswalk_API!$H$2:$H$527, MATCH(POTABLE_NONPOTABLE_API[[#This Row],[PWSID]], CW_PWSID_LIST, 0)), "")</f>
        <v>No</v>
      </c>
    </row>
    <row r="4190" spans="1:24" x14ac:dyDescent="0.25">
      <c r="A4190" t="s">
        <v>1970</v>
      </c>
      <c r="B4190" t="s">
        <v>1971</v>
      </c>
      <c r="C4190" t="s">
        <v>1972</v>
      </c>
      <c r="D4190" t="s">
        <v>1973</v>
      </c>
      <c r="E4190" s="9">
        <v>45108</v>
      </c>
      <c r="F4190" s="9">
        <v>45138</v>
      </c>
      <c r="G4190">
        <v>221150000</v>
      </c>
      <c r="H4190">
        <v>53810000</v>
      </c>
      <c r="I4190">
        <v>68240000</v>
      </c>
      <c r="J4190">
        <v>112630000</v>
      </c>
      <c r="K4190">
        <v>4250000</v>
      </c>
      <c r="L4190">
        <v>0</v>
      </c>
      <c r="M4190">
        <v>0</v>
      </c>
      <c r="N4190">
        <v>0</v>
      </c>
      <c r="O4190">
        <v>0</v>
      </c>
      <c r="P4190">
        <v>3090000</v>
      </c>
      <c r="Q4190">
        <v>0</v>
      </c>
      <c r="R4190">
        <v>0</v>
      </c>
      <c r="S4190">
        <v>46940000</v>
      </c>
      <c r="T4190" s="9">
        <v>45108</v>
      </c>
      <c r="U4190" s="9">
        <v>45473</v>
      </c>
      <c r="V4190">
        <f>SUM(POTABLE_NONPOTABLE_API[[#This Row],[RESIDENTIAL_SINGLEFAMILY_GAL]:[OTHER_GAL]])</f>
        <v>460080000</v>
      </c>
      <c r="W4190">
        <f>SUM(POTABLE_NONPOTABLE_API[[#This Row],[NONPOTABLE_DEMAND_RESIDENTIAL_RECYCLED_WATER_GAL]:[NONPOTABLE_DEMAND_NONRESIDENTIAL_METERED_IRRIGATION_GAL]])</f>
        <v>50030000</v>
      </c>
      <c r="X4190" t="str">
        <f>IFERROR(INDEX(Crosswalk_API!$H$2:$H$527, MATCH(POTABLE_NONPOTABLE_API[[#This Row],[PWSID]], CW_PWSID_LIST, 0)), "")</f>
        <v>No</v>
      </c>
    </row>
    <row r="4191" spans="1:24" x14ac:dyDescent="0.25">
      <c r="A4191" t="s">
        <v>1970</v>
      </c>
      <c r="B4191" t="s">
        <v>1971</v>
      </c>
      <c r="C4191" t="s">
        <v>1972</v>
      </c>
      <c r="D4191" t="s">
        <v>1973</v>
      </c>
      <c r="E4191" s="9">
        <v>45139</v>
      </c>
      <c r="F4191" s="9">
        <v>45169</v>
      </c>
      <c r="G4191">
        <v>277040000</v>
      </c>
      <c r="H4191">
        <v>15160000</v>
      </c>
      <c r="I4191">
        <v>19920000</v>
      </c>
      <c r="J4191">
        <v>113940000</v>
      </c>
      <c r="K4191">
        <v>0</v>
      </c>
      <c r="L4191">
        <v>0</v>
      </c>
      <c r="M4191">
        <v>0</v>
      </c>
      <c r="N4191">
        <v>0</v>
      </c>
      <c r="O4191">
        <v>0</v>
      </c>
      <c r="P4191">
        <v>4770000</v>
      </c>
      <c r="Q4191">
        <v>0</v>
      </c>
      <c r="R4191">
        <v>0</v>
      </c>
      <c r="S4191">
        <v>63340000</v>
      </c>
      <c r="T4191" s="9">
        <v>45108</v>
      </c>
      <c r="U4191" s="9">
        <v>45473</v>
      </c>
      <c r="V4191">
        <f>SUM(POTABLE_NONPOTABLE_API[[#This Row],[RESIDENTIAL_SINGLEFAMILY_GAL]:[OTHER_GAL]])</f>
        <v>426060000</v>
      </c>
      <c r="W4191">
        <f>SUM(POTABLE_NONPOTABLE_API[[#This Row],[NONPOTABLE_DEMAND_RESIDENTIAL_RECYCLED_WATER_GAL]:[NONPOTABLE_DEMAND_NONRESIDENTIAL_METERED_IRRIGATION_GAL]])</f>
        <v>68110000</v>
      </c>
      <c r="X4191" t="str">
        <f>IFERROR(INDEX(Crosswalk_API!$H$2:$H$527, MATCH(POTABLE_NONPOTABLE_API[[#This Row],[PWSID]], CW_PWSID_LIST, 0)), "")</f>
        <v>No</v>
      </c>
    </row>
    <row r="4192" spans="1:24" x14ac:dyDescent="0.25">
      <c r="A4192" t="s">
        <v>1970</v>
      </c>
      <c r="B4192" t="s">
        <v>1971</v>
      </c>
      <c r="C4192" t="s">
        <v>1972</v>
      </c>
      <c r="D4192" t="s">
        <v>1973</v>
      </c>
      <c r="E4192" s="9">
        <v>45170</v>
      </c>
      <c r="F4192" s="9">
        <v>45199</v>
      </c>
      <c r="G4192">
        <v>260380000</v>
      </c>
      <c r="H4192">
        <v>56010000</v>
      </c>
      <c r="I4192">
        <v>74360000</v>
      </c>
      <c r="J4192">
        <v>141070000</v>
      </c>
      <c r="K4192">
        <v>6390000</v>
      </c>
      <c r="L4192">
        <v>0</v>
      </c>
      <c r="M4192">
        <v>0</v>
      </c>
      <c r="N4192">
        <v>0</v>
      </c>
      <c r="O4192">
        <v>0</v>
      </c>
      <c r="P4192">
        <v>4099000</v>
      </c>
      <c r="Q4192">
        <v>0</v>
      </c>
      <c r="R4192">
        <v>0</v>
      </c>
      <c r="S4192">
        <v>52873000</v>
      </c>
      <c r="T4192" s="9">
        <v>45108</v>
      </c>
      <c r="U4192" s="9">
        <v>45473</v>
      </c>
      <c r="V4192">
        <f>SUM(POTABLE_NONPOTABLE_API[[#This Row],[RESIDENTIAL_SINGLEFAMILY_GAL]:[OTHER_GAL]])</f>
        <v>538210000</v>
      </c>
      <c r="W4192">
        <f>SUM(POTABLE_NONPOTABLE_API[[#This Row],[NONPOTABLE_DEMAND_RESIDENTIAL_RECYCLED_WATER_GAL]:[NONPOTABLE_DEMAND_NONRESIDENTIAL_METERED_IRRIGATION_GAL]])</f>
        <v>56972000</v>
      </c>
      <c r="X4192" t="str">
        <f>IFERROR(INDEX(Crosswalk_API!$H$2:$H$527, MATCH(POTABLE_NONPOTABLE_API[[#This Row],[PWSID]], CW_PWSID_LIST, 0)), "")</f>
        <v>No</v>
      </c>
    </row>
    <row r="4193" spans="1:24" x14ac:dyDescent="0.25">
      <c r="A4193" t="s">
        <v>1970</v>
      </c>
      <c r="B4193" t="s">
        <v>1971</v>
      </c>
      <c r="C4193" t="s">
        <v>1972</v>
      </c>
      <c r="D4193" t="s">
        <v>1973</v>
      </c>
      <c r="E4193" s="9">
        <v>45200</v>
      </c>
      <c r="F4193" s="9">
        <v>45230</v>
      </c>
      <c r="G4193">
        <v>266100000.00000003</v>
      </c>
      <c r="H4193">
        <v>15810000</v>
      </c>
      <c r="I4193">
        <v>21150000</v>
      </c>
      <c r="J4193">
        <v>111330000</v>
      </c>
      <c r="K4193">
        <v>0</v>
      </c>
      <c r="L4193">
        <v>0</v>
      </c>
      <c r="M4193">
        <v>0</v>
      </c>
      <c r="N4193">
        <v>0</v>
      </c>
      <c r="O4193">
        <v>0</v>
      </c>
      <c r="P4193">
        <v>4838000</v>
      </c>
      <c r="Q4193">
        <v>0</v>
      </c>
      <c r="R4193">
        <v>0</v>
      </c>
      <c r="S4193">
        <v>54552000</v>
      </c>
      <c r="T4193" s="9">
        <v>45108</v>
      </c>
      <c r="U4193" s="9">
        <v>45473</v>
      </c>
      <c r="V4193">
        <f>SUM(POTABLE_NONPOTABLE_API[[#This Row],[RESIDENTIAL_SINGLEFAMILY_GAL]:[OTHER_GAL]])</f>
        <v>414390000</v>
      </c>
      <c r="W4193">
        <f>SUM(POTABLE_NONPOTABLE_API[[#This Row],[NONPOTABLE_DEMAND_RESIDENTIAL_RECYCLED_WATER_GAL]:[NONPOTABLE_DEMAND_NONRESIDENTIAL_METERED_IRRIGATION_GAL]])</f>
        <v>59390000</v>
      </c>
      <c r="X4193" t="str">
        <f>IFERROR(INDEX(Crosswalk_API!$H$2:$H$527, MATCH(POTABLE_NONPOTABLE_API[[#This Row],[PWSID]], CW_PWSID_LIST, 0)), "")</f>
        <v>No</v>
      </c>
    </row>
    <row r="4194" spans="1:24" x14ac:dyDescent="0.25">
      <c r="A4194" t="s">
        <v>1970</v>
      </c>
      <c r="B4194" t="s">
        <v>1971</v>
      </c>
      <c r="C4194" t="s">
        <v>1972</v>
      </c>
      <c r="D4194" t="s">
        <v>1973</v>
      </c>
      <c r="E4194" s="9">
        <v>45231</v>
      </c>
      <c r="F4194" s="9">
        <v>45260</v>
      </c>
      <c r="G4194">
        <v>199747000</v>
      </c>
      <c r="H4194">
        <v>52875000</v>
      </c>
      <c r="I4194">
        <v>69105000</v>
      </c>
      <c r="J4194">
        <v>96210000</v>
      </c>
      <c r="K4194">
        <v>5044000</v>
      </c>
      <c r="L4194">
        <v>0</v>
      </c>
      <c r="M4194">
        <v>0</v>
      </c>
      <c r="N4194">
        <v>0</v>
      </c>
      <c r="O4194">
        <v>0</v>
      </c>
      <c r="P4194">
        <v>3490000</v>
      </c>
      <c r="Q4194">
        <v>0</v>
      </c>
      <c r="R4194">
        <v>0</v>
      </c>
      <c r="S4194">
        <v>40158000</v>
      </c>
      <c r="T4194" s="9">
        <v>45108</v>
      </c>
      <c r="U4194" s="9">
        <v>45473</v>
      </c>
      <c r="V4194">
        <f>SUM(POTABLE_NONPOTABLE_API[[#This Row],[RESIDENTIAL_SINGLEFAMILY_GAL]:[OTHER_GAL]])</f>
        <v>422981000</v>
      </c>
      <c r="W4194">
        <f>SUM(POTABLE_NONPOTABLE_API[[#This Row],[NONPOTABLE_DEMAND_RESIDENTIAL_RECYCLED_WATER_GAL]:[NONPOTABLE_DEMAND_NONRESIDENTIAL_METERED_IRRIGATION_GAL]])</f>
        <v>43648000</v>
      </c>
      <c r="X4194" t="str">
        <f>IFERROR(INDEX(Crosswalk_API!$H$2:$H$527, MATCH(POTABLE_NONPOTABLE_API[[#This Row],[PWSID]], CW_PWSID_LIST, 0)), "")</f>
        <v>No</v>
      </c>
    </row>
    <row r="4195" spans="1:24" x14ac:dyDescent="0.25">
      <c r="A4195" t="s">
        <v>1970</v>
      </c>
      <c r="B4195" t="s">
        <v>1971</v>
      </c>
      <c r="C4195" t="s">
        <v>1972</v>
      </c>
      <c r="D4195" t="s">
        <v>1973</v>
      </c>
      <c r="E4195" s="9">
        <v>45261</v>
      </c>
      <c r="F4195" s="9">
        <v>45291</v>
      </c>
      <c r="G4195">
        <v>145737000</v>
      </c>
      <c r="H4195">
        <v>13315000</v>
      </c>
      <c r="I4195">
        <v>17510000</v>
      </c>
      <c r="J4195">
        <v>45761000</v>
      </c>
      <c r="K4195">
        <v>0</v>
      </c>
      <c r="L4195">
        <v>0</v>
      </c>
      <c r="M4195">
        <v>0</v>
      </c>
      <c r="N4195">
        <v>0</v>
      </c>
      <c r="O4195">
        <v>0</v>
      </c>
      <c r="P4195">
        <v>2008000</v>
      </c>
      <c r="Q4195">
        <v>0</v>
      </c>
      <c r="R4195">
        <v>0</v>
      </c>
      <c r="S4195">
        <v>17571000</v>
      </c>
      <c r="T4195" s="9">
        <v>45108</v>
      </c>
      <c r="U4195" s="9">
        <v>45473</v>
      </c>
      <c r="V4195">
        <f>SUM(POTABLE_NONPOTABLE_API[[#This Row],[RESIDENTIAL_SINGLEFAMILY_GAL]:[OTHER_GAL]])</f>
        <v>222323000</v>
      </c>
      <c r="W4195">
        <f>SUM(POTABLE_NONPOTABLE_API[[#This Row],[NONPOTABLE_DEMAND_RESIDENTIAL_RECYCLED_WATER_GAL]:[NONPOTABLE_DEMAND_NONRESIDENTIAL_METERED_IRRIGATION_GAL]])</f>
        <v>19579000</v>
      </c>
      <c r="X4195" t="str">
        <f>IFERROR(INDEX(Crosswalk_API!$H$2:$H$527, MATCH(POTABLE_NONPOTABLE_API[[#This Row],[PWSID]], CW_PWSID_LIST, 0)), "")</f>
        <v>No</v>
      </c>
    </row>
    <row r="4196" spans="1:24" x14ac:dyDescent="0.25">
      <c r="A4196" t="s">
        <v>1970</v>
      </c>
      <c r="B4196" t="s">
        <v>1971</v>
      </c>
      <c r="C4196" t="s">
        <v>1972</v>
      </c>
      <c r="D4196" t="s">
        <v>1973</v>
      </c>
      <c r="E4196" s="9">
        <v>45292</v>
      </c>
      <c r="F4196" s="9">
        <v>45322</v>
      </c>
      <c r="G4196">
        <v>140646000</v>
      </c>
      <c r="H4196">
        <v>58167000</v>
      </c>
      <c r="I4196">
        <v>56964000</v>
      </c>
      <c r="J4196">
        <v>23711000</v>
      </c>
      <c r="K4196">
        <v>2133000</v>
      </c>
      <c r="L4196">
        <v>0</v>
      </c>
      <c r="M4196">
        <v>0</v>
      </c>
      <c r="N4196">
        <v>0</v>
      </c>
      <c r="O4196">
        <v>0</v>
      </c>
      <c r="P4196">
        <v>1212000</v>
      </c>
      <c r="Q4196">
        <v>0</v>
      </c>
      <c r="R4196">
        <v>0</v>
      </c>
      <c r="S4196">
        <v>11076000</v>
      </c>
      <c r="T4196" s="9">
        <v>45108</v>
      </c>
      <c r="U4196" s="9">
        <v>45473</v>
      </c>
      <c r="V4196">
        <f>SUM(POTABLE_NONPOTABLE_API[[#This Row],[RESIDENTIAL_SINGLEFAMILY_GAL]:[OTHER_GAL]])</f>
        <v>281621000</v>
      </c>
      <c r="W4196">
        <f>SUM(POTABLE_NONPOTABLE_API[[#This Row],[NONPOTABLE_DEMAND_RESIDENTIAL_RECYCLED_WATER_GAL]:[NONPOTABLE_DEMAND_NONRESIDENTIAL_METERED_IRRIGATION_GAL]])</f>
        <v>12288000</v>
      </c>
      <c r="X4196" t="str">
        <f>IFERROR(INDEX(Crosswalk_API!$H$2:$H$527, MATCH(POTABLE_NONPOTABLE_API[[#This Row],[PWSID]], CW_PWSID_LIST, 0)), "")</f>
        <v>No</v>
      </c>
    </row>
    <row r="4197" spans="1:24" x14ac:dyDescent="0.25">
      <c r="A4197" t="s">
        <v>1970</v>
      </c>
      <c r="B4197" t="s">
        <v>1971</v>
      </c>
      <c r="C4197" t="s">
        <v>1972</v>
      </c>
      <c r="D4197" t="s">
        <v>1973</v>
      </c>
      <c r="E4197" s="9">
        <v>45323</v>
      </c>
      <c r="F4197" s="9">
        <v>45351</v>
      </c>
      <c r="G4197">
        <v>104019000</v>
      </c>
      <c r="H4197">
        <v>13501000</v>
      </c>
      <c r="I4197">
        <v>15633000</v>
      </c>
      <c r="J4197">
        <v>7377000</v>
      </c>
      <c r="K4197">
        <v>0</v>
      </c>
      <c r="L4197">
        <v>0</v>
      </c>
      <c r="M4197">
        <v>0</v>
      </c>
      <c r="N4197">
        <v>0</v>
      </c>
      <c r="O4197">
        <v>0</v>
      </c>
      <c r="P4197">
        <v>193000</v>
      </c>
      <c r="Q4197">
        <v>0</v>
      </c>
      <c r="R4197">
        <v>0</v>
      </c>
      <c r="S4197">
        <v>1669000</v>
      </c>
      <c r="T4197" s="9">
        <v>45108</v>
      </c>
      <c r="U4197" s="9">
        <v>45473</v>
      </c>
      <c r="V4197">
        <f>SUM(POTABLE_NONPOTABLE_API[[#This Row],[RESIDENTIAL_SINGLEFAMILY_GAL]:[OTHER_GAL]])</f>
        <v>140530000</v>
      </c>
      <c r="W4197">
        <f>SUM(POTABLE_NONPOTABLE_API[[#This Row],[NONPOTABLE_DEMAND_RESIDENTIAL_RECYCLED_WATER_GAL]:[NONPOTABLE_DEMAND_NONRESIDENTIAL_METERED_IRRIGATION_GAL]])</f>
        <v>1862000</v>
      </c>
      <c r="X4197" t="str">
        <f>IFERROR(INDEX(Crosswalk_API!$H$2:$H$527, MATCH(POTABLE_NONPOTABLE_API[[#This Row],[PWSID]], CW_PWSID_LIST, 0)), "")</f>
        <v>No</v>
      </c>
    </row>
    <row r="4198" spans="1:24" x14ac:dyDescent="0.25">
      <c r="A4198" t="s">
        <v>1970</v>
      </c>
      <c r="B4198" t="s">
        <v>1971</v>
      </c>
      <c r="C4198" t="s">
        <v>1972</v>
      </c>
      <c r="D4198" t="s">
        <v>1973</v>
      </c>
      <c r="E4198" s="9">
        <v>45352</v>
      </c>
      <c r="F4198" s="9">
        <v>45382</v>
      </c>
      <c r="G4198">
        <v>85051000</v>
      </c>
      <c r="H4198">
        <v>45819000</v>
      </c>
      <c r="I4198">
        <v>52861000</v>
      </c>
      <c r="J4198">
        <v>6833000</v>
      </c>
      <c r="K4198">
        <v>1432000</v>
      </c>
      <c r="L4198">
        <v>0</v>
      </c>
      <c r="M4198">
        <v>0</v>
      </c>
      <c r="N4198">
        <v>0</v>
      </c>
      <c r="O4198">
        <v>0</v>
      </c>
      <c r="P4198">
        <v>663000</v>
      </c>
      <c r="Q4198">
        <v>0</v>
      </c>
      <c r="R4198">
        <v>0</v>
      </c>
      <c r="S4198">
        <v>2311000</v>
      </c>
      <c r="T4198" s="9">
        <v>45108</v>
      </c>
      <c r="U4198" s="9">
        <v>45473</v>
      </c>
      <c r="V4198">
        <f>SUM(POTABLE_NONPOTABLE_API[[#This Row],[RESIDENTIAL_SINGLEFAMILY_GAL]:[OTHER_GAL]])</f>
        <v>191996000</v>
      </c>
      <c r="W4198">
        <f>SUM(POTABLE_NONPOTABLE_API[[#This Row],[NONPOTABLE_DEMAND_RESIDENTIAL_RECYCLED_WATER_GAL]:[NONPOTABLE_DEMAND_NONRESIDENTIAL_METERED_IRRIGATION_GAL]])</f>
        <v>2974000</v>
      </c>
      <c r="X4198" t="str">
        <f>IFERROR(INDEX(Crosswalk_API!$H$2:$H$527, MATCH(POTABLE_NONPOTABLE_API[[#This Row],[PWSID]], CW_PWSID_LIST, 0)), "")</f>
        <v>No</v>
      </c>
    </row>
    <row r="4199" spans="1:24" x14ac:dyDescent="0.25">
      <c r="A4199" t="s">
        <v>1970</v>
      </c>
      <c r="B4199" t="s">
        <v>1971</v>
      </c>
      <c r="C4199" t="s">
        <v>1972</v>
      </c>
      <c r="D4199" t="s">
        <v>1973</v>
      </c>
      <c r="E4199" s="9">
        <v>45383</v>
      </c>
      <c r="F4199" s="9">
        <v>45412</v>
      </c>
      <c r="G4199">
        <v>97955000</v>
      </c>
      <c r="H4199">
        <v>13228000</v>
      </c>
      <c r="I4199">
        <v>15231000</v>
      </c>
      <c r="J4199">
        <v>8875000</v>
      </c>
      <c r="K4199">
        <v>0</v>
      </c>
      <c r="L4199">
        <v>0</v>
      </c>
      <c r="M4199">
        <v>0</v>
      </c>
      <c r="N4199">
        <v>0</v>
      </c>
      <c r="O4199">
        <v>0</v>
      </c>
      <c r="P4199">
        <v>132000</v>
      </c>
      <c r="Q4199">
        <v>0</v>
      </c>
      <c r="R4199">
        <v>0</v>
      </c>
      <c r="S4199">
        <v>6382000</v>
      </c>
      <c r="T4199" s="9">
        <v>45108</v>
      </c>
      <c r="U4199" s="9">
        <v>45473</v>
      </c>
      <c r="V4199">
        <f>SUM(POTABLE_NONPOTABLE_API[[#This Row],[RESIDENTIAL_SINGLEFAMILY_GAL]:[OTHER_GAL]])</f>
        <v>135289000</v>
      </c>
      <c r="W4199">
        <f>SUM(POTABLE_NONPOTABLE_API[[#This Row],[NONPOTABLE_DEMAND_RESIDENTIAL_RECYCLED_WATER_GAL]:[NONPOTABLE_DEMAND_NONRESIDENTIAL_METERED_IRRIGATION_GAL]])</f>
        <v>6514000</v>
      </c>
      <c r="X4199" t="str">
        <f>IFERROR(INDEX(Crosswalk_API!$H$2:$H$527, MATCH(POTABLE_NONPOTABLE_API[[#This Row],[PWSID]], CW_PWSID_LIST, 0)), "")</f>
        <v>No</v>
      </c>
    </row>
    <row r="4200" spans="1:24" x14ac:dyDescent="0.25">
      <c r="A4200" t="s">
        <v>1970</v>
      </c>
      <c r="B4200" t="s">
        <v>1971</v>
      </c>
      <c r="C4200" t="s">
        <v>1972</v>
      </c>
      <c r="D4200" t="s">
        <v>1973</v>
      </c>
      <c r="E4200" s="9">
        <v>45413</v>
      </c>
      <c r="F4200" s="9">
        <v>45443</v>
      </c>
      <c r="G4200">
        <v>117403000</v>
      </c>
      <c r="H4200">
        <v>14910000</v>
      </c>
      <c r="I4200">
        <v>56488000</v>
      </c>
      <c r="J4200">
        <v>29539000</v>
      </c>
      <c r="K4200">
        <v>2221000</v>
      </c>
      <c r="L4200">
        <v>0</v>
      </c>
      <c r="M4200">
        <v>0</v>
      </c>
      <c r="N4200">
        <v>0</v>
      </c>
      <c r="O4200">
        <v>0</v>
      </c>
      <c r="P4200">
        <v>57667000</v>
      </c>
      <c r="Q4200">
        <v>0</v>
      </c>
      <c r="R4200">
        <v>0</v>
      </c>
      <c r="S4200">
        <v>720000</v>
      </c>
      <c r="T4200" s="9">
        <v>45108</v>
      </c>
      <c r="U4200" s="9">
        <v>45473</v>
      </c>
      <c r="V4200">
        <f>SUM(POTABLE_NONPOTABLE_API[[#This Row],[RESIDENTIAL_SINGLEFAMILY_GAL]:[OTHER_GAL]])</f>
        <v>220561000</v>
      </c>
      <c r="W4200">
        <f>SUM(POTABLE_NONPOTABLE_API[[#This Row],[NONPOTABLE_DEMAND_RESIDENTIAL_RECYCLED_WATER_GAL]:[NONPOTABLE_DEMAND_NONRESIDENTIAL_METERED_IRRIGATION_GAL]])</f>
        <v>58387000</v>
      </c>
      <c r="X4200" t="str">
        <f>IFERROR(INDEX(Crosswalk_API!$H$2:$H$527, MATCH(POTABLE_NONPOTABLE_API[[#This Row],[PWSID]], CW_PWSID_LIST, 0)), "")</f>
        <v>No</v>
      </c>
    </row>
    <row r="4201" spans="1:24" x14ac:dyDescent="0.25">
      <c r="A4201" t="s">
        <v>1970</v>
      </c>
      <c r="B4201" t="s">
        <v>1971</v>
      </c>
      <c r="C4201" t="s">
        <v>1972</v>
      </c>
      <c r="D4201" t="s">
        <v>1973</v>
      </c>
      <c r="E4201" s="9">
        <v>45444</v>
      </c>
      <c r="F4201" s="9">
        <v>45473</v>
      </c>
      <c r="G4201">
        <v>188793000</v>
      </c>
      <c r="H4201">
        <v>14909000</v>
      </c>
      <c r="I4201">
        <v>19533000</v>
      </c>
      <c r="J4201">
        <v>77072000</v>
      </c>
      <c r="K4201">
        <v>0</v>
      </c>
      <c r="L4201">
        <v>0</v>
      </c>
      <c r="M4201">
        <v>0</v>
      </c>
      <c r="N4201">
        <v>0</v>
      </c>
      <c r="O4201">
        <v>0</v>
      </c>
      <c r="P4201">
        <v>3001000</v>
      </c>
      <c r="Q4201">
        <v>0</v>
      </c>
      <c r="R4201">
        <v>0</v>
      </c>
      <c r="S4201">
        <v>50246000</v>
      </c>
      <c r="T4201" s="9">
        <v>45108</v>
      </c>
      <c r="U4201" s="9">
        <v>45473</v>
      </c>
      <c r="V4201">
        <f>SUM(POTABLE_NONPOTABLE_API[[#This Row],[RESIDENTIAL_SINGLEFAMILY_GAL]:[OTHER_GAL]])</f>
        <v>300307000</v>
      </c>
      <c r="W4201">
        <f>SUM(POTABLE_NONPOTABLE_API[[#This Row],[NONPOTABLE_DEMAND_RESIDENTIAL_RECYCLED_WATER_GAL]:[NONPOTABLE_DEMAND_NONRESIDENTIAL_METERED_IRRIGATION_GAL]])</f>
        <v>53247000</v>
      </c>
      <c r="X4201" t="str">
        <f>IFERROR(INDEX(Crosswalk_API!$H$2:$H$527, MATCH(POTABLE_NONPOTABLE_API[[#This Row],[PWSID]], CW_PWSID_LIST, 0)), "")</f>
        <v>No</v>
      </c>
    </row>
    <row r="4202" spans="1:24" x14ac:dyDescent="0.25">
      <c r="A4202" t="s">
        <v>1974</v>
      </c>
      <c r="B4202" t="s">
        <v>1975</v>
      </c>
      <c r="C4202" t="s">
        <v>1976</v>
      </c>
      <c r="D4202" t="s">
        <v>1977</v>
      </c>
      <c r="E4202" s="9">
        <v>45108</v>
      </c>
      <c r="F4202" s="9">
        <v>45138</v>
      </c>
      <c r="G4202">
        <v>151846566</v>
      </c>
      <c r="H4202">
        <v>85047111</v>
      </c>
      <c r="I4202">
        <v>58327329</v>
      </c>
      <c r="J4202">
        <v>22483719</v>
      </c>
      <c r="K4202">
        <v>3910212</v>
      </c>
      <c r="L4202">
        <v>0</v>
      </c>
      <c r="M4202">
        <v>0</v>
      </c>
      <c r="T4202" s="9">
        <v>45108</v>
      </c>
      <c r="U4202" s="9">
        <v>45473</v>
      </c>
      <c r="V4202">
        <f>SUM(POTABLE_NONPOTABLE_API[[#This Row],[RESIDENTIAL_SINGLEFAMILY_GAL]:[OTHER_GAL]])</f>
        <v>321614937</v>
      </c>
      <c r="W4202">
        <f>SUM(POTABLE_NONPOTABLE_API[[#This Row],[NONPOTABLE_DEMAND_RESIDENTIAL_RECYCLED_WATER_GAL]:[NONPOTABLE_DEMAND_NONRESIDENTIAL_METERED_IRRIGATION_GAL]])</f>
        <v>0</v>
      </c>
      <c r="X4202" t="str">
        <f>IFERROR(INDEX(Crosswalk_API!$H$2:$H$527, MATCH(POTABLE_NONPOTABLE_API[[#This Row],[PWSID]], CW_PWSID_LIST, 0)), "")</f>
        <v>No</v>
      </c>
    </row>
    <row r="4203" spans="1:24" x14ac:dyDescent="0.25">
      <c r="A4203" t="s">
        <v>1974</v>
      </c>
      <c r="B4203" t="s">
        <v>1975</v>
      </c>
      <c r="C4203" t="s">
        <v>1976</v>
      </c>
      <c r="D4203" t="s">
        <v>1977</v>
      </c>
      <c r="E4203" s="9">
        <v>45139</v>
      </c>
      <c r="F4203" s="9">
        <v>45169</v>
      </c>
      <c r="G4203">
        <v>334648977</v>
      </c>
      <c r="H4203">
        <v>113070297</v>
      </c>
      <c r="I4203">
        <v>116980509</v>
      </c>
      <c r="J4203">
        <v>52462011</v>
      </c>
      <c r="K4203">
        <v>65170200</v>
      </c>
      <c r="L4203">
        <v>0</v>
      </c>
      <c r="M4203">
        <v>0</v>
      </c>
      <c r="T4203" s="9">
        <v>45108</v>
      </c>
      <c r="U4203" s="9">
        <v>45473</v>
      </c>
      <c r="V4203">
        <f>SUM(POTABLE_NONPOTABLE_API[[#This Row],[RESIDENTIAL_SINGLEFAMILY_GAL]:[OTHER_GAL]])</f>
        <v>682331994</v>
      </c>
      <c r="W4203">
        <f>SUM(POTABLE_NONPOTABLE_API[[#This Row],[NONPOTABLE_DEMAND_RESIDENTIAL_RECYCLED_WATER_GAL]:[NONPOTABLE_DEMAND_NONRESIDENTIAL_METERED_IRRIGATION_GAL]])</f>
        <v>0</v>
      </c>
      <c r="X4203" t="str">
        <f>IFERROR(INDEX(Crosswalk_API!$H$2:$H$527, MATCH(POTABLE_NONPOTABLE_API[[#This Row],[PWSID]], CW_PWSID_LIST, 0)), "")</f>
        <v>No</v>
      </c>
    </row>
    <row r="4204" spans="1:24" x14ac:dyDescent="0.25">
      <c r="A4204" t="s">
        <v>1974</v>
      </c>
      <c r="B4204" t="s">
        <v>1975</v>
      </c>
      <c r="C4204" t="s">
        <v>1976</v>
      </c>
      <c r="D4204" t="s">
        <v>1977</v>
      </c>
      <c r="E4204" s="9">
        <v>45170</v>
      </c>
      <c r="F4204" s="9">
        <v>45199</v>
      </c>
      <c r="G4204">
        <v>166529092.08399999</v>
      </c>
      <c r="H4204">
        <v>92364224.596000001</v>
      </c>
      <c r="I4204">
        <v>61069469.175999999</v>
      </c>
      <c r="J4204">
        <v>31635867.131999999</v>
      </c>
      <c r="K4204">
        <v>5487709.4720000001</v>
      </c>
      <c r="L4204">
        <v>28697518.876000002</v>
      </c>
      <c r="M4204">
        <v>0</v>
      </c>
      <c r="T4204" s="9">
        <v>45108</v>
      </c>
      <c r="U4204" s="9">
        <v>45473</v>
      </c>
      <c r="V4204">
        <f>SUM(POTABLE_NONPOTABLE_API[[#This Row],[RESIDENTIAL_SINGLEFAMILY_GAL]:[OTHER_GAL]])</f>
        <v>385783881.33600003</v>
      </c>
      <c r="W4204">
        <f>SUM(POTABLE_NONPOTABLE_API[[#This Row],[NONPOTABLE_DEMAND_RESIDENTIAL_RECYCLED_WATER_GAL]:[NONPOTABLE_DEMAND_NONRESIDENTIAL_METERED_IRRIGATION_GAL]])</f>
        <v>0</v>
      </c>
      <c r="X4204" t="str">
        <f>IFERROR(INDEX(Crosswalk_API!$H$2:$H$527, MATCH(POTABLE_NONPOTABLE_API[[#This Row],[PWSID]], CW_PWSID_LIST, 0)), "")</f>
        <v>No</v>
      </c>
    </row>
    <row r="4205" spans="1:24" x14ac:dyDescent="0.25">
      <c r="A4205" t="s">
        <v>1974</v>
      </c>
      <c r="B4205" t="s">
        <v>1975</v>
      </c>
      <c r="C4205" t="s">
        <v>1976</v>
      </c>
      <c r="D4205" t="s">
        <v>1977</v>
      </c>
      <c r="E4205" s="9">
        <v>45200</v>
      </c>
      <c r="F4205" s="9">
        <v>45230</v>
      </c>
      <c r="G4205">
        <v>255910833.35600001</v>
      </c>
      <c r="H4205">
        <v>106555519.088</v>
      </c>
      <c r="I4205">
        <v>114081670.26000001</v>
      </c>
      <c r="J4205">
        <v>31635867.131999999</v>
      </c>
      <c r="K4205">
        <v>57889500.123999998</v>
      </c>
      <c r="L4205">
        <v>0</v>
      </c>
      <c r="M4205">
        <v>0</v>
      </c>
      <c r="T4205" s="9">
        <v>45108</v>
      </c>
      <c r="U4205" s="9">
        <v>45473</v>
      </c>
      <c r="V4205">
        <f>SUM(POTABLE_NONPOTABLE_API[[#This Row],[RESIDENTIAL_SINGLEFAMILY_GAL]:[OTHER_GAL]])</f>
        <v>566073389.95999992</v>
      </c>
      <c r="W4205">
        <f>SUM(POTABLE_NONPOTABLE_API[[#This Row],[NONPOTABLE_DEMAND_RESIDENTIAL_RECYCLED_WATER_GAL]:[NONPOTABLE_DEMAND_NONRESIDENTIAL_METERED_IRRIGATION_GAL]])</f>
        <v>0</v>
      </c>
      <c r="X4205" t="str">
        <f>IFERROR(INDEX(Crosswalk_API!$H$2:$H$527, MATCH(POTABLE_NONPOTABLE_API[[#This Row],[PWSID]], CW_PWSID_LIST, 0)), "")</f>
        <v>No</v>
      </c>
    </row>
    <row r="4206" spans="1:24" x14ac:dyDescent="0.25">
      <c r="A4206" t="s">
        <v>1974</v>
      </c>
      <c r="B4206" t="s">
        <v>1975</v>
      </c>
      <c r="C4206" t="s">
        <v>1976</v>
      </c>
      <c r="D4206" t="s">
        <v>1977</v>
      </c>
      <c r="E4206" s="9">
        <v>45231</v>
      </c>
      <c r="F4206" s="9">
        <v>45260</v>
      </c>
      <c r="G4206">
        <v>170632157.30399999</v>
      </c>
      <c r="H4206">
        <v>88092847.675999999</v>
      </c>
      <c r="I4206">
        <v>59788056.100000001</v>
      </c>
      <c r="J4206">
        <v>53416149.164000005</v>
      </c>
      <c r="K4206">
        <v>6720499.1680000005</v>
      </c>
      <c r="L4206">
        <v>0</v>
      </c>
      <c r="M4206">
        <v>0</v>
      </c>
      <c r="T4206" s="9">
        <v>45108</v>
      </c>
      <c r="U4206" s="9">
        <v>45473</v>
      </c>
      <c r="V4206">
        <f>SUM(POTABLE_NONPOTABLE_API[[#This Row],[RESIDENTIAL_SINGLEFAMILY_GAL]:[OTHER_GAL]])</f>
        <v>378649709.41199994</v>
      </c>
      <c r="W4206">
        <f>SUM(POTABLE_NONPOTABLE_API[[#This Row],[NONPOTABLE_DEMAND_RESIDENTIAL_RECYCLED_WATER_GAL]:[NONPOTABLE_DEMAND_NONRESIDENTIAL_METERED_IRRIGATION_GAL]])</f>
        <v>0</v>
      </c>
      <c r="X4206" t="str">
        <f>IFERROR(INDEX(Crosswalk_API!$H$2:$H$527, MATCH(POTABLE_NONPOTABLE_API[[#This Row],[PWSID]], CW_PWSID_LIST, 0)), "")</f>
        <v>No</v>
      </c>
    </row>
    <row r="4207" spans="1:24" x14ac:dyDescent="0.25">
      <c r="A4207" t="s">
        <v>1974</v>
      </c>
      <c r="B4207" t="s">
        <v>1975</v>
      </c>
      <c r="C4207" t="s">
        <v>1976</v>
      </c>
      <c r="D4207" t="s">
        <v>1977</v>
      </c>
      <c r="E4207" s="9">
        <v>45261</v>
      </c>
      <c r="F4207" s="9">
        <v>45291</v>
      </c>
      <c r="G4207">
        <v>176327825.23199999</v>
      </c>
      <c r="H4207">
        <v>73543984.328000009</v>
      </c>
      <c r="I4207">
        <v>60842809.420000002</v>
      </c>
      <c r="J4207">
        <v>23594308.131999999</v>
      </c>
      <c r="K4207">
        <v>6103356.2680000002</v>
      </c>
      <c r="L4207">
        <v>0</v>
      </c>
      <c r="M4207">
        <v>0</v>
      </c>
      <c r="T4207" s="9">
        <v>45108</v>
      </c>
      <c r="U4207" s="9">
        <v>45473</v>
      </c>
      <c r="V4207">
        <f>SUM(POTABLE_NONPOTABLE_API[[#This Row],[RESIDENTIAL_SINGLEFAMILY_GAL]:[OTHER_GAL]])</f>
        <v>340412283.38</v>
      </c>
      <c r="W4207">
        <f>SUM(POTABLE_NONPOTABLE_API[[#This Row],[NONPOTABLE_DEMAND_RESIDENTIAL_RECYCLED_WATER_GAL]:[NONPOTABLE_DEMAND_NONRESIDENTIAL_METERED_IRRIGATION_GAL]])</f>
        <v>0</v>
      </c>
      <c r="X4207" t="str">
        <f>IFERROR(INDEX(Crosswalk_API!$H$2:$H$527, MATCH(POTABLE_NONPOTABLE_API[[#This Row],[PWSID]], CW_PWSID_LIST, 0)), "")</f>
        <v>No</v>
      </c>
    </row>
    <row r="4208" spans="1:24" x14ac:dyDescent="0.25">
      <c r="A4208" t="s">
        <v>1974</v>
      </c>
      <c r="B4208" t="s">
        <v>1975</v>
      </c>
      <c r="C4208" t="s">
        <v>1976</v>
      </c>
      <c r="D4208" t="s">
        <v>1977</v>
      </c>
      <c r="E4208" s="9">
        <v>45292</v>
      </c>
      <c r="F4208" s="9">
        <v>45322</v>
      </c>
      <c r="G4208">
        <v>214976679.86399999</v>
      </c>
      <c r="H4208">
        <v>108416672.464</v>
      </c>
      <c r="I4208">
        <v>105188828.08400001</v>
      </c>
      <c r="J4208">
        <v>32411597.056000002</v>
      </c>
      <c r="K4208">
        <v>45336439.512000002</v>
      </c>
      <c r="L4208">
        <v>0</v>
      </c>
      <c r="M4208">
        <v>0</v>
      </c>
      <c r="T4208" s="9">
        <v>45108</v>
      </c>
      <c r="U4208" s="9">
        <v>45473</v>
      </c>
      <c r="V4208">
        <f>SUM(POTABLE_NONPOTABLE_API[[#This Row],[RESIDENTIAL_SINGLEFAMILY_GAL]:[OTHER_GAL]])</f>
        <v>506330216.98000002</v>
      </c>
      <c r="W4208">
        <f>SUM(POTABLE_NONPOTABLE_API[[#This Row],[NONPOTABLE_DEMAND_RESIDENTIAL_RECYCLED_WATER_GAL]:[NONPOTABLE_DEMAND_NONRESIDENTIAL_METERED_IRRIGATION_GAL]])</f>
        <v>0</v>
      </c>
      <c r="X4208" t="str">
        <f>IFERROR(INDEX(Crosswalk_API!$H$2:$H$527, MATCH(POTABLE_NONPOTABLE_API[[#This Row],[PWSID]], CW_PWSID_LIST, 0)), "")</f>
        <v>No</v>
      </c>
    </row>
    <row r="4209" spans="1:24" x14ac:dyDescent="0.25">
      <c r="A4209" t="s">
        <v>1974</v>
      </c>
      <c r="B4209" t="s">
        <v>1975</v>
      </c>
      <c r="C4209" t="s">
        <v>1976</v>
      </c>
      <c r="D4209" t="s">
        <v>1977</v>
      </c>
      <c r="E4209" s="9">
        <v>45323</v>
      </c>
      <c r="F4209" s="9">
        <v>45351</v>
      </c>
      <c r="G4209">
        <v>172173144.42399999</v>
      </c>
      <c r="H4209">
        <v>85479153.988000005</v>
      </c>
      <c r="I4209">
        <v>82191465.447999999</v>
      </c>
      <c r="J4209">
        <v>12514909.960000001</v>
      </c>
      <c r="K4209">
        <v>23351191.232000001</v>
      </c>
      <c r="L4209">
        <v>0</v>
      </c>
      <c r="M4209">
        <v>0</v>
      </c>
      <c r="T4209" s="9">
        <v>45108</v>
      </c>
      <c r="U4209" s="9">
        <v>45473</v>
      </c>
      <c r="V4209">
        <f>SUM(POTABLE_NONPOTABLE_API[[#This Row],[RESIDENTIAL_SINGLEFAMILY_GAL]:[OTHER_GAL]])</f>
        <v>375709865.05199999</v>
      </c>
      <c r="W4209">
        <f>SUM(POTABLE_NONPOTABLE_API[[#This Row],[NONPOTABLE_DEMAND_RESIDENTIAL_RECYCLED_WATER_GAL]:[NONPOTABLE_DEMAND_NONRESIDENTIAL_METERED_IRRIGATION_GAL]])</f>
        <v>0</v>
      </c>
      <c r="X4209" t="str">
        <f>IFERROR(INDEX(Crosswalk_API!$H$2:$H$527, MATCH(POTABLE_NONPOTABLE_API[[#This Row],[PWSID]], CW_PWSID_LIST, 0)), "")</f>
        <v>No</v>
      </c>
    </row>
    <row r="4210" spans="1:24" x14ac:dyDescent="0.25">
      <c r="A4210" t="s">
        <v>1974</v>
      </c>
      <c r="B4210" t="s">
        <v>1975</v>
      </c>
      <c r="C4210" t="s">
        <v>1976</v>
      </c>
      <c r="D4210" t="s">
        <v>1977</v>
      </c>
      <c r="E4210" s="9">
        <v>45352</v>
      </c>
      <c r="F4210" s="9">
        <v>45382</v>
      </c>
      <c r="G4210">
        <v>133458461.21600001</v>
      </c>
      <c r="H4210">
        <v>81781532.952000007</v>
      </c>
      <c r="I4210">
        <v>50248896.995999999</v>
      </c>
      <c r="J4210">
        <v>3861444.4240000001</v>
      </c>
      <c r="K4210">
        <v>9946847.4440000001</v>
      </c>
      <c r="L4210">
        <v>0</v>
      </c>
      <c r="M4210">
        <v>0</v>
      </c>
      <c r="T4210" s="9">
        <v>45108</v>
      </c>
      <c r="U4210" s="9">
        <v>45473</v>
      </c>
      <c r="V4210">
        <f>SUM(POTABLE_NONPOTABLE_API[[#This Row],[RESIDENTIAL_SINGLEFAMILY_GAL]:[OTHER_GAL]])</f>
        <v>279297183.03200001</v>
      </c>
      <c r="W4210">
        <f>SUM(POTABLE_NONPOTABLE_API[[#This Row],[NONPOTABLE_DEMAND_RESIDENTIAL_RECYCLED_WATER_GAL]:[NONPOTABLE_DEMAND_NONRESIDENTIAL_METERED_IRRIGATION_GAL]])</f>
        <v>0</v>
      </c>
      <c r="X4210" t="str">
        <f>IFERROR(INDEX(Crosswalk_API!$H$2:$H$527, MATCH(POTABLE_NONPOTABLE_API[[#This Row],[PWSID]], CW_PWSID_LIST, 0)), "")</f>
        <v>No</v>
      </c>
    </row>
    <row r="4211" spans="1:24" x14ac:dyDescent="0.25">
      <c r="A4211" t="s">
        <v>1974</v>
      </c>
      <c r="B4211" t="s">
        <v>1975</v>
      </c>
      <c r="C4211" t="s">
        <v>1976</v>
      </c>
      <c r="D4211" t="s">
        <v>1977</v>
      </c>
      <c r="E4211" s="9">
        <v>45383</v>
      </c>
      <c r="F4211" s="9">
        <v>45412</v>
      </c>
      <c r="G4211">
        <v>157861413.56</v>
      </c>
      <c r="H4211">
        <v>86550364.452000007</v>
      </c>
      <c r="I4211">
        <v>88886530.848000005</v>
      </c>
      <c r="J4211">
        <v>12740821.664000001</v>
      </c>
      <c r="K4211">
        <v>27189446.044</v>
      </c>
      <c r="L4211">
        <v>0</v>
      </c>
      <c r="M4211">
        <v>0</v>
      </c>
      <c r="T4211" s="9">
        <v>45108</v>
      </c>
      <c r="U4211" s="9">
        <v>45473</v>
      </c>
      <c r="V4211">
        <f>SUM(POTABLE_NONPOTABLE_API[[#This Row],[RESIDENTIAL_SINGLEFAMILY_GAL]:[OTHER_GAL]])</f>
        <v>373228576.56799996</v>
      </c>
      <c r="W4211">
        <f>SUM(POTABLE_NONPOTABLE_API[[#This Row],[NONPOTABLE_DEMAND_RESIDENTIAL_RECYCLED_WATER_GAL]:[NONPOTABLE_DEMAND_NONRESIDENTIAL_METERED_IRRIGATION_GAL]])</f>
        <v>0</v>
      </c>
      <c r="X4211" t="str">
        <f>IFERROR(INDEX(Crosswalk_API!$H$2:$H$527, MATCH(POTABLE_NONPOTABLE_API[[#This Row],[PWSID]], CW_PWSID_LIST, 0)), "")</f>
        <v>No</v>
      </c>
    </row>
    <row r="4212" spans="1:24" x14ac:dyDescent="0.25">
      <c r="A4212" t="s">
        <v>1974</v>
      </c>
      <c r="B4212" t="s">
        <v>1975</v>
      </c>
      <c r="C4212" t="s">
        <v>1976</v>
      </c>
      <c r="D4212" t="s">
        <v>1977</v>
      </c>
      <c r="E4212" s="9">
        <v>45413</v>
      </c>
      <c r="F4212" s="9">
        <v>45443</v>
      </c>
      <c r="G4212">
        <v>166665237.54800001</v>
      </c>
      <c r="H4212">
        <v>79630135.400000006</v>
      </c>
      <c r="I4212">
        <v>51829530.872000001</v>
      </c>
      <c r="J4212">
        <v>17213424.572000001</v>
      </c>
      <c r="K4212">
        <v>3405132.7039999999</v>
      </c>
      <c r="L4212">
        <v>0</v>
      </c>
      <c r="M4212">
        <v>0</v>
      </c>
      <c r="T4212" s="9">
        <v>45108</v>
      </c>
      <c r="U4212" s="9">
        <v>45473</v>
      </c>
      <c r="V4212">
        <f>SUM(POTABLE_NONPOTABLE_API[[#This Row],[RESIDENTIAL_SINGLEFAMILY_GAL]:[OTHER_GAL]])</f>
        <v>318743461.09600002</v>
      </c>
      <c r="W4212">
        <f>SUM(POTABLE_NONPOTABLE_API[[#This Row],[NONPOTABLE_DEMAND_RESIDENTIAL_RECYCLED_WATER_GAL]:[NONPOTABLE_DEMAND_NONRESIDENTIAL_METERED_IRRIGATION_GAL]])</f>
        <v>0</v>
      </c>
      <c r="X4212" t="str">
        <f>IFERROR(INDEX(Crosswalk_API!$H$2:$H$527, MATCH(POTABLE_NONPOTABLE_API[[#This Row],[PWSID]], CW_PWSID_LIST, 0)), "")</f>
        <v>No</v>
      </c>
    </row>
    <row r="4213" spans="1:24" x14ac:dyDescent="0.25">
      <c r="A4213" t="s">
        <v>1974</v>
      </c>
      <c r="B4213" t="s">
        <v>1975</v>
      </c>
      <c r="C4213" t="s">
        <v>1976</v>
      </c>
      <c r="D4213" t="s">
        <v>1977</v>
      </c>
      <c r="E4213" s="9">
        <v>45444</v>
      </c>
      <c r="F4213" s="9">
        <v>45473</v>
      </c>
      <c r="G4213">
        <v>110574802.484</v>
      </c>
      <c r="H4213">
        <v>38996698.811999999</v>
      </c>
      <c r="I4213">
        <v>108476516.624</v>
      </c>
      <c r="J4213">
        <v>22540302.864</v>
      </c>
      <c r="K4213">
        <v>3897350.92</v>
      </c>
      <c r="L4213">
        <v>0</v>
      </c>
      <c r="M4213">
        <v>0</v>
      </c>
      <c r="T4213" s="9">
        <v>45108</v>
      </c>
      <c r="U4213" s="9">
        <v>45473</v>
      </c>
      <c r="V4213">
        <f>SUM(POTABLE_NONPOTABLE_API[[#This Row],[RESIDENTIAL_SINGLEFAMILY_GAL]:[OTHER_GAL]])</f>
        <v>284485671.70400006</v>
      </c>
      <c r="W4213">
        <f>SUM(POTABLE_NONPOTABLE_API[[#This Row],[NONPOTABLE_DEMAND_RESIDENTIAL_RECYCLED_WATER_GAL]:[NONPOTABLE_DEMAND_NONRESIDENTIAL_METERED_IRRIGATION_GAL]])</f>
        <v>0</v>
      </c>
      <c r="X4213" t="str">
        <f>IFERROR(INDEX(Crosswalk_API!$H$2:$H$527, MATCH(POTABLE_NONPOTABLE_API[[#This Row],[PWSID]], CW_PWSID_LIST, 0)), "")</f>
        <v>No</v>
      </c>
    </row>
    <row r="4214" spans="1:24" x14ac:dyDescent="0.25">
      <c r="A4214" t="s">
        <v>1978</v>
      </c>
      <c r="B4214" t="s">
        <v>1979</v>
      </c>
      <c r="C4214" t="s">
        <v>1980</v>
      </c>
      <c r="D4214" t="s">
        <v>1981</v>
      </c>
      <c r="E4214" s="9">
        <v>45108</v>
      </c>
      <c r="F4214" s="9">
        <v>45138</v>
      </c>
      <c r="G4214">
        <v>22653258.716000002</v>
      </c>
      <c r="H4214">
        <v>9740385.0920000002</v>
      </c>
      <c r="I4214">
        <v>3929517.156</v>
      </c>
      <c r="J4214">
        <v>8069984.9759999998</v>
      </c>
      <c r="K4214">
        <v>210202.61199999999</v>
      </c>
      <c r="L4214">
        <v>0</v>
      </c>
      <c r="M4214">
        <v>0</v>
      </c>
      <c r="T4214" s="9">
        <v>45108</v>
      </c>
      <c r="U4214" s="9">
        <v>45473</v>
      </c>
      <c r="V4214">
        <f>SUM(POTABLE_NONPOTABLE_API[[#This Row],[RESIDENTIAL_SINGLEFAMILY_GAL]:[OTHER_GAL]])</f>
        <v>44603348.552000001</v>
      </c>
      <c r="W4214">
        <f>SUM(POTABLE_NONPOTABLE_API[[#This Row],[NONPOTABLE_DEMAND_RESIDENTIAL_RECYCLED_WATER_GAL]:[NONPOTABLE_DEMAND_NONRESIDENTIAL_METERED_IRRIGATION_GAL]])</f>
        <v>0</v>
      </c>
      <c r="X4214" t="str">
        <f>IFERROR(INDEX(Crosswalk_API!$H$2:$H$527, MATCH(POTABLE_NONPOTABLE_API[[#This Row],[PWSID]], CW_PWSID_LIST, 0)), "")</f>
        <v>No</v>
      </c>
    </row>
    <row r="4215" spans="1:24" x14ac:dyDescent="0.25">
      <c r="A4215" t="s">
        <v>1978</v>
      </c>
      <c r="B4215" t="s">
        <v>1979</v>
      </c>
      <c r="C4215" t="s">
        <v>1980</v>
      </c>
      <c r="D4215" t="s">
        <v>1981</v>
      </c>
      <c r="E4215" s="9">
        <v>45139</v>
      </c>
      <c r="F4215" s="9">
        <v>45169</v>
      </c>
      <c r="G4215">
        <v>26287295.332000002</v>
      </c>
      <c r="H4215">
        <v>11664374.836000001</v>
      </c>
      <c r="I4215">
        <v>4909465.2760000005</v>
      </c>
      <c r="J4215">
        <v>11297829.356000001</v>
      </c>
      <c r="K4215">
        <v>313433.788</v>
      </c>
      <c r="L4215">
        <v>0</v>
      </c>
      <c r="M4215">
        <v>0</v>
      </c>
      <c r="T4215" s="9">
        <v>45108</v>
      </c>
      <c r="U4215" s="9">
        <v>45473</v>
      </c>
      <c r="V4215">
        <f>SUM(POTABLE_NONPOTABLE_API[[#This Row],[RESIDENTIAL_SINGLEFAMILY_GAL]:[OTHER_GAL]])</f>
        <v>54472398.588000007</v>
      </c>
      <c r="W4215">
        <f>SUM(POTABLE_NONPOTABLE_API[[#This Row],[NONPOTABLE_DEMAND_RESIDENTIAL_RECYCLED_WATER_GAL]:[NONPOTABLE_DEMAND_NONRESIDENTIAL_METERED_IRRIGATION_GAL]])</f>
        <v>0</v>
      </c>
      <c r="X4215" t="str">
        <f>IFERROR(INDEX(Crosswalk_API!$H$2:$H$527, MATCH(POTABLE_NONPOTABLE_API[[#This Row],[PWSID]], CW_PWSID_LIST, 0)), "")</f>
        <v>No</v>
      </c>
    </row>
    <row r="4216" spans="1:24" x14ac:dyDescent="0.25">
      <c r="A4216" t="s">
        <v>1978</v>
      </c>
      <c r="B4216" t="s">
        <v>1979</v>
      </c>
      <c r="C4216" t="s">
        <v>1980</v>
      </c>
      <c r="D4216" t="s">
        <v>1981</v>
      </c>
      <c r="E4216" s="9">
        <v>45170</v>
      </c>
      <c r="F4216" s="9">
        <v>45199</v>
      </c>
      <c r="G4216">
        <v>22781175.607999999</v>
      </c>
      <c r="H4216">
        <v>10368000.720000001</v>
      </c>
      <c r="I4216">
        <v>4205548.3440000005</v>
      </c>
      <c r="J4216">
        <v>8759688.9199999999</v>
      </c>
      <c r="K4216">
        <v>273787.03200000001</v>
      </c>
      <c r="L4216">
        <v>0</v>
      </c>
      <c r="M4216">
        <v>0</v>
      </c>
      <c r="T4216" s="9">
        <v>45108</v>
      </c>
      <c r="U4216" s="9">
        <v>45473</v>
      </c>
      <c r="V4216">
        <f>SUM(POTABLE_NONPOTABLE_API[[#This Row],[RESIDENTIAL_SINGLEFAMILY_GAL]:[OTHER_GAL]])</f>
        <v>46388200.624000005</v>
      </c>
      <c r="W4216">
        <f>SUM(POTABLE_NONPOTABLE_API[[#This Row],[NONPOTABLE_DEMAND_RESIDENTIAL_RECYCLED_WATER_GAL]:[NONPOTABLE_DEMAND_NONRESIDENTIAL_METERED_IRRIGATION_GAL]])</f>
        <v>0</v>
      </c>
      <c r="X4216" t="str">
        <f>IFERROR(INDEX(Crosswalk_API!$H$2:$H$527, MATCH(POTABLE_NONPOTABLE_API[[#This Row],[PWSID]], CW_PWSID_LIST, 0)), "")</f>
        <v>No</v>
      </c>
    </row>
    <row r="4217" spans="1:24" x14ac:dyDescent="0.25">
      <c r="A4217" t="s">
        <v>1978</v>
      </c>
      <c r="B4217" t="s">
        <v>1979</v>
      </c>
      <c r="C4217" t="s">
        <v>1980</v>
      </c>
      <c r="D4217" t="s">
        <v>1981</v>
      </c>
      <c r="E4217" s="9">
        <v>45200</v>
      </c>
      <c r="F4217" s="9">
        <v>45230</v>
      </c>
      <c r="G4217">
        <v>23912230.232000001</v>
      </c>
      <c r="H4217">
        <v>11126525.448000001</v>
      </c>
      <c r="I4217">
        <v>4530202.9120000005</v>
      </c>
      <c r="J4217">
        <v>10599896.84</v>
      </c>
      <c r="K4217">
        <v>317922.10000000003</v>
      </c>
      <c r="L4217">
        <v>0</v>
      </c>
      <c r="M4217">
        <v>0</v>
      </c>
      <c r="T4217" s="9">
        <v>45108</v>
      </c>
      <c r="U4217" s="9">
        <v>45473</v>
      </c>
      <c r="V4217">
        <f>SUM(POTABLE_NONPOTABLE_API[[#This Row],[RESIDENTIAL_SINGLEFAMILY_GAL]:[OTHER_GAL]])</f>
        <v>50486777.531999998</v>
      </c>
      <c r="W4217">
        <f>SUM(POTABLE_NONPOTABLE_API[[#This Row],[NONPOTABLE_DEMAND_RESIDENTIAL_RECYCLED_WATER_GAL]:[NONPOTABLE_DEMAND_NONRESIDENTIAL_METERED_IRRIGATION_GAL]])</f>
        <v>0</v>
      </c>
      <c r="X4217" t="str">
        <f>IFERROR(INDEX(Crosswalk_API!$H$2:$H$527, MATCH(POTABLE_NONPOTABLE_API[[#This Row],[PWSID]], CW_PWSID_LIST, 0)), "")</f>
        <v>No</v>
      </c>
    </row>
    <row r="4218" spans="1:24" x14ac:dyDescent="0.25">
      <c r="A4218" t="s">
        <v>1978</v>
      </c>
      <c r="B4218" t="s">
        <v>1979</v>
      </c>
      <c r="C4218" t="s">
        <v>1980</v>
      </c>
      <c r="D4218" t="s">
        <v>1981</v>
      </c>
      <c r="E4218" s="9">
        <v>45231</v>
      </c>
      <c r="F4218" s="9">
        <v>45260</v>
      </c>
      <c r="G4218">
        <v>27752729.199999999</v>
      </c>
      <c r="H4218">
        <v>13482141.196</v>
      </c>
      <c r="I4218">
        <v>5336602.9680000003</v>
      </c>
      <c r="J4218">
        <v>9681288.9840000011</v>
      </c>
      <c r="K4218">
        <v>243116.9</v>
      </c>
      <c r="L4218">
        <v>0</v>
      </c>
      <c r="M4218">
        <v>0</v>
      </c>
      <c r="T4218" s="9">
        <v>45108</v>
      </c>
      <c r="U4218" s="9">
        <v>45473</v>
      </c>
      <c r="V4218">
        <f>SUM(POTABLE_NONPOTABLE_API[[#This Row],[RESIDENTIAL_SINGLEFAMILY_GAL]:[OTHER_GAL]])</f>
        <v>56495879.248000003</v>
      </c>
      <c r="W4218">
        <f>SUM(POTABLE_NONPOTABLE_API[[#This Row],[NONPOTABLE_DEMAND_RESIDENTIAL_RECYCLED_WATER_GAL]:[NONPOTABLE_DEMAND_NONRESIDENTIAL_METERED_IRRIGATION_GAL]])</f>
        <v>0</v>
      </c>
      <c r="X4218" t="str">
        <f>IFERROR(INDEX(Crosswalk_API!$H$2:$H$527, MATCH(POTABLE_NONPOTABLE_API[[#This Row],[PWSID]], CW_PWSID_LIST, 0)), "")</f>
        <v>No</v>
      </c>
    </row>
    <row r="4219" spans="1:24" x14ac:dyDescent="0.25">
      <c r="A4219" t="s">
        <v>1978</v>
      </c>
      <c r="B4219" t="s">
        <v>1979</v>
      </c>
      <c r="C4219" t="s">
        <v>1980</v>
      </c>
      <c r="D4219" t="s">
        <v>1981</v>
      </c>
      <c r="E4219" s="9">
        <v>45261</v>
      </c>
      <c r="F4219" s="9">
        <v>45291</v>
      </c>
      <c r="G4219">
        <v>20138307.892000001</v>
      </c>
      <c r="H4219">
        <v>10172011.096000001</v>
      </c>
      <c r="I4219">
        <v>3883885.9840000002</v>
      </c>
      <c r="J4219">
        <v>6270919.9160000002</v>
      </c>
      <c r="K4219">
        <v>172051.96</v>
      </c>
      <c r="L4219">
        <v>0</v>
      </c>
      <c r="M4219">
        <v>0</v>
      </c>
      <c r="T4219" s="9">
        <v>45108</v>
      </c>
      <c r="U4219" s="9">
        <v>45473</v>
      </c>
      <c r="V4219">
        <f>SUM(POTABLE_NONPOTABLE_API[[#This Row],[RESIDENTIAL_SINGLEFAMILY_GAL]:[OTHER_GAL]])</f>
        <v>40637176.848000005</v>
      </c>
      <c r="W4219">
        <f>SUM(POTABLE_NONPOTABLE_API[[#This Row],[NONPOTABLE_DEMAND_RESIDENTIAL_RECYCLED_WATER_GAL]:[NONPOTABLE_DEMAND_NONRESIDENTIAL_METERED_IRRIGATION_GAL]])</f>
        <v>0</v>
      </c>
      <c r="X4219" t="str">
        <f>IFERROR(INDEX(Crosswalk_API!$H$2:$H$527, MATCH(POTABLE_NONPOTABLE_API[[#This Row],[PWSID]], CW_PWSID_LIST, 0)), "")</f>
        <v>No</v>
      </c>
    </row>
    <row r="4220" spans="1:24" x14ac:dyDescent="0.25">
      <c r="A4220" t="s">
        <v>1978</v>
      </c>
      <c r="B4220" t="s">
        <v>1979</v>
      </c>
      <c r="C4220" t="s">
        <v>1980</v>
      </c>
      <c r="D4220" t="s">
        <v>1981</v>
      </c>
      <c r="E4220" s="9">
        <v>45292</v>
      </c>
      <c r="F4220" s="9">
        <v>45322</v>
      </c>
      <c r="G4220">
        <v>18921227.287999999</v>
      </c>
      <c r="H4220">
        <v>9700738.3360000011</v>
      </c>
      <c r="I4220">
        <v>4103065.22</v>
      </c>
      <c r="J4220">
        <v>1959148.1880000001</v>
      </c>
      <c r="K4220">
        <v>213942.872</v>
      </c>
      <c r="L4220">
        <v>0</v>
      </c>
      <c r="M4220">
        <v>0</v>
      </c>
      <c r="T4220" s="9">
        <v>45108</v>
      </c>
      <c r="U4220" s="9">
        <v>45473</v>
      </c>
      <c r="V4220">
        <f>SUM(POTABLE_NONPOTABLE_API[[#This Row],[RESIDENTIAL_SINGLEFAMILY_GAL]:[OTHER_GAL]])</f>
        <v>34898121.903999999</v>
      </c>
      <c r="W4220">
        <f>SUM(POTABLE_NONPOTABLE_API[[#This Row],[NONPOTABLE_DEMAND_RESIDENTIAL_RECYCLED_WATER_GAL]:[NONPOTABLE_DEMAND_NONRESIDENTIAL_METERED_IRRIGATION_GAL]])</f>
        <v>0</v>
      </c>
      <c r="X4220" t="str">
        <f>IFERROR(INDEX(Crosswalk_API!$H$2:$H$527, MATCH(POTABLE_NONPOTABLE_API[[#This Row],[PWSID]], CW_PWSID_LIST, 0)), "")</f>
        <v>No</v>
      </c>
    </row>
    <row r="4221" spans="1:24" x14ac:dyDescent="0.25">
      <c r="A4221" t="s">
        <v>1978</v>
      </c>
      <c r="B4221" t="s">
        <v>1979</v>
      </c>
      <c r="C4221" t="s">
        <v>1980</v>
      </c>
      <c r="D4221" t="s">
        <v>1981</v>
      </c>
      <c r="E4221" s="9">
        <v>45323</v>
      </c>
      <c r="F4221" s="9">
        <v>45351</v>
      </c>
      <c r="G4221">
        <v>20701591.048</v>
      </c>
      <c r="H4221">
        <v>10353787.732000001</v>
      </c>
      <c r="I4221">
        <v>3969163.912</v>
      </c>
      <c r="J4221">
        <v>979948.12</v>
      </c>
      <c r="K4221">
        <v>254337.68</v>
      </c>
      <c r="L4221">
        <v>0</v>
      </c>
      <c r="M4221">
        <v>0</v>
      </c>
      <c r="T4221" s="9">
        <v>45108</v>
      </c>
      <c r="U4221" s="9">
        <v>45473</v>
      </c>
      <c r="V4221">
        <f>SUM(POTABLE_NONPOTABLE_API[[#This Row],[RESIDENTIAL_SINGLEFAMILY_GAL]:[OTHER_GAL]])</f>
        <v>36258828.491999999</v>
      </c>
      <c r="W4221">
        <f>SUM(POTABLE_NONPOTABLE_API[[#This Row],[NONPOTABLE_DEMAND_RESIDENTIAL_RECYCLED_WATER_GAL]:[NONPOTABLE_DEMAND_NONRESIDENTIAL_METERED_IRRIGATION_GAL]])</f>
        <v>0</v>
      </c>
      <c r="X4221" t="str">
        <f>IFERROR(INDEX(Crosswalk_API!$H$2:$H$527, MATCH(POTABLE_NONPOTABLE_API[[#This Row],[PWSID]], CW_PWSID_LIST, 0)), "")</f>
        <v>No</v>
      </c>
    </row>
    <row r="4222" spans="1:24" x14ac:dyDescent="0.25">
      <c r="A4222" t="s">
        <v>1978</v>
      </c>
      <c r="B4222" t="s">
        <v>1979</v>
      </c>
      <c r="C4222" t="s">
        <v>1980</v>
      </c>
      <c r="D4222" t="s">
        <v>1981</v>
      </c>
      <c r="E4222" s="9">
        <v>45352</v>
      </c>
      <c r="F4222" s="9">
        <v>45382</v>
      </c>
      <c r="G4222">
        <v>18375149.328000002</v>
      </c>
      <c r="H4222">
        <v>9103044.7880000006</v>
      </c>
      <c r="I4222">
        <v>3572696.352</v>
      </c>
      <c r="J4222">
        <v>2086317.0280000002</v>
      </c>
      <c r="K4222">
        <v>264810.408</v>
      </c>
      <c r="L4222">
        <v>0</v>
      </c>
      <c r="M4222">
        <v>0</v>
      </c>
      <c r="T4222" s="9">
        <v>45108</v>
      </c>
      <c r="U4222" s="9">
        <v>45473</v>
      </c>
      <c r="V4222">
        <f>SUM(POTABLE_NONPOTABLE_API[[#This Row],[RESIDENTIAL_SINGLEFAMILY_GAL]:[OTHER_GAL]])</f>
        <v>33402017.904000003</v>
      </c>
      <c r="W4222">
        <f>SUM(POTABLE_NONPOTABLE_API[[#This Row],[NONPOTABLE_DEMAND_RESIDENTIAL_RECYCLED_WATER_GAL]:[NONPOTABLE_DEMAND_NONRESIDENTIAL_METERED_IRRIGATION_GAL]])</f>
        <v>0</v>
      </c>
      <c r="X4222" t="str">
        <f>IFERROR(INDEX(Crosswalk_API!$H$2:$H$527, MATCH(POTABLE_NONPOTABLE_API[[#This Row],[PWSID]], CW_PWSID_LIST, 0)), "")</f>
        <v>No</v>
      </c>
    </row>
    <row r="4223" spans="1:24" x14ac:dyDescent="0.25">
      <c r="A4223" t="s">
        <v>1978</v>
      </c>
      <c r="B4223" t="s">
        <v>1979</v>
      </c>
      <c r="C4223" t="s">
        <v>1980</v>
      </c>
      <c r="D4223" t="s">
        <v>1981</v>
      </c>
      <c r="E4223" s="9">
        <v>45383</v>
      </c>
      <c r="F4223" s="9">
        <v>45412</v>
      </c>
      <c r="G4223">
        <v>19260842.896000002</v>
      </c>
      <c r="H4223">
        <v>9231709.7320000008</v>
      </c>
      <c r="I4223">
        <v>3606358.6920000003</v>
      </c>
      <c r="J4223">
        <v>3013901.5079999999</v>
      </c>
      <c r="K4223">
        <v>235636.38</v>
      </c>
      <c r="L4223">
        <v>0</v>
      </c>
      <c r="M4223">
        <v>0</v>
      </c>
      <c r="T4223" s="9">
        <v>45108</v>
      </c>
      <c r="U4223" s="9">
        <v>45473</v>
      </c>
      <c r="V4223">
        <f>SUM(POTABLE_NONPOTABLE_API[[#This Row],[RESIDENTIAL_SINGLEFAMILY_GAL]:[OTHER_GAL]])</f>
        <v>35348449.208000004</v>
      </c>
      <c r="W4223">
        <f>SUM(POTABLE_NONPOTABLE_API[[#This Row],[NONPOTABLE_DEMAND_RESIDENTIAL_RECYCLED_WATER_GAL]:[NONPOTABLE_DEMAND_NONRESIDENTIAL_METERED_IRRIGATION_GAL]])</f>
        <v>0</v>
      </c>
      <c r="X4223" t="str">
        <f>IFERROR(INDEX(Crosswalk_API!$H$2:$H$527, MATCH(POTABLE_NONPOTABLE_API[[#This Row],[PWSID]], CW_PWSID_LIST, 0)), "")</f>
        <v>No</v>
      </c>
    </row>
    <row r="4224" spans="1:24" x14ac:dyDescent="0.25">
      <c r="A4224" t="s">
        <v>1978</v>
      </c>
      <c r="B4224" t="s">
        <v>1979</v>
      </c>
      <c r="C4224" t="s">
        <v>1980</v>
      </c>
      <c r="D4224" t="s">
        <v>1981</v>
      </c>
      <c r="E4224" s="9">
        <v>45413</v>
      </c>
      <c r="F4224" s="9">
        <v>45443</v>
      </c>
      <c r="G4224">
        <v>19878733.848000001</v>
      </c>
      <c r="H4224">
        <v>9213008.432</v>
      </c>
      <c r="I4224">
        <v>3483678.1639999999</v>
      </c>
      <c r="J4224">
        <v>6205839.392</v>
      </c>
      <c r="K4224">
        <v>227407.80800000002</v>
      </c>
      <c r="L4224">
        <v>0</v>
      </c>
      <c r="M4224">
        <v>0</v>
      </c>
      <c r="T4224" s="9">
        <v>45108</v>
      </c>
      <c r="U4224" s="9">
        <v>45473</v>
      </c>
      <c r="V4224">
        <f>SUM(POTABLE_NONPOTABLE_API[[#This Row],[RESIDENTIAL_SINGLEFAMILY_GAL]:[OTHER_GAL]])</f>
        <v>39008667.644000001</v>
      </c>
      <c r="W4224">
        <f>SUM(POTABLE_NONPOTABLE_API[[#This Row],[NONPOTABLE_DEMAND_RESIDENTIAL_RECYCLED_WATER_GAL]:[NONPOTABLE_DEMAND_NONRESIDENTIAL_METERED_IRRIGATION_GAL]])</f>
        <v>0</v>
      </c>
      <c r="X4224" t="str">
        <f>IFERROR(INDEX(Crosswalk_API!$H$2:$H$527, MATCH(POTABLE_NONPOTABLE_API[[#This Row],[PWSID]], CW_PWSID_LIST, 0)), "")</f>
        <v>No</v>
      </c>
    </row>
    <row r="4225" spans="1:24" x14ac:dyDescent="0.25">
      <c r="A4225" t="s">
        <v>1978</v>
      </c>
      <c r="B4225" t="s">
        <v>1979</v>
      </c>
      <c r="C4225" t="s">
        <v>1980</v>
      </c>
      <c r="D4225" t="s">
        <v>1981</v>
      </c>
      <c r="E4225" s="9">
        <v>45444</v>
      </c>
      <c r="F4225" s="9">
        <v>45473</v>
      </c>
      <c r="G4225">
        <v>21845362.556000002</v>
      </c>
      <c r="H4225">
        <v>10010431.864</v>
      </c>
      <c r="I4225">
        <v>3731283.3760000002</v>
      </c>
      <c r="J4225">
        <v>7576270.6560000004</v>
      </c>
      <c r="K4225">
        <v>198233.78</v>
      </c>
      <c r="L4225">
        <v>0</v>
      </c>
      <c r="M4225">
        <v>0</v>
      </c>
      <c r="T4225" s="9">
        <v>45108</v>
      </c>
      <c r="U4225" s="9">
        <v>45473</v>
      </c>
      <c r="V4225">
        <f>SUM(POTABLE_NONPOTABLE_API[[#This Row],[RESIDENTIAL_SINGLEFAMILY_GAL]:[OTHER_GAL]])</f>
        <v>43361582.232000008</v>
      </c>
      <c r="W4225">
        <f>SUM(POTABLE_NONPOTABLE_API[[#This Row],[NONPOTABLE_DEMAND_RESIDENTIAL_RECYCLED_WATER_GAL]:[NONPOTABLE_DEMAND_NONRESIDENTIAL_METERED_IRRIGATION_GAL]])</f>
        <v>0</v>
      </c>
      <c r="X4225" t="str">
        <f>IFERROR(INDEX(Crosswalk_API!$H$2:$H$527, MATCH(POTABLE_NONPOTABLE_API[[#This Row],[PWSID]], CW_PWSID_LIST, 0)), "")</f>
        <v>No</v>
      </c>
    </row>
    <row r="4226" spans="1:24" x14ac:dyDescent="0.25">
      <c r="A4226" t="s">
        <v>1982</v>
      </c>
      <c r="B4226" t="s">
        <v>1983</v>
      </c>
      <c r="C4226" t="s">
        <v>1984</v>
      </c>
      <c r="D4226" t="s">
        <v>1985</v>
      </c>
      <c r="E4226" s="9">
        <v>45108</v>
      </c>
      <c r="F4226" s="9">
        <v>45138</v>
      </c>
      <c r="G4226">
        <v>205730757.14399999</v>
      </c>
      <c r="H4226">
        <v>37656937.68</v>
      </c>
      <c r="I4226">
        <v>46558008.428000003</v>
      </c>
      <c r="J4226">
        <v>32835742.539999999</v>
      </c>
      <c r="K4226">
        <v>776477.97600000002</v>
      </c>
      <c r="L4226">
        <v>18111086.971999999</v>
      </c>
      <c r="M4226">
        <v>0</v>
      </c>
      <c r="T4226" s="9">
        <v>45108</v>
      </c>
      <c r="U4226" s="9">
        <v>45473</v>
      </c>
      <c r="V4226">
        <f>SUM(POTABLE_NONPOTABLE_API[[#This Row],[RESIDENTIAL_SINGLEFAMILY_GAL]:[OTHER_GAL]])</f>
        <v>341669010.74000001</v>
      </c>
      <c r="W4226">
        <f>SUM(POTABLE_NONPOTABLE_API[[#This Row],[NONPOTABLE_DEMAND_RESIDENTIAL_RECYCLED_WATER_GAL]:[NONPOTABLE_DEMAND_NONRESIDENTIAL_METERED_IRRIGATION_GAL]])</f>
        <v>0</v>
      </c>
      <c r="X4226" t="str">
        <f>IFERROR(INDEX(Crosswalk_API!$H$2:$H$527, MATCH(POTABLE_NONPOTABLE_API[[#This Row],[PWSID]], CW_PWSID_LIST, 0)), "")</f>
        <v>No</v>
      </c>
    </row>
    <row r="4227" spans="1:24" x14ac:dyDescent="0.25">
      <c r="A4227" t="s">
        <v>1982</v>
      </c>
      <c r="B4227" t="s">
        <v>1983</v>
      </c>
      <c r="C4227" t="s">
        <v>1984</v>
      </c>
      <c r="D4227" t="s">
        <v>1985</v>
      </c>
      <c r="E4227" s="9">
        <v>45139</v>
      </c>
      <c r="F4227" s="9">
        <v>45169</v>
      </c>
      <c r="G4227">
        <v>208277874.204</v>
      </c>
      <c r="H4227">
        <v>35321519.336000003</v>
      </c>
      <c r="I4227">
        <v>47574611.096000001</v>
      </c>
      <c r="J4227">
        <v>34839773.847999997</v>
      </c>
      <c r="K4227">
        <v>875220.84</v>
      </c>
      <c r="L4227">
        <v>21020261.199999999</v>
      </c>
      <c r="M4227">
        <v>0</v>
      </c>
      <c r="T4227" s="9">
        <v>45108</v>
      </c>
      <c r="U4227" s="9">
        <v>45473</v>
      </c>
      <c r="V4227">
        <f>SUM(POTABLE_NONPOTABLE_API[[#This Row],[RESIDENTIAL_SINGLEFAMILY_GAL]:[OTHER_GAL]])</f>
        <v>347909260.52399993</v>
      </c>
      <c r="W4227">
        <f>SUM(POTABLE_NONPOTABLE_API[[#This Row],[NONPOTABLE_DEMAND_RESIDENTIAL_RECYCLED_WATER_GAL]:[NONPOTABLE_DEMAND_NONRESIDENTIAL_METERED_IRRIGATION_GAL]])</f>
        <v>0</v>
      </c>
      <c r="X4227" t="str">
        <f>IFERROR(INDEX(Crosswalk_API!$H$2:$H$527, MATCH(POTABLE_NONPOTABLE_API[[#This Row],[PWSID]], CW_PWSID_LIST, 0)), "")</f>
        <v>No</v>
      </c>
    </row>
    <row r="4228" spans="1:24" x14ac:dyDescent="0.25">
      <c r="A4228" t="s">
        <v>1982</v>
      </c>
      <c r="B4228" t="s">
        <v>1983</v>
      </c>
      <c r="C4228" t="s">
        <v>1984</v>
      </c>
      <c r="D4228" t="s">
        <v>1985</v>
      </c>
      <c r="E4228" s="9">
        <v>45170</v>
      </c>
      <c r="F4228" s="9">
        <v>45199</v>
      </c>
      <c r="G4228">
        <v>232254436.90799999</v>
      </c>
      <c r="H4228">
        <v>42003867.851999998</v>
      </c>
      <c r="I4228">
        <v>58649520.956</v>
      </c>
      <c r="J4228">
        <v>38915909.196000002</v>
      </c>
      <c r="K4228">
        <v>1139283.196</v>
      </c>
      <c r="L4228">
        <v>23973570.495999999</v>
      </c>
      <c r="M4228">
        <v>0</v>
      </c>
      <c r="T4228" s="9">
        <v>45108</v>
      </c>
      <c r="U4228" s="9">
        <v>45473</v>
      </c>
      <c r="V4228">
        <f>SUM(POTABLE_NONPOTABLE_API[[#This Row],[RESIDENTIAL_SINGLEFAMILY_GAL]:[OTHER_GAL]])</f>
        <v>396936588.60399991</v>
      </c>
      <c r="W4228">
        <f>SUM(POTABLE_NONPOTABLE_API[[#This Row],[NONPOTABLE_DEMAND_RESIDENTIAL_RECYCLED_WATER_GAL]:[NONPOTABLE_DEMAND_NONRESIDENTIAL_METERED_IRRIGATION_GAL]])</f>
        <v>0</v>
      </c>
      <c r="X4228" t="str">
        <f>IFERROR(INDEX(Crosswalk_API!$H$2:$H$527, MATCH(POTABLE_NONPOTABLE_API[[#This Row],[PWSID]], CW_PWSID_LIST, 0)), "")</f>
        <v>No</v>
      </c>
    </row>
    <row r="4229" spans="1:24" x14ac:dyDescent="0.25">
      <c r="A4229" t="s">
        <v>1982</v>
      </c>
      <c r="B4229" t="s">
        <v>1983</v>
      </c>
      <c r="C4229" t="s">
        <v>1984</v>
      </c>
      <c r="D4229" t="s">
        <v>1985</v>
      </c>
      <c r="E4229" s="9">
        <v>45200</v>
      </c>
      <c r="F4229" s="9">
        <v>45230</v>
      </c>
      <c r="G4229">
        <v>165190079.00400001</v>
      </c>
      <c r="H4229">
        <v>33378080.240000002</v>
      </c>
      <c r="I4229">
        <v>39017644.267999999</v>
      </c>
      <c r="J4229">
        <v>26519191.452</v>
      </c>
      <c r="K4229">
        <v>641828.61600000004</v>
      </c>
      <c r="L4229">
        <v>13964634.736</v>
      </c>
      <c r="M4229">
        <v>0</v>
      </c>
      <c r="T4229" s="9">
        <v>45108</v>
      </c>
      <c r="U4229" s="9">
        <v>45473</v>
      </c>
      <c r="V4229">
        <f>SUM(POTABLE_NONPOTABLE_API[[#This Row],[RESIDENTIAL_SINGLEFAMILY_GAL]:[OTHER_GAL]])</f>
        <v>278711458.31599998</v>
      </c>
      <c r="W4229">
        <f>SUM(POTABLE_NONPOTABLE_API[[#This Row],[NONPOTABLE_DEMAND_RESIDENTIAL_RECYCLED_WATER_GAL]:[NONPOTABLE_DEMAND_NONRESIDENTIAL_METERED_IRRIGATION_GAL]])</f>
        <v>0</v>
      </c>
      <c r="X4229" t="str">
        <f>IFERROR(INDEX(Crosswalk_API!$H$2:$H$527, MATCH(POTABLE_NONPOTABLE_API[[#This Row],[PWSID]], CW_PWSID_LIST, 0)), "")</f>
        <v>No</v>
      </c>
    </row>
    <row r="4230" spans="1:24" x14ac:dyDescent="0.25">
      <c r="A4230" t="s">
        <v>1982</v>
      </c>
      <c r="B4230" t="s">
        <v>1983</v>
      </c>
      <c r="C4230" t="s">
        <v>1984</v>
      </c>
      <c r="D4230" t="s">
        <v>1985</v>
      </c>
      <c r="E4230" s="9">
        <v>45231</v>
      </c>
      <c r="F4230" s="9">
        <v>45260</v>
      </c>
      <c r="G4230">
        <v>144463802.24000001</v>
      </c>
      <c r="H4230">
        <v>30320791.716000002</v>
      </c>
      <c r="I4230">
        <v>16929164.811999999</v>
      </c>
      <c r="J4230">
        <v>19904915.668000001</v>
      </c>
      <c r="K4230">
        <v>924592.272</v>
      </c>
      <c r="L4230">
        <v>10794390.359999999</v>
      </c>
      <c r="M4230">
        <v>0</v>
      </c>
      <c r="T4230" s="9">
        <v>45108</v>
      </c>
      <c r="U4230" s="9">
        <v>45473</v>
      </c>
      <c r="V4230">
        <f>SUM(POTABLE_NONPOTABLE_API[[#This Row],[RESIDENTIAL_SINGLEFAMILY_GAL]:[OTHER_GAL]])</f>
        <v>223337657.06800002</v>
      </c>
      <c r="W4230">
        <f>SUM(POTABLE_NONPOTABLE_API[[#This Row],[NONPOTABLE_DEMAND_RESIDENTIAL_RECYCLED_WATER_GAL]:[NONPOTABLE_DEMAND_NONRESIDENTIAL_METERED_IRRIGATION_GAL]])</f>
        <v>0</v>
      </c>
      <c r="X4230" t="str">
        <f>IFERROR(INDEX(Crosswalk_API!$H$2:$H$527, MATCH(POTABLE_NONPOTABLE_API[[#This Row],[PWSID]], CW_PWSID_LIST, 0)), "")</f>
        <v>No</v>
      </c>
    </row>
    <row r="4231" spans="1:24" x14ac:dyDescent="0.25">
      <c r="A4231" t="s">
        <v>1982</v>
      </c>
      <c r="B4231" t="s">
        <v>1983</v>
      </c>
      <c r="C4231" t="s">
        <v>1984</v>
      </c>
      <c r="D4231" t="s">
        <v>1985</v>
      </c>
      <c r="E4231" s="9">
        <v>45261</v>
      </c>
      <c r="F4231" s="9">
        <v>45291</v>
      </c>
      <c r="G4231">
        <v>143005848.89199999</v>
      </c>
      <c r="H4231">
        <v>33241934.776000001</v>
      </c>
      <c r="I4231">
        <v>38416210.460000001</v>
      </c>
      <c r="J4231">
        <v>16603762.192</v>
      </c>
      <c r="K4231">
        <v>606670.17200000002</v>
      </c>
      <c r="L4231">
        <v>3306389.8400000003</v>
      </c>
      <c r="M4231">
        <v>0</v>
      </c>
      <c r="T4231" s="9">
        <v>45108</v>
      </c>
      <c r="U4231" s="9">
        <v>45473</v>
      </c>
      <c r="V4231">
        <f>SUM(POTABLE_NONPOTABLE_API[[#This Row],[RESIDENTIAL_SINGLEFAMILY_GAL]:[OTHER_GAL]])</f>
        <v>235180816.33199999</v>
      </c>
      <c r="W4231">
        <f>SUM(POTABLE_NONPOTABLE_API[[#This Row],[NONPOTABLE_DEMAND_RESIDENTIAL_RECYCLED_WATER_GAL]:[NONPOTABLE_DEMAND_NONRESIDENTIAL_METERED_IRRIGATION_GAL]])</f>
        <v>0</v>
      </c>
      <c r="X4231" t="str">
        <f>IFERROR(INDEX(Crosswalk_API!$H$2:$H$527, MATCH(POTABLE_NONPOTABLE_API[[#This Row],[PWSID]], CW_PWSID_LIST, 0)), "")</f>
        <v>No</v>
      </c>
    </row>
    <row r="4232" spans="1:24" x14ac:dyDescent="0.25">
      <c r="A4232" t="s">
        <v>1982</v>
      </c>
      <c r="B4232" t="s">
        <v>1983</v>
      </c>
      <c r="C4232" t="s">
        <v>1984</v>
      </c>
      <c r="D4232" t="s">
        <v>1985</v>
      </c>
      <c r="E4232" s="9">
        <v>45292</v>
      </c>
      <c r="F4232" s="9">
        <v>45322</v>
      </c>
      <c r="G4232">
        <v>120567281.10000001</v>
      </c>
      <c r="H4232">
        <v>30250474.828000002</v>
      </c>
      <c r="I4232">
        <v>33160397.107999999</v>
      </c>
      <c r="J4232">
        <v>7810410.932</v>
      </c>
      <c r="K4232">
        <v>512415.62</v>
      </c>
      <c r="L4232">
        <v>1555948.1600000001</v>
      </c>
      <c r="M4232">
        <v>0</v>
      </c>
      <c r="T4232" s="9">
        <v>45108</v>
      </c>
      <c r="U4232" s="9">
        <v>45473</v>
      </c>
      <c r="V4232">
        <f>SUM(POTABLE_NONPOTABLE_API[[#This Row],[RESIDENTIAL_SINGLEFAMILY_GAL]:[OTHER_GAL]])</f>
        <v>193856927.74800003</v>
      </c>
      <c r="W4232">
        <f>SUM(POTABLE_NONPOTABLE_API[[#This Row],[NONPOTABLE_DEMAND_RESIDENTIAL_RECYCLED_WATER_GAL]:[NONPOTABLE_DEMAND_NONRESIDENTIAL_METERED_IRRIGATION_GAL]])</f>
        <v>0</v>
      </c>
      <c r="X4232" t="str">
        <f>IFERROR(INDEX(Crosswalk_API!$H$2:$H$527, MATCH(POTABLE_NONPOTABLE_API[[#This Row],[PWSID]], CW_PWSID_LIST, 0)), "")</f>
        <v>No</v>
      </c>
    </row>
    <row r="4233" spans="1:24" x14ac:dyDescent="0.25">
      <c r="A4233" t="s">
        <v>1982</v>
      </c>
      <c r="B4233" t="s">
        <v>1983</v>
      </c>
      <c r="C4233" t="s">
        <v>1984</v>
      </c>
      <c r="D4233" t="s">
        <v>1985</v>
      </c>
      <c r="E4233" s="9">
        <v>45323</v>
      </c>
      <c r="F4233" s="9">
        <v>45351</v>
      </c>
      <c r="G4233">
        <v>91379040.112000003</v>
      </c>
      <c r="H4233">
        <v>24483741.960000001</v>
      </c>
      <c r="I4233">
        <v>27499887.624000002</v>
      </c>
      <c r="J4233">
        <v>3104415.8000000003</v>
      </c>
      <c r="K4233">
        <v>693444.20400000003</v>
      </c>
      <c r="L4233">
        <v>851283.17599999998</v>
      </c>
      <c r="M4233">
        <v>0</v>
      </c>
      <c r="T4233" s="9">
        <v>45108</v>
      </c>
      <c r="U4233" s="9">
        <v>45473</v>
      </c>
      <c r="V4233">
        <f>SUM(POTABLE_NONPOTABLE_API[[#This Row],[RESIDENTIAL_SINGLEFAMILY_GAL]:[OTHER_GAL]])</f>
        <v>148011812.87600002</v>
      </c>
      <c r="W4233">
        <f>SUM(POTABLE_NONPOTABLE_API[[#This Row],[NONPOTABLE_DEMAND_RESIDENTIAL_RECYCLED_WATER_GAL]:[NONPOTABLE_DEMAND_NONRESIDENTIAL_METERED_IRRIGATION_GAL]])</f>
        <v>0</v>
      </c>
      <c r="X4233" t="str">
        <f>IFERROR(INDEX(Crosswalk_API!$H$2:$H$527, MATCH(POTABLE_NONPOTABLE_API[[#This Row],[PWSID]], CW_PWSID_LIST, 0)), "")</f>
        <v>No</v>
      </c>
    </row>
    <row r="4234" spans="1:24" x14ac:dyDescent="0.25">
      <c r="A4234" t="s">
        <v>1982</v>
      </c>
      <c r="B4234" t="s">
        <v>1983</v>
      </c>
      <c r="C4234" t="s">
        <v>1984</v>
      </c>
      <c r="D4234" t="s">
        <v>1985</v>
      </c>
      <c r="E4234" s="9">
        <v>45352</v>
      </c>
      <c r="F4234" s="9">
        <v>45382</v>
      </c>
      <c r="G4234">
        <v>93368110.379999995</v>
      </c>
      <c r="H4234">
        <v>23686318.528000001</v>
      </c>
      <c r="I4234">
        <v>27033851.228</v>
      </c>
      <c r="J4234">
        <v>3560727.52</v>
      </c>
      <c r="K4234">
        <v>626867.576</v>
      </c>
      <c r="L4234">
        <v>749548.10400000005</v>
      </c>
      <c r="M4234">
        <v>0</v>
      </c>
      <c r="T4234" s="9">
        <v>45108</v>
      </c>
      <c r="U4234" s="9">
        <v>45473</v>
      </c>
      <c r="V4234">
        <f>SUM(POTABLE_NONPOTABLE_API[[#This Row],[RESIDENTIAL_SINGLEFAMILY_GAL]:[OTHER_GAL]])</f>
        <v>149025423.336</v>
      </c>
      <c r="W4234">
        <f>SUM(POTABLE_NONPOTABLE_API[[#This Row],[NONPOTABLE_DEMAND_RESIDENTIAL_RECYCLED_WATER_GAL]:[NONPOTABLE_DEMAND_NONRESIDENTIAL_METERED_IRRIGATION_GAL]])</f>
        <v>0</v>
      </c>
      <c r="X4234" t="str">
        <f>IFERROR(INDEX(Crosswalk_API!$H$2:$H$527, MATCH(POTABLE_NONPOTABLE_API[[#This Row],[PWSID]], CW_PWSID_LIST, 0)), "")</f>
        <v>No</v>
      </c>
    </row>
    <row r="4235" spans="1:24" x14ac:dyDescent="0.25">
      <c r="A4235" t="s">
        <v>1982</v>
      </c>
      <c r="B4235" t="s">
        <v>1983</v>
      </c>
      <c r="C4235" t="s">
        <v>1984</v>
      </c>
      <c r="D4235" t="s">
        <v>1985</v>
      </c>
      <c r="E4235" s="9">
        <v>45383</v>
      </c>
      <c r="F4235" s="9">
        <v>45412</v>
      </c>
      <c r="G4235">
        <v>123242315.052</v>
      </c>
      <c r="H4235">
        <v>28503025.356000002</v>
      </c>
      <c r="I4235">
        <v>33595015.32</v>
      </c>
      <c r="J4235">
        <v>8675159.0439999998</v>
      </c>
      <c r="K4235">
        <v>988176.69200000004</v>
      </c>
      <c r="L4235">
        <v>4417247.0600000005</v>
      </c>
      <c r="M4235">
        <v>0</v>
      </c>
      <c r="T4235" s="9">
        <v>45108</v>
      </c>
      <c r="U4235" s="9">
        <v>45473</v>
      </c>
      <c r="V4235">
        <f>SUM(POTABLE_NONPOTABLE_API[[#This Row],[RESIDENTIAL_SINGLEFAMILY_GAL]:[OTHER_GAL]])</f>
        <v>199420938.52399999</v>
      </c>
      <c r="W4235">
        <f>SUM(POTABLE_NONPOTABLE_API[[#This Row],[NONPOTABLE_DEMAND_RESIDENTIAL_RECYCLED_WATER_GAL]:[NONPOTABLE_DEMAND_NONRESIDENTIAL_METERED_IRRIGATION_GAL]])</f>
        <v>0</v>
      </c>
      <c r="X4235" t="str">
        <f>IFERROR(INDEX(Crosswalk_API!$H$2:$H$527, MATCH(POTABLE_NONPOTABLE_API[[#This Row],[PWSID]], CW_PWSID_LIST, 0)), "")</f>
        <v>No</v>
      </c>
    </row>
    <row r="4236" spans="1:24" x14ac:dyDescent="0.25">
      <c r="A4236" t="s">
        <v>1982</v>
      </c>
      <c r="B4236" t="s">
        <v>1983</v>
      </c>
      <c r="C4236" t="s">
        <v>1984</v>
      </c>
      <c r="D4236" t="s">
        <v>1985</v>
      </c>
      <c r="E4236" s="9">
        <v>45413</v>
      </c>
      <c r="F4236" s="9">
        <v>45443</v>
      </c>
      <c r="G4236">
        <v>142892893.03999999</v>
      </c>
      <c r="H4236">
        <v>28467866.912</v>
      </c>
      <c r="I4236">
        <v>32481165.892000001</v>
      </c>
      <c r="J4236">
        <v>14525673.736</v>
      </c>
      <c r="K4236">
        <v>536353.28399999999</v>
      </c>
      <c r="L4236">
        <v>11553663.140000001</v>
      </c>
      <c r="M4236">
        <v>0</v>
      </c>
      <c r="T4236" s="9">
        <v>45108</v>
      </c>
      <c r="U4236" s="9">
        <v>45473</v>
      </c>
      <c r="V4236">
        <f>SUM(POTABLE_NONPOTABLE_API[[#This Row],[RESIDENTIAL_SINGLEFAMILY_GAL]:[OTHER_GAL]])</f>
        <v>230457616.00400001</v>
      </c>
      <c r="W4236">
        <f>SUM(POTABLE_NONPOTABLE_API[[#This Row],[NONPOTABLE_DEMAND_RESIDENTIAL_RECYCLED_WATER_GAL]:[NONPOTABLE_DEMAND_NONRESIDENTIAL_METERED_IRRIGATION_GAL]])</f>
        <v>0</v>
      </c>
      <c r="X4236" t="str">
        <f>IFERROR(INDEX(Crosswalk_API!$H$2:$H$527, MATCH(POTABLE_NONPOTABLE_API[[#This Row],[PWSID]], CW_PWSID_LIST, 0)), "")</f>
        <v>No</v>
      </c>
    </row>
    <row r="4237" spans="1:24" x14ac:dyDescent="0.25">
      <c r="A4237" t="s">
        <v>1982</v>
      </c>
      <c r="B4237" t="s">
        <v>1983</v>
      </c>
      <c r="C4237" t="s">
        <v>1984</v>
      </c>
      <c r="D4237" t="s">
        <v>1985</v>
      </c>
      <c r="E4237" s="9">
        <v>45444</v>
      </c>
      <c r="F4237" s="9">
        <v>45473</v>
      </c>
      <c r="G4237">
        <v>196326995.45199999</v>
      </c>
      <c r="H4237">
        <v>32425810.044</v>
      </c>
      <c r="I4237">
        <v>40682808.020000003</v>
      </c>
      <c r="J4237">
        <v>23341466.556000002</v>
      </c>
      <c r="K4237">
        <v>1031563.708</v>
      </c>
      <c r="L4237">
        <v>17484967.447999999</v>
      </c>
      <c r="M4237">
        <v>0</v>
      </c>
      <c r="N4237">
        <v>4257911.9840000002</v>
      </c>
      <c r="O4237">
        <v>0</v>
      </c>
      <c r="P4237">
        <v>0</v>
      </c>
      <c r="Q4237">
        <v>0</v>
      </c>
      <c r="R4237">
        <v>0</v>
      </c>
      <c r="S4237">
        <v>0</v>
      </c>
      <c r="T4237" s="9">
        <v>45108</v>
      </c>
      <c r="U4237" s="9">
        <v>45473</v>
      </c>
      <c r="V4237">
        <f>SUM(POTABLE_NONPOTABLE_API[[#This Row],[RESIDENTIAL_SINGLEFAMILY_GAL]:[OTHER_GAL]])</f>
        <v>311293611.22799999</v>
      </c>
      <c r="W4237">
        <f>SUM(POTABLE_NONPOTABLE_API[[#This Row],[NONPOTABLE_DEMAND_RESIDENTIAL_RECYCLED_WATER_GAL]:[NONPOTABLE_DEMAND_NONRESIDENTIAL_METERED_IRRIGATION_GAL]])</f>
        <v>4257911.9840000002</v>
      </c>
      <c r="X4237" t="str">
        <f>IFERROR(INDEX(Crosswalk_API!$H$2:$H$527, MATCH(POTABLE_NONPOTABLE_API[[#This Row],[PWSID]], CW_PWSID_LIST, 0)), "")</f>
        <v>No</v>
      </c>
    </row>
    <row r="4238" spans="1:24" x14ac:dyDescent="0.25">
      <c r="A4238" t="s">
        <v>1986</v>
      </c>
      <c r="B4238" t="s">
        <v>1987</v>
      </c>
      <c r="C4238" t="s">
        <v>1988</v>
      </c>
      <c r="D4238" t="s">
        <v>1989</v>
      </c>
      <c r="E4238" s="9">
        <v>45108</v>
      </c>
      <c r="F4238" s="9">
        <v>45138</v>
      </c>
      <c r="G4238">
        <v>152302757.40000001</v>
      </c>
      <c r="H4238">
        <v>7106810.3099999996</v>
      </c>
      <c r="I4238">
        <v>22988788.050000001</v>
      </c>
      <c r="J4238">
        <v>8543813.2199999988</v>
      </c>
      <c r="K4238">
        <v>0</v>
      </c>
      <c r="L4238">
        <v>87979.77</v>
      </c>
      <c r="M4238">
        <v>247646.76</v>
      </c>
      <c r="N4238">
        <v>0</v>
      </c>
      <c r="O4238">
        <v>0</v>
      </c>
      <c r="P4238">
        <v>0</v>
      </c>
      <c r="Q4238">
        <v>0</v>
      </c>
      <c r="R4238">
        <v>0</v>
      </c>
      <c r="S4238">
        <v>14239688.700000001</v>
      </c>
      <c r="T4238" s="9">
        <v>45108</v>
      </c>
      <c r="U4238" s="9">
        <v>45473</v>
      </c>
      <c r="V4238">
        <f>SUM(POTABLE_NONPOTABLE_API[[#This Row],[RESIDENTIAL_SINGLEFAMILY_GAL]:[OTHER_GAL]])</f>
        <v>191030148.75000003</v>
      </c>
      <c r="W4238">
        <f>SUM(POTABLE_NONPOTABLE_API[[#This Row],[NONPOTABLE_DEMAND_RESIDENTIAL_RECYCLED_WATER_GAL]:[NONPOTABLE_DEMAND_NONRESIDENTIAL_METERED_IRRIGATION_GAL]])</f>
        <v>14239688.700000001</v>
      </c>
      <c r="X4238" t="str">
        <f>IFERROR(INDEX(Crosswalk_API!$H$2:$H$527, MATCH(POTABLE_NONPOTABLE_API[[#This Row],[PWSID]], CW_PWSID_LIST, 0)), "")</f>
        <v>No</v>
      </c>
    </row>
    <row r="4239" spans="1:24" x14ac:dyDescent="0.25">
      <c r="A4239" t="s">
        <v>1986</v>
      </c>
      <c r="B4239" t="s">
        <v>1987</v>
      </c>
      <c r="C4239" t="s">
        <v>1988</v>
      </c>
      <c r="D4239" t="s">
        <v>1989</v>
      </c>
      <c r="E4239" s="9">
        <v>45139</v>
      </c>
      <c r="F4239" s="9">
        <v>45169</v>
      </c>
      <c r="G4239">
        <v>147411733.88999999</v>
      </c>
      <c r="H4239">
        <v>26758884.120000001</v>
      </c>
      <c r="I4239">
        <v>42872216.07</v>
      </c>
      <c r="J4239">
        <v>21916738.260000002</v>
      </c>
      <c r="K4239">
        <v>6468142.3500000006</v>
      </c>
      <c r="L4239">
        <v>7142653.9200000009</v>
      </c>
      <c r="M4239">
        <v>1098117.8700000001</v>
      </c>
      <c r="N4239">
        <v>0</v>
      </c>
      <c r="O4239">
        <v>0</v>
      </c>
      <c r="P4239">
        <v>0</v>
      </c>
      <c r="Q4239">
        <v>33197699.879999999</v>
      </c>
      <c r="R4239">
        <v>0</v>
      </c>
      <c r="S4239">
        <v>11763221.1</v>
      </c>
      <c r="T4239" s="9">
        <v>45108</v>
      </c>
      <c r="U4239" s="9">
        <v>45473</v>
      </c>
      <c r="V4239">
        <f>SUM(POTABLE_NONPOTABLE_API[[#This Row],[RESIDENTIAL_SINGLEFAMILY_GAL]:[OTHER_GAL]])</f>
        <v>252570368.60999995</v>
      </c>
      <c r="W4239">
        <f>SUM(POTABLE_NONPOTABLE_API[[#This Row],[NONPOTABLE_DEMAND_RESIDENTIAL_RECYCLED_WATER_GAL]:[NONPOTABLE_DEMAND_NONRESIDENTIAL_METERED_IRRIGATION_GAL]])</f>
        <v>44960920.979999997</v>
      </c>
      <c r="X4239" t="str">
        <f>IFERROR(INDEX(Crosswalk_API!$H$2:$H$527, MATCH(POTABLE_NONPOTABLE_API[[#This Row],[PWSID]], CW_PWSID_LIST, 0)), "")</f>
        <v>No</v>
      </c>
    </row>
    <row r="4240" spans="1:24" x14ac:dyDescent="0.25">
      <c r="A4240" t="s">
        <v>1986</v>
      </c>
      <c r="B4240" t="s">
        <v>1987</v>
      </c>
      <c r="C4240" t="s">
        <v>1988</v>
      </c>
      <c r="D4240" t="s">
        <v>1989</v>
      </c>
      <c r="E4240" s="9">
        <v>45170</v>
      </c>
      <c r="F4240" s="9">
        <v>45199</v>
      </c>
      <c r="G4240">
        <v>239982744.48000002</v>
      </c>
      <c r="H4240">
        <v>8543813.2199999988</v>
      </c>
      <c r="I4240">
        <v>38170186.140000001</v>
      </c>
      <c r="J4240">
        <v>18013043.280000001</v>
      </c>
      <c r="K4240">
        <v>0</v>
      </c>
      <c r="L4240">
        <v>9775.5299999999988</v>
      </c>
      <c r="M4240">
        <v>847212.6</v>
      </c>
      <c r="N4240">
        <v>0</v>
      </c>
      <c r="O4240">
        <v>0</v>
      </c>
      <c r="P4240">
        <v>0</v>
      </c>
      <c r="Q4240">
        <v>0</v>
      </c>
      <c r="R4240">
        <v>0</v>
      </c>
      <c r="S4240">
        <v>6484434.8999999994</v>
      </c>
      <c r="T4240" s="9">
        <v>45108</v>
      </c>
      <c r="U4240" s="9">
        <v>45473</v>
      </c>
      <c r="V4240">
        <f>SUM(POTABLE_NONPOTABLE_API[[#This Row],[RESIDENTIAL_SINGLEFAMILY_GAL]:[OTHER_GAL]])</f>
        <v>304719562.64999998</v>
      </c>
      <c r="W4240">
        <f>SUM(POTABLE_NONPOTABLE_API[[#This Row],[NONPOTABLE_DEMAND_RESIDENTIAL_RECYCLED_WATER_GAL]:[NONPOTABLE_DEMAND_NONRESIDENTIAL_METERED_IRRIGATION_GAL]])</f>
        <v>6484434.8999999994</v>
      </c>
      <c r="X4240" t="str">
        <f>IFERROR(INDEX(Crosswalk_API!$H$2:$H$527, MATCH(POTABLE_NONPOTABLE_API[[#This Row],[PWSID]], CW_PWSID_LIST, 0)), "")</f>
        <v>No</v>
      </c>
    </row>
    <row r="4241" spans="1:24" x14ac:dyDescent="0.25">
      <c r="A4241" t="s">
        <v>1986</v>
      </c>
      <c r="B4241" t="s">
        <v>1987</v>
      </c>
      <c r="C4241" t="s">
        <v>1988</v>
      </c>
      <c r="D4241" t="s">
        <v>1989</v>
      </c>
      <c r="E4241" s="9">
        <v>45200</v>
      </c>
      <c r="F4241" s="9">
        <v>45230</v>
      </c>
      <c r="G4241">
        <v>113591658.60000001</v>
      </c>
      <c r="H4241">
        <v>22985529.540000003</v>
      </c>
      <c r="I4241">
        <v>35058309.090000004</v>
      </c>
      <c r="J4241">
        <v>16940993.490000002</v>
      </c>
      <c r="K4241">
        <v>5135411.76</v>
      </c>
      <c r="L4241">
        <v>3629980.14</v>
      </c>
      <c r="M4241">
        <v>853729.62</v>
      </c>
      <c r="N4241">
        <v>0</v>
      </c>
      <c r="O4241">
        <v>0</v>
      </c>
      <c r="P4241">
        <v>0</v>
      </c>
      <c r="Q4241">
        <v>25295813.129999999</v>
      </c>
      <c r="R4241">
        <v>0</v>
      </c>
      <c r="S4241">
        <v>7331647.5</v>
      </c>
      <c r="T4241" s="9">
        <v>45108</v>
      </c>
      <c r="U4241" s="9">
        <v>45473</v>
      </c>
      <c r="V4241">
        <f>SUM(POTABLE_NONPOTABLE_API[[#This Row],[RESIDENTIAL_SINGLEFAMILY_GAL]:[OTHER_GAL]])</f>
        <v>197341882.62</v>
      </c>
      <c r="W4241">
        <f>SUM(POTABLE_NONPOTABLE_API[[#This Row],[NONPOTABLE_DEMAND_RESIDENTIAL_RECYCLED_WATER_GAL]:[NONPOTABLE_DEMAND_NONRESIDENTIAL_METERED_IRRIGATION_GAL]])</f>
        <v>32627460.629999999</v>
      </c>
      <c r="X4241" t="str">
        <f>IFERROR(INDEX(Crosswalk_API!$H$2:$H$527, MATCH(POTABLE_NONPOTABLE_API[[#This Row],[PWSID]], CW_PWSID_LIST, 0)), "")</f>
        <v>No</v>
      </c>
    </row>
    <row r="4242" spans="1:24" x14ac:dyDescent="0.25">
      <c r="A4242" t="s">
        <v>1986</v>
      </c>
      <c r="B4242" t="s">
        <v>1987</v>
      </c>
      <c r="C4242" t="s">
        <v>1988</v>
      </c>
      <c r="D4242" t="s">
        <v>1989</v>
      </c>
      <c r="E4242" s="9">
        <v>45231</v>
      </c>
      <c r="F4242" s="9">
        <v>45260</v>
      </c>
      <c r="G4242">
        <v>195865777.59</v>
      </c>
      <c r="H4242">
        <v>7680308.0700000003</v>
      </c>
      <c r="I4242">
        <v>27436654.199999999</v>
      </c>
      <c r="J4242">
        <v>14607900.33</v>
      </c>
      <c r="K4242">
        <v>6517.02</v>
      </c>
      <c r="L4242">
        <v>3258.51</v>
      </c>
      <c r="M4242">
        <v>1026430.65</v>
      </c>
      <c r="N4242">
        <v>0</v>
      </c>
      <c r="O4242">
        <v>0</v>
      </c>
      <c r="P4242">
        <v>0</v>
      </c>
      <c r="Q4242">
        <v>0</v>
      </c>
      <c r="R4242">
        <v>0</v>
      </c>
      <c r="S4242">
        <v>4366403.4000000004</v>
      </c>
      <c r="T4242" s="9">
        <v>45108</v>
      </c>
      <c r="U4242" s="9">
        <v>45473</v>
      </c>
      <c r="V4242">
        <f>SUM(POTABLE_NONPOTABLE_API[[#This Row],[RESIDENTIAL_SINGLEFAMILY_GAL]:[OTHER_GAL]])</f>
        <v>245600415.72</v>
      </c>
      <c r="W4242">
        <f>SUM(POTABLE_NONPOTABLE_API[[#This Row],[NONPOTABLE_DEMAND_RESIDENTIAL_RECYCLED_WATER_GAL]:[NONPOTABLE_DEMAND_NONRESIDENTIAL_METERED_IRRIGATION_GAL]])</f>
        <v>4366403.4000000004</v>
      </c>
      <c r="X4242" t="str">
        <f>IFERROR(INDEX(Crosswalk_API!$H$2:$H$527, MATCH(POTABLE_NONPOTABLE_API[[#This Row],[PWSID]], CW_PWSID_LIST, 0)), "")</f>
        <v>No</v>
      </c>
    </row>
    <row r="4243" spans="1:24" x14ac:dyDescent="0.25">
      <c r="A4243" t="s">
        <v>1986</v>
      </c>
      <c r="B4243" t="s">
        <v>1987</v>
      </c>
      <c r="C4243" t="s">
        <v>1988</v>
      </c>
      <c r="D4243" t="s">
        <v>1989</v>
      </c>
      <c r="E4243" s="9">
        <v>45261</v>
      </c>
      <c r="F4243" s="9">
        <v>45291</v>
      </c>
      <c r="G4243">
        <v>114354149.94</v>
      </c>
      <c r="H4243">
        <v>25175248.260000002</v>
      </c>
      <c r="I4243">
        <v>32933760.569999997</v>
      </c>
      <c r="J4243">
        <v>13617313.289999999</v>
      </c>
      <c r="K4243">
        <v>5477555.3099999996</v>
      </c>
      <c r="L4243">
        <v>2206011.27</v>
      </c>
      <c r="M4243">
        <v>1019913.63</v>
      </c>
      <c r="N4243">
        <v>0</v>
      </c>
      <c r="O4243">
        <v>0</v>
      </c>
      <c r="P4243">
        <v>0</v>
      </c>
      <c r="Q4243">
        <v>24116232.510000002</v>
      </c>
      <c r="R4243">
        <v>0</v>
      </c>
      <c r="S4243">
        <v>260680.80000000002</v>
      </c>
      <c r="T4243" s="9">
        <v>45108</v>
      </c>
      <c r="U4243" s="9">
        <v>45473</v>
      </c>
      <c r="V4243">
        <f>SUM(POTABLE_NONPOTABLE_API[[#This Row],[RESIDENTIAL_SINGLEFAMILY_GAL]:[OTHER_GAL]])</f>
        <v>193764038.63999999</v>
      </c>
      <c r="W4243">
        <f>SUM(POTABLE_NONPOTABLE_API[[#This Row],[NONPOTABLE_DEMAND_RESIDENTIAL_RECYCLED_WATER_GAL]:[NONPOTABLE_DEMAND_NONRESIDENTIAL_METERED_IRRIGATION_GAL]])</f>
        <v>24376913.310000002</v>
      </c>
      <c r="X4243" t="str">
        <f>IFERROR(INDEX(Crosswalk_API!$H$2:$H$527, MATCH(POTABLE_NONPOTABLE_API[[#This Row],[PWSID]], CW_PWSID_LIST, 0)), "")</f>
        <v>No</v>
      </c>
    </row>
    <row r="4244" spans="1:24" x14ac:dyDescent="0.25">
      <c r="A4244" t="s">
        <v>1986</v>
      </c>
      <c r="B4244" t="s">
        <v>1987</v>
      </c>
      <c r="C4244" t="s">
        <v>1988</v>
      </c>
      <c r="D4244" t="s">
        <v>1989</v>
      </c>
      <c r="E4244" s="9">
        <v>45292</v>
      </c>
      <c r="F4244" s="9">
        <v>45322</v>
      </c>
      <c r="G4244">
        <v>135602893.65000001</v>
      </c>
      <c r="H4244">
        <v>5767562.7000000002</v>
      </c>
      <c r="I4244">
        <v>18847221.84</v>
      </c>
      <c r="J4244">
        <v>8749099.3499999996</v>
      </c>
      <c r="K4244">
        <v>0</v>
      </c>
      <c r="L4244">
        <v>6517.02</v>
      </c>
      <c r="M4244">
        <v>465966.93</v>
      </c>
      <c r="N4244">
        <v>0</v>
      </c>
      <c r="O4244">
        <v>0</v>
      </c>
      <c r="P4244">
        <v>0</v>
      </c>
      <c r="Q4244">
        <v>0</v>
      </c>
      <c r="R4244">
        <v>0</v>
      </c>
      <c r="S4244">
        <v>0</v>
      </c>
      <c r="T4244" s="9">
        <v>45108</v>
      </c>
      <c r="U4244" s="9">
        <v>45473</v>
      </c>
      <c r="V4244">
        <f>SUM(POTABLE_NONPOTABLE_API[[#This Row],[RESIDENTIAL_SINGLEFAMILY_GAL]:[OTHER_GAL]])</f>
        <v>168973294.56</v>
      </c>
      <c r="W4244">
        <f>SUM(POTABLE_NONPOTABLE_API[[#This Row],[NONPOTABLE_DEMAND_RESIDENTIAL_RECYCLED_WATER_GAL]:[NONPOTABLE_DEMAND_NONRESIDENTIAL_METERED_IRRIGATION_GAL]])</f>
        <v>0</v>
      </c>
      <c r="X4244" t="str">
        <f>IFERROR(INDEX(Crosswalk_API!$H$2:$H$527, MATCH(POTABLE_NONPOTABLE_API[[#This Row],[PWSID]], CW_PWSID_LIST, 0)), "")</f>
        <v>No</v>
      </c>
    </row>
    <row r="4245" spans="1:24" x14ac:dyDescent="0.25">
      <c r="A4245" t="s">
        <v>1986</v>
      </c>
      <c r="B4245" t="s">
        <v>1987</v>
      </c>
      <c r="C4245" t="s">
        <v>1988</v>
      </c>
      <c r="D4245" t="s">
        <v>1989</v>
      </c>
      <c r="E4245" s="9">
        <v>45323</v>
      </c>
      <c r="F4245" s="9">
        <v>45351</v>
      </c>
      <c r="G4245">
        <v>79172017.469999999</v>
      </c>
      <c r="H4245">
        <v>24002184.66</v>
      </c>
      <c r="I4245">
        <v>25784589.629999999</v>
      </c>
      <c r="J4245">
        <v>4216511.9399999995</v>
      </c>
      <c r="K4245">
        <v>5275527.6900000004</v>
      </c>
      <c r="L4245">
        <v>619116.9</v>
      </c>
      <c r="M4245">
        <v>518103.09</v>
      </c>
      <c r="N4245">
        <v>0</v>
      </c>
      <c r="O4245">
        <v>0</v>
      </c>
      <c r="P4245">
        <v>0</v>
      </c>
      <c r="Q4245">
        <v>7712893.1700000009</v>
      </c>
      <c r="R4245">
        <v>0</v>
      </c>
      <c r="S4245">
        <v>0</v>
      </c>
      <c r="T4245" s="9">
        <v>45108</v>
      </c>
      <c r="U4245" s="9">
        <v>45473</v>
      </c>
      <c r="V4245">
        <f>SUM(POTABLE_NONPOTABLE_API[[#This Row],[RESIDENTIAL_SINGLEFAMILY_GAL]:[OTHER_GAL]])</f>
        <v>139069948.28999999</v>
      </c>
      <c r="W4245">
        <f>SUM(POTABLE_NONPOTABLE_API[[#This Row],[NONPOTABLE_DEMAND_RESIDENTIAL_RECYCLED_WATER_GAL]:[NONPOTABLE_DEMAND_NONRESIDENTIAL_METERED_IRRIGATION_GAL]])</f>
        <v>7712893.1700000009</v>
      </c>
      <c r="X4245" t="str">
        <f>IFERROR(INDEX(Crosswalk_API!$H$2:$H$527, MATCH(POTABLE_NONPOTABLE_API[[#This Row],[PWSID]], CW_PWSID_LIST, 0)), "")</f>
        <v>No</v>
      </c>
    </row>
    <row r="4246" spans="1:24" x14ac:dyDescent="0.25">
      <c r="A4246" t="s">
        <v>1986</v>
      </c>
      <c r="B4246" t="s">
        <v>1987</v>
      </c>
      <c r="C4246" t="s">
        <v>1988</v>
      </c>
      <c r="D4246" t="s">
        <v>1989</v>
      </c>
      <c r="E4246" s="9">
        <v>45352</v>
      </c>
      <c r="F4246" s="9">
        <v>45382</v>
      </c>
      <c r="G4246">
        <v>71244062.640000001</v>
      </c>
      <c r="H4246">
        <v>3877626.9</v>
      </c>
      <c r="I4246">
        <v>12867855.99</v>
      </c>
      <c r="J4246">
        <v>1984432.5899999999</v>
      </c>
      <c r="K4246">
        <v>0</v>
      </c>
      <c r="L4246">
        <v>0</v>
      </c>
      <c r="M4246">
        <v>127081.89</v>
      </c>
      <c r="N4246">
        <v>0</v>
      </c>
      <c r="O4246">
        <v>0</v>
      </c>
      <c r="P4246">
        <v>0</v>
      </c>
      <c r="Q4246">
        <v>0</v>
      </c>
      <c r="R4246">
        <v>0</v>
      </c>
      <c r="S4246">
        <v>912382.79999999993</v>
      </c>
      <c r="T4246" s="9">
        <v>45108</v>
      </c>
      <c r="U4246" s="9">
        <v>45473</v>
      </c>
      <c r="V4246">
        <f>SUM(POTABLE_NONPOTABLE_API[[#This Row],[RESIDENTIAL_SINGLEFAMILY_GAL]:[OTHER_GAL]])</f>
        <v>89973978.120000005</v>
      </c>
      <c r="W4246">
        <f>SUM(POTABLE_NONPOTABLE_API[[#This Row],[NONPOTABLE_DEMAND_RESIDENTIAL_RECYCLED_WATER_GAL]:[NONPOTABLE_DEMAND_NONRESIDENTIAL_METERED_IRRIGATION_GAL]])</f>
        <v>912382.79999999993</v>
      </c>
      <c r="X4246" t="str">
        <f>IFERROR(INDEX(Crosswalk_API!$H$2:$H$527, MATCH(POTABLE_NONPOTABLE_API[[#This Row],[PWSID]], CW_PWSID_LIST, 0)), "")</f>
        <v>No</v>
      </c>
    </row>
    <row r="4247" spans="1:24" x14ac:dyDescent="0.25">
      <c r="A4247" t="s">
        <v>1986</v>
      </c>
      <c r="B4247" t="s">
        <v>1987</v>
      </c>
      <c r="C4247" t="s">
        <v>1988</v>
      </c>
      <c r="D4247" t="s">
        <v>1989</v>
      </c>
      <c r="E4247" s="9">
        <v>45383</v>
      </c>
      <c r="F4247" s="9">
        <v>45412</v>
      </c>
      <c r="G4247">
        <v>61387069.889999993</v>
      </c>
      <c r="H4247">
        <v>21157505.430000003</v>
      </c>
      <c r="I4247">
        <v>21603921.300000001</v>
      </c>
      <c r="J4247">
        <v>2916366.4499999997</v>
      </c>
      <c r="K4247">
        <v>4975744.7699999996</v>
      </c>
      <c r="L4247">
        <v>254163.78</v>
      </c>
      <c r="M4247">
        <v>273714.83999999997</v>
      </c>
      <c r="N4247">
        <v>0</v>
      </c>
      <c r="O4247">
        <v>0</v>
      </c>
      <c r="P4247">
        <v>0</v>
      </c>
      <c r="Q4247">
        <v>6627809.3399999999</v>
      </c>
      <c r="R4247">
        <v>0</v>
      </c>
      <c r="S4247">
        <v>2671978.1999999997</v>
      </c>
      <c r="T4247" s="9">
        <v>45108</v>
      </c>
      <c r="U4247" s="9">
        <v>45473</v>
      </c>
      <c r="V4247">
        <f>SUM(POTABLE_NONPOTABLE_API[[#This Row],[RESIDENTIAL_SINGLEFAMILY_GAL]:[OTHER_GAL]])</f>
        <v>112294771.61999999</v>
      </c>
      <c r="W4247">
        <f>SUM(POTABLE_NONPOTABLE_API[[#This Row],[NONPOTABLE_DEMAND_RESIDENTIAL_RECYCLED_WATER_GAL]:[NONPOTABLE_DEMAND_NONRESIDENTIAL_METERED_IRRIGATION_GAL]])</f>
        <v>9299787.5399999991</v>
      </c>
      <c r="X4247" t="str">
        <f>IFERROR(INDEX(Crosswalk_API!$H$2:$H$527, MATCH(POTABLE_NONPOTABLE_API[[#This Row],[PWSID]], CW_PWSID_LIST, 0)), "")</f>
        <v>No</v>
      </c>
    </row>
    <row r="4248" spans="1:24" x14ac:dyDescent="0.25">
      <c r="A4248" t="s">
        <v>1986</v>
      </c>
      <c r="B4248" t="s">
        <v>1987</v>
      </c>
      <c r="C4248" t="s">
        <v>1988</v>
      </c>
      <c r="D4248" t="s">
        <v>1989</v>
      </c>
      <c r="E4248" s="9">
        <v>45413</v>
      </c>
      <c r="F4248" s="9">
        <v>45443</v>
      </c>
      <c r="G4248">
        <v>121770518.7</v>
      </c>
      <c r="H4248">
        <v>5252718.12</v>
      </c>
      <c r="I4248">
        <v>17608988.039999999</v>
      </c>
      <c r="J4248">
        <v>6823319.9400000004</v>
      </c>
      <c r="K4248">
        <v>0</v>
      </c>
      <c r="L4248">
        <v>3258.51</v>
      </c>
      <c r="M4248">
        <v>319333.98</v>
      </c>
      <c r="N4248">
        <v>0</v>
      </c>
      <c r="O4248">
        <v>0</v>
      </c>
      <c r="P4248">
        <v>0</v>
      </c>
      <c r="Q4248">
        <v>0</v>
      </c>
      <c r="R4248">
        <v>0</v>
      </c>
      <c r="S4248">
        <v>7885594.2000000002</v>
      </c>
      <c r="T4248" s="9">
        <v>45108</v>
      </c>
      <c r="U4248" s="9">
        <v>45473</v>
      </c>
      <c r="V4248">
        <f>SUM(POTABLE_NONPOTABLE_API[[#This Row],[RESIDENTIAL_SINGLEFAMILY_GAL]:[OTHER_GAL]])</f>
        <v>151458803.31</v>
      </c>
      <c r="W4248">
        <f>SUM(POTABLE_NONPOTABLE_API[[#This Row],[NONPOTABLE_DEMAND_RESIDENTIAL_RECYCLED_WATER_GAL]:[NONPOTABLE_DEMAND_NONRESIDENTIAL_METERED_IRRIGATION_GAL]])</f>
        <v>7885594.2000000002</v>
      </c>
      <c r="X4248" t="str">
        <f>IFERROR(INDEX(Crosswalk_API!$H$2:$H$527, MATCH(POTABLE_NONPOTABLE_API[[#This Row],[PWSID]], CW_PWSID_LIST, 0)), "")</f>
        <v>No</v>
      </c>
    </row>
    <row r="4249" spans="1:24" x14ac:dyDescent="0.25">
      <c r="A4249" t="s">
        <v>1986</v>
      </c>
      <c r="B4249" t="s">
        <v>1987</v>
      </c>
      <c r="C4249" t="s">
        <v>1988</v>
      </c>
      <c r="D4249" t="s">
        <v>1989</v>
      </c>
      <c r="E4249" s="9">
        <v>45444</v>
      </c>
      <c r="F4249" s="9">
        <v>45473</v>
      </c>
      <c r="G4249">
        <v>111910267.44</v>
      </c>
      <c r="H4249">
        <v>26553597.989999998</v>
      </c>
      <c r="I4249">
        <v>35863161.060000002</v>
      </c>
      <c r="J4249">
        <v>14415648.24</v>
      </c>
      <c r="K4249">
        <v>6344318.9699999997</v>
      </c>
      <c r="L4249">
        <v>1003621.0800000001</v>
      </c>
      <c r="M4249">
        <v>769008.36</v>
      </c>
      <c r="N4249">
        <v>0</v>
      </c>
      <c r="O4249">
        <v>0</v>
      </c>
      <c r="P4249">
        <v>0</v>
      </c>
      <c r="Q4249">
        <v>25214350.379999999</v>
      </c>
      <c r="R4249">
        <v>0</v>
      </c>
      <c r="S4249">
        <v>14337444</v>
      </c>
      <c r="T4249" s="9">
        <v>45108</v>
      </c>
      <c r="U4249" s="9">
        <v>45473</v>
      </c>
      <c r="V4249">
        <f>SUM(POTABLE_NONPOTABLE_API[[#This Row],[RESIDENTIAL_SINGLEFAMILY_GAL]:[OTHER_GAL]])</f>
        <v>196090614.78000003</v>
      </c>
      <c r="W4249">
        <f>SUM(POTABLE_NONPOTABLE_API[[#This Row],[NONPOTABLE_DEMAND_RESIDENTIAL_RECYCLED_WATER_GAL]:[NONPOTABLE_DEMAND_NONRESIDENTIAL_METERED_IRRIGATION_GAL]])</f>
        <v>39551794.379999995</v>
      </c>
      <c r="X4249" t="str">
        <f>IFERROR(INDEX(Crosswalk_API!$H$2:$H$527, MATCH(POTABLE_NONPOTABLE_API[[#This Row],[PWSID]], CW_PWSID_LIST, 0)), "")</f>
        <v>No</v>
      </c>
    </row>
    <row r="4250" spans="1:24" x14ac:dyDescent="0.25">
      <c r="A4250" t="s">
        <v>1990</v>
      </c>
      <c r="B4250" t="s">
        <v>1991</v>
      </c>
      <c r="C4250" t="s">
        <v>1992</v>
      </c>
      <c r="D4250" t="s">
        <v>1993</v>
      </c>
      <c r="E4250" s="9">
        <v>45108</v>
      </c>
      <c r="F4250" s="9">
        <v>45138</v>
      </c>
      <c r="G4250">
        <v>158222722.676</v>
      </c>
      <c r="H4250">
        <v>11804260.560000001</v>
      </c>
      <c r="I4250">
        <v>4692530.1960000005</v>
      </c>
      <c r="J4250">
        <v>8708073.3320000004</v>
      </c>
      <c r="K4250">
        <v>0</v>
      </c>
      <c r="L4250">
        <v>1496.104</v>
      </c>
      <c r="M4250">
        <v>0</v>
      </c>
      <c r="T4250" s="9">
        <v>45108</v>
      </c>
      <c r="U4250" s="9">
        <v>45473</v>
      </c>
      <c r="V4250">
        <f>SUM(POTABLE_NONPOTABLE_API[[#This Row],[RESIDENTIAL_SINGLEFAMILY_GAL]:[OTHER_GAL]])</f>
        <v>183429082.868</v>
      </c>
      <c r="W4250">
        <f>SUM(POTABLE_NONPOTABLE_API[[#This Row],[NONPOTABLE_DEMAND_RESIDENTIAL_RECYCLED_WATER_GAL]:[NONPOTABLE_DEMAND_NONRESIDENTIAL_METERED_IRRIGATION_GAL]])</f>
        <v>0</v>
      </c>
      <c r="X4250" t="str">
        <f>IFERROR(INDEX(Crosswalk_API!$H$2:$H$527, MATCH(POTABLE_NONPOTABLE_API[[#This Row],[PWSID]], CW_PWSID_LIST, 0)), "")</f>
        <v>No</v>
      </c>
    </row>
    <row r="4251" spans="1:24" x14ac:dyDescent="0.25">
      <c r="A4251" t="s">
        <v>1990</v>
      </c>
      <c r="B4251" t="s">
        <v>1991</v>
      </c>
      <c r="C4251" t="s">
        <v>1992</v>
      </c>
      <c r="D4251" t="s">
        <v>1993</v>
      </c>
      <c r="E4251" s="9">
        <v>45139</v>
      </c>
      <c r="F4251" s="9">
        <v>45169</v>
      </c>
      <c r="G4251">
        <v>138331271.94400001</v>
      </c>
      <c r="H4251">
        <v>10930535.824000001</v>
      </c>
      <c r="I4251">
        <v>3948218.4560000002</v>
      </c>
      <c r="J4251">
        <v>7968997.9560000002</v>
      </c>
      <c r="K4251">
        <v>0</v>
      </c>
      <c r="L4251">
        <v>9724.6759999999995</v>
      </c>
      <c r="M4251">
        <v>0</v>
      </c>
      <c r="T4251" s="9">
        <v>45108</v>
      </c>
      <c r="U4251" s="9">
        <v>45473</v>
      </c>
      <c r="V4251">
        <f>SUM(POTABLE_NONPOTABLE_API[[#This Row],[RESIDENTIAL_SINGLEFAMILY_GAL]:[OTHER_GAL]])</f>
        <v>161188748.85600001</v>
      </c>
      <c r="W4251">
        <f>SUM(POTABLE_NONPOTABLE_API[[#This Row],[NONPOTABLE_DEMAND_RESIDENTIAL_RECYCLED_WATER_GAL]:[NONPOTABLE_DEMAND_NONRESIDENTIAL_METERED_IRRIGATION_GAL]])</f>
        <v>0</v>
      </c>
      <c r="X4251" t="str">
        <f>IFERROR(INDEX(Crosswalk_API!$H$2:$H$527, MATCH(POTABLE_NONPOTABLE_API[[#This Row],[PWSID]], CW_PWSID_LIST, 0)), "")</f>
        <v>No</v>
      </c>
    </row>
    <row r="4252" spans="1:24" x14ac:dyDescent="0.25">
      <c r="A4252" t="s">
        <v>1990</v>
      </c>
      <c r="B4252" t="s">
        <v>1991</v>
      </c>
      <c r="C4252" t="s">
        <v>1992</v>
      </c>
      <c r="D4252" t="s">
        <v>1993</v>
      </c>
      <c r="E4252" s="9">
        <v>45170</v>
      </c>
      <c r="F4252" s="9">
        <v>45199</v>
      </c>
      <c r="G4252">
        <v>126553941.256</v>
      </c>
      <c r="H4252">
        <v>8661694.1080000009</v>
      </c>
      <c r="I4252">
        <v>3684904.1520000002</v>
      </c>
      <c r="J4252">
        <v>6387616.0279999999</v>
      </c>
      <c r="K4252">
        <v>0</v>
      </c>
      <c r="L4252">
        <v>2244.1559999999999</v>
      </c>
      <c r="M4252">
        <v>0</v>
      </c>
      <c r="T4252" s="9">
        <v>45108</v>
      </c>
      <c r="U4252" s="9">
        <v>45473</v>
      </c>
      <c r="V4252">
        <f>SUM(POTABLE_NONPOTABLE_API[[#This Row],[RESIDENTIAL_SINGLEFAMILY_GAL]:[OTHER_GAL]])</f>
        <v>145290399.69999999</v>
      </c>
      <c r="W4252">
        <f>SUM(POTABLE_NONPOTABLE_API[[#This Row],[NONPOTABLE_DEMAND_RESIDENTIAL_RECYCLED_WATER_GAL]:[NONPOTABLE_DEMAND_NONRESIDENTIAL_METERED_IRRIGATION_GAL]])</f>
        <v>0</v>
      </c>
      <c r="X4252" t="str">
        <f>IFERROR(INDEX(Crosswalk_API!$H$2:$H$527, MATCH(POTABLE_NONPOTABLE_API[[#This Row],[PWSID]], CW_PWSID_LIST, 0)), "")</f>
        <v>No</v>
      </c>
    </row>
    <row r="4253" spans="1:24" x14ac:dyDescent="0.25">
      <c r="A4253" t="s">
        <v>1990</v>
      </c>
      <c r="B4253" t="s">
        <v>1991</v>
      </c>
      <c r="C4253" t="s">
        <v>1992</v>
      </c>
      <c r="D4253" t="s">
        <v>1993</v>
      </c>
      <c r="E4253" s="9">
        <v>45200</v>
      </c>
      <c r="F4253" s="9">
        <v>45230</v>
      </c>
      <c r="G4253">
        <v>100918947.26800001</v>
      </c>
      <c r="H4253">
        <v>7689226.5080000004</v>
      </c>
      <c r="I4253">
        <v>3292176.852</v>
      </c>
      <c r="J4253">
        <v>4762847.0839999998</v>
      </c>
      <c r="K4253">
        <v>0</v>
      </c>
      <c r="L4253">
        <v>11220.78</v>
      </c>
      <c r="M4253">
        <v>0</v>
      </c>
      <c r="T4253" s="9">
        <v>45108</v>
      </c>
      <c r="U4253" s="9">
        <v>45473</v>
      </c>
      <c r="V4253">
        <f>SUM(POTABLE_NONPOTABLE_API[[#This Row],[RESIDENTIAL_SINGLEFAMILY_GAL]:[OTHER_GAL]])</f>
        <v>116674418.49200001</v>
      </c>
      <c r="W4253">
        <f>SUM(POTABLE_NONPOTABLE_API[[#This Row],[NONPOTABLE_DEMAND_RESIDENTIAL_RECYCLED_WATER_GAL]:[NONPOTABLE_DEMAND_NONRESIDENTIAL_METERED_IRRIGATION_GAL]])</f>
        <v>0</v>
      </c>
      <c r="X4253" t="str">
        <f>IFERROR(INDEX(Crosswalk_API!$H$2:$H$527, MATCH(POTABLE_NONPOTABLE_API[[#This Row],[PWSID]], CW_PWSID_LIST, 0)), "")</f>
        <v>No</v>
      </c>
    </row>
    <row r="4254" spans="1:24" x14ac:dyDescent="0.25">
      <c r="A4254" t="s">
        <v>1990</v>
      </c>
      <c r="B4254" t="s">
        <v>1991</v>
      </c>
      <c r="C4254" t="s">
        <v>1992</v>
      </c>
      <c r="D4254" t="s">
        <v>1993</v>
      </c>
      <c r="E4254" s="9">
        <v>45231</v>
      </c>
      <c r="F4254" s="9">
        <v>45260</v>
      </c>
      <c r="G4254">
        <v>76222010.488000005</v>
      </c>
      <c r="H4254">
        <v>4910961.38</v>
      </c>
      <c r="I4254">
        <v>2681766.42</v>
      </c>
      <c r="J4254">
        <v>2862795.0040000002</v>
      </c>
      <c r="K4254">
        <v>0</v>
      </c>
      <c r="L4254">
        <v>17953.248</v>
      </c>
      <c r="M4254">
        <v>0</v>
      </c>
      <c r="T4254" s="9">
        <v>45108</v>
      </c>
      <c r="U4254" s="9">
        <v>45473</v>
      </c>
      <c r="V4254">
        <f>SUM(POTABLE_NONPOTABLE_API[[#This Row],[RESIDENTIAL_SINGLEFAMILY_GAL]:[OTHER_GAL]])</f>
        <v>86695486.539999992</v>
      </c>
      <c r="W4254">
        <f>SUM(POTABLE_NONPOTABLE_API[[#This Row],[NONPOTABLE_DEMAND_RESIDENTIAL_RECYCLED_WATER_GAL]:[NONPOTABLE_DEMAND_NONRESIDENTIAL_METERED_IRRIGATION_GAL]])</f>
        <v>0</v>
      </c>
      <c r="X4254" t="str">
        <f>IFERROR(INDEX(Crosswalk_API!$H$2:$H$527, MATCH(POTABLE_NONPOTABLE_API[[#This Row],[PWSID]], CW_PWSID_LIST, 0)), "")</f>
        <v>No</v>
      </c>
    </row>
    <row r="4255" spans="1:24" x14ac:dyDescent="0.25">
      <c r="A4255" t="s">
        <v>1990</v>
      </c>
      <c r="B4255" t="s">
        <v>1991</v>
      </c>
      <c r="C4255" t="s">
        <v>1992</v>
      </c>
      <c r="D4255" t="s">
        <v>1993</v>
      </c>
      <c r="E4255" s="9">
        <v>45261</v>
      </c>
      <c r="F4255" s="9">
        <v>45291</v>
      </c>
      <c r="G4255">
        <v>58918819.675999999</v>
      </c>
      <c r="H4255">
        <v>3904831.44</v>
      </c>
      <c r="I4255">
        <v>2255376.7800000003</v>
      </c>
      <c r="J4255">
        <v>1464685.8160000001</v>
      </c>
      <c r="K4255">
        <v>0</v>
      </c>
      <c r="L4255">
        <v>9724.6759999999995</v>
      </c>
      <c r="M4255">
        <v>0</v>
      </c>
      <c r="T4255" s="9">
        <v>45108</v>
      </c>
      <c r="U4255" s="9">
        <v>45473</v>
      </c>
      <c r="V4255">
        <f>SUM(POTABLE_NONPOTABLE_API[[#This Row],[RESIDENTIAL_SINGLEFAMILY_GAL]:[OTHER_GAL]])</f>
        <v>66553438.387999997</v>
      </c>
      <c r="W4255">
        <f>SUM(POTABLE_NONPOTABLE_API[[#This Row],[NONPOTABLE_DEMAND_RESIDENTIAL_RECYCLED_WATER_GAL]:[NONPOTABLE_DEMAND_NONRESIDENTIAL_METERED_IRRIGATION_GAL]])</f>
        <v>0</v>
      </c>
      <c r="X4255" t="str">
        <f>IFERROR(INDEX(Crosswalk_API!$H$2:$H$527, MATCH(POTABLE_NONPOTABLE_API[[#This Row],[PWSID]], CW_PWSID_LIST, 0)), "")</f>
        <v>No</v>
      </c>
    </row>
    <row r="4256" spans="1:24" x14ac:dyDescent="0.25">
      <c r="A4256" t="s">
        <v>1990</v>
      </c>
      <c r="B4256" t="s">
        <v>1991</v>
      </c>
      <c r="C4256" t="s">
        <v>1992</v>
      </c>
      <c r="D4256" t="s">
        <v>1993</v>
      </c>
      <c r="E4256" s="9">
        <v>45292</v>
      </c>
      <c r="F4256" s="9">
        <v>45322</v>
      </c>
      <c r="G4256">
        <v>48676491.692000002</v>
      </c>
      <c r="H4256">
        <v>3791127.5360000003</v>
      </c>
      <c r="I4256">
        <v>2031709.2320000001</v>
      </c>
      <c r="J4256">
        <v>863252.00800000003</v>
      </c>
      <c r="K4256">
        <v>0</v>
      </c>
      <c r="L4256">
        <v>18701.3</v>
      </c>
      <c r="M4256">
        <v>0</v>
      </c>
      <c r="T4256" s="9">
        <v>45108</v>
      </c>
      <c r="U4256" s="9">
        <v>45473</v>
      </c>
      <c r="V4256">
        <f>SUM(POTABLE_NONPOTABLE_API[[#This Row],[RESIDENTIAL_SINGLEFAMILY_GAL]:[OTHER_GAL]])</f>
        <v>55381281.767999999</v>
      </c>
      <c r="W4256">
        <f>SUM(POTABLE_NONPOTABLE_API[[#This Row],[NONPOTABLE_DEMAND_RESIDENTIAL_RECYCLED_WATER_GAL]:[NONPOTABLE_DEMAND_NONRESIDENTIAL_METERED_IRRIGATION_GAL]])</f>
        <v>0</v>
      </c>
      <c r="X4256" t="str">
        <f>IFERROR(INDEX(Crosswalk_API!$H$2:$H$527, MATCH(POTABLE_NONPOTABLE_API[[#This Row],[PWSID]], CW_PWSID_LIST, 0)), "")</f>
        <v>No</v>
      </c>
    </row>
    <row r="4257" spans="1:24" x14ac:dyDescent="0.25">
      <c r="A4257" t="s">
        <v>1990</v>
      </c>
      <c r="B4257" t="s">
        <v>1991</v>
      </c>
      <c r="C4257" t="s">
        <v>1992</v>
      </c>
      <c r="D4257" t="s">
        <v>1993</v>
      </c>
      <c r="E4257" s="9">
        <v>45323</v>
      </c>
      <c r="F4257" s="9">
        <v>45351</v>
      </c>
      <c r="G4257">
        <v>39895857.316</v>
      </c>
      <c r="H4257">
        <v>3441787.2520000003</v>
      </c>
      <c r="I4257">
        <v>1477402.7</v>
      </c>
      <c r="J4257">
        <v>534857.18000000005</v>
      </c>
      <c r="K4257">
        <v>0</v>
      </c>
      <c r="L4257">
        <v>14961.04</v>
      </c>
      <c r="M4257">
        <v>0</v>
      </c>
      <c r="T4257" s="9">
        <v>45108</v>
      </c>
      <c r="U4257" s="9">
        <v>45473</v>
      </c>
      <c r="V4257">
        <f>SUM(POTABLE_NONPOTABLE_API[[#This Row],[RESIDENTIAL_SINGLEFAMILY_GAL]:[OTHER_GAL]])</f>
        <v>45364865.488000005</v>
      </c>
      <c r="W4257">
        <f>SUM(POTABLE_NONPOTABLE_API[[#This Row],[NONPOTABLE_DEMAND_RESIDENTIAL_RECYCLED_WATER_GAL]:[NONPOTABLE_DEMAND_NONRESIDENTIAL_METERED_IRRIGATION_GAL]])</f>
        <v>0</v>
      </c>
      <c r="X4257" t="str">
        <f>IFERROR(INDEX(Crosswalk_API!$H$2:$H$527, MATCH(POTABLE_NONPOTABLE_API[[#This Row],[PWSID]], CW_PWSID_LIST, 0)), "")</f>
        <v>No</v>
      </c>
    </row>
    <row r="4258" spans="1:24" x14ac:dyDescent="0.25">
      <c r="A4258" t="s">
        <v>1990</v>
      </c>
      <c r="B4258" t="s">
        <v>1991</v>
      </c>
      <c r="C4258" t="s">
        <v>1992</v>
      </c>
      <c r="D4258" t="s">
        <v>1993</v>
      </c>
      <c r="E4258" s="9">
        <v>45352</v>
      </c>
      <c r="F4258" s="9">
        <v>45382</v>
      </c>
      <c r="G4258">
        <v>55692471.399999999</v>
      </c>
      <c r="H4258">
        <v>5215418.5439999998</v>
      </c>
      <c r="I4258">
        <v>2404987.1800000002</v>
      </c>
      <c r="J4258">
        <v>2430420.9479999999</v>
      </c>
      <c r="K4258">
        <v>0</v>
      </c>
      <c r="L4258">
        <v>43387.016000000003</v>
      </c>
      <c r="M4258">
        <v>0</v>
      </c>
      <c r="T4258" s="9">
        <v>45108</v>
      </c>
      <c r="U4258" s="9">
        <v>45473</v>
      </c>
      <c r="V4258">
        <f>SUM(POTABLE_NONPOTABLE_API[[#This Row],[RESIDENTIAL_SINGLEFAMILY_GAL]:[OTHER_GAL]])</f>
        <v>65786685.088</v>
      </c>
      <c r="W4258">
        <f>SUM(POTABLE_NONPOTABLE_API[[#This Row],[NONPOTABLE_DEMAND_RESIDENTIAL_RECYCLED_WATER_GAL]:[NONPOTABLE_DEMAND_NONRESIDENTIAL_METERED_IRRIGATION_GAL]])</f>
        <v>0</v>
      </c>
      <c r="X4258" t="str">
        <f>IFERROR(INDEX(Crosswalk_API!$H$2:$H$527, MATCH(POTABLE_NONPOTABLE_API[[#This Row],[PWSID]], CW_PWSID_LIST, 0)), "")</f>
        <v>No</v>
      </c>
    </row>
    <row r="4259" spans="1:24" x14ac:dyDescent="0.25">
      <c r="A4259" t="s">
        <v>1990</v>
      </c>
      <c r="B4259" t="s">
        <v>1991</v>
      </c>
      <c r="C4259" t="s">
        <v>1992</v>
      </c>
      <c r="D4259" t="s">
        <v>1993</v>
      </c>
      <c r="E4259" s="9">
        <v>45383</v>
      </c>
      <c r="F4259" s="9">
        <v>45412</v>
      </c>
      <c r="G4259">
        <v>72889438.828000009</v>
      </c>
      <c r="H4259">
        <v>6829714.7599999998</v>
      </c>
      <c r="I4259">
        <v>2557589.7880000002</v>
      </c>
      <c r="J4259">
        <v>4486067.8440000005</v>
      </c>
      <c r="K4259">
        <v>0</v>
      </c>
      <c r="L4259">
        <v>2992.2080000000001</v>
      </c>
      <c r="M4259">
        <v>0</v>
      </c>
      <c r="T4259" s="9">
        <v>45108</v>
      </c>
      <c r="U4259" s="9">
        <v>45473</v>
      </c>
      <c r="V4259">
        <f>SUM(POTABLE_NONPOTABLE_API[[#This Row],[RESIDENTIAL_SINGLEFAMILY_GAL]:[OTHER_GAL]])</f>
        <v>86765803.428000018</v>
      </c>
      <c r="W4259">
        <f>SUM(POTABLE_NONPOTABLE_API[[#This Row],[NONPOTABLE_DEMAND_RESIDENTIAL_RECYCLED_WATER_GAL]:[NONPOTABLE_DEMAND_NONRESIDENTIAL_METERED_IRRIGATION_GAL]])</f>
        <v>0</v>
      </c>
      <c r="X4259" t="str">
        <f>IFERROR(INDEX(Crosswalk_API!$H$2:$H$527, MATCH(POTABLE_NONPOTABLE_API[[#This Row],[PWSID]], CW_PWSID_LIST, 0)), "")</f>
        <v>No</v>
      </c>
    </row>
    <row r="4260" spans="1:24" x14ac:dyDescent="0.25">
      <c r="A4260" t="s">
        <v>1990</v>
      </c>
      <c r="B4260" t="s">
        <v>1991</v>
      </c>
      <c r="C4260" t="s">
        <v>1992</v>
      </c>
      <c r="D4260" t="s">
        <v>1993</v>
      </c>
      <c r="E4260" s="9">
        <v>45413</v>
      </c>
      <c r="F4260" s="9">
        <v>45443</v>
      </c>
      <c r="G4260">
        <v>118875935.528</v>
      </c>
      <c r="H4260">
        <v>9634909.7599999998</v>
      </c>
      <c r="I4260">
        <v>4542171.7439999999</v>
      </c>
      <c r="J4260">
        <v>7351107.0040000007</v>
      </c>
      <c r="K4260">
        <v>0</v>
      </c>
      <c r="L4260">
        <v>13464.936</v>
      </c>
      <c r="M4260">
        <v>0</v>
      </c>
      <c r="T4260" s="9">
        <v>45108</v>
      </c>
      <c r="U4260" s="9">
        <v>45473</v>
      </c>
      <c r="V4260">
        <f>SUM(POTABLE_NONPOTABLE_API[[#This Row],[RESIDENTIAL_SINGLEFAMILY_GAL]:[OTHER_GAL]])</f>
        <v>140417588.972</v>
      </c>
      <c r="W4260">
        <f>SUM(POTABLE_NONPOTABLE_API[[#This Row],[NONPOTABLE_DEMAND_RESIDENTIAL_RECYCLED_WATER_GAL]:[NONPOTABLE_DEMAND_NONRESIDENTIAL_METERED_IRRIGATION_GAL]])</f>
        <v>0</v>
      </c>
      <c r="X4260" t="str">
        <f>IFERROR(INDEX(Crosswalk_API!$H$2:$H$527, MATCH(POTABLE_NONPOTABLE_API[[#This Row],[PWSID]], CW_PWSID_LIST, 0)), "")</f>
        <v>No</v>
      </c>
    </row>
    <row r="4261" spans="1:24" x14ac:dyDescent="0.25">
      <c r="A4261" t="s">
        <v>1990</v>
      </c>
      <c r="B4261" t="s">
        <v>1991</v>
      </c>
      <c r="C4261" t="s">
        <v>1992</v>
      </c>
      <c r="D4261" t="s">
        <v>1993</v>
      </c>
      <c r="E4261" s="9">
        <v>45444</v>
      </c>
      <c r="F4261" s="9">
        <v>45473</v>
      </c>
      <c r="G4261">
        <v>145040550.33200002</v>
      </c>
      <c r="H4261">
        <v>10764468.280000001</v>
      </c>
      <c r="I4261">
        <v>5036634.1160000004</v>
      </c>
      <c r="J4261">
        <v>8299636.9400000004</v>
      </c>
      <c r="K4261">
        <v>0</v>
      </c>
      <c r="L4261">
        <v>5236.3640000000005</v>
      </c>
      <c r="M4261">
        <v>0</v>
      </c>
      <c r="T4261" s="9">
        <v>45108</v>
      </c>
      <c r="U4261" s="9">
        <v>45473</v>
      </c>
      <c r="V4261">
        <f>SUM(POTABLE_NONPOTABLE_API[[#This Row],[RESIDENTIAL_SINGLEFAMILY_GAL]:[OTHER_GAL]])</f>
        <v>169146526.03200001</v>
      </c>
      <c r="W4261">
        <f>SUM(POTABLE_NONPOTABLE_API[[#This Row],[NONPOTABLE_DEMAND_RESIDENTIAL_RECYCLED_WATER_GAL]:[NONPOTABLE_DEMAND_NONRESIDENTIAL_METERED_IRRIGATION_GAL]])</f>
        <v>0</v>
      </c>
      <c r="X4261" t="str">
        <f>IFERROR(INDEX(Crosswalk_API!$H$2:$H$527, MATCH(POTABLE_NONPOTABLE_API[[#This Row],[PWSID]], CW_PWSID_LIST, 0)), "")</f>
        <v>No</v>
      </c>
    </row>
    <row r="4262" spans="1:24" x14ac:dyDescent="0.25">
      <c r="A4262" t="s">
        <v>1994</v>
      </c>
      <c r="B4262" t="s">
        <v>1995</v>
      </c>
      <c r="C4262" t="s">
        <v>1996</v>
      </c>
      <c r="D4262" t="s">
        <v>1997</v>
      </c>
      <c r="E4262" s="9">
        <v>45108</v>
      </c>
      <c r="F4262" s="9">
        <v>45138</v>
      </c>
      <c r="G4262">
        <v>94494092</v>
      </c>
      <c r="H4262">
        <v>8002104</v>
      </c>
      <c r="I4262">
        <v>21166156</v>
      </c>
      <c r="J4262">
        <v>261052</v>
      </c>
      <c r="K4262">
        <v>1655324</v>
      </c>
      <c r="L4262">
        <v>0</v>
      </c>
      <c r="M4262">
        <v>197819820</v>
      </c>
      <c r="T4262" s="9">
        <v>45108</v>
      </c>
      <c r="U4262" s="9">
        <v>45473</v>
      </c>
      <c r="V4262">
        <f>SUM(POTABLE_NONPOTABLE_API[[#This Row],[RESIDENTIAL_SINGLEFAMILY_GAL]:[OTHER_GAL]])</f>
        <v>125578728</v>
      </c>
      <c r="W4262">
        <f>SUM(POTABLE_NONPOTABLE_API[[#This Row],[NONPOTABLE_DEMAND_RESIDENTIAL_RECYCLED_WATER_GAL]:[NONPOTABLE_DEMAND_NONRESIDENTIAL_METERED_IRRIGATION_GAL]])</f>
        <v>0</v>
      </c>
      <c r="X4262" t="str">
        <f>IFERROR(INDEX(Crosswalk_API!$H$2:$H$527, MATCH(POTABLE_NONPOTABLE_API[[#This Row],[PWSID]], CW_PWSID_LIST, 0)), "")</f>
        <v>No</v>
      </c>
    </row>
    <row r="4263" spans="1:24" x14ac:dyDescent="0.25">
      <c r="A4263" t="s">
        <v>1994</v>
      </c>
      <c r="B4263" t="s">
        <v>1995</v>
      </c>
      <c r="C4263" t="s">
        <v>1996</v>
      </c>
      <c r="D4263" t="s">
        <v>1997</v>
      </c>
      <c r="E4263" s="9">
        <v>45139</v>
      </c>
      <c r="F4263" s="9">
        <v>45169</v>
      </c>
      <c r="G4263">
        <v>119350880</v>
      </c>
      <c r="H4263">
        <v>10323896</v>
      </c>
      <c r="I4263">
        <v>33663740</v>
      </c>
      <c r="J4263">
        <v>498168</v>
      </c>
      <c r="K4263">
        <v>2128060</v>
      </c>
      <c r="L4263">
        <v>0</v>
      </c>
      <c r="M4263">
        <v>289729572</v>
      </c>
      <c r="T4263" s="9">
        <v>45108</v>
      </c>
      <c r="U4263" s="9">
        <v>45473</v>
      </c>
      <c r="V4263">
        <f>SUM(POTABLE_NONPOTABLE_API[[#This Row],[RESIDENTIAL_SINGLEFAMILY_GAL]:[OTHER_GAL]])</f>
        <v>165964744</v>
      </c>
      <c r="W4263">
        <f>SUM(POTABLE_NONPOTABLE_API[[#This Row],[NONPOTABLE_DEMAND_RESIDENTIAL_RECYCLED_WATER_GAL]:[NONPOTABLE_DEMAND_NONRESIDENTIAL_METERED_IRRIGATION_GAL]])</f>
        <v>0</v>
      </c>
      <c r="X4263" t="str">
        <f>IFERROR(INDEX(Crosswalk_API!$H$2:$H$527, MATCH(POTABLE_NONPOTABLE_API[[#This Row],[PWSID]], CW_PWSID_LIST, 0)), "")</f>
        <v>No</v>
      </c>
    </row>
    <row r="4264" spans="1:24" x14ac:dyDescent="0.25">
      <c r="A4264" t="s">
        <v>1994</v>
      </c>
      <c r="B4264" t="s">
        <v>1995</v>
      </c>
      <c r="C4264" t="s">
        <v>1996</v>
      </c>
      <c r="D4264" t="s">
        <v>1997</v>
      </c>
      <c r="E4264" s="9">
        <v>45170</v>
      </c>
      <c r="F4264" s="9">
        <v>45199</v>
      </c>
      <c r="G4264">
        <v>119504220</v>
      </c>
      <c r="H4264">
        <v>12122836</v>
      </c>
      <c r="I4264">
        <v>30550564</v>
      </c>
      <c r="J4264">
        <v>881892</v>
      </c>
      <c r="K4264">
        <v>2507296</v>
      </c>
      <c r="L4264">
        <v>0</v>
      </c>
      <c r="M4264">
        <v>267528184</v>
      </c>
      <c r="T4264" s="9">
        <v>45108</v>
      </c>
      <c r="U4264" s="9">
        <v>45473</v>
      </c>
      <c r="V4264">
        <f>SUM(POTABLE_NONPOTABLE_API[[#This Row],[RESIDENTIAL_SINGLEFAMILY_GAL]:[OTHER_GAL]])</f>
        <v>165566808</v>
      </c>
      <c r="W4264">
        <f>SUM(POTABLE_NONPOTABLE_API[[#This Row],[NONPOTABLE_DEMAND_RESIDENTIAL_RECYCLED_WATER_GAL]:[NONPOTABLE_DEMAND_NONRESIDENTIAL_METERED_IRRIGATION_GAL]])</f>
        <v>0</v>
      </c>
      <c r="X4264" t="str">
        <f>IFERROR(INDEX(Crosswalk_API!$H$2:$H$527, MATCH(POTABLE_NONPOTABLE_API[[#This Row],[PWSID]], CW_PWSID_LIST, 0)), "")</f>
        <v>No</v>
      </c>
    </row>
    <row r="4265" spans="1:24" x14ac:dyDescent="0.25">
      <c r="A4265" t="s">
        <v>1994</v>
      </c>
      <c r="B4265" t="s">
        <v>1995</v>
      </c>
      <c r="C4265" t="s">
        <v>1996</v>
      </c>
      <c r="D4265" t="s">
        <v>1997</v>
      </c>
      <c r="E4265" s="9">
        <v>45200</v>
      </c>
      <c r="F4265" s="9">
        <v>45230</v>
      </c>
      <c r="G4265">
        <v>102766972</v>
      </c>
      <c r="H4265">
        <v>11125004</v>
      </c>
      <c r="I4265">
        <v>22413072</v>
      </c>
      <c r="J4265">
        <v>712844</v>
      </c>
      <c r="K4265">
        <v>1703944</v>
      </c>
      <c r="L4265">
        <v>0</v>
      </c>
      <c r="M4265">
        <v>242039336</v>
      </c>
      <c r="T4265" s="9">
        <v>45108</v>
      </c>
      <c r="U4265" s="9">
        <v>45473</v>
      </c>
      <c r="V4265">
        <f>SUM(POTABLE_NONPOTABLE_API[[#This Row],[RESIDENTIAL_SINGLEFAMILY_GAL]:[OTHER_GAL]])</f>
        <v>138721836</v>
      </c>
      <c r="W4265">
        <f>SUM(POTABLE_NONPOTABLE_API[[#This Row],[NONPOTABLE_DEMAND_RESIDENTIAL_RECYCLED_WATER_GAL]:[NONPOTABLE_DEMAND_NONRESIDENTIAL_METERED_IRRIGATION_GAL]])</f>
        <v>0</v>
      </c>
      <c r="X4265" t="str">
        <f>IFERROR(INDEX(Crosswalk_API!$H$2:$H$527, MATCH(POTABLE_NONPOTABLE_API[[#This Row],[PWSID]], CW_PWSID_LIST, 0)), "")</f>
        <v>No</v>
      </c>
    </row>
    <row r="4266" spans="1:24" x14ac:dyDescent="0.25">
      <c r="A4266" t="s">
        <v>1994</v>
      </c>
      <c r="B4266" t="s">
        <v>1995</v>
      </c>
      <c r="C4266" t="s">
        <v>1996</v>
      </c>
      <c r="D4266" t="s">
        <v>1997</v>
      </c>
      <c r="E4266" s="9">
        <v>45231</v>
      </c>
      <c r="F4266" s="9">
        <v>45260</v>
      </c>
      <c r="G4266">
        <v>98219880</v>
      </c>
      <c r="H4266">
        <v>8940844</v>
      </c>
      <c r="I4266">
        <v>21166904</v>
      </c>
      <c r="J4266">
        <v>633556</v>
      </c>
      <c r="K4266">
        <v>1192312</v>
      </c>
      <c r="L4266">
        <v>0</v>
      </c>
      <c r="M4266">
        <v>217706148</v>
      </c>
      <c r="T4266" s="9">
        <v>45108</v>
      </c>
      <c r="U4266" s="9">
        <v>45473</v>
      </c>
      <c r="V4266">
        <f>SUM(POTABLE_NONPOTABLE_API[[#This Row],[RESIDENTIAL_SINGLEFAMILY_GAL]:[OTHER_GAL]])</f>
        <v>130153496</v>
      </c>
      <c r="W4266">
        <f>SUM(POTABLE_NONPOTABLE_API[[#This Row],[NONPOTABLE_DEMAND_RESIDENTIAL_RECYCLED_WATER_GAL]:[NONPOTABLE_DEMAND_NONRESIDENTIAL_METERED_IRRIGATION_GAL]])</f>
        <v>0</v>
      </c>
      <c r="X4266" t="str">
        <f>IFERROR(INDEX(Crosswalk_API!$H$2:$H$527, MATCH(POTABLE_NONPOTABLE_API[[#This Row],[PWSID]], CW_PWSID_LIST, 0)), "")</f>
        <v>No</v>
      </c>
    </row>
    <row r="4267" spans="1:24" x14ac:dyDescent="0.25">
      <c r="A4267" t="s">
        <v>1994</v>
      </c>
      <c r="B4267" t="s">
        <v>1995</v>
      </c>
      <c r="C4267" t="s">
        <v>1996</v>
      </c>
      <c r="D4267" t="s">
        <v>1997</v>
      </c>
      <c r="E4267" s="9">
        <v>45261</v>
      </c>
      <c r="F4267" s="9">
        <v>45291</v>
      </c>
      <c r="G4267">
        <v>98220000</v>
      </c>
      <c r="H4267">
        <v>8940000</v>
      </c>
      <c r="I4267">
        <v>21167000</v>
      </c>
      <c r="J4267">
        <v>634000</v>
      </c>
      <c r="K4267">
        <v>1192000</v>
      </c>
      <c r="L4267">
        <v>0</v>
      </c>
      <c r="M4267">
        <v>217706000</v>
      </c>
      <c r="T4267" s="9">
        <v>45108</v>
      </c>
      <c r="U4267" s="9">
        <v>45473</v>
      </c>
      <c r="V4267">
        <f>SUM(POTABLE_NONPOTABLE_API[[#This Row],[RESIDENTIAL_SINGLEFAMILY_GAL]:[OTHER_GAL]])</f>
        <v>130153000</v>
      </c>
      <c r="W4267">
        <f>SUM(POTABLE_NONPOTABLE_API[[#This Row],[NONPOTABLE_DEMAND_RESIDENTIAL_RECYCLED_WATER_GAL]:[NONPOTABLE_DEMAND_NONRESIDENTIAL_METERED_IRRIGATION_GAL]])</f>
        <v>0</v>
      </c>
      <c r="X4267" t="str">
        <f>IFERROR(INDEX(Crosswalk_API!$H$2:$H$527, MATCH(POTABLE_NONPOTABLE_API[[#This Row],[PWSID]], CW_PWSID_LIST, 0)), "")</f>
        <v>No</v>
      </c>
    </row>
    <row r="4268" spans="1:24" x14ac:dyDescent="0.25">
      <c r="A4268" t="s">
        <v>1994</v>
      </c>
      <c r="B4268" t="s">
        <v>1995</v>
      </c>
      <c r="C4268" t="s">
        <v>1996</v>
      </c>
      <c r="D4268" t="s">
        <v>1997</v>
      </c>
      <c r="E4268" s="9">
        <v>45292</v>
      </c>
      <c r="F4268" s="9">
        <v>45322</v>
      </c>
      <c r="G4268">
        <v>46673956.487999998</v>
      </c>
      <c r="H4268">
        <v>7088540.7520000003</v>
      </c>
      <c r="I4268">
        <v>5758504.2960000001</v>
      </c>
      <c r="J4268">
        <v>0</v>
      </c>
      <c r="K4268">
        <v>562535.10400000005</v>
      </c>
      <c r="L4268">
        <v>0</v>
      </c>
      <c r="M4268">
        <v>58214902.744000003</v>
      </c>
      <c r="T4268" s="9">
        <v>45108</v>
      </c>
      <c r="U4268" s="9">
        <v>45473</v>
      </c>
      <c r="V4268">
        <f>SUM(POTABLE_NONPOTABLE_API[[#This Row],[RESIDENTIAL_SINGLEFAMILY_GAL]:[OTHER_GAL]])</f>
        <v>60083536.640000001</v>
      </c>
      <c r="W4268">
        <f>SUM(POTABLE_NONPOTABLE_API[[#This Row],[NONPOTABLE_DEMAND_RESIDENTIAL_RECYCLED_WATER_GAL]:[NONPOTABLE_DEMAND_NONRESIDENTIAL_METERED_IRRIGATION_GAL]])</f>
        <v>0</v>
      </c>
      <c r="X4268" t="str">
        <f>IFERROR(INDEX(Crosswalk_API!$H$2:$H$527, MATCH(POTABLE_NONPOTABLE_API[[#This Row],[PWSID]], CW_PWSID_LIST, 0)), "")</f>
        <v>No</v>
      </c>
    </row>
    <row r="4269" spans="1:24" x14ac:dyDescent="0.25">
      <c r="A4269" t="s">
        <v>1994</v>
      </c>
      <c r="B4269" t="s">
        <v>1995</v>
      </c>
      <c r="C4269" t="s">
        <v>1996</v>
      </c>
      <c r="D4269" t="s">
        <v>1997</v>
      </c>
      <c r="E4269" s="9">
        <v>45323</v>
      </c>
      <c r="F4269" s="9">
        <v>45351</v>
      </c>
      <c r="G4269">
        <v>37510319.487999998</v>
      </c>
      <c r="H4269">
        <v>7049642.0480000004</v>
      </c>
      <c r="I4269">
        <v>4115782.1040000003</v>
      </c>
      <c r="J4269">
        <v>28425.976000000002</v>
      </c>
      <c r="K4269">
        <v>254337.68</v>
      </c>
      <c r="L4269">
        <v>0</v>
      </c>
      <c r="M4269">
        <v>29296708.528000001</v>
      </c>
      <c r="T4269" s="9">
        <v>45108</v>
      </c>
      <c r="U4269" s="9">
        <v>45473</v>
      </c>
      <c r="V4269">
        <f>SUM(POTABLE_NONPOTABLE_API[[#This Row],[RESIDENTIAL_SINGLEFAMILY_GAL]:[OTHER_GAL]])</f>
        <v>48958507.296000004</v>
      </c>
      <c r="W4269">
        <f>SUM(POTABLE_NONPOTABLE_API[[#This Row],[NONPOTABLE_DEMAND_RESIDENTIAL_RECYCLED_WATER_GAL]:[NONPOTABLE_DEMAND_NONRESIDENTIAL_METERED_IRRIGATION_GAL]])</f>
        <v>0</v>
      </c>
      <c r="X4269" t="str">
        <f>IFERROR(INDEX(Crosswalk_API!$H$2:$H$527, MATCH(POTABLE_NONPOTABLE_API[[#This Row],[PWSID]], CW_PWSID_LIST, 0)), "")</f>
        <v>No</v>
      </c>
    </row>
    <row r="4270" spans="1:24" x14ac:dyDescent="0.25">
      <c r="A4270" t="s">
        <v>1994</v>
      </c>
      <c r="B4270" t="s">
        <v>1995</v>
      </c>
      <c r="C4270" t="s">
        <v>1996</v>
      </c>
      <c r="D4270" t="s">
        <v>1997</v>
      </c>
      <c r="E4270" s="9">
        <v>45352</v>
      </c>
      <c r="F4270" s="9">
        <v>45382</v>
      </c>
      <c r="G4270">
        <v>45070881.052000001</v>
      </c>
      <c r="H4270">
        <v>7532883.6400000006</v>
      </c>
      <c r="I4270">
        <v>7333901.8080000002</v>
      </c>
      <c r="J4270">
        <v>134649.36000000002</v>
      </c>
      <c r="K4270">
        <v>620135.10800000001</v>
      </c>
      <c r="L4270">
        <v>0</v>
      </c>
      <c r="M4270">
        <v>44908553.767999999</v>
      </c>
      <c r="T4270" s="9">
        <v>45108</v>
      </c>
      <c r="U4270" s="9">
        <v>45473</v>
      </c>
      <c r="V4270">
        <f>SUM(POTABLE_NONPOTABLE_API[[#This Row],[RESIDENTIAL_SINGLEFAMILY_GAL]:[OTHER_GAL]])</f>
        <v>60692450.968000002</v>
      </c>
      <c r="W4270">
        <f>SUM(POTABLE_NONPOTABLE_API[[#This Row],[NONPOTABLE_DEMAND_RESIDENTIAL_RECYCLED_WATER_GAL]:[NONPOTABLE_DEMAND_NONRESIDENTIAL_METERED_IRRIGATION_GAL]])</f>
        <v>0</v>
      </c>
      <c r="X4270" t="str">
        <f>IFERROR(INDEX(Crosswalk_API!$H$2:$H$527, MATCH(POTABLE_NONPOTABLE_API[[#This Row],[PWSID]], CW_PWSID_LIST, 0)), "")</f>
        <v>No</v>
      </c>
    </row>
    <row r="4271" spans="1:24" x14ac:dyDescent="0.25">
      <c r="A4271" t="s">
        <v>1994</v>
      </c>
      <c r="B4271" t="s">
        <v>1995</v>
      </c>
      <c r="C4271" t="s">
        <v>1996</v>
      </c>
      <c r="D4271" t="s">
        <v>1997</v>
      </c>
      <c r="E4271" s="9">
        <v>45383</v>
      </c>
      <c r="F4271" s="9">
        <v>45412</v>
      </c>
      <c r="G4271">
        <v>61725510.780000001</v>
      </c>
      <c r="H4271">
        <v>8863668.148</v>
      </c>
      <c r="I4271">
        <v>11681580.032</v>
      </c>
      <c r="J4271">
        <v>258825.992</v>
      </c>
      <c r="K4271">
        <v>694940.30800000008</v>
      </c>
      <c r="L4271">
        <v>0</v>
      </c>
      <c r="M4271">
        <v>106286968.42</v>
      </c>
      <c r="T4271" s="9">
        <v>45108</v>
      </c>
      <c r="U4271" s="9">
        <v>45473</v>
      </c>
      <c r="V4271">
        <f>SUM(POTABLE_NONPOTABLE_API[[#This Row],[RESIDENTIAL_SINGLEFAMILY_GAL]:[OTHER_GAL]])</f>
        <v>83224525.260000005</v>
      </c>
      <c r="W4271">
        <f>SUM(POTABLE_NONPOTABLE_API[[#This Row],[NONPOTABLE_DEMAND_RESIDENTIAL_RECYCLED_WATER_GAL]:[NONPOTABLE_DEMAND_NONRESIDENTIAL_METERED_IRRIGATION_GAL]])</f>
        <v>0</v>
      </c>
      <c r="X4271" t="str">
        <f>IFERROR(INDEX(Crosswalk_API!$H$2:$H$527, MATCH(POTABLE_NONPOTABLE_API[[#This Row],[PWSID]], CW_PWSID_LIST, 0)), "")</f>
        <v>No</v>
      </c>
    </row>
    <row r="4272" spans="1:24" x14ac:dyDescent="0.25">
      <c r="A4272" t="s">
        <v>1994</v>
      </c>
      <c r="B4272" t="s">
        <v>1995</v>
      </c>
      <c r="C4272" t="s">
        <v>1996</v>
      </c>
      <c r="D4272" t="s">
        <v>1997</v>
      </c>
      <c r="E4272" s="9">
        <v>45413</v>
      </c>
      <c r="F4272" s="9">
        <v>45443</v>
      </c>
      <c r="G4272">
        <v>104208131.912</v>
      </c>
      <c r="H4272">
        <v>11349444.944</v>
      </c>
      <c r="I4272">
        <v>26076344.668000001</v>
      </c>
      <c r="J4272">
        <v>374774.05200000003</v>
      </c>
      <c r="K4272">
        <v>1211844.24</v>
      </c>
      <c r="L4272">
        <v>0</v>
      </c>
      <c r="M4272">
        <v>215711266.928</v>
      </c>
      <c r="T4272" s="9">
        <v>45108</v>
      </c>
      <c r="U4272" s="9">
        <v>45473</v>
      </c>
      <c r="V4272">
        <f>SUM(POTABLE_NONPOTABLE_API[[#This Row],[RESIDENTIAL_SINGLEFAMILY_GAL]:[OTHER_GAL]])</f>
        <v>143220539.81600001</v>
      </c>
      <c r="W4272">
        <f>SUM(POTABLE_NONPOTABLE_API[[#This Row],[NONPOTABLE_DEMAND_RESIDENTIAL_RECYCLED_WATER_GAL]:[NONPOTABLE_DEMAND_NONRESIDENTIAL_METERED_IRRIGATION_GAL]])</f>
        <v>0</v>
      </c>
      <c r="X4272" t="str">
        <f>IFERROR(INDEX(Crosswalk_API!$H$2:$H$527, MATCH(POTABLE_NONPOTABLE_API[[#This Row],[PWSID]], CW_PWSID_LIST, 0)), "")</f>
        <v>No</v>
      </c>
    </row>
    <row r="4273" spans="1:24" x14ac:dyDescent="0.25">
      <c r="A4273" t="s">
        <v>1994</v>
      </c>
      <c r="B4273" t="s">
        <v>1995</v>
      </c>
      <c r="C4273" t="s">
        <v>1996</v>
      </c>
      <c r="D4273" t="s">
        <v>1997</v>
      </c>
      <c r="E4273" s="9">
        <v>45444</v>
      </c>
      <c r="F4273" s="9">
        <v>45473</v>
      </c>
      <c r="G4273">
        <v>109037555.624</v>
      </c>
      <c r="H4273">
        <v>11351689.1</v>
      </c>
      <c r="I4273">
        <v>29356552.688000001</v>
      </c>
      <c r="J4273">
        <v>421153.27600000001</v>
      </c>
      <c r="K4273">
        <v>1856665.064</v>
      </c>
      <c r="L4273">
        <v>0</v>
      </c>
      <c r="M4273">
        <v>244173149.42399999</v>
      </c>
      <c r="T4273" s="9">
        <v>45108</v>
      </c>
      <c r="U4273" s="9">
        <v>45473</v>
      </c>
      <c r="V4273">
        <f>SUM(POTABLE_NONPOTABLE_API[[#This Row],[RESIDENTIAL_SINGLEFAMILY_GAL]:[OTHER_GAL]])</f>
        <v>152023615.752</v>
      </c>
      <c r="W4273">
        <f>SUM(POTABLE_NONPOTABLE_API[[#This Row],[NONPOTABLE_DEMAND_RESIDENTIAL_RECYCLED_WATER_GAL]:[NONPOTABLE_DEMAND_NONRESIDENTIAL_METERED_IRRIGATION_GAL]])</f>
        <v>0</v>
      </c>
      <c r="X4273" t="str">
        <f>IFERROR(INDEX(Crosswalk_API!$H$2:$H$527, MATCH(POTABLE_NONPOTABLE_API[[#This Row],[PWSID]], CW_PWSID_LIST, 0)), "")</f>
        <v>No</v>
      </c>
    </row>
    <row r="4274" spans="1:24" x14ac:dyDescent="0.25">
      <c r="A4274" t="s">
        <v>1998</v>
      </c>
      <c r="B4274" t="s">
        <v>1999</v>
      </c>
      <c r="C4274" t="s">
        <v>2000</v>
      </c>
      <c r="D4274" t="s">
        <v>2001</v>
      </c>
      <c r="E4274" s="9">
        <v>45108</v>
      </c>
      <c r="F4274" s="9">
        <v>45138</v>
      </c>
      <c r="G4274">
        <v>85436663</v>
      </c>
      <c r="H4274">
        <v>13875400</v>
      </c>
      <c r="I4274">
        <v>13395184</v>
      </c>
      <c r="J4274">
        <v>3538788</v>
      </c>
      <c r="K4274">
        <v>1009052</v>
      </c>
      <c r="L4274">
        <v>1155660</v>
      </c>
      <c r="M4274">
        <v>6051320</v>
      </c>
      <c r="N4274">
        <v>0</v>
      </c>
      <c r="O4274">
        <v>0</v>
      </c>
      <c r="P4274">
        <v>0</v>
      </c>
      <c r="Q4274">
        <v>21017304</v>
      </c>
      <c r="R4274">
        <v>15831697</v>
      </c>
      <c r="S4274">
        <v>0</v>
      </c>
      <c r="T4274" s="9">
        <v>45108</v>
      </c>
      <c r="U4274" s="9">
        <v>45473</v>
      </c>
      <c r="V4274">
        <f>SUM(POTABLE_NONPOTABLE_API[[#This Row],[RESIDENTIAL_SINGLEFAMILY_GAL]:[OTHER_GAL]])</f>
        <v>118410747</v>
      </c>
      <c r="W4274">
        <f>SUM(POTABLE_NONPOTABLE_API[[#This Row],[NONPOTABLE_DEMAND_RESIDENTIAL_RECYCLED_WATER_GAL]:[NONPOTABLE_DEMAND_NONRESIDENTIAL_METERED_IRRIGATION_GAL]])</f>
        <v>36849001</v>
      </c>
      <c r="X4274" t="str">
        <f>IFERROR(INDEX(Crosswalk_API!$H$2:$H$527, MATCH(POTABLE_NONPOTABLE_API[[#This Row],[PWSID]], CW_PWSID_LIST, 0)), "")</f>
        <v>No</v>
      </c>
    </row>
    <row r="4275" spans="1:24" x14ac:dyDescent="0.25">
      <c r="A4275" t="s">
        <v>1998</v>
      </c>
      <c r="B4275" t="s">
        <v>1999</v>
      </c>
      <c r="C4275" t="s">
        <v>2000</v>
      </c>
      <c r="D4275" t="s">
        <v>2001</v>
      </c>
      <c r="E4275" s="9">
        <v>45139</v>
      </c>
      <c r="F4275" s="9">
        <v>45169</v>
      </c>
      <c r="G4275">
        <v>86442620</v>
      </c>
      <c r="H4275">
        <v>14152160</v>
      </c>
      <c r="I4275">
        <v>13455024</v>
      </c>
      <c r="J4275">
        <v>4049672</v>
      </c>
      <c r="K4275">
        <v>1069640</v>
      </c>
      <c r="L4275">
        <v>1054680</v>
      </c>
      <c r="M4275">
        <v>2521758</v>
      </c>
      <c r="N4275">
        <v>0</v>
      </c>
      <c r="O4275">
        <v>0</v>
      </c>
      <c r="P4275">
        <v>0</v>
      </c>
      <c r="Q4275">
        <v>20235347</v>
      </c>
      <c r="R4275">
        <v>15375140</v>
      </c>
      <c r="S4275">
        <v>0</v>
      </c>
      <c r="T4275" s="9">
        <v>45108</v>
      </c>
      <c r="U4275" s="9">
        <v>45473</v>
      </c>
      <c r="V4275">
        <f>SUM(POTABLE_NONPOTABLE_API[[#This Row],[RESIDENTIAL_SINGLEFAMILY_GAL]:[OTHER_GAL]])</f>
        <v>120223796</v>
      </c>
      <c r="W4275">
        <f>SUM(POTABLE_NONPOTABLE_API[[#This Row],[NONPOTABLE_DEMAND_RESIDENTIAL_RECYCLED_WATER_GAL]:[NONPOTABLE_DEMAND_NONRESIDENTIAL_METERED_IRRIGATION_GAL]])</f>
        <v>35610487</v>
      </c>
      <c r="X4275" t="str">
        <f>IFERROR(INDEX(Crosswalk_API!$H$2:$H$527, MATCH(POTABLE_NONPOTABLE_API[[#This Row],[PWSID]], CW_PWSID_LIST, 0)), "")</f>
        <v>No</v>
      </c>
    </row>
    <row r="4276" spans="1:24" x14ac:dyDescent="0.25">
      <c r="A4276" t="s">
        <v>1998</v>
      </c>
      <c r="B4276" t="s">
        <v>1999</v>
      </c>
      <c r="C4276" t="s">
        <v>2000</v>
      </c>
      <c r="D4276" t="s">
        <v>2001</v>
      </c>
      <c r="E4276" s="9">
        <v>45170</v>
      </c>
      <c r="F4276" s="9">
        <v>45199</v>
      </c>
      <c r="G4276">
        <v>74997449.364000008</v>
      </c>
      <c r="H4276">
        <v>14759814.012</v>
      </c>
      <c r="I4276">
        <v>11757881.336000001</v>
      </c>
      <c r="J4276">
        <v>4049953.5279999999</v>
      </c>
      <c r="K4276">
        <v>1069714.3600000001</v>
      </c>
      <c r="L4276">
        <v>1054753.32</v>
      </c>
      <c r="M4276">
        <v>1826742.9839999999</v>
      </c>
      <c r="N4276">
        <v>0</v>
      </c>
      <c r="O4276">
        <v>0</v>
      </c>
      <c r="P4276">
        <v>0</v>
      </c>
      <c r="Q4276">
        <v>13913838</v>
      </c>
      <c r="R4276">
        <v>8301304</v>
      </c>
      <c r="S4276">
        <v>0</v>
      </c>
      <c r="T4276" s="9">
        <v>45108</v>
      </c>
      <c r="U4276" s="9">
        <v>45473</v>
      </c>
      <c r="V4276">
        <f>SUM(POTABLE_NONPOTABLE_API[[#This Row],[RESIDENTIAL_SINGLEFAMILY_GAL]:[OTHER_GAL]])</f>
        <v>107689565.91999999</v>
      </c>
      <c r="W4276">
        <f>SUM(POTABLE_NONPOTABLE_API[[#This Row],[NONPOTABLE_DEMAND_RESIDENTIAL_RECYCLED_WATER_GAL]:[NONPOTABLE_DEMAND_NONRESIDENTIAL_METERED_IRRIGATION_GAL]])</f>
        <v>22215142</v>
      </c>
      <c r="X4276" t="str">
        <f>IFERROR(INDEX(Crosswalk_API!$H$2:$H$527, MATCH(POTABLE_NONPOTABLE_API[[#This Row],[PWSID]], CW_PWSID_LIST, 0)), "")</f>
        <v>No</v>
      </c>
    </row>
    <row r="4277" spans="1:24" x14ac:dyDescent="0.25">
      <c r="A4277" t="s">
        <v>1998</v>
      </c>
      <c r="B4277" t="s">
        <v>1999</v>
      </c>
      <c r="C4277" t="s">
        <v>2000</v>
      </c>
      <c r="D4277" t="s">
        <v>2001</v>
      </c>
      <c r="E4277" s="9">
        <v>45200</v>
      </c>
      <c r="F4277" s="9">
        <v>45230</v>
      </c>
      <c r="G4277">
        <v>77128704</v>
      </c>
      <c r="H4277">
        <v>12611280</v>
      </c>
      <c r="I4277">
        <v>11333696</v>
      </c>
      <c r="J4277">
        <v>3470720</v>
      </c>
      <c r="K4277">
        <v>958188</v>
      </c>
      <c r="L4277">
        <v>1617176</v>
      </c>
      <c r="M4277">
        <v>2484108</v>
      </c>
      <c r="N4277">
        <v>0</v>
      </c>
      <c r="O4277">
        <v>0</v>
      </c>
      <c r="P4277">
        <v>0</v>
      </c>
      <c r="Q4277">
        <v>14402614</v>
      </c>
      <c r="R4277">
        <v>9392636</v>
      </c>
      <c r="S4277">
        <v>0</v>
      </c>
      <c r="T4277" s="9">
        <v>45108</v>
      </c>
      <c r="U4277" s="9">
        <v>45473</v>
      </c>
      <c r="V4277">
        <f>SUM(POTABLE_NONPOTABLE_API[[#This Row],[RESIDENTIAL_SINGLEFAMILY_GAL]:[OTHER_GAL]])</f>
        <v>107119764</v>
      </c>
      <c r="W4277">
        <f>SUM(POTABLE_NONPOTABLE_API[[#This Row],[NONPOTABLE_DEMAND_RESIDENTIAL_RECYCLED_WATER_GAL]:[NONPOTABLE_DEMAND_NONRESIDENTIAL_METERED_IRRIGATION_GAL]])</f>
        <v>23795250</v>
      </c>
      <c r="X4277" t="str">
        <f>IFERROR(INDEX(Crosswalk_API!$H$2:$H$527, MATCH(POTABLE_NONPOTABLE_API[[#This Row],[PWSID]], CW_PWSID_LIST, 0)), "")</f>
        <v>No</v>
      </c>
    </row>
    <row r="4278" spans="1:24" x14ac:dyDescent="0.25">
      <c r="A4278" t="s">
        <v>1998</v>
      </c>
      <c r="B4278" t="s">
        <v>1999</v>
      </c>
      <c r="C4278" t="s">
        <v>2000</v>
      </c>
      <c r="D4278" t="s">
        <v>2001</v>
      </c>
      <c r="E4278" s="9">
        <v>45231</v>
      </c>
      <c r="F4278" s="9">
        <v>45260</v>
      </c>
      <c r="G4278">
        <v>56118700</v>
      </c>
      <c r="H4278">
        <v>16414112</v>
      </c>
      <c r="I4278">
        <v>7690188</v>
      </c>
      <c r="J4278">
        <v>3728780</v>
      </c>
      <c r="K4278">
        <v>1009800</v>
      </c>
      <c r="L4278">
        <v>65076</v>
      </c>
      <c r="M4278">
        <v>1511708</v>
      </c>
      <c r="N4278">
        <v>0</v>
      </c>
      <c r="O4278">
        <v>0</v>
      </c>
      <c r="P4278">
        <v>0</v>
      </c>
      <c r="Q4278">
        <v>6954638</v>
      </c>
      <c r="R4278">
        <v>8088872</v>
      </c>
      <c r="S4278">
        <v>0</v>
      </c>
      <c r="T4278" s="9">
        <v>45108</v>
      </c>
      <c r="U4278" s="9">
        <v>45473</v>
      </c>
      <c r="V4278">
        <f>SUM(POTABLE_NONPOTABLE_API[[#This Row],[RESIDENTIAL_SINGLEFAMILY_GAL]:[OTHER_GAL]])</f>
        <v>85026656</v>
      </c>
      <c r="W4278">
        <f>SUM(POTABLE_NONPOTABLE_API[[#This Row],[NONPOTABLE_DEMAND_RESIDENTIAL_RECYCLED_WATER_GAL]:[NONPOTABLE_DEMAND_NONRESIDENTIAL_METERED_IRRIGATION_GAL]])</f>
        <v>15043510</v>
      </c>
      <c r="X4278" t="str">
        <f>IFERROR(INDEX(Crosswalk_API!$H$2:$H$527, MATCH(POTABLE_NONPOTABLE_API[[#This Row],[PWSID]], CW_PWSID_LIST, 0)), "")</f>
        <v>No</v>
      </c>
    </row>
    <row r="4279" spans="1:24" x14ac:dyDescent="0.25">
      <c r="A4279" t="s">
        <v>1998</v>
      </c>
      <c r="B4279" t="s">
        <v>1999</v>
      </c>
      <c r="C4279" t="s">
        <v>2000</v>
      </c>
      <c r="D4279" t="s">
        <v>2001</v>
      </c>
      <c r="E4279" s="9">
        <v>45261</v>
      </c>
      <c r="F4279" s="9">
        <v>45291</v>
      </c>
      <c r="G4279">
        <v>61942155</v>
      </c>
      <c r="H4279">
        <v>12257491</v>
      </c>
      <c r="I4279">
        <v>6332568</v>
      </c>
      <c r="J4279">
        <v>1790712</v>
      </c>
      <c r="K4279">
        <v>836264</v>
      </c>
      <c r="L4279">
        <v>0</v>
      </c>
      <c r="M4279">
        <v>1041964</v>
      </c>
      <c r="N4279">
        <v>0</v>
      </c>
      <c r="O4279">
        <v>0</v>
      </c>
      <c r="P4279">
        <v>0</v>
      </c>
      <c r="Q4279">
        <v>1824766</v>
      </c>
      <c r="R4279">
        <v>4675748</v>
      </c>
      <c r="S4279">
        <v>0</v>
      </c>
      <c r="T4279" s="9">
        <v>45108</v>
      </c>
      <c r="U4279" s="9">
        <v>45473</v>
      </c>
      <c r="V4279">
        <f>SUM(POTABLE_NONPOTABLE_API[[#This Row],[RESIDENTIAL_SINGLEFAMILY_GAL]:[OTHER_GAL]])</f>
        <v>83159190</v>
      </c>
      <c r="W4279">
        <f>SUM(POTABLE_NONPOTABLE_API[[#This Row],[NONPOTABLE_DEMAND_RESIDENTIAL_RECYCLED_WATER_GAL]:[NONPOTABLE_DEMAND_NONRESIDENTIAL_METERED_IRRIGATION_GAL]])</f>
        <v>6500514</v>
      </c>
      <c r="X4279" t="str">
        <f>IFERROR(INDEX(Crosswalk_API!$H$2:$H$527, MATCH(POTABLE_NONPOTABLE_API[[#This Row],[PWSID]], CW_PWSID_LIST, 0)), "")</f>
        <v>No</v>
      </c>
    </row>
    <row r="4280" spans="1:24" x14ac:dyDescent="0.25">
      <c r="A4280" t="s">
        <v>1998</v>
      </c>
      <c r="B4280" t="s">
        <v>1999</v>
      </c>
      <c r="C4280" t="s">
        <v>2000</v>
      </c>
      <c r="D4280" t="s">
        <v>2001</v>
      </c>
      <c r="E4280" s="9">
        <v>45292</v>
      </c>
      <c r="F4280" s="9">
        <v>45322</v>
      </c>
      <c r="G4280">
        <v>51344964</v>
      </c>
      <c r="H4280">
        <v>10657504</v>
      </c>
      <c r="I4280">
        <v>7211468</v>
      </c>
      <c r="J4280">
        <v>1032988</v>
      </c>
      <c r="K4280">
        <v>626824</v>
      </c>
      <c r="L4280">
        <v>187748</v>
      </c>
      <c r="M4280">
        <v>434588</v>
      </c>
      <c r="N4280">
        <v>0</v>
      </c>
      <c r="O4280">
        <v>0</v>
      </c>
      <c r="P4280">
        <v>0</v>
      </c>
      <c r="Q4280">
        <v>2020276</v>
      </c>
      <c r="R4280">
        <v>1285812</v>
      </c>
      <c r="S4280">
        <v>0</v>
      </c>
      <c r="T4280" s="9">
        <v>45108</v>
      </c>
      <c r="U4280" s="9">
        <v>45473</v>
      </c>
      <c r="V4280">
        <f>SUM(POTABLE_NONPOTABLE_API[[#This Row],[RESIDENTIAL_SINGLEFAMILY_GAL]:[OTHER_GAL]])</f>
        <v>71061496</v>
      </c>
      <c r="W4280">
        <f>SUM(POTABLE_NONPOTABLE_API[[#This Row],[NONPOTABLE_DEMAND_RESIDENTIAL_RECYCLED_WATER_GAL]:[NONPOTABLE_DEMAND_NONRESIDENTIAL_METERED_IRRIGATION_GAL]])</f>
        <v>3306088</v>
      </c>
      <c r="X4280" t="str">
        <f>IFERROR(INDEX(Crosswalk_API!$H$2:$H$527, MATCH(POTABLE_NONPOTABLE_API[[#This Row],[PWSID]], CW_PWSID_LIST, 0)), "")</f>
        <v>No</v>
      </c>
    </row>
    <row r="4281" spans="1:24" x14ac:dyDescent="0.25">
      <c r="A4281" t="s">
        <v>1998</v>
      </c>
      <c r="B4281" t="s">
        <v>1999</v>
      </c>
      <c r="C4281" t="s">
        <v>2000</v>
      </c>
      <c r="D4281" t="s">
        <v>2001</v>
      </c>
      <c r="E4281" s="9">
        <v>45323</v>
      </c>
      <c r="F4281" s="9">
        <v>45351</v>
      </c>
      <c r="G4281">
        <v>44790240</v>
      </c>
      <c r="H4281">
        <v>11734264</v>
      </c>
      <c r="I4281">
        <v>4738580</v>
      </c>
      <c r="J4281">
        <v>587180</v>
      </c>
      <c r="K4281">
        <v>820556</v>
      </c>
      <c r="L4281">
        <v>523600</v>
      </c>
      <c r="M4281">
        <v>227292</v>
      </c>
      <c r="N4281">
        <v>0</v>
      </c>
      <c r="O4281">
        <v>0</v>
      </c>
      <c r="P4281">
        <v>0</v>
      </c>
      <c r="Q4281">
        <v>0</v>
      </c>
      <c r="R4281">
        <v>1609805</v>
      </c>
      <c r="S4281">
        <v>0</v>
      </c>
      <c r="T4281" s="9">
        <v>45108</v>
      </c>
      <c r="U4281" s="9">
        <v>45473</v>
      </c>
      <c r="V4281">
        <f>SUM(POTABLE_NONPOTABLE_API[[#This Row],[RESIDENTIAL_SINGLEFAMILY_GAL]:[OTHER_GAL]])</f>
        <v>63194420</v>
      </c>
      <c r="W4281">
        <f>SUM(POTABLE_NONPOTABLE_API[[#This Row],[NONPOTABLE_DEMAND_RESIDENTIAL_RECYCLED_WATER_GAL]:[NONPOTABLE_DEMAND_NONRESIDENTIAL_METERED_IRRIGATION_GAL]])</f>
        <v>1609805</v>
      </c>
      <c r="X4281" t="str">
        <f>IFERROR(INDEX(Crosswalk_API!$H$2:$H$527, MATCH(POTABLE_NONPOTABLE_API[[#This Row],[PWSID]], CW_PWSID_LIST, 0)), "")</f>
        <v>No</v>
      </c>
    </row>
    <row r="4282" spans="1:24" x14ac:dyDescent="0.25">
      <c r="A4282" t="s">
        <v>1998</v>
      </c>
      <c r="B4282" t="s">
        <v>1999</v>
      </c>
      <c r="C4282" t="s">
        <v>2000</v>
      </c>
      <c r="D4282" t="s">
        <v>2001</v>
      </c>
      <c r="E4282" s="9">
        <v>45352</v>
      </c>
      <c r="F4282" s="9">
        <v>45382</v>
      </c>
      <c r="G4282">
        <v>38305080</v>
      </c>
      <c r="H4282">
        <v>8585804</v>
      </c>
      <c r="I4282">
        <v>5075928</v>
      </c>
      <c r="J4282">
        <v>389708</v>
      </c>
      <c r="K4282">
        <v>617100</v>
      </c>
      <c r="L4282">
        <v>116688</v>
      </c>
      <c r="M4282">
        <v>389708</v>
      </c>
      <c r="N4282">
        <v>0</v>
      </c>
      <c r="O4282">
        <v>0</v>
      </c>
      <c r="P4282">
        <v>0</v>
      </c>
      <c r="Q4282">
        <v>0</v>
      </c>
      <c r="R4282">
        <v>0</v>
      </c>
      <c r="S4282">
        <v>1609696</v>
      </c>
      <c r="T4282" s="9">
        <v>45108</v>
      </c>
      <c r="U4282" s="9">
        <v>45473</v>
      </c>
      <c r="V4282">
        <f>SUM(POTABLE_NONPOTABLE_API[[#This Row],[RESIDENTIAL_SINGLEFAMILY_GAL]:[OTHER_GAL]])</f>
        <v>53090308</v>
      </c>
      <c r="W4282">
        <f>SUM(POTABLE_NONPOTABLE_API[[#This Row],[NONPOTABLE_DEMAND_RESIDENTIAL_RECYCLED_WATER_GAL]:[NONPOTABLE_DEMAND_NONRESIDENTIAL_METERED_IRRIGATION_GAL]])</f>
        <v>1609696</v>
      </c>
      <c r="X4282" t="str">
        <f>IFERROR(INDEX(Crosswalk_API!$H$2:$H$527, MATCH(POTABLE_NONPOTABLE_API[[#This Row],[PWSID]], CW_PWSID_LIST, 0)), "")</f>
        <v>No</v>
      </c>
    </row>
    <row r="4283" spans="1:24" x14ac:dyDescent="0.25">
      <c r="A4283" t="s">
        <v>1998</v>
      </c>
      <c r="B4283" t="s">
        <v>1999</v>
      </c>
      <c r="C4283" t="s">
        <v>2000</v>
      </c>
      <c r="D4283" t="s">
        <v>2001</v>
      </c>
      <c r="E4283" s="9">
        <v>45383</v>
      </c>
      <c r="F4283" s="9">
        <v>45412</v>
      </c>
      <c r="G4283">
        <v>44123772</v>
      </c>
      <c r="H4283">
        <v>8741876</v>
      </c>
      <c r="I4283">
        <v>5325760</v>
      </c>
      <c r="J4283">
        <v>1847560</v>
      </c>
      <c r="K4283">
        <v>792880</v>
      </c>
      <c r="L4283">
        <v>0</v>
      </c>
      <c r="M4283">
        <v>421872</v>
      </c>
      <c r="N4283">
        <v>0</v>
      </c>
      <c r="O4283">
        <v>0</v>
      </c>
      <c r="P4283">
        <v>0</v>
      </c>
      <c r="Q4283">
        <v>5832732</v>
      </c>
      <c r="R4283">
        <v>3335332</v>
      </c>
      <c r="S4283">
        <v>0</v>
      </c>
      <c r="T4283" s="9">
        <v>45108</v>
      </c>
      <c r="U4283" s="9">
        <v>45473</v>
      </c>
      <c r="V4283">
        <f>SUM(POTABLE_NONPOTABLE_API[[#This Row],[RESIDENTIAL_SINGLEFAMILY_GAL]:[OTHER_GAL]])</f>
        <v>60831848</v>
      </c>
      <c r="W4283">
        <f>SUM(POTABLE_NONPOTABLE_API[[#This Row],[NONPOTABLE_DEMAND_RESIDENTIAL_RECYCLED_WATER_GAL]:[NONPOTABLE_DEMAND_NONRESIDENTIAL_METERED_IRRIGATION_GAL]])</f>
        <v>9168064</v>
      </c>
      <c r="X4283" t="str">
        <f>IFERROR(INDEX(Crosswalk_API!$H$2:$H$527, MATCH(POTABLE_NONPOTABLE_API[[#This Row],[PWSID]], CW_PWSID_LIST, 0)), "")</f>
        <v>No</v>
      </c>
    </row>
    <row r="4284" spans="1:24" x14ac:dyDescent="0.25">
      <c r="A4284" t="s">
        <v>1998</v>
      </c>
      <c r="B4284" t="s">
        <v>1999</v>
      </c>
      <c r="C4284" t="s">
        <v>2000</v>
      </c>
      <c r="D4284" t="s">
        <v>2001</v>
      </c>
      <c r="E4284" s="9">
        <v>45413</v>
      </c>
      <c r="F4284" s="9">
        <v>45443</v>
      </c>
      <c r="G4284">
        <v>62734760</v>
      </c>
      <c r="H4284">
        <v>9576644</v>
      </c>
      <c r="I4284">
        <v>3039124</v>
      </c>
      <c r="J4284">
        <v>7005768</v>
      </c>
      <c r="K4284">
        <v>810832</v>
      </c>
      <c r="L4284">
        <v>1215500</v>
      </c>
      <c r="M4284">
        <v>1534148</v>
      </c>
      <c r="N4284">
        <v>0</v>
      </c>
      <c r="O4284">
        <v>0</v>
      </c>
      <c r="P4284">
        <v>0</v>
      </c>
      <c r="Q4284">
        <v>17563369</v>
      </c>
      <c r="R4284">
        <v>11608960</v>
      </c>
      <c r="S4284">
        <v>0</v>
      </c>
      <c r="T4284" s="9">
        <v>45108</v>
      </c>
      <c r="U4284" s="9">
        <v>45473</v>
      </c>
      <c r="V4284">
        <f>SUM(POTABLE_NONPOTABLE_API[[#This Row],[RESIDENTIAL_SINGLEFAMILY_GAL]:[OTHER_GAL]])</f>
        <v>84382628</v>
      </c>
      <c r="W4284">
        <f>SUM(POTABLE_NONPOTABLE_API[[#This Row],[NONPOTABLE_DEMAND_RESIDENTIAL_RECYCLED_WATER_GAL]:[NONPOTABLE_DEMAND_NONRESIDENTIAL_METERED_IRRIGATION_GAL]])</f>
        <v>29172329</v>
      </c>
      <c r="X4284" t="str">
        <f>IFERROR(INDEX(Crosswalk_API!$H$2:$H$527, MATCH(POTABLE_NONPOTABLE_API[[#This Row],[PWSID]], CW_PWSID_LIST, 0)), "")</f>
        <v>No</v>
      </c>
    </row>
    <row r="4285" spans="1:24" x14ac:dyDescent="0.25">
      <c r="A4285" t="s">
        <v>1998</v>
      </c>
      <c r="B4285" t="s">
        <v>1999</v>
      </c>
      <c r="C4285" t="s">
        <v>2000</v>
      </c>
      <c r="D4285" t="s">
        <v>2001</v>
      </c>
      <c r="E4285" s="9">
        <v>45444</v>
      </c>
      <c r="F4285" s="9">
        <v>45473</v>
      </c>
      <c r="G4285">
        <v>81819980</v>
      </c>
      <c r="H4285">
        <v>13440812</v>
      </c>
      <c r="I4285">
        <v>12142284</v>
      </c>
      <c r="J4285">
        <v>3582172</v>
      </c>
      <c r="K4285">
        <v>1107788</v>
      </c>
      <c r="L4285">
        <v>732292</v>
      </c>
      <c r="M4285">
        <v>1727880</v>
      </c>
      <c r="N4285">
        <v>0</v>
      </c>
      <c r="O4285">
        <v>0</v>
      </c>
      <c r="P4285">
        <v>0</v>
      </c>
      <c r="Q4285">
        <v>12903699.6</v>
      </c>
      <c r="R4285">
        <v>2781064</v>
      </c>
      <c r="S4285">
        <v>0</v>
      </c>
      <c r="T4285" s="9">
        <v>45108</v>
      </c>
      <c r="U4285" s="9">
        <v>45473</v>
      </c>
      <c r="V4285">
        <f>SUM(POTABLE_NONPOTABLE_API[[#This Row],[RESIDENTIAL_SINGLEFAMILY_GAL]:[OTHER_GAL]])</f>
        <v>112825328</v>
      </c>
      <c r="W4285">
        <f>SUM(POTABLE_NONPOTABLE_API[[#This Row],[NONPOTABLE_DEMAND_RESIDENTIAL_RECYCLED_WATER_GAL]:[NONPOTABLE_DEMAND_NONRESIDENTIAL_METERED_IRRIGATION_GAL]])</f>
        <v>15684763.6</v>
      </c>
      <c r="X4285" t="str">
        <f>IFERROR(INDEX(Crosswalk_API!$H$2:$H$527, MATCH(POTABLE_NONPOTABLE_API[[#This Row],[PWSID]], CW_PWSID_LIST, 0)), "")</f>
        <v>No</v>
      </c>
    </row>
    <row r="4286" spans="1:24" x14ac:dyDescent="0.25">
      <c r="A4286" t="s">
        <v>2002</v>
      </c>
      <c r="B4286" t="s">
        <v>2003</v>
      </c>
      <c r="C4286" t="s">
        <v>2004</v>
      </c>
      <c r="D4286" t="s">
        <v>2005</v>
      </c>
      <c r="E4286" s="9">
        <v>45108</v>
      </c>
      <c r="F4286" s="9">
        <v>45138</v>
      </c>
      <c r="G4286">
        <v>724532497.06800008</v>
      </c>
      <c r="H4286">
        <v>57369603.984000005</v>
      </c>
      <c r="I4286">
        <v>109261223.17200001</v>
      </c>
      <c r="J4286">
        <v>147788893.38</v>
      </c>
      <c r="K4286">
        <v>3188945.676</v>
      </c>
      <c r="L4286">
        <v>0</v>
      </c>
      <c r="M4286">
        <v>538250343.87199998</v>
      </c>
      <c r="N4286">
        <v>3812821.0440000002</v>
      </c>
      <c r="O4286">
        <v>0</v>
      </c>
      <c r="P4286">
        <v>0</v>
      </c>
      <c r="Q4286">
        <v>182891233.48000002</v>
      </c>
      <c r="R4286">
        <v>0</v>
      </c>
      <c r="S4286">
        <v>0</v>
      </c>
      <c r="T4286" s="9">
        <v>45108</v>
      </c>
      <c r="U4286" s="9">
        <v>45473</v>
      </c>
      <c r="V4286">
        <f>SUM(POTABLE_NONPOTABLE_API[[#This Row],[RESIDENTIAL_SINGLEFAMILY_GAL]:[OTHER_GAL]])</f>
        <v>1042141163.2800001</v>
      </c>
      <c r="W4286">
        <f>SUM(POTABLE_NONPOTABLE_API[[#This Row],[NONPOTABLE_DEMAND_RESIDENTIAL_RECYCLED_WATER_GAL]:[NONPOTABLE_DEMAND_NONRESIDENTIAL_METERED_IRRIGATION_GAL]])</f>
        <v>186704054.52400002</v>
      </c>
      <c r="X4286" t="str">
        <f>IFERROR(INDEX(Crosswalk_API!$H$2:$H$527, MATCH(POTABLE_NONPOTABLE_API[[#This Row],[PWSID]], CW_PWSID_LIST, 0)), "")</f>
        <v>No</v>
      </c>
    </row>
    <row r="4287" spans="1:24" x14ac:dyDescent="0.25">
      <c r="A4287" t="s">
        <v>2002</v>
      </c>
      <c r="B4287" t="s">
        <v>2003</v>
      </c>
      <c r="C4287" t="s">
        <v>2004</v>
      </c>
      <c r="D4287" t="s">
        <v>2005</v>
      </c>
      <c r="E4287" s="9">
        <v>45139</v>
      </c>
      <c r="F4287" s="9">
        <v>45169</v>
      </c>
      <c r="G4287">
        <v>827026841.84800005</v>
      </c>
      <c r="H4287">
        <v>62988222.556000002</v>
      </c>
      <c r="I4287">
        <v>119868600.53200001</v>
      </c>
      <c r="J4287">
        <v>185030662.20000002</v>
      </c>
      <c r="K4287">
        <v>16213279.048</v>
      </c>
      <c r="L4287">
        <v>0</v>
      </c>
      <c r="M4287">
        <v>707589867.32000005</v>
      </c>
      <c r="N4287">
        <v>4887023.716</v>
      </c>
      <c r="O4287">
        <v>0</v>
      </c>
      <c r="P4287">
        <v>0</v>
      </c>
      <c r="Q4287">
        <v>163996188.01199999</v>
      </c>
      <c r="R4287">
        <v>0</v>
      </c>
      <c r="S4287">
        <v>0</v>
      </c>
      <c r="T4287" s="9">
        <v>45108</v>
      </c>
      <c r="U4287" s="9">
        <v>45473</v>
      </c>
      <c r="V4287">
        <f>SUM(POTABLE_NONPOTABLE_API[[#This Row],[RESIDENTIAL_SINGLEFAMILY_GAL]:[OTHER_GAL]])</f>
        <v>1211127606.1840003</v>
      </c>
      <c r="W4287">
        <f>SUM(POTABLE_NONPOTABLE_API[[#This Row],[NONPOTABLE_DEMAND_RESIDENTIAL_RECYCLED_WATER_GAL]:[NONPOTABLE_DEMAND_NONRESIDENTIAL_METERED_IRRIGATION_GAL]])</f>
        <v>168883211.72799999</v>
      </c>
      <c r="X4287" t="str">
        <f>IFERROR(INDEX(Crosswalk_API!$H$2:$H$527, MATCH(POTABLE_NONPOTABLE_API[[#This Row],[PWSID]], CW_PWSID_LIST, 0)), "")</f>
        <v>No</v>
      </c>
    </row>
    <row r="4288" spans="1:24" x14ac:dyDescent="0.25">
      <c r="A4288" t="s">
        <v>2002</v>
      </c>
      <c r="B4288" t="s">
        <v>2003</v>
      </c>
      <c r="C4288" t="s">
        <v>2004</v>
      </c>
      <c r="D4288" t="s">
        <v>2005</v>
      </c>
      <c r="E4288" s="9">
        <v>45170</v>
      </c>
      <c r="F4288" s="9">
        <v>45199</v>
      </c>
      <c r="G4288">
        <v>737154378.46399999</v>
      </c>
      <c r="H4288">
        <v>65179266.864</v>
      </c>
      <c r="I4288">
        <v>109829742.692</v>
      </c>
      <c r="J4288">
        <v>154653018.53200001</v>
      </c>
      <c r="K4288">
        <v>4054441.8400000003</v>
      </c>
      <c r="L4288">
        <v>0</v>
      </c>
      <c r="M4288">
        <v>447660498.62</v>
      </c>
      <c r="N4288">
        <v>3996093.784</v>
      </c>
      <c r="O4288">
        <v>0</v>
      </c>
      <c r="P4288">
        <v>0</v>
      </c>
      <c r="Q4288">
        <v>120230657.7</v>
      </c>
      <c r="R4288">
        <v>0</v>
      </c>
      <c r="S4288">
        <v>0</v>
      </c>
      <c r="T4288" s="9">
        <v>45108</v>
      </c>
      <c r="U4288" s="9">
        <v>45473</v>
      </c>
      <c r="V4288">
        <f>SUM(POTABLE_NONPOTABLE_API[[#This Row],[RESIDENTIAL_SINGLEFAMILY_GAL]:[OTHER_GAL]])</f>
        <v>1070870848.3920001</v>
      </c>
      <c r="W4288">
        <f>SUM(POTABLE_NONPOTABLE_API[[#This Row],[NONPOTABLE_DEMAND_RESIDENTIAL_RECYCLED_WATER_GAL]:[NONPOTABLE_DEMAND_NONRESIDENTIAL_METERED_IRRIGATION_GAL]])</f>
        <v>124226751.484</v>
      </c>
      <c r="X4288" t="str">
        <f>IFERROR(INDEX(Crosswalk_API!$H$2:$H$527, MATCH(POTABLE_NONPOTABLE_API[[#This Row],[PWSID]], CW_PWSID_LIST, 0)), "")</f>
        <v>No</v>
      </c>
    </row>
    <row r="4289" spans="1:24" x14ac:dyDescent="0.25">
      <c r="A4289" t="s">
        <v>2002</v>
      </c>
      <c r="B4289" t="s">
        <v>2003</v>
      </c>
      <c r="C4289" t="s">
        <v>2004</v>
      </c>
      <c r="D4289" t="s">
        <v>2005</v>
      </c>
      <c r="E4289" s="9">
        <v>45200</v>
      </c>
      <c r="F4289" s="9">
        <v>45230</v>
      </c>
      <c r="G4289">
        <v>463528177.64399999</v>
      </c>
      <c r="H4289">
        <v>41039628.824000001</v>
      </c>
      <c r="I4289">
        <v>55871255.828000002</v>
      </c>
      <c r="J4289">
        <v>89298707.5</v>
      </c>
      <c r="K4289">
        <v>2754327.4640000002</v>
      </c>
      <c r="L4289">
        <v>0</v>
      </c>
      <c r="M4289">
        <v>408508953.04400003</v>
      </c>
      <c r="N4289">
        <v>2809683.3119999999</v>
      </c>
      <c r="O4289">
        <v>0</v>
      </c>
      <c r="P4289">
        <v>0</v>
      </c>
      <c r="Q4289">
        <v>27284448.648000002</v>
      </c>
      <c r="R4289">
        <v>0</v>
      </c>
      <c r="S4289">
        <v>0</v>
      </c>
      <c r="T4289" s="9">
        <v>45108</v>
      </c>
      <c r="U4289" s="9">
        <v>45473</v>
      </c>
      <c r="V4289">
        <f>SUM(POTABLE_NONPOTABLE_API[[#This Row],[RESIDENTIAL_SINGLEFAMILY_GAL]:[OTHER_GAL]])</f>
        <v>652492097.25999999</v>
      </c>
      <c r="W4289">
        <f>SUM(POTABLE_NONPOTABLE_API[[#This Row],[NONPOTABLE_DEMAND_RESIDENTIAL_RECYCLED_WATER_GAL]:[NONPOTABLE_DEMAND_NONRESIDENTIAL_METERED_IRRIGATION_GAL]])</f>
        <v>30094131.960000001</v>
      </c>
      <c r="X4289" t="str">
        <f>IFERROR(INDEX(Crosswalk_API!$H$2:$H$527, MATCH(POTABLE_NONPOTABLE_API[[#This Row],[PWSID]], CW_PWSID_LIST, 0)), "")</f>
        <v>No</v>
      </c>
    </row>
    <row r="4290" spans="1:24" x14ac:dyDescent="0.25">
      <c r="A4290" t="s">
        <v>2002</v>
      </c>
      <c r="B4290" t="s">
        <v>2003</v>
      </c>
      <c r="C4290" t="s">
        <v>2004</v>
      </c>
      <c r="D4290" t="s">
        <v>2005</v>
      </c>
      <c r="E4290" s="9">
        <v>45231</v>
      </c>
      <c r="F4290" s="9">
        <v>45260</v>
      </c>
      <c r="G4290">
        <v>584345308.11199999</v>
      </c>
      <c r="H4290">
        <v>61411328.940000005</v>
      </c>
      <c r="I4290">
        <v>97974614.596000001</v>
      </c>
      <c r="J4290">
        <v>103572287.712</v>
      </c>
      <c r="K4290">
        <v>3287688.54</v>
      </c>
      <c r="L4290">
        <v>0</v>
      </c>
      <c r="M4290">
        <v>453478847.07600003</v>
      </c>
      <c r="N4290">
        <v>2546369.0079999999</v>
      </c>
      <c r="O4290">
        <v>0</v>
      </c>
      <c r="P4290">
        <v>0</v>
      </c>
      <c r="Q4290">
        <v>74330935.032000005</v>
      </c>
      <c r="R4290">
        <v>0</v>
      </c>
      <c r="T4290" s="9">
        <v>45108</v>
      </c>
      <c r="U4290" s="9">
        <v>45473</v>
      </c>
      <c r="V4290">
        <f>SUM(POTABLE_NONPOTABLE_API[[#This Row],[RESIDENTIAL_SINGLEFAMILY_GAL]:[OTHER_GAL]])</f>
        <v>850591227.89999998</v>
      </c>
      <c r="W4290">
        <f>SUM(POTABLE_NONPOTABLE_API[[#This Row],[NONPOTABLE_DEMAND_RESIDENTIAL_RECYCLED_WATER_GAL]:[NONPOTABLE_DEMAND_NONRESIDENTIAL_METERED_IRRIGATION_GAL]])</f>
        <v>76877304.040000007</v>
      </c>
      <c r="X4290" t="str">
        <f>IFERROR(INDEX(Crosswalk_API!$H$2:$H$527, MATCH(POTABLE_NONPOTABLE_API[[#This Row],[PWSID]], CW_PWSID_LIST, 0)), "")</f>
        <v>No</v>
      </c>
    </row>
    <row r="4291" spans="1:24" x14ac:dyDescent="0.25">
      <c r="A4291" t="s">
        <v>2002</v>
      </c>
      <c r="B4291" t="s">
        <v>2003</v>
      </c>
      <c r="C4291" t="s">
        <v>2004</v>
      </c>
      <c r="D4291" t="s">
        <v>2005</v>
      </c>
      <c r="E4291" s="9">
        <v>45261</v>
      </c>
      <c r="F4291" s="9">
        <v>45291</v>
      </c>
      <c r="G4291">
        <v>481497882.78799999</v>
      </c>
      <c r="H4291">
        <v>59922705.460000001</v>
      </c>
      <c r="I4291">
        <v>98339663.972000003</v>
      </c>
      <c r="J4291">
        <v>68098165.768000007</v>
      </c>
      <c r="K4291">
        <v>3034098.912</v>
      </c>
      <c r="L4291">
        <v>0</v>
      </c>
      <c r="M4291">
        <v>275239748.98400003</v>
      </c>
      <c r="N4291">
        <v>1986826.112</v>
      </c>
      <c r="O4291">
        <v>0</v>
      </c>
      <c r="P4291">
        <v>0</v>
      </c>
      <c r="Q4291">
        <v>49799317.744000003</v>
      </c>
      <c r="R4291">
        <v>0</v>
      </c>
      <c r="S4291">
        <v>0</v>
      </c>
      <c r="T4291" s="9">
        <v>45108</v>
      </c>
      <c r="U4291" s="9">
        <v>45473</v>
      </c>
      <c r="V4291">
        <f>SUM(POTABLE_NONPOTABLE_API[[#This Row],[RESIDENTIAL_SINGLEFAMILY_GAL]:[OTHER_GAL]])</f>
        <v>710892516.89999998</v>
      </c>
      <c r="W4291">
        <f>SUM(POTABLE_NONPOTABLE_API[[#This Row],[NONPOTABLE_DEMAND_RESIDENTIAL_RECYCLED_WATER_GAL]:[NONPOTABLE_DEMAND_NONRESIDENTIAL_METERED_IRRIGATION_GAL]])</f>
        <v>51786143.856000006</v>
      </c>
      <c r="X4291" t="str">
        <f>IFERROR(INDEX(Crosswalk_API!$H$2:$H$527, MATCH(POTABLE_NONPOTABLE_API[[#This Row],[PWSID]], CW_PWSID_LIST, 0)), "")</f>
        <v>No</v>
      </c>
    </row>
    <row r="4292" spans="1:24" x14ac:dyDescent="0.25">
      <c r="A4292" t="s">
        <v>2002</v>
      </c>
      <c r="B4292" t="s">
        <v>2003</v>
      </c>
      <c r="C4292" t="s">
        <v>2004</v>
      </c>
      <c r="D4292" t="s">
        <v>2005</v>
      </c>
      <c r="E4292" s="9">
        <v>45292</v>
      </c>
      <c r="F4292" s="9">
        <v>45322</v>
      </c>
      <c r="G4292">
        <v>319146661.12400001</v>
      </c>
      <c r="H4292">
        <v>46556512.324000001</v>
      </c>
      <c r="I4292">
        <v>67022466.991999999</v>
      </c>
      <c r="J4292">
        <v>29488957.892000001</v>
      </c>
      <c r="K4292">
        <v>2177579.372</v>
      </c>
      <c r="L4292">
        <v>0</v>
      </c>
      <c r="M4292">
        <v>100408027.752</v>
      </c>
      <c r="N4292">
        <v>1023335.1360000001</v>
      </c>
      <c r="O4292">
        <v>0</v>
      </c>
      <c r="P4292">
        <v>0</v>
      </c>
      <c r="Q4292">
        <v>17340593.412</v>
      </c>
      <c r="R4292">
        <v>0</v>
      </c>
      <c r="S4292">
        <v>0</v>
      </c>
      <c r="T4292" s="9">
        <v>45108</v>
      </c>
      <c r="U4292" s="9">
        <v>45473</v>
      </c>
      <c r="V4292">
        <f>SUM(POTABLE_NONPOTABLE_API[[#This Row],[RESIDENTIAL_SINGLEFAMILY_GAL]:[OTHER_GAL]])</f>
        <v>464392177.704</v>
      </c>
      <c r="W4292">
        <f>SUM(POTABLE_NONPOTABLE_API[[#This Row],[NONPOTABLE_DEMAND_RESIDENTIAL_RECYCLED_WATER_GAL]:[NONPOTABLE_DEMAND_NONRESIDENTIAL_METERED_IRRIGATION_GAL]])</f>
        <v>18363928.548</v>
      </c>
      <c r="X4292" t="str">
        <f>IFERROR(INDEX(Crosswalk_API!$H$2:$H$527, MATCH(POTABLE_NONPOTABLE_API[[#This Row],[PWSID]], CW_PWSID_LIST, 0)), "")</f>
        <v>No</v>
      </c>
    </row>
    <row r="4293" spans="1:24" x14ac:dyDescent="0.25">
      <c r="A4293" t="s">
        <v>2002</v>
      </c>
      <c r="B4293" t="s">
        <v>2003</v>
      </c>
      <c r="C4293" t="s">
        <v>2004</v>
      </c>
      <c r="D4293" t="s">
        <v>2005</v>
      </c>
      <c r="E4293" s="9">
        <v>45323</v>
      </c>
      <c r="F4293" s="9">
        <v>45351</v>
      </c>
      <c r="G4293">
        <v>288668030.43599999</v>
      </c>
      <c r="H4293">
        <v>48989925.480000004</v>
      </c>
      <c r="I4293">
        <v>63359256.348000005</v>
      </c>
      <c r="J4293">
        <v>14902691.944</v>
      </c>
      <c r="K4293">
        <v>2208249.5040000002</v>
      </c>
      <c r="L4293">
        <v>0</v>
      </c>
      <c r="M4293">
        <v>70730560.755999997</v>
      </c>
      <c r="N4293">
        <v>835574.08400000003</v>
      </c>
      <c r="O4293">
        <v>0</v>
      </c>
      <c r="P4293">
        <v>0</v>
      </c>
      <c r="Q4293">
        <v>12900904.791999999</v>
      </c>
      <c r="R4293">
        <v>0</v>
      </c>
      <c r="S4293">
        <v>0</v>
      </c>
      <c r="T4293" s="9">
        <v>45108</v>
      </c>
      <c r="U4293" s="9">
        <v>45473</v>
      </c>
      <c r="V4293">
        <f>SUM(POTABLE_NONPOTABLE_API[[#This Row],[RESIDENTIAL_SINGLEFAMILY_GAL]:[OTHER_GAL]])</f>
        <v>418128153.71200001</v>
      </c>
      <c r="W4293">
        <f>SUM(POTABLE_NONPOTABLE_API[[#This Row],[NONPOTABLE_DEMAND_RESIDENTIAL_RECYCLED_WATER_GAL]:[NONPOTABLE_DEMAND_NONRESIDENTIAL_METERED_IRRIGATION_GAL]])</f>
        <v>13736478.876</v>
      </c>
      <c r="X4293" t="str">
        <f>IFERROR(INDEX(Crosswalk_API!$H$2:$H$527, MATCH(POTABLE_NONPOTABLE_API[[#This Row],[PWSID]], CW_PWSID_LIST, 0)), "")</f>
        <v>No</v>
      </c>
    </row>
    <row r="4294" spans="1:24" x14ac:dyDescent="0.25">
      <c r="A4294" t="s">
        <v>2002</v>
      </c>
      <c r="B4294" t="s">
        <v>2003</v>
      </c>
      <c r="C4294" t="s">
        <v>2004</v>
      </c>
      <c r="D4294" t="s">
        <v>2005</v>
      </c>
      <c r="E4294" s="9">
        <v>45352</v>
      </c>
      <c r="F4294" s="9">
        <v>45382</v>
      </c>
      <c r="G4294">
        <v>239352702.336</v>
      </c>
      <c r="H4294">
        <v>44479919.972000003</v>
      </c>
      <c r="I4294">
        <v>62673292.664000005</v>
      </c>
      <c r="J4294">
        <v>8479169.4199999999</v>
      </c>
      <c r="K4294">
        <v>2043678.064</v>
      </c>
      <c r="L4294">
        <v>0</v>
      </c>
      <c r="M4294">
        <v>26781009.652000003</v>
      </c>
      <c r="N4294">
        <v>478005.228</v>
      </c>
      <c r="O4294">
        <v>0</v>
      </c>
      <c r="Q4294">
        <v>15320853.012</v>
      </c>
      <c r="R4294">
        <v>0</v>
      </c>
      <c r="S4294">
        <v>0</v>
      </c>
      <c r="T4294" s="9">
        <v>45108</v>
      </c>
      <c r="U4294" s="9">
        <v>45473</v>
      </c>
      <c r="V4294">
        <f>SUM(POTABLE_NONPOTABLE_API[[#This Row],[RESIDENTIAL_SINGLEFAMILY_GAL]:[OTHER_GAL]])</f>
        <v>357028762.45600003</v>
      </c>
      <c r="W4294">
        <f>SUM(POTABLE_NONPOTABLE_API[[#This Row],[NONPOTABLE_DEMAND_RESIDENTIAL_RECYCLED_WATER_GAL]:[NONPOTABLE_DEMAND_NONRESIDENTIAL_METERED_IRRIGATION_GAL]])</f>
        <v>15798858.24</v>
      </c>
      <c r="X4294" t="str">
        <f>IFERROR(INDEX(Crosswalk_API!$H$2:$H$527, MATCH(POTABLE_NONPOTABLE_API[[#This Row],[PWSID]], CW_PWSID_LIST, 0)), "")</f>
        <v>No</v>
      </c>
    </row>
    <row r="4295" spans="1:24" x14ac:dyDescent="0.25">
      <c r="A4295" t="s">
        <v>2002</v>
      </c>
      <c r="B4295" t="s">
        <v>2003</v>
      </c>
      <c r="C4295" t="s">
        <v>2004</v>
      </c>
      <c r="D4295" t="s">
        <v>2005</v>
      </c>
      <c r="E4295" s="9">
        <v>45383</v>
      </c>
      <c r="F4295" s="9">
        <v>45412</v>
      </c>
      <c r="G4295">
        <v>303375480.80800003</v>
      </c>
      <c r="H4295">
        <v>49331785.244000003</v>
      </c>
      <c r="I4295">
        <v>65441833.116000004</v>
      </c>
      <c r="J4295">
        <v>26180323.896000002</v>
      </c>
      <c r="K4295">
        <v>2275574.1839999999</v>
      </c>
      <c r="L4295">
        <v>0</v>
      </c>
      <c r="M4295">
        <v>65313916.223999999</v>
      </c>
      <c r="N4295">
        <v>881953.30800000008</v>
      </c>
      <c r="O4295">
        <v>0</v>
      </c>
      <c r="P4295">
        <v>0</v>
      </c>
      <c r="Q4295">
        <v>50690247.675999999</v>
      </c>
      <c r="R4295">
        <v>0</v>
      </c>
      <c r="S4295">
        <v>0</v>
      </c>
      <c r="T4295" s="9">
        <v>45108</v>
      </c>
      <c r="U4295" s="9">
        <v>45473</v>
      </c>
      <c r="V4295">
        <f>SUM(POTABLE_NONPOTABLE_API[[#This Row],[RESIDENTIAL_SINGLEFAMILY_GAL]:[OTHER_GAL]])</f>
        <v>446604997.24800009</v>
      </c>
      <c r="W4295">
        <f>SUM(POTABLE_NONPOTABLE_API[[#This Row],[NONPOTABLE_DEMAND_RESIDENTIAL_RECYCLED_WATER_GAL]:[NONPOTABLE_DEMAND_NONRESIDENTIAL_METERED_IRRIGATION_GAL]])</f>
        <v>51572200.983999997</v>
      </c>
      <c r="X4295" t="str">
        <f>IFERROR(INDEX(Crosswalk_API!$H$2:$H$527, MATCH(POTABLE_NONPOTABLE_API[[#This Row],[PWSID]], CW_PWSID_LIST, 0)), "")</f>
        <v>No</v>
      </c>
    </row>
    <row r="4296" spans="1:24" x14ac:dyDescent="0.25">
      <c r="A4296" t="s">
        <v>2002</v>
      </c>
      <c r="B4296" t="s">
        <v>2003</v>
      </c>
      <c r="C4296" t="s">
        <v>2004</v>
      </c>
      <c r="D4296" t="s">
        <v>2005</v>
      </c>
      <c r="E4296" s="9">
        <v>45413</v>
      </c>
      <c r="F4296" s="9">
        <v>45443</v>
      </c>
      <c r="G4296">
        <v>355644118.204</v>
      </c>
      <c r="H4296">
        <v>40483826.188000001</v>
      </c>
      <c r="I4296">
        <v>49640730.719999999</v>
      </c>
      <c r="J4296">
        <v>57997219.612000003</v>
      </c>
      <c r="K4296">
        <v>2488769.0040000002</v>
      </c>
      <c r="L4296">
        <v>0</v>
      </c>
      <c r="M4296">
        <v>309175127.96399999</v>
      </c>
      <c r="N4296">
        <v>2140924.824</v>
      </c>
      <c r="O4296">
        <v>0</v>
      </c>
      <c r="P4296">
        <v>0</v>
      </c>
      <c r="Q4296">
        <v>22615856.116</v>
      </c>
      <c r="R4296">
        <v>0</v>
      </c>
      <c r="S4296">
        <v>0</v>
      </c>
      <c r="T4296" s="9">
        <v>45108</v>
      </c>
      <c r="U4296" s="9">
        <v>45473</v>
      </c>
      <c r="V4296">
        <f>SUM(POTABLE_NONPOTABLE_API[[#This Row],[RESIDENTIAL_SINGLEFAMILY_GAL]:[OTHER_GAL]])</f>
        <v>506254663.72799999</v>
      </c>
      <c r="W4296">
        <f>SUM(POTABLE_NONPOTABLE_API[[#This Row],[NONPOTABLE_DEMAND_RESIDENTIAL_RECYCLED_WATER_GAL]:[NONPOTABLE_DEMAND_NONRESIDENTIAL_METERED_IRRIGATION_GAL]])</f>
        <v>24756780.940000001</v>
      </c>
      <c r="X4296" t="str">
        <f>IFERROR(INDEX(Crosswalk_API!$H$2:$H$527, MATCH(POTABLE_NONPOTABLE_API[[#This Row],[PWSID]], CW_PWSID_LIST, 0)), "")</f>
        <v>No</v>
      </c>
    </row>
    <row r="4297" spans="1:24" x14ac:dyDescent="0.25">
      <c r="A4297" t="s">
        <v>2002</v>
      </c>
      <c r="B4297" t="s">
        <v>2003</v>
      </c>
      <c r="C4297" t="s">
        <v>2004</v>
      </c>
      <c r="D4297" t="s">
        <v>2005</v>
      </c>
      <c r="E4297" s="9">
        <v>45444</v>
      </c>
      <c r="F4297" s="9">
        <v>45473</v>
      </c>
      <c r="G4297">
        <v>661084970.58399999</v>
      </c>
      <c r="H4297">
        <v>65565261.696000002</v>
      </c>
      <c r="I4297">
        <v>109505836.176</v>
      </c>
      <c r="J4297">
        <v>128504860.87200001</v>
      </c>
      <c r="K4297">
        <v>2896457.344</v>
      </c>
      <c r="L4297">
        <v>0</v>
      </c>
      <c r="M4297">
        <v>452414369.07999998</v>
      </c>
      <c r="N4297">
        <v>3368478.156</v>
      </c>
      <c r="O4297">
        <v>0</v>
      </c>
      <c r="P4297">
        <v>0</v>
      </c>
      <c r="Q4297">
        <v>155303075.72</v>
      </c>
      <c r="R4297">
        <v>0</v>
      </c>
      <c r="S4297">
        <v>0</v>
      </c>
      <c r="T4297" s="9">
        <v>45108</v>
      </c>
      <c r="U4297" s="9">
        <v>45473</v>
      </c>
      <c r="V4297">
        <f>SUM(POTABLE_NONPOTABLE_API[[#This Row],[RESIDENTIAL_SINGLEFAMILY_GAL]:[OTHER_GAL]])</f>
        <v>967557386.67199993</v>
      </c>
      <c r="W4297">
        <f>SUM(POTABLE_NONPOTABLE_API[[#This Row],[NONPOTABLE_DEMAND_RESIDENTIAL_RECYCLED_WATER_GAL]:[NONPOTABLE_DEMAND_NONRESIDENTIAL_METERED_IRRIGATION_GAL]])</f>
        <v>158671553.87599999</v>
      </c>
      <c r="X4297" t="str">
        <f>IFERROR(INDEX(Crosswalk_API!$H$2:$H$527, MATCH(POTABLE_NONPOTABLE_API[[#This Row],[PWSID]], CW_PWSID_LIST, 0)), "")</f>
        <v>No</v>
      </c>
    </row>
    <row r="4298" spans="1:24" x14ac:dyDescent="0.25">
      <c r="A4298" t="s">
        <v>2006</v>
      </c>
      <c r="B4298" t="s">
        <v>2007</v>
      </c>
      <c r="C4298" t="s">
        <v>2008</v>
      </c>
      <c r="D4298" t="s">
        <v>2009</v>
      </c>
      <c r="E4298" s="9">
        <v>45108</v>
      </c>
      <c r="F4298" s="9">
        <v>45138</v>
      </c>
      <c r="G4298">
        <v>72341937</v>
      </c>
      <c r="H4298">
        <v>20546116</v>
      </c>
      <c r="I4298">
        <v>22759636</v>
      </c>
      <c r="J4298">
        <v>13789717</v>
      </c>
      <c r="K4298">
        <v>0</v>
      </c>
      <c r="L4298">
        <v>25000</v>
      </c>
      <c r="M4298">
        <v>0</v>
      </c>
      <c r="N4298">
        <v>0</v>
      </c>
      <c r="O4298">
        <v>0</v>
      </c>
      <c r="P4298">
        <v>0</v>
      </c>
      <c r="Q4298">
        <v>0</v>
      </c>
      <c r="R4298">
        <v>0</v>
      </c>
      <c r="S4298">
        <v>1353800</v>
      </c>
      <c r="T4298" s="9">
        <v>45108</v>
      </c>
      <c r="U4298" s="9">
        <v>45473</v>
      </c>
      <c r="V4298">
        <f>SUM(POTABLE_NONPOTABLE_API[[#This Row],[RESIDENTIAL_SINGLEFAMILY_GAL]:[OTHER_GAL]])</f>
        <v>129462406</v>
      </c>
      <c r="W4298">
        <f>SUM(POTABLE_NONPOTABLE_API[[#This Row],[NONPOTABLE_DEMAND_RESIDENTIAL_RECYCLED_WATER_GAL]:[NONPOTABLE_DEMAND_NONRESIDENTIAL_METERED_IRRIGATION_GAL]])</f>
        <v>1353800</v>
      </c>
      <c r="X4298" t="str">
        <f>IFERROR(INDEX(Crosswalk_API!$H$2:$H$527, MATCH(POTABLE_NONPOTABLE_API[[#This Row],[PWSID]], CW_PWSID_LIST, 0)), "")</f>
        <v>No</v>
      </c>
    </row>
    <row r="4299" spans="1:24" x14ac:dyDescent="0.25">
      <c r="A4299" t="s">
        <v>2006</v>
      </c>
      <c r="B4299" t="s">
        <v>2007</v>
      </c>
      <c r="C4299" t="s">
        <v>2008</v>
      </c>
      <c r="D4299" t="s">
        <v>2009</v>
      </c>
      <c r="E4299" s="9">
        <v>45139</v>
      </c>
      <c r="F4299" s="9">
        <v>45169</v>
      </c>
      <c r="G4299">
        <v>71361519</v>
      </c>
      <c r="H4299">
        <v>23449830</v>
      </c>
      <c r="I4299">
        <v>26754068</v>
      </c>
      <c r="J4299">
        <v>16170631</v>
      </c>
      <c r="K4299">
        <v>0</v>
      </c>
      <c r="L4299">
        <v>108167</v>
      </c>
      <c r="M4299">
        <v>0</v>
      </c>
      <c r="N4299">
        <v>0</v>
      </c>
      <c r="O4299">
        <v>0</v>
      </c>
      <c r="P4299">
        <v>0</v>
      </c>
      <c r="Q4299">
        <v>0</v>
      </c>
      <c r="R4299">
        <v>1</v>
      </c>
      <c r="S4299">
        <v>1033300</v>
      </c>
      <c r="T4299" s="9">
        <v>45108</v>
      </c>
      <c r="U4299" s="9">
        <v>45473</v>
      </c>
      <c r="V4299">
        <f>SUM(POTABLE_NONPOTABLE_API[[#This Row],[RESIDENTIAL_SINGLEFAMILY_GAL]:[OTHER_GAL]])</f>
        <v>137844215</v>
      </c>
      <c r="W4299">
        <f>SUM(POTABLE_NONPOTABLE_API[[#This Row],[NONPOTABLE_DEMAND_RESIDENTIAL_RECYCLED_WATER_GAL]:[NONPOTABLE_DEMAND_NONRESIDENTIAL_METERED_IRRIGATION_GAL]])</f>
        <v>1033301</v>
      </c>
      <c r="X4299" t="str">
        <f>IFERROR(INDEX(Crosswalk_API!$H$2:$H$527, MATCH(POTABLE_NONPOTABLE_API[[#This Row],[PWSID]], CW_PWSID_LIST, 0)), "")</f>
        <v>No</v>
      </c>
    </row>
    <row r="4300" spans="1:24" x14ac:dyDescent="0.25">
      <c r="A4300" t="s">
        <v>2006</v>
      </c>
      <c r="B4300" t="s">
        <v>2007</v>
      </c>
      <c r="C4300" t="s">
        <v>2008</v>
      </c>
      <c r="D4300" t="s">
        <v>2009</v>
      </c>
      <c r="E4300" s="9">
        <v>45170</v>
      </c>
      <c r="F4300" s="9">
        <v>45199</v>
      </c>
      <c r="G4300">
        <v>65039198</v>
      </c>
      <c r="H4300">
        <v>17068231</v>
      </c>
      <c r="I4300">
        <v>20292245</v>
      </c>
      <c r="J4300">
        <v>10718473</v>
      </c>
      <c r="K4300">
        <v>0</v>
      </c>
      <c r="L4300">
        <v>220904</v>
      </c>
      <c r="M4300">
        <v>0</v>
      </c>
      <c r="N4300">
        <v>0</v>
      </c>
      <c r="O4300">
        <v>0</v>
      </c>
      <c r="P4300">
        <v>0</v>
      </c>
      <c r="Q4300">
        <v>0</v>
      </c>
      <c r="R4300">
        <v>0</v>
      </c>
      <c r="S4300">
        <v>1511700</v>
      </c>
      <c r="T4300" s="9">
        <v>45108</v>
      </c>
      <c r="U4300" s="9">
        <v>45473</v>
      </c>
      <c r="V4300">
        <f>SUM(POTABLE_NONPOTABLE_API[[#This Row],[RESIDENTIAL_SINGLEFAMILY_GAL]:[OTHER_GAL]])</f>
        <v>113339051</v>
      </c>
      <c r="W4300">
        <f>SUM(POTABLE_NONPOTABLE_API[[#This Row],[NONPOTABLE_DEMAND_RESIDENTIAL_RECYCLED_WATER_GAL]:[NONPOTABLE_DEMAND_NONRESIDENTIAL_METERED_IRRIGATION_GAL]])</f>
        <v>1511700</v>
      </c>
      <c r="X4300" t="str">
        <f>IFERROR(INDEX(Crosswalk_API!$H$2:$H$527, MATCH(POTABLE_NONPOTABLE_API[[#This Row],[PWSID]], CW_PWSID_LIST, 0)), "")</f>
        <v>No</v>
      </c>
    </row>
    <row r="4301" spans="1:24" x14ac:dyDescent="0.25">
      <c r="A4301" t="s">
        <v>2006</v>
      </c>
      <c r="B4301" t="s">
        <v>2007</v>
      </c>
      <c r="C4301" t="s">
        <v>2008</v>
      </c>
      <c r="D4301" t="s">
        <v>2009</v>
      </c>
      <c r="E4301" s="9">
        <v>45200</v>
      </c>
      <c r="F4301" s="9">
        <v>45230</v>
      </c>
      <c r="G4301">
        <v>44873029</v>
      </c>
      <c r="H4301">
        <v>16919154</v>
      </c>
      <c r="I4301">
        <v>19123360</v>
      </c>
      <c r="J4301">
        <v>7632323</v>
      </c>
      <c r="K4301">
        <v>0</v>
      </c>
      <c r="L4301">
        <v>114130</v>
      </c>
      <c r="M4301">
        <v>0</v>
      </c>
      <c r="N4301">
        <v>0</v>
      </c>
      <c r="O4301">
        <v>0</v>
      </c>
      <c r="P4301">
        <v>0</v>
      </c>
      <c r="Q4301">
        <v>0</v>
      </c>
      <c r="R4301">
        <v>1</v>
      </c>
      <c r="S4301">
        <v>1510900</v>
      </c>
      <c r="T4301" s="9">
        <v>45108</v>
      </c>
      <c r="U4301" s="9">
        <v>45473</v>
      </c>
      <c r="V4301">
        <f>SUM(POTABLE_NONPOTABLE_API[[#This Row],[RESIDENTIAL_SINGLEFAMILY_GAL]:[OTHER_GAL]])</f>
        <v>88661996</v>
      </c>
      <c r="W4301">
        <f>SUM(POTABLE_NONPOTABLE_API[[#This Row],[NONPOTABLE_DEMAND_RESIDENTIAL_RECYCLED_WATER_GAL]:[NONPOTABLE_DEMAND_NONRESIDENTIAL_METERED_IRRIGATION_GAL]])</f>
        <v>1510901</v>
      </c>
      <c r="X4301" t="str">
        <f>IFERROR(INDEX(Crosswalk_API!$H$2:$H$527, MATCH(POTABLE_NONPOTABLE_API[[#This Row],[PWSID]], CW_PWSID_LIST, 0)), "")</f>
        <v>No</v>
      </c>
    </row>
    <row r="4302" spans="1:24" x14ac:dyDescent="0.25">
      <c r="A4302" t="s">
        <v>2006</v>
      </c>
      <c r="B4302" t="s">
        <v>2007</v>
      </c>
      <c r="C4302" t="s">
        <v>2008</v>
      </c>
      <c r="D4302" t="s">
        <v>2009</v>
      </c>
      <c r="E4302" s="9">
        <v>45231</v>
      </c>
      <c r="F4302" s="9">
        <v>45260</v>
      </c>
      <c r="G4302">
        <v>31185317</v>
      </c>
      <c r="H4302">
        <v>11919821</v>
      </c>
      <c r="I4302">
        <v>150282.48000000001</v>
      </c>
      <c r="J4302">
        <v>4921892</v>
      </c>
      <c r="K4302">
        <v>0</v>
      </c>
      <c r="L4302">
        <v>368149</v>
      </c>
      <c r="M4302">
        <v>0</v>
      </c>
      <c r="N4302">
        <v>0</v>
      </c>
      <c r="O4302">
        <v>0</v>
      </c>
      <c r="P4302">
        <v>0</v>
      </c>
      <c r="Q4302">
        <v>0</v>
      </c>
      <c r="R4302">
        <v>1</v>
      </c>
      <c r="S4302">
        <v>1</v>
      </c>
      <c r="T4302" s="9">
        <v>45108</v>
      </c>
      <c r="U4302" s="9">
        <v>45473</v>
      </c>
      <c r="V4302">
        <f>SUM(POTABLE_NONPOTABLE_API[[#This Row],[RESIDENTIAL_SINGLEFAMILY_GAL]:[OTHER_GAL]])</f>
        <v>48545461.479999997</v>
      </c>
      <c r="W4302">
        <f>SUM(POTABLE_NONPOTABLE_API[[#This Row],[NONPOTABLE_DEMAND_RESIDENTIAL_RECYCLED_WATER_GAL]:[NONPOTABLE_DEMAND_NONRESIDENTIAL_METERED_IRRIGATION_GAL]])</f>
        <v>2</v>
      </c>
      <c r="X4302" t="str">
        <f>IFERROR(INDEX(Crosswalk_API!$H$2:$H$527, MATCH(POTABLE_NONPOTABLE_API[[#This Row],[PWSID]], CW_PWSID_LIST, 0)), "")</f>
        <v>No</v>
      </c>
    </row>
    <row r="4303" spans="1:24" x14ac:dyDescent="0.25">
      <c r="A4303" t="s">
        <v>2006</v>
      </c>
      <c r="B4303" t="s">
        <v>2007</v>
      </c>
      <c r="C4303" t="s">
        <v>2008</v>
      </c>
      <c r="D4303" t="s">
        <v>2009</v>
      </c>
      <c r="E4303" s="9">
        <v>45261</v>
      </c>
      <c r="F4303" s="9">
        <v>45291</v>
      </c>
      <c r="G4303">
        <v>25117384</v>
      </c>
      <c r="H4303">
        <v>13343370</v>
      </c>
      <c r="I4303">
        <v>13371974</v>
      </c>
      <c r="J4303">
        <v>2176590</v>
      </c>
      <c r="K4303">
        <v>0</v>
      </c>
      <c r="L4303">
        <v>453495</v>
      </c>
      <c r="M4303">
        <v>0</v>
      </c>
      <c r="N4303">
        <v>0</v>
      </c>
      <c r="O4303">
        <v>0</v>
      </c>
      <c r="P4303">
        <v>0</v>
      </c>
      <c r="Q4303">
        <v>0</v>
      </c>
      <c r="R4303">
        <v>1</v>
      </c>
      <c r="S4303">
        <v>0</v>
      </c>
      <c r="T4303" s="9">
        <v>45108</v>
      </c>
      <c r="U4303" s="9">
        <v>45473</v>
      </c>
      <c r="V4303">
        <f>SUM(POTABLE_NONPOTABLE_API[[#This Row],[RESIDENTIAL_SINGLEFAMILY_GAL]:[OTHER_GAL]])</f>
        <v>54462813</v>
      </c>
      <c r="W4303">
        <f>SUM(POTABLE_NONPOTABLE_API[[#This Row],[NONPOTABLE_DEMAND_RESIDENTIAL_RECYCLED_WATER_GAL]:[NONPOTABLE_DEMAND_NONRESIDENTIAL_METERED_IRRIGATION_GAL]])</f>
        <v>1</v>
      </c>
      <c r="X4303" t="str">
        <f>IFERROR(INDEX(Crosswalk_API!$H$2:$H$527, MATCH(POTABLE_NONPOTABLE_API[[#This Row],[PWSID]], CW_PWSID_LIST, 0)), "")</f>
        <v>No</v>
      </c>
    </row>
    <row r="4304" spans="1:24" x14ac:dyDescent="0.25">
      <c r="A4304" t="s">
        <v>2006</v>
      </c>
      <c r="B4304" t="s">
        <v>2007</v>
      </c>
      <c r="C4304" t="s">
        <v>2008</v>
      </c>
      <c r="D4304" t="s">
        <v>2009</v>
      </c>
      <c r="E4304" s="9">
        <v>45292</v>
      </c>
      <c r="F4304" s="9">
        <v>45322</v>
      </c>
      <c r="G4304">
        <v>21504806</v>
      </c>
      <c r="H4304">
        <v>12435792</v>
      </c>
      <c r="I4304">
        <v>12351260</v>
      </c>
      <c r="J4304">
        <v>1443595</v>
      </c>
      <c r="K4304">
        <v>0</v>
      </c>
      <c r="L4304">
        <v>888608</v>
      </c>
      <c r="M4304">
        <v>0</v>
      </c>
      <c r="N4304">
        <v>0</v>
      </c>
      <c r="O4304">
        <v>0</v>
      </c>
      <c r="P4304">
        <v>0</v>
      </c>
      <c r="Q4304">
        <v>0</v>
      </c>
      <c r="R4304">
        <v>1</v>
      </c>
      <c r="S4304">
        <v>0</v>
      </c>
      <c r="T4304" s="9">
        <v>45108</v>
      </c>
      <c r="U4304" s="9">
        <v>45473</v>
      </c>
      <c r="V4304">
        <f>SUM(POTABLE_NONPOTABLE_API[[#This Row],[RESIDENTIAL_SINGLEFAMILY_GAL]:[OTHER_GAL]])</f>
        <v>48624061</v>
      </c>
      <c r="W4304">
        <f>SUM(POTABLE_NONPOTABLE_API[[#This Row],[NONPOTABLE_DEMAND_RESIDENTIAL_RECYCLED_WATER_GAL]:[NONPOTABLE_DEMAND_NONRESIDENTIAL_METERED_IRRIGATION_GAL]])</f>
        <v>1</v>
      </c>
      <c r="X4304" t="str">
        <f>IFERROR(INDEX(Crosswalk_API!$H$2:$H$527, MATCH(POTABLE_NONPOTABLE_API[[#This Row],[PWSID]], CW_PWSID_LIST, 0)), "")</f>
        <v>No</v>
      </c>
    </row>
    <row r="4305" spans="1:24" x14ac:dyDescent="0.25">
      <c r="A4305" t="s">
        <v>2006</v>
      </c>
      <c r="B4305" t="s">
        <v>2007</v>
      </c>
      <c r="C4305" t="s">
        <v>2008</v>
      </c>
      <c r="D4305" t="s">
        <v>2009</v>
      </c>
      <c r="E4305" s="9">
        <v>45323</v>
      </c>
      <c r="F4305" s="9">
        <v>45351</v>
      </c>
      <c r="G4305">
        <v>19729487</v>
      </c>
      <c r="H4305">
        <v>10516873</v>
      </c>
      <c r="I4305">
        <v>11199998</v>
      </c>
      <c r="J4305">
        <v>984570</v>
      </c>
      <c r="K4305">
        <v>0</v>
      </c>
      <c r="L4305">
        <v>95628</v>
      </c>
      <c r="M4305">
        <v>0</v>
      </c>
      <c r="N4305">
        <v>0</v>
      </c>
      <c r="O4305">
        <v>0</v>
      </c>
      <c r="P4305">
        <v>0</v>
      </c>
      <c r="Q4305">
        <v>0</v>
      </c>
      <c r="R4305">
        <v>1</v>
      </c>
      <c r="S4305">
        <v>0</v>
      </c>
      <c r="T4305" s="9">
        <v>45108</v>
      </c>
      <c r="U4305" s="9">
        <v>45473</v>
      </c>
      <c r="V4305">
        <f>SUM(POTABLE_NONPOTABLE_API[[#This Row],[RESIDENTIAL_SINGLEFAMILY_GAL]:[OTHER_GAL]])</f>
        <v>42526556</v>
      </c>
      <c r="W4305">
        <f>SUM(POTABLE_NONPOTABLE_API[[#This Row],[NONPOTABLE_DEMAND_RESIDENTIAL_RECYCLED_WATER_GAL]:[NONPOTABLE_DEMAND_NONRESIDENTIAL_METERED_IRRIGATION_GAL]])</f>
        <v>1</v>
      </c>
      <c r="X4305" t="str">
        <f>IFERROR(INDEX(Crosswalk_API!$H$2:$H$527, MATCH(POTABLE_NONPOTABLE_API[[#This Row],[PWSID]], CW_PWSID_LIST, 0)), "")</f>
        <v>No</v>
      </c>
    </row>
    <row r="4306" spans="1:24" x14ac:dyDescent="0.25">
      <c r="A4306" t="s">
        <v>2006</v>
      </c>
      <c r="B4306" t="s">
        <v>2007</v>
      </c>
      <c r="C4306" t="s">
        <v>2008</v>
      </c>
      <c r="D4306" t="s">
        <v>2009</v>
      </c>
      <c r="E4306" s="9">
        <v>45352</v>
      </c>
      <c r="F4306" s="9">
        <v>45382</v>
      </c>
      <c r="G4306">
        <v>23786168</v>
      </c>
      <c r="H4306">
        <v>11848462</v>
      </c>
      <c r="I4306">
        <v>13421618</v>
      </c>
      <c r="J4306">
        <v>1155884</v>
      </c>
      <c r="K4306">
        <v>0</v>
      </c>
      <c r="L4306">
        <v>67500</v>
      </c>
      <c r="M4306">
        <v>0</v>
      </c>
      <c r="N4306">
        <v>0</v>
      </c>
      <c r="O4306">
        <v>0</v>
      </c>
      <c r="P4306">
        <v>0</v>
      </c>
      <c r="Q4306">
        <v>0</v>
      </c>
      <c r="R4306">
        <v>1</v>
      </c>
      <c r="S4306">
        <v>0</v>
      </c>
      <c r="T4306" s="9">
        <v>45108</v>
      </c>
      <c r="U4306" s="9">
        <v>45473</v>
      </c>
      <c r="V4306">
        <f>SUM(POTABLE_NONPOTABLE_API[[#This Row],[RESIDENTIAL_SINGLEFAMILY_GAL]:[OTHER_GAL]])</f>
        <v>50279632</v>
      </c>
      <c r="W4306">
        <f>SUM(POTABLE_NONPOTABLE_API[[#This Row],[NONPOTABLE_DEMAND_RESIDENTIAL_RECYCLED_WATER_GAL]:[NONPOTABLE_DEMAND_NONRESIDENTIAL_METERED_IRRIGATION_GAL]])</f>
        <v>1</v>
      </c>
      <c r="X4306" t="str">
        <f>IFERROR(INDEX(Crosswalk_API!$H$2:$H$527, MATCH(POTABLE_NONPOTABLE_API[[#This Row],[PWSID]], CW_PWSID_LIST, 0)), "")</f>
        <v>No</v>
      </c>
    </row>
    <row r="4307" spans="1:24" x14ac:dyDescent="0.25">
      <c r="A4307" t="s">
        <v>2006</v>
      </c>
      <c r="B4307" t="s">
        <v>2007</v>
      </c>
      <c r="C4307" t="s">
        <v>2008</v>
      </c>
      <c r="D4307" t="s">
        <v>2009</v>
      </c>
      <c r="E4307" s="9">
        <v>45383</v>
      </c>
      <c r="F4307" s="9">
        <v>45412</v>
      </c>
      <c r="G4307">
        <v>29430030</v>
      </c>
      <c r="H4307">
        <v>12134856</v>
      </c>
      <c r="I4307">
        <v>14598656</v>
      </c>
      <c r="J4307">
        <v>2155803</v>
      </c>
      <c r="K4307">
        <v>0</v>
      </c>
      <c r="L4307">
        <v>342444</v>
      </c>
      <c r="M4307">
        <v>0</v>
      </c>
      <c r="N4307">
        <v>0</v>
      </c>
      <c r="O4307">
        <v>0</v>
      </c>
      <c r="P4307">
        <v>0</v>
      </c>
      <c r="Q4307">
        <v>0</v>
      </c>
      <c r="R4307">
        <v>1</v>
      </c>
      <c r="S4307">
        <v>0</v>
      </c>
      <c r="T4307" s="9">
        <v>45108</v>
      </c>
      <c r="U4307" s="9">
        <v>45473</v>
      </c>
      <c r="V4307">
        <f>SUM(POTABLE_NONPOTABLE_API[[#This Row],[RESIDENTIAL_SINGLEFAMILY_GAL]:[OTHER_GAL]])</f>
        <v>58661789</v>
      </c>
      <c r="W4307">
        <f>SUM(POTABLE_NONPOTABLE_API[[#This Row],[NONPOTABLE_DEMAND_RESIDENTIAL_RECYCLED_WATER_GAL]:[NONPOTABLE_DEMAND_NONRESIDENTIAL_METERED_IRRIGATION_GAL]])</f>
        <v>1</v>
      </c>
      <c r="X4307" t="str">
        <f>IFERROR(INDEX(Crosswalk_API!$H$2:$H$527, MATCH(POTABLE_NONPOTABLE_API[[#This Row],[PWSID]], CW_PWSID_LIST, 0)), "")</f>
        <v>No</v>
      </c>
    </row>
    <row r="4308" spans="1:24" x14ac:dyDescent="0.25">
      <c r="A4308" t="s">
        <v>2006</v>
      </c>
      <c r="B4308" t="s">
        <v>2007</v>
      </c>
      <c r="C4308" t="s">
        <v>2008</v>
      </c>
      <c r="D4308" t="s">
        <v>2009</v>
      </c>
      <c r="E4308" s="9">
        <v>45413</v>
      </c>
      <c r="F4308" s="9">
        <v>45443</v>
      </c>
      <c r="G4308">
        <v>59830067</v>
      </c>
      <c r="H4308">
        <v>18307450</v>
      </c>
      <c r="I4308">
        <v>21944248</v>
      </c>
      <c r="J4308">
        <v>10522183</v>
      </c>
      <c r="K4308">
        <v>0</v>
      </c>
      <c r="L4308">
        <v>2955052</v>
      </c>
      <c r="M4308">
        <v>0</v>
      </c>
      <c r="N4308">
        <v>0</v>
      </c>
      <c r="O4308">
        <v>0</v>
      </c>
      <c r="P4308">
        <v>0</v>
      </c>
      <c r="Q4308">
        <v>0</v>
      </c>
      <c r="R4308">
        <v>1</v>
      </c>
      <c r="S4308">
        <v>0</v>
      </c>
      <c r="T4308" s="9">
        <v>45108</v>
      </c>
      <c r="U4308" s="9">
        <v>45473</v>
      </c>
      <c r="V4308">
        <f>SUM(POTABLE_NONPOTABLE_API[[#This Row],[RESIDENTIAL_SINGLEFAMILY_GAL]:[OTHER_GAL]])</f>
        <v>113559000</v>
      </c>
      <c r="W4308">
        <f>SUM(POTABLE_NONPOTABLE_API[[#This Row],[NONPOTABLE_DEMAND_RESIDENTIAL_RECYCLED_WATER_GAL]:[NONPOTABLE_DEMAND_NONRESIDENTIAL_METERED_IRRIGATION_GAL]])</f>
        <v>1</v>
      </c>
      <c r="X4308" t="str">
        <f>IFERROR(INDEX(Crosswalk_API!$H$2:$H$527, MATCH(POTABLE_NONPOTABLE_API[[#This Row],[PWSID]], CW_PWSID_LIST, 0)), "")</f>
        <v>No</v>
      </c>
    </row>
    <row r="4309" spans="1:24" x14ac:dyDescent="0.25">
      <c r="A4309" t="s">
        <v>2006</v>
      </c>
      <c r="B4309" t="s">
        <v>2007</v>
      </c>
      <c r="C4309" t="s">
        <v>2008</v>
      </c>
      <c r="D4309" t="s">
        <v>2009</v>
      </c>
      <c r="E4309" s="9">
        <v>45444</v>
      </c>
      <c r="F4309" s="9">
        <v>45473</v>
      </c>
      <c r="G4309">
        <v>71121471</v>
      </c>
      <c r="H4309">
        <v>19207735</v>
      </c>
      <c r="I4309">
        <v>21681019</v>
      </c>
      <c r="J4309">
        <v>12784233</v>
      </c>
      <c r="K4309">
        <v>0</v>
      </c>
      <c r="L4309">
        <v>1554809</v>
      </c>
      <c r="M4309">
        <v>0</v>
      </c>
      <c r="N4309">
        <v>0</v>
      </c>
      <c r="O4309">
        <v>0</v>
      </c>
      <c r="P4309">
        <v>0</v>
      </c>
      <c r="Q4309">
        <v>0</v>
      </c>
      <c r="R4309">
        <v>1</v>
      </c>
      <c r="S4309">
        <v>0</v>
      </c>
      <c r="T4309" s="9">
        <v>45108</v>
      </c>
      <c r="U4309" s="9">
        <v>45473</v>
      </c>
      <c r="V4309">
        <f>SUM(POTABLE_NONPOTABLE_API[[#This Row],[RESIDENTIAL_SINGLEFAMILY_GAL]:[OTHER_GAL]])</f>
        <v>126349267</v>
      </c>
      <c r="W4309">
        <f>SUM(POTABLE_NONPOTABLE_API[[#This Row],[NONPOTABLE_DEMAND_RESIDENTIAL_RECYCLED_WATER_GAL]:[NONPOTABLE_DEMAND_NONRESIDENTIAL_METERED_IRRIGATION_GAL]])</f>
        <v>1</v>
      </c>
      <c r="X4309" t="str">
        <f>IFERROR(INDEX(Crosswalk_API!$H$2:$H$527, MATCH(POTABLE_NONPOTABLE_API[[#This Row],[PWSID]], CW_PWSID_LIST, 0)), "")</f>
        <v>No</v>
      </c>
    </row>
    <row r="4310" spans="1:24" x14ac:dyDescent="0.25">
      <c r="A4310" t="s">
        <v>2011</v>
      </c>
      <c r="B4310" t="s">
        <v>2012</v>
      </c>
      <c r="C4310" t="s">
        <v>2013</v>
      </c>
      <c r="D4310" t="s">
        <v>2014</v>
      </c>
      <c r="E4310" s="9">
        <v>45108</v>
      </c>
      <c r="F4310" s="9">
        <v>45138</v>
      </c>
      <c r="G4310">
        <v>700621516.08284009</v>
      </c>
      <c r="H4310">
        <v>88569663.501320004</v>
      </c>
      <c r="I4310">
        <v>173286447.77403998</v>
      </c>
      <c r="J4310">
        <v>92307716.747920007</v>
      </c>
      <c r="K4310">
        <v>56920032.212519996</v>
      </c>
      <c r="L4310">
        <v>5621610.7800000003</v>
      </c>
      <c r="M4310">
        <v>0</v>
      </c>
      <c r="N4310">
        <v>0</v>
      </c>
      <c r="O4310">
        <v>0</v>
      </c>
      <c r="P4310">
        <v>0</v>
      </c>
      <c r="Q4310">
        <v>3724000</v>
      </c>
      <c r="R4310">
        <v>0</v>
      </c>
      <c r="S4310">
        <v>5813189</v>
      </c>
      <c r="T4310" s="9">
        <v>45108</v>
      </c>
      <c r="U4310" s="9">
        <v>45473</v>
      </c>
      <c r="V4310">
        <f>SUM(POTABLE_NONPOTABLE_API[[#This Row],[RESIDENTIAL_SINGLEFAMILY_GAL]:[OTHER_GAL]])</f>
        <v>1117326987.09864</v>
      </c>
      <c r="W4310">
        <f>SUM(POTABLE_NONPOTABLE_API[[#This Row],[NONPOTABLE_DEMAND_RESIDENTIAL_RECYCLED_WATER_GAL]:[NONPOTABLE_DEMAND_NONRESIDENTIAL_METERED_IRRIGATION_GAL]])</f>
        <v>9537189</v>
      </c>
      <c r="X4310" t="str">
        <f>IFERROR(INDEX(Crosswalk_API!$H$2:$H$527, MATCH(POTABLE_NONPOTABLE_API[[#This Row],[PWSID]], CW_PWSID_LIST, 0)), "")</f>
        <v>No</v>
      </c>
    </row>
    <row r="4311" spans="1:24" x14ac:dyDescent="0.25">
      <c r="A4311" t="s">
        <v>2011</v>
      </c>
      <c r="B4311" t="s">
        <v>2012</v>
      </c>
      <c r="C4311" t="s">
        <v>2013</v>
      </c>
      <c r="D4311" t="s">
        <v>2014</v>
      </c>
      <c r="E4311" s="9">
        <v>45139</v>
      </c>
      <c r="F4311" s="9">
        <v>45169</v>
      </c>
      <c r="G4311">
        <v>581199584.88056004</v>
      </c>
      <c r="H4311">
        <v>83159714.034720004</v>
      </c>
      <c r="I4311">
        <v>156425984.05772001</v>
      </c>
      <c r="J4311">
        <v>91356957.616960004</v>
      </c>
      <c r="K4311">
        <v>45163085.941520005</v>
      </c>
      <c r="L4311">
        <v>6053236.784</v>
      </c>
      <c r="M4311">
        <v>0</v>
      </c>
      <c r="N4311">
        <v>0</v>
      </c>
      <c r="O4311">
        <v>0</v>
      </c>
      <c r="P4311">
        <v>0</v>
      </c>
      <c r="Q4311">
        <v>2891220.98</v>
      </c>
      <c r="R4311">
        <v>0</v>
      </c>
      <c r="S4311">
        <v>5832561.4440000001</v>
      </c>
      <c r="T4311" s="9">
        <v>45108</v>
      </c>
      <c r="U4311" s="9">
        <v>45473</v>
      </c>
      <c r="V4311">
        <f>SUM(POTABLE_NONPOTABLE_API[[#This Row],[RESIDENTIAL_SINGLEFAMILY_GAL]:[OTHER_GAL]])</f>
        <v>963358563.31548011</v>
      </c>
      <c r="W4311">
        <f>SUM(POTABLE_NONPOTABLE_API[[#This Row],[NONPOTABLE_DEMAND_RESIDENTIAL_RECYCLED_WATER_GAL]:[NONPOTABLE_DEMAND_NONRESIDENTIAL_METERED_IRRIGATION_GAL]])</f>
        <v>8723782.4240000006</v>
      </c>
      <c r="X4311" t="str">
        <f>IFERROR(INDEX(Crosswalk_API!$H$2:$H$527, MATCH(POTABLE_NONPOTABLE_API[[#This Row],[PWSID]], CW_PWSID_LIST, 0)), "")</f>
        <v>No</v>
      </c>
    </row>
    <row r="4312" spans="1:24" x14ac:dyDescent="0.25">
      <c r="A4312" t="s">
        <v>2011</v>
      </c>
      <c r="B4312" t="s">
        <v>2012</v>
      </c>
      <c r="C4312" t="s">
        <v>2013</v>
      </c>
      <c r="D4312" t="s">
        <v>2014</v>
      </c>
      <c r="E4312" s="9">
        <v>45170</v>
      </c>
      <c r="F4312" s="9">
        <v>45199</v>
      </c>
      <c r="G4312">
        <v>489961717.14200002</v>
      </c>
      <c r="H4312">
        <v>80908496.423840001</v>
      </c>
      <c r="I4312">
        <v>150079480.96764001</v>
      </c>
      <c r="J4312">
        <v>73811038.892000005</v>
      </c>
      <c r="K4312">
        <v>37302428.356679998</v>
      </c>
      <c r="L4312">
        <v>6563857.0792000005</v>
      </c>
      <c r="M4312">
        <v>0</v>
      </c>
      <c r="N4312">
        <v>0</v>
      </c>
      <c r="O4312">
        <v>0</v>
      </c>
      <c r="P4312">
        <v>0</v>
      </c>
      <c r="Q4312">
        <v>1207000</v>
      </c>
      <c r="R4312">
        <v>0</v>
      </c>
      <c r="S4312">
        <v>4776982</v>
      </c>
      <c r="T4312" s="9">
        <v>45108</v>
      </c>
      <c r="U4312" s="9">
        <v>45473</v>
      </c>
      <c r="V4312">
        <f>SUM(POTABLE_NONPOTABLE_API[[#This Row],[RESIDENTIAL_SINGLEFAMILY_GAL]:[OTHER_GAL]])</f>
        <v>838627018.86136007</v>
      </c>
      <c r="W4312">
        <f>SUM(POTABLE_NONPOTABLE_API[[#This Row],[NONPOTABLE_DEMAND_RESIDENTIAL_RECYCLED_WATER_GAL]:[NONPOTABLE_DEMAND_NONRESIDENTIAL_METERED_IRRIGATION_GAL]])</f>
        <v>5983982</v>
      </c>
      <c r="X4312" t="str">
        <f>IFERROR(INDEX(Crosswalk_API!$H$2:$H$527, MATCH(POTABLE_NONPOTABLE_API[[#This Row],[PWSID]], CW_PWSID_LIST, 0)), "")</f>
        <v>No</v>
      </c>
    </row>
    <row r="4313" spans="1:24" x14ac:dyDescent="0.25">
      <c r="A4313" t="s">
        <v>2011</v>
      </c>
      <c r="B4313" t="s">
        <v>2012</v>
      </c>
      <c r="C4313" t="s">
        <v>2013</v>
      </c>
      <c r="D4313" t="s">
        <v>2014</v>
      </c>
      <c r="E4313" s="9">
        <v>45200</v>
      </c>
      <c r="F4313" s="9">
        <v>45230</v>
      </c>
      <c r="G4313">
        <v>378442012.77420002</v>
      </c>
      <c r="H4313">
        <v>67177433.444320008</v>
      </c>
      <c r="I4313">
        <v>126145459.98088001</v>
      </c>
      <c r="J4313">
        <v>54170043.450120002</v>
      </c>
      <c r="K4313">
        <v>26026412.197000001</v>
      </c>
      <c r="L4313">
        <v>6068197.824</v>
      </c>
      <c r="M4313">
        <v>0</v>
      </c>
      <c r="N4313">
        <v>0</v>
      </c>
      <c r="O4313">
        <v>0</v>
      </c>
      <c r="P4313">
        <v>0</v>
      </c>
      <c r="Q4313">
        <v>1628000</v>
      </c>
      <c r="R4313">
        <v>0</v>
      </c>
      <c r="S4313">
        <v>5451494</v>
      </c>
      <c r="T4313" s="9">
        <v>45108</v>
      </c>
      <c r="U4313" s="9">
        <v>45473</v>
      </c>
      <c r="V4313">
        <f>SUM(POTABLE_NONPOTABLE_API[[#This Row],[RESIDENTIAL_SINGLEFAMILY_GAL]:[OTHER_GAL]])</f>
        <v>658029559.67052007</v>
      </c>
      <c r="W4313">
        <f>SUM(POTABLE_NONPOTABLE_API[[#This Row],[NONPOTABLE_DEMAND_RESIDENTIAL_RECYCLED_WATER_GAL]:[NONPOTABLE_DEMAND_NONRESIDENTIAL_METERED_IRRIGATION_GAL]])</f>
        <v>7079494</v>
      </c>
      <c r="X4313" t="str">
        <f>IFERROR(INDEX(Crosswalk_API!$H$2:$H$527, MATCH(POTABLE_NONPOTABLE_API[[#This Row],[PWSID]], CW_PWSID_LIST, 0)), "")</f>
        <v>No</v>
      </c>
    </row>
    <row r="4314" spans="1:24" x14ac:dyDescent="0.25">
      <c r="A4314" t="s">
        <v>2011</v>
      </c>
      <c r="B4314" t="s">
        <v>2012</v>
      </c>
      <c r="C4314" t="s">
        <v>2013</v>
      </c>
      <c r="D4314" t="s">
        <v>2014</v>
      </c>
      <c r="E4314" s="9">
        <v>45231</v>
      </c>
      <c r="F4314" s="9">
        <v>45260</v>
      </c>
      <c r="G4314">
        <v>277606256.36912</v>
      </c>
      <c r="H4314">
        <v>5973015.6875200002</v>
      </c>
      <c r="I4314">
        <v>97574713.477320001</v>
      </c>
      <c r="J4314">
        <v>34263781.288520001</v>
      </c>
      <c r="K4314">
        <v>21106234.816360001</v>
      </c>
      <c r="L4314">
        <v>1733962.0944399999</v>
      </c>
      <c r="M4314">
        <v>0</v>
      </c>
      <c r="N4314">
        <v>0</v>
      </c>
      <c r="O4314">
        <v>0</v>
      </c>
      <c r="P4314">
        <v>0</v>
      </c>
      <c r="Q4314">
        <v>0</v>
      </c>
      <c r="R4314">
        <v>0</v>
      </c>
      <c r="S4314">
        <v>2391749</v>
      </c>
      <c r="T4314" s="9">
        <v>45108</v>
      </c>
      <c r="U4314" s="9">
        <v>45473</v>
      </c>
      <c r="V4314">
        <f>SUM(POTABLE_NONPOTABLE_API[[#This Row],[RESIDENTIAL_SINGLEFAMILY_GAL]:[OTHER_GAL]])</f>
        <v>438257963.73328</v>
      </c>
      <c r="W4314">
        <f>SUM(POTABLE_NONPOTABLE_API[[#This Row],[NONPOTABLE_DEMAND_RESIDENTIAL_RECYCLED_WATER_GAL]:[NONPOTABLE_DEMAND_NONRESIDENTIAL_METERED_IRRIGATION_GAL]])</f>
        <v>2391749</v>
      </c>
      <c r="X4314" t="str">
        <f>IFERROR(INDEX(Crosswalk_API!$H$2:$H$527, MATCH(POTABLE_NONPOTABLE_API[[#This Row],[PWSID]], CW_PWSID_LIST, 0)), "")</f>
        <v>No</v>
      </c>
    </row>
    <row r="4315" spans="1:24" x14ac:dyDescent="0.25">
      <c r="A4315" t="s">
        <v>2011</v>
      </c>
      <c r="B4315" t="s">
        <v>2012</v>
      </c>
      <c r="C4315" t="s">
        <v>2013</v>
      </c>
      <c r="D4315" t="s">
        <v>2014</v>
      </c>
      <c r="E4315" s="9">
        <v>45261</v>
      </c>
      <c r="F4315" s="9">
        <v>45291</v>
      </c>
      <c r="G4315">
        <v>190184156.99944001</v>
      </c>
      <c r="H4315">
        <v>48922481.111680001</v>
      </c>
      <c r="I4315">
        <v>82322763.535040006</v>
      </c>
      <c r="J4315">
        <v>12082333.929959999</v>
      </c>
      <c r="K4315">
        <v>25406239.6864</v>
      </c>
      <c r="L4315">
        <v>294732.48800000001</v>
      </c>
      <c r="M4315">
        <v>0</v>
      </c>
      <c r="N4315">
        <v>0</v>
      </c>
      <c r="O4315">
        <v>0</v>
      </c>
      <c r="P4315">
        <v>0</v>
      </c>
      <c r="Q4315">
        <v>0</v>
      </c>
      <c r="R4315">
        <v>0</v>
      </c>
      <c r="S4315">
        <v>45619.140000000007</v>
      </c>
      <c r="T4315" s="9">
        <v>45108</v>
      </c>
      <c r="U4315" s="9">
        <v>45473</v>
      </c>
      <c r="V4315">
        <f>SUM(POTABLE_NONPOTABLE_API[[#This Row],[RESIDENTIAL_SINGLEFAMILY_GAL]:[OTHER_GAL]])</f>
        <v>359212707.75051999</v>
      </c>
      <c r="W4315">
        <f>SUM(POTABLE_NONPOTABLE_API[[#This Row],[NONPOTABLE_DEMAND_RESIDENTIAL_RECYCLED_WATER_GAL]:[NONPOTABLE_DEMAND_NONRESIDENTIAL_METERED_IRRIGATION_GAL]])</f>
        <v>45619.140000000007</v>
      </c>
      <c r="X4315" t="str">
        <f>IFERROR(INDEX(Crosswalk_API!$H$2:$H$527, MATCH(POTABLE_NONPOTABLE_API[[#This Row],[PWSID]], CW_PWSID_LIST, 0)), "")</f>
        <v>No</v>
      </c>
    </row>
    <row r="4316" spans="1:24" x14ac:dyDescent="0.25">
      <c r="A4316" t="s">
        <v>2011</v>
      </c>
      <c r="B4316" t="s">
        <v>2012</v>
      </c>
      <c r="C4316" t="s">
        <v>2013</v>
      </c>
      <c r="D4316" t="s">
        <v>2014</v>
      </c>
      <c r="E4316" s="9">
        <v>45292</v>
      </c>
      <c r="F4316" s="9">
        <v>45322</v>
      </c>
      <c r="G4316">
        <v>161988304.2362</v>
      </c>
      <c r="H4316">
        <v>46373688.415200002</v>
      </c>
      <c r="I4316">
        <v>80381568.595040008</v>
      </c>
      <c r="J4316">
        <v>6466168.9685200006</v>
      </c>
      <c r="K4316">
        <v>24037147.435480002</v>
      </c>
      <c r="L4316">
        <v>599189.652</v>
      </c>
      <c r="M4316">
        <v>0</v>
      </c>
      <c r="N4316">
        <v>0</v>
      </c>
      <c r="O4316">
        <v>0</v>
      </c>
      <c r="P4316">
        <v>0</v>
      </c>
      <c r="Q4316">
        <v>0</v>
      </c>
      <c r="R4316">
        <v>0</v>
      </c>
      <c r="S4316">
        <v>0</v>
      </c>
      <c r="T4316" s="9">
        <v>45108</v>
      </c>
      <c r="U4316" s="9">
        <v>45473</v>
      </c>
      <c r="V4316">
        <f>SUM(POTABLE_NONPOTABLE_API[[#This Row],[RESIDENTIAL_SINGLEFAMILY_GAL]:[OTHER_GAL]])</f>
        <v>319846067.30243999</v>
      </c>
      <c r="W4316">
        <f>SUM(POTABLE_NONPOTABLE_API[[#This Row],[NONPOTABLE_DEMAND_RESIDENTIAL_RECYCLED_WATER_GAL]:[NONPOTABLE_DEMAND_NONRESIDENTIAL_METERED_IRRIGATION_GAL]])</f>
        <v>0</v>
      </c>
      <c r="X4316" t="str">
        <f>IFERROR(INDEX(Crosswalk_API!$H$2:$H$527, MATCH(POTABLE_NONPOTABLE_API[[#This Row],[PWSID]], CW_PWSID_LIST, 0)), "")</f>
        <v>No</v>
      </c>
    </row>
    <row r="4317" spans="1:24" x14ac:dyDescent="0.25">
      <c r="A4317" t="s">
        <v>2011</v>
      </c>
      <c r="B4317" t="s">
        <v>2012</v>
      </c>
      <c r="C4317" t="s">
        <v>2013</v>
      </c>
      <c r="D4317" t="s">
        <v>2014</v>
      </c>
      <c r="E4317" s="9">
        <v>45323</v>
      </c>
      <c r="F4317" s="9">
        <v>45351</v>
      </c>
      <c r="G4317">
        <v>140045822.08903998</v>
      </c>
      <c r="H4317">
        <v>39797121.932520002</v>
      </c>
      <c r="I4317">
        <v>72496202.852640003</v>
      </c>
      <c r="J4317">
        <v>4555718.9657199997</v>
      </c>
      <c r="K4317">
        <v>14090427.160320001</v>
      </c>
      <c r="L4317">
        <v>5033424.9729200006</v>
      </c>
      <c r="M4317">
        <v>0</v>
      </c>
      <c r="N4317">
        <v>0</v>
      </c>
      <c r="O4317">
        <v>0</v>
      </c>
      <c r="P4317">
        <v>0</v>
      </c>
      <c r="Q4317">
        <v>0</v>
      </c>
      <c r="R4317">
        <v>0</v>
      </c>
      <c r="S4317">
        <v>0</v>
      </c>
      <c r="T4317" s="9">
        <v>45108</v>
      </c>
      <c r="U4317" s="9">
        <v>45473</v>
      </c>
      <c r="V4317">
        <f>SUM(POTABLE_NONPOTABLE_API[[#This Row],[RESIDENTIAL_SINGLEFAMILY_GAL]:[OTHER_GAL]])</f>
        <v>276018717.97315997</v>
      </c>
      <c r="W4317">
        <f>SUM(POTABLE_NONPOTABLE_API[[#This Row],[NONPOTABLE_DEMAND_RESIDENTIAL_RECYCLED_WATER_GAL]:[NONPOTABLE_DEMAND_NONRESIDENTIAL_METERED_IRRIGATION_GAL]])</f>
        <v>0</v>
      </c>
      <c r="X4317" t="str">
        <f>IFERROR(INDEX(Crosswalk_API!$H$2:$H$527, MATCH(POTABLE_NONPOTABLE_API[[#This Row],[PWSID]], CW_PWSID_LIST, 0)), "")</f>
        <v>No</v>
      </c>
    </row>
    <row r="4318" spans="1:24" x14ac:dyDescent="0.25">
      <c r="A4318" t="s">
        <v>2011</v>
      </c>
      <c r="B4318" t="s">
        <v>2012</v>
      </c>
      <c r="C4318" t="s">
        <v>2013</v>
      </c>
      <c r="D4318" t="s">
        <v>2014</v>
      </c>
      <c r="E4318" s="9">
        <v>45352</v>
      </c>
      <c r="F4318" s="9">
        <v>45382</v>
      </c>
      <c r="G4318">
        <v>141724121.63415998</v>
      </c>
      <c r="H4318">
        <v>39717087.849040002</v>
      </c>
      <c r="I4318">
        <v>72775532.949959993</v>
      </c>
      <c r="J4318">
        <v>4200274.5773999998</v>
      </c>
      <c r="K4318">
        <v>5375838.2954000002</v>
      </c>
      <c r="L4318">
        <v>3215875.548</v>
      </c>
      <c r="M4318">
        <v>0</v>
      </c>
      <c r="N4318">
        <v>0</v>
      </c>
      <c r="O4318">
        <v>0</v>
      </c>
      <c r="P4318">
        <v>0</v>
      </c>
      <c r="Q4318">
        <v>0</v>
      </c>
      <c r="R4318">
        <v>0</v>
      </c>
      <c r="S4318">
        <v>71687</v>
      </c>
      <c r="T4318" s="9">
        <v>45108</v>
      </c>
      <c r="U4318" s="9">
        <v>45473</v>
      </c>
      <c r="V4318">
        <f>SUM(POTABLE_NONPOTABLE_API[[#This Row],[RESIDENTIAL_SINGLEFAMILY_GAL]:[OTHER_GAL]])</f>
        <v>267008730.85395998</v>
      </c>
      <c r="W4318">
        <f>SUM(POTABLE_NONPOTABLE_API[[#This Row],[NONPOTABLE_DEMAND_RESIDENTIAL_RECYCLED_WATER_GAL]:[NONPOTABLE_DEMAND_NONRESIDENTIAL_METERED_IRRIGATION_GAL]])</f>
        <v>71687</v>
      </c>
      <c r="X4318" t="str">
        <f>IFERROR(INDEX(Crosswalk_API!$H$2:$H$527, MATCH(POTABLE_NONPOTABLE_API[[#This Row],[PWSID]], CW_PWSID_LIST, 0)), "")</f>
        <v>No</v>
      </c>
    </row>
    <row r="4319" spans="1:24" x14ac:dyDescent="0.25">
      <c r="A4319" t="s">
        <v>2011</v>
      </c>
      <c r="B4319" t="s">
        <v>2012</v>
      </c>
      <c r="C4319" t="s">
        <v>2013</v>
      </c>
      <c r="D4319" t="s">
        <v>2014</v>
      </c>
      <c r="E4319" s="9">
        <v>45383</v>
      </c>
      <c r="F4319" s="9">
        <v>45412</v>
      </c>
      <c r="G4319">
        <v>186253233.50567999</v>
      </c>
      <c r="H4319">
        <v>40019420.545359999</v>
      </c>
      <c r="I4319">
        <v>82793460.295000002</v>
      </c>
      <c r="J4319">
        <v>10475540.675520001</v>
      </c>
      <c r="K4319">
        <v>6183106.0917200008</v>
      </c>
      <c r="L4319">
        <v>291897.37092000002</v>
      </c>
      <c r="M4319">
        <v>0</v>
      </c>
      <c r="N4319">
        <v>0</v>
      </c>
      <c r="O4319">
        <v>0</v>
      </c>
      <c r="P4319">
        <v>0</v>
      </c>
      <c r="Q4319">
        <v>629000</v>
      </c>
      <c r="R4319">
        <v>0</v>
      </c>
      <c r="S4319">
        <v>2271184</v>
      </c>
      <c r="T4319" s="9">
        <v>45108</v>
      </c>
      <c r="U4319" s="9">
        <v>45473</v>
      </c>
      <c r="V4319">
        <f>SUM(POTABLE_NONPOTABLE_API[[#This Row],[RESIDENTIAL_SINGLEFAMILY_GAL]:[OTHER_GAL]])</f>
        <v>326016658.4842</v>
      </c>
      <c r="W4319">
        <f>SUM(POTABLE_NONPOTABLE_API[[#This Row],[NONPOTABLE_DEMAND_RESIDENTIAL_RECYCLED_WATER_GAL]:[NONPOTABLE_DEMAND_NONRESIDENTIAL_METERED_IRRIGATION_GAL]])</f>
        <v>2900184</v>
      </c>
      <c r="X4319" t="str">
        <f>IFERROR(INDEX(Crosswalk_API!$H$2:$H$527, MATCH(POTABLE_NONPOTABLE_API[[#This Row],[PWSID]], CW_PWSID_LIST, 0)), "")</f>
        <v>No</v>
      </c>
    </row>
    <row r="4320" spans="1:24" x14ac:dyDescent="0.25">
      <c r="A4320" t="s">
        <v>2011</v>
      </c>
      <c r="B4320" t="s">
        <v>2012</v>
      </c>
      <c r="C4320" t="s">
        <v>2013</v>
      </c>
      <c r="D4320" t="s">
        <v>2014</v>
      </c>
      <c r="E4320" s="9">
        <v>45413</v>
      </c>
      <c r="F4320" s="9">
        <v>45443</v>
      </c>
      <c r="G4320">
        <v>345418396.97440004</v>
      </c>
      <c r="H4320">
        <v>53973552.631279998</v>
      </c>
      <c r="I4320">
        <v>102743722.87524</v>
      </c>
      <c r="J4320">
        <v>38610666.577399999</v>
      </c>
      <c r="K4320">
        <v>12352096.442199999</v>
      </c>
      <c r="L4320">
        <v>499369.59311999998</v>
      </c>
      <c r="M4320">
        <v>0</v>
      </c>
      <c r="N4320">
        <v>0</v>
      </c>
      <c r="O4320">
        <v>0</v>
      </c>
      <c r="P4320">
        <v>0</v>
      </c>
      <c r="Q4320">
        <v>2803000</v>
      </c>
      <c r="R4320">
        <v>0</v>
      </c>
      <c r="S4320">
        <v>4496750</v>
      </c>
      <c r="T4320" s="9">
        <v>45108</v>
      </c>
      <c r="U4320" s="9">
        <v>45473</v>
      </c>
      <c r="V4320">
        <f>SUM(POTABLE_NONPOTABLE_API[[#This Row],[RESIDENTIAL_SINGLEFAMILY_GAL]:[OTHER_GAL]])</f>
        <v>553597805.09363997</v>
      </c>
      <c r="W4320">
        <f>SUM(POTABLE_NONPOTABLE_API[[#This Row],[NONPOTABLE_DEMAND_RESIDENTIAL_RECYCLED_WATER_GAL]:[NONPOTABLE_DEMAND_NONRESIDENTIAL_METERED_IRRIGATION_GAL]])</f>
        <v>7299750</v>
      </c>
      <c r="X4320" t="str">
        <f>IFERROR(INDEX(Crosswalk_API!$H$2:$H$527, MATCH(POTABLE_NONPOTABLE_API[[#This Row],[PWSID]], CW_PWSID_LIST, 0)), "")</f>
        <v>No</v>
      </c>
    </row>
    <row r="4321" spans="1:24" x14ac:dyDescent="0.25">
      <c r="A4321" t="s">
        <v>2011</v>
      </c>
      <c r="B4321" t="s">
        <v>2012</v>
      </c>
      <c r="C4321" t="s">
        <v>2013</v>
      </c>
      <c r="D4321" t="s">
        <v>2014</v>
      </c>
      <c r="E4321" s="9">
        <v>45444</v>
      </c>
      <c r="F4321" s="9">
        <v>45473</v>
      </c>
      <c r="G4321">
        <v>326748335.62592</v>
      </c>
      <c r="H4321">
        <v>63243674.833480008</v>
      </c>
      <c r="I4321">
        <v>180818785.33608001</v>
      </c>
      <c r="J4321">
        <v>60647994.237640008</v>
      </c>
      <c r="K4321">
        <v>15371735.50904</v>
      </c>
      <c r="L4321">
        <v>853385.20212000003</v>
      </c>
      <c r="M4321">
        <v>0</v>
      </c>
      <c r="N4321">
        <v>0</v>
      </c>
      <c r="O4321">
        <v>0</v>
      </c>
      <c r="P4321">
        <v>0</v>
      </c>
      <c r="Q4321">
        <v>3219000</v>
      </c>
      <c r="R4321">
        <v>0</v>
      </c>
      <c r="S4321">
        <v>6425000</v>
      </c>
      <c r="T4321" s="9">
        <v>45108</v>
      </c>
      <c r="U4321" s="9">
        <v>45473</v>
      </c>
      <c r="V4321">
        <f>SUM(POTABLE_NONPOTABLE_API[[#This Row],[RESIDENTIAL_SINGLEFAMILY_GAL]:[OTHER_GAL]])</f>
        <v>647683910.74427998</v>
      </c>
      <c r="W4321">
        <f>SUM(POTABLE_NONPOTABLE_API[[#This Row],[NONPOTABLE_DEMAND_RESIDENTIAL_RECYCLED_WATER_GAL]:[NONPOTABLE_DEMAND_NONRESIDENTIAL_METERED_IRRIGATION_GAL]])</f>
        <v>9644000</v>
      </c>
      <c r="X4321" t="str">
        <f>IFERROR(INDEX(Crosswalk_API!$H$2:$H$527, MATCH(POTABLE_NONPOTABLE_API[[#This Row],[PWSID]], CW_PWSID_LIST, 0)), "")</f>
        <v>No</v>
      </c>
    </row>
    <row r="4322" spans="1:24" x14ac:dyDescent="0.25">
      <c r="A4322" t="s">
        <v>2015</v>
      </c>
      <c r="B4322" t="s">
        <v>2016</v>
      </c>
      <c r="C4322" t="s">
        <v>2017</v>
      </c>
      <c r="D4322" t="s">
        <v>2018</v>
      </c>
      <c r="E4322" s="9">
        <v>45108</v>
      </c>
      <c r="F4322" s="9">
        <v>45138</v>
      </c>
      <c r="G4322">
        <v>320669969.10000002</v>
      </c>
      <c r="H4322">
        <v>78008729.400000006</v>
      </c>
      <c r="I4322">
        <v>77715463.5</v>
      </c>
      <c r="J4322">
        <v>60640871.100000001</v>
      </c>
      <c r="K4322">
        <v>0</v>
      </c>
      <c r="L4322">
        <v>4887765</v>
      </c>
      <c r="M4322">
        <v>23754537.900000002</v>
      </c>
      <c r="N4322">
        <v>0</v>
      </c>
      <c r="O4322">
        <v>32585.100000000002</v>
      </c>
      <c r="P4322">
        <v>0</v>
      </c>
      <c r="Q4322">
        <v>0</v>
      </c>
      <c r="R4322">
        <v>11469955.200000001</v>
      </c>
      <c r="S4322">
        <v>32585.100000000002</v>
      </c>
      <c r="T4322" s="9">
        <v>45108</v>
      </c>
      <c r="U4322" s="9">
        <v>45473</v>
      </c>
      <c r="V4322">
        <f>SUM(POTABLE_NONPOTABLE_API[[#This Row],[RESIDENTIAL_SINGLEFAMILY_GAL]:[OTHER_GAL]])</f>
        <v>541922798.10000002</v>
      </c>
      <c r="W4322">
        <f>SUM(POTABLE_NONPOTABLE_API[[#This Row],[NONPOTABLE_DEMAND_RESIDENTIAL_RECYCLED_WATER_GAL]:[NONPOTABLE_DEMAND_NONRESIDENTIAL_METERED_IRRIGATION_GAL]])</f>
        <v>11535125.4</v>
      </c>
      <c r="X4322" t="str">
        <f>IFERROR(INDEX(Crosswalk_API!$H$2:$H$527, MATCH(POTABLE_NONPOTABLE_API[[#This Row],[PWSID]], CW_PWSID_LIST, 0)), "")</f>
        <v>No</v>
      </c>
    </row>
    <row r="4323" spans="1:24" x14ac:dyDescent="0.25">
      <c r="A4323" t="s">
        <v>2015</v>
      </c>
      <c r="B4323" t="s">
        <v>2016</v>
      </c>
      <c r="C4323" t="s">
        <v>2017</v>
      </c>
      <c r="D4323" t="s">
        <v>2018</v>
      </c>
      <c r="E4323" s="9">
        <v>45139</v>
      </c>
      <c r="F4323" s="9">
        <v>45169</v>
      </c>
      <c r="G4323">
        <v>426408618.59999996</v>
      </c>
      <c r="H4323">
        <v>85959493.799999997</v>
      </c>
      <c r="I4323">
        <v>82016696.700000003</v>
      </c>
      <c r="J4323">
        <v>104304905.10000001</v>
      </c>
      <c r="K4323">
        <v>0</v>
      </c>
      <c r="L4323">
        <v>293265.90000000002</v>
      </c>
      <c r="M4323">
        <v>32585.100000000002</v>
      </c>
      <c r="N4323">
        <v>0</v>
      </c>
      <c r="O4323">
        <v>15249826.799999999</v>
      </c>
      <c r="P4323">
        <v>0</v>
      </c>
      <c r="Q4323">
        <v>0</v>
      </c>
      <c r="R4323">
        <v>74554708.799999997</v>
      </c>
      <c r="S4323">
        <v>0</v>
      </c>
      <c r="T4323" s="9">
        <v>45108</v>
      </c>
      <c r="U4323" s="9">
        <v>45473</v>
      </c>
      <c r="V4323">
        <f>SUM(POTABLE_NONPOTABLE_API[[#This Row],[RESIDENTIAL_SINGLEFAMILY_GAL]:[OTHER_GAL]])</f>
        <v>698982980.10000002</v>
      </c>
      <c r="W4323">
        <f>SUM(POTABLE_NONPOTABLE_API[[#This Row],[NONPOTABLE_DEMAND_RESIDENTIAL_RECYCLED_WATER_GAL]:[NONPOTABLE_DEMAND_NONRESIDENTIAL_METERED_IRRIGATION_GAL]])</f>
        <v>89804535.599999994</v>
      </c>
      <c r="X4323" t="str">
        <f>IFERROR(INDEX(Crosswalk_API!$H$2:$H$527, MATCH(POTABLE_NONPOTABLE_API[[#This Row],[PWSID]], CW_PWSID_LIST, 0)), "")</f>
        <v>No</v>
      </c>
    </row>
    <row r="4324" spans="1:24" x14ac:dyDescent="0.25">
      <c r="A4324" t="s">
        <v>2015</v>
      </c>
      <c r="B4324" t="s">
        <v>2016</v>
      </c>
      <c r="C4324" t="s">
        <v>2017</v>
      </c>
      <c r="D4324" t="s">
        <v>2018</v>
      </c>
      <c r="E4324" s="9">
        <v>45170</v>
      </c>
      <c r="F4324" s="9">
        <v>45199</v>
      </c>
      <c r="G4324">
        <v>398352847.5</v>
      </c>
      <c r="H4324">
        <v>101437416.3</v>
      </c>
      <c r="I4324">
        <v>83222345.400000006</v>
      </c>
      <c r="J4324">
        <v>87882014.700000003</v>
      </c>
      <c r="K4324">
        <v>0</v>
      </c>
      <c r="L4324">
        <v>0</v>
      </c>
      <c r="M4324">
        <v>35713269.600000001</v>
      </c>
      <c r="N4324">
        <v>0</v>
      </c>
      <c r="O4324">
        <v>65170.200000000004</v>
      </c>
      <c r="P4324">
        <v>0</v>
      </c>
      <c r="Q4324">
        <v>129102166.2</v>
      </c>
      <c r="R4324">
        <v>15868943.700000001</v>
      </c>
      <c r="S4324">
        <v>0</v>
      </c>
      <c r="T4324" s="9">
        <v>45108</v>
      </c>
      <c r="U4324" s="9">
        <v>45473</v>
      </c>
      <c r="V4324">
        <f>SUM(POTABLE_NONPOTABLE_API[[#This Row],[RESIDENTIAL_SINGLEFAMILY_GAL]:[OTHER_GAL]])</f>
        <v>670894623.9000001</v>
      </c>
      <c r="W4324">
        <f>SUM(POTABLE_NONPOTABLE_API[[#This Row],[NONPOTABLE_DEMAND_RESIDENTIAL_RECYCLED_WATER_GAL]:[NONPOTABLE_DEMAND_NONRESIDENTIAL_METERED_IRRIGATION_GAL]])</f>
        <v>145036280.09999999</v>
      </c>
      <c r="X4324" t="str">
        <f>IFERROR(INDEX(Crosswalk_API!$H$2:$H$527, MATCH(POTABLE_NONPOTABLE_API[[#This Row],[PWSID]], CW_PWSID_LIST, 0)), "")</f>
        <v>No</v>
      </c>
    </row>
    <row r="4325" spans="1:24" x14ac:dyDescent="0.25">
      <c r="A4325" t="s">
        <v>2015</v>
      </c>
      <c r="B4325" t="s">
        <v>2016</v>
      </c>
      <c r="C4325" t="s">
        <v>2017</v>
      </c>
      <c r="D4325" t="s">
        <v>2018</v>
      </c>
      <c r="E4325" s="9">
        <v>45200</v>
      </c>
      <c r="F4325" s="9">
        <v>45230</v>
      </c>
      <c r="G4325">
        <v>448696827</v>
      </c>
      <c r="H4325">
        <v>98472172.200000003</v>
      </c>
      <c r="I4325">
        <v>133110133.5</v>
      </c>
      <c r="J4325">
        <v>101795852.39999999</v>
      </c>
      <c r="K4325">
        <v>0</v>
      </c>
      <c r="L4325">
        <v>32585.100000000002</v>
      </c>
      <c r="M4325">
        <v>0</v>
      </c>
      <c r="N4325">
        <v>0</v>
      </c>
      <c r="O4325">
        <v>16976837.100000001</v>
      </c>
      <c r="P4325">
        <v>0</v>
      </c>
      <c r="Q4325">
        <v>0</v>
      </c>
      <c r="R4325">
        <v>85470717.299999997</v>
      </c>
      <c r="S4325">
        <v>0</v>
      </c>
      <c r="T4325" s="9">
        <v>45108</v>
      </c>
      <c r="U4325" s="9">
        <v>45473</v>
      </c>
      <c r="V4325">
        <f>SUM(POTABLE_NONPOTABLE_API[[#This Row],[RESIDENTIAL_SINGLEFAMILY_GAL]:[OTHER_GAL]])</f>
        <v>782107570.20000005</v>
      </c>
      <c r="W4325">
        <f>SUM(POTABLE_NONPOTABLE_API[[#This Row],[NONPOTABLE_DEMAND_RESIDENTIAL_RECYCLED_WATER_GAL]:[NONPOTABLE_DEMAND_NONRESIDENTIAL_METERED_IRRIGATION_GAL]])</f>
        <v>102447554.40000001</v>
      </c>
      <c r="X4325" t="str">
        <f>IFERROR(INDEX(Crosswalk_API!$H$2:$H$527, MATCH(POTABLE_NONPOTABLE_API[[#This Row],[PWSID]], CW_PWSID_LIST, 0)), "")</f>
        <v>No</v>
      </c>
    </row>
    <row r="4326" spans="1:24" x14ac:dyDescent="0.25">
      <c r="A4326" t="s">
        <v>2015</v>
      </c>
      <c r="B4326" t="s">
        <v>2016</v>
      </c>
      <c r="C4326" t="s">
        <v>2017</v>
      </c>
      <c r="D4326" t="s">
        <v>2018</v>
      </c>
      <c r="E4326" s="9">
        <v>45231</v>
      </c>
      <c r="F4326" s="9">
        <v>45260</v>
      </c>
      <c r="G4326">
        <v>307849124</v>
      </c>
      <c r="H4326">
        <v>81377912</v>
      </c>
      <c r="I4326">
        <v>57034252</v>
      </c>
      <c r="J4326">
        <v>72060076</v>
      </c>
      <c r="K4326">
        <v>0</v>
      </c>
      <c r="L4326">
        <v>3743740</v>
      </c>
      <c r="M4326">
        <v>20593188</v>
      </c>
      <c r="N4326">
        <v>0</v>
      </c>
      <c r="O4326">
        <v>40392</v>
      </c>
      <c r="Q4326">
        <v>52212644</v>
      </c>
      <c r="R4326">
        <v>11373340</v>
      </c>
      <c r="T4326" s="9">
        <v>45108</v>
      </c>
      <c r="U4326" s="9">
        <v>45473</v>
      </c>
      <c r="V4326">
        <f>SUM(POTABLE_NONPOTABLE_API[[#This Row],[RESIDENTIAL_SINGLEFAMILY_GAL]:[OTHER_GAL]])</f>
        <v>522065104</v>
      </c>
      <c r="W4326">
        <f>SUM(POTABLE_NONPOTABLE_API[[#This Row],[NONPOTABLE_DEMAND_RESIDENTIAL_RECYCLED_WATER_GAL]:[NONPOTABLE_DEMAND_NONRESIDENTIAL_METERED_IRRIGATION_GAL]])</f>
        <v>63626376</v>
      </c>
      <c r="X4326" t="str">
        <f>IFERROR(INDEX(Crosswalk_API!$H$2:$H$527, MATCH(POTABLE_NONPOTABLE_API[[#This Row],[PWSID]], CW_PWSID_LIST, 0)), "")</f>
        <v>No</v>
      </c>
    </row>
    <row r="4327" spans="1:24" x14ac:dyDescent="0.25">
      <c r="A4327" t="s">
        <v>2015</v>
      </c>
      <c r="B4327" t="s">
        <v>2016</v>
      </c>
      <c r="C4327" t="s">
        <v>2017</v>
      </c>
      <c r="D4327" t="s">
        <v>2018</v>
      </c>
      <c r="E4327" s="9">
        <v>45261</v>
      </c>
      <c r="F4327" s="9">
        <v>45291</v>
      </c>
      <c r="G4327">
        <v>369240476</v>
      </c>
      <c r="H4327">
        <v>84979532</v>
      </c>
      <c r="I4327">
        <v>77200332</v>
      </c>
      <c r="J4327">
        <v>95271264</v>
      </c>
      <c r="K4327">
        <v>0</v>
      </c>
      <c r="L4327">
        <v>0</v>
      </c>
      <c r="M4327">
        <v>0</v>
      </c>
      <c r="N4327">
        <v>0</v>
      </c>
      <c r="O4327">
        <v>25830684</v>
      </c>
      <c r="P4327">
        <v>0</v>
      </c>
      <c r="Q4327">
        <v>0</v>
      </c>
      <c r="R4327">
        <v>75414108</v>
      </c>
      <c r="S4327">
        <v>0</v>
      </c>
      <c r="T4327" s="9">
        <v>45108</v>
      </c>
      <c r="U4327" s="9">
        <v>45473</v>
      </c>
      <c r="V4327">
        <f>SUM(POTABLE_NONPOTABLE_API[[#This Row],[RESIDENTIAL_SINGLEFAMILY_GAL]:[OTHER_GAL]])</f>
        <v>626691604</v>
      </c>
      <c r="W4327">
        <f>SUM(POTABLE_NONPOTABLE_API[[#This Row],[NONPOTABLE_DEMAND_RESIDENTIAL_RECYCLED_WATER_GAL]:[NONPOTABLE_DEMAND_NONRESIDENTIAL_METERED_IRRIGATION_GAL]])</f>
        <v>101244792</v>
      </c>
      <c r="X4327" t="str">
        <f>IFERROR(INDEX(Crosswalk_API!$H$2:$H$527, MATCH(POTABLE_NONPOTABLE_API[[#This Row],[PWSID]], CW_PWSID_LIST, 0)), "")</f>
        <v>No</v>
      </c>
    </row>
    <row r="4328" spans="1:24" x14ac:dyDescent="0.25">
      <c r="A4328" t="s">
        <v>2015</v>
      </c>
      <c r="B4328" t="s">
        <v>2016</v>
      </c>
      <c r="C4328" t="s">
        <v>2017</v>
      </c>
      <c r="D4328" t="s">
        <v>2018</v>
      </c>
      <c r="E4328" s="9">
        <v>45292</v>
      </c>
      <c r="F4328" s="9">
        <v>45322</v>
      </c>
      <c r="G4328">
        <v>255616284</v>
      </c>
      <c r="H4328">
        <v>61875308</v>
      </c>
      <c r="I4328">
        <v>35170212</v>
      </c>
      <c r="J4328">
        <v>53874700</v>
      </c>
      <c r="K4328">
        <v>0</v>
      </c>
      <c r="L4328">
        <v>3875388</v>
      </c>
      <c r="M4328">
        <v>8675304</v>
      </c>
      <c r="N4328">
        <v>0</v>
      </c>
      <c r="O4328">
        <v>109956</v>
      </c>
      <c r="P4328">
        <v>0</v>
      </c>
      <c r="Q4328">
        <v>91211120</v>
      </c>
      <c r="R4328">
        <v>9935684</v>
      </c>
      <c r="S4328">
        <v>0</v>
      </c>
      <c r="T4328" s="9">
        <v>45108</v>
      </c>
      <c r="U4328" s="9">
        <v>45473</v>
      </c>
      <c r="V4328">
        <f>SUM(POTABLE_NONPOTABLE_API[[#This Row],[RESIDENTIAL_SINGLEFAMILY_GAL]:[OTHER_GAL]])</f>
        <v>410411892</v>
      </c>
      <c r="W4328">
        <f>SUM(POTABLE_NONPOTABLE_API[[#This Row],[NONPOTABLE_DEMAND_RESIDENTIAL_RECYCLED_WATER_GAL]:[NONPOTABLE_DEMAND_NONRESIDENTIAL_METERED_IRRIGATION_GAL]])</f>
        <v>101256760</v>
      </c>
      <c r="X4328" t="str">
        <f>IFERROR(INDEX(Crosswalk_API!$H$2:$H$527, MATCH(POTABLE_NONPOTABLE_API[[#This Row],[PWSID]], CW_PWSID_LIST, 0)), "")</f>
        <v>No</v>
      </c>
    </row>
    <row r="4329" spans="1:24" x14ac:dyDescent="0.25">
      <c r="A4329" t="s">
        <v>2015</v>
      </c>
      <c r="B4329" t="s">
        <v>2016</v>
      </c>
      <c r="C4329" t="s">
        <v>2017</v>
      </c>
      <c r="D4329" t="s">
        <v>2018</v>
      </c>
      <c r="E4329" s="9">
        <v>45323</v>
      </c>
      <c r="F4329" s="9">
        <v>45351</v>
      </c>
      <c r="G4329">
        <v>204348364</v>
      </c>
      <c r="H4329">
        <v>63599448</v>
      </c>
      <c r="I4329">
        <v>42007680</v>
      </c>
      <c r="J4329">
        <v>72769180</v>
      </c>
      <c r="K4329">
        <v>0</v>
      </c>
      <c r="L4329">
        <v>2958340</v>
      </c>
      <c r="M4329">
        <v>0</v>
      </c>
      <c r="N4329">
        <v>0</v>
      </c>
      <c r="O4329">
        <v>2329272</v>
      </c>
      <c r="P4329">
        <v>0</v>
      </c>
      <c r="Q4329">
        <v>0</v>
      </c>
      <c r="R4329">
        <v>26669940</v>
      </c>
      <c r="S4329">
        <v>0</v>
      </c>
      <c r="T4329" s="9">
        <v>45108</v>
      </c>
      <c r="U4329" s="9">
        <v>45473</v>
      </c>
      <c r="V4329">
        <f>SUM(POTABLE_NONPOTABLE_API[[#This Row],[RESIDENTIAL_SINGLEFAMILY_GAL]:[OTHER_GAL]])</f>
        <v>385683012</v>
      </c>
      <c r="W4329">
        <f>SUM(POTABLE_NONPOTABLE_API[[#This Row],[NONPOTABLE_DEMAND_RESIDENTIAL_RECYCLED_WATER_GAL]:[NONPOTABLE_DEMAND_NONRESIDENTIAL_METERED_IRRIGATION_GAL]])</f>
        <v>28999212</v>
      </c>
      <c r="X4329" t="str">
        <f>IFERROR(INDEX(Crosswalk_API!$H$2:$H$527, MATCH(POTABLE_NONPOTABLE_API[[#This Row],[PWSID]], CW_PWSID_LIST, 0)), "")</f>
        <v>No</v>
      </c>
    </row>
    <row r="4330" spans="1:24" x14ac:dyDescent="0.25">
      <c r="A4330" t="s">
        <v>2015</v>
      </c>
      <c r="B4330" t="s">
        <v>2016</v>
      </c>
      <c r="C4330" t="s">
        <v>2017</v>
      </c>
      <c r="D4330" t="s">
        <v>2018</v>
      </c>
      <c r="E4330" s="9">
        <v>45352</v>
      </c>
      <c r="F4330" s="9">
        <v>45382</v>
      </c>
      <c r="G4330">
        <v>159849844</v>
      </c>
      <c r="H4330">
        <v>50511692</v>
      </c>
      <c r="I4330">
        <v>12603800</v>
      </c>
      <c r="J4330">
        <v>38720220</v>
      </c>
      <c r="K4330">
        <v>0</v>
      </c>
      <c r="L4330">
        <v>0</v>
      </c>
      <c r="M4330">
        <v>1546864</v>
      </c>
      <c r="N4330">
        <v>0</v>
      </c>
      <c r="O4330">
        <v>98736</v>
      </c>
      <c r="P4330">
        <v>0</v>
      </c>
      <c r="Q4330">
        <v>47080616</v>
      </c>
      <c r="R4330">
        <v>2417536</v>
      </c>
      <c r="S4330">
        <v>0</v>
      </c>
      <c r="T4330" s="9">
        <v>45108</v>
      </c>
      <c r="U4330" s="9">
        <v>45473</v>
      </c>
      <c r="V4330">
        <f>SUM(POTABLE_NONPOTABLE_API[[#This Row],[RESIDENTIAL_SINGLEFAMILY_GAL]:[OTHER_GAL]])</f>
        <v>261685556</v>
      </c>
      <c r="W4330">
        <f>SUM(POTABLE_NONPOTABLE_API[[#This Row],[NONPOTABLE_DEMAND_RESIDENTIAL_RECYCLED_WATER_GAL]:[NONPOTABLE_DEMAND_NONRESIDENTIAL_METERED_IRRIGATION_GAL]])</f>
        <v>49596888</v>
      </c>
      <c r="X4330" t="str">
        <f>IFERROR(INDEX(Crosswalk_API!$H$2:$H$527, MATCH(POTABLE_NONPOTABLE_API[[#This Row],[PWSID]], CW_PWSID_LIST, 0)), "")</f>
        <v>No</v>
      </c>
    </row>
    <row r="4331" spans="1:24" x14ac:dyDescent="0.25">
      <c r="A4331" t="s">
        <v>2015</v>
      </c>
      <c r="B4331" t="s">
        <v>2016</v>
      </c>
      <c r="C4331" t="s">
        <v>2017</v>
      </c>
      <c r="D4331" t="s">
        <v>2018</v>
      </c>
      <c r="E4331" s="9">
        <v>45383</v>
      </c>
      <c r="F4331" s="9">
        <v>45412</v>
      </c>
      <c r="G4331">
        <v>165292292</v>
      </c>
      <c r="H4331">
        <v>56102992</v>
      </c>
      <c r="I4331">
        <v>19959632</v>
      </c>
      <c r="J4331">
        <v>0</v>
      </c>
      <c r="K4331">
        <v>0</v>
      </c>
      <c r="L4331">
        <v>0</v>
      </c>
      <c r="M4331">
        <v>0</v>
      </c>
      <c r="N4331">
        <v>0</v>
      </c>
      <c r="O4331">
        <v>748000</v>
      </c>
      <c r="P4331">
        <v>0</v>
      </c>
      <c r="Q4331">
        <v>0</v>
      </c>
      <c r="R4331">
        <v>5115572</v>
      </c>
      <c r="S4331">
        <v>0</v>
      </c>
      <c r="T4331" s="9">
        <v>45108</v>
      </c>
      <c r="U4331" s="9">
        <v>45473</v>
      </c>
      <c r="V4331">
        <f>SUM(POTABLE_NONPOTABLE_API[[#This Row],[RESIDENTIAL_SINGLEFAMILY_GAL]:[OTHER_GAL]])</f>
        <v>241354916</v>
      </c>
      <c r="W4331">
        <f>SUM(POTABLE_NONPOTABLE_API[[#This Row],[NONPOTABLE_DEMAND_RESIDENTIAL_RECYCLED_WATER_GAL]:[NONPOTABLE_DEMAND_NONRESIDENTIAL_METERED_IRRIGATION_GAL]])</f>
        <v>5863572</v>
      </c>
      <c r="X4331" t="str">
        <f>IFERROR(INDEX(Crosswalk_API!$H$2:$H$527, MATCH(POTABLE_NONPOTABLE_API[[#This Row],[PWSID]], CW_PWSID_LIST, 0)), "")</f>
        <v>No</v>
      </c>
    </row>
    <row r="4332" spans="1:24" x14ac:dyDescent="0.25">
      <c r="A4332" t="s">
        <v>2015</v>
      </c>
      <c r="B4332" t="s">
        <v>2016</v>
      </c>
      <c r="C4332" t="s">
        <v>2017</v>
      </c>
      <c r="D4332" t="s">
        <v>2018</v>
      </c>
      <c r="E4332" s="9">
        <v>45413</v>
      </c>
      <c r="F4332" s="9">
        <v>45443</v>
      </c>
      <c r="G4332">
        <v>178906640</v>
      </c>
      <c r="H4332">
        <v>53110244</v>
      </c>
      <c r="I4332">
        <v>19873612</v>
      </c>
      <c r="J4332">
        <v>42986064</v>
      </c>
      <c r="K4332">
        <v>0</v>
      </c>
      <c r="L4332">
        <v>818312</v>
      </c>
      <c r="M4332">
        <v>6458980</v>
      </c>
      <c r="N4332">
        <v>0</v>
      </c>
      <c r="O4332">
        <v>89012</v>
      </c>
      <c r="P4332">
        <v>0</v>
      </c>
      <c r="Q4332">
        <v>32175968</v>
      </c>
      <c r="R4332">
        <v>1615680</v>
      </c>
      <c r="S4332">
        <v>0</v>
      </c>
      <c r="T4332" s="9">
        <v>45108</v>
      </c>
      <c r="U4332" s="9">
        <v>45473</v>
      </c>
      <c r="V4332">
        <f>SUM(POTABLE_NONPOTABLE_API[[#This Row],[RESIDENTIAL_SINGLEFAMILY_GAL]:[OTHER_GAL]])</f>
        <v>295694872</v>
      </c>
      <c r="W4332">
        <f>SUM(POTABLE_NONPOTABLE_API[[#This Row],[NONPOTABLE_DEMAND_RESIDENTIAL_RECYCLED_WATER_GAL]:[NONPOTABLE_DEMAND_NONRESIDENTIAL_METERED_IRRIGATION_GAL]])</f>
        <v>33880660</v>
      </c>
      <c r="X4332" t="str">
        <f>IFERROR(INDEX(Crosswalk_API!$H$2:$H$527, MATCH(POTABLE_NONPOTABLE_API[[#This Row],[PWSID]], CW_PWSID_LIST, 0)), "")</f>
        <v>No</v>
      </c>
    </row>
    <row r="4333" spans="1:24" x14ac:dyDescent="0.25">
      <c r="A4333" t="s">
        <v>2015</v>
      </c>
      <c r="B4333" t="s">
        <v>2016</v>
      </c>
      <c r="C4333" t="s">
        <v>2017</v>
      </c>
      <c r="D4333" t="s">
        <v>2018</v>
      </c>
      <c r="E4333" s="9">
        <v>45444</v>
      </c>
      <c r="F4333" s="9">
        <v>45473</v>
      </c>
      <c r="G4333">
        <v>316533404</v>
      </c>
      <c r="H4333">
        <v>85692376</v>
      </c>
      <c r="I4333">
        <v>59641780</v>
      </c>
      <c r="J4333">
        <v>96860764</v>
      </c>
      <c r="K4333">
        <v>0</v>
      </c>
      <c r="L4333">
        <v>0</v>
      </c>
      <c r="M4333">
        <v>0</v>
      </c>
      <c r="N4333">
        <v>0</v>
      </c>
      <c r="O4333">
        <v>6105924</v>
      </c>
      <c r="P4333">
        <v>0</v>
      </c>
      <c r="Q4333">
        <v>0</v>
      </c>
      <c r="R4333">
        <v>54259920</v>
      </c>
      <c r="S4333">
        <v>0</v>
      </c>
      <c r="T4333" s="9">
        <v>45108</v>
      </c>
      <c r="U4333" s="9">
        <v>45473</v>
      </c>
      <c r="V4333">
        <f>SUM(POTABLE_NONPOTABLE_API[[#This Row],[RESIDENTIAL_SINGLEFAMILY_GAL]:[OTHER_GAL]])</f>
        <v>558728324</v>
      </c>
      <c r="W4333">
        <f>SUM(POTABLE_NONPOTABLE_API[[#This Row],[NONPOTABLE_DEMAND_RESIDENTIAL_RECYCLED_WATER_GAL]:[NONPOTABLE_DEMAND_NONRESIDENTIAL_METERED_IRRIGATION_GAL]])</f>
        <v>60365844</v>
      </c>
      <c r="X4333" t="str">
        <f>IFERROR(INDEX(Crosswalk_API!$H$2:$H$527, MATCH(POTABLE_NONPOTABLE_API[[#This Row],[PWSID]], CW_PWSID_LIST, 0)), "")</f>
        <v>No</v>
      </c>
    </row>
    <row r="4334" spans="1:24" x14ac:dyDescent="0.25">
      <c r="A4334" t="s">
        <v>2019</v>
      </c>
      <c r="B4334" t="s">
        <v>2020</v>
      </c>
      <c r="C4334" t="s">
        <v>2021</v>
      </c>
      <c r="D4334" t="s">
        <v>2022</v>
      </c>
      <c r="E4334" s="9">
        <v>45108</v>
      </c>
      <c r="F4334" s="9">
        <v>45138</v>
      </c>
      <c r="G4334">
        <v>121473172.072</v>
      </c>
      <c r="H4334">
        <v>53943525.824000001</v>
      </c>
      <c r="I4334">
        <v>41439088.592</v>
      </c>
      <c r="J4334">
        <v>30106100.791999999</v>
      </c>
      <c r="K4334">
        <v>2686254.7319999998</v>
      </c>
      <c r="L4334">
        <v>178784.42800000001</v>
      </c>
      <c r="M4334">
        <v>0</v>
      </c>
      <c r="N4334">
        <v>0</v>
      </c>
      <c r="O4334">
        <v>0</v>
      </c>
      <c r="P4334">
        <v>7072083.608</v>
      </c>
      <c r="Q4334">
        <v>277527.29200000002</v>
      </c>
      <c r="R4334">
        <v>0</v>
      </c>
      <c r="S4334">
        <v>22611367.804000001</v>
      </c>
      <c r="T4334" s="9">
        <v>45108</v>
      </c>
      <c r="U4334" s="9">
        <v>45473</v>
      </c>
      <c r="V4334">
        <f>SUM(POTABLE_NONPOTABLE_API[[#This Row],[RESIDENTIAL_SINGLEFAMILY_GAL]:[OTHER_GAL]])</f>
        <v>249826926.44</v>
      </c>
      <c r="W4334">
        <f>SUM(POTABLE_NONPOTABLE_API[[#This Row],[NONPOTABLE_DEMAND_RESIDENTIAL_RECYCLED_WATER_GAL]:[NONPOTABLE_DEMAND_NONRESIDENTIAL_METERED_IRRIGATION_GAL]])</f>
        <v>29960978.704000004</v>
      </c>
      <c r="X4334" t="str">
        <f>IFERROR(INDEX(Crosswalk_API!$H$2:$H$527, MATCH(POTABLE_NONPOTABLE_API[[#This Row],[PWSID]], CW_PWSID_LIST, 0)), "")</f>
        <v>No</v>
      </c>
    </row>
    <row r="4335" spans="1:24" x14ac:dyDescent="0.25">
      <c r="A4335" t="s">
        <v>2019</v>
      </c>
      <c r="B4335" t="s">
        <v>2020</v>
      </c>
      <c r="C4335" t="s">
        <v>2021</v>
      </c>
      <c r="D4335" t="s">
        <v>2022</v>
      </c>
      <c r="E4335" s="9">
        <v>45139</v>
      </c>
      <c r="F4335" s="9">
        <v>45169</v>
      </c>
      <c r="G4335">
        <v>143652165.81999999</v>
      </c>
      <c r="H4335">
        <v>52918694.583999999</v>
      </c>
      <c r="I4335">
        <v>44444013.476000004</v>
      </c>
      <c r="J4335">
        <v>32358485.364</v>
      </c>
      <c r="K4335">
        <v>2944332.6720000003</v>
      </c>
      <c r="L4335">
        <v>487729.90400000004</v>
      </c>
      <c r="M4335">
        <v>0</v>
      </c>
      <c r="N4335">
        <v>0</v>
      </c>
      <c r="O4335">
        <v>0</v>
      </c>
      <c r="P4335">
        <v>7241891.4120000005</v>
      </c>
      <c r="Q4335">
        <v>596197.44400000002</v>
      </c>
      <c r="R4335">
        <v>0</v>
      </c>
      <c r="S4335">
        <v>22084739.196000002</v>
      </c>
      <c r="T4335" s="9">
        <v>45108</v>
      </c>
      <c r="U4335" s="9">
        <v>45473</v>
      </c>
      <c r="V4335">
        <f>SUM(POTABLE_NONPOTABLE_API[[#This Row],[RESIDENTIAL_SINGLEFAMILY_GAL]:[OTHER_GAL]])</f>
        <v>276805421.81999999</v>
      </c>
      <c r="W4335">
        <f>SUM(POTABLE_NONPOTABLE_API[[#This Row],[NONPOTABLE_DEMAND_RESIDENTIAL_RECYCLED_WATER_GAL]:[NONPOTABLE_DEMAND_NONRESIDENTIAL_METERED_IRRIGATION_GAL]])</f>
        <v>29922828.052000001</v>
      </c>
      <c r="X4335" t="str">
        <f>IFERROR(INDEX(Crosswalk_API!$H$2:$H$527, MATCH(POTABLE_NONPOTABLE_API[[#This Row],[PWSID]], CW_PWSID_LIST, 0)), "")</f>
        <v>No</v>
      </c>
    </row>
    <row r="4336" spans="1:24" x14ac:dyDescent="0.25">
      <c r="A4336" t="s">
        <v>2019</v>
      </c>
      <c r="B4336" t="s">
        <v>2020</v>
      </c>
      <c r="C4336" t="s">
        <v>2021</v>
      </c>
      <c r="D4336" t="s">
        <v>2022</v>
      </c>
      <c r="E4336" s="9">
        <v>45170</v>
      </c>
      <c r="F4336" s="9">
        <v>45199</v>
      </c>
      <c r="G4336">
        <v>133599094.992</v>
      </c>
      <c r="H4336">
        <v>54318299.876000002</v>
      </c>
      <c r="I4336">
        <v>44254008.267999999</v>
      </c>
      <c r="J4336">
        <v>30755409.927999999</v>
      </c>
      <c r="K4336">
        <v>2496997.5759999999</v>
      </c>
      <c r="L4336">
        <v>177288.32399999999</v>
      </c>
      <c r="M4336">
        <v>0</v>
      </c>
      <c r="N4336">
        <v>0</v>
      </c>
      <c r="O4336">
        <v>0</v>
      </c>
      <c r="P4336">
        <v>6700301.7640000004</v>
      </c>
      <c r="Q4336">
        <v>1338265.0279999999</v>
      </c>
      <c r="R4336">
        <v>0</v>
      </c>
      <c r="S4336">
        <v>19059616.908</v>
      </c>
      <c r="T4336" s="9">
        <v>45108</v>
      </c>
      <c r="U4336" s="9">
        <v>45473</v>
      </c>
      <c r="V4336">
        <f>SUM(POTABLE_NONPOTABLE_API[[#This Row],[RESIDENTIAL_SINGLEFAMILY_GAL]:[OTHER_GAL]])</f>
        <v>265601098.96400002</v>
      </c>
      <c r="W4336">
        <f>SUM(POTABLE_NONPOTABLE_API[[#This Row],[NONPOTABLE_DEMAND_RESIDENTIAL_RECYCLED_WATER_GAL]:[NONPOTABLE_DEMAND_NONRESIDENTIAL_METERED_IRRIGATION_GAL]])</f>
        <v>27098183.699999999</v>
      </c>
      <c r="X4336" t="str">
        <f>IFERROR(INDEX(Crosswalk_API!$H$2:$H$527, MATCH(POTABLE_NONPOTABLE_API[[#This Row],[PWSID]], CW_PWSID_LIST, 0)), "")</f>
        <v>No</v>
      </c>
    </row>
    <row r="4337" spans="1:24" x14ac:dyDescent="0.25">
      <c r="A4337" t="s">
        <v>2019</v>
      </c>
      <c r="B4337" t="s">
        <v>2020</v>
      </c>
      <c r="C4337" t="s">
        <v>2021</v>
      </c>
      <c r="D4337" t="s">
        <v>2022</v>
      </c>
      <c r="E4337" s="9">
        <v>45200</v>
      </c>
      <c r="F4337" s="9">
        <v>45230</v>
      </c>
      <c r="G4337">
        <v>141660851.396</v>
      </c>
      <c r="H4337">
        <v>55263837.604000002</v>
      </c>
      <c r="I4337">
        <v>41496688.596000001</v>
      </c>
      <c r="J4337">
        <v>22992126.272</v>
      </c>
      <c r="K4337">
        <v>1300862.4280000001</v>
      </c>
      <c r="L4337">
        <v>299220.8</v>
      </c>
      <c r="M4337">
        <v>0</v>
      </c>
      <c r="N4337">
        <v>0</v>
      </c>
      <c r="O4337">
        <v>0</v>
      </c>
      <c r="P4337">
        <v>5028405.5439999998</v>
      </c>
      <c r="Q4337">
        <v>877464.99600000004</v>
      </c>
      <c r="R4337">
        <v>0</v>
      </c>
      <c r="S4337">
        <v>15481684.192</v>
      </c>
      <c r="T4337" s="9">
        <v>45108</v>
      </c>
      <c r="U4337" s="9">
        <v>45473</v>
      </c>
      <c r="V4337">
        <f>SUM(POTABLE_NONPOTABLE_API[[#This Row],[RESIDENTIAL_SINGLEFAMILY_GAL]:[OTHER_GAL]])</f>
        <v>263013587.09600005</v>
      </c>
      <c r="W4337">
        <f>SUM(POTABLE_NONPOTABLE_API[[#This Row],[NONPOTABLE_DEMAND_RESIDENTIAL_RECYCLED_WATER_GAL]:[NONPOTABLE_DEMAND_NONRESIDENTIAL_METERED_IRRIGATION_GAL]])</f>
        <v>21387554.732000001</v>
      </c>
      <c r="X4337" t="str">
        <f>IFERROR(INDEX(Crosswalk_API!$H$2:$H$527, MATCH(POTABLE_NONPOTABLE_API[[#This Row],[PWSID]], CW_PWSID_LIST, 0)), "")</f>
        <v>No</v>
      </c>
    </row>
    <row r="4338" spans="1:24" x14ac:dyDescent="0.25">
      <c r="A4338" t="s">
        <v>2019</v>
      </c>
      <c r="B4338" t="s">
        <v>2020</v>
      </c>
      <c r="C4338" t="s">
        <v>2021</v>
      </c>
      <c r="D4338" t="s">
        <v>2022</v>
      </c>
      <c r="E4338" s="9">
        <v>45231</v>
      </c>
      <c r="F4338" s="9">
        <v>45260</v>
      </c>
      <c r="G4338">
        <v>116909306.82000001</v>
      </c>
      <c r="H4338">
        <v>52540180.272</v>
      </c>
      <c r="I4338">
        <v>36676241.508000001</v>
      </c>
      <c r="J4338">
        <v>14998442.6</v>
      </c>
      <c r="K4338">
        <v>1575397.5120000001</v>
      </c>
      <c r="L4338">
        <v>148114.296</v>
      </c>
      <c r="M4338">
        <v>0</v>
      </c>
      <c r="N4338">
        <v>0</v>
      </c>
      <c r="O4338">
        <v>0</v>
      </c>
      <c r="P4338">
        <v>2716924.8640000001</v>
      </c>
      <c r="Q4338">
        <v>662026.02</v>
      </c>
      <c r="R4338">
        <v>0</v>
      </c>
      <c r="S4338">
        <v>9891491.5960000008</v>
      </c>
      <c r="T4338" s="9">
        <v>45108</v>
      </c>
      <c r="U4338" s="9">
        <v>45473</v>
      </c>
      <c r="V4338">
        <f>SUM(POTABLE_NONPOTABLE_API[[#This Row],[RESIDENTIAL_SINGLEFAMILY_GAL]:[OTHER_GAL]])</f>
        <v>222847683.00800002</v>
      </c>
      <c r="W4338">
        <f>SUM(POTABLE_NONPOTABLE_API[[#This Row],[NONPOTABLE_DEMAND_RESIDENTIAL_RECYCLED_WATER_GAL]:[NONPOTABLE_DEMAND_NONRESIDENTIAL_METERED_IRRIGATION_GAL]])</f>
        <v>13270442.48</v>
      </c>
      <c r="X4338" t="str">
        <f>IFERROR(INDEX(Crosswalk_API!$H$2:$H$527, MATCH(POTABLE_NONPOTABLE_API[[#This Row],[PWSID]], CW_PWSID_LIST, 0)), "")</f>
        <v>No</v>
      </c>
    </row>
    <row r="4339" spans="1:24" x14ac:dyDescent="0.25">
      <c r="A4339" t="s">
        <v>2019</v>
      </c>
      <c r="B4339" t="s">
        <v>2020</v>
      </c>
      <c r="C4339" t="s">
        <v>2021</v>
      </c>
      <c r="D4339" t="s">
        <v>2022</v>
      </c>
      <c r="E4339" s="9">
        <v>45261</v>
      </c>
      <c r="F4339" s="9">
        <v>45291</v>
      </c>
      <c r="G4339">
        <v>107803269.824</v>
      </c>
      <c r="H4339">
        <v>52033749.068000004</v>
      </c>
      <c r="I4339">
        <v>33800729.619999997</v>
      </c>
      <c r="J4339">
        <v>5925319.892</v>
      </c>
      <c r="K4339">
        <v>1224561.1240000001</v>
      </c>
      <c r="L4339">
        <v>70316.888000000006</v>
      </c>
      <c r="M4339">
        <v>0</v>
      </c>
      <c r="N4339">
        <v>0</v>
      </c>
      <c r="O4339">
        <v>0</v>
      </c>
      <c r="P4339">
        <v>708405.24400000006</v>
      </c>
      <c r="Q4339">
        <v>629859.78399999999</v>
      </c>
      <c r="R4339">
        <v>0</v>
      </c>
      <c r="S4339">
        <v>3301901.5279999999</v>
      </c>
      <c r="T4339" s="9">
        <v>45108</v>
      </c>
      <c r="U4339" s="9">
        <v>45473</v>
      </c>
      <c r="V4339">
        <f>SUM(POTABLE_NONPOTABLE_API[[#This Row],[RESIDENTIAL_SINGLEFAMILY_GAL]:[OTHER_GAL]])</f>
        <v>200857946.41600004</v>
      </c>
      <c r="W4339">
        <f>SUM(POTABLE_NONPOTABLE_API[[#This Row],[NONPOTABLE_DEMAND_RESIDENTIAL_RECYCLED_WATER_GAL]:[NONPOTABLE_DEMAND_NONRESIDENTIAL_METERED_IRRIGATION_GAL]])</f>
        <v>4640166.5559999999</v>
      </c>
      <c r="X4339" t="str">
        <f>IFERROR(INDEX(Crosswalk_API!$H$2:$H$527, MATCH(POTABLE_NONPOTABLE_API[[#This Row],[PWSID]], CW_PWSID_LIST, 0)), "")</f>
        <v>No</v>
      </c>
    </row>
    <row r="4340" spans="1:24" x14ac:dyDescent="0.25">
      <c r="A4340" t="s">
        <v>2019</v>
      </c>
      <c r="B4340" t="s">
        <v>2020</v>
      </c>
      <c r="C4340" t="s">
        <v>2021</v>
      </c>
      <c r="D4340" t="s">
        <v>2022</v>
      </c>
      <c r="E4340" s="9">
        <v>45292</v>
      </c>
      <c r="F4340" s="9">
        <v>45322</v>
      </c>
      <c r="G4340">
        <v>83066686.288000003</v>
      </c>
      <c r="H4340">
        <v>49571161.884000003</v>
      </c>
      <c r="I4340">
        <v>31515430.760000002</v>
      </c>
      <c r="J4340">
        <v>2966026.18</v>
      </c>
      <c r="K4340">
        <v>1080935.1400000001</v>
      </c>
      <c r="L4340">
        <v>72561.044000000009</v>
      </c>
      <c r="M4340">
        <v>0</v>
      </c>
      <c r="N4340">
        <v>0</v>
      </c>
      <c r="O4340">
        <v>0</v>
      </c>
      <c r="P4340">
        <v>96498.707999999999</v>
      </c>
      <c r="Q4340">
        <v>479501.33199999999</v>
      </c>
      <c r="R4340">
        <v>0</v>
      </c>
      <c r="S4340">
        <v>511667.56800000003</v>
      </c>
      <c r="T4340" s="9">
        <v>45108</v>
      </c>
      <c r="U4340" s="9">
        <v>45473</v>
      </c>
      <c r="V4340">
        <f>SUM(POTABLE_NONPOTABLE_API[[#This Row],[RESIDENTIAL_SINGLEFAMILY_GAL]:[OTHER_GAL]])</f>
        <v>168272801.296</v>
      </c>
      <c r="W4340">
        <f>SUM(POTABLE_NONPOTABLE_API[[#This Row],[NONPOTABLE_DEMAND_RESIDENTIAL_RECYCLED_WATER_GAL]:[NONPOTABLE_DEMAND_NONRESIDENTIAL_METERED_IRRIGATION_GAL]])</f>
        <v>1087667.608</v>
      </c>
      <c r="X4340" t="str">
        <f>IFERROR(INDEX(Crosswalk_API!$H$2:$H$527, MATCH(POTABLE_NONPOTABLE_API[[#This Row],[PWSID]], CW_PWSID_LIST, 0)), "")</f>
        <v>No</v>
      </c>
    </row>
    <row r="4341" spans="1:24" x14ac:dyDescent="0.25">
      <c r="A4341" t="s">
        <v>2019</v>
      </c>
      <c r="B4341" t="s">
        <v>2020</v>
      </c>
      <c r="C4341" t="s">
        <v>2021</v>
      </c>
      <c r="D4341" t="s">
        <v>2022</v>
      </c>
      <c r="E4341" s="9">
        <v>45323</v>
      </c>
      <c r="F4341" s="9">
        <v>45351</v>
      </c>
      <c r="G4341">
        <v>72780971.288000003</v>
      </c>
      <c r="H4341">
        <v>46304418.800000004</v>
      </c>
      <c r="I4341">
        <v>31133176.188000001</v>
      </c>
      <c r="J4341">
        <v>2334670.2919999999</v>
      </c>
      <c r="K4341">
        <v>1570909.2</v>
      </c>
      <c r="L4341">
        <v>83781.824000000008</v>
      </c>
      <c r="M4341">
        <v>0</v>
      </c>
      <c r="N4341">
        <v>0</v>
      </c>
      <c r="O4341">
        <v>0</v>
      </c>
      <c r="P4341">
        <v>134649.36000000002</v>
      </c>
      <c r="Q4341">
        <v>348592.23200000002</v>
      </c>
      <c r="R4341">
        <v>0</v>
      </c>
      <c r="S4341">
        <v>3553247</v>
      </c>
      <c r="T4341" s="9">
        <v>45108</v>
      </c>
      <c r="U4341" s="9">
        <v>45473</v>
      </c>
      <c r="V4341">
        <f>SUM(POTABLE_NONPOTABLE_API[[#This Row],[RESIDENTIAL_SINGLEFAMILY_GAL]:[OTHER_GAL]])</f>
        <v>154207927.59199998</v>
      </c>
      <c r="W4341">
        <f>SUM(POTABLE_NONPOTABLE_API[[#This Row],[NONPOTABLE_DEMAND_RESIDENTIAL_RECYCLED_WATER_GAL]:[NONPOTABLE_DEMAND_NONRESIDENTIAL_METERED_IRRIGATION_GAL]])</f>
        <v>4036488.5920000002</v>
      </c>
      <c r="X4341" t="str">
        <f>IFERROR(INDEX(Crosswalk_API!$H$2:$H$527, MATCH(POTABLE_NONPOTABLE_API[[#This Row],[PWSID]], CW_PWSID_LIST, 0)), "")</f>
        <v>No</v>
      </c>
    </row>
    <row r="4342" spans="1:24" x14ac:dyDescent="0.25">
      <c r="A4342" t="s">
        <v>2019</v>
      </c>
      <c r="B4342" t="s">
        <v>2020</v>
      </c>
      <c r="C4342" t="s">
        <v>2021</v>
      </c>
      <c r="D4342" t="s">
        <v>2022</v>
      </c>
      <c r="E4342" s="9">
        <v>45352</v>
      </c>
      <c r="F4342" s="9">
        <v>45382</v>
      </c>
      <c r="G4342">
        <v>69044451.548000008</v>
      </c>
      <c r="H4342">
        <v>48532117.656000003</v>
      </c>
      <c r="I4342">
        <v>33900220.535999998</v>
      </c>
      <c r="J4342">
        <v>2444633.9360000002</v>
      </c>
      <c r="K4342">
        <v>1282909.18</v>
      </c>
      <c r="L4342">
        <v>112207.8</v>
      </c>
      <c r="M4342">
        <v>0</v>
      </c>
      <c r="N4342">
        <v>0</v>
      </c>
      <c r="O4342">
        <v>0</v>
      </c>
      <c r="P4342">
        <v>221423.39199999999</v>
      </c>
      <c r="Q4342">
        <v>651553.29200000002</v>
      </c>
      <c r="R4342">
        <v>0</v>
      </c>
      <c r="S4342">
        <v>3283200.2280000001</v>
      </c>
      <c r="T4342" s="9">
        <v>45108</v>
      </c>
      <c r="U4342" s="9">
        <v>45473</v>
      </c>
      <c r="V4342">
        <f>SUM(POTABLE_NONPOTABLE_API[[#This Row],[RESIDENTIAL_SINGLEFAMILY_GAL]:[OTHER_GAL]])</f>
        <v>155316540.65600002</v>
      </c>
      <c r="W4342">
        <f>SUM(POTABLE_NONPOTABLE_API[[#This Row],[NONPOTABLE_DEMAND_RESIDENTIAL_RECYCLED_WATER_GAL]:[NONPOTABLE_DEMAND_NONRESIDENTIAL_METERED_IRRIGATION_GAL]])</f>
        <v>4156176.912</v>
      </c>
      <c r="X4342" t="str">
        <f>IFERROR(INDEX(Crosswalk_API!$H$2:$H$527, MATCH(POTABLE_NONPOTABLE_API[[#This Row],[PWSID]], CW_PWSID_LIST, 0)), "")</f>
        <v>No</v>
      </c>
    </row>
    <row r="4343" spans="1:24" x14ac:dyDescent="0.25">
      <c r="A4343" t="s">
        <v>2019</v>
      </c>
      <c r="B4343" t="s">
        <v>2020</v>
      </c>
      <c r="C4343" t="s">
        <v>2021</v>
      </c>
      <c r="D4343" t="s">
        <v>2022</v>
      </c>
      <c r="E4343" s="9">
        <v>45383</v>
      </c>
      <c r="F4343" s="9">
        <v>45412</v>
      </c>
      <c r="G4343">
        <v>73879111.623999998</v>
      </c>
      <c r="H4343">
        <v>49571909.936000004</v>
      </c>
      <c r="I4343">
        <v>35286360.892000005</v>
      </c>
      <c r="J4343">
        <v>6254462.7719999999</v>
      </c>
      <c r="K4343">
        <v>1398857.24</v>
      </c>
      <c r="L4343">
        <v>68820.784</v>
      </c>
      <c r="M4343">
        <v>0</v>
      </c>
      <c r="N4343">
        <v>0</v>
      </c>
      <c r="O4343">
        <v>0</v>
      </c>
      <c r="P4343">
        <v>1058493.58</v>
      </c>
      <c r="Q4343">
        <v>639584.46</v>
      </c>
      <c r="R4343">
        <v>0</v>
      </c>
      <c r="S4343">
        <v>6572384.8720000004</v>
      </c>
      <c r="T4343" s="9">
        <v>45108</v>
      </c>
      <c r="U4343" s="9">
        <v>45473</v>
      </c>
      <c r="V4343">
        <f>SUM(POTABLE_NONPOTABLE_API[[#This Row],[RESIDENTIAL_SINGLEFAMILY_GAL]:[OTHER_GAL]])</f>
        <v>166459523.24800006</v>
      </c>
      <c r="W4343">
        <f>SUM(POTABLE_NONPOTABLE_API[[#This Row],[NONPOTABLE_DEMAND_RESIDENTIAL_RECYCLED_WATER_GAL]:[NONPOTABLE_DEMAND_NONRESIDENTIAL_METERED_IRRIGATION_GAL]])</f>
        <v>8270462.9120000005</v>
      </c>
      <c r="X4343" t="str">
        <f>IFERROR(INDEX(Crosswalk_API!$H$2:$H$527, MATCH(POTABLE_NONPOTABLE_API[[#This Row],[PWSID]], CW_PWSID_LIST, 0)), "")</f>
        <v>No</v>
      </c>
    </row>
    <row r="4344" spans="1:24" x14ac:dyDescent="0.25">
      <c r="A4344" t="s">
        <v>2019</v>
      </c>
      <c r="B4344" t="s">
        <v>2020</v>
      </c>
      <c r="C4344" t="s">
        <v>2021</v>
      </c>
      <c r="D4344" t="s">
        <v>2022</v>
      </c>
      <c r="E4344" s="9">
        <v>45413</v>
      </c>
      <c r="F4344" s="9">
        <v>45443</v>
      </c>
      <c r="G4344">
        <v>86762063.167999998</v>
      </c>
      <c r="H4344">
        <v>51416606.167999998</v>
      </c>
      <c r="I4344">
        <v>39607857.296000004</v>
      </c>
      <c r="J4344">
        <v>19378287.060000002</v>
      </c>
      <c r="K4344">
        <v>1597839.0720000002</v>
      </c>
      <c r="L4344">
        <v>118940.268</v>
      </c>
      <c r="M4344">
        <v>0</v>
      </c>
      <c r="N4344">
        <v>0</v>
      </c>
      <c r="O4344">
        <v>0</v>
      </c>
      <c r="P4344">
        <v>3435054.784</v>
      </c>
      <c r="Q4344">
        <v>745807.84400000004</v>
      </c>
      <c r="R4344">
        <v>0</v>
      </c>
      <c r="S4344">
        <v>17220905.092</v>
      </c>
      <c r="T4344" s="9">
        <v>45108</v>
      </c>
      <c r="U4344" s="9">
        <v>45473</v>
      </c>
      <c r="V4344">
        <f>SUM(POTABLE_NONPOTABLE_API[[#This Row],[RESIDENTIAL_SINGLEFAMILY_GAL]:[OTHER_GAL]])</f>
        <v>198881593.03200001</v>
      </c>
      <c r="W4344">
        <f>SUM(POTABLE_NONPOTABLE_API[[#This Row],[NONPOTABLE_DEMAND_RESIDENTIAL_RECYCLED_WATER_GAL]:[NONPOTABLE_DEMAND_NONRESIDENTIAL_METERED_IRRIGATION_GAL]])</f>
        <v>21401767.719999999</v>
      </c>
      <c r="X4344" t="str">
        <f>IFERROR(INDEX(Crosswalk_API!$H$2:$H$527, MATCH(POTABLE_NONPOTABLE_API[[#This Row],[PWSID]], CW_PWSID_LIST, 0)), "")</f>
        <v>No</v>
      </c>
    </row>
    <row r="4345" spans="1:24" x14ac:dyDescent="0.25">
      <c r="A4345" t="s">
        <v>2019</v>
      </c>
      <c r="B4345" t="s">
        <v>2020</v>
      </c>
      <c r="C4345" t="s">
        <v>2021</v>
      </c>
      <c r="D4345" t="s">
        <v>2022</v>
      </c>
      <c r="E4345" s="9">
        <v>45444</v>
      </c>
      <c r="F4345" s="9">
        <v>45473</v>
      </c>
      <c r="G4345">
        <v>118906605.66</v>
      </c>
      <c r="H4345">
        <v>52239463.368000001</v>
      </c>
      <c r="I4345">
        <v>42882080.899999999</v>
      </c>
      <c r="J4345">
        <v>29897394.284000002</v>
      </c>
      <c r="K4345">
        <v>1708550.7680000002</v>
      </c>
      <c r="L4345">
        <v>112207.8</v>
      </c>
      <c r="M4345">
        <v>0</v>
      </c>
      <c r="N4345">
        <v>0</v>
      </c>
      <c r="O4345">
        <v>0</v>
      </c>
      <c r="P4345">
        <v>6600810.8480000002</v>
      </c>
      <c r="Q4345">
        <v>789194.86</v>
      </c>
      <c r="R4345">
        <v>0</v>
      </c>
      <c r="S4345">
        <v>22186474.267999999</v>
      </c>
      <c r="T4345" s="9">
        <v>45108</v>
      </c>
      <c r="U4345" s="9">
        <v>45473</v>
      </c>
      <c r="V4345">
        <f>SUM(POTABLE_NONPOTABLE_API[[#This Row],[RESIDENTIAL_SINGLEFAMILY_GAL]:[OTHER_GAL]])</f>
        <v>245746302.78000003</v>
      </c>
      <c r="W4345">
        <f>SUM(POTABLE_NONPOTABLE_API[[#This Row],[NONPOTABLE_DEMAND_RESIDENTIAL_RECYCLED_WATER_GAL]:[NONPOTABLE_DEMAND_NONRESIDENTIAL_METERED_IRRIGATION_GAL]])</f>
        <v>29576479.976</v>
      </c>
      <c r="X4345" t="str">
        <f>IFERROR(INDEX(Crosswalk_API!$H$2:$H$527, MATCH(POTABLE_NONPOTABLE_API[[#This Row],[PWSID]], CW_PWSID_LIST, 0)), "")</f>
        <v>No</v>
      </c>
    </row>
    <row r="4346" spans="1:24" x14ac:dyDescent="0.25">
      <c r="A4346" t="s">
        <v>2023</v>
      </c>
      <c r="B4346" t="s">
        <v>2024</v>
      </c>
      <c r="C4346" t="s">
        <v>2025</v>
      </c>
      <c r="D4346" t="s">
        <v>2026</v>
      </c>
      <c r="E4346" s="9">
        <v>45108</v>
      </c>
      <c r="F4346" s="9">
        <v>45138</v>
      </c>
      <c r="G4346">
        <v>76605000</v>
      </c>
      <c r="H4346">
        <v>12054000</v>
      </c>
      <c r="I4346">
        <v>22814000</v>
      </c>
      <c r="J4346">
        <v>16515999.999999998</v>
      </c>
      <c r="K4346">
        <v>3779000</v>
      </c>
      <c r="L4346">
        <v>390000</v>
      </c>
      <c r="M4346">
        <v>0</v>
      </c>
      <c r="T4346" s="9">
        <v>45108</v>
      </c>
      <c r="U4346" s="9">
        <v>45473</v>
      </c>
      <c r="V4346">
        <f>SUM(POTABLE_NONPOTABLE_API[[#This Row],[RESIDENTIAL_SINGLEFAMILY_GAL]:[OTHER_GAL]])</f>
        <v>132158000</v>
      </c>
      <c r="W4346">
        <f>SUM(POTABLE_NONPOTABLE_API[[#This Row],[NONPOTABLE_DEMAND_RESIDENTIAL_RECYCLED_WATER_GAL]:[NONPOTABLE_DEMAND_NONRESIDENTIAL_METERED_IRRIGATION_GAL]])</f>
        <v>0</v>
      </c>
      <c r="X4346" t="str">
        <f>IFERROR(INDEX(Crosswalk_API!$H$2:$H$527, MATCH(POTABLE_NONPOTABLE_API[[#This Row],[PWSID]], CW_PWSID_LIST, 0)), "")</f>
        <v>No</v>
      </c>
    </row>
    <row r="4347" spans="1:24" x14ac:dyDescent="0.25">
      <c r="A4347" t="s">
        <v>2023</v>
      </c>
      <c r="B4347" t="s">
        <v>2024</v>
      </c>
      <c r="C4347" t="s">
        <v>2025</v>
      </c>
      <c r="D4347" t="s">
        <v>2026</v>
      </c>
      <c r="E4347" s="9">
        <v>45139</v>
      </c>
      <c r="F4347" s="9">
        <v>45169</v>
      </c>
      <c r="G4347">
        <v>69336000</v>
      </c>
      <c r="H4347">
        <v>10719000</v>
      </c>
      <c r="I4347">
        <v>20461000</v>
      </c>
      <c r="J4347">
        <v>19203000</v>
      </c>
      <c r="K4347">
        <v>3945000</v>
      </c>
      <c r="L4347">
        <v>297000</v>
      </c>
      <c r="M4347">
        <v>0</v>
      </c>
      <c r="T4347" s="9">
        <v>45108</v>
      </c>
      <c r="U4347" s="9">
        <v>45473</v>
      </c>
      <c r="V4347">
        <f>SUM(POTABLE_NONPOTABLE_API[[#This Row],[RESIDENTIAL_SINGLEFAMILY_GAL]:[OTHER_GAL]])</f>
        <v>123961000</v>
      </c>
      <c r="W4347">
        <f>SUM(POTABLE_NONPOTABLE_API[[#This Row],[NONPOTABLE_DEMAND_RESIDENTIAL_RECYCLED_WATER_GAL]:[NONPOTABLE_DEMAND_NONRESIDENTIAL_METERED_IRRIGATION_GAL]])</f>
        <v>0</v>
      </c>
      <c r="X4347" t="str">
        <f>IFERROR(INDEX(Crosswalk_API!$H$2:$H$527, MATCH(POTABLE_NONPOTABLE_API[[#This Row],[PWSID]], CW_PWSID_LIST, 0)), "")</f>
        <v>No</v>
      </c>
    </row>
    <row r="4348" spans="1:24" x14ac:dyDescent="0.25">
      <c r="A4348" t="s">
        <v>2023</v>
      </c>
      <c r="B4348" t="s">
        <v>2024</v>
      </c>
      <c r="C4348" t="s">
        <v>2025</v>
      </c>
      <c r="D4348" t="s">
        <v>2026</v>
      </c>
      <c r="E4348" s="9">
        <v>45170</v>
      </c>
      <c r="F4348" s="9">
        <v>45199</v>
      </c>
      <c r="G4348">
        <v>63483000</v>
      </c>
      <c r="H4348">
        <v>10711000</v>
      </c>
      <c r="I4348">
        <v>20582000</v>
      </c>
      <c r="J4348">
        <v>18623000</v>
      </c>
      <c r="K4348">
        <v>3906000</v>
      </c>
      <c r="L4348">
        <v>295000</v>
      </c>
      <c r="M4348">
        <v>0</v>
      </c>
      <c r="T4348" s="9">
        <v>45108</v>
      </c>
      <c r="U4348" s="9">
        <v>45473</v>
      </c>
      <c r="V4348">
        <f>SUM(POTABLE_NONPOTABLE_API[[#This Row],[RESIDENTIAL_SINGLEFAMILY_GAL]:[OTHER_GAL]])</f>
        <v>117600000</v>
      </c>
      <c r="W4348">
        <f>SUM(POTABLE_NONPOTABLE_API[[#This Row],[NONPOTABLE_DEMAND_RESIDENTIAL_RECYCLED_WATER_GAL]:[NONPOTABLE_DEMAND_NONRESIDENTIAL_METERED_IRRIGATION_GAL]])</f>
        <v>0</v>
      </c>
      <c r="X4348" t="str">
        <f>IFERROR(INDEX(Crosswalk_API!$H$2:$H$527, MATCH(POTABLE_NONPOTABLE_API[[#This Row],[PWSID]], CW_PWSID_LIST, 0)), "")</f>
        <v>No</v>
      </c>
    </row>
    <row r="4349" spans="1:24" x14ac:dyDescent="0.25">
      <c r="A4349" t="s">
        <v>2023</v>
      </c>
      <c r="B4349" t="s">
        <v>2024</v>
      </c>
      <c r="C4349" t="s">
        <v>2025</v>
      </c>
      <c r="D4349" t="s">
        <v>2026</v>
      </c>
      <c r="E4349" s="9">
        <v>45200</v>
      </c>
      <c r="F4349" s="9">
        <v>45230</v>
      </c>
      <c r="G4349">
        <v>58848000</v>
      </c>
      <c r="H4349">
        <v>9940000</v>
      </c>
      <c r="I4349">
        <v>14686000</v>
      </c>
      <c r="J4349">
        <v>15114000</v>
      </c>
      <c r="K4349">
        <v>4162000</v>
      </c>
      <c r="L4349">
        <v>251000</v>
      </c>
      <c r="M4349">
        <v>0</v>
      </c>
      <c r="T4349" s="9">
        <v>45108</v>
      </c>
      <c r="U4349" s="9">
        <v>45473</v>
      </c>
      <c r="V4349">
        <f>SUM(POTABLE_NONPOTABLE_API[[#This Row],[RESIDENTIAL_SINGLEFAMILY_GAL]:[OTHER_GAL]])</f>
        <v>103001000</v>
      </c>
      <c r="W4349">
        <f>SUM(POTABLE_NONPOTABLE_API[[#This Row],[NONPOTABLE_DEMAND_RESIDENTIAL_RECYCLED_WATER_GAL]:[NONPOTABLE_DEMAND_NONRESIDENTIAL_METERED_IRRIGATION_GAL]])</f>
        <v>0</v>
      </c>
      <c r="X4349" t="str">
        <f>IFERROR(INDEX(Crosswalk_API!$H$2:$H$527, MATCH(POTABLE_NONPOTABLE_API[[#This Row],[PWSID]], CW_PWSID_LIST, 0)), "")</f>
        <v>No</v>
      </c>
    </row>
    <row r="4350" spans="1:24" x14ac:dyDescent="0.25">
      <c r="A4350" t="s">
        <v>2023</v>
      </c>
      <c r="B4350" t="s">
        <v>2024</v>
      </c>
      <c r="C4350" t="s">
        <v>2025</v>
      </c>
      <c r="D4350" t="s">
        <v>2026</v>
      </c>
      <c r="E4350" s="9">
        <v>45231</v>
      </c>
      <c r="F4350" s="9">
        <v>45260</v>
      </c>
      <c r="G4350">
        <v>43205000</v>
      </c>
      <c r="H4350">
        <v>8332000.0000000009</v>
      </c>
      <c r="I4350">
        <v>12553000</v>
      </c>
      <c r="J4350">
        <v>8314000</v>
      </c>
      <c r="K4350">
        <v>4403000</v>
      </c>
      <c r="L4350">
        <v>178000</v>
      </c>
      <c r="M4350">
        <v>0</v>
      </c>
      <c r="T4350" s="9">
        <v>45108</v>
      </c>
      <c r="U4350" s="9">
        <v>45473</v>
      </c>
      <c r="V4350">
        <f>SUM(POTABLE_NONPOTABLE_API[[#This Row],[RESIDENTIAL_SINGLEFAMILY_GAL]:[OTHER_GAL]])</f>
        <v>76985000</v>
      </c>
      <c r="W4350">
        <f>SUM(POTABLE_NONPOTABLE_API[[#This Row],[NONPOTABLE_DEMAND_RESIDENTIAL_RECYCLED_WATER_GAL]:[NONPOTABLE_DEMAND_NONRESIDENTIAL_METERED_IRRIGATION_GAL]])</f>
        <v>0</v>
      </c>
      <c r="X4350" t="str">
        <f>IFERROR(INDEX(Crosswalk_API!$H$2:$H$527, MATCH(POTABLE_NONPOTABLE_API[[#This Row],[PWSID]], CW_PWSID_LIST, 0)), "")</f>
        <v>No</v>
      </c>
    </row>
    <row r="4351" spans="1:24" x14ac:dyDescent="0.25">
      <c r="A4351" t="s">
        <v>2023</v>
      </c>
      <c r="B4351" t="s">
        <v>2024</v>
      </c>
      <c r="C4351" t="s">
        <v>2025</v>
      </c>
      <c r="D4351" t="s">
        <v>2026</v>
      </c>
      <c r="E4351" s="9">
        <v>45261</v>
      </c>
      <c r="F4351" s="9">
        <v>45291</v>
      </c>
      <c r="G4351">
        <v>35736000</v>
      </c>
      <c r="H4351">
        <v>7385000</v>
      </c>
      <c r="I4351">
        <v>10349000</v>
      </c>
      <c r="J4351">
        <v>4512000</v>
      </c>
      <c r="K4351">
        <v>4082000</v>
      </c>
      <c r="L4351">
        <v>194000</v>
      </c>
      <c r="M4351">
        <v>0</v>
      </c>
      <c r="T4351" s="9">
        <v>45108</v>
      </c>
      <c r="U4351" s="9">
        <v>45473</v>
      </c>
      <c r="V4351">
        <f>SUM(POTABLE_NONPOTABLE_API[[#This Row],[RESIDENTIAL_SINGLEFAMILY_GAL]:[OTHER_GAL]])</f>
        <v>62258000</v>
      </c>
      <c r="W4351">
        <f>SUM(POTABLE_NONPOTABLE_API[[#This Row],[NONPOTABLE_DEMAND_RESIDENTIAL_RECYCLED_WATER_GAL]:[NONPOTABLE_DEMAND_NONRESIDENTIAL_METERED_IRRIGATION_GAL]])</f>
        <v>0</v>
      </c>
      <c r="X4351" t="str">
        <f>IFERROR(INDEX(Crosswalk_API!$H$2:$H$527, MATCH(POTABLE_NONPOTABLE_API[[#This Row],[PWSID]], CW_PWSID_LIST, 0)), "")</f>
        <v>No</v>
      </c>
    </row>
    <row r="4352" spans="1:24" x14ac:dyDescent="0.25">
      <c r="A4352" t="s">
        <v>2023</v>
      </c>
      <c r="B4352" t="s">
        <v>2024</v>
      </c>
      <c r="C4352" t="s">
        <v>2025</v>
      </c>
      <c r="D4352" t="s">
        <v>2026</v>
      </c>
      <c r="E4352" s="9">
        <v>45292</v>
      </c>
      <c r="F4352" s="9">
        <v>45322</v>
      </c>
      <c r="G4352">
        <v>32761000.000000004</v>
      </c>
      <c r="H4352">
        <v>7877000</v>
      </c>
      <c r="I4352">
        <v>10385000</v>
      </c>
      <c r="J4352">
        <v>2145000</v>
      </c>
      <c r="K4352">
        <v>4700000</v>
      </c>
      <c r="L4352">
        <v>169000</v>
      </c>
      <c r="M4352">
        <v>0</v>
      </c>
      <c r="T4352" s="9">
        <v>45108</v>
      </c>
      <c r="U4352" s="9">
        <v>45473</v>
      </c>
      <c r="V4352">
        <f>SUM(POTABLE_NONPOTABLE_API[[#This Row],[RESIDENTIAL_SINGLEFAMILY_GAL]:[OTHER_GAL]])</f>
        <v>58037000</v>
      </c>
      <c r="W4352">
        <f>SUM(POTABLE_NONPOTABLE_API[[#This Row],[NONPOTABLE_DEMAND_RESIDENTIAL_RECYCLED_WATER_GAL]:[NONPOTABLE_DEMAND_NONRESIDENTIAL_METERED_IRRIGATION_GAL]])</f>
        <v>0</v>
      </c>
      <c r="X4352" t="str">
        <f>IFERROR(INDEX(Crosswalk_API!$H$2:$H$527, MATCH(POTABLE_NONPOTABLE_API[[#This Row],[PWSID]], CW_PWSID_LIST, 0)), "")</f>
        <v>No</v>
      </c>
    </row>
    <row r="4353" spans="1:24" x14ac:dyDescent="0.25">
      <c r="A4353" t="s">
        <v>2023</v>
      </c>
      <c r="B4353" t="s">
        <v>2024</v>
      </c>
      <c r="C4353" t="s">
        <v>2025</v>
      </c>
      <c r="D4353" t="s">
        <v>2026</v>
      </c>
      <c r="E4353" s="9">
        <v>45323</v>
      </c>
      <c r="F4353" s="9">
        <v>45351</v>
      </c>
      <c r="G4353">
        <v>21758000</v>
      </c>
      <c r="H4353">
        <v>6075000</v>
      </c>
      <c r="I4353">
        <v>6775000</v>
      </c>
      <c r="J4353">
        <v>904000</v>
      </c>
      <c r="K4353">
        <v>3194000</v>
      </c>
      <c r="L4353">
        <v>83000</v>
      </c>
      <c r="M4353">
        <v>0</v>
      </c>
      <c r="T4353" s="9">
        <v>45108</v>
      </c>
      <c r="U4353" s="9">
        <v>45473</v>
      </c>
      <c r="V4353">
        <f>SUM(POTABLE_NONPOTABLE_API[[#This Row],[RESIDENTIAL_SINGLEFAMILY_GAL]:[OTHER_GAL]])</f>
        <v>38789000</v>
      </c>
      <c r="W4353">
        <f>SUM(POTABLE_NONPOTABLE_API[[#This Row],[NONPOTABLE_DEMAND_RESIDENTIAL_RECYCLED_WATER_GAL]:[NONPOTABLE_DEMAND_NONRESIDENTIAL_METERED_IRRIGATION_GAL]])</f>
        <v>0</v>
      </c>
      <c r="X4353" t="str">
        <f>IFERROR(INDEX(Crosswalk_API!$H$2:$H$527, MATCH(POTABLE_NONPOTABLE_API[[#This Row],[PWSID]], CW_PWSID_LIST, 0)), "")</f>
        <v>No</v>
      </c>
    </row>
    <row r="4354" spans="1:24" x14ac:dyDescent="0.25">
      <c r="A4354" t="s">
        <v>2023</v>
      </c>
      <c r="B4354" t="s">
        <v>2024</v>
      </c>
      <c r="C4354" t="s">
        <v>2025</v>
      </c>
      <c r="D4354" t="s">
        <v>2026</v>
      </c>
      <c r="E4354" s="9">
        <v>45352</v>
      </c>
      <c r="F4354" s="9">
        <v>45382</v>
      </c>
      <c r="G4354">
        <v>29348000</v>
      </c>
      <c r="H4354">
        <v>7549000</v>
      </c>
      <c r="I4354">
        <v>8609000</v>
      </c>
      <c r="J4354">
        <v>1477000</v>
      </c>
      <c r="K4354">
        <v>4275000</v>
      </c>
      <c r="L4354">
        <v>114000</v>
      </c>
      <c r="M4354">
        <v>0</v>
      </c>
      <c r="T4354" s="9">
        <v>45108</v>
      </c>
      <c r="U4354" s="9">
        <v>45473</v>
      </c>
      <c r="V4354">
        <f>SUM(POTABLE_NONPOTABLE_API[[#This Row],[RESIDENTIAL_SINGLEFAMILY_GAL]:[OTHER_GAL]])</f>
        <v>51372000</v>
      </c>
      <c r="W4354">
        <f>SUM(POTABLE_NONPOTABLE_API[[#This Row],[NONPOTABLE_DEMAND_RESIDENTIAL_RECYCLED_WATER_GAL]:[NONPOTABLE_DEMAND_NONRESIDENTIAL_METERED_IRRIGATION_GAL]])</f>
        <v>0</v>
      </c>
      <c r="X4354" t="str">
        <f>IFERROR(INDEX(Crosswalk_API!$H$2:$H$527, MATCH(POTABLE_NONPOTABLE_API[[#This Row],[PWSID]], CW_PWSID_LIST, 0)), "")</f>
        <v>No</v>
      </c>
    </row>
    <row r="4355" spans="1:24" x14ac:dyDescent="0.25">
      <c r="A4355" t="s">
        <v>2023</v>
      </c>
      <c r="B4355" t="s">
        <v>2024</v>
      </c>
      <c r="C4355" t="s">
        <v>2025</v>
      </c>
      <c r="D4355" t="s">
        <v>2026</v>
      </c>
      <c r="E4355" s="9">
        <v>45383</v>
      </c>
      <c r="F4355" s="9">
        <v>45412</v>
      </c>
      <c r="G4355">
        <v>33941000</v>
      </c>
      <c r="H4355">
        <v>4078000.0000000005</v>
      </c>
      <c r="I4355">
        <v>8834000</v>
      </c>
      <c r="J4355">
        <v>3433000</v>
      </c>
      <c r="K4355">
        <v>4204000</v>
      </c>
      <c r="L4355">
        <v>116000</v>
      </c>
      <c r="M4355">
        <v>0</v>
      </c>
      <c r="T4355" s="9">
        <v>45108</v>
      </c>
      <c r="U4355" s="9">
        <v>45473</v>
      </c>
      <c r="V4355">
        <f>SUM(POTABLE_NONPOTABLE_API[[#This Row],[RESIDENTIAL_SINGLEFAMILY_GAL]:[OTHER_GAL]])</f>
        <v>54606000</v>
      </c>
      <c r="W4355">
        <f>SUM(POTABLE_NONPOTABLE_API[[#This Row],[NONPOTABLE_DEMAND_RESIDENTIAL_RECYCLED_WATER_GAL]:[NONPOTABLE_DEMAND_NONRESIDENTIAL_METERED_IRRIGATION_GAL]])</f>
        <v>0</v>
      </c>
      <c r="X4355" t="str">
        <f>IFERROR(INDEX(Crosswalk_API!$H$2:$H$527, MATCH(POTABLE_NONPOTABLE_API[[#This Row],[PWSID]], CW_PWSID_LIST, 0)), "")</f>
        <v>No</v>
      </c>
    </row>
    <row r="4356" spans="1:24" x14ac:dyDescent="0.25">
      <c r="A4356" t="s">
        <v>2023</v>
      </c>
      <c r="B4356" t="s">
        <v>2024</v>
      </c>
      <c r="C4356" t="s">
        <v>2025</v>
      </c>
      <c r="D4356" t="s">
        <v>2026</v>
      </c>
      <c r="E4356" s="9">
        <v>45413</v>
      </c>
      <c r="F4356" s="9">
        <v>45443</v>
      </c>
      <c r="G4356">
        <v>47619000</v>
      </c>
      <c r="H4356">
        <v>8263999.9999999991</v>
      </c>
      <c r="I4356">
        <v>11630000</v>
      </c>
      <c r="J4356">
        <v>8521000</v>
      </c>
      <c r="K4356">
        <v>3845000</v>
      </c>
      <c r="L4356">
        <v>144000</v>
      </c>
      <c r="M4356">
        <v>0</v>
      </c>
      <c r="T4356" s="9">
        <v>45108</v>
      </c>
      <c r="U4356" s="9">
        <v>45473</v>
      </c>
      <c r="V4356">
        <f>SUM(POTABLE_NONPOTABLE_API[[#This Row],[RESIDENTIAL_SINGLEFAMILY_GAL]:[OTHER_GAL]])</f>
        <v>80023000</v>
      </c>
      <c r="W4356">
        <f>SUM(POTABLE_NONPOTABLE_API[[#This Row],[NONPOTABLE_DEMAND_RESIDENTIAL_RECYCLED_WATER_GAL]:[NONPOTABLE_DEMAND_NONRESIDENTIAL_METERED_IRRIGATION_GAL]])</f>
        <v>0</v>
      </c>
      <c r="X4356" t="str">
        <f>IFERROR(INDEX(Crosswalk_API!$H$2:$H$527, MATCH(POTABLE_NONPOTABLE_API[[#This Row],[PWSID]], CW_PWSID_LIST, 0)), "")</f>
        <v>No</v>
      </c>
    </row>
    <row r="4357" spans="1:24" x14ac:dyDescent="0.25">
      <c r="A4357" t="s">
        <v>2023</v>
      </c>
      <c r="B4357" t="s">
        <v>2024</v>
      </c>
      <c r="C4357" t="s">
        <v>2025</v>
      </c>
      <c r="D4357" t="s">
        <v>2026</v>
      </c>
      <c r="E4357" s="9">
        <v>45444</v>
      </c>
      <c r="F4357" s="9">
        <v>45473</v>
      </c>
      <c r="G4357">
        <v>77767000</v>
      </c>
      <c r="H4357">
        <v>11660000</v>
      </c>
      <c r="I4357">
        <v>18107000</v>
      </c>
      <c r="J4357">
        <v>17670000</v>
      </c>
      <c r="K4357">
        <v>5573000</v>
      </c>
      <c r="L4357">
        <v>246000</v>
      </c>
      <c r="M4357">
        <v>0</v>
      </c>
      <c r="T4357" s="9">
        <v>45108</v>
      </c>
      <c r="U4357" s="9">
        <v>45473</v>
      </c>
      <c r="V4357">
        <f>SUM(POTABLE_NONPOTABLE_API[[#This Row],[RESIDENTIAL_SINGLEFAMILY_GAL]:[OTHER_GAL]])</f>
        <v>131023000</v>
      </c>
      <c r="W4357">
        <f>SUM(POTABLE_NONPOTABLE_API[[#This Row],[NONPOTABLE_DEMAND_RESIDENTIAL_RECYCLED_WATER_GAL]:[NONPOTABLE_DEMAND_NONRESIDENTIAL_METERED_IRRIGATION_GAL]])</f>
        <v>0</v>
      </c>
      <c r="X4357" t="str">
        <f>IFERROR(INDEX(Crosswalk_API!$H$2:$H$527, MATCH(POTABLE_NONPOTABLE_API[[#This Row],[PWSID]], CW_PWSID_LIST, 0)), "")</f>
        <v>No</v>
      </c>
    </row>
    <row r="4358" spans="1:24" x14ac:dyDescent="0.25">
      <c r="A4358" t="s">
        <v>2027</v>
      </c>
      <c r="B4358" t="s">
        <v>2028</v>
      </c>
      <c r="C4358" t="s">
        <v>2029</v>
      </c>
      <c r="D4358" t="s">
        <v>2030</v>
      </c>
      <c r="E4358" s="9">
        <v>45108</v>
      </c>
      <c r="F4358" s="9">
        <v>45138</v>
      </c>
      <c r="G4358">
        <v>162684370.25999999</v>
      </c>
      <c r="H4358">
        <v>30903708.84</v>
      </c>
      <c r="I4358">
        <v>43888871.189999998</v>
      </c>
      <c r="J4358">
        <v>28029703.02</v>
      </c>
      <c r="K4358">
        <v>0</v>
      </c>
      <c r="L4358">
        <v>1407676.32</v>
      </c>
      <c r="M4358">
        <v>0</v>
      </c>
      <c r="T4358" s="9">
        <v>45108</v>
      </c>
      <c r="U4358" s="9">
        <v>45473</v>
      </c>
      <c r="V4358">
        <f>SUM(POTABLE_NONPOTABLE_API[[#This Row],[RESIDENTIAL_SINGLEFAMILY_GAL]:[OTHER_GAL]])</f>
        <v>266914329.63</v>
      </c>
      <c r="W4358">
        <f>SUM(POTABLE_NONPOTABLE_API[[#This Row],[NONPOTABLE_DEMAND_RESIDENTIAL_RECYCLED_WATER_GAL]:[NONPOTABLE_DEMAND_NONRESIDENTIAL_METERED_IRRIGATION_GAL]])</f>
        <v>0</v>
      </c>
      <c r="X4358" t="str">
        <f>IFERROR(INDEX(Crosswalk_API!$H$2:$H$527, MATCH(POTABLE_NONPOTABLE_API[[#This Row],[PWSID]], CW_PWSID_LIST, 0)), "")</f>
        <v>No</v>
      </c>
    </row>
    <row r="4359" spans="1:24" x14ac:dyDescent="0.25">
      <c r="A4359" t="s">
        <v>2027</v>
      </c>
      <c r="B4359" t="s">
        <v>2028</v>
      </c>
      <c r="C4359" t="s">
        <v>2029</v>
      </c>
      <c r="D4359" t="s">
        <v>2030</v>
      </c>
      <c r="E4359" s="9">
        <v>45139</v>
      </c>
      <c r="F4359" s="9">
        <v>45169</v>
      </c>
      <c r="G4359">
        <v>154469666.55000001</v>
      </c>
      <c r="H4359">
        <v>28880174.129999999</v>
      </c>
      <c r="I4359">
        <v>39646291.170000002</v>
      </c>
      <c r="J4359">
        <v>29961999.449999999</v>
      </c>
      <c r="K4359">
        <v>0</v>
      </c>
      <c r="L4359">
        <v>1192614.6600000001</v>
      </c>
      <c r="M4359">
        <v>0</v>
      </c>
      <c r="T4359" s="9">
        <v>45108</v>
      </c>
      <c r="U4359" s="9">
        <v>45473</v>
      </c>
      <c r="V4359">
        <f>SUM(POTABLE_NONPOTABLE_API[[#This Row],[RESIDENTIAL_SINGLEFAMILY_GAL]:[OTHER_GAL]])</f>
        <v>254150745.96000001</v>
      </c>
      <c r="W4359">
        <f>SUM(POTABLE_NONPOTABLE_API[[#This Row],[NONPOTABLE_DEMAND_RESIDENTIAL_RECYCLED_WATER_GAL]:[NONPOTABLE_DEMAND_NONRESIDENTIAL_METERED_IRRIGATION_GAL]])</f>
        <v>0</v>
      </c>
      <c r="X4359" t="str">
        <f>IFERROR(INDEX(Crosswalk_API!$H$2:$H$527, MATCH(POTABLE_NONPOTABLE_API[[#This Row],[PWSID]], CW_PWSID_LIST, 0)), "")</f>
        <v>No</v>
      </c>
    </row>
    <row r="4360" spans="1:24" x14ac:dyDescent="0.25">
      <c r="A4360" t="s">
        <v>2027</v>
      </c>
      <c r="B4360" t="s">
        <v>2028</v>
      </c>
      <c r="C4360" t="s">
        <v>2029</v>
      </c>
      <c r="D4360" t="s">
        <v>2030</v>
      </c>
      <c r="E4360" s="9">
        <v>45170</v>
      </c>
      <c r="F4360" s="9">
        <v>45199</v>
      </c>
      <c r="G4360">
        <v>168725647.79999998</v>
      </c>
      <c r="H4360">
        <v>34250198.609999999</v>
      </c>
      <c r="I4360">
        <v>47411320.5</v>
      </c>
      <c r="J4360">
        <v>31884520.349999998</v>
      </c>
      <c r="K4360">
        <v>0</v>
      </c>
      <c r="L4360">
        <v>1016655.12</v>
      </c>
      <c r="M4360">
        <v>0</v>
      </c>
      <c r="T4360" s="9">
        <v>45108</v>
      </c>
      <c r="U4360" s="9">
        <v>45473</v>
      </c>
      <c r="V4360">
        <f>SUM(POTABLE_NONPOTABLE_API[[#This Row],[RESIDENTIAL_SINGLEFAMILY_GAL]:[OTHER_GAL]])</f>
        <v>283288342.38</v>
      </c>
      <c r="W4360">
        <f>SUM(POTABLE_NONPOTABLE_API[[#This Row],[NONPOTABLE_DEMAND_RESIDENTIAL_RECYCLED_WATER_GAL]:[NONPOTABLE_DEMAND_NONRESIDENTIAL_METERED_IRRIGATION_GAL]])</f>
        <v>0</v>
      </c>
      <c r="X4360" t="str">
        <f>IFERROR(INDEX(Crosswalk_API!$H$2:$H$527, MATCH(POTABLE_NONPOTABLE_API[[#This Row],[PWSID]], CW_PWSID_LIST, 0)), "")</f>
        <v>No</v>
      </c>
    </row>
    <row r="4361" spans="1:24" x14ac:dyDescent="0.25">
      <c r="A4361" t="s">
        <v>2027</v>
      </c>
      <c r="B4361" t="s">
        <v>2028</v>
      </c>
      <c r="C4361" t="s">
        <v>2029</v>
      </c>
      <c r="D4361" t="s">
        <v>2030</v>
      </c>
      <c r="E4361" s="9">
        <v>45200</v>
      </c>
      <c r="F4361" s="9">
        <v>45230</v>
      </c>
      <c r="G4361">
        <v>122803466.37</v>
      </c>
      <c r="H4361">
        <v>26270107.620000001</v>
      </c>
      <c r="I4361">
        <v>36485536.469999999</v>
      </c>
      <c r="J4361">
        <v>25435929.060000002</v>
      </c>
      <c r="K4361">
        <v>0</v>
      </c>
      <c r="L4361">
        <v>482259.48</v>
      </c>
      <c r="M4361">
        <v>0</v>
      </c>
      <c r="T4361" s="9">
        <v>45108</v>
      </c>
      <c r="U4361" s="9">
        <v>45473</v>
      </c>
      <c r="V4361">
        <f>SUM(POTABLE_NONPOTABLE_API[[#This Row],[RESIDENTIAL_SINGLEFAMILY_GAL]:[OTHER_GAL]])</f>
        <v>211477299</v>
      </c>
      <c r="W4361">
        <f>SUM(POTABLE_NONPOTABLE_API[[#This Row],[NONPOTABLE_DEMAND_RESIDENTIAL_RECYCLED_WATER_GAL]:[NONPOTABLE_DEMAND_NONRESIDENTIAL_METERED_IRRIGATION_GAL]])</f>
        <v>0</v>
      </c>
      <c r="X4361" t="str">
        <f>IFERROR(INDEX(Crosswalk_API!$H$2:$H$527, MATCH(POTABLE_NONPOTABLE_API[[#This Row],[PWSID]], CW_PWSID_LIST, 0)), "")</f>
        <v>No</v>
      </c>
    </row>
    <row r="4362" spans="1:24" x14ac:dyDescent="0.25">
      <c r="A4362" t="s">
        <v>2027</v>
      </c>
      <c r="B4362" t="s">
        <v>2028</v>
      </c>
      <c r="C4362" t="s">
        <v>2029</v>
      </c>
      <c r="D4362" t="s">
        <v>2030</v>
      </c>
      <c r="E4362" s="9">
        <v>45231</v>
      </c>
      <c r="F4362" s="9">
        <v>45260</v>
      </c>
      <c r="G4362">
        <v>120770156.13</v>
      </c>
      <c r="H4362">
        <v>25360983.329999998</v>
      </c>
      <c r="I4362">
        <v>35713269.600000001</v>
      </c>
      <c r="J4362">
        <v>23184298.650000002</v>
      </c>
      <c r="K4362">
        <v>0</v>
      </c>
      <c r="L4362">
        <v>1515207.1500000001</v>
      </c>
      <c r="M4362">
        <v>0</v>
      </c>
      <c r="T4362" s="9">
        <v>45108</v>
      </c>
      <c r="U4362" s="9">
        <v>45473</v>
      </c>
      <c r="V4362">
        <f>SUM(POTABLE_NONPOTABLE_API[[#This Row],[RESIDENTIAL_SINGLEFAMILY_GAL]:[OTHER_GAL]])</f>
        <v>206543914.85999998</v>
      </c>
      <c r="W4362">
        <f>SUM(POTABLE_NONPOTABLE_API[[#This Row],[NONPOTABLE_DEMAND_RESIDENTIAL_RECYCLED_WATER_GAL]:[NONPOTABLE_DEMAND_NONRESIDENTIAL_METERED_IRRIGATION_GAL]])</f>
        <v>0</v>
      </c>
      <c r="X4362" t="str">
        <f>IFERROR(INDEX(Crosswalk_API!$H$2:$H$527, MATCH(POTABLE_NONPOTABLE_API[[#This Row],[PWSID]], CW_PWSID_LIST, 0)), "")</f>
        <v>No</v>
      </c>
    </row>
    <row r="4363" spans="1:24" x14ac:dyDescent="0.25">
      <c r="A4363" t="s">
        <v>2027</v>
      </c>
      <c r="B4363" t="s">
        <v>2028</v>
      </c>
      <c r="C4363" t="s">
        <v>2029</v>
      </c>
      <c r="D4363" t="s">
        <v>2030</v>
      </c>
      <c r="E4363" s="9">
        <v>45261</v>
      </c>
      <c r="F4363" s="9">
        <v>45291</v>
      </c>
      <c r="G4363">
        <v>133312161.12</v>
      </c>
      <c r="H4363">
        <v>30216163.23</v>
      </c>
      <c r="I4363">
        <v>41053967.489999995</v>
      </c>
      <c r="J4363">
        <v>23669816.640000001</v>
      </c>
      <c r="K4363">
        <v>0</v>
      </c>
      <c r="L4363">
        <v>645184.98</v>
      </c>
      <c r="M4363">
        <v>0</v>
      </c>
      <c r="T4363" s="9">
        <v>45108</v>
      </c>
      <c r="U4363" s="9">
        <v>45473</v>
      </c>
      <c r="V4363">
        <f>SUM(POTABLE_NONPOTABLE_API[[#This Row],[RESIDENTIAL_SINGLEFAMILY_GAL]:[OTHER_GAL]])</f>
        <v>228897293.45999995</v>
      </c>
      <c r="W4363">
        <f>SUM(POTABLE_NONPOTABLE_API[[#This Row],[NONPOTABLE_DEMAND_RESIDENTIAL_RECYCLED_WATER_GAL]:[NONPOTABLE_DEMAND_NONRESIDENTIAL_METERED_IRRIGATION_GAL]])</f>
        <v>0</v>
      </c>
      <c r="X4363" t="str">
        <f>IFERROR(INDEX(Crosswalk_API!$H$2:$H$527, MATCH(POTABLE_NONPOTABLE_API[[#This Row],[PWSID]], CW_PWSID_LIST, 0)), "")</f>
        <v>No</v>
      </c>
    </row>
    <row r="4364" spans="1:24" x14ac:dyDescent="0.25">
      <c r="A4364" t="s">
        <v>2027</v>
      </c>
      <c r="B4364" t="s">
        <v>2028</v>
      </c>
      <c r="C4364" t="s">
        <v>2029</v>
      </c>
      <c r="D4364" t="s">
        <v>2030</v>
      </c>
      <c r="E4364" s="9">
        <v>45292</v>
      </c>
      <c r="F4364" s="9">
        <v>45322</v>
      </c>
      <c r="G4364">
        <v>92685058.439999998</v>
      </c>
      <c r="H4364">
        <v>23089801.859999999</v>
      </c>
      <c r="I4364">
        <v>27576770.129999999</v>
      </c>
      <c r="J4364">
        <v>10922525.520000001</v>
      </c>
      <c r="K4364">
        <v>0</v>
      </c>
      <c r="L4364">
        <v>136857.41999999998</v>
      </c>
      <c r="M4364">
        <v>0</v>
      </c>
      <c r="T4364" s="9">
        <v>45108</v>
      </c>
      <c r="U4364" s="9">
        <v>45473</v>
      </c>
      <c r="V4364">
        <f>SUM(POTABLE_NONPOTABLE_API[[#This Row],[RESIDENTIAL_SINGLEFAMILY_GAL]:[OTHER_GAL]])</f>
        <v>154411013.37</v>
      </c>
      <c r="W4364">
        <f>SUM(POTABLE_NONPOTABLE_API[[#This Row],[NONPOTABLE_DEMAND_RESIDENTIAL_RECYCLED_WATER_GAL]:[NONPOTABLE_DEMAND_NONRESIDENTIAL_METERED_IRRIGATION_GAL]])</f>
        <v>0</v>
      </c>
      <c r="X4364" t="str">
        <f>IFERROR(INDEX(Crosswalk_API!$H$2:$H$527, MATCH(POTABLE_NONPOTABLE_API[[#This Row],[PWSID]], CW_PWSID_LIST, 0)), "")</f>
        <v>No</v>
      </c>
    </row>
    <row r="4365" spans="1:24" x14ac:dyDescent="0.25">
      <c r="A4365" t="s">
        <v>2027</v>
      </c>
      <c r="B4365" t="s">
        <v>2028</v>
      </c>
      <c r="C4365" t="s">
        <v>2029</v>
      </c>
      <c r="D4365" t="s">
        <v>2030</v>
      </c>
      <c r="E4365" s="9">
        <v>45323</v>
      </c>
      <c r="F4365" s="9">
        <v>45351</v>
      </c>
      <c r="G4365">
        <v>80895769.25999999</v>
      </c>
      <c r="H4365">
        <v>22770467.879999999</v>
      </c>
      <c r="I4365">
        <v>23500374.120000001</v>
      </c>
      <c r="J4365">
        <v>7823682.5100000007</v>
      </c>
      <c r="K4365">
        <v>0</v>
      </c>
      <c r="L4365">
        <v>143374.44</v>
      </c>
      <c r="M4365">
        <v>0</v>
      </c>
      <c r="T4365" s="9">
        <v>45108</v>
      </c>
      <c r="U4365" s="9">
        <v>45473</v>
      </c>
      <c r="V4365">
        <f>SUM(POTABLE_NONPOTABLE_API[[#This Row],[RESIDENTIAL_SINGLEFAMILY_GAL]:[OTHER_GAL]])</f>
        <v>135133668.20999998</v>
      </c>
      <c r="W4365">
        <f>SUM(POTABLE_NONPOTABLE_API[[#This Row],[NONPOTABLE_DEMAND_RESIDENTIAL_RECYCLED_WATER_GAL]:[NONPOTABLE_DEMAND_NONRESIDENTIAL_METERED_IRRIGATION_GAL]])</f>
        <v>0</v>
      </c>
      <c r="X4365" t="str">
        <f>IFERROR(INDEX(Crosswalk_API!$H$2:$H$527, MATCH(POTABLE_NONPOTABLE_API[[#This Row],[PWSID]], CW_PWSID_LIST, 0)), "")</f>
        <v>No</v>
      </c>
    </row>
    <row r="4366" spans="1:24" x14ac:dyDescent="0.25">
      <c r="A4366" t="s">
        <v>2027</v>
      </c>
      <c r="B4366" t="s">
        <v>2028</v>
      </c>
      <c r="C4366" t="s">
        <v>2029</v>
      </c>
      <c r="D4366" t="s">
        <v>2030</v>
      </c>
      <c r="E4366" s="9">
        <v>45352</v>
      </c>
      <c r="F4366" s="9">
        <v>45382</v>
      </c>
      <c r="G4366">
        <v>92030097.930000007</v>
      </c>
      <c r="H4366">
        <v>25048166.370000001</v>
      </c>
      <c r="I4366">
        <v>27749471.16</v>
      </c>
      <c r="J4366">
        <v>4623825.6899999995</v>
      </c>
      <c r="K4366">
        <v>0</v>
      </c>
      <c r="L4366">
        <v>514844.58</v>
      </c>
      <c r="M4366">
        <v>0</v>
      </c>
      <c r="T4366" s="9">
        <v>45108</v>
      </c>
      <c r="U4366" s="9">
        <v>45473</v>
      </c>
      <c r="V4366">
        <f>SUM(POTABLE_NONPOTABLE_API[[#This Row],[RESIDENTIAL_SINGLEFAMILY_GAL]:[OTHER_GAL]])</f>
        <v>149966405.73000002</v>
      </c>
      <c r="W4366">
        <f>SUM(POTABLE_NONPOTABLE_API[[#This Row],[NONPOTABLE_DEMAND_RESIDENTIAL_RECYCLED_WATER_GAL]:[NONPOTABLE_DEMAND_NONRESIDENTIAL_METERED_IRRIGATION_GAL]])</f>
        <v>0</v>
      </c>
      <c r="X4366" t="str">
        <f>IFERROR(INDEX(Crosswalk_API!$H$2:$H$527, MATCH(POTABLE_NONPOTABLE_API[[#This Row],[PWSID]], CW_PWSID_LIST, 0)), "")</f>
        <v>No</v>
      </c>
    </row>
    <row r="4367" spans="1:24" x14ac:dyDescent="0.25">
      <c r="A4367" t="s">
        <v>2027</v>
      </c>
      <c r="B4367" t="s">
        <v>2028</v>
      </c>
      <c r="C4367" t="s">
        <v>2029</v>
      </c>
      <c r="D4367" t="s">
        <v>2030</v>
      </c>
      <c r="E4367" s="9">
        <v>45383</v>
      </c>
      <c r="F4367" s="9">
        <v>45412</v>
      </c>
      <c r="G4367">
        <v>79162241.939999998</v>
      </c>
      <c r="H4367">
        <v>23822966.609999999</v>
      </c>
      <c r="I4367">
        <v>24846138.75</v>
      </c>
      <c r="J4367">
        <v>7738961.25</v>
      </c>
      <c r="K4367">
        <v>0</v>
      </c>
      <c r="L4367">
        <v>1023172.14</v>
      </c>
      <c r="M4367">
        <v>0</v>
      </c>
      <c r="T4367" s="9">
        <v>45108</v>
      </c>
      <c r="U4367" s="9">
        <v>45473</v>
      </c>
      <c r="V4367">
        <f>SUM(POTABLE_NONPOTABLE_API[[#This Row],[RESIDENTIAL_SINGLEFAMILY_GAL]:[OTHER_GAL]])</f>
        <v>136593480.69</v>
      </c>
      <c r="W4367">
        <f>SUM(POTABLE_NONPOTABLE_API[[#This Row],[NONPOTABLE_DEMAND_RESIDENTIAL_RECYCLED_WATER_GAL]:[NONPOTABLE_DEMAND_NONRESIDENTIAL_METERED_IRRIGATION_GAL]])</f>
        <v>0</v>
      </c>
      <c r="X4367" t="str">
        <f>IFERROR(INDEX(Crosswalk_API!$H$2:$H$527, MATCH(POTABLE_NONPOTABLE_API[[#This Row],[PWSID]], CW_PWSID_LIST, 0)), "")</f>
        <v>No</v>
      </c>
    </row>
    <row r="4368" spans="1:24" x14ac:dyDescent="0.25">
      <c r="A4368" t="s">
        <v>2027</v>
      </c>
      <c r="B4368" t="s">
        <v>2028</v>
      </c>
      <c r="C4368" t="s">
        <v>2029</v>
      </c>
      <c r="D4368" t="s">
        <v>2030</v>
      </c>
      <c r="E4368" s="9">
        <v>45413</v>
      </c>
      <c r="F4368" s="9">
        <v>45443</v>
      </c>
      <c r="G4368">
        <v>94148129.430000007</v>
      </c>
      <c r="H4368">
        <v>20505803.43</v>
      </c>
      <c r="I4368">
        <v>27782056.260000002</v>
      </c>
      <c r="J4368">
        <v>14585090.76</v>
      </c>
      <c r="K4368">
        <v>0</v>
      </c>
      <c r="L4368">
        <v>2052861.3</v>
      </c>
      <c r="M4368">
        <v>0</v>
      </c>
      <c r="T4368" s="9">
        <v>45108</v>
      </c>
      <c r="U4368" s="9">
        <v>45473</v>
      </c>
      <c r="V4368">
        <f>SUM(POTABLE_NONPOTABLE_API[[#This Row],[RESIDENTIAL_SINGLEFAMILY_GAL]:[OTHER_GAL]])</f>
        <v>159073941.18000001</v>
      </c>
      <c r="W4368">
        <f>SUM(POTABLE_NONPOTABLE_API[[#This Row],[NONPOTABLE_DEMAND_RESIDENTIAL_RECYCLED_WATER_GAL]:[NONPOTABLE_DEMAND_NONRESIDENTIAL_METERED_IRRIGATION_GAL]])</f>
        <v>0</v>
      </c>
      <c r="X4368" t="str">
        <f>IFERROR(INDEX(Crosswalk_API!$H$2:$H$527, MATCH(POTABLE_NONPOTABLE_API[[#This Row],[PWSID]], CW_PWSID_LIST, 0)), "")</f>
        <v>No</v>
      </c>
    </row>
    <row r="4369" spans="1:24" x14ac:dyDescent="0.25">
      <c r="A4369" t="s">
        <v>2027</v>
      </c>
      <c r="B4369" t="s">
        <v>2028</v>
      </c>
      <c r="C4369" t="s">
        <v>2029</v>
      </c>
      <c r="D4369" t="s">
        <v>2030</v>
      </c>
      <c r="E4369" s="9">
        <v>45444</v>
      </c>
      <c r="F4369" s="9">
        <v>45473</v>
      </c>
      <c r="G4369">
        <v>150448665.20999998</v>
      </c>
      <c r="H4369">
        <v>30522463.170000002</v>
      </c>
      <c r="I4369">
        <v>42533331.030000001</v>
      </c>
      <c r="J4369">
        <v>26341794.84</v>
      </c>
      <c r="K4369">
        <v>0</v>
      </c>
      <c r="L4369">
        <v>2603549.4900000002</v>
      </c>
      <c r="M4369">
        <v>0</v>
      </c>
      <c r="T4369" s="9">
        <v>45108</v>
      </c>
      <c r="U4369" s="9">
        <v>45473</v>
      </c>
      <c r="V4369">
        <f>SUM(POTABLE_NONPOTABLE_API[[#This Row],[RESIDENTIAL_SINGLEFAMILY_GAL]:[OTHER_GAL]])</f>
        <v>252449803.74000001</v>
      </c>
      <c r="W4369">
        <f>SUM(POTABLE_NONPOTABLE_API[[#This Row],[NONPOTABLE_DEMAND_RESIDENTIAL_RECYCLED_WATER_GAL]:[NONPOTABLE_DEMAND_NONRESIDENTIAL_METERED_IRRIGATION_GAL]])</f>
        <v>0</v>
      </c>
      <c r="X4369" t="str">
        <f>IFERROR(INDEX(Crosswalk_API!$H$2:$H$527, MATCH(POTABLE_NONPOTABLE_API[[#This Row],[PWSID]], CW_PWSID_LIST, 0)), "")</f>
        <v>No</v>
      </c>
    </row>
    <row r="4370" spans="1:24" x14ac:dyDescent="0.25">
      <c r="A4370" t="s">
        <v>2031</v>
      </c>
      <c r="B4370" t="s">
        <v>2032</v>
      </c>
      <c r="C4370" t="s">
        <v>2033</v>
      </c>
      <c r="D4370" t="s">
        <v>2034</v>
      </c>
      <c r="E4370" s="9">
        <v>45108</v>
      </c>
      <c r="F4370" s="9">
        <v>45138</v>
      </c>
      <c r="G4370">
        <v>77487367.799999997</v>
      </c>
      <c r="H4370">
        <v>14826220.5</v>
      </c>
      <c r="I4370">
        <v>21734261.699999999</v>
      </c>
      <c r="J4370">
        <v>9351923.6999999993</v>
      </c>
      <c r="K4370">
        <v>0</v>
      </c>
      <c r="L4370">
        <v>2965244.1</v>
      </c>
      <c r="M4370">
        <v>260680.80000000002</v>
      </c>
      <c r="N4370">
        <v>0</v>
      </c>
      <c r="O4370">
        <v>0</v>
      </c>
      <c r="P4370">
        <v>0</v>
      </c>
      <c r="Q4370">
        <v>0</v>
      </c>
      <c r="R4370">
        <v>0</v>
      </c>
      <c r="S4370">
        <v>19062283.5</v>
      </c>
      <c r="T4370" s="9">
        <v>45108</v>
      </c>
      <c r="U4370" s="9">
        <v>45473</v>
      </c>
      <c r="V4370">
        <f>SUM(POTABLE_NONPOTABLE_API[[#This Row],[RESIDENTIAL_SINGLEFAMILY_GAL]:[OTHER_GAL]])</f>
        <v>126365017.8</v>
      </c>
      <c r="W4370">
        <f>SUM(POTABLE_NONPOTABLE_API[[#This Row],[NONPOTABLE_DEMAND_RESIDENTIAL_RECYCLED_WATER_GAL]:[NONPOTABLE_DEMAND_NONRESIDENTIAL_METERED_IRRIGATION_GAL]])</f>
        <v>19062283.5</v>
      </c>
      <c r="X4370" t="str">
        <f>IFERROR(INDEX(Crosswalk_API!$H$2:$H$527, MATCH(POTABLE_NONPOTABLE_API[[#This Row],[PWSID]], CW_PWSID_LIST, 0)), "")</f>
        <v>No</v>
      </c>
    </row>
    <row r="4371" spans="1:24" x14ac:dyDescent="0.25">
      <c r="A4371" t="s">
        <v>2031</v>
      </c>
      <c r="B4371" t="s">
        <v>2032</v>
      </c>
      <c r="C4371" t="s">
        <v>2033</v>
      </c>
      <c r="D4371" t="s">
        <v>2034</v>
      </c>
      <c r="E4371" s="9">
        <v>45139</v>
      </c>
      <c r="F4371" s="9">
        <v>45169</v>
      </c>
      <c r="G4371">
        <v>83059419.900000006</v>
      </c>
      <c r="H4371">
        <v>16748741.4</v>
      </c>
      <c r="I4371">
        <v>24503995.199999999</v>
      </c>
      <c r="J4371">
        <v>11046348.9</v>
      </c>
      <c r="K4371">
        <v>0</v>
      </c>
      <c r="L4371">
        <v>4007967.3000000003</v>
      </c>
      <c r="M4371">
        <v>195510.6</v>
      </c>
      <c r="N4371">
        <v>0</v>
      </c>
      <c r="O4371">
        <v>0</v>
      </c>
      <c r="P4371">
        <v>0</v>
      </c>
      <c r="Q4371">
        <v>0</v>
      </c>
      <c r="R4371">
        <v>0</v>
      </c>
      <c r="S4371">
        <v>24308484.599999998</v>
      </c>
      <c r="T4371" s="9">
        <v>45108</v>
      </c>
      <c r="U4371" s="9">
        <v>45473</v>
      </c>
      <c r="V4371">
        <f>SUM(POTABLE_NONPOTABLE_API[[#This Row],[RESIDENTIAL_SINGLEFAMILY_GAL]:[OTHER_GAL]])</f>
        <v>139366472.70000002</v>
      </c>
      <c r="W4371">
        <f>SUM(POTABLE_NONPOTABLE_API[[#This Row],[NONPOTABLE_DEMAND_RESIDENTIAL_RECYCLED_WATER_GAL]:[NONPOTABLE_DEMAND_NONRESIDENTIAL_METERED_IRRIGATION_GAL]])</f>
        <v>24308484.599999998</v>
      </c>
      <c r="X4371" t="str">
        <f>IFERROR(INDEX(Crosswalk_API!$H$2:$H$527, MATCH(POTABLE_NONPOTABLE_API[[#This Row],[PWSID]], CW_PWSID_LIST, 0)), "")</f>
        <v>No</v>
      </c>
    </row>
    <row r="4372" spans="1:24" x14ac:dyDescent="0.25">
      <c r="A4372" t="s">
        <v>2031</v>
      </c>
      <c r="B4372" t="s">
        <v>2032</v>
      </c>
      <c r="C4372" t="s">
        <v>2033</v>
      </c>
      <c r="D4372" t="s">
        <v>2034</v>
      </c>
      <c r="E4372" s="9">
        <v>45170</v>
      </c>
      <c r="F4372" s="9">
        <v>45199</v>
      </c>
      <c r="G4372">
        <v>72632187.900000006</v>
      </c>
      <c r="H4372">
        <v>15608262.9</v>
      </c>
      <c r="I4372">
        <v>23233176.300000001</v>
      </c>
      <c r="J4372">
        <v>9156413.0999999996</v>
      </c>
      <c r="K4372">
        <v>0</v>
      </c>
      <c r="L4372">
        <v>2150616.6</v>
      </c>
      <c r="M4372">
        <v>162925.5</v>
      </c>
      <c r="N4372">
        <v>0</v>
      </c>
      <c r="O4372">
        <v>0</v>
      </c>
      <c r="P4372">
        <v>0</v>
      </c>
      <c r="Q4372">
        <v>0</v>
      </c>
      <c r="R4372">
        <v>0</v>
      </c>
      <c r="S4372">
        <v>18638677.199999999</v>
      </c>
      <c r="T4372" s="9">
        <v>45108</v>
      </c>
      <c r="U4372" s="9">
        <v>45473</v>
      </c>
      <c r="V4372">
        <f>SUM(POTABLE_NONPOTABLE_API[[#This Row],[RESIDENTIAL_SINGLEFAMILY_GAL]:[OTHER_GAL]])</f>
        <v>122780656.8</v>
      </c>
      <c r="W4372">
        <f>SUM(POTABLE_NONPOTABLE_API[[#This Row],[NONPOTABLE_DEMAND_RESIDENTIAL_RECYCLED_WATER_GAL]:[NONPOTABLE_DEMAND_NONRESIDENTIAL_METERED_IRRIGATION_GAL]])</f>
        <v>18638677.199999999</v>
      </c>
      <c r="X4372" t="str">
        <f>IFERROR(INDEX(Crosswalk_API!$H$2:$H$527, MATCH(POTABLE_NONPOTABLE_API[[#This Row],[PWSID]], CW_PWSID_LIST, 0)), "")</f>
        <v>No</v>
      </c>
    </row>
    <row r="4373" spans="1:24" x14ac:dyDescent="0.25">
      <c r="A4373" t="s">
        <v>2031</v>
      </c>
      <c r="B4373" t="s">
        <v>2032</v>
      </c>
      <c r="C4373" t="s">
        <v>2033</v>
      </c>
      <c r="D4373" t="s">
        <v>2034</v>
      </c>
      <c r="E4373" s="9">
        <v>45200</v>
      </c>
      <c r="F4373" s="9">
        <v>45230</v>
      </c>
      <c r="G4373">
        <v>63899381.100000001</v>
      </c>
      <c r="H4373">
        <v>14076763.200000001</v>
      </c>
      <c r="I4373">
        <v>19779155.699999999</v>
      </c>
      <c r="J4373">
        <v>7233892.2000000002</v>
      </c>
      <c r="K4373">
        <v>0</v>
      </c>
      <c r="L4373">
        <v>2118031.5</v>
      </c>
      <c r="M4373">
        <v>293265.90000000002</v>
      </c>
      <c r="N4373">
        <v>0</v>
      </c>
      <c r="O4373">
        <v>0</v>
      </c>
      <c r="P4373">
        <v>0</v>
      </c>
      <c r="Q4373">
        <v>0</v>
      </c>
      <c r="R4373">
        <v>0</v>
      </c>
      <c r="S4373">
        <v>15510507.6</v>
      </c>
      <c r="T4373" s="9">
        <v>45108</v>
      </c>
      <c r="U4373" s="9">
        <v>45473</v>
      </c>
      <c r="V4373">
        <f>SUM(POTABLE_NONPOTABLE_API[[#This Row],[RESIDENTIAL_SINGLEFAMILY_GAL]:[OTHER_GAL]])</f>
        <v>107107223.7</v>
      </c>
      <c r="W4373">
        <f>SUM(POTABLE_NONPOTABLE_API[[#This Row],[NONPOTABLE_DEMAND_RESIDENTIAL_RECYCLED_WATER_GAL]:[NONPOTABLE_DEMAND_NONRESIDENTIAL_METERED_IRRIGATION_GAL]])</f>
        <v>15510507.6</v>
      </c>
      <c r="X4373" t="str">
        <f>IFERROR(INDEX(Crosswalk_API!$H$2:$H$527, MATCH(POTABLE_NONPOTABLE_API[[#This Row],[PWSID]], CW_PWSID_LIST, 0)), "")</f>
        <v>No</v>
      </c>
    </row>
    <row r="4374" spans="1:24" x14ac:dyDescent="0.25">
      <c r="A4374" t="s">
        <v>2031</v>
      </c>
      <c r="B4374" t="s">
        <v>2032</v>
      </c>
      <c r="C4374" t="s">
        <v>2033</v>
      </c>
      <c r="D4374" t="s">
        <v>2034</v>
      </c>
      <c r="E4374" s="9">
        <v>45231</v>
      </c>
      <c r="F4374" s="9">
        <v>45260</v>
      </c>
      <c r="G4374">
        <v>60966722.100000001</v>
      </c>
      <c r="H4374">
        <v>13457646.299999999</v>
      </c>
      <c r="I4374">
        <v>19322964.300000001</v>
      </c>
      <c r="J4374">
        <v>7103551.7999999998</v>
      </c>
      <c r="K4374">
        <v>0</v>
      </c>
      <c r="L4374">
        <v>2052861.3</v>
      </c>
      <c r="M4374">
        <v>228095.69999999998</v>
      </c>
      <c r="N4374">
        <v>0</v>
      </c>
      <c r="O4374">
        <v>0</v>
      </c>
      <c r="P4374">
        <v>0</v>
      </c>
      <c r="Q4374">
        <v>0</v>
      </c>
      <c r="R4374">
        <v>0</v>
      </c>
      <c r="S4374">
        <v>13359891</v>
      </c>
      <c r="T4374" s="9">
        <v>45108</v>
      </c>
      <c r="U4374" s="9">
        <v>45473</v>
      </c>
      <c r="V4374">
        <f>SUM(POTABLE_NONPOTABLE_API[[#This Row],[RESIDENTIAL_SINGLEFAMILY_GAL]:[OTHER_GAL]])</f>
        <v>102903745.8</v>
      </c>
      <c r="W4374">
        <f>SUM(POTABLE_NONPOTABLE_API[[#This Row],[NONPOTABLE_DEMAND_RESIDENTIAL_RECYCLED_WATER_GAL]:[NONPOTABLE_DEMAND_NONRESIDENTIAL_METERED_IRRIGATION_GAL]])</f>
        <v>13359891</v>
      </c>
      <c r="X4374" t="str">
        <f>IFERROR(INDEX(Crosswalk_API!$H$2:$H$527, MATCH(POTABLE_NONPOTABLE_API[[#This Row],[PWSID]], CW_PWSID_LIST, 0)), "")</f>
        <v>No</v>
      </c>
    </row>
    <row r="4375" spans="1:24" x14ac:dyDescent="0.25">
      <c r="A4375" t="s">
        <v>2031</v>
      </c>
      <c r="B4375" t="s">
        <v>2032</v>
      </c>
      <c r="C4375" t="s">
        <v>2033</v>
      </c>
      <c r="D4375" t="s">
        <v>2034</v>
      </c>
      <c r="E4375" s="9">
        <v>45261</v>
      </c>
      <c r="F4375" s="9">
        <v>45291</v>
      </c>
      <c r="G4375">
        <v>59272296.899999999</v>
      </c>
      <c r="H4375">
        <v>14728465.200000001</v>
      </c>
      <c r="I4375">
        <v>20887049.099999998</v>
      </c>
      <c r="J4375">
        <v>5278786.2</v>
      </c>
      <c r="K4375">
        <v>0</v>
      </c>
      <c r="L4375">
        <v>1238233.8</v>
      </c>
      <c r="M4375">
        <v>195510.6</v>
      </c>
      <c r="N4375">
        <v>0</v>
      </c>
      <c r="O4375">
        <v>0</v>
      </c>
      <c r="P4375">
        <v>0</v>
      </c>
      <c r="Q4375">
        <v>0</v>
      </c>
      <c r="R4375">
        <v>0</v>
      </c>
      <c r="S4375">
        <v>9580019.4000000004</v>
      </c>
      <c r="T4375" s="9">
        <v>45108</v>
      </c>
      <c r="U4375" s="9">
        <v>45473</v>
      </c>
      <c r="V4375">
        <f>SUM(POTABLE_NONPOTABLE_API[[#This Row],[RESIDENTIAL_SINGLEFAMILY_GAL]:[OTHER_GAL]])</f>
        <v>101404831.19999999</v>
      </c>
      <c r="W4375">
        <f>SUM(POTABLE_NONPOTABLE_API[[#This Row],[NONPOTABLE_DEMAND_RESIDENTIAL_RECYCLED_WATER_GAL]:[NONPOTABLE_DEMAND_NONRESIDENTIAL_METERED_IRRIGATION_GAL]])</f>
        <v>9580019.4000000004</v>
      </c>
      <c r="X4375" t="str">
        <f>IFERROR(INDEX(Crosswalk_API!$H$2:$H$527, MATCH(POTABLE_NONPOTABLE_API[[#This Row],[PWSID]], CW_PWSID_LIST, 0)), "")</f>
        <v>No</v>
      </c>
    </row>
    <row r="4376" spans="1:24" x14ac:dyDescent="0.25">
      <c r="A4376" t="s">
        <v>2031</v>
      </c>
      <c r="B4376" t="s">
        <v>2032</v>
      </c>
      <c r="C4376" t="s">
        <v>2033</v>
      </c>
      <c r="D4376" t="s">
        <v>2034</v>
      </c>
      <c r="E4376" s="9">
        <v>45292</v>
      </c>
      <c r="F4376" s="9">
        <v>45322</v>
      </c>
      <c r="G4376">
        <v>39460556.100000001</v>
      </c>
      <c r="H4376">
        <v>12349752.9</v>
      </c>
      <c r="I4376">
        <v>15086901.299999999</v>
      </c>
      <c r="J4376">
        <v>1857350.7</v>
      </c>
      <c r="K4376">
        <v>0</v>
      </c>
      <c r="L4376">
        <v>586531.80000000005</v>
      </c>
      <c r="M4376">
        <v>97755.3</v>
      </c>
      <c r="N4376">
        <v>0</v>
      </c>
      <c r="O4376">
        <v>0</v>
      </c>
      <c r="P4376">
        <v>0</v>
      </c>
      <c r="Q4376">
        <v>0</v>
      </c>
      <c r="R4376">
        <v>0</v>
      </c>
      <c r="S4376">
        <v>3682116.3000000003</v>
      </c>
      <c r="T4376" s="9">
        <v>45108</v>
      </c>
      <c r="U4376" s="9">
        <v>45473</v>
      </c>
      <c r="V4376">
        <f>SUM(POTABLE_NONPOTABLE_API[[#This Row],[RESIDENTIAL_SINGLEFAMILY_GAL]:[OTHER_GAL]])</f>
        <v>69341092.799999997</v>
      </c>
      <c r="W4376">
        <f>SUM(POTABLE_NONPOTABLE_API[[#This Row],[NONPOTABLE_DEMAND_RESIDENTIAL_RECYCLED_WATER_GAL]:[NONPOTABLE_DEMAND_NONRESIDENTIAL_METERED_IRRIGATION_GAL]])</f>
        <v>3682116.3000000003</v>
      </c>
      <c r="X4376" t="str">
        <f>IFERROR(INDEX(Crosswalk_API!$H$2:$H$527, MATCH(POTABLE_NONPOTABLE_API[[#This Row],[PWSID]], CW_PWSID_LIST, 0)), "")</f>
        <v>No</v>
      </c>
    </row>
    <row r="4377" spans="1:24" x14ac:dyDescent="0.25">
      <c r="A4377" t="s">
        <v>2031</v>
      </c>
      <c r="B4377" t="s">
        <v>2032</v>
      </c>
      <c r="C4377" t="s">
        <v>2033</v>
      </c>
      <c r="D4377" t="s">
        <v>2034</v>
      </c>
      <c r="E4377" s="9">
        <v>45323</v>
      </c>
      <c r="F4377" s="9">
        <v>45351</v>
      </c>
      <c r="G4377">
        <v>36397556.700000003</v>
      </c>
      <c r="H4377">
        <v>13490231.4</v>
      </c>
      <c r="I4377">
        <v>17889219.899999999</v>
      </c>
      <c r="J4377">
        <v>651702</v>
      </c>
      <c r="K4377">
        <v>0</v>
      </c>
      <c r="L4377">
        <v>293265.90000000002</v>
      </c>
      <c r="M4377">
        <v>65170.200000000004</v>
      </c>
      <c r="N4377">
        <v>0</v>
      </c>
      <c r="O4377">
        <v>0</v>
      </c>
      <c r="P4377">
        <v>0</v>
      </c>
      <c r="Q4377">
        <v>0</v>
      </c>
      <c r="R4377">
        <v>0</v>
      </c>
      <c r="S4377">
        <v>1205648.7</v>
      </c>
      <c r="T4377" s="9">
        <v>45108</v>
      </c>
      <c r="U4377" s="9">
        <v>45473</v>
      </c>
      <c r="V4377">
        <f>SUM(POTABLE_NONPOTABLE_API[[#This Row],[RESIDENTIAL_SINGLEFAMILY_GAL]:[OTHER_GAL]])</f>
        <v>68721975.900000006</v>
      </c>
      <c r="W4377">
        <f>SUM(POTABLE_NONPOTABLE_API[[#This Row],[NONPOTABLE_DEMAND_RESIDENTIAL_RECYCLED_WATER_GAL]:[NONPOTABLE_DEMAND_NONRESIDENTIAL_METERED_IRRIGATION_GAL]])</f>
        <v>1205648.7</v>
      </c>
      <c r="X4377" t="str">
        <f>IFERROR(INDEX(Crosswalk_API!$H$2:$H$527, MATCH(POTABLE_NONPOTABLE_API[[#This Row],[PWSID]], CW_PWSID_LIST, 0)), "")</f>
        <v>No</v>
      </c>
    </row>
    <row r="4378" spans="1:24" x14ac:dyDescent="0.25">
      <c r="A4378" t="s">
        <v>2031</v>
      </c>
      <c r="B4378" t="s">
        <v>2032</v>
      </c>
      <c r="C4378" t="s">
        <v>2033</v>
      </c>
      <c r="D4378" t="s">
        <v>2034</v>
      </c>
      <c r="E4378" s="9">
        <v>45352</v>
      </c>
      <c r="F4378" s="9">
        <v>45382</v>
      </c>
      <c r="G4378">
        <v>31151355.599999998</v>
      </c>
      <c r="H4378">
        <v>11274444.6</v>
      </c>
      <c r="I4378">
        <v>15477922.5</v>
      </c>
      <c r="J4378">
        <v>619116.9</v>
      </c>
      <c r="K4378">
        <v>0</v>
      </c>
      <c r="L4378">
        <v>162925.5</v>
      </c>
      <c r="M4378">
        <v>65170.200000000004</v>
      </c>
      <c r="N4378">
        <v>0</v>
      </c>
      <c r="O4378">
        <v>0</v>
      </c>
      <c r="P4378">
        <v>0</v>
      </c>
      <c r="Q4378">
        <v>0</v>
      </c>
      <c r="R4378">
        <v>0</v>
      </c>
      <c r="S4378">
        <v>1531499.7</v>
      </c>
      <c r="T4378" s="9">
        <v>45108</v>
      </c>
      <c r="U4378" s="9">
        <v>45473</v>
      </c>
      <c r="V4378">
        <f>SUM(POTABLE_NONPOTABLE_API[[#This Row],[RESIDENTIAL_SINGLEFAMILY_GAL]:[OTHER_GAL]])</f>
        <v>58685765.099999994</v>
      </c>
      <c r="W4378">
        <f>SUM(POTABLE_NONPOTABLE_API[[#This Row],[NONPOTABLE_DEMAND_RESIDENTIAL_RECYCLED_WATER_GAL]:[NONPOTABLE_DEMAND_NONRESIDENTIAL_METERED_IRRIGATION_GAL]])</f>
        <v>1531499.7</v>
      </c>
      <c r="X4378" t="str">
        <f>IFERROR(INDEX(Crosswalk_API!$H$2:$H$527, MATCH(POTABLE_NONPOTABLE_API[[#This Row],[PWSID]], CW_PWSID_LIST, 0)), "")</f>
        <v>No</v>
      </c>
    </row>
    <row r="4379" spans="1:24" x14ac:dyDescent="0.25">
      <c r="A4379" t="s">
        <v>2031</v>
      </c>
      <c r="B4379" t="s">
        <v>2032</v>
      </c>
      <c r="C4379" t="s">
        <v>2033</v>
      </c>
      <c r="D4379" t="s">
        <v>2034</v>
      </c>
      <c r="E4379" s="9">
        <v>45383</v>
      </c>
      <c r="F4379" s="9">
        <v>45412</v>
      </c>
      <c r="G4379">
        <v>38808854.100000001</v>
      </c>
      <c r="H4379">
        <v>12968869.799999999</v>
      </c>
      <c r="I4379">
        <v>18931943.100000001</v>
      </c>
      <c r="J4379">
        <v>1759595.4000000001</v>
      </c>
      <c r="K4379">
        <v>0</v>
      </c>
      <c r="L4379">
        <v>423606.3</v>
      </c>
      <c r="M4379">
        <v>130340.40000000001</v>
      </c>
      <c r="N4379">
        <v>0</v>
      </c>
      <c r="O4379">
        <v>0</v>
      </c>
      <c r="P4379">
        <v>0</v>
      </c>
      <c r="Q4379">
        <v>0</v>
      </c>
      <c r="R4379">
        <v>0</v>
      </c>
      <c r="S4379">
        <v>5181030.9000000004</v>
      </c>
      <c r="T4379" s="9">
        <v>45108</v>
      </c>
      <c r="U4379" s="9">
        <v>45473</v>
      </c>
      <c r="V4379">
        <f>SUM(POTABLE_NONPOTABLE_API[[#This Row],[RESIDENTIAL_SINGLEFAMILY_GAL]:[OTHER_GAL]])</f>
        <v>72892868.700000003</v>
      </c>
      <c r="W4379">
        <f>SUM(POTABLE_NONPOTABLE_API[[#This Row],[NONPOTABLE_DEMAND_RESIDENTIAL_RECYCLED_WATER_GAL]:[NONPOTABLE_DEMAND_NONRESIDENTIAL_METERED_IRRIGATION_GAL]])</f>
        <v>5181030.9000000004</v>
      </c>
      <c r="X4379" t="str">
        <f>IFERROR(INDEX(Crosswalk_API!$H$2:$H$527, MATCH(POTABLE_NONPOTABLE_API[[#This Row],[PWSID]], CW_PWSID_LIST, 0)), "")</f>
        <v>No</v>
      </c>
    </row>
    <row r="4380" spans="1:24" x14ac:dyDescent="0.25">
      <c r="A4380" t="s">
        <v>2031</v>
      </c>
      <c r="B4380" t="s">
        <v>2032</v>
      </c>
      <c r="C4380" t="s">
        <v>2033</v>
      </c>
      <c r="D4380" t="s">
        <v>2034</v>
      </c>
      <c r="E4380" s="9">
        <v>45413</v>
      </c>
      <c r="F4380" s="9">
        <v>45443</v>
      </c>
      <c r="G4380">
        <v>52266500.399999999</v>
      </c>
      <c r="H4380">
        <v>12773359.200000001</v>
      </c>
      <c r="I4380">
        <v>19518474.899999999</v>
      </c>
      <c r="J4380">
        <v>5637222.2999999998</v>
      </c>
      <c r="K4380">
        <v>0</v>
      </c>
      <c r="L4380">
        <v>1270818.8999999999</v>
      </c>
      <c r="M4380">
        <v>130340.40000000001</v>
      </c>
      <c r="N4380">
        <v>0</v>
      </c>
      <c r="O4380">
        <v>0</v>
      </c>
      <c r="P4380">
        <v>0</v>
      </c>
      <c r="Q4380">
        <v>0</v>
      </c>
      <c r="R4380">
        <v>0</v>
      </c>
      <c r="S4380">
        <v>13653156.9</v>
      </c>
      <c r="T4380" s="9">
        <v>45108</v>
      </c>
      <c r="U4380" s="9">
        <v>45473</v>
      </c>
      <c r="V4380">
        <f>SUM(POTABLE_NONPOTABLE_API[[#This Row],[RESIDENTIAL_SINGLEFAMILY_GAL]:[OTHER_GAL]])</f>
        <v>91466375.700000003</v>
      </c>
      <c r="W4380">
        <f>SUM(POTABLE_NONPOTABLE_API[[#This Row],[NONPOTABLE_DEMAND_RESIDENTIAL_RECYCLED_WATER_GAL]:[NONPOTABLE_DEMAND_NONRESIDENTIAL_METERED_IRRIGATION_GAL]])</f>
        <v>13653156.9</v>
      </c>
      <c r="X4380" t="str">
        <f>IFERROR(INDEX(Crosswalk_API!$H$2:$H$527, MATCH(POTABLE_NONPOTABLE_API[[#This Row],[PWSID]], CW_PWSID_LIST, 0)), "")</f>
        <v>No</v>
      </c>
    </row>
    <row r="4381" spans="1:24" x14ac:dyDescent="0.25">
      <c r="A4381" t="s">
        <v>2031</v>
      </c>
      <c r="B4381" t="s">
        <v>2032</v>
      </c>
      <c r="C4381" t="s">
        <v>2033</v>
      </c>
      <c r="D4381" t="s">
        <v>2034</v>
      </c>
      <c r="E4381" s="9">
        <v>45444</v>
      </c>
      <c r="F4381" s="9">
        <v>45473</v>
      </c>
      <c r="G4381">
        <v>74326613.099999994</v>
      </c>
      <c r="H4381">
        <v>15803773.5</v>
      </c>
      <c r="I4381">
        <v>24178144.199999999</v>
      </c>
      <c r="J4381">
        <v>8667636.5999999996</v>
      </c>
      <c r="K4381">
        <v>0</v>
      </c>
      <c r="L4381">
        <v>2606808</v>
      </c>
      <c r="M4381">
        <v>162925.5</v>
      </c>
      <c r="N4381">
        <v>0</v>
      </c>
      <c r="O4381">
        <v>0</v>
      </c>
      <c r="P4381">
        <v>0</v>
      </c>
      <c r="Q4381">
        <v>0</v>
      </c>
      <c r="R4381">
        <v>0</v>
      </c>
      <c r="S4381">
        <v>12675603.9</v>
      </c>
      <c r="T4381" s="9">
        <v>45108</v>
      </c>
      <c r="U4381" s="9">
        <v>45473</v>
      </c>
      <c r="V4381">
        <f>SUM(POTABLE_NONPOTABLE_API[[#This Row],[RESIDENTIAL_SINGLEFAMILY_GAL]:[OTHER_GAL]])</f>
        <v>125582975.39999999</v>
      </c>
      <c r="W4381">
        <f>SUM(POTABLE_NONPOTABLE_API[[#This Row],[NONPOTABLE_DEMAND_RESIDENTIAL_RECYCLED_WATER_GAL]:[NONPOTABLE_DEMAND_NONRESIDENTIAL_METERED_IRRIGATION_GAL]])</f>
        <v>12675603.9</v>
      </c>
      <c r="X4381" t="str">
        <f>IFERROR(INDEX(Crosswalk_API!$H$2:$H$527, MATCH(POTABLE_NONPOTABLE_API[[#This Row],[PWSID]], CW_PWSID_LIST, 0)), "")</f>
        <v>No</v>
      </c>
    </row>
    <row r="4382" spans="1:24" x14ac:dyDescent="0.25">
      <c r="A4382" t="s">
        <v>2031</v>
      </c>
      <c r="B4382" t="s">
        <v>2032</v>
      </c>
      <c r="C4382" t="s">
        <v>2035</v>
      </c>
      <c r="D4382" t="s">
        <v>2036</v>
      </c>
      <c r="E4382" s="9">
        <v>45108</v>
      </c>
      <c r="F4382" s="9">
        <v>45138</v>
      </c>
      <c r="G4382">
        <v>17856634.800000001</v>
      </c>
      <c r="H4382">
        <v>0</v>
      </c>
      <c r="I4382">
        <v>619116.9</v>
      </c>
      <c r="J4382">
        <v>1987691.0999999999</v>
      </c>
      <c r="K4382">
        <v>0</v>
      </c>
      <c r="L4382">
        <v>0</v>
      </c>
      <c r="M4382">
        <v>358436.10000000003</v>
      </c>
      <c r="N4382">
        <v>0</v>
      </c>
      <c r="O4382">
        <v>0</v>
      </c>
      <c r="P4382">
        <v>0</v>
      </c>
      <c r="Q4382">
        <v>0</v>
      </c>
      <c r="R4382">
        <v>0</v>
      </c>
      <c r="S4382">
        <v>1922520.9000000001</v>
      </c>
      <c r="T4382" s="9">
        <v>45108</v>
      </c>
      <c r="U4382" s="9">
        <v>45473</v>
      </c>
      <c r="V4382">
        <f>SUM(POTABLE_NONPOTABLE_API[[#This Row],[RESIDENTIAL_SINGLEFAMILY_GAL]:[OTHER_GAL]])</f>
        <v>20463442.800000001</v>
      </c>
      <c r="W4382">
        <f>SUM(POTABLE_NONPOTABLE_API[[#This Row],[NONPOTABLE_DEMAND_RESIDENTIAL_RECYCLED_WATER_GAL]:[NONPOTABLE_DEMAND_NONRESIDENTIAL_METERED_IRRIGATION_GAL]])</f>
        <v>1922520.9000000001</v>
      </c>
      <c r="X4382" t="str">
        <f>IFERROR(INDEX(Crosswalk_API!$H$2:$H$527, MATCH(POTABLE_NONPOTABLE_API[[#This Row],[PWSID]], CW_PWSID_LIST, 0)), "")</f>
        <v>No</v>
      </c>
    </row>
    <row r="4383" spans="1:24" x14ac:dyDescent="0.25">
      <c r="A4383" t="s">
        <v>2031</v>
      </c>
      <c r="B4383" t="s">
        <v>2032</v>
      </c>
      <c r="C4383" t="s">
        <v>2035</v>
      </c>
      <c r="D4383" t="s">
        <v>2036</v>
      </c>
      <c r="E4383" s="9">
        <v>45139</v>
      </c>
      <c r="F4383" s="9">
        <v>45169</v>
      </c>
      <c r="G4383">
        <v>18671262.300000001</v>
      </c>
      <c r="H4383">
        <v>0</v>
      </c>
      <c r="I4383">
        <v>619116.9</v>
      </c>
      <c r="J4383">
        <v>2411297.4</v>
      </c>
      <c r="K4383">
        <v>0</v>
      </c>
      <c r="L4383">
        <v>65170.200000000004</v>
      </c>
      <c r="M4383">
        <v>553946.69999999995</v>
      </c>
      <c r="N4383">
        <v>0</v>
      </c>
      <c r="O4383">
        <v>0</v>
      </c>
      <c r="P4383">
        <v>0</v>
      </c>
      <c r="Q4383">
        <v>0</v>
      </c>
      <c r="R4383">
        <v>0</v>
      </c>
      <c r="S4383">
        <v>2280957</v>
      </c>
      <c r="T4383" s="9">
        <v>45108</v>
      </c>
      <c r="U4383" s="9">
        <v>45473</v>
      </c>
      <c r="V4383">
        <f>SUM(POTABLE_NONPOTABLE_API[[#This Row],[RESIDENTIAL_SINGLEFAMILY_GAL]:[OTHER_GAL]])</f>
        <v>21766846.799999997</v>
      </c>
      <c r="W4383">
        <f>SUM(POTABLE_NONPOTABLE_API[[#This Row],[NONPOTABLE_DEMAND_RESIDENTIAL_RECYCLED_WATER_GAL]:[NONPOTABLE_DEMAND_NONRESIDENTIAL_METERED_IRRIGATION_GAL]])</f>
        <v>2280957</v>
      </c>
      <c r="X4383" t="str">
        <f>IFERROR(INDEX(Crosswalk_API!$H$2:$H$527, MATCH(POTABLE_NONPOTABLE_API[[#This Row],[PWSID]], CW_PWSID_LIST, 0)), "")</f>
        <v>No</v>
      </c>
    </row>
    <row r="4384" spans="1:24" x14ac:dyDescent="0.25">
      <c r="A4384" t="s">
        <v>2031</v>
      </c>
      <c r="B4384" t="s">
        <v>2032</v>
      </c>
      <c r="C4384" t="s">
        <v>2035</v>
      </c>
      <c r="D4384" t="s">
        <v>2036</v>
      </c>
      <c r="E4384" s="9">
        <v>45170</v>
      </c>
      <c r="F4384" s="9">
        <v>45199</v>
      </c>
      <c r="G4384">
        <v>17367858.300000001</v>
      </c>
      <c r="H4384">
        <v>0</v>
      </c>
      <c r="I4384">
        <v>619116.9</v>
      </c>
      <c r="J4384">
        <v>2052861.3</v>
      </c>
      <c r="K4384">
        <v>0</v>
      </c>
      <c r="L4384">
        <v>0</v>
      </c>
      <c r="M4384">
        <v>162925.5</v>
      </c>
      <c r="N4384">
        <v>0</v>
      </c>
      <c r="O4384">
        <v>0</v>
      </c>
      <c r="P4384">
        <v>0</v>
      </c>
      <c r="Q4384">
        <v>0</v>
      </c>
      <c r="R4384">
        <v>0</v>
      </c>
      <c r="S4384">
        <v>1531499.7</v>
      </c>
      <c r="T4384" s="9">
        <v>45108</v>
      </c>
      <c r="U4384" s="9">
        <v>45473</v>
      </c>
      <c r="V4384">
        <f>SUM(POTABLE_NONPOTABLE_API[[#This Row],[RESIDENTIAL_SINGLEFAMILY_GAL]:[OTHER_GAL]])</f>
        <v>20039836.5</v>
      </c>
      <c r="W4384">
        <f>SUM(POTABLE_NONPOTABLE_API[[#This Row],[NONPOTABLE_DEMAND_RESIDENTIAL_RECYCLED_WATER_GAL]:[NONPOTABLE_DEMAND_NONRESIDENTIAL_METERED_IRRIGATION_GAL]])</f>
        <v>1531499.7</v>
      </c>
      <c r="X4384" t="str">
        <f>IFERROR(INDEX(Crosswalk_API!$H$2:$H$527, MATCH(POTABLE_NONPOTABLE_API[[#This Row],[PWSID]], CW_PWSID_LIST, 0)), "")</f>
        <v>No</v>
      </c>
    </row>
    <row r="4385" spans="1:24" x14ac:dyDescent="0.25">
      <c r="A4385" t="s">
        <v>2031</v>
      </c>
      <c r="B4385" t="s">
        <v>2032</v>
      </c>
      <c r="C4385" t="s">
        <v>2035</v>
      </c>
      <c r="D4385" t="s">
        <v>2036</v>
      </c>
      <c r="E4385" s="9">
        <v>45200</v>
      </c>
      <c r="F4385" s="9">
        <v>45230</v>
      </c>
      <c r="G4385">
        <v>14793635.4</v>
      </c>
      <c r="H4385">
        <v>0</v>
      </c>
      <c r="I4385">
        <v>521361.60000000003</v>
      </c>
      <c r="J4385">
        <v>1401159.3</v>
      </c>
      <c r="K4385">
        <v>0</v>
      </c>
      <c r="L4385">
        <v>0</v>
      </c>
      <c r="M4385">
        <v>456191.39999999997</v>
      </c>
      <c r="N4385">
        <v>0</v>
      </c>
      <c r="O4385">
        <v>0</v>
      </c>
      <c r="P4385">
        <v>0</v>
      </c>
      <c r="Q4385">
        <v>0</v>
      </c>
      <c r="R4385">
        <v>0</v>
      </c>
      <c r="S4385">
        <v>1531499.7</v>
      </c>
      <c r="T4385" s="9">
        <v>45108</v>
      </c>
      <c r="U4385" s="9">
        <v>45473</v>
      </c>
      <c r="V4385">
        <f>SUM(POTABLE_NONPOTABLE_API[[#This Row],[RESIDENTIAL_SINGLEFAMILY_GAL]:[OTHER_GAL]])</f>
        <v>16716156.300000001</v>
      </c>
      <c r="W4385">
        <f>SUM(POTABLE_NONPOTABLE_API[[#This Row],[NONPOTABLE_DEMAND_RESIDENTIAL_RECYCLED_WATER_GAL]:[NONPOTABLE_DEMAND_NONRESIDENTIAL_METERED_IRRIGATION_GAL]])</f>
        <v>1531499.7</v>
      </c>
      <c r="X4385" t="str">
        <f>IFERROR(INDEX(Crosswalk_API!$H$2:$H$527, MATCH(POTABLE_NONPOTABLE_API[[#This Row],[PWSID]], CW_PWSID_LIST, 0)), "")</f>
        <v>No</v>
      </c>
    </row>
    <row r="4386" spans="1:24" x14ac:dyDescent="0.25">
      <c r="A4386" t="s">
        <v>2031</v>
      </c>
      <c r="B4386" t="s">
        <v>2032</v>
      </c>
      <c r="C4386" t="s">
        <v>2035</v>
      </c>
      <c r="D4386" t="s">
        <v>2036</v>
      </c>
      <c r="E4386" s="9">
        <v>45231</v>
      </c>
      <c r="F4386" s="9">
        <v>45260</v>
      </c>
      <c r="G4386">
        <v>13783497.299999999</v>
      </c>
      <c r="H4386">
        <v>0</v>
      </c>
      <c r="I4386">
        <v>456191.39999999997</v>
      </c>
      <c r="J4386">
        <v>1140478.5</v>
      </c>
      <c r="K4386">
        <v>0</v>
      </c>
      <c r="L4386">
        <v>97755.3</v>
      </c>
      <c r="M4386">
        <v>162925.5</v>
      </c>
      <c r="N4386">
        <v>0</v>
      </c>
      <c r="O4386">
        <v>0</v>
      </c>
      <c r="P4386">
        <v>0</v>
      </c>
      <c r="Q4386">
        <v>0</v>
      </c>
      <c r="R4386">
        <v>0</v>
      </c>
      <c r="S4386">
        <v>1498914.5999999999</v>
      </c>
      <c r="T4386" s="9">
        <v>45108</v>
      </c>
      <c r="U4386" s="9">
        <v>45473</v>
      </c>
      <c r="V4386">
        <f>SUM(POTABLE_NONPOTABLE_API[[#This Row],[RESIDENTIAL_SINGLEFAMILY_GAL]:[OTHER_GAL]])</f>
        <v>15477922.5</v>
      </c>
      <c r="W4386">
        <f>SUM(POTABLE_NONPOTABLE_API[[#This Row],[NONPOTABLE_DEMAND_RESIDENTIAL_RECYCLED_WATER_GAL]:[NONPOTABLE_DEMAND_NONRESIDENTIAL_METERED_IRRIGATION_GAL]])</f>
        <v>1498914.5999999999</v>
      </c>
      <c r="X4386" t="str">
        <f>IFERROR(INDEX(Crosswalk_API!$H$2:$H$527, MATCH(POTABLE_NONPOTABLE_API[[#This Row],[PWSID]], CW_PWSID_LIST, 0)), "")</f>
        <v>No</v>
      </c>
    </row>
    <row r="4387" spans="1:24" x14ac:dyDescent="0.25">
      <c r="A4387" t="s">
        <v>2031</v>
      </c>
      <c r="B4387" t="s">
        <v>2032</v>
      </c>
      <c r="C4387" t="s">
        <v>2035</v>
      </c>
      <c r="D4387" t="s">
        <v>2036</v>
      </c>
      <c r="E4387" s="9">
        <v>45261</v>
      </c>
      <c r="F4387" s="9">
        <v>45291</v>
      </c>
      <c r="G4387">
        <v>12968869.799999999</v>
      </c>
      <c r="H4387">
        <v>0</v>
      </c>
      <c r="I4387">
        <v>456191.39999999997</v>
      </c>
      <c r="J4387">
        <v>814627.5</v>
      </c>
      <c r="K4387">
        <v>0</v>
      </c>
      <c r="L4387">
        <v>32585.100000000002</v>
      </c>
      <c r="M4387">
        <v>130340.40000000001</v>
      </c>
      <c r="N4387">
        <v>0</v>
      </c>
      <c r="O4387">
        <v>0</v>
      </c>
      <c r="P4387">
        <v>0</v>
      </c>
      <c r="Q4387">
        <v>0</v>
      </c>
      <c r="R4387">
        <v>0</v>
      </c>
      <c r="S4387">
        <v>684287.1</v>
      </c>
      <c r="T4387" s="9">
        <v>45108</v>
      </c>
      <c r="U4387" s="9">
        <v>45473</v>
      </c>
      <c r="V4387">
        <f>SUM(POTABLE_NONPOTABLE_API[[#This Row],[RESIDENTIAL_SINGLEFAMILY_GAL]:[OTHER_GAL]])</f>
        <v>14272273.799999999</v>
      </c>
      <c r="W4387">
        <f>SUM(POTABLE_NONPOTABLE_API[[#This Row],[NONPOTABLE_DEMAND_RESIDENTIAL_RECYCLED_WATER_GAL]:[NONPOTABLE_DEMAND_NONRESIDENTIAL_METERED_IRRIGATION_GAL]])</f>
        <v>684287.1</v>
      </c>
      <c r="X4387" t="str">
        <f>IFERROR(INDEX(Crosswalk_API!$H$2:$H$527, MATCH(POTABLE_NONPOTABLE_API[[#This Row],[PWSID]], CW_PWSID_LIST, 0)), "")</f>
        <v>No</v>
      </c>
    </row>
    <row r="4388" spans="1:24" x14ac:dyDescent="0.25">
      <c r="A4388" t="s">
        <v>2031</v>
      </c>
      <c r="B4388" t="s">
        <v>2032</v>
      </c>
      <c r="C4388" t="s">
        <v>2035</v>
      </c>
      <c r="D4388" t="s">
        <v>2036</v>
      </c>
      <c r="E4388" s="9">
        <v>45292</v>
      </c>
      <c r="F4388" s="9">
        <v>45322</v>
      </c>
      <c r="G4388">
        <v>7624913.3999999994</v>
      </c>
      <c r="H4388">
        <v>0</v>
      </c>
      <c r="I4388">
        <v>228095.69999999998</v>
      </c>
      <c r="J4388">
        <v>130340.40000000001</v>
      </c>
      <c r="K4388">
        <v>0</v>
      </c>
      <c r="L4388">
        <v>0</v>
      </c>
      <c r="M4388">
        <v>32585.100000000002</v>
      </c>
      <c r="N4388">
        <v>0</v>
      </c>
      <c r="O4388">
        <v>0</v>
      </c>
      <c r="P4388">
        <v>0</v>
      </c>
      <c r="Q4388">
        <v>0</v>
      </c>
      <c r="R4388">
        <v>0</v>
      </c>
      <c r="S4388">
        <v>0</v>
      </c>
      <c r="T4388" s="9">
        <v>45108</v>
      </c>
      <c r="U4388" s="9">
        <v>45473</v>
      </c>
      <c r="V4388">
        <f>SUM(POTABLE_NONPOTABLE_API[[#This Row],[RESIDENTIAL_SINGLEFAMILY_GAL]:[OTHER_GAL]])</f>
        <v>7983349.5</v>
      </c>
      <c r="W4388">
        <f>SUM(POTABLE_NONPOTABLE_API[[#This Row],[NONPOTABLE_DEMAND_RESIDENTIAL_RECYCLED_WATER_GAL]:[NONPOTABLE_DEMAND_NONRESIDENTIAL_METERED_IRRIGATION_GAL]])</f>
        <v>0</v>
      </c>
      <c r="X4388" t="str">
        <f>IFERROR(INDEX(Crosswalk_API!$H$2:$H$527, MATCH(POTABLE_NONPOTABLE_API[[#This Row],[PWSID]], CW_PWSID_LIST, 0)), "")</f>
        <v>No</v>
      </c>
    </row>
    <row r="4389" spans="1:24" x14ac:dyDescent="0.25">
      <c r="A4389" t="s">
        <v>2031</v>
      </c>
      <c r="B4389" t="s">
        <v>2032</v>
      </c>
      <c r="C4389" t="s">
        <v>2035</v>
      </c>
      <c r="D4389" t="s">
        <v>2036</v>
      </c>
      <c r="E4389" s="9">
        <v>45323</v>
      </c>
      <c r="F4389" s="9">
        <v>45351</v>
      </c>
      <c r="G4389">
        <v>6614775.2999999998</v>
      </c>
      <c r="H4389">
        <v>0</v>
      </c>
      <c r="I4389">
        <v>325851</v>
      </c>
      <c r="J4389">
        <v>65170.200000000004</v>
      </c>
      <c r="K4389">
        <v>0</v>
      </c>
      <c r="L4389">
        <v>0</v>
      </c>
      <c r="M4389">
        <v>32585.100000000002</v>
      </c>
      <c r="N4389">
        <v>0</v>
      </c>
      <c r="O4389">
        <v>0</v>
      </c>
      <c r="P4389">
        <v>0</v>
      </c>
      <c r="Q4389">
        <v>0</v>
      </c>
      <c r="R4389">
        <v>0</v>
      </c>
      <c r="S4389">
        <v>0</v>
      </c>
      <c r="T4389" s="9">
        <v>45108</v>
      </c>
      <c r="U4389" s="9">
        <v>45473</v>
      </c>
      <c r="V4389">
        <f>SUM(POTABLE_NONPOTABLE_API[[#This Row],[RESIDENTIAL_SINGLEFAMILY_GAL]:[OTHER_GAL]])</f>
        <v>7005796.5</v>
      </c>
      <c r="W4389">
        <f>SUM(POTABLE_NONPOTABLE_API[[#This Row],[NONPOTABLE_DEMAND_RESIDENTIAL_RECYCLED_WATER_GAL]:[NONPOTABLE_DEMAND_NONRESIDENTIAL_METERED_IRRIGATION_GAL]])</f>
        <v>0</v>
      </c>
      <c r="X4389" t="str">
        <f>IFERROR(INDEX(Crosswalk_API!$H$2:$H$527, MATCH(POTABLE_NONPOTABLE_API[[#This Row],[PWSID]], CW_PWSID_LIST, 0)), "")</f>
        <v>No</v>
      </c>
    </row>
    <row r="4390" spans="1:24" x14ac:dyDescent="0.25">
      <c r="A4390" t="s">
        <v>2031</v>
      </c>
      <c r="B4390" t="s">
        <v>2032</v>
      </c>
      <c r="C4390" t="s">
        <v>2035</v>
      </c>
      <c r="D4390" t="s">
        <v>2036</v>
      </c>
      <c r="E4390" s="9">
        <v>45352</v>
      </c>
      <c r="F4390" s="9">
        <v>45382</v>
      </c>
      <c r="G4390">
        <v>5832732.8999999994</v>
      </c>
      <c r="H4390">
        <v>0</v>
      </c>
      <c r="I4390">
        <v>260680.80000000002</v>
      </c>
      <c r="J4390">
        <v>65170.200000000004</v>
      </c>
      <c r="K4390">
        <v>0</v>
      </c>
      <c r="L4390">
        <v>32585.100000000002</v>
      </c>
      <c r="M4390">
        <v>32585.100000000002</v>
      </c>
      <c r="N4390">
        <v>0</v>
      </c>
      <c r="O4390">
        <v>0</v>
      </c>
      <c r="P4390">
        <v>0</v>
      </c>
      <c r="Q4390">
        <v>0</v>
      </c>
      <c r="R4390">
        <v>0</v>
      </c>
      <c r="S4390">
        <v>0</v>
      </c>
      <c r="T4390" s="9">
        <v>45108</v>
      </c>
      <c r="U4390" s="9">
        <v>45473</v>
      </c>
      <c r="V4390">
        <f>SUM(POTABLE_NONPOTABLE_API[[#This Row],[RESIDENTIAL_SINGLEFAMILY_GAL]:[OTHER_GAL]])</f>
        <v>6191168.9999999991</v>
      </c>
      <c r="W4390">
        <f>SUM(POTABLE_NONPOTABLE_API[[#This Row],[NONPOTABLE_DEMAND_RESIDENTIAL_RECYCLED_WATER_GAL]:[NONPOTABLE_DEMAND_NONRESIDENTIAL_METERED_IRRIGATION_GAL]])</f>
        <v>0</v>
      </c>
      <c r="X4390" t="str">
        <f>IFERROR(INDEX(Crosswalk_API!$H$2:$H$527, MATCH(POTABLE_NONPOTABLE_API[[#This Row],[PWSID]], CW_PWSID_LIST, 0)), "")</f>
        <v>No</v>
      </c>
    </row>
    <row r="4391" spans="1:24" x14ac:dyDescent="0.25">
      <c r="A4391" t="s">
        <v>2031</v>
      </c>
      <c r="B4391" t="s">
        <v>2032</v>
      </c>
      <c r="C4391" t="s">
        <v>2035</v>
      </c>
      <c r="D4391" t="s">
        <v>2036</v>
      </c>
      <c r="E4391" s="9">
        <v>45383</v>
      </c>
      <c r="F4391" s="9">
        <v>45412</v>
      </c>
      <c r="G4391">
        <v>7233892.2000000002</v>
      </c>
      <c r="H4391">
        <v>0</v>
      </c>
      <c r="I4391">
        <v>293265.90000000002</v>
      </c>
      <c r="J4391">
        <v>260680.80000000002</v>
      </c>
      <c r="K4391">
        <v>0</v>
      </c>
      <c r="L4391">
        <v>65170.200000000004</v>
      </c>
      <c r="M4391">
        <v>65170.200000000004</v>
      </c>
      <c r="N4391">
        <v>0</v>
      </c>
      <c r="O4391">
        <v>0</v>
      </c>
      <c r="P4391">
        <v>0</v>
      </c>
      <c r="Q4391">
        <v>0</v>
      </c>
      <c r="R4391">
        <v>0</v>
      </c>
      <c r="S4391">
        <v>162925.5</v>
      </c>
      <c r="T4391" s="9">
        <v>45108</v>
      </c>
      <c r="U4391" s="9">
        <v>45473</v>
      </c>
      <c r="V4391">
        <f>SUM(POTABLE_NONPOTABLE_API[[#This Row],[RESIDENTIAL_SINGLEFAMILY_GAL]:[OTHER_GAL]])</f>
        <v>7853009.1000000006</v>
      </c>
      <c r="W4391">
        <f>SUM(POTABLE_NONPOTABLE_API[[#This Row],[NONPOTABLE_DEMAND_RESIDENTIAL_RECYCLED_WATER_GAL]:[NONPOTABLE_DEMAND_NONRESIDENTIAL_METERED_IRRIGATION_GAL]])</f>
        <v>162925.5</v>
      </c>
      <c r="X4391" t="str">
        <f>IFERROR(INDEX(Crosswalk_API!$H$2:$H$527, MATCH(POTABLE_NONPOTABLE_API[[#This Row],[PWSID]], CW_PWSID_LIST, 0)), "")</f>
        <v>No</v>
      </c>
    </row>
    <row r="4392" spans="1:24" x14ac:dyDescent="0.25">
      <c r="A4392" t="s">
        <v>2031</v>
      </c>
      <c r="B4392" t="s">
        <v>2032</v>
      </c>
      <c r="C4392" t="s">
        <v>2035</v>
      </c>
      <c r="D4392" t="s">
        <v>2036</v>
      </c>
      <c r="E4392" s="9">
        <v>45413</v>
      </c>
      <c r="F4392" s="9">
        <v>45443</v>
      </c>
      <c r="G4392">
        <v>11241859.5</v>
      </c>
      <c r="H4392">
        <v>0</v>
      </c>
      <c r="I4392">
        <v>293265.90000000002</v>
      </c>
      <c r="J4392">
        <v>1238233.8</v>
      </c>
      <c r="K4392">
        <v>0</v>
      </c>
      <c r="L4392">
        <v>0</v>
      </c>
      <c r="M4392">
        <v>65170.200000000004</v>
      </c>
      <c r="N4392">
        <v>0</v>
      </c>
      <c r="O4392">
        <v>0</v>
      </c>
      <c r="P4392">
        <v>0</v>
      </c>
      <c r="Q4392">
        <v>0</v>
      </c>
      <c r="R4392">
        <v>0</v>
      </c>
      <c r="S4392">
        <v>1433744.4000000001</v>
      </c>
      <c r="T4392" s="9">
        <v>45108</v>
      </c>
      <c r="U4392" s="9">
        <v>45473</v>
      </c>
      <c r="V4392">
        <f>SUM(POTABLE_NONPOTABLE_API[[#This Row],[RESIDENTIAL_SINGLEFAMILY_GAL]:[OTHER_GAL]])</f>
        <v>12773359.200000001</v>
      </c>
      <c r="W4392">
        <f>SUM(POTABLE_NONPOTABLE_API[[#This Row],[NONPOTABLE_DEMAND_RESIDENTIAL_RECYCLED_WATER_GAL]:[NONPOTABLE_DEMAND_NONRESIDENTIAL_METERED_IRRIGATION_GAL]])</f>
        <v>1433744.4000000001</v>
      </c>
      <c r="X4392" t="str">
        <f>IFERROR(INDEX(Crosswalk_API!$H$2:$H$527, MATCH(POTABLE_NONPOTABLE_API[[#This Row],[PWSID]], CW_PWSID_LIST, 0)), "")</f>
        <v>No</v>
      </c>
    </row>
    <row r="4393" spans="1:24" x14ac:dyDescent="0.25">
      <c r="A4393" t="s">
        <v>2031</v>
      </c>
      <c r="B4393" t="s">
        <v>2032</v>
      </c>
      <c r="C4393" t="s">
        <v>2035</v>
      </c>
      <c r="D4393" t="s">
        <v>2036</v>
      </c>
      <c r="E4393" s="9">
        <v>45444</v>
      </c>
      <c r="F4393" s="9">
        <v>45473</v>
      </c>
      <c r="G4393">
        <v>17107177.5</v>
      </c>
      <c r="H4393">
        <v>0</v>
      </c>
      <c r="I4393">
        <v>391021.2</v>
      </c>
      <c r="J4393">
        <v>1889935.8</v>
      </c>
      <c r="K4393">
        <v>0</v>
      </c>
      <c r="L4393">
        <v>0</v>
      </c>
      <c r="M4393">
        <v>162925.5</v>
      </c>
      <c r="N4393">
        <v>0</v>
      </c>
      <c r="O4393">
        <v>0</v>
      </c>
      <c r="P4393">
        <v>0</v>
      </c>
      <c r="Q4393">
        <v>0</v>
      </c>
      <c r="R4393">
        <v>0</v>
      </c>
      <c r="S4393">
        <v>2020276.2</v>
      </c>
      <c r="T4393" s="9">
        <v>45108</v>
      </c>
      <c r="U4393" s="9">
        <v>45473</v>
      </c>
      <c r="V4393">
        <f>SUM(POTABLE_NONPOTABLE_API[[#This Row],[RESIDENTIAL_SINGLEFAMILY_GAL]:[OTHER_GAL]])</f>
        <v>19388134.5</v>
      </c>
      <c r="W4393">
        <f>SUM(POTABLE_NONPOTABLE_API[[#This Row],[NONPOTABLE_DEMAND_RESIDENTIAL_RECYCLED_WATER_GAL]:[NONPOTABLE_DEMAND_NONRESIDENTIAL_METERED_IRRIGATION_GAL]])</f>
        <v>2020276.2</v>
      </c>
      <c r="X4393" t="str">
        <f>IFERROR(INDEX(Crosswalk_API!$H$2:$H$527, MATCH(POTABLE_NONPOTABLE_API[[#This Row],[PWSID]], CW_PWSID_LIST, 0)), "")</f>
        <v>No</v>
      </c>
    </row>
    <row r="4394" spans="1:24" x14ac:dyDescent="0.25">
      <c r="A4394" t="s">
        <v>2037</v>
      </c>
      <c r="B4394" t="s">
        <v>2038</v>
      </c>
      <c r="C4394" t="s">
        <v>2039</v>
      </c>
      <c r="D4394" t="s">
        <v>2040</v>
      </c>
      <c r="E4394" s="9">
        <v>45108</v>
      </c>
      <c r="F4394" s="9">
        <v>45138</v>
      </c>
      <c r="G4394">
        <v>141066068</v>
      </c>
      <c r="H4394">
        <v>2519264</v>
      </c>
      <c r="I4394">
        <v>17883184</v>
      </c>
      <c r="J4394">
        <v>5959316</v>
      </c>
      <c r="K4394">
        <v>600644</v>
      </c>
      <c r="L4394">
        <v>22440</v>
      </c>
      <c r="M4394">
        <v>0</v>
      </c>
      <c r="T4394" s="9">
        <v>45108</v>
      </c>
      <c r="U4394" s="9">
        <v>45473</v>
      </c>
      <c r="V4394">
        <f>SUM(POTABLE_NONPOTABLE_API[[#This Row],[RESIDENTIAL_SINGLEFAMILY_GAL]:[OTHER_GAL]])</f>
        <v>168050916</v>
      </c>
      <c r="W4394">
        <f>SUM(POTABLE_NONPOTABLE_API[[#This Row],[NONPOTABLE_DEMAND_RESIDENTIAL_RECYCLED_WATER_GAL]:[NONPOTABLE_DEMAND_NONRESIDENTIAL_METERED_IRRIGATION_GAL]])</f>
        <v>0</v>
      </c>
      <c r="X4394" t="str">
        <f>IFERROR(INDEX(Crosswalk_API!$H$2:$H$527, MATCH(POTABLE_NONPOTABLE_API[[#This Row],[PWSID]], CW_PWSID_LIST, 0)), "")</f>
        <v>No</v>
      </c>
    </row>
    <row r="4395" spans="1:24" x14ac:dyDescent="0.25">
      <c r="A4395" t="s">
        <v>2037</v>
      </c>
      <c r="B4395" t="s">
        <v>2038</v>
      </c>
      <c r="C4395" t="s">
        <v>2039</v>
      </c>
      <c r="D4395" t="s">
        <v>2040</v>
      </c>
      <c r="E4395" s="9">
        <v>45139</v>
      </c>
      <c r="F4395" s="9">
        <v>45169</v>
      </c>
      <c r="G4395">
        <v>0</v>
      </c>
      <c r="H4395">
        <v>0</v>
      </c>
      <c r="I4395">
        <v>0</v>
      </c>
      <c r="J4395">
        <v>0</v>
      </c>
      <c r="K4395">
        <v>0</v>
      </c>
      <c r="L4395">
        <v>0</v>
      </c>
      <c r="M4395">
        <v>0</v>
      </c>
      <c r="T4395" s="9">
        <v>45108</v>
      </c>
      <c r="U4395" s="9">
        <v>45473</v>
      </c>
      <c r="V4395">
        <f>SUM(POTABLE_NONPOTABLE_API[[#This Row],[RESIDENTIAL_SINGLEFAMILY_GAL]:[OTHER_GAL]])</f>
        <v>0</v>
      </c>
      <c r="W4395">
        <f>SUM(POTABLE_NONPOTABLE_API[[#This Row],[NONPOTABLE_DEMAND_RESIDENTIAL_RECYCLED_WATER_GAL]:[NONPOTABLE_DEMAND_NONRESIDENTIAL_METERED_IRRIGATION_GAL]])</f>
        <v>0</v>
      </c>
      <c r="X4395" t="str">
        <f>IFERROR(INDEX(Crosswalk_API!$H$2:$H$527, MATCH(POTABLE_NONPOTABLE_API[[#This Row],[PWSID]], CW_PWSID_LIST, 0)), "")</f>
        <v>No</v>
      </c>
    </row>
    <row r="4396" spans="1:24" x14ac:dyDescent="0.25">
      <c r="A4396" t="s">
        <v>2037</v>
      </c>
      <c r="B4396" t="s">
        <v>2038</v>
      </c>
      <c r="C4396" t="s">
        <v>2039</v>
      </c>
      <c r="D4396" t="s">
        <v>2040</v>
      </c>
      <c r="E4396" s="9">
        <v>45170</v>
      </c>
      <c r="F4396" s="9">
        <v>45199</v>
      </c>
      <c r="G4396">
        <v>135465044</v>
      </c>
      <c r="H4396">
        <v>2204356</v>
      </c>
      <c r="I4396">
        <v>20268508</v>
      </c>
      <c r="J4396">
        <v>7491220</v>
      </c>
      <c r="K4396">
        <v>510136</v>
      </c>
      <c r="L4396">
        <v>22440</v>
      </c>
      <c r="M4396">
        <v>0</v>
      </c>
      <c r="T4396" s="9">
        <v>45108</v>
      </c>
      <c r="U4396" s="9">
        <v>45473</v>
      </c>
      <c r="V4396">
        <f>SUM(POTABLE_NONPOTABLE_API[[#This Row],[RESIDENTIAL_SINGLEFAMILY_GAL]:[OTHER_GAL]])</f>
        <v>165961704</v>
      </c>
      <c r="W4396">
        <f>SUM(POTABLE_NONPOTABLE_API[[#This Row],[NONPOTABLE_DEMAND_RESIDENTIAL_RECYCLED_WATER_GAL]:[NONPOTABLE_DEMAND_NONRESIDENTIAL_METERED_IRRIGATION_GAL]])</f>
        <v>0</v>
      </c>
      <c r="X4396" t="str">
        <f>IFERROR(INDEX(Crosswalk_API!$H$2:$H$527, MATCH(POTABLE_NONPOTABLE_API[[#This Row],[PWSID]], CW_PWSID_LIST, 0)), "")</f>
        <v>No</v>
      </c>
    </row>
    <row r="4397" spans="1:24" x14ac:dyDescent="0.25">
      <c r="A4397" t="s">
        <v>2037</v>
      </c>
      <c r="B4397" t="s">
        <v>2038</v>
      </c>
      <c r="C4397" t="s">
        <v>2039</v>
      </c>
      <c r="D4397" t="s">
        <v>2040</v>
      </c>
      <c r="E4397" s="9">
        <v>45200</v>
      </c>
      <c r="F4397" s="9">
        <v>45230</v>
      </c>
      <c r="G4397">
        <v>0</v>
      </c>
      <c r="H4397">
        <v>0</v>
      </c>
      <c r="I4397">
        <v>0</v>
      </c>
      <c r="J4397">
        <v>0</v>
      </c>
      <c r="K4397">
        <v>0</v>
      </c>
      <c r="L4397">
        <v>0</v>
      </c>
      <c r="M4397">
        <v>0</v>
      </c>
      <c r="T4397" s="9">
        <v>45108</v>
      </c>
      <c r="U4397" s="9">
        <v>45473</v>
      </c>
      <c r="V4397">
        <f>SUM(POTABLE_NONPOTABLE_API[[#This Row],[RESIDENTIAL_SINGLEFAMILY_GAL]:[OTHER_GAL]])</f>
        <v>0</v>
      </c>
      <c r="W4397">
        <f>SUM(POTABLE_NONPOTABLE_API[[#This Row],[NONPOTABLE_DEMAND_RESIDENTIAL_RECYCLED_WATER_GAL]:[NONPOTABLE_DEMAND_NONRESIDENTIAL_METERED_IRRIGATION_GAL]])</f>
        <v>0</v>
      </c>
      <c r="X4397" t="str">
        <f>IFERROR(INDEX(Crosswalk_API!$H$2:$H$527, MATCH(POTABLE_NONPOTABLE_API[[#This Row],[PWSID]], CW_PWSID_LIST, 0)), "")</f>
        <v>No</v>
      </c>
    </row>
    <row r="4398" spans="1:24" x14ac:dyDescent="0.25">
      <c r="A4398" t="s">
        <v>2037</v>
      </c>
      <c r="B4398" t="s">
        <v>2038</v>
      </c>
      <c r="C4398" t="s">
        <v>2039</v>
      </c>
      <c r="D4398" t="s">
        <v>2040</v>
      </c>
      <c r="E4398" s="9">
        <v>45231</v>
      </c>
      <c r="F4398" s="9">
        <v>45260</v>
      </c>
      <c r="G4398">
        <v>90938848</v>
      </c>
      <c r="H4398">
        <v>1763784</v>
      </c>
      <c r="I4398">
        <v>13790128</v>
      </c>
      <c r="J4398">
        <v>3592644</v>
      </c>
      <c r="K4398">
        <v>464508</v>
      </c>
      <c r="L4398">
        <v>15708</v>
      </c>
      <c r="M4398">
        <v>0</v>
      </c>
      <c r="T4398" s="9">
        <v>45108</v>
      </c>
      <c r="U4398" s="9">
        <v>45473</v>
      </c>
      <c r="V4398">
        <f>SUM(POTABLE_NONPOTABLE_API[[#This Row],[RESIDENTIAL_SINGLEFAMILY_GAL]:[OTHER_GAL]])</f>
        <v>110565620</v>
      </c>
      <c r="W4398">
        <f>SUM(POTABLE_NONPOTABLE_API[[#This Row],[NONPOTABLE_DEMAND_RESIDENTIAL_RECYCLED_WATER_GAL]:[NONPOTABLE_DEMAND_NONRESIDENTIAL_METERED_IRRIGATION_GAL]])</f>
        <v>0</v>
      </c>
      <c r="X4398" t="str">
        <f>IFERROR(INDEX(Crosswalk_API!$H$2:$H$527, MATCH(POTABLE_NONPOTABLE_API[[#This Row],[PWSID]], CW_PWSID_LIST, 0)), "")</f>
        <v>No</v>
      </c>
    </row>
    <row r="4399" spans="1:24" x14ac:dyDescent="0.25">
      <c r="A4399" t="s">
        <v>2037</v>
      </c>
      <c r="B4399" t="s">
        <v>2038</v>
      </c>
      <c r="C4399" t="s">
        <v>2039</v>
      </c>
      <c r="D4399" t="s">
        <v>2040</v>
      </c>
      <c r="E4399" s="9">
        <v>45261</v>
      </c>
      <c r="F4399" s="9">
        <v>45291</v>
      </c>
      <c r="G4399">
        <v>0</v>
      </c>
      <c r="H4399">
        <v>0</v>
      </c>
      <c r="I4399">
        <v>0</v>
      </c>
      <c r="J4399">
        <v>0</v>
      </c>
      <c r="K4399">
        <v>0</v>
      </c>
      <c r="L4399">
        <v>0</v>
      </c>
      <c r="M4399">
        <v>0</v>
      </c>
      <c r="T4399" s="9">
        <v>45108</v>
      </c>
      <c r="U4399" s="9">
        <v>45473</v>
      </c>
      <c r="V4399">
        <f>SUM(POTABLE_NONPOTABLE_API[[#This Row],[RESIDENTIAL_SINGLEFAMILY_GAL]:[OTHER_GAL]])</f>
        <v>0</v>
      </c>
      <c r="W4399">
        <f>SUM(POTABLE_NONPOTABLE_API[[#This Row],[NONPOTABLE_DEMAND_RESIDENTIAL_RECYCLED_WATER_GAL]:[NONPOTABLE_DEMAND_NONRESIDENTIAL_METERED_IRRIGATION_GAL]])</f>
        <v>0</v>
      </c>
      <c r="X4399" t="str">
        <f>IFERROR(INDEX(Crosswalk_API!$H$2:$H$527, MATCH(POTABLE_NONPOTABLE_API[[#This Row],[PWSID]], CW_PWSID_LIST, 0)), "")</f>
        <v>No</v>
      </c>
    </row>
    <row r="4400" spans="1:24" x14ac:dyDescent="0.25">
      <c r="A4400" t="s">
        <v>2037</v>
      </c>
      <c r="B4400" t="s">
        <v>2038</v>
      </c>
      <c r="C4400" t="s">
        <v>2039</v>
      </c>
      <c r="D4400" t="s">
        <v>2040</v>
      </c>
      <c r="E4400" s="9">
        <v>45292</v>
      </c>
      <c r="F4400" s="9">
        <v>45322</v>
      </c>
      <c r="G4400">
        <v>53979420</v>
      </c>
      <c r="H4400">
        <v>1614184</v>
      </c>
      <c r="I4400">
        <v>7195760</v>
      </c>
      <c r="J4400">
        <v>702372</v>
      </c>
      <c r="K4400">
        <v>185504</v>
      </c>
      <c r="L4400">
        <v>900</v>
      </c>
      <c r="M4400">
        <v>0</v>
      </c>
      <c r="T4400" s="9">
        <v>45108</v>
      </c>
      <c r="U4400" s="9">
        <v>45473</v>
      </c>
      <c r="V4400">
        <f>SUM(POTABLE_NONPOTABLE_API[[#This Row],[RESIDENTIAL_SINGLEFAMILY_GAL]:[OTHER_GAL]])</f>
        <v>63678140</v>
      </c>
      <c r="W4400">
        <f>SUM(POTABLE_NONPOTABLE_API[[#This Row],[NONPOTABLE_DEMAND_RESIDENTIAL_RECYCLED_WATER_GAL]:[NONPOTABLE_DEMAND_NONRESIDENTIAL_METERED_IRRIGATION_GAL]])</f>
        <v>0</v>
      </c>
      <c r="X4400" t="str">
        <f>IFERROR(INDEX(Crosswalk_API!$H$2:$H$527, MATCH(POTABLE_NONPOTABLE_API[[#This Row],[PWSID]], CW_PWSID_LIST, 0)), "")</f>
        <v>No</v>
      </c>
    </row>
    <row r="4401" spans="1:24" x14ac:dyDescent="0.25">
      <c r="A4401" t="s">
        <v>2037</v>
      </c>
      <c r="B4401" t="s">
        <v>2038</v>
      </c>
      <c r="C4401" t="s">
        <v>2039</v>
      </c>
      <c r="D4401" t="s">
        <v>2040</v>
      </c>
      <c r="E4401" s="9">
        <v>45323</v>
      </c>
      <c r="F4401" s="9">
        <v>45351</v>
      </c>
      <c r="G4401">
        <v>0</v>
      </c>
      <c r="H4401">
        <v>0</v>
      </c>
      <c r="I4401">
        <v>0</v>
      </c>
      <c r="J4401">
        <v>0</v>
      </c>
      <c r="K4401">
        <v>0</v>
      </c>
      <c r="L4401">
        <v>0</v>
      </c>
      <c r="M4401">
        <v>0</v>
      </c>
      <c r="T4401" s="9">
        <v>45108</v>
      </c>
      <c r="U4401" s="9">
        <v>45473</v>
      </c>
      <c r="V4401">
        <f>SUM(POTABLE_NONPOTABLE_API[[#This Row],[RESIDENTIAL_SINGLEFAMILY_GAL]:[OTHER_GAL]])</f>
        <v>0</v>
      </c>
      <c r="W4401">
        <f>SUM(POTABLE_NONPOTABLE_API[[#This Row],[NONPOTABLE_DEMAND_RESIDENTIAL_RECYCLED_WATER_GAL]:[NONPOTABLE_DEMAND_NONRESIDENTIAL_METERED_IRRIGATION_GAL]])</f>
        <v>0</v>
      </c>
      <c r="X4401" t="str">
        <f>IFERROR(INDEX(Crosswalk_API!$H$2:$H$527, MATCH(POTABLE_NONPOTABLE_API[[#This Row],[PWSID]], CW_PWSID_LIST, 0)), "")</f>
        <v>No</v>
      </c>
    </row>
    <row r="4402" spans="1:24" x14ac:dyDescent="0.25">
      <c r="A4402" t="s">
        <v>2037</v>
      </c>
      <c r="B4402" t="s">
        <v>2038</v>
      </c>
      <c r="C4402" t="s">
        <v>2039</v>
      </c>
      <c r="D4402" t="s">
        <v>2040</v>
      </c>
      <c r="E4402" s="9">
        <v>45352</v>
      </c>
      <c r="F4402" s="9">
        <v>45382</v>
      </c>
      <c r="G4402">
        <v>47886212</v>
      </c>
      <c r="H4402">
        <v>1952280</v>
      </c>
      <c r="I4402">
        <v>5247220</v>
      </c>
      <c r="J4402">
        <v>433092</v>
      </c>
      <c r="K4402">
        <v>144364</v>
      </c>
      <c r="L4402">
        <v>5984</v>
      </c>
      <c r="M4402">
        <v>0</v>
      </c>
      <c r="T4402" s="9">
        <v>45108</v>
      </c>
      <c r="U4402" s="9">
        <v>45473</v>
      </c>
      <c r="V4402">
        <f>SUM(POTABLE_NONPOTABLE_API[[#This Row],[RESIDENTIAL_SINGLEFAMILY_GAL]:[OTHER_GAL]])</f>
        <v>55669152</v>
      </c>
      <c r="W4402">
        <f>SUM(POTABLE_NONPOTABLE_API[[#This Row],[NONPOTABLE_DEMAND_RESIDENTIAL_RECYCLED_WATER_GAL]:[NONPOTABLE_DEMAND_NONRESIDENTIAL_METERED_IRRIGATION_GAL]])</f>
        <v>0</v>
      </c>
      <c r="X4402" t="str">
        <f>IFERROR(INDEX(Crosswalk_API!$H$2:$H$527, MATCH(POTABLE_NONPOTABLE_API[[#This Row],[PWSID]], CW_PWSID_LIST, 0)), "")</f>
        <v>No</v>
      </c>
    </row>
    <row r="4403" spans="1:24" x14ac:dyDescent="0.25">
      <c r="A4403" t="s">
        <v>2037</v>
      </c>
      <c r="B4403" t="s">
        <v>2038</v>
      </c>
      <c r="C4403" t="s">
        <v>2039</v>
      </c>
      <c r="D4403" t="s">
        <v>2040</v>
      </c>
      <c r="E4403" s="9">
        <v>45383</v>
      </c>
      <c r="F4403" s="9">
        <v>45412</v>
      </c>
      <c r="G4403">
        <v>0</v>
      </c>
      <c r="H4403">
        <v>0</v>
      </c>
      <c r="I4403">
        <v>0</v>
      </c>
      <c r="J4403">
        <v>0</v>
      </c>
      <c r="K4403">
        <v>0</v>
      </c>
      <c r="L4403">
        <v>0</v>
      </c>
      <c r="M4403">
        <v>0</v>
      </c>
      <c r="T4403" s="9">
        <v>45108</v>
      </c>
      <c r="U4403" s="9">
        <v>45473</v>
      </c>
      <c r="V4403">
        <f>SUM(POTABLE_NONPOTABLE_API[[#This Row],[RESIDENTIAL_SINGLEFAMILY_GAL]:[OTHER_GAL]])</f>
        <v>0</v>
      </c>
      <c r="W4403">
        <f>SUM(POTABLE_NONPOTABLE_API[[#This Row],[NONPOTABLE_DEMAND_RESIDENTIAL_RECYCLED_WATER_GAL]:[NONPOTABLE_DEMAND_NONRESIDENTIAL_METERED_IRRIGATION_GAL]])</f>
        <v>0</v>
      </c>
      <c r="X4403" t="str">
        <f>IFERROR(INDEX(Crosswalk_API!$H$2:$H$527, MATCH(POTABLE_NONPOTABLE_API[[#This Row],[PWSID]], CW_PWSID_LIST, 0)), "")</f>
        <v>No</v>
      </c>
    </row>
    <row r="4404" spans="1:24" x14ac:dyDescent="0.25">
      <c r="A4404" t="s">
        <v>2037</v>
      </c>
      <c r="B4404" t="s">
        <v>2038</v>
      </c>
      <c r="C4404" t="s">
        <v>2039</v>
      </c>
      <c r="D4404" t="s">
        <v>2040</v>
      </c>
      <c r="E4404" s="9">
        <v>45413</v>
      </c>
      <c r="F4404" s="9">
        <v>45443</v>
      </c>
      <c r="G4404">
        <v>64022816</v>
      </c>
      <c r="H4404">
        <v>4394500</v>
      </c>
      <c r="I4404">
        <v>7305716</v>
      </c>
      <c r="J4404">
        <v>2836416</v>
      </c>
      <c r="K4404">
        <v>323884</v>
      </c>
      <c r="L4404">
        <v>14960</v>
      </c>
      <c r="M4404">
        <v>0</v>
      </c>
      <c r="T4404" s="9">
        <v>45108</v>
      </c>
      <c r="U4404" s="9">
        <v>45473</v>
      </c>
      <c r="V4404">
        <f>SUM(POTABLE_NONPOTABLE_API[[#This Row],[RESIDENTIAL_SINGLEFAMILY_GAL]:[OTHER_GAL]])</f>
        <v>78898292</v>
      </c>
      <c r="W4404">
        <f>SUM(POTABLE_NONPOTABLE_API[[#This Row],[NONPOTABLE_DEMAND_RESIDENTIAL_RECYCLED_WATER_GAL]:[NONPOTABLE_DEMAND_NONRESIDENTIAL_METERED_IRRIGATION_GAL]])</f>
        <v>0</v>
      </c>
      <c r="X4404" t="str">
        <f>IFERROR(INDEX(Crosswalk_API!$H$2:$H$527, MATCH(POTABLE_NONPOTABLE_API[[#This Row],[PWSID]], CW_PWSID_LIST, 0)), "")</f>
        <v>No</v>
      </c>
    </row>
    <row r="4405" spans="1:24" x14ac:dyDescent="0.25">
      <c r="A4405" t="s">
        <v>2037</v>
      </c>
      <c r="B4405" t="s">
        <v>2038</v>
      </c>
      <c r="C4405" t="s">
        <v>2039</v>
      </c>
      <c r="D4405" t="s">
        <v>2040</v>
      </c>
      <c r="E4405" s="9">
        <v>45444</v>
      </c>
      <c r="F4405" s="9">
        <v>45473</v>
      </c>
      <c r="G4405">
        <v>0</v>
      </c>
      <c r="H4405">
        <v>0</v>
      </c>
      <c r="I4405">
        <v>0</v>
      </c>
      <c r="J4405">
        <v>0</v>
      </c>
      <c r="K4405">
        <v>0</v>
      </c>
      <c r="L4405">
        <v>0</v>
      </c>
      <c r="M4405">
        <v>0</v>
      </c>
      <c r="T4405" s="9">
        <v>45108</v>
      </c>
      <c r="U4405" s="9">
        <v>45473</v>
      </c>
      <c r="V4405">
        <f>SUM(POTABLE_NONPOTABLE_API[[#This Row],[RESIDENTIAL_SINGLEFAMILY_GAL]:[OTHER_GAL]])</f>
        <v>0</v>
      </c>
      <c r="W4405">
        <f>SUM(POTABLE_NONPOTABLE_API[[#This Row],[NONPOTABLE_DEMAND_RESIDENTIAL_RECYCLED_WATER_GAL]:[NONPOTABLE_DEMAND_NONRESIDENTIAL_METERED_IRRIGATION_GAL]])</f>
        <v>0</v>
      </c>
      <c r="X4405" t="str">
        <f>IFERROR(INDEX(Crosswalk_API!$H$2:$H$527, MATCH(POTABLE_NONPOTABLE_API[[#This Row],[PWSID]], CW_PWSID_LIST, 0)), "")</f>
        <v>No</v>
      </c>
    </row>
    <row r="4406" spans="1:24" x14ac:dyDescent="0.25">
      <c r="A4406" t="s">
        <v>2041</v>
      </c>
      <c r="B4406" t="s">
        <v>2042</v>
      </c>
      <c r="C4406" t="s">
        <v>2043</v>
      </c>
      <c r="D4406" t="s">
        <v>2044</v>
      </c>
      <c r="E4406" s="9">
        <v>45108</v>
      </c>
      <c r="F4406" s="9">
        <v>45138</v>
      </c>
      <c r="G4406">
        <v>57521000</v>
      </c>
      <c r="H4406">
        <v>3286920</v>
      </c>
      <c r="I4406">
        <v>16434600</v>
      </c>
      <c r="J4406">
        <v>1643460</v>
      </c>
      <c r="K4406">
        <v>82173</v>
      </c>
      <c r="L4406">
        <v>0</v>
      </c>
      <c r="M4406">
        <v>0</v>
      </c>
      <c r="T4406" s="9">
        <v>45108</v>
      </c>
      <c r="U4406" s="9">
        <v>45473</v>
      </c>
      <c r="V4406">
        <f>SUM(POTABLE_NONPOTABLE_API[[#This Row],[RESIDENTIAL_SINGLEFAMILY_GAL]:[OTHER_GAL]])</f>
        <v>78968153</v>
      </c>
      <c r="W4406">
        <f>SUM(POTABLE_NONPOTABLE_API[[#This Row],[NONPOTABLE_DEMAND_RESIDENTIAL_RECYCLED_WATER_GAL]:[NONPOTABLE_DEMAND_NONRESIDENTIAL_METERED_IRRIGATION_GAL]])</f>
        <v>0</v>
      </c>
      <c r="X4406" t="str">
        <f>IFERROR(INDEX(Crosswalk_API!$H$2:$H$527, MATCH(POTABLE_NONPOTABLE_API[[#This Row],[PWSID]], CW_PWSID_LIST, 0)), "")</f>
        <v>No</v>
      </c>
    </row>
    <row r="4407" spans="1:24" x14ac:dyDescent="0.25">
      <c r="A4407" t="s">
        <v>2041</v>
      </c>
      <c r="B4407" t="s">
        <v>2042</v>
      </c>
      <c r="C4407" t="s">
        <v>2043</v>
      </c>
      <c r="D4407" t="s">
        <v>2044</v>
      </c>
      <c r="E4407" s="9">
        <v>45139</v>
      </c>
      <c r="F4407" s="9">
        <v>45169</v>
      </c>
      <c r="G4407">
        <v>63374000</v>
      </c>
      <c r="H4407">
        <v>3621000</v>
      </c>
      <c r="I4407">
        <v>18107000</v>
      </c>
      <c r="J4407">
        <v>1810700</v>
      </c>
      <c r="K4407">
        <v>90600</v>
      </c>
      <c r="L4407">
        <v>0</v>
      </c>
      <c r="M4407">
        <v>0</v>
      </c>
      <c r="T4407" s="9">
        <v>45108</v>
      </c>
      <c r="U4407" s="9">
        <v>45473</v>
      </c>
      <c r="V4407">
        <f>SUM(POTABLE_NONPOTABLE_API[[#This Row],[RESIDENTIAL_SINGLEFAMILY_GAL]:[OTHER_GAL]])</f>
        <v>87003300</v>
      </c>
      <c r="W4407">
        <f>SUM(POTABLE_NONPOTABLE_API[[#This Row],[NONPOTABLE_DEMAND_RESIDENTIAL_RECYCLED_WATER_GAL]:[NONPOTABLE_DEMAND_NONRESIDENTIAL_METERED_IRRIGATION_GAL]])</f>
        <v>0</v>
      </c>
      <c r="X4407" t="str">
        <f>IFERROR(INDEX(Crosswalk_API!$H$2:$H$527, MATCH(POTABLE_NONPOTABLE_API[[#This Row],[PWSID]], CW_PWSID_LIST, 0)), "")</f>
        <v>No</v>
      </c>
    </row>
    <row r="4408" spans="1:24" x14ac:dyDescent="0.25">
      <c r="A4408" t="s">
        <v>2041</v>
      </c>
      <c r="B4408" t="s">
        <v>2042</v>
      </c>
      <c r="C4408" t="s">
        <v>2043</v>
      </c>
      <c r="D4408" t="s">
        <v>2044</v>
      </c>
      <c r="E4408" s="9">
        <v>45170</v>
      </c>
      <c r="F4408" s="9">
        <v>45199</v>
      </c>
      <c r="G4408">
        <v>54231000</v>
      </c>
      <c r="H4408">
        <v>3099000</v>
      </c>
      <c r="I4408">
        <v>15495000</v>
      </c>
      <c r="J4408">
        <v>1549500</v>
      </c>
      <c r="K4408">
        <v>77473</v>
      </c>
      <c r="L4408">
        <v>0</v>
      </c>
      <c r="M4408">
        <v>0</v>
      </c>
      <c r="T4408" s="9">
        <v>45108</v>
      </c>
      <c r="U4408" s="9">
        <v>45473</v>
      </c>
      <c r="V4408">
        <f>SUM(POTABLE_NONPOTABLE_API[[#This Row],[RESIDENTIAL_SINGLEFAMILY_GAL]:[OTHER_GAL]])</f>
        <v>74451973</v>
      </c>
      <c r="W4408">
        <f>SUM(POTABLE_NONPOTABLE_API[[#This Row],[NONPOTABLE_DEMAND_RESIDENTIAL_RECYCLED_WATER_GAL]:[NONPOTABLE_DEMAND_NONRESIDENTIAL_METERED_IRRIGATION_GAL]])</f>
        <v>0</v>
      </c>
      <c r="X4408" t="str">
        <f>IFERROR(INDEX(Crosswalk_API!$H$2:$H$527, MATCH(POTABLE_NONPOTABLE_API[[#This Row],[PWSID]], CW_PWSID_LIST, 0)), "")</f>
        <v>No</v>
      </c>
    </row>
    <row r="4409" spans="1:24" x14ac:dyDescent="0.25">
      <c r="A4409" t="s">
        <v>2041</v>
      </c>
      <c r="B4409" t="s">
        <v>2042</v>
      </c>
      <c r="C4409" t="s">
        <v>2043</v>
      </c>
      <c r="D4409" t="s">
        <v>2044</v>
      </c>
      <c r="E4409" s="9">
        <v>45200</v>
      </c>
      <c r="F4409" s="9">
        <v>45230</v>
      </c>
      <c r="G4409">
        <v>46155000</v>
      </c>
      <c r="H4409">
        <v>2637000</v>
      </c>
      <c r="I4409">
        <v>13187000</v>
      </c>
      <c r="J4409">
        <v>1319000</v>
      </c>
      <c r="K4409">
        <v>65935</v>
      </c>
      <c r="L4409">
        <v>0</v>
      </c>
      <c r="M4409">
        <v>0</v>
      </c>
      <c r="T4409" s="9">
        <v>45108</v>
      </c>
      <c r="U4409" s="9">
        <v>45473</v>
      </c>
      <c r="V4409">
        <f>SUM(POTABLE_NONPOTABLE_API[[#This Row],[RESIDENTIAL_SINGLEFAMILY_GAL]:[OTHER_GAL]])</f>
        <v>63363935</v>
      </c>
      <c r="W4409">
        <f>SUM(POTABLE_NONPOTABLE_API[[#This Row],[NONPOTABLE_DEMAND_RESIDENTIAL_RECYCLED_WATER_GAL]:[NONPOTABLE_DEMAND_NONRESIDENTIAL_METERED_IRRIGATION_GAL]])</f>
        <v>0</v>
      </c>
      <c r="X4409" t="str">
        <f>IFERROR(INDEX(Crosswalk_API!$H$2:$H$527, MATCH(POTABLE_NONPOTABLE_API[[#This Row],[PWSID]], CW_PWSID_LIST, 0)), "")</f>
        <v>No</v>
      </c>
    </row>
    <row r="4410" spans="1:24" x14ac:dyDescent="0.25">
      <c r="A4410" t="s">
        <v>2041</v>
      </c>
      <c r="B4410" t="s">
        <v>2042</v>
      </c>
      <c r="C4410" t="s">
        <v>2043</v>
      </c>
      <c r="D4410" t="s">
        <v>2044</v>
      </c>
      <c r="E4410" s="9">
        <v>45231</v>
      </c>
      <c r="F4410" s="9">
        <v>45260</v>
      </c>
      <c r="G4410">
        <v>33023000</v>
      </c>
      <c r="H4410">
        <v>1887000</v>
      </c>
      <c r="I4410">
        <v>9435000</v>
      </c>
      <c r="J4410">
        <v>943000</v>
      </c>
      <c r="K4410">
        <v>47175</v>
      </c>
      <c r="L4410">
        <v>0</v>
      </c>
      <c r="M4410">
        <v>0</v>
      </c>
      <c r="T4410" s="9">
        <v>45108</v>
      </c>
      <c r="U4410" s="9">
        <v>45473</v>
      </c>
      <c r="V4410">
        <f>SUM(POTABLE_NONPOTABLE_API[[#This Row],[RESIDENTIAL_SINGLEFAMILY_GAL]:[OTHER_GAL]])</f>
        <v>45335175</v>
      </c>
      <c r="W4410">
        <f>SUM(POTABLE_NONPOTABLE_API[[#This Row],[NONPOTABLE_DEMAND_RESIDENTIAL_RECYCLED_WATER_GAL]:[NONPOTABLE_DEMAND_NONRESIDENTIAL_METERED_IRRIGATION_GAL]])</f>
        <v>0</v>
      </c>
      <c r="X4410" t="str">
        <f>IFERROR(INDEX(Crosswalk_API!$H$2:$H$527, MATCH(POTABLE_NONPOTABLE_API[[#This Row],[PWSID]], CW_PWSID_LIST, 0)), "")</f>
        <v>No</v>
      </c>
    </row>
    <row r="4411" spans="1:24" x14ac:dyDescent="0.25">
      <c r="A4411" t="s">
        <v>2041</v>
      </c>
      <c r="B4411" t="s">
        <v>2042</v>
      </c>
      <c r="C4411" t="s">
        <v>2043</v>
      </c>
      <c r="D4411" t="s">
        <v>2044</v>
      </c>
      <c r="E4411" s="9">
        <v>45261</v>
      </c>
      <c r="F4411" s="9">
        <v>45291</v>
      </c>
      <c r="G4411">
        <v>25943000</v>
      </c>
      <c r="H4411">
        <v>1482000</v>
      </c>
      <c r="I4411">
        <v>7412000</v>
      </c>
      <c r="J4411">
        <v>741220</v>
      </c>
      <c r="K4411">
        <v>37061</v>
      </c>
      <c r="L4411">
        <v>0</v>
      </c>
      <c r="M4411">
        <v>0</v>
      </c>
      <c r="T4411" s="9">
        <v>45108</v>
      </c>
      <c r="U4411" s="9">
        <v>45473</v>
      </c>
      <c r="V4411">
        <f>SUM(POTABLE_NONPOTABLE_API[[#This Row],[RESIDENTIAL_SINGLEFAMILY_GAL]:[OTHER_GAL]])</f>
        <v>35615281</v>
      </c>
      <c r="W4411">
        <f>SUM(POTABLE_NONPOTABLE_API[[#This Row],[NONPOTABLE_DEMAND_RESIDENTIAL_RECYCLED_WATER_GAL]:[NONPOTABLE_DEMAND_NONRESIDENTIAL_METERED_IRRIGATION_GAL]])</f>
        <v>0</v>
      </c>
      <c r="X4411" t="str">
        <f>IFERROR(INDEX(Crosswalk_API!$H$2:$H$527, MATCH(POTABLE_NONPOTABLE_API[[#This Row],[PWSID]], CW_PWSID_LIST, 0)), "")</f>
        <v>No</v>
      </c>
    </row>
    <row r="4412" spans="1:24" x14ac:dyDescent="0.25">
      <c r="A4412" t="s">
        <v>2041</v>
      </c>
      <c r="B4412" t="s">
        <v>2042</v>
      </c>
      <c r="C4412" t="s">
        <v>2043</v>
      </c>
      <c r="D4412" t="s">
        <v>2044</v>
      </c>
      <c r="E4412" s="9">
        <v>45292</v>
      </c>
      <c r="F4412" s="9">
        <v>45322</v>
      </c>
      <c r="G4412">
        <v>22486000</v>
      </c>
      <c r="H4412">
        <v>1285000</v>
      </c>
      <c r="I4412">
        <v>6425000</v>
      </c>
      <c r="J4412">
        <v>642460</v>
      </c>
      <c r="K4412">
        <v>32123</v>
      </c>
      <c r="L4412">
        <v>0</v>
      </c>
      <c r="M4412">
        <v>0</v>
      </c>
      <c r="T4412" s="9">
        <v>45108</v>
      </c>
      <c r="U4412" s="9">
        <v>45473</v>
      </c>
      <c r="V4412">
        <f>SUM(POTABLE_NONPOTABLE_API[[#This Row],[RESIDENTIAL_SINGLEFAMILY_GAL]:[OTHER_GAL]])</f>
        <v>30870583</v>
      </c>
      <c r="W4412">
        <f>SUM(POTABLE_NONPOTABLE_API[[#This Row],[NONPOTABLE_DEMAND_RESIDENTIAL_RECYCLED_WATER_GAL]:[NONPOTABLE_DEMAND_NONRESIDENTIAL_METERED_IRRIGATION_GAL]])</f>
        <v>0</v>
      </c>
      <c r="X4412" t="str">
        <f>IFERROR(INDEX(Crosswalk_API!$H$2:$H$527, MATCH(POTABLE_NONPOTABLE_API[[#This Row],[PWSID]], CW_PWSID_LIST, 0)), "")</f>
        <v>No</v>
      </c>
    </row>
    <row r="4413" spans="1:24" x14ac:dyDescent="0.25">
      <c r="A4413" t="s">
        <v>2041</v>
      </c>
      <c r="B4413" t="s">
        <v>2042</v>
      </c>
      <c r="C4413" t="s">
        <v>2043</v>
      </c>
      <c r="D4413" t="s">
        <v>2044</v>
      </c>
      <c r="E4413" s="9">
        <v>45323</v>
      </c>
      <c r="F4413" s="9">
        <v>45351</v>
      </c>
      <c r="G4413">
        <v>18841000</v>
      </c>
      <c r="H4413">
        <v>1077000</v>
      </c>
      <c r="I4413">
        <v>5383000</v>
      </c>
      <c r="J4413">
        <v>538000</v>
      </c>
      <c r="K4413">
        <v>26915</v>
      </c>
      <c r="L4413">
        <v>0</v>
      </c>
      <c r="M4413">
        <v>0</v>
      </c>
      <c r="T4413" s="9">
        <v>45108</v>
      </c>
      <c r="U4413" s="9">
        <v>45473</v>
      </c>
      <c r="V4413">
        <f>SUM(POTABLE_NONPOTABLE_API[[#This Row],[RESIDENTIAL_SINGLEFAMILY_GAL]:[OTHER_GAL]])</f>
        <v>25865915</v>
      </c>
      <c r="W4413">
        <f>SUM(POTABLE_NONPOTABLE_API[[#This Row],[NONPOTABLE_DEMAND_RESIDENTIAL_RECYCLED_WATER_GAL]:[NONPOTABLE_DEMAND_NONRESIDENTIAL_METERED_IRRIGATION_GAL]])</f>
        <v>0</v>
      </c>
      <c r="X4413" t="str">
        <f>IFERROR(INDEX(Crosswalk_API!$H$2:$H$527, MATCH(POTABLE_NONPOTABLE_API[[#This Row],[PWSID]], CW_PWSID_LIST, 0)), "")</f>
        <v>No</v>
      </c>
    </row>
    <row r="4414" spans="1:24" x14ac:dyDescent="0.25">
      <c r="A4414" t="s">
        <v>2041</v>
      </c>
      <c r="B4414" t="s">
        <v>2042</v>
      </c>
      <c r="C4414" t="s">
        <v>2043</v>
      </c>
      <c r="D4414" t="s">
        <v>2044</v>
      </c>
      <c r="E4414" s="9">
        <v>45352</v>
      </c>
      <c r="F4414" s="9">
        <v>45382</v>
      </c>
      <c r="G4414">
        <v>25833000</v>
      </c>
      <c r="H4414">
        <v>1476000</v>
      </c>
      <c r="I4414">
        <v>7381000</v>
      </c>
      <c r="J4414">
        <v>738080</v>
      </c>
      <c r="K4414">
        <v>36904</v>
      </c>
      <c r="L4414">
        <v>0</v>
      </c>
      <c r="M4414">
        <v>0</v>
      </c>
      <c r="T4414" s="9">
        <v>45108</v>
      </c>
      <c r="U4414" s="9">
        <v>45473</v>
      </c>
      <c r="V4414">
        <f>SUM(POTABLE_NONPOTABLE_API[[#This Row],[RESIDENTIAL_SINGLEFAMILY_GAL]:[OTHER_GAL]])</f>
        <v>35464984</v>
      </c>
      <c r="W4414">
        <f>SUM(POTABLE_NONPOTABLE_API[[#This Row],[NONPOTABLE_DEMAND_RESIDENTIAL_RECYCLED_WATER_GAL]:[NONPOTABLE_DEMAND_NONRESIDENTIAL_METERED_IRRIGATION_GAL]])</f>
        <v>0</v>
      </c>
      <c r="X4414" t="str">
        <f>IFERROR(INDEX(Crosswalk_API!$H$2:$H$527, MATCH(POTABLE_NONPOTABLE_API[[#This Row],[PWSID]], CW_PWSID_LIST, 0)), "")</f>
        <v>No</v>
      </c>
    </row>
    <row r="4415" spans="1:24" x14ac:dyDescent="0.25">
      <c r="A4415" t="s">
        <v>2041</v>
      </c>
      <c r="B4415" t="s">
        <v>2042</v>
      </c>
      <c r="C4415" t="s">
        <v>2043</v>
      </c>
      <c r="D4415" t="s">
        <v>2044</v>
      </c>
      <c r="E4415" s="9">
        <v>45383</v>
      </c>
      <c r="F4415" s="9">
        <v>45412</v>
      </c>
      <c r="G4415">
        <v>31993000</v>
      </c>
      <c r="H4415">
        <v>1828000</v>
      </c>
      <c r="I4415">
        <v>9141000</v>
      </c>
      <c r="J4415">
        <v>914080</v>
      </c>
      <c r="K4415">
        <v>45704</v>
      </c>
      <c r="L4415">
        <v>0</v>
      </c>
      <c r="M4415">
        <v>0</v>
      </c>
      <c r="T4415" s="9">
        <v>45108</v>
      </c>
      <c r="U4415" s="9">
        <v>45473</v>
      </c>
      <c r="V4415">
        <f>SUM(POTABLE_NONPOTABLE_API[[#This Row],[RESIDENTIAL_SINGLEFAMILY_GAL]:[OTHER_GAL]])</f>
        <v>43921784</v>
      </c>
      <c r="W4415">
        <f>SUM(POTABLE_NONPOTABLE_API[[#This Row],[NONPOTABLE_DEMAND_RESIDENTIAL_RECYCLED_WATER_GAL]:[NONPOTABLE_DEMAND_NONRESIDENTIAL_METERED_IRRIGATION_GAL]])</f>
        <v>0</v>
      </c>
      <c r="X4415" t="str">
        <f>IFERROR(INDEX(Crosswalk_API!$H$2:$H$527, MATCH(POTABLE_NONPOTABLE_API[[#This Row],[PWSID]], CW_PWSID_LIST, 0)), "")</f>
        <v>No</v>
      </c>
    </row>
    <row r="4416" spans="1:24" x14ac:dyDescent="0.25">
      <c r="A4416" t="s">
        <v>2041</v>
      </c>
      <c r="B4416" t="s">
        <v>2042</v>
      </c>
      <c r="C4416" t="s">
        <v>2043</v>
      </c>
      <c r="D4416" t="s">
        <v>2044</v>
      </c>
      <c r="E4416" s="9">
        <v>45413</v>
      </c>
      <c r="F4416" s="9">
        <v>45443</v>
      </c>
      <c r="G4416">
        <v>50651000</v>
      </c>
      <c r="H4416">
        <v>2894000</v>
      </c>
      <c r="I4416">
        <v>14472000</v>
      </c>
      <c r="J4416">
        <v>1447000</v>
      </c>
      <c r="K4416">
        <v>72358</v>
      </c>
      <c r="L4416">
        <v>0</v>
      </c>
      <c r="M4416">
        <v>0</v>
      </c>
      <c r="T4416" s="9">
        <v>45108</v>
      </c>
      <c r="U4416" s="9">
        <v>45473</v>
      </c>
      <c r="V4416">
        <f>SUM(POTABLE_NONPOTABLE_API[[#This Row],[RESIDENTIAL_SINGLEFAMILY_GAL]:[OTHER_GAL]])</f>
        <v>69536358</v>
      </c>
      <c r="W4416">
        <f>SUM(POTABLE_NONPOTABLE_API[[#This Row],[NONPOTABLE_DEMAND_RESIDENTIAL_RECYCLED_WATER_GAL]:[NONPOTABLE_DEMAND_NONRESIDENTIAL_METERED_IRRIGATION_GAL]])</f>
        <v>0</v>
      </c>
      <c r="X4416" t="str">
        <f>IFERROR(INDEX(Crosswalk_API!$H$2:$H$527, MATCH(POTABLE_NONPOTABLE_API[[#This Row],[PWSID]], CW_PWSID_LIST, 0)), "")</f>
        <v>No</v>
      </c>
    </row>
    <row r="4417" spans="1:24" x14ac:dyDescent="0.25">
      <c r="A4417" t="s">
        <v>2041</v>
      </c>
      <c r="B4417" t="s">
        <v>2042</v>
      </c>
      <c r="C4417" t="s">
        <v>2043</v>
      </c>
      <c r="D4417" t="s">
        <v>2044</v>
      </c>
      <c r="E4417" s="9">
        <v>45444</v>
      </c>
      <c r="F4417" s="9">
        <v>45473</v>
      </c>
      <c r="G4417">
        <v>61068000</v>
      </c>
      <c r="H4417">
        <v>559520</v>
      </c>
      <c r="I4417">
        <v>17448000</v>
      </c>
      <c r="J4417">
        <v>1745000</v>
      </c>
      <c r="K4417">
        <v>87240</v>
      </c>
      <c r="L4417">
        <v>0</v>
      </c>
      <c r="M4417">
        <v>0</v>
      </c>
      <c r="T4417" s="9">
        <v>45108</v>
      </c>
      <c r="U4417" s="9">
        <v>45473</v>
      </c>
      <c r="V4417">
        <f>SUM(POTABLE_NONPOTABLE_API[[#This Row],[RESIDENTIAL_SINGLEFAMILY_GAL]:[OTHER_GAL]])</f>
        <v>80907760</v>
      </c>
      <c r="W4417">
        <f>SUM(POTABLE_NONPOTABLE_API[[#This Row],[NONPOTABLE_DEMAND_RESIDENTIAL_RECYCLED_WATER_GAL]:[NONPOTABLE_DEMAND_NONRESIDENTIAL_METERED_IRRIGATION_GAL]])</f>
        <v>0</v>
      </c>
      <c r="X4417" t="str">
        <f>IFERROR(INDEX(Crosswalk_API!$H$2:$H$527, MATCH(POTABLE_NONPOTABLE_API[[#This Row],[PWSID]], CW_PWSID_LIST, 0)), "")</f>
        <v>No</v>
      </c>
    </row>
    <row r="4418" spans="1:24" x14ac:dyDescent="0.25">
      <c r="A4418" t="s">
        <v>2045</v>
      </c>
      <c r="B4418" t="s">
        <v>2046</v>
      </c>
      <c r="C4418" t="s">
        <v>2047</v>
      </c>
      <c r="D4418" t="s">
        <v>2048</v>
      </c>
      <c r="E4418" s="9">
        <v>45108</v>
      </c>
      <c r="F4418" s="9">
        <v>45138</v>
      </c>
      <c r="G4418">
        <v>113559864</v>
      </c>
      <c r="H4418">
        <v>7062616</v>
      </c>
      <c r="I4418">
        <v>15011612</v>
      </c>
      <c r="J4418">
        <v>0</v>
      </c>
      <c r="K4418">
        <v>1969484</v>
      </c>
      <c r="L4418">
        <v>6000000</v>
      </c>
      <c r="M4418">
        <v>0</v>
      </c>
      <c r="N4418">
        <v>0</v>
      </c>
      <c r="O4418">
        <v>0</v>
      </c>
      <c r="P4418">
        <v>0</v>
      </c>
      <c r="Q4418">
        <v>0</v>
      </c>
      <c r="R4418">
        <v>4075852</v>
      </c>
      <c r="S4418">
        <v>0</v>
      </c>
      <c r="T4418" s="9">
        <v>45108</v>
      </c>
      <c r="U4418" s="9">
        <v>45473</v>
      </c>
      <c r="V4418">
        <f>SUM(POTABLE_NONPOTABLE_API[[#This Row],[RESIDENTIAL_SINGLEFAMILY_GAL]:[OTHER_GAL]])</f>
        <v>143603576</v>
      </c>
      <c r="W4418">
        <f>SUM(POTABLE_NONPOTABLE_API[[#This Row],[NONPOTABLE_DEMAND_RESIDENTIAL_RECYCLED_WATER_GAL]:[NONPOTABLE_DEMAND_NONRESIDENTIAL_METERED_IRRIGATION_GAL]])</f>
        <v>4075852</v>
      </c>
      <c r="X4418" t="str">
        <f>IFERROR(INDEX(Crosswalk_API!$H$2:$H$527, MATCH(POTABLE_NONPOTABLE_API[[#This Row],[PWSID]], CW_PWSID_LIST, 0)), "")</f>
        <v>No</v>
      </c>
    </row>
    <row r="4419" spans="1:24" x14ac:dyDescent="0.25">
      <c r="A4419" t="s">
        <v>2045</v>
      </c>
      <c r="B4419" t="s">
        <v>2046</v>
      </c>
      <c r="C4419" t="s">
        <v>2047</v>
      </c>
      <c r="D4419" t="s">
        <v>2048</v>
      </c>
      <c r="E4419" s="9">
        <v>45139</v>
      </c>
      <c r="F4419" s="9">
        <v>45169</v>
      </c>
      <c r="G4419">
        <v>119484772</v>
      </c>
      <c r="H4419">
        <v>7589956</v>
      </c>
      <c r="I4419">
        <v>16526312</v>
      </c>
      <c r="J4419">
        <v>0</v>
      </c>
      <c r="K4419">
        <v>1596980</v>
      </c>
      <c r="L4419">
        <v>6000000</v>
      </c>
      <c r="M4419">
        <v>0</v>
      </c>
      <c r="N4419">
        <v>0</v>
      </c>
      <c r="O4419">
        <v>0</v>
      </c>
      <c r="P4419">
        <v>0</v>
      </c>
      <c r="Q4419">
        <v>0</v>
      </c>
      <c r="R4419">
        <v>5060968</v>
      </c>
      <c r="S4419">
        <v>0</v>
      </c>
      <c r="T4419" s="9">
        <v>45108</v>
      </c>
      <c r="U4419" s="9">
        <v>45473</v>
      </c>
      <c r="V4419">
        <f>SUM(POTABLE_NONPOTABLE_API[[#This Row],[RESIDENTIAL_SINGLEFAMILY_GAL]:[OTHER_GAL]])</f>
        <v>151198020</v>
      </c>
      <c r="W4419">
        <f>SUM(POTABLE_NONPOTABLE_API[[#This Row],[NONPOTABLE_DEMAND_RESIDENTIAL_RECYCLED_WATER_GAL]:[NONPOTABLE_DEMAND_NONRESIDENTIAL_METERED_IRRIGATION_GAL]])</f>
        <v>5060968</v>
      </c>
      <c r="X4419" t="str">
        <f>IFERROR(INDEX(Crosswalk_API!$H$2:$H$527, MATCH(POTABLE_NONPOTABLE_API[[#This Row],[PWSID]], CW_PWSID_LIST, 0)), "")</f>
        <v>No</v>
      </c>
    </row>
    <row r="4420" spans="1:24" x14ac:dyDescent="0.25">
      <c r="A4420" t="s">
        <v>2045</v>
      </c>
      <c r="B4420" t="s">
        <v>2046</v>
      </c>
      <c r="C4420" t="s">
        <v>2047</v>
      </c>
      <c r="D4420" t="s">
        <v>2048</v>
      </c>
      <c r="E4420" s="9">
        <v>45170</v>
      </c>
      <c r="F4420" s="9">
        <v>45199</v>
      </c>
      <c r="G4420">
        <v>107133048</v>
      </c>
      <c r="H4420">
        <v>8325240</v>
      </c>
      <c r="I4420">
        <v>15071452</v>
      </c>
      <c r="J4420">
        <v>0</v>
      </c>
      <c r="K4420">
        <v>1742840</v>
      </c>
      <c r="L4420">
        <v>4000000</v>
      </c>
      <c r="M4420">
        <v>0</v>
      </c>
      <c r="N4420">
        <v>0</v>
      </c>
      <c r="O4420">
        <v>0</v>
      </c>
      <c r="P4420">
        <v>0</v>
      </c>
      <c r="Q4420">
        <v>0</v>
      </c>
      <c r="R4420">
        <v>3862672</v>
      </c>
      <c r="S4420">
        <v>0</v>
      </c>
      <c r="T4420" s="9">
        <v>45108</v>
      </c>
      <c r="U4420" s="9">
        <v>45473</v>
      </c>
      <c r="V4420">
        <f>SUM(POTABLE_NONPOTABLE_API[[#This Row],[RESIDENTIAL_SINGLEFAMILY_GAL]:[OTHER_GAL]])</f>
        <v>136272580</v>
      </c>
      <c r="W4420">
        <f>SUM(POTABLE_NONPOTABLE_API[[#This Row],[NONPOTABLE_DEMAND_RESIDENTIAL_RECYCLED_WATER_GAL]:[NONPOTABLE_DEMAND_NONRESIDENTIAL_METERED_IRRIGATION_GAL]])</f>
        <v>3862672</v>
      </c>
      <c r="X4420" t="str">
        <f>IFERROR(INDEX(Crosswalk_API!$H$2:$H$527, MATCH(POTABLE_NONPOTABLE_API[[#This Row],[PWSID]], CW_PWSID_LIST, 0)), "")</f>
        <v>No</v>
      </c>
    </row>
    <row r="4421" spans="1:24" x14ac:dyDescent="0.25">
      <c r="A4421" t="s">
        <v>2045</v>
      </c>
      <c r="B4421" t="s">
        <v>2046</v>
      </c>
      <c r="C4421" t="s">
        <v>2047</v>
      </c>
      <c r="D4421" t="s">
        <v>2048</v>
      </c>
      <c r="E4421" s="9">
        <v>45200</v>
      </c>
      <c r="F4421" s="9">
        <v>45230</v>
      </c>
      <c r="G4421">
        <v>90466112</v>
      </c>
      <c r="H4421">
        <v>3537292</v>
      </c>
      <c r="I4421">
        <v>12367432</v>
      </c>
      <c r="J4421">
        <v>0</v>
      </c>
      <c r="K4421">
        <v>1491512</v>
      </c>
      <c r="L4421">
        <v>3000000</v>
      </c>
      <c r="M4421">
        <v>0</v>
      </c>
      <c r="N4421">
        <v>0</v>
      </c>
      <c r="O4421">
        <v>0</v>
      </c>
      <c r="P4421">
        <v>0</v>
      </c>
      <c r="Q4421">
        <v>0</v>
      </c>
      <c r="R4421">
        <v>3039872</v>
      </c>
      <c r="S4421">
        <v>0</v>
      </c>
      <c r="T4421" s="9">
        <v>45108</v>
      </c>
      <c r="U4421" s="9">
        <v>45473</v>
      </c>
      <c r="V4421">
        <f>SUM(POTABLE_NONPOTABLE_API[[#This Row],[RESIDENTIAL_SINGLEFAMILY_GAL]:[OTHER_GAL]])</f>
        <v>110862348</v>
      </c>
      <c r="W4421">
        <f>SUM(POTABLE_NONPOTABLE_API[[#This Row],[NONPOTABLE_DEMAND_RESIDENTIAL_RECYCLED_WATER_GAL]:[NONPOTABLE_DEMAND_NONRESIDENTIAL_METERED_IRRIGATION_GAL]])</f>
        <v>3039872</v>
      </c>
      <c r="X4421" t="str">
        <f>IFERROR(INDEX(Crosswalk_API!$H$2:$H$527, MATCH(POTABLE_NONPOTABLE_API[[#This Row],[PWSID]], CW_PWSID_LIST, 0)), "")</f>
        <v>No</v>
      </c>
    </row>
    <row r="4422" spans="1:24" x14ac:dyDescent="0.25">
      <c r="A4422" t="s">
        <v>2045</v>
      </c>
      <c r="B4422" t="s">
        <v>2046</v>
      </c>
      <c r="C4422" t="s">
        <v>2047</v>
      </c>
      <c r="D4422" t="s">
        <v>2048</v>
      </c>
      <c r="E4422" s="9">
        <v>45231</v>
      </c>
      <c r="F4422" s="9">
        <v>45260</v>
      </c>
      <c r="G4422">
        <v>64468624</v>
      </c>
      <c r="H4422">
        <v>2852124</v>
      </c>
      <c r="I4422">
        <v>10165320</v>
      </c>
      <c r="J4422">
        <v>0</v>
      </c>
      <c r="K4422">
        <v>1012044</v>
      </c>
      <c r="L4422">
        <v>1800000</v>
      </c>
      <c r="M4422">
        <v>0</v>
      </c>
      <c r="N4422">
        <v>0</v>
      </c>
      <c r="O4422">
        <v>0</v>
      </c>
      <c r="P4422">
        <v>0</v>
      </c>
      <c r="Q4422">
        <v>0</v>
      </c>
      <c r="R4422">
        <v>2266440</v>
      </c>
      <c r="S4422">
        <v>0</v>
      </c>
      <c r="T4422" s="9">
        <v>45108</v>
      </c>
      <c r="U4422" s="9">
        <v>45473</v>
      </c>
      <c r="V4422">
        <f>SUM(POTABLE_NONPOTABLE_API[[#This Row],[RESIDENTIAL_SINGLEFAMILY_GAL]:[OTHER_GAL]])</f>
        <v>80298112</v>
      </c>
      <c r="W4422">
        <f>SUM(POTABLE_NONPOTABLE_API[[#This Row],[NONPOTABLE_DEMAND_RESIDENTIAL_RECYCLED_WATER_GAL]:[NONPOTABLE_DEMAND_NONRESIDENTIAL_METERED_IRRIGATION_GAL]])</f>
        <v>2266440</v>
      </c>
      <c r="X4422" t="str">
        <f>IFERROR(INDEX(Crosswalk_API!$H$2:$H$527, MATCH(POTABLE_NONPOTABLE_API[[#This Row],[PWSID]], CW_PWSID_LIST, 0)), "")</f>
        <v>No</v>
      </c>
    </row>
    <row r="4423" spans="1:24" x14ac:dyDescent="0.25">
      <c r="A4423" t="s">
        <v>2045</v>
      </c>
      <c r="B4423" t="s">
        <v>2046</v>
      </c>
      <c r="C4423" t="s">
        <v>2047</v>
      </c>
      <c r="D4423" t="s">
        <v>2048</v>
      </c>
      <c r="E4423" s="9">
        <v>45261</v>
      </c>
      <c r="F4423" s="9">
        <v>45291</v>
      </c>
      <c r="G4423">
        <v>41588800</v>
      </c>
      <c r="H4423">
        <v>2534972</v>
      </c>
      <c r="I4423">
        <v>7433624</v>
      </c>
      <c r="J4423">
        <v>0</v>
      </c>
      <c r="K4423">
        <v>755480</v>
      </c>
      <c r="L4423">
        <v>250000</v>
      </c>
      <c r="M4423">
        <v>0</v>
      </c>
      <c r="N4423">
        <v>0</v>
      </c>
      <c r="O4423">
        <v>0</v>
      </c>
      <c r="P4423">
        <v>0</v>
      </c>
      <c r="Q4423">
        <v>0</v>
      </c>
      <c r="R4423">
        <v>1550604</v>
      </c>
      <c r="S4423">
        <v>0</v>
      </c>
      <c r="T4423" s="9">
        <v>45108</v>
      </c>
      <c r="U4423" s="9">
        <v>45473</v>
      </c>
      <c r="V4423">
        <f>SUM(POTABLE_NONPOTABLE_API[[#This Row],[RESIDENTIAL_SINGLEFAMILY_GAL]:[OTHER_GAL]])</f>
        <v>52562876</v>
      </c>
      <c r="W4423">
        <f>SUM(POTABLE_NONPOTABLE_API[[#This Row],[NONPOTABLE_DEMAND_RESIDENTIAL_RECYCLED_WATER_GAL]:[NONPOTABLE_DEMAND_NONRESIDENTIAL_METERED_IRRIGATION_GAL]])</f>
        <v>1550604</v>
      </c>
      <c r="X4423" t="str">
        <f>IFERROR(INDEX(Crosswalk_API!$H$2:$H$527, MATCH(POTABLE_NONPOTABLE_API[[#This Row],[PWSID]], CW_PWSID_LIST, 0)), "")</f>
        <v>No</v>
      </c>
    </row>
    <row r="4424" spans="1:24" x14ac:dyDescent="0.25">
      <c r="A4424" t="s">
        <v>2045</v>
      </c>
      <c r="B4424" t="s">
        <v>2046</v>
      </c>
      <c r="C4424" t="s">
        <v>2047</v>
      </c>
      <c r="D4424" t="s">
        <v>2048</v>
      </c>
      <c r="E4424" s="9">
        <v>45292</v>
      </c>
      <c r="F4424" s="9">
        <v>45322</v>
      </c>
      <c r="G4424">
        <v>32790076</v>
      </c>
      <c r="H4424">
        <v>15393092</v>
      </c>
      <c r="I4424">
        <v>5926404</v>
      </c>
      <c r="J4424">
        <v>0</v>
      </c>
      <c r="K4424">
        <v>844492</v>
      </c>
      <c r="L4424">
        <v>200000</v>
      </c>
      <c r="M4424">
        <v>0</v>
      </c>
      <c r="N4424">
        <v>0</v>
      </c>
      <c r="O4424">
        <v>0</v>
      </c>
      <c r="P4424">
        <v>0</v>
      </c>
      <c r="Q4424">
        <v>0</v>
      </c>
      <c r="R4424">
        <v>703868</v>
      </c>
      <c r="S4424">
        <v>0</v>
      </c>
      <c r="T4424" s="9">
        <v>45108</v>
      </c>
      <c r="U4424" s="9">
        <v>45473</v>
      </c>
      <c r="V4424">
        <f>SUM(POTABLE_NONPOTABLE_API[[#This Row],[RESIDENTIAL_SINGLEFAMILY_GAL]:[OTHER_GAL]])</f>
        <v>55154064</v>
      </c>
      <c r="W4424">
        <f>SUM(POTABLE_NONPOTABLE_API[[#This Row],[NONPOTABLE_DEMAND_RESIDENTIAL_RECYCLED_WATER_GAL]:[NONPOTABLE_DEMAND_NONRESIDENTIAL_METERED_IRRIGATION_GAL]])</f>
        <v>703868</v>
      </c>
      <c r="X4424" t="str">
        <f>IFERROR(INDEX(Crosswalk_API!$H$2:$H$527, MATCH(POTABLE_NONPOTABLE_API[[#This Row],[PWSID]], CW_PWSID_LIST, 0)), "")</f>
        <v>No</v>
      </c>
    </row>
    <row r="4425" spans="1:24" x14ac:dyDescent="0.25">
      <c r="A4425" t="s">
        <v>2045</v>
      </c>
      <c r="B4425" t="s">
        <v>2046</v>
      </c>
      <c r="C4425" t="s">
        <v>2047</v>
      </c>
      <c r="D4425" t="s">
        <v>2048</v>
      </c>
      <c r="E4425" s="9">
        <v>45323</v>
      </c>
      <c r="F4425" s="9">
        <v>45351</v>
      </c>
      <c r="G4425">
        <v>29621548</v>
      </c>
      <c r="H4425">
        <v>4632364</v>
      </c>
      <c r="I4425">
        <v>5930892</v>
      </c>
      <c r="J4425">
        <v>0</v>
      </c>
      <c r="K4425">
        <v>764456</v>
      </c>
      <c r="L4425">
        <v>500000</v>
      </c>
      <c r="M4425">
        <v>0</v>
      </c>
      <c r="N4425">
        <v>0</v>
      </c>
      <c r="O4425">
        <v>0</v>
      </c>
      <c r="P4425">
        <v>0</v>
      </c>
      <c r="Q4425">
        <v>0</v>
      </c>
      <c r="R4425">
        <v>790636</v>
      </c>
      <c r="S4425">
        <v>0</v>
      </c>
      <c r="T4425" s="9">
        <v>45108</v>
      </c>
      <c r="U4425" s="9">
        <v>45473</v>
      </c>
      <c r="V4425">
        <f>SUM(POTABLE_NONPOTABLE_API[[#This Row],[RESIDENTIAL_SINGLEFAMILY_GAL]:[OTHER_GAL]])</f>
        <v>41449260</v>
      </c>
      <c r="W4425">
        <f>SUM(POTABLE_NONPOTABLE_API[[#This Row],[NONPOTABLE_DEMAND_RESIDENTIAL_RECYCLED_WATER_GAL]:[NONPOTABLE_DEMAND_NONRESIDENTIAL_METERED_IRRIGATION_GAL]])</f>
        <v>790636</v>
      </c>
      <c r="X4425" t="str">
        <f>IFERROR(INDEX(Crosswalk_API!$H$2:$H$527, MATCH(POTABLE_NONPOTABLE_API[[#This Row],[PWSID]], CW_PWSID_LIST, 0)), "")</f>
        <v>No</v>
      </c>
    </row>
    <row r="4426" spans="1:24" x14ac:dyDescent="0.25">
      <c r="A4426" t="s">
        <v>2045</v>
      </c>
      <c r="B4426" t="s">
        <v>2046</v>
      </c>
      <c r="C4426" t="s">
        <v>2047</v>
      </c>
      <c r="D4426" t="s">
        <v>2048</v>
      </c>
      <c r="E4426" s="9">
        <v>45352</v>
      </c>
      <c r="F4426" s="9">
        <v>45382</v>
      </c>
      <c r="G4426">
        <v>34929356</v>
      </c>
      <c r="H4426">
        <v>7427640</v>
      </c>
      <c r="I4426">
        <v>5993724</v>
      </c>
      <c r="J4426">
        <v>0</v>
      </c>
      <c r="K4426">
        <v>806344</v>
      </c>
      <c r="L4426">
        <v>750000</v>
      </c>
      <c r="M4426">
        <v>0</v>
      </c>
      <c r="N4426">
        <v>0</v>
      </c>
      <c r="O4426">
        <v>0</v>
      </c>
      <c r="P4426">
        <v>0</v>
      </c>
      <c r="Q4426">
        <v>0</v>
      </c>
      <c r="R4426">
        <v>1032988</v>
      </c>
      <c r="S4426">
        <v>0</v>
      </c>
      <c r="T4426" s="9">
        <v>45108</v>
      </c>
      <c r="U4426" s="9">
        <v>45473</v>
      </c>
      <c r="V4426">
        <f>SUM(POTABLE_NONPOTABLE_API[[#This Row],[RESIDENTIAL_SINGLEFAMILY_GAL]:[OTHER_GAL]])</f>
        <v>49907064</v>
      </c>
      <c r="W4426">
        <f>SUM(POTABLE_NONPOTABLE_API[[#This Row],[NONPOTABLE_DEMAND_RESIDENTIAL_RECYCLED_WATER_GAL]:[NONPOTABLE_DEMAND_NONRESIDENTIAL_METERED_IRRIGATION_GAL]])</f>
        <v>1032988</v>
      </c>
      <c r="X4426" t="str">
        <f>IFERROR(INDEX(Crosswalk_API!$H$2:$H$527, MATCH(POTABLE_NONPOTABLE_API[[#This Row],[PWSID]], CW_PWSID_LIST, 0)), "")</f>
        <v>No</v>
      </c>
    </row>
    <row r="4427" spans="1:24" x14ac:dyDescent="0.25">
      <c r="A4427" t="s">
        <v>2045</v>
      </c>
      <c r="B4427" t="s">
        <v>2046</v>
      </c>
      <c r="C4427" t="s">
        <v>2047</v>
      </c>
      <c r="D4427" t="s">
        <v>2048</v>
      </c>
      <c r="E4427" s="9">
        <v>45383</v>
      </c>
      <c r="F4427" s="9">
        <v>45412</v>
      </c>
      <c r="G4427">
        <v>50572280</v>
      </c>
      <c r="H4427">
        <v>6002700</v>
      </c>
      <c r="I4427">
        <v>10751752</v>
      </c>
      <c r="J4427">
        <v>0</v>
      </c>
      <c r="K4427">
        <v>1302268</v>
      </c>
      <c r="L4427">
        <v>4000000</v>
      </c>
      <c r="M4427">
        <v>0</v>
      </c>
      <c r="N4427">
        <v>0</v>
      </c>
      <c r="O4427">
        <v>0</v>
      </c>
      <c r="P4427">
        <v>0</v>
      </c>
      <c r="Q4427">
        <v>0</v>
      </c>
      <c r="R4427">
        <v>1729376</v>
      </c>
      <c r="S4427">
        <v>0</v>
      </c>
      <c r="T4427" s="9">
        <v>45108</v>
      </c>
      <c r="U4427" s="9">
        <v>45473</v>
      </c>
      <c r="V4427">
        <f>SUM(POTABLE_NONPOTABLE_API[[#This Row],[RESIDENTIAL_SINGLEFAMILY_GAL]:[OTHER_GAL]])</f>
        <v>72629000</v>
      </c>
      <c r="W4427">
        <f>SUM(POTABLE_NONPOTABLE_API[[#This Row],[NONPOTABLE_DEMAND_RESIDENTIAL_RECYCLED_WATER_GAL]:[NONPOTABLE_DEMAND_NONRESIDENTIAL_METERED_IRRIGATION_GAL]])</f>
        <v>1729376</v>
      </c>
      <c r="X4427" t="str">
        <f>IFERROR(INDEX(Crosswalk_API!$H$2:$H$527, MATCH(POTABLE_NONPOTABLE_API[[#This Row],[PWSID]], CW_PWSID_LIST, 0)), "")</f>
        <v>No</v>
      </c>
    </row>
    <row r="4428" spans="1:24" x14ac:dyDescent="0.25">
      <c r="A4428" t="s">
        <v>2045</v>
      </c>
      <c r="B4428" t="s">
        <v>2046</v>
      </c>
      <c r="C4428" t="s">
        <v>2047</v>
      </c>
      <c r="D4428" t="s">
        <v>2048</v>
      </c>
      <c r="E4428" s="9">
        <v>45413</v>
      </c>
      <c r="F4428" s="9">
        <v>45443</v>
      </c>
      <c r="G4428">
        <v>79019468</v>
      </c>
      <c r="H4428">
        <v>6405124</v>
      </c>
      <c r="I4428">
        <v>11769780</v>
      </c>
      <c r="J4428">
        <v>0</v>
      </c>
      <c r="K4428">
        <v>1381556</v>
      </c>
      <c r="L4428">
        <v>4000000</v>
      </c>
      <c r="M4428">
        <v>0</v>
      </c>
      <c r="N4428">
        <v>0</v>
      </c>
      <c r="O4428">
        <v>0</v>
      </c>
      <c r="P4428">
        <v>0</v>
      </c>
      <c r="Q4428">
        <v>0</v>
      </c>
      <c r="R4428">
        <v>2761616</v>
      </c>
      <c r="S4428">
        <v>0</v>
      </c>
      <c r="T4428" s="9">
        <v>45108</v>
      </c>
      <c r="U4428" s="9">
        <v>45473</v>
      </c>
      <c r="V4428">
        <f>SUM(POTABLE_NONPOTABLE_API[[#This Row],[RESIDENTIAL_SINGLEFAMILY_GAL]:[OTHER_GAL]])</f>
        <v>102575928</v>
      </c>
      <c r="W4428">
        <f>SUM(POTABLE_NONPOTABLE_API[[#This Row],[NONPOTABLE_DEMAND_RESIDENTIAL_RECYCLED_WATER_GAL]:[NONPOTABLE_DEMAND_NONRESIDENTIAL_METERED_IRRIGATION_GAL]])</f>
        <v>2761616</v>
      </c>
      <c r="X4428" t="str">
        <f>IFERROR(INDEX(Crosswalk_API!$H$2:$H$527, MATCH(POTABLE_NONPOTABLE_API[[#This Row],[PWSID]], CW_PWSID_LIST, 0)), "")</f>
        <v>No</v>
      </c>
    </row>
    <row r="4429" spans="1:24" x14ac:dyDescent="0.25">
      <c r="A4429" t="s">
        <v>2045</v>
      </c>
      <c r="B4429" t="s">
        <v>2046</v>
      </c>
      <c r="C4429" t="s">
        <v>2047</v>
      </c>
      <c r="D4429" t="s">
        <v>2048</v>
      </c>
      <c r="E4429" s="9">
        <v>45444</v>
      </c>
      <c r="F4429" s="9">
        <v>45473</v>
      </c>
      <c r="G4429">
        <v>108863172</v>
      </c>
      <c r="H4429">
        <v>7067104</v>
      </c>
      <c r="I4429">
        <v>15655640</v>
      </c>
      <c r="J4429">
        <v>0</v>
      </c>
      <c r="K4429">
        <v>1015784</v>
      </c>
      <c r="L4429">
        <v>5000000</v>
      </c>
      <c r="M4429">
        <v>0</v>
      </c>
      <c r="N4429">
        <v>0</v>
      </c>
      <c r="O4429">
        <v>0</v>
      </c>
      <c r="P4429">
        <v>0</v>
      </c>
      <c r="Q4429">
        <v>0</v>
      </c>
      <c r="R4429">
        <v>3540284</v>
      </c>
      <c r="S4429">
        <v>0</v>
      </c>
      <c r="T4429" s="9">
        <v>45108</v>
      </c>
      <c r="U4429" s="9">
        <v>45473</v>
      </c>
      <c r="V4429">
        <f>SUM(POTABLE_NONPOTABLE_API[[#This Row],[RESIDENTIAL_SINGLEFAMILY_GAL]:[OTHER_GAL]])</f>
        <v>137601700</v>
      </c>
      <c r="W4429">
        <f>SUM(POTABLE_NONPOTABLE_API[[#This Row],[NONPOTABLE_DEMAND_RESIDENTIAL_RECYCLED_WATER_GAL]:[NONPOTABLE_DEMAND_NONRESIDENTIAL_METERED_IRRIGATION_GAL]])</f>
        <v>3540284</v>
      </c>
      <c r="X4429" t="str">
        <f>IFERROR(INDEX(Crosswalk_API!$H$2:$H$527, MATCH(POTABLE_NONPOTABLE_API[[#This Row],[PWSID]], CW_PWSID_LIST, 0)), "")</f>
        <v>No</v>
      </c>
    </row>
    <row r="4430" spans="1:24" x14ac:dyDescent="0.25">
      <c r="A4430" t="s">
        <v>2049</v>
      </c>
      <c r="B4430" t="s">
        <v>2050</v>
      </c>
      <c r="C4430" t="s">
        <v>2051</v>
      </c>
      <c r="D4430" t="s">
        <v>2052</v>
      </c>
      <c r="E4430" s="9">
        <v>45108</v>
      </c>
      <c r="F4430" s="9">
        <v>45138</v>
      </c>
      <c r="G4430">
        <v>153664420</v>
      </c>
      <c r="H4430">
        <v>0</v>
      </c>
      <c r="I4430">
        <v>15197580</v>
      </c>
      <c r="J4430">
        <v>0</v>
      </c>
      <c r="K4430">
        <v>0</v>
      </c>
      <c r="L4430">
        <v>0</v>
      </c>
      <c r="M4430">
        <v>0</v>
      </c>
      <c r="T4430" s="9">
        <v>45108</v>
      </c>
      <c r="U4430" s="9">
        <v>45473</v>
      </c>
      <c r="V4430">
        <f>SUM(POTABLE_NONPOTABLE_API[[#This Row],[RESIDENTIAL_SINGLEFAMILY_GAL]:[OTHER_GAL]])</f>
        <v>168862000</v>
      </c>
      <c r="W4430">
        <f>SUM(POTABLE_NONPOTABLE_API[[#This Row],[NONPOTABLE_DEMAND_RESIDENTIAL_RECYCLED_WATER_GAL]:[NONPOTABLE_DEMAND_NONRESIDENTIAL_METERED_IRRIGATION_GAL]])</f>
        <v>0</v>
      </c>
      <c r="X4430" t="str">
        <f>IFERROR(INDEX(Crosswalk_API!$H$2:$H$527, MATCH(POTABLE_NONPOTABLE_API[[#This Row],[PWSID]], CW_PWSID_LIST, 0)), "")</f>
        <v>No</v>
      </c>
    </row>
    <row r="4431" spans="1:24" x14ac:dyDescent="0.25">
      <c r="A4431" t="s">
        <v>2049</v>
      </c>
      <c r="B4431" t="s">
        <v>2050</v>
      </c>
      <c r="C4431" t="s">
        <v>2051</v>
      </c>
      <c r="D4431" t="s">
        <v>2052</v>
      </c>
      <c r="E4431" s="9">
        <v>45139</v>
      </c>
      <c r="F4431" s="9">
        <v>45169</v>
      </c>
      <c r="G4431">
        <v>143100000</v>
      </c>
      <c r="H4431">
        <v>0</v>
      </c>
      <c r="I4431">
        <v>14153000</v>
      </c>
      <c r="J4431">
        <v>0</v>
      </c>
      <c r="K4431">
        <v>0</v>
      </c>
      <c r="L4431">
        <v>0</v>
      </c>
      <c r="M4431">
        <v>0</v>
      </c>
      <c r="T4431" s="9">
        <v>45108</v>
      </c>
      <c r="U4431" s="9">
        <v>45473</v>
      </c>
      <c r="V4431">
        <f>SUM(POTABLE_NONPOTABLE_API[[#This Row],[RESIDENTIAL_SINGLEFAMILY_GAL]:[OTHER_GAL]])</f>
        <v>157253000</v>
      </c>
      <c r="W4431">
        <f>SUM(POTABLE_NONPOTABLE_API[[#This Row],[NONPOTABLE_DEMAND_RESIDENTIAL_RECYCLED_WATER_GAL]:[NONPOTABLE_DEMAND_NONRESIDENTIAL_METERED_IRRIGATION_GAL]])</f>
        <v>0</v>
      </c>
      <c r="X4431" t="str">
        <f>IFERROR(INDEX(Crosswalk_API!$H$2:$H$527, MATCH(POTABLE_NONPOTABLE_API[[#This Row],[PWSID]], CW_PWSID_LIST, 0)), "")</f>
        <v>No</v>
      </c>
    </row>
    <row r="4432" spans="1:24" x14ac:dyDescent="0.25">
      <c r="A4432" t="s">
        <v>2049</v>
      </c>
      <c r="B4432" t="s">
        <v>2050</v>
      </c>
      <c r="C4432" t="s">
        <v>2051</v>
      </c>
      <c r="D4432" t="s">
        <v>2052</v>
      </c>
      <c r="E4432" s="9">
        <v>45170</v>
      </c>
      <c r="F4432" s="9">
        <v>45199</v>
      </c>
      <c r="G4432">
        <v>122306730</v>
      </c>
      <c r="H4432">
        <v>0</v>
      </c>
      <c r="I4432">
        <v>12096270</v>
      </c>
      <c r="J4432">
        <v>0</v>
      </c>
      <c r="K4432">
        <v>0</v>
      </c>
      <c r="L4432">
        <v>0</v>
      </c>
      <c r="M4432">
        <v>0</v>
      </c>
      <c r="T4432" s="9">
        <v>45108</v>
      </c>
      <c r="U4432" s="9">
        <v>45473</v>
      </c>
      <c r="V4432">
        <f>SUM(POTABLE_NONPOTABLE_API[[#This Row],[RESIDENTIAL_SINGLEFAMILY_GAL]:[OTHER_GAL]])</f>
        <v>134403000</v>
      </c>
      <c r="W4432">
        <f>SUM(POTABLE_NONPOTABLE_API[[#This Row],[NONPOTABLE_DEMAND_RESIDENTIAL_RECYCLED_WATER_GAL]:[NONPOTABLE_DEMAND_NONRESIDENTIAL_METERED_IRRIGATION_GAL]])</f>
        <v>0</v>
      </c>
      <c r="X4432" t="str">
        <f>IFERROR(INDEX(Crosswalk_API!$H$2:$H$527, MATCH(POTABLE_NONPOTABLE_API[[#This Row],[PWSID]], CW_PWSID_LIST, 0)), "")</f>
        <v>No</v>
      </c>
    </row>
    <row r="4433" spans="1:24" x14ac:dyDescent="0.25">
      <c r="A4433" t="s">
        <v>2049</v>
      </c>
      <c r="B4433" t="s">
        <v>2050</v>
      </c>
      <c r="C4433" t="s">
        <v>2051</v>
      </c>
      <c r="D4433" t="s">
        <v>2052</v>
      </c>
      <c r="E4433" s="9">
        <v>45200</v>
      </c>
      <c r="F4433" s="9">
        <v>45230</v>
      </c>
      <c r="G4433">
        <v>105104090</v>
      </c>
      <c r="H4433">
        <v>0</v>
      </c>
      <c r="I4433">
        <v>10394910</v>
      </c>
      <c r="J4433">
        <v>0</v>
      </c>
      <c r="K4433">
        <v>0</v>
      </c>
      <c r="L4433">
        <v>0</v>
      </c>
      <c r="M4433">
        <v>0</v>
      </c>
      <c r="T4433" s="9">
        <v>45108</v>
      </c>
      <c r="U4433" s="9">
        <v>45473</v>
      </c>
      <c r="V4433">
        <f>SUM(POTABLE_NONPOTABLE_API[[#This Row],[RESIDENTIAL_SINGLEFAMILY_GAL]:[OTHER_GAL]])</f>
        <v>115499000</v>
      </c>
      <c r="W4433">
        <f>SUM(POTABLE_NONPOTABLE_API[[#This Row],[NONPOTABLE_DEMAND_RESIDENTIAL_RECYCLED_WATER_GAL]:[NONPOTABLE_DEMAND_NONRESIDENTIAL_METERED_IRRIGATION_GAL]])</f>
        <v>0</v>
      </c>
      <c r="X4433" t="str">
        <f>IFERROR(INDEX(Crosswalk_API!$H$2:$H$527, MATCH(POTABLE_NONPOTABLE_API[[#This Row],[PWSID]], CW_PWSID_LIST, 0)), "")</f>
        <v>No</v>
      </c>
    </row>
    <row r="4434" spans="1:24" x14ac:dyDescent="0.25">
      <c r="A4434" t="s">
        <v>2049</v>
      </c>
      <c r="B4434" t="s">
        <v>2050</v>
      </c>
      <c r="C4434" t="s">
        <v>2051</v>
      </c>
      <c r="D4434" t="s">
        <v>2052</v>
      </c>
      <c r="E4434" s="9">
        <v>45231</v>
      </c>
      <c r="F4434" s="9">
        <v>45260</v>
      </c>
      <c r="G4434">
        <v>85475390</v>
      </c>
      <c r="H4434">
        <v>0</v>
      </c>
      <c r="I4434">
        <v>8453610</v>
      </c>
      <c r="J4434">
        <v>0</v>
      </c>
      <c r="K4434">
        <v>0</v>
      </c>
      <c r="L4434">
        <v>0</v>
      </c>
      <c r="M4434">
        <v>0</v>
      </c>
      <c r="T4434" s="9">
        <v>45108</v>
      </c>
      <c r="U4434" s="9">
        <v>45473</v>
      </c>
      <c r="V4434">
        <f>SUM(POTABLE_NONPOTABLE_API[[#This Row],[RESIDENTIAL_SINGLEFAMILY_GAL]:[OTHER_GAL]])</f>
        <v>93929000</v>
      </c>
      <c r="W4434">
        <f>SUM(POTABLE_NONPOTABLE_API[[#This Row],[NONPOTABLE_DEMAND_RESIDENTIAL_RECYCLED_WATER_GAL]:[NONPOTABLE_DEMAND_NONRESIDENTIAL_METERED_IRRIGATION_GAL]])</f>
        <v>0</v>
      </c>
      <c r="X4434" t="str">
        <f>IFERROR(INDEX(Crosswalk_API!$H$2:$H$527, MATCH(POTABLE_NONPOTABLE_API[[#This Row],[PWSID]], CW_PWSID_LIST, 0)), "")</f>
        <v>No</v>
      </c>
    </row>
    <row r="4435" spans="1:24" x14ac:dyDescent="0.25">
      <c r="A4435" t="s">
        <v>2049</v>
      </c>
      <c r="B4435" t="s">
        <v>2050</v>
      </c>
      <c r="C4435" t="s">
        <v>2051</v>
      </c>
      <c r="D4435" t="s">
        <v>2052</v>
      </c>
      <c r="E4435" s="9">
        <v>45261</v>
      </c>
      <c r="F4435" s="9">
        <v>45291</v>
      </c>
      <c r="G4435">
        <v>70471800</v>
      </c>
      <c r="H4435">
        <v>0</v>
      </c>
      <c r="I4435">
        <v>7830200</v>
      </c>
      <c r="J4435">
        <v>0</v>
      </c>
      <c r="K4435">
        <v>0</v>
      </c>
      <c r="L4435">
        <v>0</v>
      </c>
      <c r="M4435">
        <v>0</v>
      </c>
      <c r="T4435" s="9">
        <v>45108</v>
      </c>
      <c r="U4435" s="9">
        <v>45473</v>
      </c>
      <c r="V4435">
        <f>SUM(POTABLE_NONPOTABLE_API[[#This Row],[RESIDENTIAL_SINGLEFAMILY_GAL]:[OTHER_GAL]])</f>
        <v>78302000</v>
      </c>
      <c r="W4435">
        <f>SUM(POTABLE_NONPOTABLE_API[[#This Row],[NONPOTABLE_DEMAND_RESIDENTIAL_RECYCLED_WATER_GAL]:[NONPOTABLE_DEMAND_NONRESIDENTIAL_METERED_IRRIGATION_GAL]])</f>
        <v>0</v>
      </c>
      <c r="X4435" t="str">
        <f>IFERROR(INDEX(Crosswalk_API!$H$2:$H$527, MATCH(POTABLE_NONPOTABLE_API[[#This Row],[PWSID]], CW_PWSID_LIST, 0)), "")</f>
        <v>No</v>
      </c>
    </row>
    <row r="4436" spans="1:24" x14ac:dyDescent="0.25">
      <c r="A4436" t="s">
        <v>2049</v>
      </c>
      <c r="B4436" t="s">
        <v>2050</v>
      </c>
      <c r="C4436" t="s">
        <v>2051</v>
      </c>
      <c r="D4436" t="s">
        <v>2052</v>
      </c>
      <c r="E4436" s="9">
        <v>45292</v>
      </c>
      <c r="F4436" s="9">
        <v>45322</v>
      </c>
      <c r="G4436">
        <v>60945300</v>
      </c>
      <c r="H4436">
        <v>0</v>
      </c>
      <c r="I4436">
        <v>6771700</v>
      </c>
      <c r="J4436">
        <v>0</v>
      </c>
      <c r="K4436">
        <v>0</v>
      </c>
      <c r="L4436">
        <v>0</v>
      </c>
      <c r="M4436">
        <v>0</v>
      </c>
      <c r="T4436" s="9">
        <v>45108</v>
      </c>
      <c r="U4436" s="9">
        <v>45473</v>
      </c>
      <c r="V4436">
        <f>SUM(POTABLE_NONPOTABLE_API[[#This Row],[RESIDENTIAL_SINGLEFAMILY_GAL]:[OTHER_GAL]])</f>
        <v>67717000</v>
      </c>
      <c r="W4436">
        <f>SUM(POTABLE_NONPOTABLE_API[[#This Row],[NONPOTABLE_DEMAND_RESIDENTIAL_RECYCLED_WATER_GAL]:[NONPOTABLE_DEMAND_NONRESIDENTIAL_METERED_IRRIGATION_GAL]])</f>
        <v>0</v>
      </c>
      <c r="X4436" t="str">
        <f>IFERROR(INDEX(Crosswalk_API!$H$2:$H$527, MATCH(POTABLE_NONPOTABLE_API[[#This Row],[PWSID]], CW_PWSID_LIST, 0)), "")</f>
        <v>No</v>
      </c>
    </row>
    <row r="4437" spans="1:24" x14ac:dyDescent="0.25">
      <c r="A4437" t="s">
        <v>2049</v>
      </c>
      <c r="B4437" t="s">
        <v>2050</v>
      </c>
      <c r="C4437" t="s">
        <v>2051</v>
      </c>
      <c r="D4437" t="s">
        <v>2052</v>
      </c>
      <c r="E4437" s="9">
        <v>45323</v>
      </c>
      <c r="F4437" s="9">
        <v>45351</v>
      </c>
      <c r="G4437">
        <v>50767200</v>
      </c>
      <c r="H4437">
        <v>0</v>
      </c>
      <c r="I4437">
        <v>5640800</v>
      </c>
      <c r="J4437">
        <v>0</v>
      </c>
      <c r="K4437">
        <v>0</v>
      </c>
      <c r="L4437">
        <v>0</v>
      </c>
      <c r="M4437">
        <v>0</v>
      </c>
      <c r="T4437" s="9">
        <v>45108</v>
      </c>
      <c r="U4437" s="9">
        <v>45473</v>
      </c>
      <c r="V4437">
        <f>SUM(POTABLE_NONPOTABLE_API[[#This Row],[RESIDENTIAL_SINGLEFAMILY_GAL]:[OTHER_GAL]])</f>
        <v>56408000</v>
      </c>
      <c r="W4437">
        <f>SUM(POTABLE_NONPOTABLE_API[[#This Row],[NONPOTABLE_DEMAND_RESIDENTIAL_RECYCLED_WATER_GAL]:[NONPOTABLE_DEMAND_NONRESIDENTIAL_METERED_IRRIGATION_GAL]])</f>
        <v>0</v>
      </c>
      <c r="X4437" t="str">
        <f>IFERROR(INDEX(Crosswalk_API!$H$2:$H$527, MATCH(POTABLE_NONPOTABLE_API[[#This Row],[PWSID]], CW_PWSID_LIST, 0)), "")</f>
        <v>No</v>
      </c>
    </row>
    <row r="4438" spans="1:24" x14ac:dyDescent="0.25">
      <c r="A4438" t="s">
        <v>2049</v>
      </c>
      <c r="B4438" t="s">
        <v>2050</v>
      </c>
      <c r="C4438" t="s">
        <v>2051</v>
      </c>
      <c r="D4438" t="s">
        <v>2052</v>
      </c>
      <c r="E4438" s="9">
        <v>45352</v>
      </c>
      <c r="F4438" s="9">
        <v>45382</v>
      </c>
      <c r="G4438">
        <v>66922200</v>
      </c>
      <c r="H4438">
        <v>0</v>
      </c>
      <c r="I4438">
        <v>7435800</v>
      </c>
      <c r="J4438">
        <v>0</v>
      </c>
      <c r="K4438">
        <v>0</v>
      </c>
      <c r="L4438">
        <v>0</v>
      </c>
      <c r="M4438">
        <v>0</v>
      </c>
      <c r="T4438" s="9">
        <v>45108</v>
      </c>
      <c r="U4438" s="9">
        <v>45473</v>
      </c>
      <c r="V4438">
        <f>SUM(POTABLE_NONPOTABLE_API[[#This Row],[RESIDENTIAL_SINGLEFAMILY_GAL]:[OTHER_GAL]])</f>
        <v>74358000</v>
      </c>
      <c r="W4438">
        <f>SUM(POTABLE_NONPOTABLE_API[[#This Row],[NONPOTABLE_DEMAND_RESIDENTIAL_RECYCLED_WATER_GAL]:[NONPOTABLE_DEMAND_NONRESIDENTIAL_METERED_IRRIGATION_GAL]])</f>
        <v>0</v>
      </c>
      <c r="X4438" t="str">
        <f>IFERROR(INDEX(Crosswalk_API!$H$2:$H$527, MATCH(POTABLE_NONPOTABLE_API[[#This Row],[PWSID]], CW_PWSID_LIST, 0)), "")</f>
        <v>No</v>
      </c>
    </row>
    <row r="4439" spans="1:24" x14ac:dyDescent="0.25">
      <c r="A4439" t="s">
        <v>2049</v>
      </c>
      <c r="B4439" t="s">
        <v>2050</v>
      </c>
      <c r="C4439" t="s">
        <v>2051</v>
      </c>
      <c r="D4439" t="s">
        <v>2052</v>
      </c>
      <c r="E4439" s="9">
        <v>45383</v>
      </c>
      <c r="F4439" s="9">
        <v>45412</v>
      </c>
      <c r="G4439">
        <v>76766400</v>
      </c>
      <c r="H4439">
        <v>0</v>
      </c>
      <c r="I4439">
        <v>8529600</v>
      </c>
      <c r="J4439">
        <v>0</v>
      </c>
      <c r="K4439">
        <v>0</v>
      </c>
      <c r="L4439">
        <v>0</v>
      </c>
      <c r="M4439">
        <v>0</v>
      </c>
      <c r="T4439" s="9">
        <v>45108</v>
      </c>
      <c r="U4439" s="9">
        <v>45473</v>
      </c>
      <c r="V4439">
        <f>SUM(POTABLE_NONPOTABLE_API[[#This Row],[RESIDENTIAL_SINGLEFAMILY_GAL]:[OTHER_GAL]])</f>
        <v>85296000</v>
      </c>
      <c r="W4439">
        <f>SUM(POTABLE_NONPOTABLE_API[[#This Row],[NONPOTABLE_DEMAND_RESIDENTIAL_RECYCLED_WATER_GAL]:[NONPOTABLE_DEMAND_NONRESIDENTIAL_METERED_IRRIGATION_GAL]])</f>
        <v>0</v>
      </c>
      <c r="X4439" t="str">
        <f>IFERROR(INDEX(Crosswalk_API!$H$2:$H$527, MATCH(POTABLE_NONPOTABLE_API[[#This Row],[PWSID]], CW_PWSID_LIST, 0)), "")</f>
        <v>No</v>
      </c>
    </row>
    <row r="4440" spans="1:24" x14ac:dyDescent="0.25">
      <c r="A4440" t="s">
        <v>2049</v>
      </c>
      <c r="B4440" t="s">
        <v>2050</v>
      </c>
      <c r="C4440" t="s">
        <v>2051</v>
      </c>
      <c r="D4440" t="s">
        <v>2052</v>
      </c>
      <c r="E4440" s="9">
        <v>45413</v>
      </c>
      <c r="F4440" s="9">
        <v>45443</v>
      </c>
      <c r="G4440">
        <v>123438770</v>
      </c>
      <c r="H4440">
        <v>0</v>
      </c>
      <c r="I4440">
        <v>12208230</v>
      </c>
      <c r="J4440">
        <v>0</v>
      </c>
      <c r="K4440">
        <v>0</v>
      </c>
      <c r="L4440">
        <v>0</v>
      </c>
      <c r="M4440">
        <v>0</v>
      </c>
      <c r="T4440" s="9">
        <v>45108</v>
      </c>
      <c r="U4440" s="9">
        <v>45473</v>
      </c>
      <c r="V4440">
        <f>SUM(POTABLE_NONPOTABLE_API[[#This Row],[RESIDENTIAL_SINGLEFAMILY_GAL]:[OTHER_GAL]])</f>
        <v>135647000</v>
      </c>
      <c r="W4440">
        <f>SUM(POTABLE_NONPOTABLE_API[[#This Row],[NONPOTABLE_DEMAND_RESIDENTIAL_RECYCLED_WATER_GAL]:[NONPOTABLE_DEMAND_NONRESIDENTIAL_METERED_IRRIGATION_GAL]])</f>
        <v>0</v>
      </c>
      <c r="X4440" t="str">
        <f>IFERROR(INDEX(Crosswalk_API!$H$2:$H$527, MATCH(POTABLE_NONPOTABLE_API[[#This Row],[PWSID]], CW_PWSID_LIST, 0)), "")</f>
        <v>No</v>
      </c>
    </row>
    <row r="4441" spans="1:24" x14ac:dyDescent="0.25">
      <c r="A4441" t="s">
        <v>2049</v>
      </c>
      <c r="B4441" t="s">
        <v>2050</v>
      </c>
      <c r="C4441" t="s">
        <v>2051</v>
      </c>
      <c r="D4441" t="s">
        <v>2052</v>
      </c>
      <c r="E4441" s="9">
        <v>45444</v>
      </c>
      <c r="F4441" s="9">
        <v>45473</v>
      </c>
      <c r="G4441">
        <v>157810500</v>
      </c>
      <c r="H4441">
        <v>0</v>
      </c>
      <c r="I4441">
        <v>17534500</v>
      </c>
      <c r="J4441">
        <v>0</v>
      </c>
      <c r="K4441">
        <v>0</v>
      </c>
      <c r="L4441">
        <v>0</v>
      </c>
      <c r="M4441">
        <v>0</v>
      </c>
      <c r="T4441" s="9">
        <v>45108</v>
      </c>
      <c r="U4441" s="9">
        <v>45473</v>
      </c>
      <c r="V4441">
        <f>SUM(POTABLE_NONPOTABLE_API[[#This Row],[RESIDENTIAL_SINGLEFAMILY_GAL]:[OTHER_GAL]])</f>
        <v>175345000</v>
      </c>
      <c r="W4441">
        <f>SUM(POTABLE_NONPOTABLE_API[[#This Row],[NONPOTABLE_DEMAND_RESIDENTIAL_RECYCLED_WATER_GAL]:[NONPOTABLE_DEMAND_NONRESIDENTIAL_METERED_IRRIGATION_GAL]])</f>
        <v>0</v>
      </c>
      <c r="X4441" t="str">
        <f>IFERROR(INDEX(Crosswalk_API!$H$2:$H$527, MATCH(POTABLE_NONPOTABLE_API[[#This Row],[PWSID]], CW_PWSID_LIST, 0)), "")</f>
        <v>No</v>
      </c>
    </row>
    <row r="4442" spans="1:24" x14ac:dyDescent="0.25">
      <c r="A4442" t="s">
        <v>2053</v>
      </c>
      <c r="B4442" t="s">
        <v>2054</v>
      </c>
      <c r="C4442" t="s">
        <v>2055</v>
      </c>
      <c r="D4442" t="s">
        <v>2056</v>
      </c>
      <c r="E4442" s="9">
        <v>45108</v>
      </c>
      <c r="F4442" s="9">
        <v>45138</v>
      </c>
      <c r="G4442">
        <v>976119255.60000002</v>
      </c>
      <c r="H4442">
        <v>26032236.390000001</v>
      </c>
      <c r="I4442">
        <v>312725721.72000003</v>
      </c>
      <c r="J4442">
        <v>57952600.350000001</v>
      </c>
      <c r="K4442">
        <v>270466105.52999997</v>
      </c>
      <c r="L4442">
        <v>17338531.710000001</v>
      </c>
      <c r="M4442">
        <v>38587275.420000002</v>
      </c>
      <c r="N4442">
        <v>0</v>
      </c>
      <c r="O4442">
        <v>0</v>
      </c>
      <c r="P4442">
        <v>0</v>
      </c>
      <c r="Q4442">
        <v>5438453.1900000004</v>
      </c>
      <c r="R4442">
        <v>212660138.13</v>
      </c>
      <c r="S4442">
        <v>0</v>
      </c>
      <c r="T4442" s="9">
        <v>45108</v>
      </c>
      <c r="U4442" s="9">
        <v>45473</v>
      </c>
      <c r="V4442">
        <f>SUM(POTABLE_NONPOTABLE_API[[#This Row],[RESIDENTIAL_SINGLEFAMILY_GAL]:[OTHER_GAL]])</f>
        <v>1660634451.3</v>
      </c>
      <c r="W4442">
        <f>SUM(POTABLE_NONPOTABLE_API[[#This Row],[NONPOTABLE_DEMAND_RESIDENTIAL_RECYCLED_WATER_GAL]:[NONPOTABLE_DEMAND_NONRESIDENTIAL_METERED_IRRIGATION_GAL]])</f>
        <v>218098591.31999999</v>
      </c>
      <c r="X4442" t="str">
        <f>IFERROR(INDEX(Crosswalk_API!$H$2:$H$527, MATCH(POTABLE_NONPOTABLE_API[[#This Row],[PWSID]], CW_PWSID_LIST, 0)), "")</f>
        <v>No</v>
      </c>
    </row>
    <row r="4443" spans="1:24" x14ac:dyDescent="0.25">
      <c r="A4443" t="s">
        <v>2053</v>
      </c>
      <c r="B4443" t="s">
        <v>2054</v>
      </c>
      <c r="C4443" t="s">
        <v>2055</v>
      </c>
      <c r="D4443" t="s">
        <v>2056</v>
      </c>
      <c r="E4443" s="9">
        <v>45139</v>
      </c>
      <c r="F4443" s="9">
        <v>45169</v>
      </c>
      <c r="G4443">
        <v>1114899196.5</v>
      </c>
      <c r="H4443">
        <v>27853743.48</v>
      </c>
      <c r="I4443">
        <v>316192776.36000001</v>
      </c>
      <c r="J4443">
        <v>147271617.95999998</v>
      </c>
      <c r="K4443">
        <v>284976250.56</v>
      </c>
      <c r="L4443">
        <v>24878723.849999998</v>
      </c>
      <c r="M4443">
        <v>43220876.639999993</v>
      </c>
      <c r="N4443">
        <v>0</v>
      </c>
      <c r="O4443">
        <v>0</v>
      </c>
      <c r="Q4443">
        <v>9384508.8000000007</v>
      </c>
      <c r="R4443">
        <v>188517837.53999999</v>
      </c>
      <c r="T4443" s="9">
        <v>45108</v>
      </c>
      <c r="U4443" s="9">
        <v>45473</v>
      </c>
      <c r="V4443">
        <f>SUM(POTABLE_NONPOTABLE_API[[#This Row],[RESIDENTIAL_SINGLEFAMILY_GAL]:[OTHER_GAL]])</f>
        <v>1916072308.71</v>
      </c>
      <c r="W4443">
        <f>SUM(POTABLE_NONPOTABLE_API[[#This Row],[NONPOTABLE_DEMAND_RESIDENTIAL_RECYCLED_WATER_GAL]:[NONPOTABLE_DEMAND_NONRESIDENTIAL_METERED_IRRIGATION_GAL]])</f>
        <v>197902346.34</v>
      </c>
      <c r="X4443" t="str">
        <f>IFERROR(INDEX(Crosswalk_API!$H$2:$H$527, MATCH(POTABLE_NONPOTABLE_API[[#This Row],[PWSID]], CW_PWSID_LIST, 0)), "")</f>
        <v>No</v>
      </c>
    </row>
    <row r="4444" spans="1:24" x14ac:dyDescent="0.25">
      <c r="A4444" t="s">
        <v>2053</v>
      </c>
      <c r="B4444" t="s">
        <v>2054</v>
      </c>
      <c r="C4444" t="s">
        <v>2055</v>
      </c>
      <c r="D4444" t="s">
        <v>2056</v>
      </c>
      <c r="E4444" s="9">
        <v>45170</v>
      </c>
      <c r="F4444" s="9">
        <v>45199</v>
      </c>
      <c r="G4444">
        <v>988631934</v>
      </c>
      <c r="H4444">
        <v>27423620.16</v>
      </c>
      <c r="I4444">
        <v>308082344.97000003</v>
      </c>
      <c r="J4444">
        <v>152429839.29000002</v>
      </c>
      <c r="K4444">
        <v>275627585.37</v>
      </c>
      <c r="L4444">
        <v>24288933.540000003</v>
      </c>
      <c r="M4444">
        <v>40565190.989999995</v>
      </c>
      <c r="N4444">
        <v>0</v>
      </c>
      <c r="O4444">
        <v>0</v>
      </c>
      <c r="P4444">
        <v>0</v>
      </c>
      <c r="Q4444">
        <v>8806804.0005485695</v>
      </c>
      <c r="R4444">
        <v>177201032.30999997</v>
      </c>
      <c r="T4444" s="9">
        <v>45108</v>
      </c>
      <c r="U4444" s="9">
        <v>45473</v>
      </c>
      <c r="V4444">
        <f>SUM(POTABLE_NONPOTABLE_API[[#This Row],[RESIDENTIAL_SINGLEFAMILY_GAL]:[OTHER_GAL]])</f>
        <v>1776484257.3299999</v>
      </c>
      <c r="W4444">
        <f>SUM(POTABLE_NONPOTABLE_API[[#This Row],[NONPOTABLE_DEMAND_RESIDENTIAL_RECYCLED_WATER_GAL]:[NONPOTABLE_DEMAND_NONRESIDENTIAL_METERED_IRRIGATION_GAL]])</f>
        <v>186007836.31054854</v>
      </c>
      <c r="X4444" t="str">
        <f>IFERROR(INDEX(Crosswalk_API!$H$2:$H$527, MATCH(POTABLE_NONPOTABLE_API[[#This Row],[PWSID]], CW_PWSID_LIST, 0)), "")</f>
        <v>No</v>
      </c>
    </row>
    <row r="4445" spans="1:24" x14ac:dyDescent="0.25">
      <c r="A4445" t="s">
        <v>2053</v>
      </c>
      <c r="B4445" t="s">
        <v>2054</v>
      </c>
      <c r="C4445" t="s">
        <v>2055</v>
      </c>
      <c r="D4445" t="s">
        <v>2056</v>
      </c>
      <c r="E4445" s="9">
        <v>45200</v>
      </c>
      <c r="F4445" s="9">
        <v>45230</v>
      </c>
      <c r="G4445">
        <v>951713015.69999993</v>
      </c>
      <c r="H4445">
        <v>26231005.5</v>
      </c>
      <c r="I4445">
        <v>302389728</v>
      </c>
      <c r="J4445">
        <v>127293693.14999999</v>
      </c>
      <c r="K4445">
        <v>266901295.59</v>
      </c>
      <c r="L4445">
        <v>17224483.859999999</v>
      </c>
      <c r="M4445">
        <v>36101032.289999999</v>
      </c>
      <c r="N4445">
        <v>0</v>
      </c>
      <c r="O4445">
        <v>0</v>
      </c>
      <c r="Q4445">
        <v>4073137.5</v>
      </c>
      <c r="R4445">
        <v>170811094.20000002</v>
      </c>
      <c r="S4445">
        <v>0</v>
      </c>
      <c r="T4445" s="9">
        <v>45108</v>
      </c>
      <c r="U4445" s="9">
        <v>45473</v>
      </c>
      <c r="V4445">
        <f>SUM(POTABLE_NONPOTABLE_API[[#This Row],[RESIDENTIAL_SINGLEFAMILY_GAL]:[OTHER_GAL]])</f>
        <v>1691753221.7999997</v>
      </c>
      <c r="W4445">
        <f>SUM(POTABLE_NONPOTABLE_API[[#This Row],[NONPOTABLE_DEMAND_RESIDENTIAL_RECYCLED_WATER_GAL]:[NONPOTABLE_DEMAND_NONRESIDENTIAL_METERED_IRRIGATION_GAL]])</f>
        <v>174884231.70000002</v>
      </c>
      <c r="X4445" t="str">
        <f>IFERROR(INDEX(Crosswalk_API!$H$2:$H$527, MATCH(POTABLE_NONPOTABLE_API[[#This Row],[PWSID]], CW_PWSID_LIST, 0)), "")</f>
        <v>No</v>
      </c>
    </row>
    <row r="4446" spans="1:24" x14ac:dyDescent="0.25">
      <c r="A4446" t="s">
        <v>2053</v>
      </c>
      <c r="B4446" t="s">
        <v>2054</v>
      </c>
      <c r="C4446" t="s">
        <v>2055</v>
      </c>
      <c r="D4446" t="s">
        <v>2056</v>
      </c>
      <c r="E4446" s="9">
        <v>45231</v>
      </c>
      <c r="F4446" s="9">
        <v>45260</v>
      </c>
      <c r="G4446">
        <v>880644912.60000002</v>
      </c>
      <c r="H4446">
        <v>25168731.239999998</v>
      </c>
      <c r="I4446">
        <v>289697831.55000001</v>
      </c>
      <c r="J4446">
        <v>108945023.33999999</v>
      </c>
      <c r="K4446">
        <v>248881735.28999999</v>
      </c>
      <c r="L4446">
        <v>15354099.119999999</v>
      </c>
      <c r="M4446">
        <v>36479019.450000003</v>
      </c>
      <c r="N4446">
        <v>0</v>
      </c>
      <c r="O4446">
        <v>0</v>
      </c>
      <c r="P4446">
        <v>0</v>
      </c>
      <c r="Q4446">
        <v>4011225.81</v>
      </c>
      <c r="R4446">
        <v>149565609</v>
      </c>
      <c r="S4446">
        <v>0</v>
      </c>
      <c r="T4446" s="9">
        <v>45108</v>
      </c>
      <c r="U4446" s="9">
        <v>45473</v>
      </c>
      <c r="V4446">
        <f>SUM(POTABLE_NONPOTABLE_API[[#This Row],[RESIDENTIAL_SINGLEFAMILY_GAL]:[OTHER_GAL]])</f>
        <v>1568692333.1399999</v>
      </c>
      <c r="W4446">
        <f>SUM(POTABLE_NONPOTABLE_API[[#This Row],[NONPOTABLE_DEMAND_RESIDENTIAL_RECYCLED_WATER_GAL]:[NONPOTABLE_DEMAND_NONRESIDENTIAL_METERED_IRRIGATION_GAL]])</f>
        <v>153576834.81</v>
      </c>
      <c r="X4446" t="str">
        <f>IFERROR(INDEX(Crosswalk_API!$H$2:$H$527, MATCH(POTABLE_NONPOTABLE_API[[#This Row],[PWSID]], CW_PWSID_LIST, 0)), "")</f>
        <v>No</v>
      </c>
    </row>
    <row r="4447" spans="1:24" x14ac:dyDescent="0.25">
      <c r="A4447" t="s">
        <v>2053</v>
      </c>
      <c r="B4447" t="s">
        <v>2054</v>
      </c>
      <c r="C4447" t="s">
        <v>2055</v>
      </c>
      <c r="D4447" t="s">
        <v>2056</v>
      </c>
      <c r="E4447" s="9">
        <v>45261</v>
      </c>
      <c r="F4447" s="9">
        <v>45291</v>
      </c>
      <c r="G4447">
        <v>758222691.89999998</v>
      </c>
      <c r="H4447">
        <v>24575682.420000002</v>
      </c>
      <c r="I4447">
        <v>257070370.91999999</v>
      </c>
      <c r="J4447">
        <v>88325172.060000002</v>
      </c>
      <c r="K4447">
        <v>227020391.70000002</v>
      </c>
      <c r="L4447">
        <v>16334910.630000001</v>
      </c>
      <c r="M4447">
        <v>26527529.91</v>
      </c>
      <c r="N4447">
        <v>0</v>
      </c>
      <c r="O4447">
        <v>0</v>
      </c>
      <c r="P4447">
        <v>0</v>
      </c>
      <c r="Q4447">
        <v>4131790.6799999997</v>
      </c>
      <c r="R4447">
        <v>146958801</v>
      </c>
      <c r="T4447" s="9">
        <v>45108</v>
      </c>
      <c r="U4447" s="9">
        <v>45473</v>
      </c>
      <c r="V4447">
        <f>SUM(POTABLE_NONPOTABLE_API[[#This Row],[RESIDENTIAL_SINGLEFAMILY_GAL]:[OTHER_GAL]])</f>
        <v>1371549219.6300001</v>
      </c>
      <c r="W4447">
        <f>SUM(POTABLE_NONPOTABLE_API[[#This Row],[NONPOTABLE_DEMAND_RESIDENTIAL_RECYCLED_WATER_GAL]:[NONPOTABLE_DEMAND_NONRESIDENTIAL_METERED_IRRIGATION_GAL]])</f>
        <v>151090591.68000001</v>
      </c>
      <c r="X4447" t="str">
        <f>IFERROR(INDEX(Crosswalk_API!$H$2:$H$527, MATCH(POTABLE_NONPOTABLE_API[[#This Row],[PWSID]], CW_PWSID_LIST, 0)), "")</f>
        <v>No</v>
      </c>
    </row>
    <row r="4448" spans="1:24" x14ac:dyDescent="0.25">
      <c r="A4448" t="s">
        <v>2053</v>
      </c>
      <c r="B4448" t="s">
        <v>2054</v>
      </c>
      <c r="C4448" t="s">
        <v>2055</v>
      </c>
      <c r="D4448" t="s">
        <v>2056</v>
      </c>
      <c r="E4448" s="9">
        <v>45292</v>
      </c>
      <c r="F4448" s="9">
        <v>45322</v>
      </c>
      <c r="G4448">
        <v>644360576.97000003</v>
      </c>
      <c r="H4448">
        <v>22001459.52</v>
      </c>
      <c r="I4448">
        <v>228141319.13999999</v>
      </c>
      <c r="J4448">
        <v>60963463.590000004</v>
      </c>
      <c r="K4448">
        <v>201727837.08000001</v>
      </c>
      <c r="L4448">
        <v>9358440.7199999988</v>
      </c>
      <c r="M4448">
        <v>19313188.77</v>
      </c>
      <c r="N4448">
        <v>0</v>
      </c>
      <c r="O4448">
        <v>0</v>
      </c>
      <c r="P4448">
        <v>0</v>
      </c>
      <c r="Q4448">
        <v>3160754.6999999997</v>
      </c>
      <c r="R4448">
        <v>111766893</v>
      </c>
      <c r="S4448">
        <v>0</v>
      </c>
      <c r="T4448" s="9">
        <v>45108</v>
      </c>
      <c r="U4448" s="9">
        <v>45473</v>
      </c>
      <c r="V4448">
        <f>SUM(POTABLE_NONPOTABLE_API[[#This Row],[RESIDENTIAL_SINGLEFAMILY_GAL]:[OTHER_GAL]])</f>
        <v>1166553097.02</v>
      </c>
      <c r="W4448">
        <f>SUM(POTABLE_NONPOTABLE_API[[#This Row],[NONPOTABLE_DEMAND_RESIDENTIAL_RECYCLED_WATER_GAL]:[NONPOTABLE_DEMAND_NONRESIDENTIAL_METERED_IRRIGATION_GAL]])</f>
        <v>114927647.7</v>
      </c>
      <c r="X4448" t="str">
        <f>IFERROR(INDEX(Crosswalk_API!$H$2:$H$527, MATCH(POTABLE_NONPOTABLE_API[[#This Row],[PWSID]], CW_PWSID_LIST, 0)), "")</f>
        <v>No</v>
      </c>
    </row>
    <row r="4449" spans="1:24" x14ac:dyDescent="0.25">
      <c r="A4449" t="s">
        <v>2053</v>
      </c>
      <c r="B4449" t="s">
        <v>2054</v>
      </c>
      <c r="C4449" t="s">
        <v>2055</v>
      </c>
      <c r="D4449" t="s">
        <v>2056</v>
      </c>
      <c r="E4449" s="9">
        <v>45323</v>
      </c>
      <c r="F4449" s="9">
        <v>45351</v>
      </c>
      <c r="G4449">
        <v>542229098.03999996</v>
      </c>
      <c r="H4449">
        <v>21294362.849999998</v>
      </c>
      <c r="I4449">
        <v>201294455.25</v>
      </c>
      <c r="J4449">
        <v>39160773.18</v>
      </c>
      <c r="K4449">
        <v>184197053.28</v>
      </c>
      <c r="L4449">
        <v>4522811.88</v>
      </c>
      <c r="M4449">
        <v>11701309.409999998</v>
      </c>
      <c r="N4449">
        <v>0</v>
      </c>
      <c r="O4449">
        <v>0</v>
      </c>
      <c r="P4449">
        <v>0</v>
      </c>
      <c r="Q4449">
        <v>2336351.67</v>
      </c>
      <c r="R4449">
        <v>557205.21</v>
      </c>
      <c r="S4449">
        <v>0</v>
      </c>
      <c r="T4449" s="9">
        <v>45108</v>
      </c>
      <c r="U4449" s="9">
        <v>45473</v>
      </c>
      <c r="V4449">
        <f>SUM(POTABLE_NONPOTABLE_API[[#This Row],[RESIDENTIAL_SINGLEFAMILY_GAL]:[OTHER_GAL]])</f>
        <v>992698554.4799999</v>
      </c>
      <c r="W4449">
        <f>SUM(POTABLE_NONPOTABLE_API[[#This Row],[NONPOTABLE_DEMAND_RESIDENTIAL_RECYCLED_WATER_GAL]:[NONPOTABLE_DEMAND_NONRESIDENTIAL_METERED_IRRIGATION_GAL]])</f>
        <v>2893556.88</v>
      </c>
      <c r="X4449" t="str">
        <f>IFERROR(INDEX(Crosswalk_API!$H$2:$H$527, MATCH(POTABLE_NONPOTABLE_API[[#This Row],[PWSID]], CW_PWSID_LIST, 0)), "")</f>
        <v>No</v>
      </c>
    </row>
    <row r="4450" spans="1:24" x14ac:dyDescent="0.25">
      <c r="A4450" t="s">
        <v>2053</v>
      </c>
      <c r="B4450" t="s">
        <v>2054</v>
      </c>
      <c r="C4450" t="s">
        <v>2055</v>
      </c>
      <c r="D4450" t="s">
        <v>2056</v>
      </c>
      <c r="E4450" s="9">
        <v>45352</v>
      </c>
      <c r="F4450" s="9">
        <v>45382</v>
      </c>
      <c r="G4450">
        <v>471418417.23000002</v>
      </c>
      <c r="H4450">
        <v>19515216.390000001</v>
      </c>
      <c r="I4450">
        <v>179609071.20000002</v>
      </c>
      <c r="J4450">
        <v>25067717.430000003</v>
      </c>
      <c r="K4450">
        <v>172609791.72</v>
      </c>
      <c r="L4450">
        <v>1228458.27</v>
      </c>
      <c r="M4450">
        <v>10277340.539999999</v>
      </c>
      <c r="N4450">
        <v>0</v>
      </c>
      <c r="O4450">
        <v>0</v>
      </c>
      <c r="Q4450">
        <v>1534758.21</v>
      </c>
      <c r="R4450">
        <v>59096337.360000007</v>
      </c>
      <c r="S4450">
        <v>0</v>
      </c>
      <c r="T4450" s="9">
        <v>45108</v>
      </c>
      <c r="U4450" s="9">
        <v>45473</v>
      </c>
      <c r="V4450">
        <f>SUM(POTABLE_NONPOTABLE_API[[#This Row],[RESIDENTIAL_SINGLEFAMILY_GAL]:[OTHER_GAL]])</f>
        <v>869448672.24000001</v>
      </c>
      <c r="W4450">
        <f>SUM(POTABLE_NONPOTABLE_API[[#This Row],[NONPOTABLE_DEMAND_RESIDENTIAL_RECYCLED_WATER_GAL]:[NONPOTABLE_DEMAND_NONRESIDENTIAL_METERED_IRRIGATION_GAL]])</f>
        <v>60631095.570000008</v>
      </c>
      <c r="X4450" t="str">
        <f>IFERROR(INDEX(Crosswalk_API!$H$2:$H$527, MATCH(POTABLE_NONPOTABLE_API[[#This Row],[PWSID]], CW_PWSID_LIST, 0)), "")</f>
        <v>No</v>
      </c>
    </row>
    <row r="4451" spans="1:24" x14ac:dyDescent="0.25">
      <c r="A4451" t="s">
        <v>2053</v>
      </c>
      <c r="B4451" t="s">
        <v>2054</v>
      </c>
      <c r="C4451" t="s">
        <v>2055</v>
      </c>
      <c r="D4451" t="s">
        <v>2056</v>
      </c>
      <c r="E4451" s="9">
        <v>45383</v>
      </c>
      <c r="F4451" s="9">
        <v>45412</v>
      </c>
      <c r="G4451">
        <v>522404323.19999999</v>
      </c>
      <c r="H4451">
        <v>20020285.439999998</v>
      </c>
      <c r="I4451">
        <v>192529063.34999999</v>
      </c>
      <c r="J4451">
        <v>37994226.600000001</v>
      </c>
      <c r="K4451">
        <v>176001900.63</v>
      </c>
      <c r="L4451">
        <v>4506519.33</v>
      </c>
      <c r="M4451">
        <v>15341065.08</v>
      </c>
      <c r="N4451">
        <v>0</v>
      </c>
      <c r="O4451">
        <v>0</v>
      </c>
      <c r="Q4451">
        <v>2717597.34</v>
      </c>
      <c r="R4451">
        <v>111014177.19</v>
      </c>
      <c r="S4451">
        <v>0</v>
      </c>
      <c r="T4451" s="9">
        <v>45108</v>
      </c>
      <c r="U4451" s="9">
        <v>45473</v>
      </c>
      <c r="V4451">
        <f>SUM(POTABLE_NONPOTABLE_API[[#This Row],[RESIDENTIAL_SINGLEFAMILY_GAL]:[OTHER_GAL]])</f>
        <v>953456318.55000007</v>
      </c>
      <c r="W4451">
        <f>SUM(POTABLE_NONPOTABLE_API[[#This Row],[NONPOTABLE_DEMAND_RESIDENTIAL_RECYCLED_WATER_GAL]:[NONPOTABLE_DEMAND_NONRESIDENTIAL_METERED_IRRIGATION_GAL]])</f>
        <v>113731774.53</v>
      </c>
      <c r="X4451" t="str">
        <f>IFERROR(INDEX(Crosswalk_API!$H$2:$H$527, MATCH(POTABLE_NONPOTABLE_API[[#This Row],[PWSID]], CW_PWSID_LIST, 0)), "")</f>
        <v>No</v>
      </c>
    </row>
    <row r="4452" spans="1:24" x14ac:dyDescent="0.25">
      <c r="A4452" t="s">
        <v>2053</v>
      </c>
      <c r="B4452" t="s">
        <v>2054</v>
      </c>
      <c r="C4452" t="s">
        <v>2055</v>
      </c>
      <c r="D4452" t="s">
        <v>2056</v>
      </c>
      <c r="E4452" s="9">
        <v>45413</v>
      </c>
      <c r="F4452" s="9">
        <v>45443</v>
      </c>
      <c r="G4452">
        <v>702990947.39999998</v>
      </c>
      <c r="H4452">
        <v>22682488.109999999</v>
      </c>
      <c r="I4452">
        <v>228793021.13999999</v>
      </c>
      <c r="J4452">
        <v>72104309.280000001</v>
      </c>
      <c r="K4452">
        <v>213807133.65000001</v>
      </c>
      <c r="L4452">
        <v>7002537.9899999993</v>
      </c>
      <c r="M4452">
        <v>28287125.310000002</v>
      </c>
      <c r="N4452">
        <v>0</v>
      </c>
      <c r="O4452">
        <v>0</v>
      </c>
      <c r="P4452">
        <v>0</v>
      </c>
      <c r="Q4452">
        <v>4249097.04</v>
      </c>
      <c r="R4452">
        <v>159666990</v>
      </c>
      <c r="T4452" s="9">
        <v>45108</v>
      </c>
      <c r="U4452" s="9">
        <v>45473</v>
      </c>
      <c r="V4452">
        <f>SUM(POTABLE_NONPOTABLE_API[[#This Row],[RESIDENTIAL_SINGLEFAMILY_GAL]:[OTHER_GAL]])</f>
        <v>1247380437.5699999</v>
      </c>
      <c r="W4452">
        <f>SUM(POTABLE_NONPOTABLE_API[[#This Row],[NONPOTABLE_DEMAND_RESIDENTIAL_RECYCLED_WATER_GAL]:[NONPOTABLE_DEMAND_NONRESIDENTIAL_METERED_IRRIGATION_GAL]])</f>
        <v>163916087.03999999</v>
      </c>
      <c r="X4452" t="str">
        <f>IFERROR(INDEX(Crosswalk_API!$H$2:$H$527, MATCH(POTABLE_NONPOTABLE_API[[#This Row],[PWSID]], CW_PWSID_LIST, 0)), "")</f>
        <v>No</v>
      </c>
    </row>
    <row r="4453" spans="1:24" x14ac:dyDescent="0.25">
      <c r="A4453" t="s">
        <v>2053</v>
      </c>
      <c r="B4453" t="s">
        <v>2054</v>
      </c>
      <c r="C4453" t="s">
        <v>2055</v>
      </c>
      <c r="D4453" t="s">
        <v>2056</v>
      </c>
      <c r="E4453" s="9">
        <v>45444</v>
      </c>
      <c r="F4453" s="9">
        <v>45473</v>
      </c>
      <c r="G4453">
        <v>23923980.420000002</v>
      </c>
      <c r="H4453">
        <v>866333536.67999995</v>
      </c>
      <c r="I4453">
        <v>268628305.88999999</v>
      </c>
      <c r="J4453">
        <v>105292233.63</v>
      </c>
      <c r="K4453">
        <v>243185859.80999997</v>
      </c>
      <c r="L4453">
        <v>9420352.4100000001</v>
      </c>
      <c r="M4453">
        <v>35410228.170000002</v>
      </c>
      <c r="N4453">
        <v>0</v>
      </c>
      <c r="O4453">
        <v>0</v>
      </c>
      <c r="P4453">
        <v>0</v>
      </c>
      <c r="Q4453">
        <v>5474296.7999999998</v>
      </c>
      <c r="R4453">
        <v>195696335.07000002</v>
      </c>
      <c r="T4453" s="9">
        <v>45108</v>
      </c>
      <c r="U4453" s="9">
        <v>45473</v>
      </c>
      <c r="V4453">
        <f>SUM(POTABLE_NONPOTABLE_API[[#This Row],[RESIDENTIAL_SINGLEFAMILY_GAL]:[OTHER_GAL]])</f>
        <v>1516784268.8399999</v>
      </c>
      <c r="W4453">
        <f>SUM(POTABLE_NONPOTABLE_API[[#This Row],[NONPOTABLE_DEMAND_RESIDENTIAL_RECYCLED_WATER_GAL]:[NONPOTABLE_DEMAND_NONRESIDENTIAL_METERED_IRRIGATION_GAL]])</f>
        <v>201170631.87000003</v>
      </c>
      <c r="X4453" t="str">
        <f>IFERROR(INDEX(Crosswalk_API!$H$2:$H$527, MATCH(POTABLE_NONPOTABLE_API[[#This Row],[PWSID]], CW_PWSID_LIST, 0)), "")</f>
        <v>No</v>
      </c>
    </row>
    <row r="4454" spans="1:24" x14ac:dyDescent="0.25">
      <c r="A4454" t="s">
        <v>2057</v>
      </c>
      <c r="B4454" t="s">
        <v>2058</v>
      </c>
      <c r="C4454" t="s">
        <v>2059</v>
      </c>
      <c r="D4454" t="s">
        <v>2060</v>
      </c>
      <c r="E4454" s="9">
        <v>45108</v>
      </c>
      <c r="F4454" s="9">
        <v>45138</v>
      </c>
      <c r="G4454">
        <v>994823.103</v>
      </c>
      <c r="H4454">
        <v>0</v>
      </c>
      <c r="I4454">
        <v>0</v>
      </c>
      <c r="J4454">
        <v>1092252.5519999999</v>
      </c>
      <c r="K4454">
        <v>0</v>
      </c>
      <c r="L4454">
        <v>4031102.7210000004</v>
      </c>
      <c r="M4454">
        <v>2068176.297</v>
      </c>
      <c r="N4454">
        <v>0</v>
      </c>
      <c r="O4454">
        <v>0</v>
      </c>
      <c r="P4454">
        <v>0</v>
      </c>
      <c r="Q4454">
        <v>0</v>
      </c>
      <c r="R4454">
        <v>8439540.9000000004</v>
      </c>
      <c r="T4454" s="9">
        <v>45108</v>
      </c>
      <c r="U4454" s="9">
        <v>45473</v>
      </c>
      <c r="V4454">
        <f>SUM(POTABLE_NONPOTABLE_API[[#This Row],[RESIDENTIAL_SINGLEFAMILY_GAL]:[OTHER_GAL]])</f>
        <v>6118178.3760000002</v>
      </c>
      <c r="W4454">
        <f>SUM(POTABLE_NONPOTABLE_API[[#This Row],[NONPOTABLE_DEMAND_RESIDENTIAL_RECYCLED_WATER_GAL]:[NONPOTABLE_DEMAND_NONRESIDENTIAL_METERED_IRRIGATION_GAL]])</f>
        <v>8439540.9000000004</v>
      </c>
      <c r="X4454" t="str">
        <f>IFERROR(INDEX(Crosswalk_API!$H$2:$H$527, MATCH(POTABLE_NONPOTABLE_API[[#This Row],[PWSID]], CW_PWSID_LIST, 0)), "")</f>
        <v>No</v>
      </c>
    </row>
    <row r="4455" spans="1:24" x14ac:dyDescent="0.25">
      <c r="A4455" t="s">
        <v>2057</v>
      </c>
      <c r="B4455" t="s">
        <v>2058</v>
      </c>
      <c r="C4455" t="s">
        <v>2059</v>
      </c>
      <c r="D4455" t="s">
        <v>2060</v>
      </c>
      <c r="E4455" s="9">
        <v>45139</v>
      </c>
      <c r="F4455" s="9">
        <v>45169</v>
      </c>
      <c r="G4455">
        <v>180476812.41300002</v>
      </c>
      <c r="H4455">
        <v>13672056.257999999</v>
      </c>
      <c r="I4455">
        <v>9515826.7530000005</v>
      </c>
      <c r="J4455">
        <v>26918551.109999999</v>
      </c>
      <c r="K4455">
        <v>396560.66700000002</v>
      </c>
      <c r="L4455">
        <v>3034976.2140000002</v>
      </c>
      <c r="M4455">
        <v>1279616.8770000001</v>
      </c>
      <c r="N4455">
        <v>0</v>
      </c>
      <c r="O4455">
        <v>0</v>
      </c>
      <c r="P4455">
        <v>0</v>
      </c>
      <c r="Q4455">
        <v>0</v>
      </c>
      <c r="R4455">
        <v>9645189.5999999996</v>
      </c>
      <c r="T4455" s="9">
        <v>45108</v>
      </c>
      <c r="U4455" s="9">
        <v>45473</v>
      </c>
      <c r="V4455">
        <f>SUM(POTABLE_NONPOTABLE_API[[#This Row],[RESIDENTIAL_SINGLEFAMILY_GAL]:[OTHER_GAL]])</f>
        <v>234014783.41499996</v>
      </c>
      <c r="W4455">
        <f>SUM(POTABLE_NONPOTABLE_API[[#This Row],[NONPOTABLE_DEMAND_RESIDENTIAL_RECYCLED_WATER_GAL]:[NONPOTABLE_DEMAND_NONRESIDENTIAL_METERED_IRRIGATION_GAL]])</f>
        <v>9645189.5999999996</v>
      </c>
      <c r="X4455" t="str">
        <f>IFERROR(INDEX(Crosswalk_API!$H$2:$H$527, MATCH(POTABLE_NONPOTABLE_API[[#This Row],[PWSID]], CW_PWSID_LIST, 0)), "")</f>
        <v>No</v>
      </c>
    </row>
    <row r="4456" spans="1:24" x14ac:dyDescent="0.25">
      <c r="A4456" t="s">
        <v>2057</v>
      </c>
      <c r="B4456" t="s">
        <v>2058</v>
      </c>
      <c r="C4456" t="s">
        <v>2059</v>
      </c>
      <c r="D4456" t="s">
        <v>2060</v>
      </c>
      <c r="E4456" s="9">
        <v>45170</v>
      </c>
      <c r="F4456" s="9">
        <v>45199</v>
      </c>
      <c r="G4456">
        <v>663432.63600000006</v>
      </c>
      <c r="H4456">
        <v>0</v>
      </c>
      <c r="I4456">
        <v>0</v>
      </c>
      <c r="J4456">
        <v>1202064.3389999999</v>
      </c>
      <c r="K4456">
        <v>0</v>
      </c>
      <c r="L4456">
        <v>4718974.182</v>
      </c>
      <c r="M4456">
        <v>2546525.5649999999</v>
      </c>
      <c r="N4456">
        <v>0</v>
      </c>
      <c r="O4456">
        <v>0</v>
      </c>
      <c r="P4456">
        <v>0</v>
      </c>
      <c r="Q4456">
        <v>0</v>
      </c>
      <c r="R4456">
        <v>9286753.5</v>
      </c>
      <c r="T4456" s="9">
        <v>45108</v>
      </c>
      <c r="U4456" s="9">
        <v>45473</v>
      </c>
      <c r="V4456">
        <f>SUM(POTABLE_NONPOTABLE_API[[#This Row],[RESIDENTIAL_SINGLEFAMILY_GAL]:[OTHER_GAL]])</f>
        <v>6584471.1569999997</v>
      </c>
      <c r="W4456">
        <f>SUM(POTABLE_NONPOTABLE_API[[#This Row],[NONPOTABLE_DEMAND_RESIDENTIAL_RECYCLED_WATER_GAL]:[NONPOTABLE_DEMAND_NONRESIDENTIAL_METERED_IRRIGATION_GAL]])</f>
        <v>9286753.5</v>
      </c>
      <c r="X4456" t="str">
        <f>IFERROR(INDEX(Crosswalk_API!$H$2:$H$527, MATCH(POTABLE_NONPOTABLE_API[[#This Row],[PWSID]], CW_PWSID_LIST, 0)), "")</f>
        <v>No</v>
      </c>
    </row>
    <row r="4457" spans="1:24" x14ac:dyDescent="0.25">
      <c r="A4457" t="s">
        <v>2057</v>
      </c>
      <c r="B4457" t="s">
        <v>2058</v>
      </c>
      <c r="C4457" t="s">
        <v>2059</v>
      </c>
      <c r="D4457" t="s">
        <v>2060</v>
      </c>
      <c r="E4457" s="9">
        <v>45200</v>
      </c>
      <c r="F4457" s="9">
        <v>45230</v>
      </c>
      <c r="G4457">
        <v>195265234.197</v>
      </c>
      <c r="H4457">
        <v>13938276.525</v>
      </c>
      <c r="I4457">
        <v>11296276.617000001</v>
      </c>
      <c r="J4457">
        <v>33455122.170000002</v>
      </c>
      <c r="K4457">
        <v>448045.125</v>
      </c>
      <c r="L4457">
        <v>1811079.858</v>
      </c>
      <c r="M4457">
        <v>1667379.567</v>
      </c>
      <c r="N4457">
        <v>0</v>
      </c>
      <c r="O4457">
        <v>0</v>
      </c>
      <c r="P4457">
        <v>0</v>
      </c>
      <c r="Q4457">
        <v>0</v>
      </c>
      <c r="R4457">
        <v>8081104.7999999998</v>
      </c>
      <c r="T4457" s="9">
        <v>45108</v>
      </c>
      <c r="U4457" s="9">
        <v>45473</v>
      </c>
      <c r="V4457">
        <f>SUM(POTABLE_NONPOTABLE_API[[#This Row],[RESIDENTIAL_SINGLEFAMILY_GAL]:[OTHER_GAL]])</f>
        <v>256214034.49200001</v>
      </c>
      <c r="W4457">
        <f>SUM(POTABLE_NONPOTABLE_API[[#This Row],[NONPOTABLE_DEMAND_RESIDENTIAL_RECYCLED_WATER_GAL]:[NONPOTABLE_DEMAND_NONRESIDENTIAL_METERED_IRRIGATION_GAL]])</f>
        <v>8081104.7999999998</v>
      </c>
      <c r="X4457" t="str">
        <f>IFERROR(INDEX(Crosswalk_API!$H$2:$H$527, MATCH(POTABLE_NONPOTABLE_API[[#This Row],[PWSID]], CW_PWSID_LIST, 0)), "")</f>
        <v>No</v>
      </c>
    </row>
    <row r="4458" spans="1:24" x14ac:dyDescent="0.25">
      <c r="A4458" t="s">
        <v>2057</v>
      </c>
      <c r="B4458" t="s">
        <v>2058</v>
      </c>
      <c r="C4458" t="s">
        <v>2059</v>
      </c>
      <c r="D4458" t="s">
        <v>2060</v>
      </c>
      <c r="E4458" s="9">
        <v>45231</v>
      </c>
      <c r="F4458" s="9">
        <v>45260</v>
      </c>
      <c r="G4458">
        <v>570890.95200000005</v>
      </c>
      <c r="H4458">
        <v>0</v>
      </c>
      <c r="I4458">
        <v>0</v>
      </c>
      <c r="J4458">
        <v>781064.84699999995</v>
      </c>
      <c r="K4458">
        <v>0</v>
      </c>
      <c r="L4458">
        <v>1290369.96</v>
      </c>
      <c r="M4458">
        <v>853077.91799999995</v>
      </c>
      <c r="N4458">
        <v>0</v>
      </c>
      <c r="O4458">
        <v>0</v>
      </c>
      <c r="P4458">
        <v>0</v>
      </c>
      <c r="Q4458">
        <v>0</v>
      </c>
      <c r="R4458">
        <v>5604637.2000000002</v>
      </c>
      <c r="T4458" s="9">
        <v>45108</v>
      </c>
      <c r="U4458" s="9">
        <v>45473</v>
      </c>
      <c r="V4458">
        <f>SUM(POTABLE_NONPOTABLE_API[[#This Row],[RESIDENTIAL_SINGLEFAMILY_GAL]:[OTHER_GAL]])</f>
        <v>2642325.7590000001</v>
      </c>
      <c r="W4458">
        <f>SUM(POTABLE_NONPOTABLE_API[[#This Row],[NONPOTABLE_DEMAND_RESIDENTIAL_RECYCLED_WATER_GAL]:[NONPOTABLE_DEMAND_NONRESIDENTIAL_METERED_IRRIGATION_GAL]])</f>
        <v>5604637.2000000002</v>
      </c>
      <c r="X4458" t="str">
        <f>IFERROR(INDEX(Crosswalk_API!$H$2:$H$527, MATCH(POTABLE_NONPOTABLE_API[[#This Row],[PWSID]], CW_PWSID_LIST, 0)), "")</f>
        <v>No</v>
      </c>
    </row>
    <row r="4459" spans="1:24" x14ac:dyDescent="0.25">
      <c r="A4459" t="s">
        <v>2057</v>
      </c>
      <c r="B4459" t="s">
        <v>2058</v>
      </c>
      <c r="C4459" t="s">
        <v>2059</v>
      </c>
      <c r="D4459" t="s">
        <v>2060</v>
      </c>
      <c r="E4459" s="9">
        <v>45261</v>
      </c>
      <c r="F4459" s="9">
        <v>45291</v>
      </c>
      <c r="G4459">
        <v>207448151.38499999</v>
      </c>
      <c r="H4459">
        <v>17739002.589000002</v>
      </c>
      <c r="I4459">
        <v>13203156.669</v>
      </c>
      <c r="J4459">
        <v>30007618.59</v>
      </c>
      <c r="K4459">
        <v>409268.85600000003</v>
      </c>
      <c r="L4459">
        <v>772592.72100000002</v>
      </c>
      <c r="M4459">
        <v>413504.91899999999</v>
      </c>
      <c r="N4459">
        <v>0</v>
      </c>
      <c r="O4459">
        <v>0</v>
      </c>
      <c r="Q4459">
        <v>0</v>
      </c>
      <c r="R4459">
        <v>4496743.8</v>
      </c>
      <c r="T4459" s="9">
        <v>45108</v>
      </c>
      <c r="U4459" s="9">
        <v>45473</v>
      </c>
      <c r="V4459">
        <f>SUM(POTABLE_NONPOTABLE_API[[#This Row],[RESIDENTIAL_SINGLEFAMILY_GAL]:[OTHER_GAL]])</f>
        <v>269579790.81</v>
      </c>
      <c r="W4459">
        <f>SUM(POTABLE_NONPOTABLE_API[[#This Row],[NONPOTABLE_DEMAND_RESIDENTIAL_RECYCLED_WATER_GAL]:[NONPOTABLE_DEMAND_NONRESIDENTIAL_METERED_IRRIGATION_GAL]])</f>
        <v>4496743.8</v>
      </c>
      <c r="X4459" t="str">
        <f>IFERROR(INDEX(Crosswalk_API!$H$2:$H$527, MATCH(POTABLE_NONPOTABLE_API[[#This Row],[PWSID]], CW_PWSID_LIST, 0)), "")</f>
        <v>No</v>
      </c>
    </row>
    <row r="4460" spans="1:24" x14ac:dyDescent="0.25">
      <c r="A4460" t="s">
        <v>2057</v>
      </c>
      <c r="B4460" t="s">
        <v>2058</v>
      </c>
      <c r="C4460" t="s">
        <v>2059</v>
      </c>
      <c r="D4460" t="s">
        <v>2060</v>
      </c>
      <c r="E4460" s="9">
        <v>45292</v>
      </c>
      <c r="F4460" s="9">
        <v>45322</v>
      </c>
      <c r="G4460">
        <v>357458.54700000002</v>
      </c>
      <c r="H4460">
        <v>0</v>
      </c>
      <c r="I4460">
        <v>0</v>
      </c>
      <c r="J4460">
        <v>53113.713000000003</v>
      </c>
      <c r="K4460">
        <v>0</v>
      </c>
      <c r="L4460">
        <v>354525.88800000004</v>
      </c>
      <c r="M4460">
        <v>400796.73</v>
      </c>
      <c r="N4460">
        <v>0</v>
      </c>
      <c r="O4460">
        <v>0</v>
      </c>
      <c r="P4460">
        <v>0</v>
      </c>
      <c r="Q4460">
        <v>0</v>
      </c>
      <c r="R4460">
        <v>1006879.59</v>
      </c>
      <c r="S4460">
        <v>0</v>
      </c>
      <c r="T4460" s="9">
        <v>45108</v>
      </c>
      <c r="U4460" s="9">
        <v>45473</v>
      </c>
      <c r="V4460">
        <f>SUM(POTABLE_NONPOTABLE_API[[#This Row],[RESIDENTIAL_SINGLEFAMILY_GAL]:[OTHER_GAL]])</f>
        <v>765098.14800000004</v>
      </c>
      <c r="W4460">
        <f>SUM(POTABLE_NONPOTABLE_API[[#This Row],[NONPOTABLE_DEMAND_RESIDENTIAL_RECYCLED_WATER_GAL]:[NONPOTABLE_DEMAND_NONRESIDENTIAL_METERED_IRRIGATION_GAL]])</f>
        <v>1006879.59</v>
      </c>
      <c r="X4460" t="str">
        <f>IFERROR(INDEX(Crosswalk_API!$H$2:$H$527, MATCH(POTABLE_NONPOTABLE_API[[#This Row],[PWSID]], CW_PWSID_LIST, 0)), "")</f>
        <v>No</v>
      </c>
    </row>
    <row r="4461" spans="1:24" x14ac:dyDescent="0.25">
      <c r="A4461" t="s">
        <v>2057</v>
      </c>
      <c r="B4461" t="s">
        <v>2058</v>
      </c>
      <c r="C4461" t="s">
        <v>2059</v>
      </c>
      <c r="D4461" t="s">
        <v>2060</v>
      </c>
      <c r="E4461" s="9">
        <v>45323</v>
      </c>
      <c r="F4461" s="9">
        <v>45351</v>
      </c>
      <c r="G4461">
        <v>53170736.925000004</v>
      </c>
      <c r="H4461">
        <v>5574658.9079999998</v>
      </c>
      <c r="I4461">
        <v>3760320.5399999996</v>
      </c>
      <c r="J4461">
        <v>5876722.7850000001</v>
      </c>
      <c r="K4461">
        <v>106879.12800000001</v>
      </c>
      <c r="L4461">
        <v>0</v>
      </c>
      <c r="M4461">
        <v>0</v>
      </c>
      <c r="N4461">
        <v>0</v>
      </c>
      <c r="O4461">
        <v>0</v>
      </c>
      <c r="P4461">
        <v>0</v>
      </c>
      <c r="Q4461">
        <v>0</v>
      </c>
      <c r="R4461">
        <v>819189.41399999999</v>
      </c>
      <c r="S4461">
        <v>0</v>
      </c>
      <c r="T4461" s="9">
        <v>45108</v>
      </c>
      <c r="U4461" s="9">
        <v>45473</v>
      </c>
      <c r="V4461">
        <f>SUM(POTABLE_NONPOTABLE_API[[#This Row],[RESIDENTIAL_SINGLEFAMILY_GAL]:[OTHER_GAL]])</f>
        <v>68489318.286000013</v>
      </c>
      <c r="W4461">
        <f>SUM(POTABLE_NONPOTABLE_API[[#This Row],[NONPOTABLE_DEMAND_RESIDENTIAL_RECYCLED_WATER_GAL]:[NONPOTABLE_DEMAND_NONRESIDENTIAL_METERED_IRRIGATION_GAL]])</f>
        <v>819189.41399999999</v>
      </c>
      <c r="X4461" t="str">
        <f>IFERROR(INDEX(Crosswalk_API!$H$2:$H$527, MATCH(POTABLE_NONPOTABLE_API[[#This Row],[PWSID]], CW_PWSID_LIST, 0)), "")</f>
        <v>No</v>
      </c>
    </row>
    <row r="4462" spans="1:24" x14ac:dyDescent="0.25">
      <c r="A4462" t="s">
        <v>2057</v>
      </c>
      <c r="B4462" t="s">
        <v>2058</v>
      </c>
      <c r="C4462" t="s">
        <v>2059</v>
      </c>
      <c r="D4462" t="s">
        <v>2060</v>
      </c>
      <c r="E4462" s="9">
        <v>45352</v>
      </c>
      <c r="F4462" s="9">
        <v>45382</v>
      </c>
      <c r="G4462">
        <v>243736.54800000001</v>
      </c>
      <c r="H4462">
        <v>0</v>
      </c>
      <c r="I4462">
        <v>0</v>
      </c>
      <c r="J4462">
        <v>246017.505</v>
      </c>
      <c r="K4462">
        <v>0</v>
      </c>
      <c r="L4462">
        <v>168464.967</v>
      </c>
      <c r="M4462">
        <v>400796.73</v>
      </c>
      <c r="N4462">
        <v>0</v>
      </c>
      <c r="O4462">
        <v>0</v>
      </c>
      <c r="P4462">
        <v>0</v>
      </c>
      <c r="Q4462">
        <v>0</v>
      </c>
      <c r="R4462">
        <v>2072738.2109999999</v>
      </c>
      <c r="S4462">
        <v>0</v>
      </c>
      <c r="T4462" s="9">
        <v>45108</v>
      </c>
      <c r="U4462" s="9">
        <v>45473</v>
      </c>
      <c r="V4462">
        <f>SUM(POTABLE_NONPOTABLE_API[[#This Row],[RESIDENTIAL_SINGLEFAMILY_GAL]:[OTHER_GAL]])</f>
        <v>658219.02</v>
      </c>
      <c r="W4462">
        <f>SUM(POTABLE_NONPOTABLE_API[[#This Row],[NONPOTABLE_DEMAND_RESIDENTIAL_RECYCLED_WATER_GAL]:[NONPOTABLE_DEMAND_NONRESIDENTIAL_METERED_IRRIGATION_GAL]])</f>
        <v>2072738.2109999999</v>
      </c>
      <c r="X4462" t="str">
        <f>IFERROR(INDEX(Crosswalk_API!$H$2:$H$527, MATCH(POTABLE_NONPOTABLE_API[[#This Row],[PWSID]], CW_PWSID_LIST, 0)), "")</f>
        <v>No</v>
      </c>
    </row>
    <row r="4463" spans="1:24" x14ac:dyDescent="0.25">
      <c r="A4463" t="s">
        <v>2057</v>
      </c>
      <c r="B4463" t="s">
        <v>2058</v>
      </c>
      <c r="C4463" t="s">
        <v>2059</v>
      </c>
      <c r="D4463" t="s">
        <v>2060</v>
      </c>
      <c r="E4463" s="9">
        <v>45383</v>
      </c>
      <c r="F4463" s="9">
        <v>45412</v>
      </c>
      <c r="G4463">
        <v>83918037.285000011</v>
      </c>
      <c r="H4463">
        <v>11594104.431000002</v>
      </c>
      <c r="I4463">
        <v>5167671.0089999996</v>
      </c>
      <c r="J4463">
        <v>5822957.3700000001</v>
      </c>
      <c r="K4463">
        <v>124149.231</v>
      </c>
      <c r="L4463">
        <v>373425.24599999998</v>
      </c>
      <c r="M4463">
        <v>426538.95899999997</v>
      </c>
      <c r="N4463">
        <v>0</v>
      </c>
      <c r="O4463">
        <v>0</v>
      </c>
      <c r="Q4463">
        <v>0</v>
      </c>
      <c r="R4463">
        <v>2844027.5279999999</v>
      </c>
      <c r="T4463" s="9">
        <v>45108</v>
      </c>
      <c r="U4463" s="9">
        <v>45473</v>
      </c>
      <c r="V4463">
        <f>SUM(POTABLE_NONPOTABLE_API[[#This Row],[RESIDENTIAL_SINGLEFAMILY_GAL]:[OTHER_GAL]])</f>
        <v>107000344.57200004</v>
      </c>
      <c r="W4463">
        <f>SUM(POTABLE_NONPOTABLE_API[[#This Row],[NONPOTABLE_DEMAND_RESIDENTIAL_RECYCLED_WATER_GAL]:[NONPOTABLE_DEMAND_NONRESIDENTIAL_METERED_IRRIGATION_GAL]])</f>
        <v>2844027.5279999999</v>
      </c>
      <c r="X4463" t="str">
        <f>IFERROR(INDEX(Crosswalk_API!$H$2:$H$527, MATCH(POTABLE_NONPOTABLE_API[[#This Row],[PWSID]], CW_PWSID_LIST, 0)), "")</f>
        <v>No</v>
      </c>
    </row>
    <row r="4464" spans="1:24" x14ac:dyDescent="0.25">
      <c r="A4464" t="s">
        <v>2057</v>
      </c>
      <c r="B4464" t="s">
        <v>2058</v>
      </c>
      <c r="C4464" t="s">
        <v>2059</v>
      </c>
      <c r="D4464" t="s">
        <v>2060</v>
      </c>
      <c r="E4464" s="9">
        <v>45413</v>
      </c>
      <c r="F4464" s="9">
        <v>45443</v>
      </c>
      <c r="G4464">
        <v>605105.30700000003</v>
      </c>
      <c r="H4464">
        <v>0</v>
      </c>
      <c r="I4464">
        <v>0</v>
      </c>
      <c r="J4464">
        <v>1069117.1310000001</v>
      </c>
      <c r="K4464">
        <v>0</v>
      </c>
      <c r="L4464">
        <v>556553.50800000003</v>
      </c>
      <c r="M4464">
        <v>1771000.1849999998</v>
      </c>
      <c r="N4464">
        <v>0</v>
      </c>
      <c r="O4464">
        <v>0</v>
      </c>
      <c r="P4464">
        <v>0</v>
      </c>
      <c r="Q4464">
        <v>0</v>
      </c>
      <c r="R4464">
        <v>4604926.3319999995</v>
      </c>
      <c r="S4464">
        <v>971035.98</v>
      </c>
      <c r="T4464" s="9">
        <v>45108</v>
      </c>
      <c r="U4464" s="9">
        <v>45473</v>
      </c>
      <c r="V4464">
        <f>SUM(POTABLE_NONPOTABLE_API[[#This Row],[RESIDENTIAL_SINGLEFAMILY_GAL]:[OTHER_GAL]])</f>
        <v>2230775.946</v>
      </c>
      <c r="W4464">
        <f>SUM(POTABLE_NONPOTABLE_API[[#This Row],[NONPOTABLE_DEMAND_RESIDENTIAL_RECYCLED_WATER_GAL]:[NONPOTABLE_DEMAND_NONRESIDENTIAL_METERED_IRRIGATION_GAL]])</f>
        <v>5575962.311999999</v>
      </c>
      <c r="X4464" t="str">
        <f>IFERROR(INDEX(Crosswalk_API!$H$2:$H$527, MATCH(POTABLE_NONPOTABLE_API[[#This Row],[PWSID]], CW_PWSID_LIST, 0)), "")</f>
        <v>No</v>
      </c>
    </row>
    <row r="4465" spans="1:24" x14ac:dyDescent="0.25">
      <c r="A4465" t="s">
        <v>2057</v>
      </c>
      <c r="B4465" t="s">
        <v>2058</v>
      </c>
      <c r="C4465" t="s">
        <v>2059</v>
      </c>
      <c r="D4465" t="s">
        <v>2060</v>
      </c>
      <c r="E4465" s="9">
        <v>45444</v>
      </c>
      <c r="F4465" s="9">
        <v>45473</v>
      </c>
      <c r="G4465">
        <v>121087209.153</v>
      </c>
      <c r="H4465">
        <v>11093597.295</v>
      </c>
      <c r="I4465">
        <v>5910285.4380000001</v>
      </c>
      <c r="J4465">
        <v>18587518.592999998</v>
      </c>
      <c r="K4465">
        <v>309558.45</v>
      </c>
      <c r="L4465">
        <v>860246.64</v>
      </c>
      <c r="M4465">
        <v>1693447.6470000001</v>
      </c>
      <c r="N4465">
        <v>0</v>
      </c>
      <c r="O4465">
        <v>0</v>
      </c>
      <c r="P4465">
        <v>0</v>
      </c>
      <c r="Q4465">
        <v>0</v>
      </c>
      <c r="R4465">
        <v>6917165.0280000009</v>
      </c>
      <c r="S4465">
        <v>1928386.2180000001</v>
      </c>
      <c r="T4465" s="9">
        <v>45108</v>
      </c>
      <c r="U4465" s="9">
        <v>45473</v>
      </c>
      <c r="V4465">
        <f>SUM(POTABLE_NONPOTABLE_API[[#This Row],[RESIDENTIAL_SINGLEFAMILY_GAL]:[OTHER_GAL]])</f>
        <v>157848415.56899998</v>
      </c>
      <c r="W4465">
        <f>SUM(POTABLE_NONPOTABLE_API[[#This Row],[NONPOTABLE_DEMAND_RESIDENTIAL_RECYCLED_WATER_GAL]:[NONPOTABLE_DEMAND_NONRESIDENTIAL_METERED_IRRIGATION_GAL]])</f>
        <v>8845551.2460000012</v>
      </c>
      <c r="X4465" t="str">
        <f>IFERROR(INDEX(Crosswalk_API!$H$2:$H$527, MATCH(POTABLE_NONPOTABLE_API[[#This Row],[PWSID]], CW_PWSID_LIST, 0)), "")</f>
        <v>No</v>
      </c>
    </row>
    <row r="4466" spans="1:24" x14ac:dyDescent="0.25">
      <c r="A4466" t="s">
        <v>2061</v>
      </c>
      <c r="B4466" t="s">
        <v>2062</v>
      </c>
      <c r="C4466" t="s">
        <v>2063</v>
      </c>
      <c r="D4466" t="s">
        <v>2064</v>
      </c>
      <c r="E4466" s="9">
        <v>45108</v>
      </c>
      <c r="F4466" s="9">
        <v>45138</v>
      </c>
      <c r="G4466">
        <v>59284228</v>
      </c>
      <c r="H4466">
        <v>54621425</v>
      </c>
      <c r="I4466">
        <v>29228826</v>
      </c>
      <c r="J4466">
        <v>0</v>
      </c>
      <c r="K4466">
        <v>0</v>
      </c>
      <c r="L4466">
        <v>0</v>
      </c>
      <c r="M4466">
        <v>0</v>
      </c>
      <c r="N4466">
        <v>152413677.09999999</v>
      </c>
      <c r="O4466">
        <v>0</v>
      </c>
      <c r="P4466">
        <v>0</v>
      </c>
      <c r="Q4466">
        <v>0</v>
      </c>
      <c r="R4466">
        <v>0</v>
      </c>
      <c r="S4466">
        <v>0</v>
      </c>
      <c r="T4466" s="9">
        <v>45108</v>
      </c>
      <c r="U4466" s="9">
        <v>45473</v>
      </c>
      <c r="V4466">
        <f>SUM(POTABLE_NONPOTABLE_API[[#This Row],[RESIDENTIAL_SINGLEFAMILY_GAL]:[OTHER_GAL]])</f>
        <v>143134479</v>
      </c>
      <c r="W4466">
        <f>SUM(POTABLE_NONPOTABLE_API[[#This Row],[NONPOTABLE_DEMAND_RESIDENTIAL_RECYCLED_WATER_GAL]:[NONPOTABLE_DEMAND_NONRESIDENTIAL_METERED_IRRIGATION_GAL]])</f>
        <v>152413677.09999999</v>
      </c>
      <c r="X4466" t="str">
        <f>IFERROR(INDEX(Crosswalk_API!$H$2:$H$527, MATCH(POTABLE_NONPOTABLE_API[[#This Row],[PWSID]], CW_PWSID_LIST, 0)), "")</f>
        <v>No</v>
      </c>
    </row>
    <row r="4467" spans="1:24" x14ac:dyDescent="0.25">
      <c r="A4467" t="s">
        <v>2061</v>
      </c>
      <c r="B4467" t="s">
        <v>2062</v>
      </c>
      <c r="C4467" t="s">
        <v>2063</v>
      </c>
      <c r="D4467" t="s">
        <v>2064</v>
      </c>
      <c r="E4467" s="9">
        <v>45139</v>
      </c>
      <c r="F4467" s="9">
        <v>45169</v>
      </c>
      <c r="G4467">
        <v>59452358</v>
      </c>
      <c r="H4467">
        <v>49854705</v>
      </c>
      <c r="I4467">
        <v>28383359</v>
      </c>
      <c r="J4467">
        <v>151417</v>
      </c>
      <c r="K4467">
        <v>0</v>
      </c>
      <c r="L4467">
        <v>6577980</v>
      </c>
      <c r="M4467">
        <v>0</v>
      </c>
      <c r="N4467">
        <v>0</v>
      </c>
      <c r="O4467">
        <v>0</v>
      </c>
      <c r="P4467">
        <v>0</v>
      </c>
      <c r="Q4467">
        <v>77873172</v>
      </c>
      <c r="R4467">
        <v>0</v>
      </c>
      <c r="S4467">
        <v>0</v>
      </c>
      <c r="T4467" s="9">
        <v>45108</v>
      </c>
      <c r="U4467" s="9">
        <v>45473</v>
      </c>
      <c r="V4467">
        <f>SUM(POTABLE_NONPOTABLE_API[[#This Row],[RESIDENTIAL_SINGLEFAMILY_GAL]:[OTHER_GAL]])</f>
        <v>144419819</v>
      </c>
      <c r="W4467">
        <f>SUM(POTABLE_NONPOTABLE_API[[#This Row],[NONPOTABLE_DEMAND_RESIDENTIAL_RECYCLED_WATER_GAL]:[NONPOTABLE_DEMAND_NONRESIDENTIAL_METERED_IRRIGATION_GAL]])</f>
        <v>77873172</v>
      </c>
      <c r="X4467" t="str">
        <f>IFERROR(INDEX(Crosswalk_API!$H$2:$H$527, MATCH(POTABLE_NONPOTABLE_API[[#This Row],[PWSID]], CW_PWSID_LIST, 0)), "")</f>
        <v>No</v>
      </c>
    </row>
    <row r="4468" spans="1:24" x14ac:dyDescent="0.25">
      <c r="A4468" t="s">
        <v>2061</v>
      </c>
      <c r="B4468" t="s">
        <v>2062</v>
      </c>
      <c r="C4468" t="s">
        <v>2063</v>
      </c>
      <c r="D4468" t="s">
        <v>2064</v>
      </c>
      <c r="E4468" s="9">
        <v>45170</v>
      </c>
      <c r="F4468" s="9">
        <v>45199</v>
      </c>
      <c r="G4468">
        <v>55536827</v>
      </c>
      <c r="H4468">
        <v>46848226</v>
      </c>
      <c r="I4468">
        <v>30237910</v>
      </c>
      <c r="J4468">
        <v>12344</v>
      </c>
      <c r="K4468">
        <v>0</v>
      </c>
      <c r="L4468">
        <v>0</v>
      </c>
      <c r="M4468">
        <v>0</v>
      </c>
      <c r="N4468">
        <v>0</v>
      </c>
      <c r="O4468">
        <v>0</v>
      </c>
      <c r="P4468">
        <v>0</v>
      </c>
      <c r="Q4468">
        <v>42902553</v>
      </c>
      <c r="R4468">
        <v>0</v>
      </c>
      <c r="S4468">
        <v>0</v>
      </c>
      <c r="T4468" s="9">
        <v>45108</v>
      </c>
      <c r="U4468" s="9">
        <v>45473</v>
      </c>
      <c r="V4468">
        <f>SUM(POTABLE_NONPOTABLE_API[[#This Row],[RESIDENTIAL_SINGLEFAMILY_GAL]:[OTHER_GAL]])</f>
        <v>132635307</v>
      </c>
      <c r="W4468">
        <f>SUM(POTABLE_NONPOTABLE_API[[#This Row],[NONPOTABLE_DEMAND_RESIDENTIAL_RECYCLED_WATER_GAL]:[NONPOTABLE_DEMAND_NONRESIDENTIAL_METERED_IRRIGATION_GAL]])</f>
        <v>42902553</v>
      </c>
      <c r="X4468" t="str">
        <f>IFERROR(INDEX(Crosswalk_API!$H$2:$H$527, MATCH(POTABLE_NONPOTABLE_API[[#This Row],[PWSID]], CW_PWSID_LIST, 0)), "")</f>
        <v>No</v>
      </c>
    </row>
    <row r="4469" spans="1:24" x14ac:dyDescent="0.25">
      <c r="A4469" t="s">
        <v>2061</v>
      </c>
      <c r="B4469" t="s">
        <v>2062</v>
      </c>
      <c r="C4469" t="s">
        <v>2063</v>
      </c>
      <c r="D4469" t="s">
        <v>2064</v>
      </c>
      <c r="E4469" s="9">
        <v>45200</v>
      </c>
      <c r="F4469" s="9">
        <v>45230</v>
      </c>
      <c r="G4469">
        <v>64022426</v>
      </c>
      <c r="H4469">
        <v>39778236</v>
      </c>
      <c r="I4469">
        <v>14526506</v>
      </c>
      <c r="J4469">
        <v>0</v>
      </c>
      <c r="K4469">
        <v>0</v>
      </c>
      <c r="L4469">
        <v>0</v>
      </c>
      <c r="M4469">
        <v>0</v>
      </c>
      <c r="N4469">
        <v>0</v>
      </c>
      <c r="O4469">
        <v>0</v>
      </c>
      <c r="P4469">
        <v>0</v>
      </c>
      <c r="Q4469">
        <v>8315717.5199999996</v>
      </c>
      <c r="R4469">
        <v>0</v>
      </c>
      <c r="S4469">
        <v>0</v>
      </c>
      <c r="T4469" s="9">
        <v>45108</v>
      </c>
      <c r="U4469" s="9">
        <v>45473</v>
      </c>
      <c r="V4469">
        <f>SUM(POTABLE_NONPOTABLE_API[[#This Row],[RESIDENTIAL_SINGLEFAMILY_GAL]:[OTHER_GAL]])</f>
        <v>118327168</v>
      </c>
      <c r="W4469">
        <f>SUM(POTABLE_NONPOTABLE_API[[#This Row],[NONPOTABLE_DEMAND_RESIDENTIAL_RECYCLED_WATER_GAL]:[NONPOTABLE_DEMAND_NONRESIDENTIAL_METERED_IRRIGATION_GAL]])</f>
        <v>8315717.5199999996</v>
      </c>
      <c r="X4469" t="str">
        <f>IFERROR(INDEX(Crosswalk_API!$H$2:$H$527, MATCH(POTABLE_NONPOTABLE_API[[#This Row],[PWSID]], CW_PWSID_LIST, 0)), "")</f>
        <v>No</v>
      </c>
    </row>
    <row r="4470" spans="1:24" x14ac:dyDescent="0.25">
      <c r="A4470" t="s">
        <v>2061</v>
      </c>
      <c r="B4470" t="s">
        <v>2062</v>
      </c>
      <c r="C4470" t="s">
        <v>2063</v>
      </c>
      <c r="D4470" t="s">
        <v>2064</v>
      </c>
      <c r="E4470" s="9">
        <v>45231</v>
      </c>
      <c r="F4470" s="9">
        <v>45260</v>
      </c>
      <c r="G4470">
        <v>43171367</v>
      </c>
      <c r="H4470">
        <v>37666421</v>
      </c>
      <c r="I4470">
        <v>20216080</v>
      </c>
      <c r="J4470">
        <v>7158</v>
      </c>
      <c r="K4470">
        <v>0</v>
      </c>
      <c r="L4470">
        <v>0</v>
      </c>
      <c r="M4470">
        <v>0</v>
      </c>
      <c r="N4470">
        <v>0</v>
      </c>
      <c r="O4470">
        <v>0</v>
      </c>
      <c r="P4470">
        <v>0</v>
      </c>
      <c r="Q4470">
        <v>11072180</v>
      </c>
      <c r="R4470">
        <v>0</v>
      </c>
      <c r="S4470">
        <v>0</v>
      </c>
      <c r="T4470" s="9">
        <v>45108</v>
      </c>
      <c r="U4470" s="9">
        <v>45473</v>
      </c>
      <c r="V4470">
        <f>SUM(POTABLE_NONPOTABLE_API[[#This Row],[RESIDENTIAL_SINGLEFAMILY_GAL]:[OTHER_GAL]])</f>
        <v>101061026</v>
      </c>
      <c r="W4470">
        <f>SUM(POTABLE_NONPOTABLE_API[[#This Row],[NONPOTABLE_DEMAND_RESIDENTIAL_RECYCLED_WATER_GAL]:[NONPOTABLE_DEMAND_NONRESIDENTIAL_METERED_IRRIGATION_GAL]])</f>
        <v>11072180</v>
      </c>
      <c r="X4470" t="str">
        <f>IFERROR(INDEX(Crosswalk_API!$H$2:$H$527, MATCH(POTABLE_NONPOTABLE_API[[#This Row],[PWSID]], CW_PWSID_LIST, 0)), "")</f>
        <v>No</v>
      </c>
    </row>
    <row r="4471" spans="1:24" x14ac:dyDescent="0.25">
      <c r="A4471" t="s">
        <v>2061</v>
      </c>
      <c r="B4471" t="s">
        <v>2062</v>
      </c>
      <c r="C4471" t="s">
        <v>2063</v>
      </c>
      <c r="D4471" t="s">
        <v>2064</v>
      </c>
      <c r="E4471" s="9">
        <v>45261</v>
      </c>
      <c r="F4471" s="9">
        <v>45291</v>
      </c>
      <c r="G4471">
        <v>38897723</v>
      </c>
      <c r="H4471">
        <v>34135604</v>
      </c>
      <c r="I4471">
        <v>17176727</v>
      </c>
      <c r="J4471">
        <v>0</v>
      </c>
      <c r="K4471">
        <v>0</v>
      </c>
      <c r="L4471">
        <v>0</v>
      </c>
      <c r="M4471">
        <v>0</v>
      </c>
      <c r="N4471">
        <v>0</v>
      </c>
      <c r="O4471">
        <v>0</v>
      </c>
      <c r="P4471">
        <v>0</v>
      </c>
      <c r="Q4471">
        <v>1757786</v>
      </c>
      <c r="R4471">
        <v>0</v>
      </c>
      <c r="T4471" s="9">
        <v>45108</v>
      </c>
      <c r="U4471" s="9">
        <v>45473</v>
      </c>
      <c r="V4471">
        <f>SUM(POTABLE_NONPOTABLE_API[[#This Row],[RESIDENTIAL_SINGLEFAMILY_GAL]:[OTHER_GAL]])</f>
        <v>90210054</v>
      </c>
      <c r="W4471">
        <f>SUM(POTABLE_NONPOTABLE_API[[#This Row],[NONPOTABLE_DEMAND_RESIDENTIAL_RECYCLED_WATER_GAL]:[NONPOTABLE_DEMAND_NONRESIDENTIAL_METERED_IRRIGATION_GAL]])</f>
        <v>1757786</v>
      </c>
      <c r="X4471" t="str">
        <f>IFERROR(INDEX(Crosswalk_API!$H$2:$H$527, MATCH(POTABLE_NONPOTABLE_API[[#This Row],[PWSID]], CW_PWSID_LIST, 0)), "")</f>
        <v>No</v>
      </c>
    </row>
    <row r="4472" spans="1:24" x14ac:dyDescent="0.25">
      <c r="A4472" t="s">
        <v>2061</v>
      </c>
      <c r="B4472" t="s">
        <v>2062</v>
      </c>
      <c r="C4472" t="s">
        <v>2063</v>
      </c>
      <c r="D4472" t="s">
        <v>2064</v>
      </c>
      <c r="E4472" s="9">
        <v>45292</v>
      </c>
      <c r="F4472" s="9">
        <v>45322</v>
      </c>
      <c r="G4472">
        <v>40640719</v>
      </c>
      <c r="H4472">
        <v>35468491</v>
      </c>
      <c r="I4472">
        <v>15066203</v>
      </c>
      <c r="J4472">
        <v>0</v>
      </c>
      <c r="K4472">
        <v>0</v>
      </c>
      <c r="L4472">
        <v>0</v>
      </c>
      <c r="M4472">
        <v>0</v>
      </c>
      <c r="N4472">
        <v>0</v>
      </c>
      <c r="O4472">
        <v>0</v>
      </c>
      <c r="P4472">
        <v>0</v>
      </c>
      <c r="Q4472">
        <v>1603855</v>
      </c>
      <c r="R4472">
        <v>0</v>
      </c>
      <c r="S4472">
        <v>0</v>
      </c>
      <c r="T4472" s="9">
        <v>45108</v>
      </c>
      <c r="U4472" s="9">
        <v>45473</v>
      </c>
      <c r="V4472">
        <f>SUM(POTABLE_NONPOTABLE_API[[#This Row],[RESIDENTIAL_SINGLEFAMILY_GAL]:[OTHER_GAL]])</f>
        <v>91175413</v>
      </c>
      <c r="W4472">
        <f>SUM(POTABLE_NONPOTABLE_API[[#This Row],[NONPOTABLE_DEMAND_RESIDENTIAL_RECYCLED_WATER_GAL]:[NONPOTABLE_DEMAND_NONRESIDENTIAL_METERED_IRRIGATION_GAL]])</f>
        <v>1603855</v>
      </c>
      <c r="X4472" t="str">
        <f>IFERROR(INDEX(Crosswalk_API!$H$2:$H$527, MATCH(POTABLE_NONPOTABLE_API[[#This Row],[PWSID]], CW_PWSID_LIST, 0)), "")</f>
        <v>No</v>
      </c>
    </row>
    <row r="4473" spans="1:24" x14ac:dyDescent="0.25">
      <c r="A4473" t="s">
        <v>2061</v>
      </c>
      <c r="B4473" t="s">
        <v>2062</v>
      </c>
      <c r="C4473" t="s">
        <v>2063</v>
      </c>
      <c r="D4473" t="s">
        <v>2064</v>
      </c>
      <c r="E4473" s="9">
        <v>45323</v>
      </c>
      <c r="F4473" s="9">
        <v>45351</v>
      </c>
      <c r="G4473">
        <v>34211008</v>
      </c>
      <c r="H4473">
        <v>26496913</v>
      </c>
      <c r="I4473">
        <v>16922552</v>
      </c>
      <c r="J4473">
        <v>5318173</v>
      </c>
      <c r="K4473">
        <v>0</v>
      </c>
      <c r="L4473">
        <v>0</v>
      </c>
      <c r="M4473">
        <v>0</v>
      </c>
      <c r="N4473">
        <v>0</v>
      </c>
      <c r="O4473">
        <v>0</v>
      </c>
      <c r="Q4473">
        <v>1370000</v>
      </c>
      <c r="R4473">
        <v>0</v>
      </c>
      <c r="S4473">
        <v>0</v>
      </c>
      <c r="T4473" s="9">
        <v>45108</v>
      </c>
      <c r="U4473" s="9">
        <v>45473</v>
      </c>
      <c r="V4473">
        <f>SUM(POTABLE_NONPOTABLE_API[[#This Row],[RESIDENTIAL_SINGLEFAMILY_GAL]:[OTHER_GAL]])</f>
        <v>82948646</v>
      </c>
      <c r="W4473">
        <f>SUM(POTABLE_NONPOTABLE_API[[#This Row],[NONPOTABLE_DEMAND_RESIDENTIAL_RECYCLED_WATER_GAL]:[NONPOTABLE_DEMAND_NONRESIDENTIAL_METERED_IRRIGATION_GAL]])</f>
        <v>1370000</v>
      </c>
      <c r="X4473" t="str">
        <f>IFERROR(INDEX(Crosswalk_API!$H$2:$H$527, MATCH(POTABLE_NONPOTABLE_API[[#This Row],[PWSID]], CW_PWSID_LIST, 0)), "")</f>
        <v>No</v>
      </c>
    </row>
    <row r="4474" spans="1:24" x14ac:dyDescent="0.25">
      <c r="A4474" t="s">
        <v>2061</v>
      </c>
      <c r="B4474" t="s">
        <v>2062</v>
      </c>
      <c r="C4474" t="s">
        <v>2063</v>
      </c>
      <c r="D4474" t="s">
        <v>2064</v>
      </c>
      <c r="E4474" s="9">
        <v>45352</v>
      </c>
      <c r="F4474" s="9">
        <v>45382</v>
      </c>
      <c r="G4474">
        <v>34160394</v>
      </c>
      <c r="H4474">
        <v>30784901</v>
      </c>
      <c r="I4474">
        <v>13983146</v>
      </c>
      <c r="J4474">
        <v>0</v>
      </c>
      <c r="K4474">
        <v>0</v>
      </c>
      <c r="L4474">
        <v>0</v>
      </c>
      <c r="M4474">
        <v>0</v>
      </c>
      <c r="N4474">
        <v>0</v>
      </c>
      <c r="O4474">
        <v>0</v>
      </c>
      <c r="P4474">
        <v>0</v>
      </c>
      <c r="Q4474">
        <v>1407627</v>
      </c>
      <c r="R4474">
        <v>0</v>
      </c>
      <c r="S4474">
        <v>0</v>
      </c>
      <c r="T4474" s="9">
        <v>45108</v>
      </c>
      <c r="U4474" s="9">
        <v>45473</v>
      </c>
      <c r="V4474">
        <f>SUM(POTABLE_NONPOTABLE_API[[#This Row],[RESIDENTIAL_SINGLEFAMILY_GAL]:[OTHER_GAL]])</f>
        <v>78928441</v>
      </c>
      <c r="W4474">
        <f>SUM(POTABLE_NONPOTABLE_API[[#This Row],[NONPOTABLE_DEMAND_RESIDENTIAL_RECYCLED_WATER_GAL]:[NONPOTABLE_DEMAND_NONRESIDENTIAL_METERED_IRRIGATION_GAL]])</f>
        <v>1407627</v>
      </c>
      <c r="X4474" t="str">
        <f>IFERROR(INDEX(Crosswalk_API!$H$2:$H$527, MATCH(POTABLE_NONPOTABLE_API[[#This Row],[PWSID]], CW_PWSID_LIST, 0)), "")</f>
        <v>No</v>
      </c>
    </row>
    <row r="4475" spans="1:24" x14ac:dyDescent="0.25">
      <c r="A4475" t="s">
        <v>2061</v>
      </c>
      <c r="B4475" t="s">
        <v>2062</v>
      </c>
      <c r="C4475" t="s">
        <v>2063</v>
      </c>
      <c r="D4475" t="s">
        <v>2064</v>
      </c>
      <c r="E4475" s="9">
        <v>45383</v>
      </c>
      <c r="F4475" s="9">
        <v>45412</v>
      </c>
      <c r="G4475">
        <v>40713433</v>
      </c>
      <c r="H4475">
        <v>37695081</v>
      </c>
      <c r="I4475">
        <v>18029903</v>
      </c>
      <c r="J4475">
        <v>0</v>
      </c>
      <c r="K4475">
        <v>0</v>
      </c>
      <c r="L4475">
        <v>0</v>
      </c>
      <c r="M4475">
        <v>0</v>
      </c>
      <c r="N4475">
        <v>0</v>
      </c>
      <c r="O4475">
        <v>0</v>
      </c>
      <c r="P4475">
        <v>0</v>
      </c>
      <c r="Q4475">
        <v>4911095.932</v>
      </c>
      <c r="R4475">
        <v>0</v>
      </c>
      <c r="S4475">
        <v>0</v>
      </c>
      <c r="T4475" s="9">
        <v>45108</v>
      </c>
      <c r="U4475" s="9">
        <v>45473</v>
      </c>
      <c r="V4475">
        <f>SUM(POTABLE_NONPOTABLE_API[[#This Row],[RESIDENTIAL_SINGLEFAMILY_GAL]:[OTHER_GAL]])</f>
        <v>96438417</v>
      </c>
      <c r="W4475">
        <f>SUM(POTABLE_NONPOTABLE_API[[#This Row],[NONPOTABLE_DEMAND_RESIDENTIAL_RECYCLED_WATER_GAL]:[NONPOTABLE_DEMAND_NONRESIDENTIAL_METERED_IRRIGATION_GAL]])</f>
        <v>4911095.932</v>
      </c>
      <c r="X4475" t="str">
        <f>IFERROR(INDEX(Crosswalk_API!$H$2:$H$527, MATCH(POTABLE_NONPOTABLE_API[[#This Row],[PWSID]], CW_PWSID_LIST, 0)), "")</f>
        <v>No</v>
      </c>
    </row>
    <row r="4476" spans="1:24" x14ac:dyDescent="0.25">
      <c r="A4476" t="s">
        <v>2061</v>
      </c>
      <c r="B4476" t="s">
        <v>2062</v>
      </c>
      <c r="C4476" t="s">
        <v>2063</v>
      </c>
      <c r="D4476" t="s">
        <v>2064</v>
      </c>
      <c r="E4476" s="9">
        <v>45413</v>
      </c>
      <c r="F4476" s="9">
        <v>45443</v>
      </c>
      <c r="G4476">
        <v>46739601</v>
      </c>
      <c r="H4476">
        <v>38848588</v>
      </c>
      <c r="I4476">
        <v>21321272</v>
      </c>
      <c r="J4476">
        <v>0</v>
      </c>
      <c r="K4476">
        <v>0</v>
      </c>
      <c r="L4476">
        <v>0</v>
      </c>
      <c r="M4476">
        <v>0</v>
      </c>
      <c r="N4476">
        <v>0</v>
      </c>
      <c r="O4476">
        <v>0</v>
      </c>
      <c r="Q4476">
        <v>0</v>
      </c>
      <c r="R4476">
        <v>0</v>
      </c>
      <c r="S4476">
        <v>37468488</v>
      </c>
      <c r="T4476" s="9">
        <v>45108</v>
      </c>
      <c r="U4476" s="9">
        <v>45473</v>
      </c>
      <c r="V4476">
        <f>SUM(POTABLE_NONPOTABLE_API[[#This Row],[RESIDENTIAL_SINGLEFAMILY_GAL]:[OTHER_GAL]])</f>
        <v>106909461</v>
      </c>
      <c r="W4476">
        <f>SUM(POTABLE_NONPOTABLE_API[[#This Row],[NONPOTABLE_DEMAND_RESIDENTIAL_RECYCLED_WATER_GAL]:[NONPOTABLE_DEMAND_NONRESIDENTIAL_METERED_IRRIGATION_GAL]])</f>
        <v>37468488</v>
      </c>
      <c r="X4476" t="str">
        <f>IFERROR(INDEX(Crosswalk_API!$H$2:$H$527, MATCH(POTABLE_NONPOTABLE_API[[#This Row],[PWSID]], CW_PWSID_LIST, 0)), "")</f>
        <v>No</v>
      </c>
    </row>
    <row r="4477" spans="1:24" x14ac:dyDescent="0.25">
      <c r="A4477" t="s">
        <v>2061</v>
      </c>
      <c r="B4477" t="s">
        <v>2062</v>
      </c>
      <c r="C4477" t="s">
        <v>2063</v>
      </c>
      <c r="D4477" t="s">
        <v>2064</v>
      </c>
      <c r="E4477" s="9">
        <v>45444</v>
      </c>
      <c r="F4477" s="9">
        <v>45473</v>
      </c>
      <c r="G4477">
        <v>55105448</v>
      </c>
      <c r="H4477">
        <v>0</v>
      </c>
      <c r="I4477">
        <v>70497310</v>
      </c>
      <c r="J4477">
        <v>0</v>
      </c>
      <c r="K4477">
        <v>0</v>
      </c>
      <c r="L4477">
        <v>0</v>
      </c>
      <c r="M4477">
        <v>0</v>
      </c>
      <c r="N4477">
        <v>0</v>
      </c>
      <c r="O4477">
        <v>0</v>
      </c>
      <c r="P4477">
        <v>0</v>
      </c>
      <c r="Q4477">
        <v>62475373</v>
      </c>
      <c r="R4477">
        <v>0</v>
      </c>
      <c r="S4477">
        <v>0</v>
      </c>
      <c r="T4477" s="9">
        <v>45108</v>
      </c>
      <c r="U4477" s="9">
        <v>45473</v>
      </c>
      <c r="V4477">
        <f>SUM(POTABLE_NONPOTABLE_API[[#This Row],[RESIDENTIAL_SINGLEFAMILY_GAL]:[OTHER_GAL]])</f>
        <v>125602758</v>
      </c>
      <c r="W4477">
        <f>SUM(POTABLE_NONPOTABLE_API[[#This Row],[NONPOTABLE_DEMAND_RESIDENTIAL_RECYCLED_WATER_GAL]:[NONPOTABLE_DEMAND_NONRESIDENTIAL_METERED_IRRIGATION_GAL]])</f>
        <v>62475373</v>
      </c>
      <c r="X4477" t="str">
        <f>IFERROR(INDEX(Crosswalk_API!$H$2:$H$527, MATCH(POTABLE_NONPOTABLE_API[[#This Row],[PWSID]], CW_PWSID_LIST, 0)), "")</f>
        <v>No</v>
      </c>
    </row>
    <row r="4478" spans="1:24" x14ac:dyDescent="0.25">
      <c r="A4478" t="s">
        <v>2065</v>
      </c>
      <c r="B4478" t="s">
        <v>2066</v>
      </c>
      <c r="C4478" t="s">
        <v>2067</v>
      </c>
      <c r="D4478" t="s">
        <v>2068</v>
      </c>
      <c r="E4478" s="9">
        <v>45108</v>
      </c>
      <c r="F4478" s="9">
        <v>45138</v>
      </c>
      <c r="G4478">
        <v>67593020</v>
      </c>
      <c r="H4478">
        <v>5259188</v>
      </c>
      <c r="I4478">
        <v>6371464</v>
      </c>
      <c r="J4478">
        <v>2089164</v>
      </c>
      <c r="K4478">
        <v>0</v>
      </c>
      <c r="L4478">
        <v>0</v>
      </c>
      <c r="M4478">
        <v>0</v>
      </c>
      <c r="T4478" s="9">
        <v>45108</v>
      </c>
      <c r="U4478" s="9">
        <v>45473</v>
      </c>
      <c r="V4478">
        <f>SUM(POTABLE_NONPOTABLE_API[[#This Row],[RESIDENTIAL_SINGLEFAMILY_GAL]:[OTHER_GAL]])</f>
        <v>81312836</v>
      </c>
      <c r="W4478">
        <f>SUM(POTABLE_NONPOTABLE_API[[#This Row],[NONPOTABLE_DEMAND_RESIDENTIAL_RECYCLED_WATER_GAL]:[NONPOTABLE_DEMAND_NONRESIDENTIAL_METERED_IRRIGATION_GAL]])</f>
        <v>0</v>
      </c>
      <c r="X4478" t="str">
        <f>IFERROR(INDEX(Crosswalk_API!$H$2:$H$527, MATCH(POTABLE_NONPOTABLE_API[[#This Row],[PWSID]], CW_PWSID_LIST, 0)), "")</f>
        <v>No</v>
      </c>
    </row>
    <row r="4479" spans="1:24" x14ac:dyDescent="0.25">
      <c r="A4479" t="s">
        <v>2065</v>
      </c>
      <c r="B4479" t="s">
        <v>2066</v>
      </c>
      <c r="C4479" t="s">
        <v>2067</v>
      </c>
      <c r="D4479" t="s">
        <v>2068</v>
      </c>
      <c r="E4479" s="9">
        <v>45139</v>
      </c>
      <c r="F4479" s="9">
        <v>45169</v>
      </c>
      <c r="G4479">
        <v>61280648</v>
      </c>
      <c r="H4479">
        <v>4527644</v>
      </c>
      <c r="I4479">
        <v>5979512</v>
      </c>
      <c r="J4479">
        <v>1878976</v>
      </c>
      <c r="K4479">
        <v>0</v>
      </c>
      <c r="L4479">
        <v>0</v>
      </c>
      <c r="M4479">
        <v>0</v>
      </c>
      <c r="T4479" s="9">
        <v>45108</v>
      </c>
      <c r="U4479" s="9">
        <v>45473</v>
      </c>
      <c r="V4479">
        <f>SUM(POTABLE_NONPOTABLE_API[[#This Row],[RESIDENTIAL_SINGLEFAMILY_GAL]:[OTHER_GAL]])</f>
        <v>73666780</v>
      </c>
      <c r="W4479">
        <f>SUM(POTABLE_NONPOTABLE_API[[#This Row],[NONPOTABLE_DEMAND_RESIDENTIAL_RECYCLED_WATER_GAL]:[NONPOTABLE_DEMAND_NONRESIDENTIAL_METERED_IRRIGATION_GAL]])</f>
        <v>0</v>
      </c>
      <c r="X4479" t="str">
        <f>IFERROR(INDEX(Crosswalk_API!$H$2:$H$527, MATCH(POTABLE_NONPOTABLE_API[[#This Row],[PWSID]], CW_PWSID_LIST, 0)), "")</f>
        <v>No</v>
      </c>
    </row>
    <row r="4480" spans="1:24" x14ac:dyDescent="0.25">
      <c r="A4480" t="s">
        <v>2065</v>
      </c>
      <c r="B4480" t="s">
        <v>2066</v>
      </c>
      <c r="C4480" t="s">
        <v>2067</v>
      </c>
      <c r="D4480" t="s">
        <v>2068</v>
      </c>
      <c r="E4480" s="9">
        <v>45170</v>
      </c>
      <c r="F4480" s="9">
        <v>45199</v>
      </c>
      <c r="G4480">
        <v>56859968</v>
      </c>
      <c r="H4480">
        <v>4865740</v>
      </c>
      <c r="I4480">
        <v>5912192</v>
      </c>
      <c r="J4480">
        <v>1442144</v>
      </c>
      <c r="K4480">
        <v>0</v>
      </c>
      <c r="L4480">
        <v>0</v>
      </c>
      <c r="M4480">
        <v>0</v>
      </c>
      <c r="T4480" s="9">
        <v>45108</v>
      </c>
      <c r="U4480" s="9">
        <v>45473</v>
      </c>
      <c r="V4480">
        <f>SUM(POTABLE_NONPOTABLE_API[[#This Row],[RESIDENTIAL_SINGLEFAMILY_GAL]:[OTHER_GAL]])</f>
        <v>69080044</v>
      </c>
      <c r="W4480">
        <f>SUM(POTABLE_NONPOTABLE_API[[#This Row],[NONPOTABLE_DEMAND_RESIDENTIAL_RECYCLED_WATER_GAL]:[NONPOTABLE_DEMAND_NONRESIDENTIAL_METERED_IRRIGATION_GAL]])</f>
        <v>0</v>
      </c>
      <c r="X4480" t="str">
        <f>IFERROR(INDEX(Crosswalk_API!$H$2:$H$527, MATCH(POTABLE_NONPOTABLE_API[[#This Row],[PWSID]], CW_PWSID_LIST, 0)), "")</f>
        <v>No</v>
      </c>
    </row>
    <row r="4481" spans="1:24" x14ac:dyDescent="0.25">
      <c r="A4481" t="s">
        <v>2065</v>
      </c>
      <c r="B4481" t="s">
        <v>2066</v>
      </c>
      <c r="C4481" t="s">
        <v>2067</v>
      </c>
      <c r="D4481" t="s">
        <v>2068</v>
      </c>
      <c r="E4481" s="9">
        <v>45200</v>
      </c>
      <c r="F4481" s="9">
        <v>45230</v>
      </c>
      <c r="G4481">
        <v>54615220</v>
      </c>
      <c r="H4481">
        <v>4691456</v>
      </c>
      <c r="I4481">
        <v>5677320</v>
      </c>
      <c r="J4481">
        <v>1532652</v>
      </c>
      <c r="K4481">
        <v>0</v>
      </c>
      <c r="L4481">
        <v>0</v>
      </c>
      <c r="M4481">
        <v>0</v>
      </c>
      <c r="T4481" s="9">
        <v>45108</v>
      </c>
      <c r="U4481" s="9">
        <v>45473</v>
      </c>
      <c r="V4481">
        <f>SUM(POTABLE_NONPOTABLE_API[[#This Row],[RESIDENTIAL_SINGLEFAMILY_GAL]:[OTHER_GAL]])</f>
        <v>66516648</v>
      </c>
      <c r="W4481">
        <f>SUM(POTABLE_NONPOTABLE_API[[#This Row],[NONPOTABLE_DEMAND_RESIDENTIAL_RECYCLED_WATER_GAL]:[NONPOTABLE_DEMAND_NONRESIDENTIAL_METERED_IRRIGATION_GAL]])</f>
        <v>0</v>
      </c>
      <c r="X4481" t="str">
        <f>IFERROR(INDEX(Crosswalk_API!$H$2:$H$527, MATCH(POTABLE_NONPOTABLE_API[[#This Row],[PWSID]], CW_PWSID_LIST, 0)), "")</f>
        <v>No</v>
      </c>
    </row>
    <row r="4482" spans="1:24" x14ac:dyDescent="0.25">
      <c r="A4482" t="s">
        <v>2065</v>
      </c>
      <c r="B4482" t="s">
        <v>2066</v>
      </c>
      <c r="C4482" t="s">
        <v>2067</v>
      </c>
      <c r="D4482" t="s">
        <v>2068</v>
      </c>
      <c r="E4482" s="9">
        <v>45231</v>
      </c>
      <c r="F4482" s="9">
        <v>45260</v>
      </c>
      <c r="G4482">
        <v>41815444</v>
      </c>
      <c r="H4482">
        <v>4013768</v>
      </c>
      <c r="I4482">
        <v>4050420</v>
      </c>
      <c r="J4482">
        <v>1071136</v>
      </c>
      <c r="K4482">
        <v>0</v>
      </c>
      <c r="L4482">
        <v>0</v>
      </c>
      <c r="M4482">
        <v>0</v>
      </c>
      <c r="T4482" s="9">
        <v>45108</v>
      </c>
      <c r="U4482" s="9">
        <v>45473</v>
      </c>
      <c r="V4482">
        <f>SUM(POTABLE_NONPOTABLE_API[[#This Row],[RESIDENTIAL_SINGLEFAMILY_GAL]:[OTHER_GAL]])</f>
        <v>50950768</v>
      </c>
      <c r="W4482">
        <f>SUM(POTABLE_NONPOTABLE_API[[#This Row],[NONPOTABLE_DEMAND_RESIDENTIAL_RECYCLED_WATER_GAL]:[NONPOTABLE_DEMAND_NONRESIDENTIAL_METERED_IRRIGATION_GAL]])</f>
        <v>0</v>
      </c>
      <c r="X4482" t="str">
        <f>IFERROR(INDEX(Crosswalk_API!$H$2:$H$527, MATCH(POTABLE_NONPOTABLE_API[[#This Row],[PWSID]], CW_PWSID_LIST, 0)), "")</f>
        <v>No</v>
      </c>
    </row>
    <row r="4483" spans="1:24" x14ac:dyDescent="0.25">
      <c r="A4483" t="s">
        <v>2065</v>
      </c>
      <c r="B4483" t="s">
        <v>2066</v>
      </c>
      <c r="C4483" t="s">
        <v>2067</v>
      </c>
      <c r="D4483" t="s">
        <v>2068</v>
      </c>
      <c r="E4483" s="9">
        <v>45261</v>
      </c>
      <c r="F4483" s="9">
        <v>45291</v>
      </c>
      <c r="G4483">
        <v>34126752</v>
      </c>
      <c r="H4483">
        <v>3724292</v>
      </c>
      <c r="I4483">
        <v>2735436</v>
      </c>
      <c r="J4483">
        <v>736032</v>
      </c>
      <c r="K4483">
        <v>0</v>
      </c>
      <c r="L4483">
        <v>0</v>
      </c>
      <c r="M4483">
        <v>0</v>
      </c>
      <c r="T4483" s="9">
        <v>45108</v>
      </c>
      <c r="U4483" s="9">
        <v>45473</v>
      </c>
      <c r="V4483">
        <f>SUM(POTABLE_NONPOTABLE_API[[#This Row],[RESIDENTIAL_SINGLEFAMILY_GAL]:[OTHER_GAL]])</f>
        <v>41322512</v>
      </c>
      <c r="W4483">
        <f>SUM(POTABLE_NONPOTABLE_API[[#This Row],[NONPOTABLE_DEMAND_RESIDENTIAL_RECYCLED_WATER_GAL]:[NONPOTABLE_DEMAND_NONRESIDENTIAL_METERED_IRRIGATION_GAL]])</f>
        <v>0</v>
      </c>
      <c r="X4483" t="str">
        <f>IFERROR(INDEX(Crosswalk_API!$H$2:$H$527, MATCH(POTABLE_NONPOTABLE_API[[#This Row],[PWSID]], CW_PWSID_LIST, 0)), "")</f>
        <v>No</v>
      </c>
    </row>
    <row r="4484" spans="1:24" x14ac:dyDescent="0.25">
      <c r="A4484" t="s">
        <v>2065</v>
      </c>
      <c r="B4484" t="s">
        <v>2066</v>
      </c>
      <c r="C4484" t="s">
        <v>2067</v>
      </c>
      <c r="D4484" t="s">
        <v>2068</v>
      </c>
      <c r="E4484" s="9">
        <v>45292</v>
      </c>
      <c r="F4484" s="9">
        <v>45322</v>
      </c>
      <c r="G4484">
        <v>33845504</v>
      </c>
      <c r="H4484">
        <v>4002548</v>
      </c>
      <c r="I4484">
        <v>2322540</v>
      </c>
      <c r="J4484">
        <v>229636</v>
      </c>
      <c r="K4484">
        <v>0</v>
      </c>
      <c r="L4484">
        <v>0</v>
      </c>
      <c r="M4484">
        <v>0</v>
      </c>
      <c r="T4484" s="9">
        <v>45108</v>
      </c>
      <c r="U4484" s="9">
        <v>45473</v>
      </c>
      <c r="V4484">
        <f>SUM(POTABLE_NONPOTABLE_API[[#This Row],[RESIDENTIAL_SINGLEFAMILY_GAL]:[OTHER_GAL]])</f>
        <v>40400228</v>
      </c>
      <c r="W4484">
        <f>SUM(POTABLE_NONPOTABLE_API[[#This Row],[NONPOTABLE_DEMAND_RESIDENTIAL_RECYCLED_WATER_GAL]:[NONPOTABLE_DEMAND_NONRESIDENTIAL_METERED_IRRIGATION_GAL]])</f>
        <v>0</v>
      </c>
      <c r="X4484" t="str">
        <f>IFERROR(INDEX(Crosswalk_API!$H$2:$H$527, MATCH(POTABLE_NONPOTABLE_API[[#This Row],[PWSID]], CW_PWSID_LIST, 0)), "")</f>
        <v>No</v>
      </c>
    </row>
    <row r="4485" spans="1:24" x14ac:dyDescent="0.25">
      <c r="A4485" t="s">
        <v>2065</v>
      </c>
      <c r="B4485" t="s">
        <v>2066</v>
      </c>
      <c r="C4485" t="s">
        <v>2067</v>
      </c>
      <c r="D4485" t="s">
        <v>2068</v>
      </c>
      <c r="E4485" s="9">
        <v>45323</v>
      </c>
      <c r="F4485" s="9">
        <v>45351</v>
      </c>
      <c r="G4485">
        <v>35127576</v>
      </c>
      <c r="H4485">
        <v>4166360</v>
      </c>
      <c r="I4485">
        <v>2274668</v>
      </c>
      <c r="J4485">
        <v>130152</v>
      </c>
      <c r="K4485">
        <v>0</v>
      </c>
      <c r="L4485">
        <v>0</v>
      </c>
      <c r="M4485">
        <v>0</v>
      </c>
      <c r="T4485" s="9">
        <v>45108</v>
      </c>
      <c r="U4485" s="9">
        <v>45473</v>
      </c>
      <c r="V4485">
        <f>SUM(POTABLE_NONPOTABLE_API[[#This Row],[RESIDENTIAL_SINGLEFAMILY_GAL]:[OTHER_GAL]])</f>
        <v>41698756</v>
      </c>
      <c r="W4485">
        <f>SUM(POTABLE_NONPOTABLE_API[[#This Row],[NONPOTABLE_DEMAND_RESIDENTIAL_RECYCLED_WATER_GAL]:[NONPOTABLE_DEMAND_NONRESIDENTIAL_METERED_IRRIGATION_GAL]])</f>
        <v>0</v>
      </c>
      <c r="X4485" t="str">
        <f>IFERROR(INDEX(Crosswalk_API!$H$2:$H$527, MATCH(POTABLE_NONPOTABLE_API[[#This Row],[PWSID]], CW_PWSID_LIST, 0)), "")</f>
        <v>No</v>
      </c>
    </row>
    <row r="4486" spans="1:24" x14ac:dyDescent="0.25">
      <c r="A4486" t="s">
        <v>2065</v>
      </c>
      <c r="B4486" t="s">
        <v>2066</v>
      </c>
      <c r="C4486" t="s">
        <v>2067</v>
      </c>
      <c r="D4486" t="s">
        <v>2068</v>
      </c>
      <c r="E4486" s="9">
        <v>45352</v>
      </c>
      <c r="F4486" s="9">
        <v>45382</v>
      </c>
      <c r="G4486">
        <v>31670320</v>
      </c>
      <c r="H4486">
        <v>3392180</v>
      </c>
      <c r="I4486">
        <v>2481864</v>
      </c>
      <c r="J4486">
        <v>199716</v>
      </c>
      <c r="K4486">
        <v>0</v>
      </c>
      <c r="L4486">
        <v>0</v>
      </c>
      <c r="M4486">
        <v>0</v>
      </c>
      <c r="T4486" s="9">
        <v>45108</v>
      </c>
      <c r="U4486" s="9">
        <v>45473</v>
      </c>
      <c r="V4486">
        <f>SUM(POTABLE_NONPOTABLE_API[[#This Row],[RESIDENTIAL_SINGLEFAMILY_GAL]:[OTHER_GAL]])</f>
        <v>37744080</v>
      </c>
      <c r="W4486">
        <f>SUM(POTABLE_NONPOTABLE_API[[#This Row],[NONPOTABLE_DEMAND_RESIDENTIAL_RECYCLED_WATER_GAL]:[NONPOTABLE_DEMAND_NONRESIDENTIAL_METERED_IRRIGATION_GAL]])</f>
        <v>0</v>
      </c>
      <c r="X4486" t="str">
        <f>IFERROR(INDEX(Crosswalk_API!$H$2:$H$527, MATCH(POTABLE_NONPOTABLE_API[[#This Row],[PWSID]], CW_PWSID_LIST, 0)), "")</f>
        <v>No</v>
      </c>
    </row>
    <row r="4487" spans="1:24" x14ac:dyDescent="0.25">
      <c r="A4487" t="s">
        <v>2065</v>
      </c>
      <c r="B4487" t="s">
        <v>2066</v>
      </c>
      <c r="C4487" t="s">
        <v>2067</v>
      </c>
      <c r="D4487" t="s">
        <v>2068</v>
      </c>
      <c r="E4487" s="9">
        <v>45383</v>
      </c>
      <c r="F4487" s="9">
        <v>45412</v>
      </c>
      <c r="G4487">
        <v>39166028</v>
      </c>
      <c r="H4487">
        <v>4127464</v>
      </c>
      <c r="I4487">
        <v>3595636</v>
      </c>
      <c r="J4487">
        <v>720324</v>
      </c>
      <c r="K4487">
        <v>0</v>
      </c>
      <c r="L4487">
        <v>0</v>
      </c>
      <c r="M4487">
        <v>0</v>
      </c>
      <c r="T4487" s="9">
        <v>45108</v>
      </c>
      <c r="U4487" s="9">
        <v>45473</v>
      </c>
      <c r="V4487">
        <f>SUM(POTABLE_NONPOTABLE_API[[#This Row],[RESIDENTIAL_SINGLEFAMILY_GAL]:[OTHER_GAL]])</f>
        <v>47609452</v>
      </c>
      <c r="W4487">
        <f>SUM(POTABLE_NONPOTABLE_API[[#This Row],[NONPOTABLE_DEMAND_RESIDENTIAL_RECYCLED_WATER_GAL]:[NONPOTABLE_DEMAND_NONRESIDENTIAL_METERED_IRRIGATION_GAL]])</f>
        <v>0</v>
      </c>
      <c r="X4487" t="str">
        <f>IFERROR(INDEX(Crosswalk_API!$H$2:$H$527, MATCH(POTABLE_NONPOTABLE_API[[#This Row],[PWSID]], CW_PWSID_LIST, 0)), "")</f>
        <v>No</v>
      </c>
    </row>
    <row r="4488" spans="1:24" x14ac:dyDescent="0.25">
      <c r="A4488" t="s">
        <v>2065</v>
      </c>
      <c r="B4488" t="s">
        <v>2066</v>
      </c>
      <c r="C4488" t="s">
        <v>2067</v>
      </c>
      <c r="D4488" t="s">
        <v>2068</v>
      </c>
      <c r="E4488" s="9">
        <v>45413</v>
      </c>
      <c r="F4488" s="9">
        <v>45443</v>
      </c>
      <c r="G4488">
        <v>47247420</v>
      </c>
      <c r="H4488">
        <v>4449852</v>
      </c>
      <c r="I4488">
        <v>5425992</v>
      </c>
      <c r="J4488">
        <v>967912</v>
      </c>
      <c r="K4488">
        <v>0</v>
      </c>
      <c r="L4488">
        <v>0</v>
      </c>
      <c r="M4488">
        <v>0</v>
      </c>
      <c r="T4488" s="9">
        <v>45108</v>
      </c>
      <c r="U4488" s="9">
        <v>45473</v>
      </c>
      <c r="V4488">
        <f>SUM(POTABLE_NONPOTABLE_API[[#This Row],[RESIDENTIAL_SINGLEFAMILY_GAL]:[OTHER_GAL]])</f>
        <v>58091176</v>
      </c>
      <c r="W4488">
        <f>SUM(POTABLE_NONPOTABLE_API[[#This Row],[NONPOTABLE_DEMAND_RESIDENTIAL_RECYCLED_WATER_GAL]:[NONPOTABLE_DEMAND_NONRESIDENTIAL_METERED_IRRIGATION_GAL]])</f>
        <v>0</v>
      </c>
      <c r="X4488" t="str">
        <f>IFERROR(INDEX(Crosswalk_API!$H$2:$H$527, MATCH(POTABLE_NONPOTABLE_API[[#This Row],[PWSID]], CW_PWSID_LIST, 0)), "")</f>
        <v>No</v>
      </c>
    </row>
    <row r="4489" spans="1:24" x14ac:dyDescent="0.25">
      <c r="A4489" t="s">
        <v>2065</v>
      </c>
      <c r="B4489" t="s">
        <v>2066</v>
      </c>
      <c r="C4489" t="s">
        <v>2067</v>
      </c>
      <c r="D4489" t="s">
        <v>2068</v>
      </c>
      <c r="E4489" s="9">
        <v>45444</v>
      </c>
      <c r="F4489" s="9">
        <v>45473</v>
      </c>
      <c r="G4489">
        <v>54280864</v>
      </c>
      <c r="H4489">
        <v>3998808</v>
      </c>
      <c r="I4489">
        <v>5330248</v>
      </c>
      <c r="J4489">
        <v>1401752</v>
      </c>
      <c r="K4489">
        <v>0</v>
      </c>
      <c r="L4489">
        <v>0</v>
      </c>
      <c r="M4489">
        <v>0</v>
      </c>
      <c r="T4489" s="9">
        <v>45108</v>
      </c>
      <c r="U4489" s="9">
        <v>45473</v>
      </c>
      <c r="V4489">
        <f>SUM(POTABLE_NONPOTABLE_API[[#This Row],[RESIDENTIAL_SINGLEFAMILY_GAL]:[OTHER_GAL]])</f>
        <v>65011672</v>
      </c>
      <c r="W4489">
        <f>SUM(POTABLE_NONPOTABLE_API[[#This Row],[NONPOTABLE_DEMAND_RESIDENTIAL_RECYCLED_WATER_GAL]:[NONPOTABLE_DEMAND_NONRESIDENTIAL_METERED_IRRIGATION_GAL]])</f>
        <v>0</v>
      </c>
      <c r="X4489" t="str">
        <f>IFERROR(INDEX(Crosswalk_API!$H$2:$H$527, MATCH(POTABLE_NONPOTABLE_API[[#This Row],[PWSID]], CW_PWSID_LIST, 0)), "")</f>
        <v>No</v>
      </c>
    </row>
    <row r="4490" spans="1:24" x14ac:dyDescent="0.25">
      <c r="A4490" t="s">
        <v>2069</v>
      </c>
      <c r="B4490" t="s">
        <v>2070</v>
      </c>
      <c r="C4490" t="s">
        <v>2071</v>
      </c>
      <c r="D4490" t="s">
        <v>2072</v>
      </c>
      <c r="E4490" s="9">
        <v>45108</v>
      </c>
      <c r="F4490" s="9">
        <v>45138</v>
      </c>
      <c r="G4490">
        <v>669306683</v>
      </c>
      <c r="H4490">
        <v>40717361</v>
      </c>
      <c r="I4490">
        <v>85811723</v>
      </c>
      <c r="J4490">
        <v>292223316</v>
      </c>
      <c r="K4490">
        <v>14151693</v>
      </c>
      <c r="L4490">
        <v>0</v>
      </c>
      <c r="M4490">
        <v>0</v>
      </c>
      <c r="N4490">
        <v>0</v>
      </c>
      <c r="O4490">
        <v>0</v>
      </c>
      <c r="P4490">
        <v>0</v>
      </c>
      <c r="Q4490">
        <v>208404524.09999999</v>
      </c>
      <c r="R4490">
        <v>0</v>
      </c>
      <c r="S4490">
        <v>0</v>
      </c>
      <c r="T4490" s="9">
        <v>45108</v>
      </c>
      <c r="U4490" s="9">
        <v>45473</v>
      </c>
      <c r="V4490">
        <f>SUM(POTABLE_NONPOTABLE_API[[#This Row],[RESIDENTIAL_SINGLEFAMILY_GAL]:[OTHER_GAL]])</f>
        <v>1102210776</v>
      </c>
      <c r="W4490">
        <f>SUM(POTABLE_NONPOTABLE_API[[#This Row],[NONPOTABLE_DEMAND_RESIDENTIAL_RECYCLED_WATER_GAL]:[NONPOTABLE_DEMAND_NONRESIDENTIAL_METERED_IRRIGATION_GAL]])</f>
        <v>208404524.09999999</v>
      </c>
      <c r="X4490" t="str">
        <f>IFERROR(INDEX(Crosswalk_API!$H$2:$H$527, MATCH(POTABLE_NONPOTABLE_API[[#This Row],[PWSID]], CW_PWSID_LIST, 0)), "")</f>
        <v>No</v>
      </c>
    </row>
    <row r="4491" spans="1:24" x14ac:dyDescent="0.25">
      <c r="A4491" t="s">
        <v>2069</v>
      </c>
      <c r="B4491" t="s">
        <v>2070</v>
      </c>
      <c r="C4491" t="s">
        <v>2071</v>
      </c>
      <c r="D4491" t="s">
        <v>2072</v>
      </c>
      <c r="E4491" s="9">
        <v>45139</v>
      </c>
      <c r="F4491" s="9">
        <v>45169</v>
      </c>
      <c r="G4491">
        <v>691438916</v>
      </c>
      <c r="H4491">
        <v>41135514</v>
      </c>
      <c r="I4491">
        <v>89801234</v>
      </c>
      <c r="J4491">
        <v>314848598</v>
      </c>
      <c r="K4491">
        <v>14006825</v>
      </c>
      <c r="L4491">
        <v>0</v>
      </c>
      <c r="M4491">
        <v>0</v>
      </c>
      <c r="N4491">
        <v>0</v>
      </c>
      <c r="O4491">
        <v>0</v>
      </c>
      <c r="P4491">
        <v>0</v>
      </c>
      <c r="Q4491">
        <v>210180412</v>
      </c>
      <c r="R4491">
        <v>0</v>
      </c>
      <c r="S4491">
        <v>0</v>
      </c>
      <c r="T4491" s="9">
        <v>45108</v>
      </c>
      <c r="U4491" s="9">
        <v>45473</v>
      </c>
      <c r="V4491">
        <f>SUM(POTABLE_NONPOTABLE_API[[#This Row],[RESIDENTIAL_SINGLEFAMILY_GAL]:[OTHER_GAL]])</f>
        <v>1151231087</v>
      </c>
      <c r="W4491">
        <f>SUM(POTABLE_NONPOTABLE_API[[#This Row],[NONPOTABLE_DEMAND_RESIDENTIAL_RECYCLED_WATER_GAL]:[NONPOTABLE_DEMAND_NONRESIDENTIAL_METERED_IRRIGATION_GAL]])</f>
        <v>210180412</v>
      </c>
      <c r="X4491" t="str">
        <f>IFERROR(INDEX(Crosswalk_API!$H$2:$H$527, MATCH(POTABLE_NONPOTABLE_API[[#This Row],[PWSID]], CW_PWSID_LIST, 0)), "")</f>
        <v>No</v>
      </c>
    </row>
    <row r="4492" spans="1:24" x14ac:dyDescent="0.25">
      <c r="A4492" t="s">
        <v>2069</v>
      </c>
      <c r="B4492" t="s">
        <v>2070</v>
      </c>
      <c r="C4492" t="s">
        <v>2071</v>
      </c>
      <c r="D4492" t="s">
        <v>2072</v>
      </c>
      <c r="E4492" s="9">
        <v>45170</v>
      </c>
      <c r="F4492" s="9">
        <v>45199</v>
      </c>
      <c r="G4492">
        <v>638417439</v>
      </c>
      <c r="H4492">
        <v>41537936</v>
      </c>
      <c r="I4492">
        <v>87347107</v>
      </c>
      <c r="J4492">
        <v>307866902</v>
      </c>
      <c r="K4492">
        <v>21452957</v>
      </c>
      <c r="L4492">
        <v>0</v>
      </c>
      <c r="M4492">
        <v>0</v>
      </c>
      <c r="N4492">
        <v>0</v>
      </c>
      <c r="O4492">
        <v>0</v>
      </c>
      <c r="P4492">
        <v>0</v>
      </c>
      <c r="Q4492">
        <v>181345857</v>
      </c>
      <c r="R4492">
        <v>0</v>
      </c>
      <c r="S4492">
        <v>0</v>
      </c>
      <c r="T4492" s="9">
        <v>45108</v>
      </c>
      <c r="U4492" s="9">
        <v>45473</v>
      </c>
      <c r="V4492">
        <f>SUM(POTABLE_NONPOTABLE_API[[#This Row],[RESIDENTIAL_SINGLEFAMILY_GAL]:[OTHER_GAL]])</f>
        <v>1096622341</v>
      </c>
      <c r="W4492">
        <f>SUM(POTABLE_NONPOTABLE_API[[#This Row],[NONPOTABLE_DEMAND_RESIDENTIAL_RECYCLED_WATER_GAL]:[NONPOTABLE_DEMAND_NONRESIDENTIAL_METERED_IRRIGATION_GAL]])</f>
        <v>181345857</v>
      </c>
      <c r="X4492" t="str">
        <f>IFERROR(INDEX(Crosswalk_API!$H$2:$H$527, MATCH(POTABLE_NONPOTABLE_API[[#This Row],[PWSID]], CW_PWSID_LIST, 0)), "")</f>
        <v>No</v>
      </c>
    </row>
    <row r="4493" spans="1:24" x14ac:dyDescent="0.25">
      <c r="A4493" t="s">
        <v>2069</v>
      </c>
      <c r="B4493" t="s">
        <v>2070</v>
      </c>
      <c r="C4493" t="s">
        <v>2071</v>
      </c>
      <c r="D4493" t="s">
        <v>2072</v>
      </c>
      <c r="E4493" s="9">
        <v>45200</v>
      </c>
      <c r="F4493" s="9">
        <v>45230</v>
      </c>
      <c r="G4493">
        <v>518551315</v>
      </c>
      <c r="H4493">
        <v>38041960</v>
      </c>
      <c r="I4493">
        <v>79557313</v>
      </c>
      <c r="J4493">
        <v>216231168</v>
      </c>
      <c r="K4493">
        <v>12334906</v>
      </c>
      <c r="L4493">
        <v>0</v>
      </c>
      <c r="M4493">
        <v>0</v>
      </c>
      <c r="N4493">
        <v>0</v>
      </c>
      <c r="O4493">
        <v>0</v>
      </c>
      <c r="P4493">
        <v>0</v>
      </c>
      <c r="Q4493">
        <v>97742266</v>
      </c>
      <c r="R4493">
        <v>0</v>
      </c>
      <c r="S4493">
        <v>0</v>
      </c>
      <c r="T4493" s="9">
        <v>45108</v>
      </c>
      <c r="U4493" s="9">
        <v>45473</v>
      </c>
      <c r="V4493">
        <f>SUM(POTABLE_NONPOTABLE_API[[#This Row],[RESIDENTIAL_SINGLEFAMILY_GAL]:[OTHER_GAL]])</f>
        <v>864716662</v>
      </c>
      <c r="W4493">
        <f>SUM(POTABLE_NONPOTABLE_API[[#This Row],[NONPOTABLE_DEMAND_RESIDENTIAL_RECYCLED_WATER_GAL]:[NONPOTABLE_DEMAND_NONRESIDENTIAL_METERED_IRRIGATION_GAL]])</f>
        <v>97742266</v>
      </c>
      <c r="X4493" t="str">
        <f>IFERROR(INDEX(Crosswalk_API!$H$2:$H$527, MATCH(POTABLE_NONPOTABLE_API[[#This Row],[PWSID]], CW_PWSID_LIST, 0)), "")</f>
        <v>No</v>
      </c>
    </row>
    <row r="4494" spans="1:24" x14ac:dyDescent="0.25">
      <c r="A4494" t="s">
        <v>2069</v>
      </c>
      <c r="B4494" t="s">
        <v>2070</v>
      </c>
      <c r="C4494" t="s">
        <v>2071</v>
      </c>
      <c r="D4494" t="s">
        <v>2072</v>
      </c>
      <c r="E4494" s="9">
        <v>45231</v>
      </c>
      <c r="F4494" s="9">
        <v>45260</v>
      </c>
      <c r="G4494">
        <v>372260515</v>
      </c>
      <c r="H4494">
        <v>37174661</v>
      </c>
      <c r="I4494">
        <v>69418665</v>
      </c>
      <c r="J4494">
        <v>106732063</v>
      </c>
      <c r="K4494">
        <v>10375945</v>
      </c>
      <c r="L4494">
        <v>0</v>
      </c>
      <c r="M4494">
        <v>0</v>
      </c>
      <c r="N4494">
        <v>0</v>
      </c>
      <c r="O4494">
        <v>0</v>
      </c>
      <c r="P4494">
        <v>0</v>
      </c>
      <c r="Q4494">
        <v>19821516.329999998</v>
      </c>
      <c r="R4494">
        <v>0</v>
      </c>
      <c r="S4494">
        <v>0</v>
      </c>
      <c r="T4494" s="9">
        <v>45108</v>
      </c>
      <c r="U4494" s="9">
        <v>45473</v>
      </c>
      <c r="V4494">
        <f>SUM(POTABLE_NONPOTABLE_API[[#This Row],[RESIDENTIAL_SINGLEFAMILY_GAL]:[OTHER_GAL]])</f>
        <v>595961849</v>
      </c>
      <c r="W4494">
        <f>SUM(POTABLE_NONPOTABLE_API[[#This Row],[NONPOTABLE_DEMAND_RESIDENTIAL_RECYCLED_WATER_GAL]:[NONPOTABLE_DEMAND_NONRESIDENTIAL_METERED_IRRIGATION_GAL]])</f>
        <v>19821516.329999998</v>
      </c>
      <c r="X4494" t="str">
        <f>IFERROR(INDEX(Crosswalk_API!$H$2:$H$527, MATCH(POTABLE_NONPOTABLE_API[[#This Row],[PWSID]], CW_PWSID_LIST, 0)), "")</f>
        <v>No</v>
      </c>
    </row>
    <row r="4495" spans="1:24" x14ac:dyDescent="0.25">
      <c r="A4495" t="s">
        <v>2069</v>
      </c>
      <c r="B4495" t="s">
        <v>2070</v>
      </c>
      <c r="C4495" t="s">
        <v>2071</v>
      </c>
      <c r="D4495" t="s">
        <v>2072</v>
      </c>
      <c r="E4495" s="9">
        <v>45261</v>
      </c>
      <c r="F4495" s="9">
        <v>45291</v>
      </c>
      <c r="G4495">
        <v>280809408</v>
      </c>
      <c r="H4495">
        <v>35278581</v>
      </c>
      <c r="I4495">
        <v>64766858</v>
      </c>
      <c r="J4495">
        <v>45799842</v>
      </c>
      <c r="K4495">
        <v>9864075</v>
      </c>
      <c r="L4495">
        <v>0</v>
      </c>
      <c r="M4495">
        <v>0</v>
      </c>
      <c r="N4495">
        <v>0</v>
      </c>
      <c r="O4495">
        <v>0</v>
      </c>
      <c r="P4495">
        <v>0</v>
      </c>
      <c r="Q4495">
        <v>9290012.0099999998</v>
      </c>
      <c r="R4495">
        <v>0</v>
      </c>
      <c r="S4495">
        <v>0</v>
      </c>
      <c r="T4495" s="9">
        <v>45108</v>
      </c>
      <c r="U4495" s="9">
        <v>45473</v>
      </c>
      <c r="V4495">
        <f>SUM(POTABLE_NONPOTABLE_API[[#This Row],[RESIDENTIAL_SINGLEFAMILY_GAL]:[OTHER_GAL]])</f>
        <v>436518764</v>
      </c>
      <c r="W4495">
        <f>SUM(POTABLE_NONPOTABLE_API[[#This Row],[NONPOTABLE_DEMAND_RESIDENTIAL_RECYCLED_WATER_GAL]:[NONPOTABLE_DEMAND_NONRESIDENTIAL_METERED_IRRIGATION_GAL]])</f>
        <v>9290012.0099999998</v>
      </c>
      <c r="X4495" t="str">
        <f>IFERROR(INDEX(Crosswalk_API!$H$2:$H$527, MATCH(POTABLE_NONPOTABLE_API[[#This Row],[PWSID]], CW_PWSID_LIST, 0)), "")</f>
        <v>No</v>
      </c>
    </row>
    <row r="4496" spans="1:24" x14ac:dyDescent="0.25">
      <c r="A4496" t="s">
        <v>2069</v>
      </c>
      <c r="B4496" t="s">
        <v>2070</v>
      </c>
      <c r="C4496" t="s">
        <v>2071</v>
      </c>
      <c r="D4496" t="s">
        <v>2072</v>
      </c>
      <c r="E4496" s="9">
        <v>45292</v>
      </c>
      <c r="F4496" s="9">
        <v>45322</v>
      </c>
      <c r="G4496">
        <v>250804660</v>
      </c>
      <c r="H4496">
        <v>36350375</v>
      </c>
      <c r="I4496">
        <v>63463856</v>
      </c>
      <c r="J4496">
        <v>22457117</v>
      </c>
      <c r="K4496">
        <v>10502067</v>
      </c>
      <c r="L4496">
        <v>0</v>
      </c>
      <c r="M4496">
        <v>0</v>
      </c>
      <c r="N4496">
        <v>0</v>
      </c>
      <c r="O4496">
        <v>0</v>
      </c>
      <c r="P4496">
        <v>0</v>
      </c>
      <c r="Q4496">
        <v>19502182.350000001</v>
      </c>
      <c r="R4496">
        <v>0</v>
      </c>
      <c r="S4496">
        <v>0</v>
      </c>
      <c r="T4496" s="9">
        <v>45108</v>
      </c>
      <c r="U4496" s="9">
        <v>45473</v>
      </c>
      <c r="V4496">
        <f>SUM(POTABLE_NONPOTABLE_API[[#This Row],[RESIDENTIAL_SINGLEFAMILY_GAL]:[OTHER_GAL]])</f>
        <v>383578075</v>
      </c>
      <c r="W4496">
        <f>SUM(POTABLE_NONPOTABLE_API[[#This Row],[NONPOTABLE_DEMAND_RESIDENTIAL_RECYCLED_WATER_GAL]:[NONPOTABLE_DEMAND_NONRESIDENTIAL_METERED_IRRIGATION_GAL]])</f>
        <v>19502182.350000001</v>
      </c>
      <c r="X4496" t="str">
        <f>IFERROR(INDEX(Crosswalk_API!$H$2:$H$527, MATCH(POTABLE_NONPOTABLE_API[[#This Row],[PWSID]], CW_PWSID_LIST, 0)), "")</f>
        <v>No</v>
      </c>
    </row>
    <row r="4497" spans="1:24" x14ac:dyDescent="0.25">
      <c r="A4497" t="s">
        <v>2069</v>
      </c>
      <c r="B4497" t="s">
        <v>2070</v>
      </c>
      <c r="C4497" t="s">
        <v>2071</v>
      </c>
      <c r="D4497" t="s">
        <v>2072</v>
      </c>
      <c r="E4497" s="9">
        <v>45323</v>
      </c>
      <c r="F4497" s="9">
        <v>45351</v>
      </c>
      <c r="G4497">
        <v>226406705</v>
      </c>
      <c r="H4497">
        <v>35411772</v>
      </c>
      <c r="I4497">
        <v>65472473</v>
      </c>
      <c r="J4497">
        <v>16196500</v>
      </c>
      <c r="K4497">
        <v>8288656</v>
      </c>
      <c r="L4497">
        <v>0</v>
      </c>
      <c r="M4497">
        <v>0</v>
      </c>
      <c r="N4497">
        <v>0</v>
      </c>
      <c r="O4497">
        <v>0</v>
      </c>
      <c r="P4497">
        <v>0</v>
      </c>
      <c r="Q4497">
        <v>7035123.0899999999</v>
      </c>
      <c r="R4497">
        <v>0</v>
      </c>
      <c r="S4497">
        <v>0</v>
      </c>
      <c r="T4497" s="9">
        <v>45108</v>
      </c>
      <c r="U4497" s="9">
        <v>45473</v>
      </c>
      <c r="V4497">
        <f>SUM(POTABLE_NONPOTABLE_API[[#This Row],[RESIDENTIAL_SINGLEFAMILY_GAL]:[OTHER_GAL]])</f>
        <v>351776106</v>
      </c>
      <c r="W4497">
        <f>SUM(POTABLE_NONPOTABLE_API[[#This Row],[NONPOTABLE_DEMAND_RESIDENTIAL_RECYCLED_WATER_GAL]:[NONPOTABLE_DEMAND_NONRESIDENTIAL_METERED_IRRIGATION_GAL]])</f>
        <v>7035123.0899999999</v>
      </c>
      <c r="X4497" t="str">
        <f>IFERROR(INDEX(Crosswalk_API!$H$2:$H$527, MATCH(POTABLE_NONPOTABLE_API[[#This Row],[PWSID]], CW_PWSID_LIST, 0)), "")</f>
        <v>No</v>
      </c>
    </row>
    <row r="4498" spans="1:24" x14ac:dyDescent="0.25">
      <c r="A4498" t="s">
        <v>2069</v>
      </c>
      <c r="B4498" t="s">
        <v>2070</v>
      </c>
      <c r="C4498" t="s">
        <v>2071</v>
      </c>
      <c r="D4498" t="s">
        <v>2072</v>
      </c>
      <c r="E4498" s="9">
        <v>45352</v>
      </c>
      <c r="F4498" s="9">
        <v>45382</v>
      </c>
      <c r="G4498">
        <v>239902895</v>
      </c>
      <c r="H4498">
        <v>34467438</v>
      </c>
      <c r="I4498">
        <v>66136968</v>
      </c>
      <c r="J4498">
        <v>18238693</v>
      </c>
      <c r="K4498">
        <v>9675147</v>
      </c>
      <c r="L4498">
        <v>0</v>
      </c>
      <c r="M4498">
        <v>0</v>
      </c>
      <c r="N4498">
        <v>0</v>
      </c>
      <c r="O4498">
        <v>0</v>
      </c>
      <c r="P4498">
        <v>0</v>
      </c>
      <c r="Q4498">
        <v>7954022.9100000001</v>
      </c>
      <c r="R4498">
        <v>0</v>
      </c>
      <c r="S4498">
        <v>0</v>
      </c>
      <c r="T4498" s="9">
        <v>45108</v>
      </c>
      <c r="U4498" s="9">
        <v>45473</v>
      </c>
      <c r="V4498">
        <f>SUM(POTABLE_NONPOTABLE_API[[#This Row],[RESIDENTIAL_SINGLEFAMILY_GAL]:[OTHER_GAL]])</f>
        <v>368421141</v>
      </c>
      <c r="W4498">
        <f>SUM(POTABLE_NONPOTABLE_API[[#This Row],[NONPOTABLE_DEMAND_RESIDENTIAL_RECYCLED_WATER_GAL]:[NONPOTABLE_DEMAND_NONRESIDENTIAL_METERED_IRRIGATION_GAL]])</f>
        <v>7954022.9100000001</v>
      </c>
      <c r="X4498" t="str">
        <f>IFERROR(INDEX(Crosswalk_API!$H$2:$H$527, MATCH(POTABLE_NONPOTABLE_API[[#This Row],[PWSID]], CW_PWSID_LIST, 0)), "")</f>
        <v>No</v>
      </c>
    </row>
    <row r="4499" spans="1:24" x14ac:dyDescent="0.25">
      <c r="A4499" t="s">
        <v>2069</v>
      </c>
      <c r="B4499" t="s">
        <v>2070</v>
      </c>
      <c r="C4499" t="s">
        <v>2071</v>
      </c>
      <c r="D4499" t="s">
        <v>2072</v>
      </c>
      <c r="E4499" s="9">
        <v>45383</v>
      </c>
      <c r="F4499" s="9">
        <v>45412</v>
      </c>
      <c r="G4499">
        <v>299324091</v>
      </c>
      <c r="H4499">
        <v>34381098</v>
      </c>
      <c r="I4499">
        <v>65085439</v>
      </c>
      <c r="J4499">
        <v>48454527</v>
      </c>
      <c r="K4499">
        <v>8948445</v>
      </c>
      <c r="L4499">
        <v>0</v>
      </c>
      <c r="M4499">
        <v>0</v>
      </c>
      <c r="N4499">
        <v>0</v>
      </c>
      <c r="O4499">
        <v>0</v>
      </c>
      <c r="P4499">
        <v>0</v>
      </c>
      <c r="Q4499">
        <v>48186845.799999997</v>
      </c>
      <c r="R4499">
        <v>0</v>
      </c>
      <c r="S4499">
        <v>0</v>
      </c>
      <c r="T4499" s="9">
        <v>45108</v>
      </c>
      <c r="U4499" s="9">
        <v>45473</v>
      </c>
      <c r="V4499">
        <f>SUM(POTABLE_NONPOTABLE_API[[#This Row],[RESIDENTIAL_SINGLEFAMILY_GAL]:[OTHER_GAL]])</f>
        <v>456193600</v>
      </c>
      <c r="W4499">
        <f>SUM(POTABLE_NONPOTABLE_API[[#This Row],[NONPOTABLE_DEMAND_RESIDENTIAL_RECYCLED_WATER_GAL]:[NONPOTABLE_DEMAND_NONRESIDENTIAL_METERED_IRRIGATION_GAL]])</f>
        <v>48186845.799999997</v>
      </c>
      <c r="X4499" t="str">
        <f>IFERROR(INDEX(Crosswalk_API!$H$2:$H$527, MATCH(POTABLE_NONPOTABLE_API[[#This Row],[PWSID]], CW_PWSID_LIST, 0)), "")</f>
        <v>No</v>
      </c>
    </row>
    <row r="4500" spans="1:24" x14ac:dyDescent="0.25">
      <c r="A4500" t="s">
        <v>2069</v>
      </c>
      <c r="B4500" t="s">
        <v>2070</v>
      </c>
      <c r="C4500" t="s">
        <v>2071</v>
      </c>
      <c r="D4500" t="s">
        <v>2072</v>
      </c>
      <c r="E4500" s="9">
        <v>45413</v>
      </c>
      <c r="F4500" s="9">
        <v>45443</v>
      </c>
      <c r="G4500">
        <v>423965106</v>
      </c>
      <c r="H4500">
        <v>34856283</v>
      </c>
      <c r="I4500">
        <v>68925990</v>
      </c>
      <c r="J4500">
        <v>117885448</v>
      </c>
      <c r="K4500">
        <v>8454626</v>
      </c>
      <c r="L4500">
        <v>0</v>
      </c>
      <c r="M4500">
        <v>0</v>
      </c>
      <c r="N4500">
        <v>0</v>
      </c>
      <c r="O4500">
        <v>0</v>
      </c>
      <c r="P4500">
        <v>0</v>
      </c>
      <c r="Q4500">
        <v>121011285.90000001</v>
      </c>
      <c r="R4500">
        <v>0</v>
      </c>
      <c r="S4500">
        <v>0</v>
      </c>
      <c r="T4500" s="9">
        <v>45108</v>
      </c>
      <c r="U4500" s="9">
        <v>45473</v>
      </c>
      <c r="V4500">
        <f>SUM(POTABLE_NONPOTABLE_API[[#This Row],[RESIDENTIAL_SINGLEFAMILY_GAL]:[OTHER_GAL]])</f>
        <v>654087453</v>
      </c>
      <c r="W4500">
        <f>SUM(POTABLE_NONPOTABLE_API[[#This Row],[NONPOTABLE_DEMAND_RESIDENTIAL_RECYCLED_WATER_GAL]:[NONPOTABLE_DEMAND_NONRESIDENTIAL_METERED_IRRIGATION_GAL]])</f>
        <v>121011285.90000001</v>
      </c>
      <c r="X4500" t="str">
        <f>IFERROR(INDEX(Crosswalk_API!$H$2:$H$527, MATCH(POTABLE_NONPOTABLE_API[[#This Row],[PWSID]], CW_PWSID_LIST, 0)), "")</f>
        <v>No</v>
      </c>
    </row>
    <row r="4501" spans="1:24" x14ac:dyDescent="0.25">
      <c r="A4501" t="s">
        <v>2069</v>
      </c>
      <c r="B4501" t="s">
        <v>2070</v>
      </c>
      <c r="C4501" t="s">
        <v>2071</v>
      </c>
      <c r="D4501" t="s">
        <v>2072</v>
      </c>
      <c r="E4501" s="9">
        <v>45444</v>
      </c>
      <c r="F4501" s="9">
        <v>45473</v>
      </c>
      <c r="G4501">
        <v>618332048</v>
      </c>
      <c r="H4501">
        <v>38617691</v>
      </c>
      <c r="I4501">
        <v>81936395</v>
      </c>
      <c r="J4501">
        <v>235027083</v>
      </c>
      <c r="K4501">
        <v>8138963</v>
      </c>
      <c r="L4501">
        <v>0</v>
      </c>
      <c r="M4501">
        <v>0</v>
      </c>
      <c r="N4501">
        <v>0</v>
      </c>
      <c r="O4501">
        <v>0</v>
      </c>
      <c r="P4501">
        <v>0</v>
      </c>
      <c r="Q4501">
        <v>196726024.19999999</v>
      </c>
      <c r="R4501">
        <v>0</v>
      </c>
      <c r="S4501">
        <v>0</v>
      </c>
      <c r="T4501" s="9">
        <v>45108</v>
      </c>
      <c r="U4501" s="9">
        <v>45473</v>
      </c>
      <c r="V4501">
        <f>SUM(POTABLE_NONPOTABLE_API[[#This Row],[RESIDENTIAL_SINGLEFAMILY_GAL]:[OTHER_GAL]])</f>
        <v>982052180</v>
      </c>
      <c r="W4501">
        <f>SUM(POTABLE_NONPOTABLE_API[[#This Row],[NONPOTABLE_DEMAND_RESIDENTIAL_RECYCLED_WATER_GAL]:[NONPOTABLE_DEMAND_NONRESIDENTIAL_METERED_IRRIGATION_GAL]])</f>
        <v>196726024.19999999</v>
      </c>
      <c r="X4501" t="str">
        <f>IFERROR(INDEX(Crosswalk_API!$H$2:$H$527, MATCH(POTABLE_NONPOTABLE_API[[#This Row],[PWSID]], CW_PWSID_LIST, 0)), "")</f>
        <v>No</v>
      </c>
    </row>
    <row r="4502" spans="1:24" x14ac:dyDescent="0.25">
      <c r="A4502" t="s">
        <v>2073</v>
      </c>
      <c r="B4502" t="s">
        <v>2074</v>
      </c>
      <c r="C4502" t="s">
        <v>2075</v>
      </c>
      <c r="D4502" t="s">
        <v>2076</v>
      </c>
      <c r="E4502" s="9">
        <v>45108</v>
      </c>
      <c r="F4502" s="9">
        <v>45138</v>
      </c>
      <c r="G4502">
        <v>119348704.392</v>
      </c>
      <c r="H4502">
        <v>34897373.851999998</v>
      </c>
      <c r="I4502">
        <v>106254802.184</v>
      </c>
      <c r="J4502">
        <v>8435782.404000001</v>
      </c>
      <c r="K4502">
        <v>0</v>
      </c>
      <c r="L4502">
        <v>210950.66400000002</v>
      </c>
      <c r="M4502">
        <v>0</v>
      </c>
      <c r="N4502">
        <v>0</v>
      </c>
      <c r="O4502">
        <v>0</v>
      </c>
      <c r="P4502">
        <v>3017641.7680000002</v>
      </c>
      <c r="Q4502">
        <v>0</v>
      </c>
      <c r="R4502">
        <v>0</v>
      </c>
      <c r="S4502">
        <v>50301260.636</v>
      </c>
      <c r="T4502" s="9">
        <v>45108</v>
      </c>
      <c r="U4502" s="9">
        <v>45473</v>
      </c>
      <c r="V4502">
        <f>SUM(POTABLE_NONPOTABLE_API[[#This Row],[RESIDENTIAL_SINGLEFAMILY_GAL]:[OTHER_GAL]])</f>
        <v>269147613.49599999</v>
      </c>
      <c r="W4502">
        <f>SUM(POTABLE_NONPOTABLE_API[[#This Row],[NONPOTABLE_DEMAND_RESIDENTIAL_RECYCLED_WATER_GAL]:[NONPOTABLE_DEMAND_NONRESIDENTIAL_METERED_IRRIGATION_GAL]])</f>
        <v>53318902.403999999</v>
      </c>
      <c r="X4502" t="str">
        <f>IFERROR(INDEX(Crosswalk_API!$H$2:$H$527, MATCH(POTABLE_NONPOTABLE_API[[#This Row],[PWSID]], CW_PWSID_LIST, 0)), "")</f>
        <v>No</v>
      </c>
    </row>
    <row r="4503" spans="1:24" x14ac:dyDescent="0.25">
      <c r="A4503" t="s">
        <v>2073</v>
      </c>
      <c r="B4503" t="s">
        <v>2074</v>
      </c>
      <c r="C4503" t="s">
        <v>2075</v>
      </c>
      <c r="D4503" t="s">
        <v>2076</v>
      </c>
      <c r="E4503" s="9">
        <v>45139</v>
      </c>
      <c r="F4503" s="9">
        <v>45169</v>
      </c>
      <c r="G4503">
        <v>109600090.728</v>
      </c>
      <c r="H4503">
        <v>35830942.748000003</v>
      </c>
      <c r="I4503">
        <v>112206303.896</v>
      </c>
      <c r="J4503">
        <v>7561309.6160000004</v>
      </c>
      <c r="K4503">
        <v>0</v>
      </c>
      <c r="L4503">
        <v>133901.30799999999</v>
      </c>
      <c r="M4503">
        <v>0</v>
      </c>
      <c r="N4503">
        <v>0</v>
      </c>
      <c r="O4503">
        <v>0</v>
      </c>
      <c r="P4503">
        <v>2871771.628</v>
      </c>
      <c r="Q4503">
        <v>0</v>
      </c>
      <c r="R4503">
        <v>0</v>
      </c>
      <c r="S4503">
        <v>46490683.748000003</v>
      </c>
      <c r="T4503" s="9">
        <v>45108</v>
      </c>
      <c r="U4503" s="9">
        <v>45473</v>
      </c>
      <c r="V4503">
        <f>SUM(POTABLE_NONPOTABLE_API[[#This Row],[RESIDENTIAL_SINGLEFAMILY_GAL]:[OTHER_GAL]])</f>
        <v>265332548.296</v>
      </c>
      <c r="W4503">
        <f>SUM(POTABLE_NONPOTABLE_API[[#This Row],[NONPOTABLE_DEMAND_RESIDENTIAL_RECYCLED_WATER_GAL]:[NONPOTABLE_DEMAND_NONRESIDENTIAL_METERED_IRRIGATION_GAL]])</f>
        <v>49362455.376000002</v>
      </c>
      <c r="X4503" t="str">
        <f>IFERROR(INDEX(Crosswalk_API!$H$2:$H$527, MATCH(POTABLE_NONPOTABLE_API[[#This Row],[PWSID]], CW_PWSID_LIST, 0)), "")</f>
        <v>No</v>
      </c>
    </row>
    <row r="4504" spans="1:24" x14ac:dyDescent="0.25">
      <c r="A4504" t="s">
        <v>2073</v>
      </c>
      <c r="B4504" t="s">
        <v>2074</v>
      </c>
      <c r="C4504" t="s">
        <v>2075</v>
      </c>
      <c r="D4504" t="s">
        <v>2076</v>
      </c>
      <c r="E4504" s="9">
        <v>45170</v>
      </c>
      <c r="F4504" s="9">
        <v>45199</v>
      </c>
      <c r="G4504">
        <v>101028910.912</v>
      </c>
      <c r="H4504">
        <v>31873747.668000001</v>
      </c>
      <c r="I4504">
        <v>104069742.292</v>
      </c>
      <c r="J4504">
        <v>6376395.2480000006</v>
      </c>
      <c r="K4504">
        <v>0</v>
      </c>
      <c r="L4504">
        <v>87522.084000000003</v>
      </c>
      <c r="M4504">
        <v>0</v>
      </c>
      <c r="N4504">
        <v>0</v>
      </c>
      <c r="O4504">
        <v>0</v>
      </c>
      <c r="P4504">
        <v>1828239.088</v>
      </c>
      <c r="Q4504">
        <v>0</v>
      </c>
      <c r="R4504">
        <v>0</v>
      </c>
      <c r="S4504">
        <v>29289228.008000001</v>
      </c>
      <c r="T4504" s="9">
        <v>45108</v>
      </c>
      <c r="U4504" s="9">
        <v>45473</v>
      </c>
      <c r="V4504">
        <f>SUM(POTABLE_NONPOTABLE_API[[#This Row],[RESIDENTIAL_SINGLEFAMILY_GAL]:[OTHER_GAL]])</f>
        <v>243436318.20399997</v>
      </c>
      <c r="W4504">
        <f>SUM(POTABLE_NONPOTABLE_API[[#This Row],[NONPOTABLE_DEMAND_RESIDENTIAL_RECYCLED_WATER_GAL]:[NONPOTABLE_DEMAND_NONRESIDENTIAL_METERED_IRRIGATION_GAL]])</f>
        <v>31117467.096000001</v>
      </c>
      <c r="X4504" t="str">
        <f>IFERROR(INDEX(Crosswalk_API!$H$2:$H$527, MATCH(POTABLE_NONPOTABLE_API[[#This Row],[PWSID]], CW_PWSID_LIST, 0)), "")</f>
        <v>No</v>
      </c>
    </row>
    <row r="4505" spans="1:24" x14ac:dyDescent="0.25">
      <c r="A4505" t="s">
        <v>2073</v>
      </c>
      <c r="B4505" t="s">
        <v>2074</v>
      </c>
      <c r="C4505" t="s">
        <v>2075</v>
      </c>
      <c r="D4505" t="s">
        <v>2076</v>
      </c>
      <c r="E4505" s="9">
        <v>45200</v>
      </c>
      <c r="F4505" s="9">
        <v>45230</v>
      </c>
      <c r="G4505">
        <v>102875103.248</v>
      </c>
      <c r="H4505">
        <v>35275140.112000003</v>
      </c>
      <c r="I4505">
        <v>107292350.308</v>
      </c>
      <c r="J4505">
        <v>5587948.4400000004</v>
      </c>
      <c r="K4505">
        <v>0</v>
      </c>
      <c r="L4505">
        <v>93506.5</v>
      </c>
      <c r="M4505">
        <v>0</v>
      </c>
      <c r="N4505">
        <v>0</v>
      </c>
      <c r="O4505">
        <v>0</v>
      </c>
      <c r="P4505">
        <v>1617288.4240000001</v>
      </c>
      <c r="Q4505">
        <v>0</v>
      </c>
      <c r="R4505">
        <v>0</v>
      </c>
      <c r="S4505">
        <v>29225643.588</v>
      </c>
      <c r="T4505" s="9">
        <v>45108</v>
      </c>
      <c r="U4505" s="9">
        <v>45473</v>
      </c>
      <c r="V4505">
        <f>SUM(POTABLE_NONPOTABLE_API[[#This Row],[RESIDENTIAL_SINGLEFAMILY_GAL]:[OTHER_GAL]])</f>
        <v>251124048.60800001</v>
      </c>
      <c r="W4505">
        <f>SUM(POTABLE_NONPOTABLE_API[[#This Row],[NONPOTABLE_DEMAND_RESIDENTIAL_RECYCLED_WATER_GAL]:[NONPOTABLE_DEMAND_NONRESIDENTIAL_METERED_IRRIGATION_GAL]])</f>
        <v>30842932.011999998</v>
      </c>
      <c r="X4505" t="str">
        <f>IFERROR(INDEX(Crosswalk_API!$H$2:$H$527, MATCH(POTABLE_NONPOTABLE_API[[#This Row],[PWSID]], CW_PWSID_LIST, 0)), "")</f>
        <v>No</v>
      </c>
    </row>
    <row r="4506" spans="1:24" x14ac:dyDescent="0.25">
      <c r="A4506" t="s">
        <v>2073</v>
      </c>
      <c r="B4506" t="s">
        <v>2074</v>
      </c>
      <c r="C4506" t="s">
        <v>2075</v>
      </c>
      <c r="D4506" t="s">
        <v>2076</v>
      </c>
      <c r="E4506" s="9">
        <v>45231</v>
      </c>
      <c r="F4506" s="9">
        <v>45260</v>
      </c>
      <c r="G4506">
        <v>92235559.65200001</v>
      </c>
      <c r="H4506">
        <v>29685695.568</v>
      </c>
      <c r="I4506">
        <v>99030115.96800001</v>
      </c>
      <c r="J4506">
        <v>4083615.8680000002</v>
      </c>
      <c r="K4506">
        <v>0</v>
      </c>
      <c r="L4506">
        <v>108467.54000000001</v>
      </c>
      <c r="M4506">
        <v>0</v>
      </c>
      <c r="N4506">
        <v>0</v>
      </c>
      <c r="O4506">
        <v>0</v>
      </c>
      <c r="P4506">
        <v>1052509.1640000001</v>
      </c>
      <c r="Q4506">
        <v>0</v>
      </c>
      <c r="R4506">
        <v>0</v>
      </c>
      <c r="S4506">
        <v>20657455.98</v>
      </c>
      <c r="T4506" s="9">
        <v>45108</v>
      </c>
      <c r="U4506" s="9">
        <v>45473</v>
      </c>
      <c r="V4506">
        <f>SUM(POTABLE_NONPOTABLE_API[[#This Row],[RESIDENTIAL_SINGLEFAMILY_GAL]:[OTHER_GAL]])</f>
        <v>225143454.59600002</v>
      </c>
      <c r="W4506">
        <f>SUM(POTABLE_NONPOTABLE_API[[#This Row],[NONPOTABLE_DEMAND_RESIDENTIAL_RECYCLED_WATER_GAL]:[NONPOTABLE_DEMAND_NONRESIDENTIAL_METERED_IRRIGATION_GAL]])</f>
        <v>21709965.144000001</v>
      </c>
      <c r="X4506" t="str">
        <f>IFERROR(INDEX(Crosswalk_API!$H$2:$H$527, MATCH(POTABLE_NONPOTABLE_API[[#This Row],[PWSID]], CW_PWSID_LIST, 0)), "")</f>
        <v>No</v>
      </c>
    </row>
    <row r="4507" spans="1:24" x14ac:dyDescent="0.25">
      <c r="A4507" t="s">
        <v>2073</v>
      </c>
      <c r="B4507" t="s">
        <v>2074</v>
      </c>
      <c r="C4507" t="s">
        <v>2075</v>
      </c>
      <c r="D4507" t="s">
        <v>2076</v>
      </c>
      <c r="E4507" s="9">
        <v>45261</v>
      </c>
      <c r="F4507" s="9">
        <v>45291</v>
      </c>
      <c r="G4507">
        <v>87634291.799999997</v>
      </c>
      <c r="H4507">
        <v>32861924.359999999</v>
      </c>
      <c r="I4507">
        <v>95742427.428000003</v>
      </c>
      <c r="J4507">
        <v>4263148.3480000002</v>
      </c>
      <c r="K4507">
        <v>0</v>
      </c>
      <c r="L4507">
        <v>126420.788</v>
      </c>
      <c r="M4507">
        <v>0</v>
      </c>
      <c r="N4507">
        <v>0</v>
      </c>
      <c r="O4507">
        <v>0</v>
      </c>
      <c r="P4507">
        <v>704664.98400000005</v>
      </c>
      <c r="Q4507">
        <v>0</v>
      </c>
      <c r="R4507">
        <v>0</v>
      </c>
      <c r="S4507">
        <v>15026120.524</v>
      </c>
      <c r="T4507" s="9">
        <v>45108</v>
      </c>
      <c r="U4507" s="9">
        <v>45473</v>
      </c>
      <c r="V4507">
        <f>SUM(POTABLE_NONPOTABLE_API[[#This Row],[RESIDENTIAL_SINGLEFAMILY_GAL]:[OTHER_GAL]])</f>
        <v>220628212.72399998</v>
      </c>
      <c r="W4507">
        <f>SUM(POTABLE_NONPOTABLE_API[[#This Row],[NONPOTABLE_DEMAND_RESIDENTIAL_RECYCLED_WATER_GAL]:[NONPOTABLE_DEMAND_NONRESIDENTIAL_METERED_IRRIGATION_GAL]])</f>
        <v>15730785.507999999</v>
      </c>
      <c r="X4507" t="str">
        <f>IFERROR(INDEX(Crosswalk_API!$H$2:$H$527, MATCH(POTABLE_NONPOTABLE_API[[#This Row],[PWSID]], CW_PWSID_LIST, 0)), "")</f>
        <v>No</v>
      </c>
    </row>
    <row r="4508" spans="1:24" x14ac:dyDescent="0.25">
      <c r="A4508" t="s">
        <v>2073</v>
      </c>
      <c r="B4508" t="s">
        <v>2074</v>
      </c>
      <c r="C4508" t="s">
        <v>2075</v>
      </c>
      <c r="D4508" t="s">
        <v>2076</v>
      </c>
      <c r="E4508" s="9">
        <v>45292</v>
      </c>
      <c r="F4508" s="9">
        <v>45322</v>
      </c>
      <c r="G4508">
        <v>72435371.263999999</v>
      </c>
      <c r="H4508">
        <v>27823794.140000001</v>
      </c>
      <c r="I4508">
        <v>85758925.436000004</v>
      </c>
      <c r="J4508">
        <v>1809537.7879999999</v>
      </c>
      <c r="K4508">
        <v>0</v>
      </c>
      <c r="L4508">
        <v>166815.59599999999</v>
      </c>
      <c r="M4508">
        <v>0</v>
      </c>
      <c r="N4508">
        <v>0</v>
      </c>
      <c r="O4508">
        <v>0</v>
      </c>
      <c r="P4508">
        <v>266306.51199999999</v>
      </c>
      <c r="Q4508">
        <v>0</v>
      </c>
      <c r="R4508">
        <v>0</v>
      </c>
      <c r="S4508">
        <v>14154639.944</v>
      </c>
      <c r="T4508" s="9">
        <v>45108</v>
      </c>
      <c r="U4508" s="9">
        <v>45473</v>
      </c>
      <c r="V4508">
        <f>SUM(POTABLE_NONPOTABLE_API[[#This Row],[RESIDENTIAL_SINGLEFAMILY_GAL]:[OTHER_GAL]])</f>
        <v>187994444.22399998</v>
      </c>
      <c r="W4508">
        <f>SUM(POTABLE_NONPOTABLE_API[[#This Row],[NONPOTABLE_DEMAND_RESIDENTIAL_RECYCLED_WATER_GAL]:[NONPOTABLE_DEMAND_NONRESIDENTIAL_METERED_IRRIGATION_GAL]])</f>
        <v>14420946.456</v>
      </c>
      <c r="X4508" t="str">
        <f>IFERROR(INDEX(Crosswalk_API!$H$2:$H$527, MATCH(POTABLE_NONPOTABLE_API[[#This Row],[PWSID]], CW_PWSID_LIST, 0)), "")</f>
        <v>No</v>
      </c>
    </row>
    <row r="4509" spans="1:24" x14ac:dyDescent="0.25">
      <c r="A4509" t="s">
        <v>2073</v>
      </c>
      <c r="B4509" t="s">
        <v>2074</v>
      </c>
      <c r="C4509" t="s">
        <v>2075</v>
      </c>
      <c r="D4509" t="s">
        <v>2076</v>
      </c>
      <c r="E4509" s="9">
        <v>45323</v>
      </c>
      <c r="F4509" s="9">
        <v>45351</v>
      </c>
      <c r="G4509">
        <v>67858789.128000006</v>
      </c>
      <c r="H4509">
        <v>25744957.631999999</v>
      </c>
      <c r="I4509">
        <v>78162457.376000002</v>
      </c>
      <c r="J4509">
        <v>1702566.352</v>
      </c>
      <c r="K4509">
        <v>0</v>
      </c>
      <c r="L4509">
        <v>178784.42800000001</v>
      </c>
      <c r="M4509">
        <v>0</v>
      </c>
      <c r="N4509">
        <v>0</v>
      </c>
      <c r="O4509">
        <v>0</v>
      </c>
      <c r="P4509">
        <v>80041.563999999998</v>
      </c>
      <c r="Q4509">
        <v>0</v>
      </c>
      <c r="R4509">
        <v>0</v>
      </c>
      <c r="S4509">
        <v>4272124.9720000001</v>
      </c>
      <c r="T4509" s="9">
        <v>45108</v>
      </c>
      <c r="U4509" s="9">
        <v>45473</v>
      </c>
      <c r="V4509">
        <f>SUM(POTABLE_NONPOTABLE_API[[#This Row],[RESIDENTIAL_SINGLEFAMILY_GAL]:[OTHER_GAL]])</f>
        <v>173647554.91600001</v>
      </c>
      <c r="W4509">
        <f>SUM(POTABLE_NONPOTABLE_API[[#This Row],[NONPOTABLE_DEMAND_RESIDENTIAL_RECYCLED_WATER_GAL]:[NONPOTABLE_DEMAND_NONRESIDENTIAL_METERED_IRRIGATION_GAL]])</f>
        <v>4352166.5360000003</v>
      </c>
      <c r="X4509" t="str">
        <f>IFERROR(INDEX(Crosswalk_API!$H$2:$H$527, MATCH(POTABLE_NONPOTABLE_API[[#This Row],[PWSID]], CW_PWSID_LIST, 0)), "")</f>
        <v>No</v>
      </c>
    </row>
    <row r="4510" spans="1:24" x14ac:dyDescent="0.25">
      <c r="A4510" t="s">
        <v>2073</v>
      </c>
      <c r="B4510" t="s">
        <v>2074</v>
      </c>
      <c r="C4510" t="s">
        <v>2075</v>
      </c>
      <c r="D4510" t="s">
        <v>2076</v>
      </c>
      <c r="E4510" s="9">
        <v>45352</v>
      </c>
      <c r="F4510" s="9">
        <v>45382</v>
      </c>
      <c r="G4510">
        <v>70388700.991999999</v>
      </c>
      <c r="H4510">
        <v>31704687.916000001</v>
      </c>
      <c r="I4510">
        <v>91594479.088</v>
      </c>
      <c r="J4510">
        <v>2336166.3960000002</v>
      </c>
      <c r="K4510">
        <v>0</v>
      </c>
      <c r="L4510">
        <v>155594.81599999999</v>
      </c>
      <c r="M4510">
        <v>0</v>
      </c>
      <c r="N4510">
        <v>0</v>
      </c>
      <c r="O4510">
        <v>0</v>
      </c>
      <c r="P4510">
        <v>222171.44400000002</v>
      </c>
      <c r="Q4510">
        <v>0</v>
      </c>
      <c r="R4510">
        <v>0</v>
      </c>
      <c r="S4510">
        <v>7951792.7599999998</v>
      </c>
      <c r="T4510" s="9">
        <v>45108</v>
      </c>
      <c r="U4510" s="9">
        <v>45473</v>
      </c>
      <c r="V4510">
        <f>SUM(POTABLE_NONPOTABLE_API[[#This Row],[RESIDENTIAL_SINGLEFAMILY_GAL]:[OTHER_GAL]])</f>
        <v>196179629.208</v>
      </c>
      <c r="W4510">
        <f>SUM(POTABLE_NONPOTABLE_API[[#This Row],[NONPOTABLE_DEMAND_RESIDENTIAL_RECYCLED_WATER_GAL]:[NONPOTABLE_DEMAND_NONRESIDENTIAL_METERED_IRRIGATION_GAL]])</f>
        <v>8173964.2039999999</v>
      </c>
      <c r="X4510" t="str">
        <f>IFERROR(INDEX(Crosswalk_API!$H$2:$H$527, MATCH(POTABLE_NONPOTABLE_API[[#This Row],[PWSID]], CW_PWSID_LIST, 0)), "")</f>
        <v>No</v>
      </c>
    </row>
    <row r="4511" spans="1:24" x14ac:dyDescent="0.25">
      <c r="A4511" t="s">
        <v>2073</v>
      </c>
      <c r="B4511" t="s">
        <v>2074</v>
      </c>
      <c r="C4511" t="s">
        <v>2075</v>
      </c>
      <c r="D4511" t="s">
        <v>2076</v>
      </c>
      <c r="E4511" s="9">
        <v>45383</v>
      </c>
      <c r="F4511" s="9">
        <v>45412</v>
      </c>
      <c r="G4511">
        <v>74722166.228</v>
      </c>
      <c r="H4511">
        <v>28909217.592</v>
      </c>
      <c r="I4511">
        <v>91399985.568000004</v>
      </c>
      <c r="J4511">
        <v>2731885.9040000001</v>
      </c>
      <c r="K4511">
        <v>0</v>
      </c>
      <c r="L4511">
        <v>109963.644</v>
      </c>
      <c r="M4511">
        <v>0</v>
      </c>
      <c r="N4511">
        <v>0</v>
      </c>
      <c r="O4511">
        <v>0</v>
      </c>
      <c r="P4511">
        <v>746555.89600000007</v>
      </c>
      <c r="Q4511">
        <v>0</v>
      </c>
      <c r="R4511">
        <v>0</v>
      </c>
      <c r="S4511">
        <v>11618743.664000001</v>
      </c>
      <c r="T4511" s="9">
        <v>45108</v>
      </c>
      <c r="U4511" s="9">
        <v>45473</v>
      </c>
      <c r="V4511">
        <f>SUM(POTABLE_NONPOTABLE_API[[#This Row],[RESIDENTIAL_SINGLEFAMILY_GAL]:[OTHER_GAL]])</f>
        <v>197873218.93600002</v>
      </c>
      <c r="W4511">
        <f>SUM(POTABLE_NONPOTABLE_API[[#This Row],[NONPOTABLE_DEMAND_RESIDENTIAL_RECYCLED_WATER_GAL]:[NONPOTABLE_DEMAND_NONRESIDENTIAL_METERED_IRRIGATION_GAL]])</f>
        <v>12365299.560000001</v>
      </c>
      <c r="X4511" t="str">
        <f>IFERROR(INDEX(Crosswalk_API!$H$2:$H$527, MATCH(POTABLE_NONPOTABLE_API[[#This Row],[PWSID]], CW_PWSID_LIST, 0)), "")</f>
        <v>No</v>
      </c>
    </row>
    <row r="4512" spans="1:24" x14ac:dyDescent="0.25">
      <c r="A4512" t="s">
        <v>2073</v>
      </c>
      <c r="B4512" t="s">
        <v>2074</v>
      </c>
      <c r="C4512" t="s">
        <v>2075</v>
      </c>
      <c r="D4512" t="s">
        <v>2076</v>
      </c>
      <c r="E4512" s="9">
        <v>45413</v>
      </c>
      <c r="F4512" s="9">
        <v>45443</v>
      </c>
      <c r="G4512">
        <v>96877970.364000008</v>
      </c>
      <c r="H4512">
        <v>31279046.328000002</v>
      </c>
      <c r="I4512">
        <v>98947830.247999996</v>
      </c>
      <c r="J4512">
        <v>4689537.9879999999</v>
      </c>
      <c r="K4512">
        <v>0</v>
      </c>
      <c r="L4512">
        <v>96498.707999999999</v>
      </c>
      <c r="M4512">
        <v>0</v>
      </c>
      <c r="N4512">
        <v>0</v>
      </c>
      <c r="O4512">
        <v>0</v>
      </c>
      <c r="P4512">
        <v>1609807.9040000001</v>
      </c>
      <c r="Q4512">
        <v>0</v>
      </c>
      <c r="R4512">
        <v>0</v>
      </c>
      <c r="S4512">
        <v>20257996.212000001</v>
      </c>
      <c r="T4512" s="9">
        <v>45108</v>
      </c>
      <c r="U4512" s="9">
        <v>45473</v>
      </c>
      <c r="V4512">
        <f>SUM(POTABLE_NONPOTABLE_API[[#This Row],[RESIDENTIAL_SINGLEFAMILY_GAL]:[OTHER_GAL]])</f>
        <v>231890883.63600001</v>
      </c>
      <c r="W4512">
        <f>SUM(POTABLE_NONPOTABLE_API[[#This Row],[NONPOTABLE_DEMAND_RESIDENTIAL_RECYCLED_WATER_GAL]:[NONPOTABLE_DEMAND_NONRESIDENTIAL_METERED_IRRIGATION_GAL]])</f>
        <v>21867804.116</v>
      </c>
      <c r="X4512" t="str">
        <f>IFERROR(INDEX(Crosswalk_API!$H$2:$H$527, MATCH(POTABLE_NONPOTABLE_API[[#This Row],[PWSID]], CW_PWSID_LIST, 0)), "")</f>
        <v>No</v>
      </c>
    </row>
    <row r="4513" spans="1:24" x14ac:dyDescent="0.25">
      <c r="A4513" t="s">
        <v>2073</v>
      </c>
      <c r="B4513" t="s">
        <v>2074</v>
      </c>
      <c r="C4513" t="s">
        <v>2075</v>
      </c>
      <c r="D4513" t="s">
        <v>2076</v>
      </c>
      <c r="E4513" s="9">
        <v>45444</v>
      </c>
      <c r="F4513" s="9">
        <v>45473</v>
      </c>
      <c r="G4513">
        <v>104557472.19600001</v>
      </c>
      <c r="H4513">
        <v>32954682.808000002</v>
      </c>
      <c r="I4513">
        <v>112679072.76000001</v>
      </c>
      <c r="J4513">
        <v>6380135.5080000004</v>
      </c>
      <c r="K4513">
        <v>0</v>
      </c>
      <c r="L4513">
        <v>106223.38400000001</v>
      </c>
      <c r="M4513">
        <v>0</v>
      </c>
      <c r="N4513">
        <v>0</v>
      </c>
      <c r="O4513">
        <v>0</v>
      </c>
      <c r="P4513">
        <v>2713932.656</v>
      </c>
      <c r="Q4513">
        <v>0</v>
      </c>
      <c r="R4513">
        <v>0</v>
      </c>
      <c r="S4513">
        <v>32216355.484000001</v>
      </c>
      <c r="T4513" s="9">
        <v>45108</v>
      </c>
      <c r="U4513" s="9">
        <v>45473</v>
      </c>
      <c r="V4513">
        <f>SUM(POTABLE_NONPOTABLE_API[[#This Row],[RESIDENTIAL_SINGLEFAMILY_GAL]:[OTHER_GAL]])</f>
        <v>256677586.65599999</v>
      </c>
      <c r="W4513">
        <f>SUM(POTABLE_NONPOTABLE_API[[#This Row],[NONPOTABLE_DEMAND_RESIDENTIAL_RECYCLED_WATER_GAL]:[NONPOTABLE_DEMAND_NONRESIDENTIAL_METERED_IRRIGATION_GAL]])</f>
        <v>34930288.140000001</v>
      </c>
      <c r="X4513" t="str">
        <f>IFERROR(INDEX(Crosswalk_API!$H$2:$H$527, MATCH(POTABLE_NONPOTABLE_API[[#This Row],[PWSID]], CW_PWSID_LIST, 0)), "")</f>
        <v>No</v>
      </c>
    </row>
    <row r="4514" spans="1:24" x14ac:dyDescent="0.25">
      <c r="A4514" t="s">
        <v>2077</v>
      </c>
      <c r="B4514" t="s">
        <v>2078</v>
      </c>
      <c r="C4514" t="s">
        <v>2079</v>
      </c>
      <c r="D4514" t="s">
        <v>2080</v>
      </c>
      <c r="E4514" s="9">
        <v>45108</v>
      </c>
      <c r="F4514" s="9">
        <v>45138</v>
      </c>
      <c r="G4514">
        <v>91320000</v>
      </c>
      <c r="H4514">
        <v>0</v>
      </c>
      <c r="I4514">
        <v>29805000</v>
      </c>
      <c r="J4514">
        <v>0</v>
      </c>
      <c r="K4514">
        <v>0</v>
      </c>
      <c r="L4514">
        <v>0</v>
      </c>
      <c r="M4514">
        <v>0</v>
      </c>
      <c r="T4514" s="9">
        <v>45108</v>
      </c>
      <c r="U4514" s="9">
        <v>45473</v>
      </c>
      <c r="V4514">
        <f>SUM(POTABLE_NONPOTABLE_API[[#This Row],[RESIDENTIAL_SINGLEFAMILY_GAL]:[OTHER_GAL]])</f>
        <v>121125000</v>
      </c>
      <c r="W4514">
        <f>SUM(POTABLE_NONPOTABLE_API[[#This Row],[NONPOTABLE_DEMAND_RESIDENTIAL_RECYCLED_WATER_GAL]:[NONPOTABLE_DEMAND_NONRESIDENTIAL_METERED_IRRIGATION_GAL]])</f>
        <v>0</v>
      </c>
      <c r="X4514" t="str">
        <f>IFERROR(INDEX(Crosswalk_API!$H$2:$H$527, MATCH(POTABLE_NONPOTABLE_API[[#This Row],[PWSID]], CW_PWSID_LIST, 0)), "")</f>
        <v>No</v>
      </c>
    </row>
    <row r="4515" spans="1:24" x14ac:dyDescent="0.25">
      <c r="A4515" t="s">
        <v>2077</v>
      </c>
      <c r="B4515" t="s">
        <v>2078</v>
      </c>
      <c r="C4515" t="s">
        <v>2079</v>
      </c>
      <c r="D4515" t="s">
        <v>2080</v>
      </c>
      <c r="E4515" s="9">
        <v>45139</v>
      </c>
      <c r="F4515" s="9">
        <v>45169</v>
      </c>
      <c r="G4515">
        <v>91320000</v>
      </c>
      <c r="H4515">
        <v>0</v>
      </c>
      <c r="I4515">
        <v>29805000</v>
      </c>
      <c r="J4515">
        <v>0</v>
      </c>
      <c r="K4515">
        <v>0</v>
      </c>
      <c r="L4515">
        <v>0</v>
      </c>
      <c r="M4515">
        <v>0</v>
      </c>
      <c r="T4515" s="9">
        <v>45108</v>
      </c>
      <c r="U4515" s="9">
        <v>45473</v>
      </c>
      <c r="V4515">
        <f>SUM(POTABLE_NONPOTABLE_API[[#This Row],[RESIDENTIAL_SINGLEFAMILY_GAL]:[OTHER_GAL]])</f>
        <v>121125000</v>
      </c>
      <c r="W4515">
        <f>SUM(POTABLE_NONPOTABLE_API[[#This Row],[NONPOTABLE_DEMAND_RESIDENTIAL_RECYCLED_WATER_GAL]:[NONPOTABLE_DEMAND_NONRESIDENTIAL_METERED_IRRIGATION_GAL]])</f>
        <v>0</v>
      </c>
      <c r="X4515" t="str">
        <f>IFERROR(INDEX(Crosswalk_API!$H$2:$H$527, MATCH(POTABLE_NONPOTABLE_API[[#This Row],[PWSID]], CW_PWSID_LIST, 0)), "")</f>
        <v>No</v>
      </c>
    </row>
    <row r="4516" spans="1:24" x14ac:dyDescent="0.25">
      <c r="A4516" t="s">
        <v>2077</v>
      </c>
      <c r="B4516" t="s">
        <v>2078</v>
      </c>
      <c r="C4516" t="s">
        <v>2079</v>
      </c>
      <c r="D4516" t="s">
        <v>2080</v>
      </c>
      <c r="E4516" s="9">
        <v>45170</v>
      </c>
      <c r="F4516" s="9">
        <v>45199</v>
      </c>
      <c r="G4516">
        <v>98402000</v>
      </c>
      <c r="H4516">
        <v>0</v>
      </c>
      <c r="I4516">
        <v>43733000</v>
      </c>
      <c r="J4516">
        <v>0</v>
      </c>
      <c r="K4516">
        <v>0</v>
      </c>
      <c r="L4516">
        <v>0</v>
      </c>
      <c r="M4516">
        <v>0</v>
      </c>
      <c r="T4516" s="9">
        <v>45108</v>
      </c>
      <c r="U4516" s="9">
        <v>45473</v>
      </c>
      <c r="V4516">
        <f>SUM(POTABLE_NONPOTABLE_API[[#This Row],[RESIDENTIAL_SINGLEFAMILY_GAL]:[OTHER_GAL]])</f>
        <v>142135000</v>
      </c>
      <c r="W4516">
        <f>SUM(POTABLE_NONPOTABLE_API[[#This Row],[NONPOTABLE_DEMAND_RESIDENTIAL_RECYCLED_WATER_GAL]:[NONPOTABLE_DEMAND_NONRESIDENTIAL_METERED_IRRIGATION_GAL]])</f>
        <v>0</v>
      </c>
      <c r="X4516" t="str">
        <f>IFERROR(INDEX(Crosswalk_API!$H$2:$H$527, MATCH(POTABLE_NONPOTABLE_API[[#This Row],[PWSID]], CW_PWSID_LIST, 0)), "")</f>
        <v>No</v>
      </c>
    </row>
    <row r="4517" spans="1:24" x14ac:dyDescent="0.25">
      <c r="A4517" t="s">
        <v>2077</v>
      </c>
      <c r="B4517" t="s">
        <v>2078</v>
      </c>
      <c r="C4517" t="s">
        <v>2079</v>
      </c>
      <c r="D4517" t="s">
        <v>2080</v>
      </c>
      <c r="E4517" s="9">
        <v>45200</v>
      </c>
      <c r="F4517" s="9">
        <v>45230</v>
      </c>
      <c r="G4517">
        <v>81998000</v>
      </c>
      <c r="H4517">
        <v>0</v>
      </c>
      <c r="I4517">
        <v>34934000</v>
      </c>
      <c r="J4517">
        <v>0</v>
      </c>
      <c r="K4517">
        <v>0</v>
      </c>
      <c r="L4517">
        <v>0</v>
      </c>
      <c r="M4517">
        <v>0</v>
      </c>
      <c r="T4517" s="9">
        <v>45108</v>
      </c>
      <c r="U4517" s="9">
        <v>45473</v>
      </c>
      <c r="V4517">
        <f>SUM(POTABLE_NONPOTABLE_API[[#This Row],[RESIDENTIAL_SINGLEFAMILY_GAL]:[OTHER_GAL]])</f>
        <v>116932000</v>
      </c>
      <c r="W4517">
        <f>SUM(POTABLE_NONPOTABLE_API[[#This Row],[NONPOTABLE_DEMAND_RESIDENTIAL_RECYCLED_WATER_GAL]:[NONPOTABLE_DEMAND_NONRESIDENTIAL_METERED_IRRIGATION_GAL]])</f>
        <v>0</v>
      </c>
      <c r="X4517" t="str">
        <f>IFERROR(INDEX(Crosswalk_API!$H$2:$H$527, MATCH(POTABLE_NONPOTABLE_API[[#This Row],[PWSID]], CW_PWSID_LIST, 0)), "")</f>
        <v>No</v>
      </c>
    </row>
    <row r="4518" spans="1:24" x14ac:dyDescent="0.25">
      <c r="A4518" t="s">
        <v>2077</v>
      </c>
      <c r="B4518" t="s">
        <v>2078</v>
      </c>
      <c r="C4518" t="s">
        <v>2079</v>
      </c>
      <c r="D4518" t="s">
        <v>2080</v>
      </c>
      <c r="E4518" s="9">
        <v>45231</v>
      </c>
      <c r="F4518" s="9">
        <v>45260</v>
      </c>
      <c r="G4518">
        <v>79008000</v>
      </c>
      <c r="H4518">
        <v>0</v>
      </c>
      <c r="I4518">
        <v>30195000</v>
      </c>
      <c r="J4518">
        <v>0</v>
      </c>
      <c r="K4518">
        <v>0</v>
      </c>
      <c r="L4518">
        <v>0</v>
      </c>
      <c r="M4518">
        <v>0</v>
      </c>
      <c r="T4518" s="9">
        <v>45108</v>
      </c>
      <c r="U4518" s="9">
        <v>45473</v>
      </c>
      <c r="V4518">
        <f>SUM(POTABLE_NONPOTABLE_API[[#This Row],[RESIDENTIAL_SINGLEFAMILY_GAL]:[OTHER_GAL]])</f>
        <v>109203000</v>
      </c>
      <c r="W4518">
        <f>SUM(POTABLE_NONPOTABLE_API[[#This Row],[NONPOTABLE_DEMAND_RESIDENTIAL_RECYCLED_WATER_GAL]:[NONPOTABLE_DEMAND_NONRESIDENTIAL_METERED_IRRIGATION_GAL]])</f>
        <v>0</v>
      </c>
      <c r="X4518" t="str">
        <f>IFERROR(INDEX(Crosswalk_API!$H$2:$H$527, MATCH(POTABLE_NONPOTABLE_API[[#This Row],[PWSID]], CW_PWSID_LIST, 0)), "")</f>
        <v>No</v>
      </c>
    </row>
    <row r="4519" spans="1:24" x14ac:dyDescent="0.25">
      <c r="A4519" t="s">
        <v>2077</v>
      </c>
      <c r="B4519" t="s">
        <v>2078</v>
      </c>
      <c r="C4519" t="s">
        <v>2079</v>
      </c>
      <c r="D4519" t="s">
        <v>2080</v>
      </c>
      <c r="E4519" s="9">
        <v>45261</v>
      </c>
      <c r="F4519" s="9">
        <v>45291</v>
      </c>
      <c r="G4519">
        <v>29734000</v>
      </c>
      <c r="H4519">
        <v>0</v>
      </c>
      <c r="I4519">
        <v>80109000</v>
      </c>
      <c r="J4519">
        <v>0</v>
      </c>
      <c r="K4519">
        <v>0</v>
      </c>
      <c r="L4519">
        <v>0</v>
      </c>
      <c r="M4519">
        <v>0</v>
      </c>
      <c r="T4519" s="9">
        <v>45108</v>
      </c>
      <c r="U4519" s="9">
        <v>45473</v>
      </c>
      <c r="V4519">
        <f>SUM(POTABLE_NONPOTABLE_API[[#This Row],[RESIDENTIAL_SINGLEFAMILY_GAL]:[OTHER_GAL]])</f>
        <v>109843000</v>
      </c>
      <c r="W4519">
        <f>SUM(POTABLE_NONPOTABLE_API[[#This Row],[NONPOTABLE_DEMAND_RESIDENTIAL_RECYCLED_WATER_GAL]:[NONPOTABLE_DEMAND_NONRESIDENTIAL_METERED_IRRIGATION_GAL]])</f>
        <v>0</v>
      </c>
      <c r="X4519" t="str">
        <f>IFERROR(INDEX(Crosswalk_API!$H$2:$H$527, MATCH(POTABLE_NONPOTABLE_API[[#This Row],[PWSID]], CW_PWSID_LIST, 0)), "")</f>
        <v>No</v>
      </c>
    </row>
    <row r="4520" spans="1:24" x14ac:dyDescent="0.25">
      <c r="A4520" t="s">
        <v>2077</v>
      </c>
      <c r="B4520" t="s">
        <v>2078</v>
      </c>
      <c r="C4520" t="s">
        <v>2079</v>
      </c>
      <c r="D4520" t="s">
        <v>2080</v>
      </c>
      <c r="E4520" s="9">
        <v>45292</v>
      </c>
      <c r="F4520" s="9">
        <v>45322</v>
      </c>
      <c r="G4520">
        <v>50800000</v>
      </c>
      <c r="H4520">
        <v>14400000</v>
      </c>
      <c r="I4520">
        <v>27300000</v>
      </c>
      <c r="J4520">
        <v>0</v>
      </c>
      <c r="K4520">
        <v>0</v>
      </c>
      <c r="L4520">
        <v>0</v>
      </c>
      <c r="M4520">
        <v>0</v>
      </c>
      <c r="T4520" s="9">
        <v>45108</v>
      </c>
      <c r="U4520" s="9">
        <v>45473</v>
      </c>
      <c r="V4520">
        <f>SUM(POTABLE_NONPOTABLE_API[[#This Row],[RESIDENTIAL_SINGLEFAMILY_GAL]:[OTHER_GAL]])</f>
        <v>92500000</v>
      </c>
      <c r="W4520">
        <f>SUM(POTABLE_NONPOTABLE_API[[#This Row],[NONPOTABLE_DEMAND_RESIDENTIAL_RECYCLED_WATER_GAL]:[NONPOTABLE_DEMAND_NONRESIDENTIAL_METERED_IRRIGATION_GAL]])</f>
        <v>0</v>
      </c>
      <c r="X4520" t="str">
        <f>IFERROR(INDEX(Crosswalk_API!$H$2:$H$527, MATCH(POTABLE_NONPOTABLE_API[[#This Row],[PWSID]], CW_PWSID_LIST, 0)), "")</f>
        <v>No</v>
      </c>
    </row>
    <row r="4521" spans="1:24" x14ac:dyDescent="0.25">
      <c r="A4521" t="s">
        <v>2077</v>
      </c>
      <c r="B4521" t="s">
        <v>2078</v>
      </c>
      <c r="C4521" t="s">
        <v>2079</v>
      </c>
      <c r="D4521" t="s">
        <v>2080</v>
      </c>
      <c r="E4521" s="9">
        <v>45323</v>
      </c>
      <c r="F4521" s="9">
        <v>45351</v>
      </c>
      <c r="G4521">
        <v>47300000</v>
      </c>
      <c r="H4521">
        <v>17000000</v>
      </c>
      <c r="I4521">
        <v>19900000</v>
      </c>
      <c r="J4521">
        <v>0</v>
      </c>
      <c r="K4521">
        <v>0</v>
      </c>
      <c r="L4521">
        <v>0</v>
      </c>
      <c r="M4521">
        <v>0</v>
      </c>
      <c r="T4521" s="9">
        <v>45108</v>
      </c>
      <c r="U4521" s="9">
        <v>45473</v>
      </c>
      <c r="V4521">
        <f>SUM(POTABLE_NONPOTABLE_API[[#This Row],[RESIDENTIAL_SINGLEFAMILY_GAL]:[OTHER_GAL]])</f>
        <v>84200000</v>
      </c>
      <c r="W4521">
        <f>SUM(POTABLE_NONPOTABLE_API[[#This Row],[NONPOTABLE_DEMAND_RESIDENTIAL_RECYCLED_WATER_GAL]:[NONPOTABLE_DEMAND_NONRESIDENTIAL_METERED_IRRIGATION_GAL]])</f>
        <v>0</v>
      </c>
      <c r="X4521" t="str">
        <f>IFERROR(INDEX(Crosswalk_API!$H$2:$H$527, MATCH(POTABLE_NONPOTABLE_API[[#This Row],[PWSID]], CW_PWSID_LIST, 0)), "")</f>
        <v>No</v>
      </c>
    </row>
    <row r="4522" spans="1:24" x14ac:dyDescent="0.25">
      <c r="A4522" t="s">
        <v>2077</v>
      </c>
      <c r="B4522" t="s">
        <v>2078</v>
      </c>
      <c r="C4522" t="s">
        <v>2079</v>
      </c>
      <c r="D4522" t="s">
        <v>2080</v>
      </c>
      <c r="E4522" s="9">
        <v>45352</v>
      </c>
      <c r="F4522" s="9">
        <v>45382</v>
      </c>
      <c r="G4522">
        <v>41069000</v>
      </c>
      <c r="H4522">
        <v>13187000</v>
      </c>
      <c r="I4522">
        <v>11930000</v>
      </c>
      <c r="J4522">
        <v>0</v>
      </c>
      <c r="K4522">
        <v>0</v>
      </c>
      <c r="L4522">
        <v>0</v>
      </c>
      <c r="M4522">
        <v>0</v>
      </c>
      <c r="T4522" s="9">
        <v>45108</v>
      </c>
      <c r="U4522" s="9">
        <v>45473</v>
      </c>
      <c r="V4522">
        <f>SUM(POTABLE_NONPOTABLE_API[[#This Row],[RESIDENTIAL_SINGLEFAMILY_GAL]:[OTHER_GAL]])</f>
        <v>66186000</v>
      </c>
      <c r="W4522">
        <f>SUM(POTABLE_NONPOTABLE_API[[#This Row],[NONPOTABLE_DEMAND_RESIDENTIAL_RECYCLED_WATER_GAL]:[NONPOTABLE_DEMAND_NONRESIDENTIAL_METERED_IRRIGATION_GAL]])</f>
        <v>0</v>
      </c>
      <c r="X4522" t="str">
        <f>IFERROR(INDEX(Crosswalk_API!$H$2:$H$527, MATCH(POTABLE_NONPOTABLE_API[[#This Row],[PWSID]], CW_PWSID_LIST, 0)), "")</f>
        <v>No</v>
      </c>
    </row>
    <row r="4523" spans="1:24" x14ac:dyDescent="0.25">
      <c r="A4523" t="s">
        <v>2077</v>
      </c>
      <c r="B4523" t="s">
        <v>2078</v>
      </c>
      <c r="C4523" t="s">
        <v>2079</v>
      </c>
      <c r="D4523" t="s">
        <v>2080</v>
      </c>
      <c r="E4523" s="9">
        <v>45383</v>
      </c>
      <c r="F4523" s="9">
        <v>45412</v>
      </c>
      <c r="G4523">
        <v>43500000</v>
      </c>
      <c r="H4523">
        <v>14822000</v>
      </c>
      <c r="I4523">
        <v>13080000</v>
      </c>
      <c r="J4523">
        <v>0</v>
      </c>
      <c r="K4523">
        <v>0</v>
      </c>
      <c r="L4523">
        <v>0</v>
      </c>
      <c r="M4523">
        <v>0</v>
      </c>
      <c r="T4523" s="9">
        <v>45108</v>
      </c>
      <c r="U4523" s="9">
        <v>45473</v>
      </c>
      <c r="V4523">
        <f>SUM(POTABLE_NONPOTABLE_API[[#This Row],[RESIDENTIAL_SINGLEFAMILY_GAL]:[OTHER_GAL]])</f>
        <v>71402000</v>
      </c>
      <c r="W4523">
        <f>SUM(POTABLE_NONPOTABLE_API[[#This Row],[NONPOTABLE_DEMAND_RESIDENTIAL_RECYCLED_WATER_GAL]:[NONPOTABLE_DEMAND_NONRESIDENTIAL_METERED_IRRIGATION_GAL]])</f>
        <v>0</v>
      </c>
      <c r="X4523" t="str">
        <f>IFERROR(INDEX(Crosswalk_API!$H$2:$H$527, MATCH(POTABLE_NONPOTABLE_API[[#This Row],[PWSID]], CW_PWSID_LIST, 0)), "")</f>
        <v>No</v>
      </c>
    </row>
    <row r="4524" spans="1:24" x14ac:dyDescent="0.25">
      <c r="A4524" t="s">
        <v>2077</v>
      </c>
      <c r="B4524" t="s">
        <v>2078</v>
      </c>
      <c r="C4524" t="s">
        <v>2079</v>
      </c>
      <c r="D4524" t="s">
        <v>2080</v>
      </c>
      <c r="E4524" s="9">
        <v>45413</v>
      </c>
      <c r="F4524" s="9">
        <v>45443</v>
      </c>
      <c r="G4524">
        <v>54380000</v>
      </c>
      <c r="H4524">
        <v>16088999.999999998</v>
      </c>
      <c r="I4524">
        <v>18846000</v>
      </c>
      <c r="J4524">
        <v>0</v>
      </c>
      <c r="K4524">
        <v>0</v>
      </c>
      <c r="L4524">
        <v>0</v>
      </c>
      <c r="M4524">
        <v>0</v>
      </c>
      <c r="T4524" s="9">
        <v>45108</v>
      </c>
      <c r="U4524" s="9">
        <v>45473</v>
      </c>
      <c r="V4524">
        <f>SUM(POTABLE_NONPOTABLE_API[[#This Row],[RESIDENTIAL_SINGLEFAMILY_GAL]:[OTHER_GAL]])</f>
        <v>89315000</v>
      </c>
      <c r="W4524">
        <f>SUM(POTABLE_NONPOTABLE_API[[#This Row],[NONPOTABLE_DEMAND_RESIDENTIAL_RECYCLED_WATER_GAL]:[NONPOTABLE_DEMAND_NONRESIDENTIAL_METERED_IRRIGATION_GAL]])</f>
        <v>0</v>
      </c>
      <c r="X4524" t="str">
        <f>IFERROR(INDEX(Crosswalk_API!$H$2:$H$527, MATCH(POTABLE_NONPOTABLE_API[[#This Row],[PWSID]], CW_PWSID_LIST, 0)), "")</f>
        <v>No</v>
      </c>
    </row>
    <row r="4525" spans="1:24" x14ac:dyDescent="0.25">
      <c r="A4525" t="s">
        <v>2077</v>
      </c>
      <c r="B4525" t="s">
        <v>2078</v>
      </c>
      <c r="C4525" t="s">
        <v>2079</v>
      </c>
      <c r="D4525" t="s">
        <v>2080</v>
      </c>
      <c r="E4525" s="9">
        <v>45444</v>
      </c>
      <c r="F4525" s="9">
        <v>45473</v>
      </c>
      <c r="G4525">
        <v>64679000</v>
      </c>
      <c r="H4525">
        <v>15563000</v>
      </c>
      <c r="I4525">
        <v>25177000</v>
      </c>
      <c r="J4525">
        <v>0</v>
      </c>
      <c r="K4525">
        <v>0</v>
      </c>
      <c r="L4525">
        <v>0</v>
      </c>
      <c r="M4525">
        <v>0</v>
      </c>
      <c r="T4525" s="9">
        <v>45108</v>
      </c>
      <c r="U4525" s="9">
        <v>45473</v>
      </c>
      <c r="V4525">
        <f>SUM(POTABLE_NONPOTABLE_API[[#This Row],[RESIDENTIAL_SINGLEFAMILY_GAL]:[OTHER_GAL]])</f>
        <v>105419000</v>
      </c>
      <c r="W4525">
        <f>SUM(POTABLE_NONPOTABLE_API[[#This Row],[NONPOTABLE_DEMAND_RESIDENTIAL_RECYCLED_WATER_GAL]:[NONPOTABLE_DEMAND_NONRESIDENTIAL_METERED_IRRIGATION_GAL]])</f>
        <v>0</v>
      </c>
      <c r="X4525" t="str">
        <f>IFERROR(INDEX(Crosswalk_API!$H$2:$H$527, MATCH(POTABLE_NONPOTABLE_API[[#This Row],[PWSID]], CW_PWSID_LIST, 0)), "")</f>
        <v>No</v>
      </c>
    </row>
    <row r="4526" spans="1:24" x14ac:dyDescent="0.25">
      <c r="A4526" t="s">
        <v>2081</v>
      </c>
      <c r="B4526" t="s">
        <v>2082</v>
      </c>
      <c r="C4526" t="s">
        <v>2083</v>
      </c>
      <c r="D4526" t="s">
        <v>2084</v>
      </c>
      <c r="E4526" s="9">
        <v>45108</v>
      </c>
      <c r="F4526" s="9">
        <v>45138</v>
      </c>
      <c r="G4526">
        <v>43996402.020000003</v>
      </c>
      <c r="H4526">
        <v>4024259.85</v>
      </c>
      <c r="I4526">
        <v>3203115.33</v>
      </c>
      <c r="J4526">
        <v>658219.02</v>
      </c>
      <c r="K4526">
        <v>0</v>
      </c>
      <c r="L4526">
        <v>0</v>
      </c>
      <c r="M4526">
        <v>0</v>
      </c>
      <c r="T4526" s="9">
        <v>45108</v>
      </c>
      <c r="U4526" s="9">
        <v>45473</v>
      </c>
      <c r="V4526">
        <f>SUM(POTABLE_NONPOTABLE_API[[#This Row],[RESIDENTIAL_SINGLEFAMILY_GAL]:[OTHER_GAL]])</f>
        <v>51881996.220000006</v>
      </c>
      <c r="W4526">
        <f>SUM(POTABLE_NONPOTABLE_API[[#This Row],[NONPOTABLE_DEMAND_RESIDENTIAL_RECYCLED_WATER_GAL]:[NONPOTABLE_DEMAND_NONRESIDENTIAL_METERED_IRRIGATION_GAL]])</f>
        <v>0</v>
      </c>
      <c r="X4526" t="str">
        <f>IFERROR(INDEX(Crosswalk_API!$H$2:$H$527, MATCH(POTABLE_NONPOTABLE_API[[#This Row],[PWSID]], CW_PWSID_LIST, 0)), "")</f>
        <v>No</v>
      </c>
    </row>
    <row r="4527" spans="1:24" x14ac:dyDescent="0.25">
      <c r="A4527" t="s">
        <v>2081</v>
      </c>
      <c r="B4527" t="s">
        <v>2082</v>
      </c>
      <c r="C4527" t="s">
        <v>2083</v>
      </c>
      <c r="D4527" t="s">
        <v>2084</v>
      </c>
      <c r="E4527" s="9">
        <v>45139</v>
      </c>
      <c r="F4527" s="9">
        <v>45169</v>
      </c>
      <c r="G4527">
        <v>51644124.990000002</v>
      </c>
      <c r="H4527">
        <v>4962710.7300000004</v>
      </c>
      <c r="I4527">
        <v>11753445.57</v>
      </c>
      <c r="J4527">
        <v>886314.72000000009</v>
      </c>
      <c r="K4527">
        <v>0</v>
      </c>
      <c r="L4527">
        <v>0</v>
      </c>
      <c r="M4527">
        <v>0</v>
      </c>
      <c r="T4527" s="9">
        <v>45108</v>
      </c>
      <c r="U4527" s="9">
        <v>45473</v>
      </c>
      <c r="V4527">
        <f>SUM(POTABLE_NONPOTABLE_API[[#This Row],[RESIDENTIAL_SINGLEFAMILY_GAL]:[OTHER_GAL]])</f>
        <v>69246596.00999999</v>
      </c>
      <c r="W4527">
        <f>SUM(POTABLE_NONPOTABLE_API[[#This Row],[NONPOTABLE_DEMAND_RESIDENTIAL_RECYCLED_WATER_GAL]:[NONPOTABLE_DEMAND_NONRESIDENTIAL_METERED_IRRIGATION_GAL]])</f>
        <v>0</v>
      </c>
      <c r="X4527" t="str">
        <f>IFERROR(INDEX(Crosswalk_API!$H$2:$H$527, MATCH(POTABLE_NONPOTABLE_API[[#This Row],[PWSID]], CW_PWSID_LIST, 0)), "")</f>
        <v>No</v>
      </c>
    </row>
    <row r="4528" spans="1:24" x14ac:dyDescent="0.25">
      <c r="A4528" t="s">
        <v>2081</v>
      </c>
      <c r="B4528" t="s">
        <v>2082</v>
      </c>
      <c r="C4528" t="s">
        <v>2083</v>
      </c>
      <c r="D4528" t="s">
        <v>2084</v>
      </c>
      <c r="E4528" s="9">
        <v>45170</v>
      </c>
      <c r="F4528" s="9">
        <v>45199</v>
      </c>
      <c r="G4528">
        <v>37766130.899999999</v>
      </c>
      <c r="H4528">
        <v>4089430.0500000003</v>
      </c>
      <c r="I4528">
        <v>3372557.85</v>
      </c>
      <c r="J4528">
        <v>729906.24000000011</v>
      </c>
      <c r="K4528">
        <v>0</v>
      </c>
      <c r="L4528">
        <v>0</v>
      </c>
      <c r="M4528">
        <v>0</v>
      </c>
      <c r="T4528" s="9">
        <v>45108</v>
      </c>
      <c r="U4528" s="9">
        <v>45473</v>
      </c>
      <c r="V4528">
        <f>SUM(POTABLE_NONPOTABLE_API[[#This Row],[RESIDENTIAL_SINGLEFAMILY_GAL]:[OTHER_GAL]])</f>
        <v>45958025.039999999</v>
      </c>
      <c r="W4528">
        <f>SUM(POTABLE_NONPOTABLE_API[[#This Row],[NONPOTABLE_DEMAND_RESIDENTIAL_RECYCLED_WATER_GAL]:[NONPOTABLE_DEMAND_NONRESIDENTIAL_METERED_IRRIGATION_GAL]])</f>
        <v>0</v>
      </c>
      <c r="X4528" t="str">
        <f>IFERROR(INDEX(Crosswalk_API!$H$2:$H$527, MATCH(POTABLE_NONPOTABLE_API[[#This Row],[PWSID]], CW_PWSID_LIST, 0)), "")</f>
        <v>No</v>
      </c>
    </row>
    <row r="4529" spans="1:24" x14ac:dyDescent="0.25">
      <c r="A4529" t="s">
        <v>2081</v>
      </c>
      <c r="B4529" t="s">
        <v>2082</v>
      </c>
      <c r="C4529" t="s">
        <v>2083</v>
      </c>
      <c r="D4529" t="s">
        <v>2084</v>
      </c>
      <c r="E4529" s="9">
        <v>45200</v>
      </c>
      <c r="F4529" s="9">
        <v>45230</v>
      </c>
      <c r="G4529">
        <v>40363163.370000005</v>
      </c>
      <c r="H4529">
        <v>4138307.6999999997</v>
      </c>
      <c r="I4529">
        <v>3434469.5399999996</v>
      </c>
      <c r="J4529">
        <v>560463.72</v>
      </c>
      <c r="K4529">
        <v>0</v>
      </c>
      <c r="L4529">
        <v>0</v>
      </c>
      <c r="M4529">
        <v>0</v>
      </c>
      <c r="T4529" s="9">
        <v>45108</v>
      </c>
      <c r="U4529" s="9">
        <v>45473</v>
      </c>
      <c r="V4529">
        <f>SUM(POTABLE_NONPOTABLE_API[[#This Row],[RESIDENTIAL_SINGLEFAMILY_GAL]:[OTHER_GAL]])</f>
        <v>48496404.330000006</v>
      </c>
      <c r="W4529">
        <f>SUM(POTABLE_NONPOTABLE_API[[#This Row],[NONPOTABLE_DEMAND_RESIDENTIAL_RECYCLED_WATER_GAL]:[NONPOTABLE_DEMAND_NONRESIDENTIAL_METERED_IRRIGATION_GAL]])</f>
        <v>0</v>
      </c>
      <c r="X4529" t="str">
        <f>IFERROR(INDEX(Crosswalk_API!$H$2:$H$527, MATCH(POTABLE_NONPOTABLE_API[[#This Row],[PWSID]], CW_PWSID_LIST, 0)), "")</f>
        <v>No</v>
      </c>
    </row>
    <row r="4530" spans="1:24" x14ac:dyDescent="0.25">
      <c r="A4530" t="s">
        <v>2081</v>
      </c>
      <c r="B4530" t="s">
        <v>2082</v>
      </c>
      <c r="C4530" t="s">
        <v>2083</v>
      </c>
      <c r="D4530" t="s">
        <v>2084</v>
      </c>
      <c r="E4530" s="9">
        <v>45231</v>
      </c>
      <c r="F4530" s="9">
        <v>45260</v>
      </c>
      <c r="G4530">
        <v>39841801.769999996</v>
      </c>
      <c r="H4530">
        <v>4170892.8000000003</v>
      </c>
      <c r="I4530">
        <v>5027880.93</v>
      </c>
      <c r="J4530">
        <v>436640.34</v>
      </c>
      <c r="K4530">
        <v>0</v>
      </c>
      <c r="L4530">
        <v>0</v>
      </c>
      <c r="M4530">
        <v>0</v>
      </c>
      <c r="T4530" s="9">
        <v>45108</v>
      </c>
      <c r="U4530" s="9">
        <v>45473</v>
      </c>
      <c r="V4530">
        <f>SUM(POTABLE_NONPOTABLE_API[[#This Row],[RESIDENTIAL_SINGLEFAMILY_GAL]:[OTHER_GAL]])</f>
        <v>49477215.839999996</v>
      </c>
      <c r="W4530">
        <f>SUM(POTABLE_NONPOTABLE_API[[#This Row],[NONPOTABLE_DEMAND_RESIDENTIAL_RECYCLED_WATER_GAL]:[NONPOTABLE_DEMAND_NONRESIDENTIAL_METERED_IRRIGATION_GAL]])</f>
        <v>0</v>
      </c>
      <c r="X4530" t="str">
        <f>IFERROR(INDEX(Crosswalk_API!$H$2:$H$527, MATCH(POTABLE_NONPOTABLE_API[[#This Row],[PWSID]], CW_PWSID_LIST, 0)), "")</f>
        <v>No</v>
      </c>
    </row>
    <row r="4531" spans="1:24" x14ac:dyDescent="0.25">
      <c r="A4531" t="s">
        <v>2081</v>
      </c>
      <c r="B4531" t="s">
        <v>2082</v>
      </c>
      <c r="C4531" t="s">
        <v>2083</v>
      </c>
      <c r="D4531" t="s">
        <v>2084</v>
      </c>
      <c r="E4531" s="9">
        <v>45261</v>
      </c>
      <c r="F4531" s="9">
        <v>45291</v>
      </c>
      <c r="G4531">
        <v>31118770.5</v>
      </c>
      <c r="H4531">
        <v>3502898.25</v>
      </c>
      <c r="I4531">
        <v>3046706.85</v>
      </c>
      <c r="J4531">
        <v>456191.39999999997</v>
      </c>
      <c r="K4531">
        <v>0</v>
      </c>
      <c r="L4531">
        <v>0</v>
      </c>
      <c r="M4531">
        <v>0</v>
      </c>
      <c r="T4531" s="9">
        <v>45108</v>
      </c>
      <c r="U4531" s="9">
        <v>45473</v>
      </c>
      <c r="V4531">
        <f>SUM(POTABLE_NONPOTABLE_API[[#This Row],[RESIDENTIAL_SINGLEFAMILY_GAL]:[OTHER_GAL]])</f>
        <v>38124567</v>
      </c>
      <c r="W4531">
        <f>SUM(POTABLE_NONPOTABLE_API[[#This Row],[NONPOTABLE_DEMAND_RESIDENTIAL_RECYCLED_WATER_GAL]:[NONPOTABLE_DEMAND_NONRESIDENTIAL_METERED_IRRIGATION_GAL]])</f>
        <v>0</v>
      </c>
      <c r="X4531" t="str">
        <f>IFERROR(INDEX(Crosswalk_API!$H$2:$H$527, MATCH(POTABLE_NONPOTABLE_API[[#This Row],[PWSID]], CW_PWSID_LIST, 0)), "")</f>
        <v>No</v>
      </c>
    </row>
    <row r="4532" spans="1:24" x14ac:dyDescent="0.25">
      <c r="A4532" t="s">
        <v>2081</v>
      </c>
      <c r="B4532" t="s">
        <v>2082</v>
      </c>
      <c r="C4532" t="s">
        <v>2083</v>
      </c>
      <c r="D4532" t="s">
        <v>2084</v>
      </c>
      <c r="E4532" s="9">
        <v>45292</v>
      </c>
      <c r="F4532" s="9">
        <v>45322</v>
      </c>
      <c r="G4532">
        <v>26837088.359999999</v>
      </c>
      <c r="H4532">
        <v>4034035.3800000004</v>
      </c>
      <c r="I4532">
        <v>2838162.2100000004</v>
      </c>
      <c r="J4532">
        <v>511586.07</v>
      </c>
      <c r="K4532">
        <v>0</v>
      </c>
      <c r="L4532">
        <v>0</v>
      </c>
      <c r="M4532">
        <v>0</v>
      </c>
      <c r="T4532" s="9">
        <v>45108</v>
      </c>
      <c r="U4532" s="9">
        <v>45473</v>
      </c>
      <c r="V4532">
        <f>SUM(POTABLE_NONPOTABLE_API[[#This Row],[RESIDENTIAL_SINGLEFAMILY_GAL]:[OTHER_GAL]])</f>
        <v>34220872.019999996</v>
      </c>
      <c r="W4532">
        <f>SUM(POTABLE_NONPOTABLE_API[[#This Row],[NONPOTABLE_DEMAND_RESIDENTIAL_RECYCLED_WATER_GAL]:[NONPOTABLE_DEMAND_NONRESIDENTIAL_METERED_IRRIGATION_GAL]])</f>
        <v>0</v>
      </c>
      <c r="X4532" t="str">
        <f>IFERROR(INDEX(Crosswalk_API!$H$2:$H$527, MATCH(POTABLE_NONPOTABLE_API[[#This Row],[PWSID]], CW_PWSID_LIST, 0)), "")</f>
        <v>No</v>
      </c>
    </row>
    <row r="4533" spans="1:24" x14ac:dyDescent="0.25">
      <c r="A4533" t="s">
        <v>2081</v>
      </c>
      <c r="B4533" t="s">
        <v>2082</v>
      </c>
      <c r="C4533" t="s">
        <v>2083</v>
      </c>
      <c r="D4533" t="s">
        <v>2084</v>
      </c>
      <c r="E4533" s="9">
        <v>45323</v>
      </c>
      <c r="F4533" s="9">
        <v>45351</v>
      </c>
      <c r="G4533">
        <v>16735707.359999999</v>
      </c>
      <c r="H4533">
        <v>3300870.6300000004</v>
      </c>
      <c r="I4533">
        <v>2192977.23</v>
      </c>
      <c r="J4533">
        <v>120564.87</v>
      </c>
      <c r="K4533">
        <v>0</v>
      </c>
      <c r="L4533">
        <v>0</v>
      </c>
      <c r="M4533">
        <v>0</v>
      </c>
      <c r="T4533" s="9">
        <v>45108</v>
      </c>
      <c r="U4533" s="9">
        <v>45473</v>
      </c>
      <c r="V4533">
        <f>SUM(POTABLE_NONPOTABLE_API[[#This Row],[RESIDENTIAL_SINGLEFAMILY_GAL]:[OTHER_GAL]])</f>
        <v>22350120.09</v>
      </c>
      <c r="W4533">
        <f>SUM(POTABLE_NONPOTABLE_API[[#This Row],[NONPOTABLE_DEMAND_RESIDENTIAL_RECYCLED_WATER_GAL]:[NONPOTABLE_DEMAND_NONRESIDENTIAL_METERED_IRRIGATION_GAL]])</f>
        <v>0</v>
      </c>
      <c r="X4533" t="str">
        <f>IFERROR(INDEX(Crosswalk_API!$H$2:$H$527, MATCH(POTABLE_NONPOTABLE_API[[#This Row],[PWSID]], CW_PWSID_LIST, 0)), "")</f>
        <v>No</v>
      </c>
    </row>
    <row r="4534" spans="1:24" x14ac:dyDescent="0.25">
      <c r="A4534" t="s">
        <v>2081</v>
      </c>
      <c r="B4534" t="s">
        <v>2082</v>
      </c>
      <c r="C4534" t="s">
        <v>2083</v>
      </c>
      <c r="D4534" t="s">
        <v>2084</v>
      </c>
      <c r="E4534" s="9">
        <v>45352</v>
      </c>
      <c r="F4534" s="9">
        <v>45382</v>
      </c>
      <c r="G4534">
        <v>18514853.82</v>
      </c>
      <c r="H4534">
        <v>3089067.48</v>
      </c>
      <c r="I4534">
        <v>2095221.93</v>
      </c>
      <c r="J4534">
        <v>221578.68000000002</v>
      </c>
      <c r="K4534">
        <v>0</v>
      </c>
      <c r="L4534">
        <v>0</v>
      </c>
      <c r="M4534">
        <v>0</v>
      </c>
      <c r="T4534" s="9">
        <v>45108</v>
      </c>
      <c r="U4534" s="9">
        <v>45473</v>
      </c>
      <c r="V4534">
        <f>SUM(POTABLE_NONPOTABLE_API[[#This Row],[RESIDENTIAL_SINGLEFAMILY_GAL]:[OTHER_GAL]])</f>
        <v>23920721.91</v>
      </c>
      <c r="W4534">
        <f>SUM(POTABLE_NONPOTABLE_API[[#This Row],[NONPOTABLE_DEMAND_RESIDENTIAL_RECYCLED_WATER_GAL]:[NONPOTABLE_DEMAND_NONRESIDENTIAL_METERED_IRRIGATION_GAL]])</f>
        <v>0</v>
      </c>
      <c r="X4534" t="str">
        <f>IFERROR(INDEX(Crosswalk_API!$H$2:$H$527, MATCH(POTABLE_NONPOTABLE_API[[#This Row],[PWSID]], CW_PWSID_LIST, 0)), "")</f>
        <v>No</v>
      </c>
    </row>
    <row r="4535" spans="1:24" x14ac:dyDescent="0.25">
      <c r="A4535" t="s">
        <v>2081</v>
      </c>
      <c r="B4535" t="s">
        <v>2082</v>
      </c>
      <c r="C4535" t="s">
        <v>2083</v>
      </c>
      <c r="D4535" t="s">
        <v>2084</v>
      </c>
      <c r="E4535" s="9">
        <v>45383</v>
      </c>
      <c r="F4535" s="9">
        <v>45412</v>
      </c>
      <c r="G4535">
        <v>23686109.189999998</v>
      </c>
      <c r="H4535">
        <v>3496381.23</v>
      </c>
      <c r="I4535">
        <v>2170167.66</v>
      </c>
      <c r="J4535">
        <v>149891.46000000002</v>
      </c>
      <c r="K4535">
        <v>0</v>
      </c>
      <c r="L4535">
        <v>0</v>
      </c>
      <c r="M4535">
        <v>0</v>
      </c>
      <c r="T4535" s="9">
        <v>45108</v>
      </c>
      <c r="U4535" s="9">
        <v>45473</v>
      </c>
      <c r="V4535">
        <f>SUM(POTABLE_NONPOTABLE_API[[#This Row],[RESIDENTIAL_SINGLEFAMILY_GAL]:[OTHER_GAL]])</f>
        <v>29502549.539999999</v>
      </c>
      <c r="W4535">
        <f>SUM(POTABLE_NONPOTABLE_API[[#This Row],[NONPOTABLE_DEMAND_RESIDENTIAL_RECYCLED_WATER_GAL]:[NONPOTABLE_DEMAND_NONRESIDENTIAL_METERED_IRRIGATION_GAL]])</f>
        <v>0</v>
      </c>
      <c r="X4535" t="str">
        <f>IFERROR(INDEX(Crosswalk_API!$H$2:$H$527, MATCH(POTABLE_NONPOTABLE_API[[#This Row],[PWSID]], CW_PWSID_LIST, 0)), "")</f>
        <v>No</v>
      </c>
    </row>
    <row r="4536" spans="1:24" x14ac:dyDescent="0.25">
      <c r="A4536" t="s">
        <v>2081</v>
      </c>
      <c r="B4536" t="s">
        <v>2082</v>
      </c>
      <c r="C4536" t="s">
        <v>2083</v>
      </c>
      <c r="D4536" t="s">
        <v>2084</v>
      </c>
      <c r="E4536" s="9">
        <v>45413</v>
      </c>
      <c r="F4536" s="9">
        <v>45443</v>
      </c>
      <c r="G4536">
        <v>38248390.379999995</v>
      </c>
      <c r="H4536">
        <v>4193702.3699999996</v>
      </c>
      <c r="I4536">
        <v>2864230.2899999996</v>
      </c>
      <c r="J4536">
        <v>573497.76</v>
      </c>
      <c r="K4536">
        <v>0</v>
      </c>
      <c r="L4536">
        <v>0</v>
      </c>
      <c r="M4536">
        <v>0</v>
      </c>
      <c r="T4536" s="9">
        <v>45108</v>
      </c>
      <c r="U4536" s="9">
        <v>45473</v>
      </c>
      <c r="V4536">
        <f>SUM(POTABLE_NONPOTABLE_API[[#This Row],[RESIDENTIAL_SINGLEFAMILY_GAL]:[OTHER_GAL]])</f>
        <v>45879820.79999999</v>
      </c>
      <c r="W4536">
        <f>SUM(POTABLE_NONPOTABLE_API[[#This Row],[NONPOTABLE_DEMAND_RESIDENTIAL_RECYCLED_WATER_GAL]:[NONPOTABLE_DEMAND_NONRESIDENTIAL_METERED_IRRIGATION_GAL]])</f>
        <v>0</v>
      </c>
      <c r="X4536" t="str">
        <f>IFERROR(INDEX(Crosswalk_API!$H$2:$H$527, MATCH(POTABLE_NONPOTABLE_API[[#This Row],[PWSID]], CW_PWSID_LIST, 0)), "")</f>
        <v>No</v>
      </c>
    </row>
    <row r="4537" spans="1:24" x14ac:dyDescent="0.25">
      <c r="A4537" t="s">
        <v>2081</v>
      </c>
      <c r="B4537" t="s">
        <v>2082</v>
      </c>
      <c r="C4537" t="s">
        <v>2083</v>
      </c>
      <c r="D4537" t="s">
        <v>2084</v>
      </c>
      <c r="E4537" s="9">
        <v>45444</v>
      </c>
      <c r="F4537" s="9">
        <v>45473</v>
      </c>
      <c r="G4537">
        <v>36586550.280000001</v>
      </c>
      <c r="H4537">
        <v>3300870.6300000004</v>
      </c>
      <c r="I4537">
        <v>2583998.4299999997</v>
      </c>
      <c r="J4537">
        <v>638667.96</v>
      </c>
      <c r="K4537">
        <v>0</v>
      </c>
      <c r="L4537">
        <v>0</v>
      </c>
      <c r="M4537">
        <v>0</v>
      </c>
      <c r="T4537" s="9">
        <v>45108</v>
      </c>
      <c r="U4537" s="9">
        <v>45473</v>
      </c>
      <c r="V4537">
        <f>SUM(POTABLE_NONPOTABLE_API[[#This Row],[RESIDENTIAL_SINGLEFAMILY_GAL]:[OTHER_GAL]])</f>
        <v>43110087.300000004</v>
      </c>
      <c r="W4537">
        <f>SUM(POTABLE_NONPOTABLE_API[[#This Row],[NONPOTABLE_DEMAND_RESIDENTIAL_RECYCLED_WATER_GAL]:[NONPOTABLE_DEMAND_NONRESIDENTIAL_METERED_IRRIGATION_GAL]])</f>
        <v>0</v>
      </c>
      <c r="X4537" t="str">
        <f>IFERROR(INDEX(Crosswalk_API!$H$2:$H$527, MATCH(POTABLE_NONPOTABLE_API[[#This Row],[PWSID]], CW_PWSID_LIST, 0)), "")</f>
        <v>No</v>
      </c>
    </row>
    <row r="4538" spans="1:24" x14ac:dyDescent="0.25">
      <c r="A4538" t="s">
        <v>2085</v>
      </c>
      <c r="B4538" t="s">
        <v>2086</v>
      </c>
      <c r="C4538" t="s">
        <v>2087</v>
      </c>
      <c r="D4538" t="s">
        <v>2088</v>
      </c>
      <c r="E4538" s="9">
        <v>45108</v>
      </c>
      <c r="F4538" s="9">
        <v>45138</v>
      </c>
      <c r="G4538">
        <v>10573893</v>
      </c>
      <c r="H4538">
        <v>0</v>
      </c>
      <c r="I4538">
        <v>1105043</v>
      </c>
      <c r="J4538">
        <v>70312</v>
      </c>
      <c r="K4538">
        <v>84442</v>
      </c>
      <c r="L4538">
        <v>0</v>
      </c>
      <c r="M4538">
        <v>0</v>
      </c>
      <c r="T4538" s="9">
        <v>45108</v>
      </c>
      <c r="U4538" s="9">
        <v>45473</v>
      </c>
      <c r="V4538">
        <f>SUM(POTABLE_NONPOTABLE_API[[#This Row],[RESIDENTIAL_SINGLEFAMILY_GAL]:[OTHER_GAL]])</f>
        <v>11833690</v>
      </c>
      <c r="W4538">
        <f>SUM(POTABLE_NONPOTABLE_API[[#This Row],[NONPOTABLE_DEMAND_RESIDENTIAL_RECYCLED_WATER_GAL]:[NONPOTABLE_DEMAND_NONRESIDENTIAL_METERED_IRRIGATION_GAL]])</f>
        <v>0</v>
      </c>
      <c r="X4538" t="str">
        <f>IFERROR(INDEX(Crosswalk_API!$H$2:$H$527, MATCH(POTABLE_NONPOTABLE_API[[#This Row],[PWSID]], CW_PWSID_LIST, 0)), "")</f>
        <v>No</v>
      </c>
    </row>
    <row r="4539" spans="1:24" x14ac:dyDescent="0.25">
      <c r="A4539" t="s">
        <v>2085</v>
      </c>
      <c r="B4539" t="s">
        <v>2086</v>
      </c>
      <c r="C4539" t="s">
        <v>2087</v>
      </c>
      <c r="D4539" t="s">
        <v>2088</v>
      </c>
      <c r="E4539" s="9">
        <v>45139</v>
      </c>
      <c r="F4539" s="9">
        <v>45169</v>
      </c>
      <c r="G4539">
        <v>13491416</v>
      </c>
      <c r="H4539">
        <v>0</v>
      </c>
      <c r="I4539">
        <v>1605888</v>
      </c>
      <c r="J4539">
        <v>120967</v>
      </c>
      <c r="K4539">
        <v>0</v>
      </c>
      <c r="L4539">
        <v>25813</v>
      </c>
      <c r="M4539">
        <v>0</v>
      </c>
      <c r="T4539" s="9">
        <v>45108</v>
      </c>
      <c r="U4539" s="9">
        <v>45473</v>
      </c>
      <c r="V4539">
        <f>SUM(POTABLE_NONPOTABLE_API[[#This Row],[RESIDENTIAL_SINGLEFAMILY_GAL]:[OTHER_GAL]])</f>
        <v>15244084</v>
      </c>
      <c r="W4539">
        <f>SUM(POTABLE_NONPOTABLE_API[[#This Row],[NONPOTABLE_DEMAND_RESIDENTIAL_RECYCLED_WATER_GAL]:[NONPOTABLE_DEMAND_NONRESIDENTIAL_METERED_IRRIGATION_GAL]])</f>
        <v>0</v>
      </c>
      <c r="X4539" t="str">
        <f>IFERROR(INDEX(Crosswalk_API!$H$2:$H$527, MATCH(POTABLE_NONPOTABLE_API[[#This Row],[PWSID]], CW_PWSID_LIST, 0)), "")</f>
        <v>No</v>
      </c>
    </row>
    <row r="4540" spans="1:24" x14ac:dyDescent="0.25">
      <c r="A4540" t="s">
        <v>2085</v>
      </c>
      <c r="B4540" t="s">
        <v>2086</v>
      </c>
      <c r="C4540" t="s">
        <v>2087</v>
      </c>
      <c r="D4540" t="s">
        <v>2088</v>
      </c>
      <c r="E4540" s="9">
        <v>45170</v>
      </c>
      <c r="F4540" s="9">
        <v>45199</v>
      </c>
      <c r="G4540">
        <v>9320622</v>
      </c>
      <c r="H4540">
        <v>0</v>
      </c>
      <c r="I4540">
        <v>853109</v>
      </c>
      <c r="J4540">
        <v>76453</v>
      </c>
      <c r="K4540">
        <v>0</v>
      </c>
      <c r="L4540">
        <v>268891</v>
      </c>
      <c r="M4540">
        <v>0</v>
      </c>
      <c r="T4540" s="9">
        <v>45108</v>
      </c>
      <c r="U4540" s="9">
        <v>45473</v>
      </c>
      <c r="V4540">
        <f>SUM(POTABLE_NONPOTABLE_API[[#This Row],[RESIDENTIAL_SINGLEFAMILY_GAL]:[OTHER_GAL]])</f>
        <v>10519075</v>
      </c>
      <c r="W4540">
        <f>SUM(POTABLE_NONPOTABLE_API[[#This Row],[NONPOTABLE_DEMAND_RESIDENTIAL_RECYCLED_WATER_GAL]:[NONPOTABLE_DEMAND_NONRESIDENTIAL_METERED_IRRIGATION_GAL]])</f>
        <v>0</v>
      </c>
      <c r="X4540" t="str">
        <f>IFERROR(INDEX(Crosswalk_API!$H$2:$H$527, MATCH(POTABLE_NONPOTABLE_API[[#This Row],[PWSID]], CW_PWSID_LIST, 0)), "")</f>
        <v>No</v>
      </c>
    </row>
    <row r="4541" spans="1:24" x14ac:dyDescent="0.25">
      <c r="A4541" t="s">
        <v>2085</v>
      </c>
      <c r="B4541" t="s">
        <v>2086</v>
      </c>
      <c r="C4541" t="s">
        <v>2087</v>
      </c>
      <c r="D4541" t="s">
        <v>2088</v>
      </c>
      <c r="E4541" s="9">
        <v>45200</v>
      </c>
      <c r="F4541" s="9">
        <v>45230</v>
      </c>
      <c r="G4541">
        <v>8808321</v>
      </c>
      <c r="H4541">
        <v>0</v>
      </c>
      <c r="I4541">
        <v>639966</v>
      </c>
      <c r="J4541">
        <v>75488</v>
      </c>
      <c r="K4541">
        <v>23727</v>
      </c>
      <c r="L4541">
        <v>271913</v>
      </c>
      <c r="M4541">
        <v>0</v>
      </c>
      <c r="T4541" s="9">
        <v>45108</v>
      </c>
      <c r="U4541" s="9">
        <v>45473</v>
      </c>
      <c r="V4541">
        <f>SUM(POTABLE_NONPOTABLE_API[[#This Row],[RESIDENTIAL_SINGLEFAMILY_GAL]:[OTHER_GAL]])</f>
        <v>9819415</v>
      </c>
      <c r="W4541">
        <f>SUM(POTABLE_NONPOTABLE_API[[#This Row],[NONPOTABLE_DEMAND_RESIDENTIAL_RECYCLED_WATER_GAL]:[NONPOTABLE_DEMAND_NONRESIDENTIAL_METERED_IRRIGATION_GAL]])</f>
        <v>0</v>
      </c>
      <c r="X4541" t="str">
        <f>IFERROR(INDEX(Crosswalk_API!$H$2:$H$527, MATCH(POTABLE_NONPOTABLE_API[[#This Row],[PWSID]], CW_PWSID_LIST, 0)), "")</f>
        <v>No</v>
      </c>
    </row>
    <row r="4542" spans="1:24" x14ac:dyDescent="0.25">
      <c r="A4542" t="s">
        <v>2085</v>
      </c>
      <c r="B4542" t="s">
        <v>2086</v>
      </c>
      <c r="C4542" t="s">
        <v>2087</v>
      </c>
      <c r="D4542" t="s">
        <v>2088</v>
      </c>
      <c r="E4542" s="9">
        <v>45231</v>
      </c>
      <c r="F4542" s="9">
        <v>45260</v>
      </c>
      <c r="G4542">
        <v>8181646</v>
      </c>
      <c r="H4542">
        <v>0</v>
      </c>
      <c r="I4542">
        <v>587090</v>
      </c>
      <c r="J4542">
        <v>44626</v>
      </c>
      <c r="K4542">
        <v>19979</v>
      </c>
      <c r="L4542">
        <v>15835</v>
      </c>
      <c r="M4542">
        <v>0</v>
      </c>
      <c r="T4542" s="9">
        <v>45108</v>
      </c>
      <c r="U4542" s="9">
        <v>45473</v>
      </c>
      <c r="V4542">
        <f>SUM(POTABLE_NONPOTABLE_API[[#This Row],[RESIDENTIAL_SINGLEFAMILY_GAL]:[OTHER_GAL]])</f>
        <v>8849176</v>
      </c>
      <c r="W4542">
        <f>SUM(POTABLE_NONPOTABLE_API[[#This Row],[NONPOTABLE_DEMAND_RESIDENTIAL_RECYCLED_WATER_GAL]:[NONPOTABLE_DEMAND_NONRESIDENTIAL_METERED_IRRIGATION_GAL]])</f>
        <v>0</v>
      </c>
      <c r="X4542" t="str">
        <f>IFERROR(INDEX(Crosswalk_API!$H$2:$H$527, MATCH(POTABLE_NONPOTABLE_API[[#This Row],[PWSID]], CW_PWSID_LIST, 0)), "")</f>
        <v>No</v>
      </c>
    </row>
    <row r="4543" spans="1:24" x14ac:dyDescent="0.25">
      <c r="A4543" t="s">
        <v>2085</v>
      </c>
      <c r="B4543" t="s">
        <v>2086</v>
      </c>
      <c r="C4543" t="s">
        <v>2087</v>
      </c>
      <c r="D4543" t="s">
        <v>2088</v>
      </c>
      <c r="E4543" s="9">
        <v>45261</v>
      </c>
      <c r="F4543" s="9">
        <v>45291</v>
      </c>
      <c r="G4543">
        <v>8211499</v>
      </c>
      <c r="H4543">
        <v>0</v>
      </c>
      <c r="I4543">
        <v>4401536</v>
      </c>
      <c r="J4543">
        <v>6747</v>
      </c>
      <c r="K4543">
        <v>20024</v>
      </c>
      <c r="L4543">
        <v>8998</v>
      </c>
      <c r="M4543">
        <v>0</v>
      </c>
      <c r="T4543" s="9">
        <v>45108</v>
      </c>
      <c r="U4543" s="9">
        <v>45473</v>
      </c>
      <c r="V4543">
        <f>SUM(POTABLE_NONPOTABLE_API[[#This Row],[RESIDENTIAL_SINGLEFAMILY_GAL]:[OTHER_GAL]])</f>
        <v>12648804</v>
      </c>
      <c r="W4543">
        <f>SUM(POTABLE_NONPOTABLE_API[[#This Row],[NONPOTABLE_DEMAND_RESIDENTIAL_RECYCLED_WATER_GAL]:[NONPOTABLE_DEMAND_NONRESIDENTIAL_METERED_IRRIGATION_GAL]])</f>
        <v>0</v>
      </c>
      <c r="X4543" t="str">
        <f>IFERROR(INDEX(Crosswalk_API!$H$2:$H$527, MATCH(POTABLE_NONPOTABLE_API[[#This Row],[PWSID]], CW_PWSID_LIST, 0)), "")</f>
        <v>No</v>
      </c>
    </row>
    <row r="4544" spans="1:24" x14ac:dyDescent="0.25">
      <c r="A4544" t="s">
        <v>2085</v>
      </c>
      <c r="B4544" t="s">
        <v>2086</v>
      </c>
      <c r="C4544" t="s">
        <v>2087</v>
      </c>
      <c r="D4544" t="s">
        <v>2088</v>
      </c>
      <c r="E4544" s="9">
        <v>45292</v>
      </c>
      <c r="F4544" s="9">
        <v>45322</v>
      </c>
      <c r="G4544">
        <v>8226900</v>
      </c>
      <c r="H4544">
        <v>0</v>
      </c>
      <c r="I4544">
        <v>500105</v>
      </c>
      <c r="J4544">
        <v>4488</v>
      </c>
      <c r="K4544">
        <v>20002</v>
      </c>
      <c r="L4544">
        <v>5543</v>
      </c>
      <c r="M4544">
        <v>0</v>
      </c>
      <c r="T4544" s="9">
        <v>45108</v>
      </c>
      <c r="U4544" s="9">
        <v>45473</v>
      </c>
      <c r="V4544">
        <f>SUM(POTABLE_NONPOTABLE_API[[#This Row],[RESIDENTIAL_SINGLEFAMILY_GAL]:[OTHER_GAL]])</f>
        <v>8757038</v>
      </c>
      <c r="W4544">
        <f>SUM(POTABLE_NONPOTABLE_API[[#This Row],[NONPOTABLE_DEMAND_RESIDENTIAL_RECYCLED_WATER_GAL]:[NONPOTABLE_DEMAND_NONRESIDENTIAL_METERED_IRRIGATION_GAL]])</f>
        <v>0</v>
      </c>
      <c r="X4544" t="str">
        <f>IFERROR(INDEX(Crosswalk_API!$H$2:$H$527, MATCH(POTABLE_NONPOTABLE_API[[#This Row],[PWSID]], CW_PWSID_LIST, 0)), "")</f>
        <v>No</v>
      </c>
    </row>
    <row r="4545" spans="1:24" x14ac:dyDescent="0.25">
      <c r="A4545" t="s">
        <v>2085</v>
      </c>
      <c r="B4545" t="s">
        <v>2086</v>
      </c>
      <c r="C4545" t="s">
        <v>2087</v>
      </c>
      <c r="D4545" t="s">
        <v>2088</v>
      </c>
      <c r="E4545" s="9">
        <v>45323</v>
      </c>
      <c r="F4545" s="9">
        <v>45351</v>
      </c>
      <c r="G4545">
        <v>6738276</v>
      </c>
      <c r="H4545">
        <v>0</v>
      </c>
      <c r="I4545">
        <v>343347</v>
      </c>
      <c r="J4545">
        <v>5288</v>
      </c>
      <c r="K4545">
        <v>19171</v>
      </c>
      <c r="L4545">
        <v>12701</v>
      </c>
      <c r="M4545">
        <v>0</v>
      </c>
      <c r="T4545" s="9">
        <v>45108</v>
      </c>
      <c r="U4545" s="9">
        <v>45473</v>
      </c>
      <c r="V4545">
        <f>SUM(POTABLE_NONPOTABLE_API[[#This Row],[RESIDENTIAL_SINGLEFAMILY_GAL]:[OTHER_GAL]])</f>
        <v>7118783</v>
      </c>
      <c r="W4545">
        <f>SUM(POTABLE_NONPOTABLE_API[[#This Row],[NONPOTABLE_DEMAND_RESIDENTIAL_RECYCLED_WATER_GAL]:[NONPOTABLE_DEMAND_NONRESIDENTIAL_METERED_IRRIGATION_GAL]])</f>
        <v>0</v>
      </c>
      <c r="X4545" t="str">
        <f>IFERROR(INDEX(Crosswalk_API!$H$2:$H$527, MATCH(POTABLE_NONPOTABLE_API[[#This Row],[PWSID]], CW_PWSID_LIST, 0)), "")</f>
        <v>No</v>
      </c>
    </row>
    <row r="4546" spans="1:24" x14ac:dyDescent="0.25">
      <c r="A4546" t="s">
        <v>2085</v>
      </c>
      <c r="B4546" t="s">
        <v>2086</v>
      </c>
      <c r="C4546" t="s">
        <v>2087</v>
      </c>
      <c r="D4546" t="s">
        <v>2088</v>
      </c>
      <c r="E4546" s="9">
        <v>45352</v>
      </c>
      <c r="F4546" s="9">
        <v>45382</v>
      </c>
      <c r="G4546">
        <v>7302253</v>
      </c>
      <c r="H4546">
        <v>0</v>
      </c>
      <c r="I4546">
        <v>455158</v>
      </c>
      <c r="J4546">
        <v>7809</v>
      </c>
      <c r="K4546">
        <v>21333</v>
      </c>
      <c r="L4546">
        <v>5730</v>
      </c>
      <c r="M4546">
        <v>0</v>
      </c>
      <c r="T4546" s="9">
        <v>45108</v>
      </c>
      <c r="U4546" s="9">
        <v>45473</v>
      </c>
      <c r="V4546">
        <f>SUM(POTABLE_NONPOTABLE_API[[#This Row],[RESIDENTIAL_SINGLEFAMILY_GAL]:[OTHER_GAL]])</f>
        <v>7792283</v>
      </c>
      <c r="W4546">
        <f>SUM(POTABLE_NONPOTABLE_API[[#This Row],[NONPOTABLE_DEMAND_RESIDENTIAL_RECYCLED_WATER_GAL]:[NONPOTABLE_DEMAND_NONRESIDENTIAL_METERED_IRRIGATION_GAL]])</f>
        <v>0</v>
      </c>
      <c r="X4546" t="str">
        <f>IFERROR(INDEX(Crosswalk_API!$H$2:$H$527, MATCH(POTABLE_NONPOTABLE_API[[#This Row],[PWSID]], CW_PWSID_LIST, 0)), "")</f>
        <v>No</v>
      </c>
    </row>
    <row r="4547" spans="1:24" x14ac:dyDescent="0.25">
      <c r="A4547" t="s">
        <v>2085</v>
      </c>
      <c r="B4547" t="s">
        <v>2086</v>
      </c>
      <c r="C4547" t="s">
        <v>2087</v>
      </c>
      <c r="D4547" t="s">
        <v>2088</v>
      </c>
      <c r="E4547" s="9">
        <v>45383</v>
      </c>
      <c r="F4547" s="9">
        <v>45412</v>
      </c>
      <c r="G4547">
        <v>7049444</v>
      </c>
      <c r="H4547">
        <v>0</v>
      </c>
      <c r="I4547">
        <v>474112</v>
      </c>
      <c r="J4547">
        <v>11624</v>
      </c>
      <c r="K4547">
        <v>21595</v>
      </c>
      <c r="L4547">
        <v>0</v>
      </c>
      <c r="M4547">
        <v>0</v>
      </c>
      <c r="T4547" s="9">
        <v>45108</v>
      </c>
      <c r="U4547" s="9">
        <v>45473</v>
      </c>
      <c r="V4547">
        <f>SUM(POTABLE_NONPOTABLE_API[[#This Row],[RESIDENTIAL_SINGLEFAMILY_GAL]:[OTHER_GAL]])</f>
        <v>7556775</v>
      </c>
      <c r="W4547">
        <f>SUM(POTABLE_NONPOTABLE_API[[#This Row],[NONPOTABLE_DEMAND_RESIDENTIAL_RECYCLED_WATER_GAL]:[NONPOTABLE_DEMAND_NONRESIDENTIAL_METERED_IRRIGATION_GAL]])</f>
        <v>0</v>
      </c>
      <c r="X4547" t="str">
        <f>IFERROR(INDEX(Crosswalk_API!$H$2:$H$527, MATCH(POTABLE_NONPOTABLE_API[[#This Row],[PWSID]], CW_PWSID_LIST, 0)), "")</f>
        <v>No</v>
      </c>
    </row>
    <row r="4548" spans="1:24" x14ac:dyDescent="0.25">
      <c r="A4548" t="s">
        <v>2085</v>
      </c>
      <c r="B4548" t="s">
        <v>2086</v>
      </c>
      <c r="C4548" t="s">
        <v>2087</v>
      </c>
      <c r="D4548" t="s">
        <v>2088</v>
      </c>
      <c r="E4548" s="9">
        <v>45413</v>
      </c>
      <c r="F4548" s="9">
        <v>45443</v>
      </c>
      <c r="G4548">
        <v>6824483</v>
      </c>
      <c r="H4548">
        <v>0</v>
      </c>
      <c r="I4548">
        <v>488474</v>
      </c>
      <c r="J4548">
        <v>27235</v>
      </c>
      <c r="K4548">
        <v>15640</v>
      </c>
      <c r="L4548">
        <v>7488</v>
      </c>
      <c r="M4548">
        <v>0</v>
      </c>
      <c r="T4548" s="9">
        <v>45108</v>
      </c>
      <c r="U4548" s="9">
        <v>45473</v>
      </c>
      <c r="V4548">
        <f>SUM(POTABLE_NONPOTABLE_API[[#This Row],[RESIDENTIAL_SINGLEFAMILY_GAL]:[OTHER_GAL]])</f>
        <v>7363320</v>
      </c>
      <c r="W4548">
        <f>SUM(POTABLE_NONPOTABLE_API[[#This Row],[NONPOTABLE_DEMAND_RESIDENTIAL_RECYCLED_WATER_GAL]:[NONPOTABLE_DEMAND_NONRESIDENTIAL_METERED_IRRIGATION_GAL]])</f>
        <v>0</v>
      </c>
      <c r="X4548" t="str">
        <f>IFERROR(INDEX(Crosswalk_API!$H$2:$H$527, MATCH(POTABLE_NONPOTABLE_API[[#This Row],[PWSID]], CW_PWSID_LIST, 0)), "")</f>
        <v>No</v>
      </c>
    </row>
    <row r="4549" spans="1:24" x14ac:dyDescent="0.25">
      <c r="A4549" t="s">
        <v>2085</v>
      </c>
      <c r="B4549" t="s">
        <v>2086</v>
      </c>
      <c r="C4549" t="s">
        <v>2087</v>
      </c>
      <c r="D4549" t="s">
        <v>2088</v>
      </c>
      <c r="E4549" s="9">
        <v>45444</v>
      </c>
      <c r="F4549" s="9">
        <v>45473</v>
      </c>
      <c r="G4549">
        <v>9313752</v>
      </c>
      <c r="H4549">
        <v>0</v>
      </c>
      <c r="I4549">
        <v>940483</v>
      </c>
      <c r="J4549">
        <v>48770</v>
      </c>
      <c r="K4549">
        <v>20869</v>
      </c>
      <c r="L4549">
        <v>658</v>
      </c>
      <c r="M4549">
        <v>0</v>
      </c>
      <c r="T4549" s="9">
        <v>45108</v>
      </c>
      <c r="U4549" s="9">
        <v>45473</v>
      </c>
      <c r="V4549">
        <f>SUM(POTABLE_NONPOTABLE_API[[#This Row],[RESIDENTIAL_SINGLEFAMILY_GAL]:[OTHER_GAL]])</f>
        <v>10324532</v>
      </c>
      <c r="W4549">
        <f>SUM(POTABLE_NONPOTABLE_API[[#This Row],[NONPOTABLE_DEMAND_RESIDENTIAL_RECYCLED_WATER_GAL]:[NONPOTABLE_DEMAND_NONRESIDENTIAL_METERED_IRRIGATION_GAL]])</f>
        <v>0</v>
      </c>
      <c r="X4549" t="str">
        <f>IFERROR(INDEX(Crosswalk_API!$H$2:$H$527, MATCH(POTABLE_NONPOTABLE_API[[#This Row],[PWSID]], CW_PWSID_LIST, 0)), "")</f>
        <v>No</v>
      </c>
    </row>
    <row r="4550" spans="1:24" x14ac:dyDescent="0.25">
      <c r="A4550" t="s">
        <v>2089</v>
      </c>
      <c r="B4550" t="s">
        <v>2090</v>
      </c>
      <c r="C4550" t="s">
        <v>2091</v>
      </c>
      <c r="D4550" t="s">
        <v>2092</v>
      </c>
      <c r="E4550" s="9">
        <v>45108</v>
      </c>
      <c r="F4550" s="9">
        <v>45138</v>
      </c>
      <c r="G4550">
        <v>1259000000</v>
      </c>
      <c r="H4550">
        <v>451000000</v>
      </c>
      <c r="I4550">
        <v>630000000</v>
      </c>
      <c r="J4550">
        <v>170000000</v>
      </c>
      <c r="K4550">
        <v>0</v>
      </c>
      <c r="L4550">
        <v>69000000</v>
      </c>
      <c r="M4550">
        <v>0</v>
      </c>
      <c r="T4550" s="9">
        <v>45108</v>
      </c>
      <c r="U4550" s="9">
        <v>45473</v>
      </c>
      <c r="V4550">
        <f>SUM(POTABLE_NONPOTABLE_API[[#This Row],[RESIDENTIAL_SINGLEFAMILY_GAL]:[OTHER_GAL]])</f>
        <v>2579000000</v>
      </c>
      <c r="W4550">
        <f>SUM(POTABLE_NONPOTABLE_API[[#This Row],[NONPOTABLE_DEMAND_RESIDENTIAL_RECYCLED_WATER_GAL]:[NONPOTABLE_DEMAND_NONRESIDENTIAL_METERED_IRRIGATION_GAL]])</f>
        <v>0</v>
      </c>
      <c r="X4550" t="str">
        <f>IFERROR(INDEX(Crosswalk_API!$H$2:$H$527, MATCH(POTABLE_NONPOTABLE_API[[#This Row],[PWSID]], CW_PWSID_LIST, 0)), "")</f>
        <v>No</v>
      </c>
    </row>
    <row r="4551" spans="1:24" x14ac:dyDescent="0.25">
      <c r="A4551" t="s">
        <v>2089</v>
      </c>
      <c r="B4551" t="s">
        <v>2090</v>
      </c>
      <c r="C4551" t="s">
        <v>2091</v>
      </c>
      <c r="D4551" t="s">
        <v>2092</v>
      </c>
      <c r="E4551" s="9">
        <v>45139</v>
      </c>
      <c r="F4551" s="9">
        <v>45169</v>
      </c>
      <c r="G4551">
        <v>1532000000</v>
      </c>
      <c r="H4551">
        <v>523000000</v>
      </c>
      <c r="I4551">
        <v>818000000</v>
      </c>
      <c r="J4551">
        <v>252000000</v>
      </c>
      <c r="K4551">
        <v>0</v>
      </c>
      <c r="L4551">
        <v>68000000</v>
      </c>
      <c r="M4551">
        <v>0</v>
      </c>
      <c r="T4551" s="9">
        <v>45108</v>
      </c>
      <c r="U4551" s="9">
        <v>45473</v>
      </c>
      <c r="V4551">
        <f>SUM(POTABLE_NONPOTABLE_API[[#This Row],[RESIDENTIAL_SINGLEFAMILY_GAL]:[OTHER_GAL]])</f>
        <v>3193000000</v>
      </c>
      <c r="W4551">
        <f>SUM(POTABLE_NONPOTABLE_API[[#This Row],[NONPOTABLE_DEMAND_RESIDENTIAL_RECYCLED_WATER_GAL]:[NONPOTABLE_DEMAND_NONRESIDENTIAL_METERED_IRRIGATION_GAL]])</f>
        <v>0</v>
      </c>
      <c r="X4551" t="str">
        <f>IFERROR(INDEX(Crosswalk_API!$H$2:$H$527, MATCH(POTABLE_NONPOTABLE_API[[#This Row],[PWSID]], CW_PWSID_LIST, 0)), "")</f>
        <v>No</v>
      </c>
    </row>
    <row r="4552" spans="1:24" x14ac:dyDescent="0.25">
      <c r="A4552" t="s">
        <v>2089</v>
      </c>
      <c r="B4552" t="s">
        <v>2090</v>
      </c>
      <c r="C4552" t="s">
        <v>2091</v>
      </c>
      <c r="D4552" t="s">
        <v>2092</v>
      </c>
      <c r="E4552" s="9">
        <v>45170</v>
      </c>
      <c r="F4552" s="9">
        <v>45199</v>
      </c>
      <c r="G4552">
        <v>1432000000</v>
      </c>
      <c r="H4552">
        <v>506000000</v>
      </c>
      <c r="I4552">
        <v>760000000</v>
      </c>
      <c r="J4552">
        <v>243000000</v>
      </c>
      <c r="K4552">
        <v>0</v>
      </c>
      <c r="L4552">
        <v>94000000</v>
      </c>
      <c r="M4552">
        <v>0</v>
      </c>
      <c r="T4552" s="9">
        <v>45108</v>
      </c>
      <c r="U4552" s="9">
        <v>45473</v>
      </c>
      <c r="V4552">
        <f>SUM(POTABLE_NONPOTABLE_API[[#This Row],[RESIDENTIAL_SINGLEFAMILY_GAL]:[OTHER_GAL]])</f>
        <v>3035000000</v>
      </c>
      <c r="W4552">
        <f>SUM(POTABLE_NONPOTABLE_API[[#This Row],[NONPOTABLE_DEMAND_RESIDENTIAL_RECYCLED_WATER_GAL]:[NONPOTABLE_DEMAND_NONRESIDENTIAL_METERED_IRRIGATION_GAL]])</f>
        <v>0</v>
      </c>
      <c r="X4552" t="str">
        <f>IFERROR(INDEX(Crosswalk_API!$H$2:$H$527, MATCH(POTABLE_NONPOTABLE_API[[#This Row],[PWSID]], CW_PWSID_LIST, 0)), "")</f>
        <v>No</v>
      </c>
    </row>
    <row r="4553" spans="1:24" x14ac:dyDescent="0.25">
      <c r="A4553" t="s">
        <v>2089</v>
      </c>
      <c r="B4553" t="s">
        <v>2090</v>
      </c>
      <c r="C4553" t="s">
        <v>2091</v>
      </c>
      <c r="D4553" t="s">
        <v>2092</v>
      </c>
      <c r="E4553" s="9">
        <v>45200</v>
      </c>
      <c r="F4553" s="9">
        <v>45230</v>
      </c>
      <c r="G4553">
        <v>1155200000</v>
      </c>
      <c r="H4553">
        <v>420800000</v>
      </c>
      <c r="I4553">
        <v>623000000</v>
      </c>
      <c r="J4553">
        <v>152700000</v>
      </c>
      <c r="K4553">
        <v>0</v>
      </c>
      <c r="L4553">
        <v>74000000</v>
      </c>
      <c r="M4553">
        <v>0</v>
      </c>
      <c r="T4553" s="9">
        <v>45108</v>
      </c>
      <c r="U4553" s="9">
        <v>45473</v>
      </c>
      <c r="V4553">
        <f>SUM(POTABLE_NONPOTABLE_API[[#This Row],[RESIDENTIAL_SINGLEFAMILY_GAL]:[OTHER_GAL]])</f>
        <v>2425700000</v>
      </c>
      <c r="W4553">
        <f>SUM(POTABLE_NONPOTABLE_API[[#This Row],[NONPOTABLE_DEMAND_RESIDENTIAL_RECYCLED_WATER_GAL]:[NONPOTABLE_DEMAND_NONRESIDENTIAL_METERED_IRRIGATION_GAL]])</f>
        <v>0</v>
      </c>
      <c r="X4553" t="str">
        <f>IFERROR(INDEX(Crosswalk_API!$H$2:$H$527, MATCH(POTABLE_NONPOTABLE_API[[#This Row],[PWSID]], CW_PWSID_LIST, 0)), "")</f>
        <v>No</v>
      </c>
    </row>
    <row r="4554" spans="1:24" x14ac:dyDescent="0.25">
      <c r="A4554" t="s">
        <v>2089</v>
      </c>
      <c r="B4554" t="s">
        <v>2090</v>
      </c>
      <c r="C4554" t="s">
        <v>2091</v>
      </c>
      <c r="D4554" t="s">
        <v>2092</v>
      </c>
      <c r="E4554" s="9">
        <v>45231</v>
      </c>
      <c r="F4554" s="9">
        <v>45260</v>
      </c>
      <c r="G4554">
        <v>984000000</v>
      </c>
      <c r="H4554">
        <v>390200000</v>
      </c>
      <c r="I4554">
        <v>528400000</v>
      </c>
      <c r="J4554">
        <v>80300000</v>
      </c>
      <c r="K4554">
        <v>0</v>
      </c>
      <c r="L4554">
        <v>49000000</v>
      </c>
      <c r="M4554">
        <v>0</v>
      </c>
      <c r="T4554" s="9">
        <v>45108</v>
      </c>
      <c r="U4554" s="9">
        <v>45473</v>
      </c>
      <c r="V4554">
        <f>SUM(POTABLE_NONPOTABLE_API[[#This Row],[RESIDENTIAL_SINGLEFAMILY_GAL]:[OTHER_GAL]])</f>
        <v>2031900000</v>
      </c>
      <c r="W4554">
        <f>SUM(POTABLE_NONPOTABLE_API[[#This Row],[NONPOTABLE_DEMAND_RESIDENTIAL_RECYCLED_WATER_GAL]:[NONPOTABLE_DEMAND_NONRESIDENTIAL_METERED_IRRIGATION_GAL]])</f>
        <v>0</v>
      </c>
      <c r="X4554" t="str">
        <f>IFERROR(INDEX(Crosswalk_API!$H$2:$H$527, MATCH(POTABLE_NONPOTABLE_API[[#This Row],[PWSID]], CW_PWSID_LIST, 0)), "")</f>
        <v>No</v>
      </c>
    </row>
    <row r="4555" spans="1:24" x14ac:dyDescent="0.25">
      <c r="A4555" t="s">
        <v>2089</v>
      </c>
      <c r="B4555" t="s">
        <v>2090</v>
      </c>
      <c r="C4555" t="s">
        <v>2091</v>
      </c>
      <c r="D4555" t="s">
        <v>2092</v>
      </c>
      <c r="E4555" s="9">
        <v>45261</v>
      </c>
      <c r="F4555" s="9">
        <v>45291</v>
      </c>
      <c r="G4555">
        <v>759600000</v>
      </c>
      <c r="H4555">
        <v>321900000</v>
      </c>
      <c r="I4555">
        <v>421900000</v>
      </c>
      <c r="J4555">
        <v>18900000</v>
      </c>
      <c r="K4555">
        <v>0</v>
      </c>
      <c r="L4555">
        <v>6100000</v>
      </c>
      <c r="M4555">
        <v>0</v>
      </c>
      <c r="T4555" s="9">
        <v>45108</v>
      </c>
      <c r="U4555" s="9">
        <v>45473</v>
      </c>
      <c r="V4555">
        <f>SUM(POTABLE_NONPOTABLE_API[[#This Row],[RESIDENTIAL_SINGLEFAMILY_GAL]:[OTHER_GAL]])</f>
        <v>1528400000</v>
      </c>
      <c r="W4555">
        <f>SUM(POTABLE_NONPOTABLE_API[[#This Row],[NONPOTABLE_DEMAND_RESIDENTIAL_RECYCLED_WATER_GAL]:[NONPOTABLE_DEMAND_NONRESIDENTIAL_METERED_IRRIGATION_GAL]])</f>
        <v>0</v>
      </c>
      <c r="X4555" t="str">
        <f>IFERROR(INDEX(Crosswalk_API!$H$2:$H$527, MATCH(POTABLE_NONPOTABLE_API[[#This Row],[PWSID]], CW_PWSID_LIST, 0)), "")</f>
        <v>No</v>
      </c>
    </row>
    <row r="4556" spans="1:24" x14ac:dyDescent="0.25">
      <c r="A4556" t="s">
        <v>2089</v>
      </c>
      <c r="B4556" t="s">
        <v>2090</v>
      </c>
      <c r="C4556" t="s">
        <v>2091</v>
      </c>
      <c r="D4556" t="s">
        <v>2092</v>
      </c>
      <c r="E4556" s="9">
        <v>45292</v>
      </c>
      <c r="F4556" s="9">
        <v>45322</v>
      </c>
      <c r="G4556">
        <v>633100000</v>
      </c>
      <c r="H4556">
        <v>279000000</v>
      </c>
      <c r="I4556">
        <v>319700000</v>
      </c>
      <c r="J4556">
        <v>71900000</v>
      </c>
      <c r="K4556">
        <v>0</v>
      </c>
      <c r="L4556">
        <v>4099999.9999999995</v>
      </c>
      <c r="M4556">
        <v>0</v>
      </c>
      <c r="T4556" s="9">
        <v>45108</v>
      </c>
      <c r="U4556" s="9">
        <v>45473</v>
      </c>
      <c r="V4556">
        <f>SUM(POTABLE_NONPOTABLE_API[[#This Row],[RESIDENTIAL_SINGLEFAMILY_GAL]:[OTHER_GAL]])</f>
        <v>1307800000</v>
      </c>
      <c r="W4556">
        <f>SUM(POTABLE_NONPOTABLE_API[[#This Row],[NONPOTABLE_DEMAND_RESIDENTIAL_RECYCLED_WATER_GAL]:[NONPOTABLE_DEMAND_NONRESIDENTIAL_METERED_IRRIGATION_GAL]])</f>
        <v>0</v>
      </c>
      <c r="X4556" t="str">
        <f>IFERROR(INDEX(Crosswalk_API!$H$2:$H$527, MATCH(POTABLE_NONPOTABLE_API[[#This Row],[PWSID]], CW_PWSID_LIST, 0)), "")</f>
        <v>No</v>
      </c>
    </row>
    <row r="4557" spans="1:24" x14ac:dyDescent="0.25">
      <c r="A4557" t="s">
        <v>2089</v>
      </c>
      <c r="B4557" t="s">
        <v>2090</v>
      </c>
      <c r="C4557" t="s">
        <v>2091</v>
      </c>
      <c r="D4557" t="s">
        <v>2092</v>
      </c>
      <c r="E4557" s="9">
        <v>45323</v>
      </c>
      <c r="F4557" s="9">
        <v>45351</v>
      </c>
      <c r="G4557">
        <v>628600000</v>
      </c>
      <c r="H4557">
        <v>288200000</v>
      </c>
      <c r="I4557">
        <v>322100000</v>
      </c>
      <c r="J4557">
        <v>66700000</v>
      </c>
      <c r="K4557">
        <v>0</v>
      </c>
      <c r="L4557">
        <v>7000000</v>
      </c>
      <c r="M4557">
        <v>0</v>
      </c>
      <c r="T4557" s="9">
        <v>45108</v>
      </c>
      <c r="U4557" s="9">
        <v>45473</v>
      </c>
      <c r="V4557">
        <f>SUM(POTABLE_NONPOTABLE_API[[#This Row],[RESIDENTIAL_SINGLEFAMILY_GAL]:[OTHER_GAL]])</f>
        <v>1312600000</v>
      </c>
      <c r="W4557">
        <f>SUM(POTABLE_NONPOTABLE_API[[#This Row],[NONPOTABLE_DEMAND_RESIDENTIAL_RECYCLED_WATER_GAL]:[NONPOTABLE_DEMAND_NONRESIDENTIAL_METERED_IRRIGATION_GAL]])</f>
        <v>0</v>
      </c>
      <c r="X4557" t="str">
        <f>IFERROR(INDEX(Crosswalk_API!$H$2:$H$527, MATCH(POTABLE_NONPOTABLE_API[[#This Row],[PWSID]], CW_PWSID_LIST, 0)), "")</f>
        <v>No</v>
      </c>
    </row>
    <row r="4558" spans="1:24" x14ac:dyDescent="0.25">
      <c r="A4558" t="s">
        <v>2089</v>
      </c>
      <c r="B4558" t="s">
        <v>2090</v>
      </c>
      <c r="C4558" t="s">
        <v>2091</v>
      </c>
      <c r="D4558" t="s">
        <v>2092</v>
      </c>
      <c r="E4558" s="9">
        <v>45352</v>
      </c>
      <c r="F4558" s="9">
        <v>45382</v>
      </c>
      <c r="G4558">
        <v>610800000</v>
      </c>
      <c r="H4558">
        <v>281300000</v>
      </c>
      <c r="I4558">
        <v>364700000</v>
      </c>
      <c r="J4558">
        <v>12800000</v>
      </c>
      <c r="K4558">
        <v>0</v>
      </c>
      <c r="L4558">
        <v>6800000</v>
      </c>
      <c r="M4558">
        <v>0</v>
      </c>
      <c r="T4558" s="9">
        <v>45108</v>
      </c>
      <c r="U4558" s="9">
        <v>45473</v>
      </c>
      <c r="V4558">
        <f>SUM(POTABLE_NONPOTABLE_API[[#This Row],[RESIDENTIAL_SINGLEFAMILY_GAL]:[OTHER_GAL]])</f>
        <v>1276400000</v>
      </c>
      <c r="W4558">
        <f>SUM(POTABLE_NONPOTABLE_API[[#This Row],[NONPOTABLE_DEMAND_RESIDENTIAL_RECYCLED_WATER_GAL]:[NONPOTABLE_DEMAND_NONRESIDENTIAL_METERED_IRRIGATION_GAL]])</f>
        <v>0</v>
      </c>
      <c r="X4558" t="str">
        <f>IFERROR(INDEX(Crosswalk_API!$H$2:$H$527, MATCH(POTABLE_NONPOTABLE_API[[#This Row],[PWSID]], CW_PWSID_LIST, 0)), "")</f>
        <v>No</v>
      </c>
    </row>
    <row r="4559" spans="1:24" x14ac:dyDescent="0.25">
      <c r="A4559" t="s">
        <v>2089</v>
      </c>
      <c r="B4559" t="s">
        <v>2090</v>
      </c>
      <c r="C4559" t="s">
        <v>2091</v>
      </c>
      <c r="D4559" t="s">
        <v>2092</v>
      </c>
      <c r="E4559" s="9">
        <v>45383</v>
      </c>
      <c r="F4559" s="9">
        <v>45412</v>
      </c>
      <c r="G4559">
        <v>731300000</v>
      </c>
      <c r="H4559">
        <v>323300000</v>
      </c>
      <c r="I4559">
        <v>421000000</v>
      </c>
      <c r="J4559">
        <v>25200000</v>
      </c>
      <c r="K4559">
        <v>0</v>
      </c>
      <c r="L4559">
        <v>10200000</v>
      </c>
      <c r="M4559">
        <v>0</v>
      </c>
      <c r="T4559" s="9">
        <v>45108</v>
      </c>
      <c r="U4559" s="9">
        <v>45473</v>
      </c>
      <c r="V4559">
        <f>SUM(POTABLE_NONPOTABLE_API[[#This Row],[RESIDENTIAL_SINGLEFAMILY_GAL]:[OTHER_GAL]])</f>
        <v>1511000000</v>
      </c>
      <c r="W4559">
        <f>SUM(POTABLE_NONPOTABLE_API[[#This Row],[NONPOTABLE_DEMAND_RESIDENTIAL_RECYCLED_WATER_GAL]:[NONPOTABLE_DEMAND_NONRESIDENTIAL_METERED_IRRIGATION_GAL]])</f>
        <v>0</v>
      </c>
      <c r="X4559" t="str">
        <f>IFERROR(INDEX(Crosswalk_API!$H$2:$H$527, MATCH(POTABLE_NONPOTABLE_API[[#This Row],[PWSID]], CW_PWSID_LIST, 0)), "")</f>
        <v>No</v>
      </c>
    </row>
    <row r="4560" spans="1:24" x14ac:dyDescent="0.25">
      <c r="A4560" t="s">
        <v>2089</v>
      </c>
      <c r="B4560" t="s">
        <v>2090</v>
      </c>
      <c r="C4560" t="s">
        <v>2091</v>
      </c>
      <c r="D4560" t="s">
        <v>2092</v>
      </c>
      <c r="E4560" s="9">
        <v>45413</v>
      </c>
      <c r="F4560" s="9">
        <v>45443</v>
      </c>
      <c r="G4560">
        <v>867800000</v>
      </c>
      <c r="H4560">
        <v>356600000</v>
      </c>
      <c r="I4560">
        <v>320200000</v>
      </c>
      <c r="J4560">
        <v>169900000</v>
      </c>
      <c r="K4560">
        <v>0</v>
      </c>
      <c r="L4560">
        <v>15700000</v>
      </c>
      <c r="M4560">
        <v>0</v>
      </c>
      <c r="T4560" s="9">
        <v>45108</v>
      </c>
      <c r="U4560" s="9">
        <v>45473</v>
      </c>
      <c r="V4560">
        <f>SUM(POTABLE_NONPOTABLE_API[[#This Row],[RESIDENTIAL_SINGLEFAMILY_GAL]:[OTHER_GAL]])</f>
        <v>1730200000</v>
      </c>
      <c r="W4560">
        <f>SUM(POTABLE_NONPOTABLE_API[[#This Row],[NONPOTABLE_DEMAND_RESIDENTIAL_RECYCLED_WATER_GAL]:[NONPOTABLE_DEMAND_NONRESIDENTIAL_METERED_IRRIGATION_GAL]])</f>
        <v>0</v>
      </c>
      <c r="X4560" t="str">
        <f>IFERROR(INDEX(Crosswalk_API!$H$2:$H$527, MATCH(POTABLE_NONPOTABLE_API[[#This Row],[PWSID]], CW_PWSID_LIST, 0)), "")</f>
        <v>No</v>
      </c>
    </row>
    <row r="4561" spans="1:24" x14ac:dyDescent="0.25">
      <c r="A4561" t="s">
        <v>2089</v>
      </c>
      <c r="B4561" t="s">
        <v>2090</v>
      </c>
      <c r="C4561" t="s">
        <v>2091</v>
      </c>
      <c r="D4561" t="s">
        <v>2092</v>
      </c>
      <c r="E4561" s="9">
        <v>45444</v>
      </c>
      <c r="F4561" s="9">
        <v>45473</v>
      </c>
      <c r="G4561">
        <v>1397300000</v>
      </c>
      <c r="H4561">
        <v>471200000</v>
      </c>
      <c r="I4561">
        <v>769200000</v>
      </c>
      <c r="J4561">
        <v>177400000</v>
      </c>
      <c r="K4561">
        <v>0</v>
      </c>
      <c r="L4561">
        <v>28500000</v>
      </c>
      <c r="M4561">
        <v>0</v>
      </c>
      <c r="T4561" s="9">
        <v>45108</v>
      </c>
      <c r="U4561" s="9">
        <v>45473</v>
      </c>
      <c r="V4561">
        <f>SUM(POTABLE_NONPOTABLE_API[[#This Row],[RESIDENTIAL_SINGLEFAMILY_GAL]:[OTHER_GAL]])</f>
        <v>2843600000</v>
      </c>
      <c r="W4561">
        <f>SUM(POTABLE_NONPOTABLE_API[[#This Row],[NONPOTABLE_DEMAND_RESIDENTIAL_RECYCLED_WATER_GAL]:[NONPOTABLE_DEMAND_NONRESIDENTIAL_METERED_IRRIGATION_GAL]])</f>
        <v>0</v>
      </c>
      <c r="X4561" t="str">
        <f>IFERROR(INDEX(Crosswalk_API!$H$2:$H$527, MATCH(POTABLE_NONPOTABLE_API[[#This Row],[PWSID]], CW_PWSID_LIST, 0)), "")</f>
        <v>No</v>
      </c>
    </row>
    <row r="4562" spans="1:24" x14ac:dyDescent="0.25">
      <c r="A4562" t="s">
        <v>2093</v>
      </c>
      <c r="B4562" t="s">
        <v>2094</v>
      </c>
      <c r="C4562" t="s">
        <v>2095</v>
      </c>
      <c r="D4562" t="s">
        <v>2096</v>
      </c>
      <c r="E4562" s="9">
        <v>45108</v>
      </c>
      <c r="F4562" s="9">
        <v>45138</v>
      </c>
      <c r="G4562">
        <v>796690.34103999997</v>
      </c>
      <c r="H4562">
        <v>0</v>
      </c>
      <c r="I4562">
        <v>243199.18572000001</v>
      </c>
      <c r="J4562">
        <v>0</v>
      </c>
      <c r="K4562">
        <v>0</v>
      </c>
      <c r="L4562">
        <v>0</v>
      </c>
      <c r="M4562">
        <v>0</v>
      </c>
      <c r="T4562" s="9">
        <v>45108</v>
      </c>
      <c r="U4562" s="9">
        <v>45473</v>
      </c>
      <c r="V4562">
        <f>SUM(POTABLE_NONPOTABLE_API[[#This Row],[RESIDENTIAL_SINGLEFAMILY_GAL]:[OTHER_GAL]])</f>
        <v>1039889.52676</v>
      </c>
      <c r="W4562">
        <f>SUM(POTABLE_NONPOTABLE_API[[#This Row],[NONPOTABLE_DEMAND_RESIDENTIAL_RECYCLED_WATER_GAL]:[NONPOTABLE_DEMAND_NONRESIDENTIAL_METERED_IRRIGATION_GAL]])</f>
        <v>0</v>
      </c>
      <c r="X4562" t="str">
        <f>IFERROR(INDEX(Crosswalk_API!$H$2:$H$527, MATCH(POTABLE_NONPOTABLE_API[[#This Row],[PWSID]], CW_PWSID_LIST, 0)), "")</f>
        <v>No</v>
      </c>
    </row>
    <row r="4563" spans="1:24" x14ac:dyDescent="0.25">
      <c r="A4563" t="s">
        <v>2093</v>
      </c>
      <c r="B4563" t="s">
        <v>2094</v>
      </c>
      <c r="C4563" t="s">
        <v>2095</v>
      </c>
      <c r="D4563" t="s">
        <v>2096</v>
      </c>
      <c r="E4563" s="9">
        <v>45139</v>
      </c>
      <c r="F4563" s="9">
        <v>45169</v>
      </c>
      <c r="G4563">
        <v>939134.40288000007</v>
      </c>
      <c r="H4563">
        <v>0</v>
      </c>
      <c r="I4563">
        <v>176083.96028</v>
      </c>
      <c r="J4563">
        <v>0</v>
      </c>
      <c r="K4563">
        <v>0</v>
      </c>
      <c r="L4563">
        <v>0</v>
      </c>
      <c r="M4563">
        <v>0</v>
      </c>
      <c r="T4563" s="9">
        <v>45108</v>
      </c>
      <c r="U4563" s="9">
        <v>45473</v>
      </c>
      <c r="V4563">
        <f>SUM(POTABLE_NONPOTABLE_API[[#This Row],[RESIDENTIAL_SINGLEFAMILY_GAL]:[OTHER_GAL]])</f>
        <v>1115218.3631600002</v>
      </c>
      <c r="W4563">
        <f>SUM(POTABLE_NONPOTABLE_API[[#This Row],[NONPOTABLE_DEMAND_RESIDENTIAL_RECYCLED_WATER_GAL]:[NONPOTABLE_DEMAND_NONRESIDENTIAL_METERED_IRRIGATION_GAL]])</f>
        <v>0</v>
      </c>
      <c r="X4563" t="str">
        <f>IFERROR(INDEX(Crosswalk_API!$H$2:$H$527, MATCH(POTABLE_NONPOTABLE_API[[#This Row],[PWSID]], CW_PWSID_LIST, 0)), "")</f>
        <v>No</v>
      </c>
    </row>
    <row r="4564" spans="1:24" x14ac:dyDescent="0.25">
      <c r="A4564" t="s">
        <v>2093</v>
      </c>
      <c r="B4564" t="s">
        <v>2094</v>
      </c>
      <c r="C4564" t="s">
        <v>2095</v>
      </c>
      <c r="D4564" t="s">
        <v>2096</v>
      </c>
      <c r="E4564" s="9">
        <v>45170</v>
      </c>
      <c r="F4564" s="9">
        <v>45199</v>
      </c>
      <c r="G4564">
        <v>753250.96140000003</v>
      </c>
      <c r="H4564">
        <v>0</v>
      </c>
      <c r="I4564">
        <v>341193.99772000004</v>
      </c>
      <c r="J4564">
        <v>0</v>
      </c>
      <c r="K4564">
        <v>0</v>
      </c>
      <c r="L4564">
        <v>0</v>
      </c>
      <c r="M4564">
        <v>0</v>
      </c>
      <c r="T4564" s="9">
        <v>45108</v>
      </c>
      <c r="U4564" s="9">
        <v>45473</v>
      </c>
      <c r="V4564">
        <f>SUM(POTABLE_NONPOTABLE_API[[#This Row],[RESIDENTIAL_SINGLEFAMILY_GAL]:[OTHER_GAL]])</f>
        <v>1094444.95912</v>
      </c>
      <c r="W4564">
        <f>SUM(POTABLE_NONPOTABLE_API[[#This Row],[NONPOTABLE_DEMAND_RESIDENTIAL_RECYCLED_WATER_GAL]:[NONPOTABLE_DEMAND_NONRESIDENTIAL_METERED_IRRIGATION_GAL]])</f>
        <v>0</v>
      </c>
      <c r="X4564" t="str">
        <f>IFERROR(INDEX(Crosswalk_API!$H$2:$H$527, MATCH(POTABLE_NONPOTABLE_API[[#This Row],[PWSID]], CW_PWSID_LIST, 0)), "")</f>
        <v>No</v>
      </c>
    </row>
    <row r="4565" spans="1:24" x14ac:dyDescent="0.25">
      <c r="A4565" t="s">
        <v>2093</v>
      </c>
      <c r="B4565" t="s">
        <v>2094</v>
      </c>
      <c r="C4565" t="s">
        <v>2095</v>
      </c>
      <c r="D4565" t="s">
        <v>2096</v>
      </c>
      <c r="E4565" s="9">
        <v>45200</v>
      </c>
      <c r="F4565" s="9">
        <v>45230</v>
      </c>
      <c r="G4565">
        <v>614786.53620000009</v>
      </c>
      <c r="H4565">
        <v>0</v>
      </c>
      <c r="I4565">
        <v>254479.80988000002</v>
      </c>
      <c r="J4565">
        <v>0</v>
      </c>
      <c r="K4565">
        <v>0</v>
      </c>
      <c r="L4565">
        <v>0</v>
      </c>
      <c r="M4565">
        <v>0</v>
      </c>
      <c r="T4565" s="9">
        <v>45108</v>
      </c>
      <c r="U4565" s="9">
        <v>45473</v>
      </c>
      <c r="V4565">
        <f>SUM(POTABLE_NONPOTABLE_API[[#This Row],[RESIDENTIAL_SINGLEFAMILY_GAL]:[OTHER_GAL]])</f>
        <v>869266.34608000005</v>
      </c>
      <c r="W4565">
        <f>SUM(POTABLE_NONPOTABLE_API[[#This Row],[NONPOTABLE_DEMAND_RESIDENTIAL_RECYCLED_WATER_GAL]:[NONPOTABLE_DEMAND_NONRESIDENTIAL_METERED_IRRIGATION_GAL]])</f>
        <v>0</v>
      </c>
      <c r="X4565" t="str">
        <f>IFERROR(INDEX(Crosswalk_API!$H$2:$H$527, MATCH(POTABLE_NONPOTABLE_API[[#This Row],[PWSID]], CW_PWSID_LIST, 0)), "")</f>
        <v>No</v>
      </c>
    </row>
    <row r="4566" spans="1:24" x14ac:dyDescent="0.25">
      <c r="A4566" t="s">
        <v>2093</v>
      </c>
      <c r="B4566" t="s">
        <v>2094</v>
      </c>
      <c r="C4566" t="s">
        <v>2095</v>
      </c>
      <c r="D4566" t="s">
        <v>2096</v>
      </c>
      <c r="E4566" s="9">
        <v>45231</v>
      </c>
      <c r="F4566" s="9">
        <v>45260</v>
      </c>
      <c r="G4566">
        <v>495449.80064000003</v>
      </c>
      <c r="H4566">
        <v>0</v>
      </c>
      <c r="I4566">
        <v>244657.88712</v>
      </c>
      <c r="J4566">
        <v>0</v>
      </c>
      <c r="K4566">
        <v>0</v>
      </c>
      <c r="L4566">
        <v>0</v>
      </c>
      <c r="M4566">
        <v>0</v>
      </c>
      <c r="T4566" s="9">
        <v>45108</v>
      </c>
      <c r="U4566" s="9">
        <v>45473</v>
      </c>
      <c r="V4566">
        <f>SUM(POTABLE_NONPOTABLE_API[[#This Row],[RESIDENTIAL_SINGLEFAMILY_GAL]:[OTHER_GAL]])</f>
        <v>740107.68776</v>
      </c>
      <c r="W4566">
        <f>SUM(POTABLE_NONPOTABLE_API[[#This Row],[NONPOTABLE_DEMAND_RESIDENTIAL_RECYCLED_WATER_GAL]:[NONPOTABLE_DEMAND_NONRESIDENTIAL_METERED_IRRIGATION_GAL]])</f>
        <v>0</v>
      </c>
      <c r="X4566" t="str">
        <f>IFERROR(INDEX(Crosswalk_API!$H$2:$H$527, MATCH(POTABLE_NONPOTABLE_API[[#This Row],[PWSID]], CW_PWSID_LIST, 0)), "")</f>
        <v>No</v>
      </c>
    </row>
    <row r="4567" spans="1:24" x14ac:dyDescent="0.25">
      <c r="A4567" t="s">
        <v>2093</v>
      </c>
      <c r="B4567" t="s">
        <v>2094</v>
      </c>
      <c r="C4567" t="s">
        <v>2095</v>
      </c>
      <c r="D4567" t="s">
        <v>2096</v>
      </c>
      <c r="E4567" s="9">
        <v>45261</v>
      </c>
      <c r="F4567" s="9">
        <v>45291</v>
      </c>
      <c r="G4567">
        <v>492988.70955999999</v>
      </c>
      <c r="H4567">
        <v>0</v>
      </c>
      <c r="I4567">
        <v>204824.11812</v>
      </c>
      <c r="J4567">
        <v>0</v>
      </c>
      <c r="K4567">
        <v>0</v>
      </c>
      <c r="L4567">
        <v>0</v>
      </c>
      <c r="M4567">
        <v>0</v>
      </c>
      <c r="T4567" s="9">
        <v>45108</v>
      </c>
      <c r="U4567" s="9">
        <v>45473</v>
      </c>
      <c r="V4567">
        <f>SUM(POTABLE_NONPOTABLE_API[[#This Row],[RESIDENTIAL_SINGLEFAMILY_GAL]:[OTHER_GAL]])</f>
        <v>697812.82767999999</v>
      </c>
      <c r="W4567">
        <f>SUM(POTABLE_NONPOTABLE_API[[#This Row],[NONPOTABLE_DEMAND_RESIDENTIAL_RECYCLED_WATER_GAL]:[NONPOTABLE_DEMAND_NONRESIDENTIAL_METERED_IRRIGATION_GAL]])</f>
        <v>0</v>
      </c>
      <c r="X4567" t="str">
        <f>IFERROR(INDEX(Crosswalk_API!$H$2:$H$527, MATCH(POTABLE_NONPOTABLE_API[[#This Row],[PWSID]], CW_PWSID_LIST, 0)), "")</f>
        <v>No</v>
      </c>
    </row>
    <row r="4568" spans="1:24" x14ac:dyDescent="0.25">
      <c r="A4568" t="s">
        <v>2093</v>
      </c>
      <c r="B4568" t="s">
        <v>2094</v>
      </c>
      <c r="C4568" t="s">
        <v>2095</v>
      </c>
      <c r="D4568" t="s">
        <v>2096</v>
      </c>
      <c r="E4568" s="9">
        <v>45292</v>
      </c>
      <c r="F4568" s="9">
        <v>45322</v>
      </c>
      <c r="G4568">
        <v>450858.42092000006</v>
      </c>
      <c r="H4568">
        <v>0</v>
      </c>
      <c r="I4568">
        <v>156058.60824</v>
      </c>
      <c r="J4568">
        <v>0</v>
      </c>
      <c r="K4568">
        <v>0</v>
      </c>
      <c r="L4568">
        <v>0</v>
      </c>
      <c r="M4568">
        <v>0</v>
      </c>
      <c r="T4568" s="9">
        <v>45108</v>
      </c>
      <c r="U4568" s="9">
        <v>45473</v>
      </c>
      <c r="V4568">
        <f>SUM(POTABLE_NONPOTABLE_API[[#This Row],[RESIDENTIAL_SINGLEFAMILY_GAL]:[OTHER_GAL]])</f>
        <v>606917.02916000003</v>
      </c>
      <c r="W4568">
        <f>SUM(POTABLE_NONPOTABLE_API[[#This Row],[NONPOTABLE_DEMAND_RESIDENTIAL_RECYCLED_WATER_GAL]:[NONPOTABLE_DEMAND_NONRESIDENTIAL_METERED_IRRIGATION_GAL]])</f>
        <v>0</v>
      </c>
      <c r="X4568" t="str">
        <f>IFERROR(INDEX(Crosswalk_API!$H$2:$H$527, MATCH(POTABLE_NONPOTABLE_API[[#This Row],[PWSID]], CW_PWSID_LIST, 0)), "")</f>
        <v>No</v>
      </c>
    </row>
    <row r="4569" spans="1:24" x14ac:dyDescent="0.25">
      <c r="A4569" t="s">
        <v>2093</v>
      </c>
      <c r="B4569" t="s">
        <v>2094</v>
      </c>
      <c r="C4569" t="s">
        <v>2095</v>
      </c>
      <c r="D4569" t="s">
        <v>2096</v>
      </c>
      <c r="E4569" s="9">
        <v>45323</v>
      </c>
      <c r="F4569" s="9">
        <v>45351</v>
      </c>
      <c r="G4569">
        <v>219830.04124000002</v>
      </c>
      <c r="H4569">
        <v>0</v>
      </c>
      <c r="I4569">
        <v>38113.249400000001</v>
      </c>
      <c r="J4569">
        <v>0</v>
      </c>
      <c r="K4569">
        <v>0</v>
      </c>
      <c r="L4569">
        <v>0</v>
      </c>
      <c r="M4569">
        <v>0</v>
      </c>
      <c r="T4569" s="9">
        <v>45108</v>
      </c>
      <c r="U4569" s="9">
        <v>45473</v>
      </c>
      <c r="V4569">
        <f>SUM(POTABLE_NONPOTABLE_API[[#This Row],[RESIDENTIAL_SINGLEFAMILY_GAL]:[OTHER_GAL]])</f>
        <v>257943.29064000002</v>
      </c>
      <c r="W4569">
        <f>SUM(POTABLE_NONPOTABLE_API[[#This Row],[NONPOTABLE_DEMAND_RESIDENTIAL_RECYCLED_WATER_GAL]:[NONPOTABLE_DEMAND_NONRESIDENTIAL_METERED_IRRIGATION_GAL]])</f>
        <v>0</v>
      </c>
      <c r="X4569" t="str">
        <f>IFERROR(INDEX(Crosswalk_API!$H$2:$H$527, MATCH(POTABLE_NONPOTABLE_API[[#This Row],[PWSID]], CW_PWSID_LIST, 0)), "")</f>
        <v>No</v>
      </c>
    </row>
    <row r="4570" spans="1:24" x14ac:dyDescent="0.25">
      <c r="A4570" t="s">
        <v>2093</v>
      </c>
      <c r="B4570" t="s">
        <v>2094</v>
      </c>
      <c r="C4570" t="s">
        <v>2095</v>
      </c>
      <c r="D4570" t="s">
        <v>2096</v>
      </c>
      <c r="E4570" s="9">
        <v>45352</v>
      </c>
      <c r="F4570" s="9">
        <v>45382</v>
      </c>
      <c r="G4570">
        <v>377429.63660000003</v>
      </c>
      <c r="H4570">
        <v>0</v>
      </c>
      <c r="I4570">
        <v>180048.63588000002</v>
      </c>
      <c r="J4570">
        <v>0</v>
      </c>
      <c r="K4570">
        <v>0</v>
      </c>
      <c r="L4570">
        <v>0</v>
      </c>
      <c r="M4570">
        <v>0</v>
      </c>
      <c r="T4570" s="9">
        <v>45108</v>
      </c>
      <c r="U4570" s="9">
        <v>45473</v>
      </c>
      <c r="V4570">
        <f>SUM(POTABLE_NONPOTABLE_API[[#This Row],[RESIDENTIAL_SINGLEFAMILY_GAL]:[OTHER_GAL]])</f>
        <v>557478.27248000004</v>
      </c>
      <c r="W4570">
        <f>SUM(POTABLE_NONPOTABLE_API[[#This Row],[NONPOTABLE_DEMAND_RESIDENTIAL_RECYCLED_WATER_GAL]:[NONPOTABLE_DEMAND_NONRESIDENTIAL_METERED_IRRIGATION_GAL]])</f>
        <v>0</v>
      </c>
      <c r="X4570" t="str">
        <f>IFERROR(INDEX(Crosswalk_API!$H$2:$H$527, MATCH(POTABLE_NONPOTABLE_API[[#This Row],[PWSID]], CW_PWSID_LIST, 0)), "")</f>
        <v>No</v>
      </c>
    </row>
    <row r="4571" spans="1:24" x14ac:dyDescent="0.25">
      <c r="A4571" t="s">
        <v>2093</v>
      </c>
      <c r="B4571" t="s">
        <v>2094</v>
      </c>
      <c r="C4571" t="s">
        <v>2095</v>
      </c>
      <c r="D4571" t="s">
        <v>2096</v>
      </c>
      <c r="E4571" s="9">
        <v>45383</v>
      </c>
      <c r="F4571" s="9">
        <v>45412</v>
      </c>
      <c r="G4571">
        <v>471512.13664000004</v>
      </c>
      <c r="H4571">
        <v>0</v>
      </c>
      <c r="I4571">
        <v>237416.74376000001</v>
      </c>
      <c r="J4571">
        <v>0</v>
      </c>
      <c r="K4571">
        <v>0</v>
      </c>
      <c r="L4571">
        <v>0</v>
      </c>
      <c r="M4571">
        <v>0</v>
      </c>
      <c r="T4571" s="9">
        <v>45108</v>
      </c>
      <c r="U4571" s="9">
        <v>45473</v>
      </c>
      <c r="V4571">
        <f>SUM(POTABLE_NONPOTABLE_API[[#This Row],[RESIDENTIAL_SINGLEFAMILY_GAL]:[OTHER_GAL]])</f>
        <v>708928.88040000002</v>
      </c>
      <c r="W4571">
        <f>SUM(POTABLE_NONPOTABLE_API[[#This Row],[NONPOTABLE_DEMAND_RESIDENTIAL_RECYCLED_WATER_GAL]:[NONPOTABLE_DEMAND_NONRESIDENTIAL_METERED_IRRIGATION_GAL]])</f>
        <v>0</v>
      </c>
      <c r="X4571" t="str">
        <f>IFERROR(INDEX(Crosswalk_API!$H$2:$H$527, MATCH(POTABLE_NONPOTABLE_API[[#This Row],[PWSID]], CW_PWSID_LIST, 0)), "")</f>
        <v>No</v>
      </c>
    </row>
    <row r="4572" spans="1:24" x14ac:dyDescent="0.25">
      <c r="A4572" t="s">
        <v>2093</v>
      </c>
      <c r="B4572" t="s">
        <v>2094</v>
      </c>
      <c r="C4572" t="s">
        <v>2095</v>
      </c>
      <c r="D4572" t="s">
        <v>2096</v>
      </c>
      <c r="E4572" s="9">
        <v>45413</v>
      </c>
      <c r="F4572" s="9">
        <v>45443</v>
      </c>
      <c r="G4572">
        <v>561510.27275999996</v>
      </c>
      <c r="H4572">
        <v>0</v>
      </c>
      <c r="I4572">
        <v>224221.10648000002</v>
      </c>
      <c r="J4572">
        <v>0</v>
      </c>
      <c r="K4572">
        <v>0</v>
      </c>
      <c r="L4572">
        <v>0</v>
      </c>
      <c r="M4572">
        <v>0</v>
      </c>
      <c r="T4572" s="9">
        <v>45108</v>
      </c>
      <c r="U4572" s="9">
        <v>45473</v>
      </c>
      <c r="V4572">
        <f>SUM(POTABLE_NONPOTABLE_API[[#This Row],[RESIDENTIAL_SINGLEFAMILY_GAL]:[OTHER_GAL]])</f>
        <v>785731.37923999992</v>
      </c>
      <c r="W4572">
        <f>SUM(POTABLE_NONPOTABLE_API[[#This Row],[NONPOTABLE_DEMAND_RESIDENTIAL_RECYCLED_WATER_GAL]:[NONPOTABLE_DEMAND_NONRESIDENTIAL_METERED_IRRIGATION_GAL]])</f>
        <v>0</v>
      </c>
      <c r="X4572" t="str">
        <f>IFERROR(INDEX(Crosswalk_API!$H$2:$H$527, MATCH(POTABLE_NONPOTABLE_API[[#This Row],[PWSID]], CW_PWSID_LIST, 0)), "")</f>
        <v>No</v>
      </c>
    </row>
    <row r="4573" spans="1:24" x14ac:dyDescent="0.25">
      <c r="A4573" t="s">
        <v>2093</v>
      </c>
      <c r="B4573" t="s">
        <v>2094</v>
      </c>
      <c r="C4573" t="s">
        <v>2095</v>
      </c>
      <c r="D4573" t="s">
        <v>2096</v>
      </c>
      <c r="E4573" s="9">
        <v>45444</v>
      </c>
      <c r="F4573" s="9">
        <v>45473</v>
      </c>
      <c r="G4573">
        <v>869745.09936000011</v>
      </c>
      <c r="H4573">
        <v>0</v>
      </c>
      <c r="I4573">
        <v>263202.09620000003</v>
      </c>
      <c r="J4573">
        <v>0</v>
      </c>
      <c r="K4573">
        <v>0</v>
      </c>
      <c r="L4573">
        <v>0</v>
      </c>
      <c r="M4573">
        <v>0</v>
      </c>
      <c r="T4573" s="9">
        <v>45108</v>
      </c>
      <c r="U4573" s="9">
        <v>45473</v>
      </c>
      <c r="V4573">
        <f>SUM(POTABLE_NONPOTABLE_API[[#This Row],[RESIDENTIAL_SINGLEFAMILY_GAL]:[OTHER_GAL]])</f>
        <v>1132947.1955600001</v>
      </c>
      <c r="W4573">
        <f>SUM(POTABLE_NONPOTABLE_API[[#This Row],[NONPOTABLE_DEMAND_RESIDENTIAL_RECYCLED_WATER_GAL]:[NONPOTABLE_DEMAND_NONRESIDENTIAL_METERED_IRRIGATION_GAL]])</f>
        <v>0</v>
      </c>
      <c r="X4573" t="str">
        <f>IFERROR(INDEX(Crosswalk_API!$H$2:$H$527, MATCH(POTABLE_NONPOTABLE_API[[#This Row],[PWSID]], CW_PWSID_LIST, 0)), "")</f>
        <v>No</v>
      </c>
    </row>
    <row r="4574" spans="1:24" x14ac:dyDescent="0.25">
      <c r="A4574" t="s">
        <v>2093</v>
      </c>
      <c r="B4574" t="s">
        <v>2094</v>
      </c>
      <c r="C4574" t="s">
        <v>2097</v>
      </c>
      <c r="D4574" t="s">
        <v>2098</v>
      </c>
      <c r="E4574" s="9">
        <v>45108</v>
      </c>
      <c r="F4574" s="9">
        <v>45138</v>
      </c>
      <c r="G4574">
        <v>769199.43004000001</v>
      </c>
      <c r="H4574">
        <v>311937.68400000001</v>
      </c>
      <c r="I4574">
        <v>252190.77076000001</v>
      </c>
      <c r="J4574">
        <v>42638.964</v>
      </c>
      <c r="K4574">
        <v>0</v>
      </c>
      <c r="L4574">
        <v>0</v>
      </c>
      <c r="M4574">
        <v>0</v>
      </c>
      <c r="T4574" s="9">
        <v>45108</v>
      </c>
      <c r="U4574" s="9">
        <v>45473</v>
      </c>
      <c r="V4574">
        <f>SUM(POTABLE_NONPOTABLE_API[[#This Row],[RESIDENTIAL_SINGLEFAMILY_GAL]:[OTHER_GAL]])</f>
        <v>1375966.8487999998</v>
      </c>
      <c r="W4574">
        <f>SUM(POTABLE_NONPOTABLE_API[[#This Row],[NONPOTABLE_DEMAND_RESIDENTIAL_RECYCLED_WATER_GAL]:[NONPOTABLE_DEMAND_NONRESIDENTIAL_METERED_IRRIGATION_GAL]])</f>
        <v>0</v>
      </c>
      <c r="X4574" t="str">
        <f>IFERROR(INDEX(Crosswalk_API!$H$2:$H$527, MATCH(POTABLE_NONPOTABLE_API[[#This Row],[PWSID]], CW_PWSID_LIST, 0)), "")</f>
        <v>No</v>
      </c>
    </row>
    <row r="4575" spans="1:24" x14ac:dyDescent="0.25">
      <c r="A4575" t="s">
        <v>2093</v>
      </c>
      <c r="B4575" t="s">
        <v>2094</v>
      </c>
      <c r="C4575" t="s">
        <v>2097</v>
      </c>
      <c r="D4575" t="s">
        <v>2098</v>
      </c>
      <c r="E4575" s="9">
        <v>45139</v>
      </c>
      <c r="F4575" s="9">
        <v>45169</v>
      </c>
      <c r="G4575">
        <v>726597.86864</v>
      </c>
      <c r="H4575">
        <v>282763.65600000002</v>
      </c>
      <c r="I4575">
        <v>274939.03208000003</v>
      </c>
      <c r="J4575">
        <v>50119.484000000004</v>
      </c>
      <c r="K4575">
        <v>0</v>
      </c>
      <c r="L4575">
        <v>0</v>
      </c>
      <c r="M4575">
        <v>0</v>
      </c>
      <c r="T4575" s="9">
        <v>45108</v>
      </c>
      <c r="U4575" s="9">
        <v>45473</v>
      </c>
      <c r="V4575">
        <f>SUM(POTABLE_NONPOTABLE_API[[#This Row],[RESIDENTIAL_SINGLEFAMILY_GAL]:[OTHER_GAL]])</f>
        <v>1334420.0407199999</v>
      </c>
      <c r="W4575">
        <f>SUM(POTABLE_NONPOTABLE_API[[#This Row],[NONPOTABLE_DEMAND_RESIDENTIAL_RECYCLED_WATER_GAL]:[NONPOTABLE_DEMAND_NONRESIDENTIAL_METERED_IRRIGATION_GAL]])</f>
        <v>0</v>
      </c>
      <c r="X4575" t="str">
        <f>IFERROR(INDEX(Crosswalk_API!$H$2:$H$527, MATCH(POTABLE_NONPOTABLE_API[[#This Row],[PWSID]], CW_PWSID_LIST, 0)), "")</f>
        <v>No</v>
      </c>
    </row>
    <row r="4576" spans="1:24" x14ac:dyDescent="0.25">
      <c r="A4576" t="s">
        <v>2093</v>
      </c>
      <c r="B4576" t="s">
        <v>2094</v>
      </c>
      <c r="C4576" t="s">
        <v>2097</v>
      </c>
      <c r="D4576" t="s">
        <v>2098</v>
      </c>
      <c r="E4576" s="9">
        <v>45170</v>
      </c>
      <c r="F4576" s="9">
        <v>45199</v>
      </c>
      <c r="G4576">
        <v>723381.24503999995</v>
      </c>
      <c r="H4576">
        <v>391979.24800000002</v>
      </c>
      <c r="I4576">
        <v>347619.76439999999</v>
      </c>
      <c r="J4576">
        <v>46379.224000000002</v>
      </c>
      <c r="K4576">
        <v>0</v>
      </c>
      <c r="L4576">
        <v>0</v>
      </c>
      <c r="M4576">
        <v>0</v>
      </c>
      <c r="T4576" s="9">
        <v>45108</v>
      </c>
      <c r="U4576" s="9">
        <v>45473</v>
      </c>
      <c r="V4576">
        <f>SUM(POTABLE_NONPOTABLE_API[[#This Row],[RESIDENTIAL_SINGLEFAMILY_GAL]:[OTHER_GAL]])</f>
        <v>1509359.48144</v>
      </c>
      <c r="W4576">
        <f>SUM(POTABLE_NONPOTABLE_API[[#This Row],[NONPOTABLE_DEMAND_RESIDENTIAL_RECYCLED_WATER_GAL]:[NONPOTABLE_DEMAND_NONRESIDENTIAL_METERED_IRRIGATION_GAL]])</f>
        <v>0</v>
      </c>
      <c r="X4576" t="str">
        <f>IFERROR(INDEX(Crosswalk_API!$H$2:$H$527, MATCH(POTABLE_NONPOTABLE_API[[#This Row],[PWSID]], CW_PWSID_LIST, 0)), "")</f>
        <v>No</v>
      </c>
    </row>
    <row r="4577" spans="1:24" x14ac:dyDescent="0.25">
      <c r="A4577" t="s">
        <v>2093</v>
      </c>
      <c r="B4577" t="s">
        <v>2094</v>
      </c>
      <c r="C4577" t="s">
        <v>2097</v>
      </c>
      <c r="D4577" t="s">
        <v>2098</v>
      </c>
      <c r="E4577" s="9">
        <v>45200</v>
      </c>
      <c r="F4577" s="9">
        <v>45230</v>
      </c>
      <c r="G4577">
        <v>700932.20452000003</v>
      </c>
      <c r="H4577">
        <v>290244.17600000004</v>
      </c>
      <c r="I4577">
        <v>258369.68028</v>
      </c>
      <c r="J4577">
        <v>32166.236000000001</v>
      </c>
      <c r="K4577">
        <v>0</v>
      </c>
      <c r="L4577">
        <v>0</v>
      </c>
      <c r="M4577">
        <v>0</v>
      </c>
      <c r="T4577" s="9">
        <v>45108</v>
      </c>
      <c r="U4577" s="9">
        <v>45473</v>
      </c>
      <c r="V4577">
        <f>SUM(POTABLE_NONPOTABLE_API[[#This Row],[RESIDENTIAL_SINGLEFAMILY_GAL]:[OTHER_GAL]])</f>
        <v>1281712.2968000001</v>
      </c>
      <c r="W4577">
        <f>SUM(POTABLE_NONPOTABLE_API[[#This Row],[NONPOTABLE_DEMAND_RESIDENTIAL_RECYCLED_WATER_GAL]:[NONPOTABLE_DEMAND_NONRESIDENTIAL_METERED_IRRIGATION_GAL]])</f>
        <v>0</v>
      </c>
      <c r="X4577" t="str">
        <f>IFERROR(INDEX(Crosswalk_API!$H$2:$H$527, MATCH(POTABLE_NONPOTABLE_API[[#This Row],[PWSID]], CW_PWSID_LIST, 0)), "")</f>
        <v>No</v>
      </c>
    </row>
    <row r="4578" spans="1:24" x14ac:dyDescent="0.25">
      <c r="A4578" t="s">
        <v>2093</v>
      </c>
      <c r="B4578" t="s">
        <v>2094</v>
      </c>
      <c r="C4578" t="s">
        <v>2097</v>
      </c>
      <c r="D4578" t="s">
        <v>2098</v>
      </c>
      <c r="E4578" s="9">
        <v>45231</v>
      </c>
      <c r="F4578" s="9">
        <v>45260</v>
      </c>
      <c r="G4578">
        <v>491836.70948000002</v>
      </c>
      <c r="H4578">
        <v>192997.416</v>
      </c>
      <c r="I4578">
        <v>148847.38696</v>
      </c>
      <c r="J4578">
        <v>18701.3</v>
      </c>
      <c r="K4578">
        <v>0</v>
      </c>
      <c r="L4578">
        <v>0</v>
      </c>
      <c r="M4578">
        <v>0</v>
      </c>
      <c r="T4578" s="9">
        <v>45108</v>
      </c>
      <c r="U4578" s="9">
        <v>45473</v>
      </c>
      <c r="V4578">
        <f>SUM(POTABLE_NONPOTABLE_API[[#This Row],[RESIDENTIAL_SINGLEFAMILY_GAL]:[OTHER_GAL]])</f>
        <v>852382.81244000013</v>
      </c>
      <c r="W4578">
        <f>SUM(POTABLE_NONPOTABLE_API[[#This Row],[NONPOTABLE_DEMAND_RESIDENTIAL_RECYCLED_WATER_GAL]:[NONPOTABLE_DEMAND_NONRESIDENTIAL_METERED_IRRIGATION_GAL]])</f>
        <v>0</v>
      </c>
      <c r="X4578" t="str">
        <f>IFERROR(INDEX(Crosswalk_API!$H$2:$H$527, MATCH(POTABLE_NONPOTABLE_API[[#This Row],[PWSID]], CW_PWSID_LIST, 0)), "")</f>
        <v>No</v>
      </c>
    </row>
    <row r="4579" spans="1:24" x14ac:dyDescent="0.25">
      <c r="A4579" t="s">
        <v>2093</v>
      </c>
      <c r="B4579" t="s">
        <v>2094</v>
      </c>
      <c r="C4579" t="s">
        <v>2097</v>
      </c>
      <c r="D4579" t="s">
        <v>2098</v>
      </c>
      <c r="E4579" s="9">
        <v>45261</v>
      </c>
      <c r="F4579" s="9">
        <v>45291</v>
      </c>
      <c r="G4579">
        <v>511577.80176</v>
      </c>
      <c r="H4579">
        <v>197485.728</v>
      </c>
      <c r="I4579">
        <v>153769.56912</v>
      </c>
      <c r="J4579">
        <v>20197.404000000002</v>
      </c>
      <c r="K4579">
        <v>0</v>
      </c>
      <c r="L4579">
        <v>0</v>
      </c>
      <c r="M4579">
        <v>0</v>
      </c>
      <c r="T4579" s="9">
        <v>45108</v>
      </c>
      <c r="U4579" s="9">
        <v>45473</v>
      </c>
      <c r="V4579">
        <f>SUM(POTABLE_NONPOTABLE_API[[#This Row],[RESIDENTIAL_SINGLEFAMILY_GAL]:[OTHER_GAL]])</f>
        <v>883030.50288000004</v>
      </c>
      <c r="W4579">
        <f>SUM(POTABLE_NONPOTABLE_API[[#This Row],[NONPOTABLE_DEMAND_RESIDENTIAL_RECYCLED_WATER_GAL]:[NONPOTABLE_DEMAND_NONRESIDENTIAL_METERED_IRRIGATION_GAL]])</f>
        <v>0</v>
      </c>
      <c r="X4579" t="str">
        <f>IFERROR(INDEX(Crosswalk_API!$H$2:$H$527, MATCH(POTABLE_NONPOTABLE_API[[#This Row],[PWSID]], CW_PWSID_LIST, 0)), "")</f>
        <v>No</v>
      </c>
    </row>
    <row r="4580" spans="1:24" x14ac:dyDescent="0.25">
      <c r="A4580" t="s">
        <v>2093</v>
      </c>
      <c r="B4580" t="s">
        <v>2094</v>
      </c>
      <c r="C4580" t="s">
        <v>2097</v>
      </c>
      <c r="D4580" t="s">
        <v>2098</v>
      </c>
      <c r="E4580" s="9">
        <v>45292</v>
      </c>
      <c r="F4580" s="9">
        <v>45322</v>
      </c>
      <c r="G4580">
        <v>431850.41959999996</v>
      </c>
      <c r="H4580">
        <v>243116.9</v>
      </c>
      <c r="I4580">
        <v>181948.68796000001</v>
      </c>
      <c r="J4580">
        <v>18701.3</v>
      </c>
      <c r="K4580">
        <v>0</v>
      </c>
      <c r="L4580">
        <v>0</v>
      </c>
      <c r="M4580">
        <v>0</v>
      </c>
      <c r="T4580" s="9">
        <v>45108</v>
      </c>
      <c r="U4580" s="9">
        <v>45473</v>
      </c>
      <c r="V4580">
        <f>SUM(POTABLE_NONPOTABLE_API[[#This Row],[RESIDENTIAL_SINGLEFAMILY_GAL]:[OTHER_GAL]])</f>
        <v>875617.30755999999</v>
      </c>
      <c r="W4580">
        <f>SUM(POTABLE_NONPOTABLE_API[[#This Row],[NONPOTABLE_DEMAND_RESIDENTIAL_RECYCLED_WATER_GAL]:[NONPOTABLE_DEMAND_NONRESIDENTIAL_METERED_IRRIGATION_GAL]])</f>
        <v>0</v>
      </c>
      <c r="X4580" t="str">
        <f>IFERROR(INDEX(Crosswalk_API!$H$2:$H$527, MATCH(POTABLE_NONPOTABLE_API[[#This Row],[PWSID]], CW_PWSID_LIST, 0)), "")</f>
        <v>No</v>
      </c>
    </row>
    <row r="4581" spans="1:24" x14ac:dyDescent="0.25">
      <c r="A4581" t="s">
        <v>2093</v>
      </c>
      <c r="B4581" t="s">
        <v>2094</v>
      </c>
      <c r="C4581" t="s">
        <v>2097</v>
      </c>
      <c r="D4581" t="s">
        <v>2098</v>
      </c>
      <c r="E4581" s="9">
        <v>45323</v>
      </c>
      <c r="F4581" s="9">
        <v>45351</v>
      </c>
      <c r="G4581">
        <v>506378.84035999997</v>
      </c>
      <c r="H4581">
        <v>204966.24799999999</v>
      </c>
      <c r="I4581">
        <v>148772.58176</v>
      </c>
      <c r="J4581">
        <v>18701.3</v>
      </c>
      <c r="K4581">
        <v>0</v>
      </c>
      <c r="L4581">
        <v>0</v>
      </c>
      <c r="M4581">
        <v>0</v>
      </c>
      <c r="T4581" s="9">
        <v>45108</v>
      </c>
      <c r="U4581" s="9">
        <v>45473</v>
      </c>
      <c r="V4581">
        <f>SUM(POTABLE_NONPOTABLE_API[[#This Row],[RESIDENTIAL_SINGLEFAMILY_GAL]:[OTHER_GAL]])</f>
        <v>878818.97011999995</v>
      </c>
      <c r="W4581">
        <f>SUM(POTABLE_NONPOTABLE_API[[#This Row],[NONPOTABLE_DEMAND_RESIDENTIAL_RECYCLED_WATER_GAL]:[NONPOTABLE_DEMAND_NONRESIDENTIAL_METERED_IRRIGATION_GAL]])</f>
        <v>0</v>
      </c>
      <c r="X4581" t="str">
        <f>IFERROR(INDEX(Crosswalk_API!$H$2:$H$527, MATCH(POTABLE_NONPOTABLE_API[[#This Row],[PWSID]], CW_PWSID_LIST, 0)), "")</f>
        <v>No</v>
      </c>
    </row>
    <row r="4582" spans="1:24" x14ac:dyDescent="0.25">
      <c r="A4582" t="s">
        <v>2093</v>
      </c>
      <c r="B4582" t="s">
        <v>2094</v>
      </c>
      <c r="C4582" t="s">
        <v>2097</v>
      </c>
      <c r="D4582" t="s">
        <v>2098</v>
      </c>
      <c r="E4582" s="9">
        <v>45352</v>
      </c>
      <c r="F4582" s="9">
        <v>45382</v>
      </c>
      <c r="G4582">
        <v>378185.16912000004</v>
      </c>
      <c r="H4582">
        <v>292488.33199999999</v>
      </c>
      <c r="I4582">
        <v>172179.12883999999</v>
      </c>
      <c r="J4582">
        <v>18701.3</v>
      </c>
      <c r="K4582">
        <v>0</v>
      </c>
      <c r="L4582">
        <v>0</v>
      </c>
      <c r="M4582">
        <v>0</v>
      </c>
      <c r="T4582" s="9">
        <v>45108</v>
      </c>
      <c r="U4582" s="9">
        <v>45473</v>
      </c>
      <c r="V4582">
        <f>SUM(POTABLE_NONPOTABLE_API[[#This Row],[RESIDENTIAL_SINGLEFAMILY_GAL]:[OTHER_GAL]])</f>
        <v>861553.9299600001</v>
      </c>
      <c r="W4582">
        <f>SUM(POTABLE_NONPOTABLE_API[[#This Row],[NONPOTABLE_DEMAND_RESIDENTIAL_RECYCLED_WATER_GAL]:[NONPOTABLE_DEMAND_NONRESIDENTIAL_METERED_IRRIGATION_GAL]])</f>
        <v>0</v>
      </c>
      <c r="X4582" t="str">
        <f>IFERROR(INDEX(Crosswalk_API!$H$2:$H$527, MATCH(POTABLE_NONPOTABLE_API[[#This Row],[PWSID]], CW_PWSID_LIST, 0)), "")</f>
        <v>No</v>
      </c>
    </row>
    <row r="4583" spans="1:24" x14ac:dyDescent="0.25">
      <c r="A4583" t="s">
        <v>2093</v>
      </c>
      <c r="B4583" t="s">
        <v>2094</v>
      </c>
      <c r="C4583" t="s">
        <v>2097</v>
      </c>
      <c r="D4583" t="s">
        <v>2098</v>
      </c>
      <c r="E4583" s="9">
        <v>45383</v>
      </c>
      <c r="F4583" s="9">
        <v>45412</v>
      </c>
      <c r="G4583">
        <v>497693.95664000005</v>
      </c>
      <c r="H4583">
        <v>356072.75200000004</v>
      </c>
      <c r="I4583">
        <v>162200.11516000002</v>
      </c>
      <c r="J4583">
        <v>21693.508000000002</v>
      </c>
      <c r="K4583">
        <v>0</v>
      </c>
      <c r="L4583">
        <v>0</v>
      </c>
      <c r="M4583">
        <v>0</v>
      </c>
      <c r="T4583" s="9">
        <v>45108</v>
      </c>
      <c r="U4583" s="9">
        <v>45473</v>
      </c>
      <c r="V4583">
        <f>SUM(POTABLE_NONPOTABLE_API[[#This Row],[RESIDENTIAL_SINGLEFAMILY_GAL]:[OTHER_GAL]])</f>
        <v>1037660.3318000002</v>
      </c>
      <c r="W4583">
        <f>SUM(POTABLE_NONPOTABLE_API[[#This Row],[NONPOTABLE_DEMAND_RESIDENTIAL_RECYCLED_WATER_GAL]:[NONPOTABLE_DEMAND_NONRESIDENTIAL_METERED_IRRIGATION_GAL]])</f>
        <v>0</v>
      </c>
      <c r="X4583" t="str">
        <f>IFERROR(INDEX(Crosswalk_API!$H$2:$H$527, MATCH(POTABLE_NONPOTABLE_API[[#This Row],[PWSID]], CW_PWSID_LIST, 0)), "")</f>
        <v>No</v>
      </c>
    </row>
    <row r="4584" spans="1:24" x14ac:dyDescent="0.25">
      <c r="A4584" t="s">
        <v>2093</v>
      </c>
      <c r="B4584" t="s">
        <v>2094</v>
      </c>
      <c r="C4584" t="s">
        <v>2097</v>
      </c>
      <c r="D4584" t="s">
        <v>2098</v>
      </c>
      <c r="E4584" s="9">
        <v>45413</v>
      </c>
      <c r="F4584" s="9">
        <v>45443</v>
      </c>
      <c r="G4584">
        <v>407478.88544000004</v>
      </c>
      <c r="H4584">
        <v>308945.47600000002</v>
      </c>
      <c r="I4584">
        <v>163501.72563999999</v>
      </c>
      <c r="J4584">
        <v>5984.4160000000002</v>
      </c>
      <c r="K4584">
        <v>0</v>
      </c>
      <c r="L4584">
        <v>0</v>
      </c>
      <c r="M4584">
        <v>0</v>
      </c>
      <c r="T4584" s="9">
        <v>45108</v>
      </c>
      <c r="U4584" s="9">
        <v>45473</v>
      </c>
      <c r="V4584">
        <f>SUM(POTABLE_NONPOTABLE_API[[#This Row],[RESIDENTIAL_SINGLEFAMILY_GAL]:[OTHER_GAL]])</f>
        <v>885910.50308000005</v>
      </c>
      <c r="W4584">
        <f>SUM(POTABLE_NONPOTABLE_API[[#This Row],[NONPOTABLE_DEMAND_RESIDENTIAL_RECYCLED_WATER_GAL]:[NONPOTABLE_DEMAND_NONRESIDENTIAL_METERED_IRRIGATION_GAL]])</f>
        <v>0</v>
      </c>
      <c r="X4584" t="str">
        <f>IFERROR(INDEX(Crosswalk_API!$H$2:$H$527, MATCH(POTABLE_NONPOTABLE_API[[#This Row],[PWSID]], CW_PWSID_LIST, 0)), "")</f>
        <v>No</v>
      </c>
    </row>
    <row r="4585" spans="1:24" x14ac:dyDescent="0.25">
      <c r="A4585" t="s">
        <v>2093</v>
      </c>
      <c r="B4585" t="s">
        <v>2094</v>
      </c>
      <c r="C4585" t="s">
        <v>2097</v>
      </c>
      <c r="D4585" t="s">
        <v>2098</v>
      </c>
      <c r="E4585" s="9">
        <v>45444</v>
      </c>
      <c r="F4585" s="9">
        <v>45473</v>
      </c>
      <c r="G4585">
        <v>634565.03107999999</v>
      </c>
      <c r="H4585">
        <v>350836.38800000004</v>
      </c>
      <c r="I4585">
        <v>235890.71768</v>
      </c>
      <c r="J4585">
        <v>28425.976000000002</v>
      </c>
      <c r="K4585">
        <v>0</v>
      </c>
      <c r="L4585">
        <v>0</v>
      </c>
      <c r="M4585">
        <v>0</v>
      </c>
      <c r="T4585" s="9">
        <v>45108</v>
      </c>
      <c r="U4585" s="9">
        <v>45473</v>
      </c>
      <c r="V4585">
        <f>SUM(POTABLE_NONPOTABLE_API[[#This Row],[RESIDENTIAL_SINGLEFAMILY_GAL]:[OTHER_GAL]])</f>
        <v>1249718.1127600002</v>
      </c>
      <c r="W4585">
        <f>SUM(POTABLE_NONPOTABLE_API[[#This Row],[NONPOTABLE_DEMAND_RESIDENTIAL_RECYCLED_WATER_GAL]:[NONPOTABLE_DEMAND_NONRESIDENTIAL_METERED_IRRIGATION_GAL]])</f>
        <v>0</v>
      </c>
      <c r="X4585" t="str">
        <f>IFERROR(INDEX(Crosswalk_API!$H$2:$H$527, MATCH(POTABLE_NONPOTABLE_API[[#This Row],[PWSID]], CW_PWSID_LIST, 0)), "")</f>
        <v>No</v>
      </c>
    </row>
    <row r="4586" spans="1:24" x14ac:dyDescent="0.25">
      <c r="A4586" t="s">
        <v>2093</v>
      </c>
      <c r="B4586" t="s">
        <v>2094</v>
      </c>
      <c r="C4586" t="s">
        <v>2099</v>
      </c>
      <c r="D4586" t="s">
        <v>2100</v>
      </c>
      <c r="E4586" s="9">
        <v>45108</v>
      </c>
      <c r="F4586" s="9">
        <v>45138</v>
      </c>
      <c r="G4586">
        <v>190641.05220000001</v>
      </c>
      <c r="H4586">
        <v>341306.20552000002</v>
      </c>
      <c r="I4586">
        <v>39310.132599999997</v>
      </c>
      <c r="J4586">
        <v>0</v>
      </c>
      <c r="K4586">
        <v>0</v>
      </c>
      <c r="L4586">
        <v>0</v>
      </c>
      <c r="M4586">
        <v>0</v>
      </c>
      <c r="T4586" s="9">
        <v>45108</v>
      </c>
      <c r="U4586" s="9">
        <v>45473</v>
      </c>
      <c r="V4586">
        <f>SUM(POTABLE_NONPOTABLE_API[[#This Row],[RESIDENTIAL_SINGLEFAMILY_GAL]:[OTHER_GAL]])</f>
        <v>571257.39032000001</v>
      </c>
      <c r="W4586">
        <f>SUM(POTABLE_NONPOTABLE_API[[#This Row],[NONPOTABLE_DEMAND_RESIDENTIAL_RECYCLED_WATER_GAL]:[NONPOTABLE_DEMAND_NONRESIDENTIAL_METERED_IRRIGATION_GAL]])</f>
        <v>0</v>
      </c>
      <c r="X4586" t="str">
        <f>IFERROR(INDEX(Crosswalk_API!$H$2:$H$527, MATCH(POTABLE_NONPOTABLE_API[[#This Row],[PWSID]], CW_PWSID_LIST, 0)), "")</f>
        <v>No</v>
      </c>
    </row>
    <row r="4587" spans="1:24" x14ac:dyDescent="0.25">
      <c r="A4587" t="s">
        <v>2093</v>
      </c>
      <c r="B4587" t="s">
        <v>2094</v>
      </c>
      <c r="C4587" t="s">
        <v>2099</v>
      </c>
      <c r="D4587" t="s">
        <v>2100</v>
      </c>
      <c r="E4587" s="9">
        <v>45139</v>
      </c>
      <c r="F4587" s="9">
        <v>45169</v>
      </c>
      <c r="G4587">
        <v>189967.80539999998</v>
      </c>
      <c r="H4587">
        <v>334027.65956</v>
      </c>
      <c r="I4587">
        <v>41202.704160000001</v>
      </c>
      <c r="J4587">
        <v>0</v>
      </c>
      <c r="K4587">
        <v>0</v>
      </c>
      <c r="L4587">
        <v>0</v>
      </c>
      <c r="M4587">
        <v>0</v>
      </c>
      <c r="T4587" s="9">
        <v>45108</v>
      </c>
      <c r="U4587" s="9">
        <v>45473</v>
      </c>
      <c r="V4587">
        <f>SUM(POTABLE_NONPOTABLE_API[[#This Row],[RESIDENTIAL_SINGLEFAMILY_GAL]:[OTHER_GAL]])</f>
        <v>565198.16911999998</v>
      </c>
      <c r="W4587">
        <f>SUM(POTABLE_NONPOTABLE_API[[#This Row],[NONPOTABLE_DEMAND_RESIDENTIAL_RECYCLED_WATER_GAL]:[NONPOTABLE_DEMAND_NONRESIDENTIAL_METERED_IRRIGATION_GAL]])</f>
        <v>0</v>
      </c>
      <c r="X4587" t="str">
        <f>IFERROR(INDEX(Crosswalk_API!$H$2:$H$527, MATCH(POTABLE_NONPOTABLE_API[[#This Row],[PWSID]], CW_PWSID_LIST, 0)), "")</f>
        <v>No</v>
      </c>
    </row>
    <row r="4588" spans="1:24" x14ac:dyDescent="0.25">
      <c r="A4588" t="s">
        <v>2093</v>
      </c>
      <c r="B4588" t="s">
        <v>2094</v>
      </c>
      <c r="C4588" t="s">
        <v>2099</v>
      </c>
      <c r="D4588" t="s">
        <v>2100</v>
      </c>
      <c r="E4588" s="9">
        <v>45170</v>
      </c>
      <c r="F4588" s="9">
        <v>45199</v>
      </c>
      <c r="G4588">
        <v>184716.48036000002</v>
      </c>
      <c r="H4588">
        <v>345480.33568000002</v>
      </c>
      <c r="I4588">
        <v>44292.158920000002</v>
      </c>
      <c r="J4588">
        <v>0</v>
      </c>
      <c r="K4588">
        <v>0</v>
      </c>
      <c r="L4588">
        <v>0</v>
      </c>
      <c r="M4588">
        <v>0</v>
      </c>
      <c r="T4588" s="9">
        <v>45108</v>
      </c>
      <c r="U4588" s="9">
        <v>45473</v>
      </c>
      <c r="V4588">
        <f>SUM(POTABLE_NONPOTABLE_API[[#This Row],[RESIDENTIAL_SINGLEFAMILY_GAL]:[OTHER_GAL]])</f>
        <v>574488.97496000002</v>
      </c>
      <c r="W4588">
        <f>SUM(POTABLE_NONPOTABLE_API[[#This Row],[NONPOTABLE_DEMAND_RESIDENTIAL_RECYCLED_WATER_GAL]:[NONPOTABLE_DEMAND_NONRESIDENTIAL_METERED_IRRIGATION_GAL]])</f>
        <v>0</v>
      </c>
      <c r="X4588" t="str">
        <f>IFERROR(INDEX(Crosswalk_API!$H$2:$H$527, MATCH(POTABLE_NONPOTABLE_API[[#This Row],[PWSID]], CW_PWSID_LIST, 0)), "")</f>
        <v>No</v>
      </c>
    </row>
    <row r="4589" spans="1:24" x14ac:dyDescent="0.25">
      <c r="A4589" t="s">
        <v>2093</v>
      </c>
      <c r="B4589" t="s">
        <v>2094</v>
      </c>
      <c r="C4589" t="s">
        <v>2099</v>
      </c>
      <c r="D4589" t="s">
        <v>2100</v>
      </c>
      <c r="E4589" s="9">
        <v>45200</v>
      </c>
      <c r="F4589" s="9">
        <v>45230</v>
      </c>
      <c r="G4589">
        <v>170039.70011999999</v>
      </c>
      <c r="H4589">
        <v>412977.06764000002</v>
      </c>
      <c r="I4589">
        <v>51578.185400000002</v>
      </c>
      <c r="J4589">
        <v>0</v>
      </c>
      <c r="K4589">
        <v>0</v>
      </c>
      <c r="L4589">
        <v>0</v>
      </c>
      <c r="M4589">
        <v>0</v>
      </c>
      <c r="T4589" s="9">
        <v>45108</v>
      </c>
      <c r="U4589" s="9">
        <v>45473</v>
      </c>
      <c r="V4589">
        <f>SUM(POTABLE_NONPOTABLE_API[[#This Row],[RESIDENTIAL_SINGLEFAMILY_GAL]:[OTHER_GAL]])</f>
        <v>634594.95315999992</v>
      </c>
      <c r="W4589">
        <f>SUM(POTABLE_NONPOTABLE_API[[#This Row],[NONPOTABLE_DEMAND_RESIDENTIAL_RECYCLED_WATER_GAL]:[NONPOTABLE_DEMAND_NONRESIDENTIAL_METERED_IRRIGATION_GAL]])</f>
        <v>0</v>
      </c>
      <c r="X4589" t="str">
        <f>IFERROR(INDEX(Crosswalk_API!$H$2:$H$527, MATCH(POTABLE_NONPOTABLE_API[[#This Row],[PWSID]], CW_PWSID_LIST, 0)), "")</f>
        <v>No</v>
      </c>
    </row>
    <row r="4590" spans="1:24" x14ac:dyDescent="0.25">
      <c r="A4590" t="s">
        <v>2093</v>
      </c>
      <c r="B4590" t="s">
        <v>2094</v>
      </c>
      <c r="C4590" t="s">
        <v>2099</v>
      </c>
      <c r="D4590" t="s">
        <v>2100</v>
      </c>
      <c r="E4590" s="9">
        <v>45231</v>
      </c>
      <c r="F4590" s="9">
        <v>45260</v>
      </c>
      <c r="G4590">
        <v>132562.29492000001</v>
      </c>
      <c r="H4590">
        <v>404449.27483999997</v>
      </c>
      <c r="I4590">
        <v>31268.5736</v>
      </c>
      <c r="J4590">
        <v>0</v>
      </c>
      <c r="K4590">
        <v>0</v>
      </c>
      <c r="L4590">
        <v>0</v>
      </c>
      <c r="M4590">
        <v>0</v>
      </c>
      <c r="T4590" s="9">
        <v>45108</v>
      </c>
      <c r="U4590" s="9">
        <v>45473</v>
      </c>
      <c r="V4590">
        <f>SUM(POTABLE_NONPOTABLE_API[[#This Row],[RESIDENTIAL_SINGLEFAMILY_GAL]:[OTHER_GAL]])</f>
        <v>568280.14335999999</v>
      </c>
      <c r="W4590">
        <f>SUM(POTABLE_NONPOTABLE_API[[#This Row],[NONPOTABLE_DEMAND_RESIDENTIAL_RECYCLED_WATER_GAL]:[NONPOTABLE_DEMAND_NONRESIDENTIAL_METERED_IRRIGATION_GAL]])</f>
        <v>0</v>
      </c>
      <c r="X4590" t="str">
        <f>IFERROR(INDEX(Crosswalk_API!$H$2:$H$527, MATCH(POTABLE_NONPOTABLE_API[[#This Row],[PWSID]], CW_PWSID_LIST, 0)), "")</f>
        <v>No</v>
      </c>
    </row>
    <row r="4591" spans="1:24" x14ac:dyDescent="0.25">
      <c r="A4591" t="s">
        <v>2093</v>
      </c>
      <c r="B4591" t="s">
        <v>2094</v>
      </c>
      <c r="C4591" t="s">
        <v>2099</v>
      </c>
      <c r="D4591" t="s">
        <v>2100</v>
      </c>
      <c r="E4591" s="9">
        <v>45261</v>
      </c>
      <c r="F4591" s="9">
        <v>45291</v>
      </c>
      <c r="G4591">
        <v>183818.81795999999</v>
      </c>
      <c r="H4591">
        <v>269306.20052000001</v>
      </c>
      <c r="I4591">
        <v>25082.183560000001</v>
      </c>
      <c r="J4591">
        <v>0</v>
      </c>
      <c r="K4591">
        <v>0</v>
      </c>
      <c r="L4591">
        <v>0</v>
      </c>
      <c r="M4591">
        <v>0</v>
      </c>
      <c r="T4591" s="9">
        <v>45108</v>
      </c>
      <c r="U4591" s="9">
        <v>45473</v>
      </c>
      <c r="V4591">
        <f>SUM(POTABLE_NONPOTABLE_API[[#This Row],[RESIDENTIAL_SINGLEFAMILY_GAL]:[OTHER_GAL]])</f>
        <v>478207.20203999995</v>
      </c>
      <c r="W4591">
        <f>SUM(POTABLE_NONPOTABLE_API[[#This Row],[NONPOTABLE_DEMAND_RESIDENTIAL_RECYCLED_WATER_GAL]:[NONPOTABLE_DEMAND_NONRESIDENTIAL_METERED_IRRIGATION_GAL]])</f>
        <v>0</v>
      </c>
      <c r="X4591" t="str">
        <f>IFERROR(INDEX(Crosswalk_API!$H$2:$H$527, MATCH(POTABLE_NONPOTABLE_API[[#This Row],[PWSID]], CW_PWSID_LIST, 0)), "")</f>
        <v>No</v>
      </c>
    </row>
    <row r="4592" spans="1:24" x14ac:dyDescent="0.25">
      <c r="A4592" t="s">
        <v>2093</v>
      </c>
      <c r="B4592" t="s">
        <v>2094</v>
      </c>
      <c r="C4592" t="s">
        <v>2099</v>
      </c>
      <c r="D4592" t="s">
        <v>2100</v>
      </c>
      <c r="E4592" s="9">
        <v>45292</v>
      </c>
      <c r="F4592" s="9">
        <v>45322</v>
      </c>
      <c r="G4592">
        <v>147912.32196</v>
      </c>
      <c r="H4592">
        <v>336309.21815999999</v>
      </c>
      <c r="I4592">
        <v>27820.053879999999</v>
      </c>
      <c r="J4592">
        <v>0</v>
      </c>
      <c r="K4592">
        <v>0</v>
      </c>
      <c r="L4592">
        <v>0</v>
      </c>
      <c r="M4592">
        <v>0</v>
      </c>
      <c r="T4592" s="9">
        <v>45108</v>
      </c>
      <c r="U4592" s="9">
        <v>45473</v>
      </c>
      <c r="V4592">
        <f>SUM(POTABLE_NONPOTABLE_API[[#This Row],[RESIDENTIAL_SINGLEFAMILY_GAL]:[OTHER_GAL]])</f>
        <v>512041.59400000004</v>
      </c>
      <c r="W4592">
        <f>SUM(POTABLE_NONPOTABLE_API[[#This Row],[NONPOTABLE_DEMAND_RESIDENTIAL_RECYCLED_WATER_GAL]:[NONPOTABLE_DEMAND_NONRESIDENTIAL_METERED_IRRIGATION_GAL]])</f>
        <v>0</v>
      </c>
      <c r="X4592" t="str">
        <f>IFERROR(INDEX(Crosswalk_API!$H$2:$H$527, MATCH(POTABLE_NONPOTABLE_API[[#This Row],[PWSID]], CW_PWSID_LIST, 0)), "")</f>
        <v>No</v>
      </c>
    </row>
    <row r="4593" spans="1:24" x14ac:dyDescent="0.25">
      <c r="A4593" t="s">
        <v>2093</v>
      </c>
      <c r="B4593" t="s">
        <v>2094</v>
      </c>
      <c r="C4593" t="s">
        <v>2099</v>
      </c>
      <c r="D4593" t="s">
        <v>2100</v>
      </c>
      <c r="E4593" s="9">
        <v>45323</v>
      </c>
      <c r="F4593" s="9">
        <v>45351</v>
      </c>
      <c r="G4593">
        <v>122037.20327999999</v>
      </c>
      <c r="H4593">
        <v>379786.00040000002</v>
      </c>
      <c r="I4593">
        <v>28224.001959999998</v>
      </c>
      <c r="J4593">
        <v>0</v>
      </c>
      <c r="K4593">
        <v>0</v>
      </c>
      <c r="L4593">
        <v>0</v>
      </c>
      <c r="M4593">
        <v>0</v>
      </c>
      <c r="T4593" s="9">
        <v>45108</v>
      </c>
      <c r="U4593" s="9">
        <v>45473</v>
      </c>
      <c r="V4593">
        <f>SUM(POTABLE_NONPOTABLE_API[[#This Row],[RESIDENTIAL_SINGLEFAMILY_GAL]:[OTHER_GAL]])</f>
        <v>530047.20564000006</v>
      </c>
      <c r="W4593">
        <f>SUM(POTABLE_NONPOTABLE_API[[#This Row],[NONPOTABLE_DEMAND_RESIDENTIAL_RECYCLED_WATER_GAL]:[NONPOTABLE_DEMAND_NONRESIDENTIAL_METERED_IRRIGATION_GAL]])</f>
        <v>0</v>
      </c>
      <c r="X4593" t="str">
        <f>IFERROR(INDEX(Crosswalk_API!$H$2:$H$527, MATCH(POTABLE_NONPOTABLE_API[[#This Row],[PWSID]], CW_PWSID_LIST, 0)), "")</f>
        <v>No</v>
      </c>
    </row>
    <row r="4594" spans="1:24" x14ac:dyDescent="0.25">
      <c r="A4594" t="s">
        <v>2093</v>
      </c>
      <c r="B4594" t="s">
        <v>2094</v>
      </c>
      <c r="C4594" t="s">
        <v>2099</v>
      </c>
      <c r="D4594" t="s">
        <v>2100</v>
      </c>
      <c r="E4594" s="9">
        <v>45352</v>
      </c>
      <c r="F4594" s="9">
        <v>45382</v>
      </c>
      <c r="G4594">
        <v>108422.65687999999</v>
      </c>
      <c r="H4594">
        <v>498367.20344000001</v>
      </c>
      <c r="I4594">
        <v>26009.768040000003</v>
      </c>
      <c r="J4594">
        <v>0</v>
      </c>
      <c r="K4594">
        <v>0</v>
      </c>
      <c r="L4594">
        <v>0</v>
      </c>
      <c r="M4594">
        <v>0</v>
      </c>
      <c r="T4594" s="9">
        <v>45108</v>
      </c>
      <c r="U4594" s="9">
        <v>45473</v>
      </c>
      <c r="V4594">
        <f>SUM(POTABLE_NONPOTABLE_API[[#This Row],[RESIDENTIAL_SINGLEFAMILY_GAL]:[OTHER_GAL]])</f>
        <v>632799.62835999997</v>
      </c>
      <c r="W4594">
        <f>SUM(POTABLE_NONPOTABLE_API[[#This Row],[NONPOTABLE_DEMAND_RESIDENTIAL_RECYCLED_WATER_GAL]:[NONPOTABLE_DEMAND_NONRESIDENTIAL_METERED_IRRIGATION_GAL]])</f>
        <v>0</v>
      </c>
      <c r="X4594" t="str">
        <f>IFERROR(INDEX(Crosswalk_API!$H$2:$H$527, MATCH(POTABLE_NONPOTABLE_API[[#This Row],[PWSID]], CW_PWSID_LIST, 0)), "")</f>
        <v>No</v>
      </c>
    </row>
    <row r="4595" spans="1:24" x14ac:dyDescent="0.25">
      <c r="A4595" t="s">
        <v>2093</v>
      </c>
      <c r="B4595" t="s">
        <v>2094</v>
      </c>
      <c r="C4595" t="s">
        <v>2099</v>
      </c>
      <c r="D4595" t="s">
        <v>2100</v>
      </c>
      <c r="E4595" s="9">
        <v>45383</v>
      </c>
      <c r="F4595" s="9">
        <v>45412</v>
      </c>
      <c r="G4595">
        <v>101952.00708</v>
      </c>
      <c r="H4595">
        <v>433787.87427999999</v>
      </c>
      <c r="I4595">
        <v>31717.4048</v>
      </c>
      <c r="J4595">
        <v>0</v>
      </c>
      <c r="K4595">
        <v>0</v>
      </c>
      <c r="L4595">
        <v>0</v>
      </c>
      <c r="M4595">
        <v>0</v>
      </c>
      <c r="T4595" s="9">
        <v>45108</v>
      </c>
      <c r="U4595" s="9">
        <v>45473</v>
      </c>
      <c r="V4595">
        <f>SUM(POTABLE_NONPOTABLE_API[[#This Row],[RESIDENTIAL_SINGLEFAMILY_GAL]:[OTHER_GAL]])</f>
        <v>567457.28616000002</v>
      </c>
      <c r="W4595">
        <f>SUM(POTABLE_NONPOTABLE_API[[#This Row],[NONPOTABLE_DEMAND_RESIDENTIAL_RECYCLED_WATER_GAL]:[NONPOTABLE_DEMAND_NONRESIDENTIAL_METERED_IRRIGATION_GAL]])</f>
        <v>0</v>
      </c>
      <c r="X4595" t="str">
        <f>IFERROR(INDEX(Crosswalk_API!$H$2:$H$527, MATCH(POTABLE_NONPOTABLE_API[[#This Row],[PWSID]], CW_PWSID_LIST, 0)), "")</f>
        <v>No</v>
      </c>
    </row>
    <row r="4596" spans="1:24" x14ac:dyDescent="0.25">
      <c r="A4596" t="s">
        <v>2093</v>
      </c>
      <c r="B4596" t="s">
        <v>2094</v>
      </c>
      <c r="C4596" t="s">
        <v>2099</v>
      </c>
      <c r="D4596" t="s">
        <v>2100</v>
      </c>
      <c r="E4596" s="9">
        <v>45413</v>
      </c>
      <c r="F4596" s="9">
        <v>45443</v>
      </c>
      <c r="G4596">
        <v>104241.0462</v>
      </c>
      <c r="H4596">
        <v>328260.17864</v>
      </c>
      <c r="I4596">
        <v>22613.611960000002</v>
      </c>
      <c r="J4596">
        <v>0</v>
      </c>
      <c r="K4596">
        <v>0</v>
      </c>
      <c r="L4596">
        <v>0</v>
      </c>
      <c r="M4596">
        <v>0</v>
      </c>
      <c r="T4596" s="9">
        <v>45108</v>
      </c>
      <c r="U4596" s="9">
        <v>45473</v>
      </c>
      <c r="V4596">
        <f>SUM(POTABLE_NONPOTABLE_API[[#This Row],[RESIDENTIAL_SINGLEFAMILY_GAL]:[OTHER_GAL]])</f>
        <v>455114.83679999999</v>
      </c>
      <c r="W4596">
        <f>SUM(POTABLE_NONPOTABLE_API[[#This Row],[NONPOTABLE_DEMAND_RESIDENTIAL_RECYCLED_WATER_GAL]:[NONPOTABLE_DEMAND_NONRESIDENTIAL_METERED_IRRIGATION_GAL]])</f>
        <v>0</v>
      </c>
      <c r="X4596" t="str">
        <f>IFERROR(INDEX(Crosswalk_API!$H$2:$H$527, MATCH(POTABLE_NONPOTABLE_API[[#This Row],[PWSID]], CW_PWSID_LIST, 0)), "")</f>
        <v>No</v>
      </c>
    </row>
    <row r="4597" spans="1:24" x14ac:dyDescent="0.25">
      <c r="A4597" t="s">
        <v>2093</v>
      </c>
      <c r="B4597" t="s">
        <v>2094</v>
      </c>
      <c r="C4597" t="s">
        <v>2099</v>
      </c>
      <c r="D4597" t="s">
        <v>2100</v>
      </c>
      <c r="E4597" s="9">
        <v>45444</v>
      </c>
      <c r="F4597" s="9">
        <v>45473</v>
      </c>
      <c r="G4597">
        <v>138928.21744000001</v>
      </c>
      <c r="H4597">
        <v>444881.48544000002</v>
      </c>
      <c r="I4597">
        <v>29525.612440000001</v>
      </c>
      <c r="J4597">
        <v>0</v>
      </c>
      <c r="K4597">
        <v>0</v>
      </c>
      <c r="L4597">
        <v>0</v>
      </c>
      <c r="M4597">
        <v>0</v>
      </c>
      <c r="T4597" s="9">
        <v>45108</v>
      </c>
      <c r="U4597" s="9">
        <v>45473</v>
      </c>
      <c r="V4597">
        <f>SUM(POTABLE_NONPOTABLE_API[[#This Row],[RESIDENTIAL_SINGLEFAMILY_GAL]:[OTHER_GAL]])</f>
        <v>613335.31532000005</v>
      </c>
      <c r="W4597">
        <f>SUM(POTABLE_NONPOTABLE_API[[#This Row],[NONPOTABLE_DEMAND_RESIDENTIAL_RECYCLED_WATER_GAL]:[NONPOTABLE_DEMAND_NONRESIDENTIAL_METERED_IRRIGATION_GAL]])</f>
        <v>0</v>
      </c>
      <c r="X4597" t="str">
        <f>IFERROR(INDEX(Crosswalk_API!$H$2:$H$527, MATCH(POTABLE_NONPOTABLE_API[[#This Row],[PWSID]], CW_PWSID_LIST, 0)), "")</f>
        <v>No</v>
      </c>
    </row>
    <row r="4598" spans="1:24" x14ac:dyDescent="0.25">
      <c r="A4598" t="s">
        <v>2093</v>
      </c>
      <c r="B4598" t="s">
        <v>2094</v>
      </c>
      <c r="C4598" t="s">
        <v>2103</v>
      </c>
      <c r="D4598" t="s">
        <v>2104</v>
      </c>
      <c r="E4598" s="9">
        <v>45108</v>
      </c>
      <c r="F4598" s="9">
        <v>45138</v>
      </c>
      <c r="G4598">
        <v>19307454.016120002</v>
      </c>
      <c r="H4598">
        <v>768339.17023999989</v>
      </c>
      <c r="I4598">
        <v>3588345.5998400003</v>
      </c>
      <c r="J4598">
        <v>4364344.8225600002</v>
      </c>
      <c r="K4598">
        <v>0</v>
      </c>
      <c r="L4598">
        <v>0</v>
      </c>
      <c r="M4598">
        <v>0</v>
      </c>
      <c r="T4598" s="9">
        <v>45108</v>
      </c>
      <c r="U4598" s="9">
        <v>45473</v>
      </c>
      <c r="V4598">
        <f>SUM(POTABLE_NONPOTABLE_API[[#This Row],[RESIDENTIAL_SINGLEFAMILY_GAL]:[OTHER_GAL]])</f>
        <v>28028483.608760003</v>
      </c>
      <c r="W4598">
        <f>SUM(POTABLE_NONPOTABLE_API[[#This Row],[NONPOTABLE_DEMAND_RESIDENTIAL_RECYCLED_WATER_GAL]:[NONPOTABLE_DEMAND_NONRESIDENTIAL_METERED_IRRIGATION_GAL]])</f>
        <v>0</v>
      </c>
      <c r="X4598" t="str">
        <f>IFERROR(INDEX(Crosswalk_API!$H$2:$H$527, MATCH(POTABLE_NONPOTABLE_API[[#This Row],[PWSID]], CW_PWSID_LIST, 0)), "")</f>
        <v>No</v>
      </c>
    </row>
    <row r="4599" spans="1:24" x14ac:dyDescent="0.25">
      <c r="A4599" t="s">
        <v>2093</v>
      </c>
      <c r="B4599" t="s">
        <v>2094</v>
      </c>
      <c r="C4599" t="s">
        <v>2103</v>
      </c>
      <c r="D4599" t="s">
        <v>2104</v>
      </c>
      <c r="E4599" s="9">
        <v>45139</v>
      </c>
      <c r="F4599" s="9">
        <v>45169</v>
      </c>
      <c r="G4599">
        <v>30190114.512119997</v>
      </c>
      <c r="H4599">
        <v>920822.08992000006</v>
      </c>
      <c r="I4599">
        <v>4032553.8384799999</v>
      </c>
      <c r="J4599">
        <v>4678332.1690400001</v>
      </c>
      <c r="K4599">
        <v>0</v>
      </c>
      <c r="L4599">
        <v>0</v>
      </c>
      <c r="M4599">
        <v>0</v>
      </c>
      <c r="T4599" s="9">
        <v>45108</v>
      </c>
      <c r="U4599" s="9">
        <v>45473</v>
      </c>
      <c r="V4599">
        <f>SUM(POTABLE_NONPOTABLE_API[[#This Row],[RESIDENTIAL_SINGLEFAMILY_GAL]:[OTHER_GAL]])</f>
        <v>39821822.609559998</v>
      </c>
      <c r="W4599">
        <f>SUM(POTABLE_NONPOTABLE_API[[#This Row],[NONPOTABLE_DEMAND_RESIDENTIAL_RECYCLED_WATER_GAL]:[NONPOTABLE_DEMAND_NONRESIDENTIAL_METERED_IRRIGATION_GAL]])</f>
        <v>0</v>
      </c>
      <c r="X4599" t="str">
        <f>IFERROR(INDEX(Crosswalk_API!$H$2:$H$527, MATCH(POTABLE_NONPOTABLE_API[[#This Row],[PWSID]], CW_PWSID_LIST, 0)), "")</f>
        <v>No</v>
      </c>
    </row>
    <row r="4600" spans="1:24" x14ac:dyDescent="0.25">
      <c r="A4600" t="s">
        <v>2093</v>
      </c>
      <c r="B4600" t="s">
        <v>2094</v>
      </c>
      <c r="C4600" t="s">
        <v>2103</v>
      </c>
      <c r="D4600" t="s">
        <v>2104</v>
      </c>
      <c r="E4600" s="9">
        <v>45170</v>
      </c>
      <c r="F4600" s="9">
        <v>45199</v>
      </c>
      <c r="G4600">
        <v>28750166.775759999</v>
      </c>
      <c r="H4600">
        <v>834070.49948</v>
      </c>
      <c r="I4600">
        <v>4467755.5310400007</v>
      </c>
      <c r="J4600">
        <v>4918494.2636399996</v>
      </c>
      <c r="K4600">
        <v>0</v>
      </c>
      <c r="L4600">
        <v>0</v>
      </c>
      <c r="M4600">
        <v>0</v>
      </c>
      <c r="T4600" s="9">
        <v>45108</v>
      </c>
      <c r="U4600" s="9">
        <v>45473</v>
      </c>
      <c r="V4600">
        <f>SUM(POTABLE_NONPOTABLE_API[[#This Row],[RESIDENTIAL_SINGLEFAMILY_GAL]:[OTHER_GAL]])</f>
        <v>38970487.069920003</v>
      </c>
      <c r="W4600">
        <f>SUM(POTABLE_NONPOTABLE_API[[#This Row],[NONPOTABLE_DEMAND_RESIDENTIAL_RECYCLED_WATER_GAL]:[NONPOTABLE_DEMAND_NONRESIDENTIAL_METERED_IRRIGATION_GAL]])</f>
        <v>0</v>
      </c>
      <c r="X4600" t="str">
        <f>IFERROR(INDEX(Crosswalk_API!$H$2:$H$527, MATCH(POTABLE_NONPOTABLE_API[[#This Row],[PWSID]], CW_PWSID_LIST, 0)), "")</f>
        <v>No</v>
      </c>
    </row>
    <row r="4601" spans="1:24" x14ac:dyDescent="0.25">
      <c r="A4601" t="s">
        <v>2093</v>
      </c>
      <c r="B4601" t="s">
        <v>2094</v>
      </c>
      <c r="C4601" t="s">
        <v>2103</v>
      </c>
      <c r="D4601" t="s">
        <v>2104</v>
      </c>
      <c r="E4601" s="9">
        <v>45200</v>
      </c>
      <c r="F4601" s="9">
        <v>45230</v>
      </c>
      <c r="G4601">
        <v>22932962.83932</v>
      </c>
      <c r="H4601">
        <v>699368.77584000002</v>
      </c>
      <c r="I4601">
        <v>3994201.2124400004</v>
      </c>
      <c r="J4601">
        <v>4073367.5556000001</v>
      </c>
      <c r="K4601">
        <v>0</v>
      </c>
      <c r="L4601">
        <v>0</v>
      </c>
      <c r="M4601">
        <v>0</v>
      </c>
      <c r="T4601" s="9">
        <v>45108</v>
      </c>
      <c r="U4601" s="9">
        <v>45473</v>
      </c>
      <c r="V4601">
        <f>SUM(POTABLE_NONPOTABLE_API[[#This Row],[RESIDENTIAL_SINGLEFAMILY_GAL]:[OTHER_GAL]])</f>
        <v>31699900.383199997</v>
      </c>
      <c r="W4601">
        <f>SUM(POTABLE_NONPOTABLE_API[[#This Row],[NONPOTABLE_DEMAND_RESIDENTIAL_RECYCLED_WATER_GAL]:[NONPOTABLE_DEMAND_NONRESIDENTIAL_METERED_IRRIGATION_GAL]])</f>
        <v>0</v>
      </c>
      <c r="X4601" t="str">
        <f>IFERROR(INDEX(Crosswalk_API!$H$2:$H$527, MATCH(POTABLE_NONPOTABLE_API[[#This Row],[PWSID]], CW_PWSID_LIST, 0)), "")</f>
        <v>No</v>
      </c>
    </row>
    <row r="4602" spans="1:24" x14ac:dyDescent="0.25">
      <c r="A4602" t="s">
        <v>2093</v>
      </c>
      <c r="B4602" t="s">
        <v>2094</v>
      </c>
      <c r="C4602" t="s">
        <v>2103</v>
      </c>
      <c r="D4602" t="s">
        <v>2104</v>
      </c>
      <c r="E4602" s="9">
        <v>45231</v>
      </c>
      <c r="F4602" s="9">
        <v>45260</v>
      </c>
      <c r="G4602">
        <v>18647530.022239998</v>
      </c>
      <c r="H4602">
        <v>692247.32079999999</v>
      </c>
      <c r="I4602">
        <v>3634515.3692800002</v>
      </c>
      <c r="J4602">
        <v>3130388.1654400001</v>
      </c>
      <c r="K4602">
        <v>0</v>
      </c>
      <c r="L4602">
        <v>0</v>
      </c>
      <c r="M4602">
        <v>0</v>
      </c>
      <c r="T4602" s="9">
        <v>45108</v>
      </c>
      <c r="U4602" s="9">
        <v>45473</v>
      </c>
      <c r="V4602">
        <f>SUM(POTABLE_NONPOTABLE_API[[#This Row],[RESIDENTIAL_SINGLEFAMILY_GAL]:[OTHER_GAL]])</f>
        <v>26104680.877759997</v>
      </c>
      <c r="W4602">
        <f>SUM(POTABLE_NONPOTABLE_API[[#This Row],[NONPOTABLE_DEMAND_RESIDENTIAL_RECYCLED_WATER_GAL]:[NONPOTABLE_DEMAND_NONRESIDENTIAL_METERED_IRRIGATION_GAL]])</f>
        <v>0</v>
      </c>
      <c r="X4602" t="str">
        <f>IFERROR(INDEX(Crosswalk_API!$H$2:$H$527, MATCH(POTABLE_NONPOTABLE_API[[#This Row],[PWSID]], CW_PWSID_LIST, 0)), "")</f>
        <v>No</v>
      </c>
    </row>
    <row r="4603" spans="1:24" x14ac:dyDescent="0.25">
      <c r="A4603" t="s">
        <v>2093</v>
      </c>
      <c r="B4603" t="s">
        <v>2094</v>
      </c>
      <c r="C4603" t="s">
        <v>2103</v>
      </c>
      <c r="D4603" t="s">
        <v>2104</v>
      </c>
      <c r="E4603" s="9">
        <v>45261</v>
      </c>
      <c r="F4603" s="9">
        <v>45291</v>
      </c>
      <c r="G4603">
        <v>10938472.655720001</v>
      </c>
      <c r="H4603">
        <v>677712.67044000002</v>
      </c>
      <c r="I4603">
        <v>3067125.4077999997</v>
      </c>
      <c r="J4603">
        <v>1361731.41924</v>
      </c>
      <c r="K4603">
        <v>0</v>
      </c>
      <c r="L4603">
        <v>0</v>
      </c>
      <c r="M4603">
        <v>0</v>
      </c>
      <c r="T4603" s="9">
        <v>45108</v>
      </c>
      <c r="U4603" s="9">
        <v>45473</v>
      </c>
      <c r="V4603">
        <f>SUM(POTABLE_NONPOTABLE_API[[#This Row],[RESIDENTIAL_SINGLEFAMILY_GAL]:[OTHER_GAL]])</f>
        <v>16045042.153200001</v>
      </c>
      <c r="W4603">
        <f>SUM(POTABLE_NONPOTABLE_API[[#This Row],[NONPOTABLE_DEMAND_RESIDENTIAL_RECYCLED_WATER_GAL]:[NONPOTABLE_DEMAND_NONRESIDENTIAL_METERED_IRRIGATION_GAL]])</f>
        <v>0</v>
      </c>
      <c r="X4603" t="str">
        <f>IFERROR(INDEX(Crosswalk_API!$H$2:$H$527, MATCH(POTABLE_NONPOTABLE_API[[#This Row],[PWSID]], CW_PWSID_LIST, 0)), "")</f>
        <v>No</v>
      </c>
    </row>
    <row r="4604" spans="1:24" x14ac:dyDescent="0.25">
      <c r="A4604" t="s">
        <v>2093</v>
      </c>
      <c r="B4604" t="s">
        <v>2094</v>
      </c>
      <c r="C4604" t="s">
        <v>2103</v>
      </c>
      <c r="D4604" t="s">
        <v>2104</v>
      </c>
      <c r="E4604" s="9">
        <v>45292</v>
      </c>
      <c r="F4604" s="9">
        <v>45322</v>
      </c>
      <c r="G4604">
        <v>8619863.0401600003</v>
      </c>
      <c r="H4604">
        <v>724361.19316000002</v>
      </c>
      <c r="I4604">
        <v>3342311.2970400006</v>
      </c>
      <c r="J4604">
        <v>1130545.9486400001</v>
      </c>
      <c r="K4604">
        <v>0</v>
      </c>
      <c r="L4604">
        <v>0</v>
      </c>
      <c r="M4604">
        <v>0</v>
      </c>
      <c r="T4604" s="9">
        <v>45108</v>
      </c>
      <c r="U4604" s="9">
        <v>45473</v>
      </c>
      <c r="V4604">
        <f>SUM(POTABLE_NONPOTABLE_API[[#This Row],[RESIDENTIAL_SINGLEFAMILY_GAL]:[OTHER_GAL]])</f>
        <v>13817081.479</v>
      </c>
      <c r="W4604">
        <f>SUM(POTABLE_NONPOTABLE_API[[#This Row],[NONPOTABLE_DEMAND_RESIDENTIAL_RECYCLED_WATER_GAL]:[NONPOTABLE_DEMAND_NONRESIDENTIAL_METERED_IRRIGATION_GAL]])</f>
        <v>0</v>
      </c>
      <c r="X4604" t="str">
        <f>IFERROR(INDEX(Crosswalk_API!$H$2:$H$527, MATCH(POTABLE_NONPOTABLE_API[[#This Row],[PWSID]], CW_PWSID_LIST, 0)), "")</f>
        <v>No</v>
      </c>
    </row>
    <row r="4605" spans="1:24" x14ac:dyDescent="0.25">
      <c r="A4605" t="s">
        <v>2093</v>
      </c>
      <c r="B4605" t="s">
        <v>2094</v>
      </c>
      <c r="C4605" t="s">
        <v>2103</v>
      </c>
      <c r="D4605" t="s">
        <v>2104</v>
      </c>
      <c r="E4605" s="9">
        <v>45323</v>
      </c>
      <c r="F4605" s="9">
        <v>45351</v>
      </c>
      <c r="G4605">
        <v>3258050.7197600002</v>
      </c>
      <c r="H4605">
        <v>581079.31307999999</v>
      </c>
      <c r="I4605">
        <v>2629544.9098800002</v>
      </c>
      <c r="J4605">
        <v>207599.39103999999</v>
      </c>
      <c r="K4605">
        <v>0</v>
      </c>
      <c r="L4605">
        <v>0</v>
      </c>
      <c r="M4605">
        <v>0</v>
      </c>
      <c r="T4605" s="9">
        <v>45108</v>
      </c>
      <c r="U4605" s="9">
        <v>45473</v>
      </c>
      <c r="V4605">
        <f>SUM(POTABLE_NONPOTABLE_API[[#This Row],[RESIDENTIAL_SINGLEFAMILY_GAL]:[OTHER_GAL]])</f>
        <v>6676274.3337600008</v>
      </c>
      <c r="W4605">
        <f>SUM(POTABLE_NONPOTABLE_API[[#This Row],[NONPOTABLE_DEMAND_RESIDENTIAL_RECYCLED_WATER_GAL]:[NONPOTABLE_DEMAND_NONRESIDENTIAL_METERED_IRRIGATION_GAL]])</f>
        <v>0</v>
      </c>
      <c r="X4605" t="str">
        <f>IFERROR(INDEX(Crosswalk_API!$H$2:$H$527, MATCH(POTABLE_NONPOTABLE_API[[#This Row],[PWSID]], CW_PWSID_LIST, 0)), "")</f>
        <v>No</v>
      </c>
    </row>
    <row r="4606" spans="1:24" x14ac:dyDescent="0.25">
      <c r="A4606" t="s">
        <v>2093</v>
      </c>
      <c r="B4606" t="s">
        <v>2094</v>
      </c>
      <c r="C4606" t="s">
        <v>2103</v>
      </c>
      <c r="D4606" t="s">
        <v>2104</v>
      </c>
      <c r="E4606" s="9">
        <v>45352</v>
      </c>
      <c r="F4606" s="9">
        <v>45382</v>
      </c>
      <c r="G4606">
        <v>6439672.9666800005</v>
      </c>
      <c r="H4606">
        <v>609273.39296000008</v>
      </c>
      <c r="I4606">
        <v>4225491.4103199998</v>
      </c>
      <c r="J4606">
        <v>508278.89244000003</v>
      </c>
      <c r="K4606">
        <v>0</v>
      </c>
      <c r="L4606">
        <v>0</v>
      </c>
      <c r="M4606">
        <v>0</v>
      </c>
      <c r="T4606" s="9">
        <v>45108</v>
      </c>
      <c r="U4606" s="9">
        <v>45473</v>
      </c>
      <c r="V4606">
        <f>SUM(POTABLE_NONPOTABLE_API[[#This Row],[RESIDENTIAL_SINGLEFAMILY_GAL]:[OTHER_GAL]])</f>
        <v>11782716.662400002</v>
      </c>
      <c r="W4606">
        <f>SUM(POTABLE_NONPOTABLE_API[[#This Row],[NONPOTABLE_DEMAND_RESIDENTIAL_RECYCLED_WATER_GAL]:[NONPOTABLE_DEMAND_NONRESIDENTIAL_METERED_IRRIGATION_GAL]])</f>
        <v>0</v>
      </c>
      <c r="X4606" t="str">
        <f>IFERROR(INDEX(Crosswalk_API!$H$2:$H$527, MATCH(POTABLE_NONPOTABLE_API[[#This Row],[PWSID]], CW_PWSID_LIST, 0)), "")</f>
        <v>No</v>
      </c>
    </row>
    <row r="4607" spans="1:24" x14ac:dyDescent="0.25">
      <c r="A4607" t="s">
        <v>2093</v>
      </c>
      <c r="B4607" t="s">
        <v>2094</v>
      </c>
      <c r="C4607" t="s">
        <v>2103</v>
      </c>
      <c r="D4607" t="s">
        <v>2104</v>
      </c>
      <c r="E4607" s="9">
        <v>45383</v>
      </c>
      <c r="F4607" s="9">
        <v>45412</v>
      </c>
      <c r="G4607">
        <v>9226144.2251200005</v>
      </c>
      <c r="H4607">
        <v>796608.05532000004</v>
      </c>
      <c r="I4607">
        <v>4773461.9418799998</v>
      </c>
      <c r="J4607">
        <v>649817.81135999993</v>
      </c>
      <c r="K4607">
        <v>0</v>
      </c>
      <c r="L4607">
        <v>0</v>
      </c>
      <c r="M4607">
        <v>0</v>
      </c>
      <c r="T4607" s="9">
        <v>45108</v>
      </c>
      <c r="U4607" s="9">
        <v>45473</v>
      </c>
      <c r="V4607">
        <f>SUM(POTABLE_NONPOTABLE_API[[#This Row],[RESIDENTIAL_SINGLEFAMILY_GAL]:[OTHER_GAL]])</f>
        <v>15446032.033680001</v>
      </c>
      <c r="W4607">
        <f>SUM(POTABLE_NONPOTABLE_API[[#This Row],[NONPOTABLE_DEMAND_RESIDENTIAL_RECYCLED_WATER_GAL]:[NONPOTABLE_DEMAND_NONRESIDENTIAL_METERED_IRRIGATION_GAL]])</f>
        <v>0</v>
      </c>
      <c r="X4607" t="str">
        <f>IFERROR(INDEX(Crosswalk_API!$H$2:$H$527, MATCH(POTABLE_NONPOTABLE_API[[#This Row],[PWSID]], CW_PWSID_LIST, 0)), "")</f>
        <v>No</v>
      </c>
    </row>
    <row r="4608" spans="1:24" x14ac:dyDescent="0.25">
      <c r="A4608" t="s">
        <v>2093</v>
      </c>
      <c r="B4608" t="s">
        <v>2094</v>
      </c>
      <c r="C4608" t="s">
        <v>2103</v>
      </c>
      <c r="D4608" t="s">
        <v>2104</v>
      </c>
      <c r="E4608" s="9">
        <v>45413</v>
      </c>
      <c r="F4608" s="9">
        <v>45443</v>
      </c>
      <c r="G4608">
        <v>11625685.586560002</v>
      </c>
      <c r="H4608">
        <v>686838.90483999997</v>
      </c>
      <c r="I4608">
        <v>4585977.6691200007</v>
      </c>
      <c r="J4608">
        <v>1601399.7995200001</v>
      </c>
      <c r="K4608">
        <v>0</v>
      </c>
      <c r="L4608">
        <v>0</v>
      </c>
      <c r="M4608">
        <v>0</v>
      </c>
      <c r="T4608" s="9">
        <v>45108</v>
      </c>
      <c r="U4608" s="9">
        <v>45473</v>
      </c>
      <c r="V4608">
        <f>SUM(POTABLE_NONPOTABLE_API[[#This Row],[RESIDENTIAL_SINGLEFAMILY_GAL]:[OTHER_GAL]])</f>
        <v>18499901.960040003</v>
      </c>
      <c r="W4608">
        <f>SUM(POTABLE_NONPOTABLE_API[[#This Row],[NONPOTABLE_DEMAND_RESIDENTIAL_RECYCLED_WATER_GAL]:[NONPOTABLE_DEMAND_NONRESIDENTIAL_METERED_IRRIGATION_GAL]])</f>
        <v>0</v>
      </c>
      <c r="X4608" t="str">
        <f>IFERROR(INDEX(Crosswalk_API!$H$2:$H$527, MATCH(POTABLE_NONPOTABLE_API[[#This Row],[PWSID]], CW_PWSID_LIST, 0)), "")</f>
        <v>No</v>
      </c>
    </row>
    <row r="4609" spans="1:24" x14ac:dyDescent="0.25">
      <c r="A4609" t="s">
        <v>2093</v>
      </c>
      <c r="B4609" t="s">
        <v>2094</v>
      </c>
      <c r="C4609" t="s">
        <v>2103</v>
      </c>
      <c r="D4609" t="s">
        <v>2104</v>
      </c>
      <c r="E4609" s="9">
        <v>45444</v>
      </c>
      <c r="F4609" s="9">
        <v>45473</v>
      </c>
      <c r="G4609">
        <v>22672797.834240001</v>
      </c>
      <c r="H4609">
        <v>746974.80512000003</v>
      </c>
      <c r="I4609">
        <v>5486654.7186799999</v>
      </c>
      <c r="J4609">
        <v>4120547.1952400003</v>
      </c>
      <c r="K4609">
        <v>0</v>
      </c>
      <c r="L4609">
        <v>0</v>
      </c>
      <c r="M4609">
        <v>0</v>
      </c>
      <c r="T4609" s="9">
        <v>45108</v>
      </c>
      <c r="U4609" s="9">
        <v>45473</v>
      </c>
      <c r="V4609">
        <f>SUM(POTABLE_NONPOTABLE_API[[#This Row],[RESIDENTIAL_SINGLEFAMILY_GAL]:[OTHER_GAL]])</f>
        <v>33026974.553279996</v>
      </c>
      <c r="W4609">
        <f>SUM(POTABLE_NONPOTABLE_API[[#This Row],[NONPOTABLE_DEMAND_RESIDENTIAL_RECYCLED_WATER_GAL]:[NONPOTABLE_DEMAND_NONRESIDENTIAL_METERED_IRRIGATION_GAL]])</f>
        <v>0</v>
      </c>
      <c r="X4609" t="str">
        <f>IFERROR(INDEX(Crosswalk_API!$H$2:$H$527, MATCH(POTABLE_NONPOTABLE_API[[#This Row],[PWSID]], CW_PWSID_LIST, 0)), "")</f>
        <v>No</v>
      </c>
    </row>
    <row r="4610" spans="1:24" x14ac:dyDescent="0.25">
      <c r="A4610" t="s">
        <v>2093</v>
      </c>
      <c r="B4610" t="s">
        <v>2094</v>
      </c>
      <c r="C4610" t="s">
        <v>2105</v>
      </c>
      <c r="D4610" t="s">
        <v>2106</v>
      </c>
      <c r="E4610" s="9">
        <v>45108</v>
      </c>
      <c r="F4610" s="9">
        <v>45138</v>
      </c>
      <c r="G4610">
        <v>616958991.41579998</v>
      </c>
      <c r="H4610">
        <v>22010405.268760003</v>
      </c>
      <c r="I4610">
        <v>54738173.98308</v>
      </c>
      <c r="J4610">
        <v>193660900.72140002</v>
      </c>
      <c r="K4610">
        <v>10436140.77668</v>
      </c>
      <c r="L4610">
        <v>0</v>
      </c>
      <c r="M4610">
        <v>0</v>
      </c>
      <c r="T4610" s="9">
        <v>45108</v>
      </c>
      <c r="U4610" s="9">
        <v>45473</v>
      </c>
      <c r="V4610">
        <f>SUM(POTABLE_NONPOTABLE_API[[#This Row],[RESIDENTIAL_SINGLEFAMILY_GAL]:[OTHER_GAL]])</f>
        <v>897804612.16571999</v>
      </c>
      <c r="W4610">
        <f>SUM(POTABLE_NONPOTABLE_API[[#This Row],[NONPOTABLE_DEMAND_RESIDENTIAL_RECYCLED_WATER_GAL]:[NONPOTABLE_DEMAND_NONRESIDENTIAL_METERED_IRRIGATION_GAL]])</f>
        <v>0</v>
      </c>
      <c r="X4610" t="str">
        <f>IFERROR(INDEX(Crosswalk_API!$H$2:$H$527, MATCH(POTABLE_NONPOTABLE_API[[#This Row],[PWSID]], CW_PWSID_LIST, 0)), "")</f>
        <v>No</v>
      </c>
    </row>
    <row r="4611" spans="1:24" x14ac:dyDescent="0.25">
      <c r="A4611" t="s">
        <v>2093</v>
      </c>
      <c r="B4611" t="s">
        <v>2094</v>
      </c>
      <c r="C4611" t="s">
        <v>2105</v>
      </c>
      <c r="D4611" t="s">
        <v>2106</v>
      </c>
      <c r="E4611" s="9">
        <v>45139</v>
      </c>
      <c r="F4611" s="9">
        <v>45169</v>
      </c>
      <c r="G4611">
        <v>648311571.25539994</v>
      </c>
      <c r="H4611">
        <v>19750891.7612</v>
      </c>
      <c r="I4611">
        <v>58647269.319480002</v>
      </c>
      <c r="J4611">
        <v>214732680.26264</v>
      </c>
      <c r="K4611">
        <v>9826807.5395600013</v>
      </c>
      <c r="L4611">
        <v>0</v>
      </c>
      <c r="M4611">
        <v>0</v>
      </c>
      <c r="T4611" s="9">
        <v>45108</v>
      </c>
      <c r="U4611" s="9">
        <v>45473</v>
      </c>
      <c r="V4611">
        <f>SUM(POTABLE_NONPOTABLE_API[[#This Row],[RESIDENTIAL_SINGLEFAMILY_GAL]:[OTHER_GAL]])</f>
        <v>951269220.1382798</v>
      </c>
      <c r="W4611">
        <f>SUM(POTABLE_NONPOTABLE_API[[#This Row],[NONPOTABLE_DEMAND_RESIDENTIAL_RECYCLED_WATER_GAL]:[NONPOTABLE_DEMAND_NONRESIDENTIAL_METERED_IRRIGATION_GAL]])</f>
        <v>0</v>
      </c>
      <c r="X4611" t="str">
        <f>IFERROR(INDEX(Crosswalk_API!$H$2:$H$527, MATCH(POTABLE_NONPOTABLE_API[[#This Row],[PWSID]], CW_PWSID_LIST, 0)), "")</f>
        <v>No</v>
      </c>
    </row>
    <row r="4612" spans="1:24" x14ac:dyDescent="0.25">
      <c r="A4612" t="s">
        <v>2093</v>
      </c>
      <c r="B4612" t="s">
        <v>2094</v>
      </c>
      <c r="C4612" t="s">
        <v>2105</v>
      </c>
      <c r="D4612" t="s">
        <v>2106</v>
      </c>
      <c r="E4612" s="9">
        <v>45170</v>
      </c>
      <c r="F4612" s="9">
        <v>45199</v>
      </c>
      <c r="G4612">
        <v>595263014.84420002</v>
      </c>
      <c r="H4612">
        <v>22266523.312520001</v>
      </c>
      <c r="I4612">
        <v>57168138.61936</v>
      </c>
      <c r="J4612">
        <v>182775195.65376002</v>
      </c>
      <c r="K4612">
        <v>10110483.819</v>
      </c>
      <c r="L4612">
        <v>0</v>
      </c>
      <c r="M4612">
        <v>0</v>
      </c>
      <c r="T4612" s="9">
        <v>45108</v>
      </c>
      <c r="U4612" s="9">
        <v>45473</v>
      </c>
      <c r="V4612">
        <f>SUM(POTABLE_NONPOTABLE_API[[#This Row],[RESIDENTIAL_SINGLEFAMILY_GAL]:[OTHER_GAL]])</f>
        <v>867583356.24884009</v>
      </c>
      <c r="W4612">
        <f>SUM(POTABLE_NONPOTABLE_API[[#This Row],[NONPOTABLE_DEMAND_RESIDENTIAL_RECYCLED_WATER_GAL]:[NONPOTABLE_DEMAND_NONRESIDENTIAL_METERED_IRRIGATION_GAL]])</f>
        <v>0</v>
      </c>
      <c r="X4612" t="str">
        <f>IFERROR(INDEX(Crosswalk_API!$H$2:$H$527, MATCH(POTABLE_NONPOTABLE_API[[#This Row],[PWSID]], CW_PWSID_LIST, 0)), "")</f>
        <v>No</v>
      </c>
    </row>
    <row r="4613" spans="1:24" x14ac:dyDescent="0.25">
      <c r="A4613" t="s">
        <v>2093</v>
      </c>
      <c r="B4613" t="s">
        <v>2094</v>
      </c>
      <c r="C4613" t="s">
        <v>2105</v>
      </c>
      <c r="D4613" t="s">
        <v>2106</v>
      </c>
      <c r="E4613" s="9">
        <v>45200</v>
      </c>
      <c r="F4613" s="9">
        <v>45230</v>
      </c>
      <c r="G4613">
        <v>547770203.23440003</v>
      </c>
      <c r="H4613">
        <v>21474800.036760002</v>
      </c>
      <c r="I4613">
        <v>51727354.449320003</v>
      </c>
      <c r="J4613">
        <v>141446399.84863999</v>
      </c>
      <c r="K4613">
        <v>10825995.557</v>
      </c>
      <c r="L4613">
        <v>0</v>
      </c>
      <c r="M4613">
        <v>0</v>
      </c>
      <c r="T4613" s="9">
        <v>45108</v>
      </c>
      <c r="U4613" s="9">
        <v>45473</v>
      </c>
      <c r="V4613">
        <f>SUM(POTABLE_NONPOTABLE_API[[#This Row],[RESIDENTIAL_SINGLEFAMILY_GAL]:[OTHER_GAL]])</f>
        <v>773244753.12611997</v>
      </c>
      <c r="W4613">
        <f>SUM(POTABLE_NONPOTABLE_API[[#This Row],[NONPOTABLE_DEMAND_RESIDENTIAL_RECYCLED_WATER_GAL]:[NONPOTABLE_DEMAND_NONRESIDENTIAL_METERED_IRRIGATION_GAL]])</f>
        <v>0</v>
      </c>
      <c r="X4613" t="str">
        <f>IFERROR(INDEX(Crosswalk_API!$H$2:$H$527, MATCH(POTABLE_NONPOTABLE_API[[#This Row],[PWSID]], CW_PWSID_LIST, 0)), "")</f>
        <v>No</v>
      </c>
    </row>
    <row r="4614" spans="1:24" x14ac:dyDescent="0.25">
      <c r="A4614" t="s">
        <v>2093</v>
      </c>
      <c r="B4614" t="s">
        <v>2094</v>
      </c>
      <c r="C4614" t="s">
        <v>2105</v>
      </c>
      <c r="D4614" t="s">
        <v>2106</v>
      </c>
      <c r="E4614" s="9">
        <v>45231</v>
      </c>
      <c r="F4614" s="9">
        <v>45260</v>
      </c>
      <c r="G4614">
        <v>441051212.34284002</v>
      </c>
      <c r="H4614">
        <v>20756879.571320001</v>
      </c>
      <c r="I4614">
        <v>41936371.120039999</v>
      </c>
      <c r="J4614">
        <v>78699932.738000005</v>
      </c>
      <c r="K4614">
        <v>11102258.64112</v>
      </c>
      <c r="L4614">
        <v>0</v>
      </c>
      <c r="M4614">
        <v>0</v>
      </c>
      <c r="T4614" s="9">
        <v>45108</v>
      </c>
      <c r="U4614" s="9">
        <v>45473</v>
      </c>
      <c r="V4614">
        <f>SUM(POTABLE_NONPOTABLE_API[[#This Row],[RESIDENTIAL_SINGLEFAMILY_GAL]:[OTHER_GAL]])</f>
        <v>593546654.41331995</v>
      </c>
      <c r="W4614">
        <f>SUM(POTABLE_NONPOTABLE_API[[#This Row],[NONPOTABLE_DEMAND_RESIDENTIAL_RECYCLED_WATER_GAL]:[NONPOTABLE_DEMAND_NONRESIDENTIAL_METERED_IRRIGATION_GAL]])</f>
        <v>0</v>
      </c>
      <c r="X4614" t="str">
        <f>IFERROR(INDEX(Crosswalk_API!$H$2:$H$527, MATCH(POTABLE_NONPOTABLE_API[[#This Row],[PWSID]], CW_PWSID_LIST, 0)), "")</f>
        <v>No</v>
      </c>
    </row>
    <row r="4615" spans="1:24" x14ac:dyDescent="0.25">
      <c r="A4615" t="s">
        <v>2093</v>
      </c>
      <c r="B4615" t="s">
        <v>2094</v>
      </c>
      <c r="C4615" t="s">
        <v>2105</v>
      </c>
      <c r="D4615" t="s">
        <v>2106</v>
      </c>
      <c r="E4615" s="9">
        <v>45261</v>
      </c>
      <c r="F4615" s="9">
        <v>45291</v>
      </c>
      <c r="G4615">
        <v>327261940.64859998</v>
      </c>
      <c r="H4615">
        <v>18523503.000640001</v>
      </c>
      <c r="I4615">
        <v>33035681.878559999</v>
      </c>
      <c r="J4615">
        <v>29059448.875160001</v>
      </c>
      <c r="K4615">
        <v>5900843.6305600004</v>
      </c>
      <c r="L4615">
        <v>0</v>
      </c>
      <c r="M4615">
        <v>0</v>
      </c>
      <c r="T4615" s="9">
        <v>45108</v>
      </c>
      <c r="U4615" s="9">
        <v>45473</v>
      </c>
      <c r="V4615">
        <f>SUM(POTABLE_NONPOTABLE_API[[#This Row],[RESIDENTIAL_SINGLEFAMILY_GAL]:[OTHER_GAL]])</f>
        <v>413781418.03351992</v>
      </c>
      <c r="W4615">
        <f>SUM(POTABLE_NONPOTABLE_API[[#This Row],[NONPOTABLE_DEMAND_RESIDENTIAL_RECYCLED_WATER_GAL]:[NONPOTABLE_DEMAND_NONRESIDENTIAL_METERED_IRRIGATION_GAL]])</f>
        <v>0</v>
      </c>
      <c r="X4615" t="str">
        <f>IFERROR(INDEX(Crosswalk_API!$H$2:$H$527, MATCH(POTABLE_NONPOTABLE_API[[#This Row],[PWSID]], CW_PWSID_LIST, 0)), "")</f>
        <v>No</v>
      </c>
    </row>
    <row r="4616" spans="1:24" x14ac:dyDescent="0.25">
      <c r="A4616" t="s">
        <v>2093</v>
      </c>
      <c r="B4616" t="s">
        <v>2094</v>
      </c>
      <c r="C4616" t="s">
        <v>2105</v>
      </c>
      <c r="D4616" t="s">
        <v>2106</v>
      </c>
      <c r="E4616" s="9">
        <v>45292</v>
      </c>
      <c r="F4616" s="9">
        <v>45322</v>
      </c>
      <c r="G4616">
        <v>291226383.23704004</v>
      </c>
      <c r="H4616">
        <v>19558567.592</v>
      </c>
      <c r="I4616">
        <v>29230595.692240003</v>
      </c>
      <c r="J4616">
        <v>13170248.39512</v>
      </c>
      <c r="K4616">
        <v>4570478.03168</v>
      </c>
      <c r="L4616">
        <v>0</v>
      </c>
      <c r="M4616">
        <v>0</v>
      </c>
      <c r="T4616" s="9">
        <v>45108</v>
      </c>
      <c r="U4616" s="9">
        <v>45473</v>
      </c>
      <c r="V4616">
        <f>SUM(POTABLE_NONPOTABLE_API[[#This Row],[RESIDENTIAL_SINGLEFAMILY_GAL]:[OTHER_GAL]])</f>
        <v>357756272.94808006</v>
      </c>
      <c r="W4616">
        <f>SUM(POTABLE_NONPOTABLE_API[[#This Row],[NONPOTABLE_DEMAND_RESIDENTIAL_RECYCLED_WATER_GAL]:[NONPOTABLE_DEMAND_NONRESIDENTIAL_METERED_IRRIGATION_GAL]])</f>
        <v>0</v>
      </c>
      <c r="X4616" t="str">
        <f>IFERROR(INDEX(Crosswalk_API!$H$2:$H$527, MATCH(POTABLE_NONPOTABLE_API[[#This Row],[PWSID]], CW_PWSID_LIST, 0)), "")</f>
        <v>No</v>
      </c>
    </row>
    <row r="4617" spans="1:24" x14ac:dyDescent="0.25">
      <c r="A4617" t="s">
        <v>2093</v>
      </c>
      <c r="B4617" t="s">
        <v>2094</v>
      </c>
      <c r="C4617" t="s">
        <v>2105</v>
      </c>
      <c r="D4617" t="s">
        <v>2106</v>
      </c>
      <c r="E4617" s="9">
        <v>45323</v>
      </c>
      <c r="F4617" s="9">
        <v>45351</v>
      </c>
      <c r="G4617">
        <v>262811007.13388002</v>
      </c>
      <c r="H4617">
        <v>19022363.918400001</v>
      </c>
      <c r="I4617">
        <v>35567606.002440006</v>
      </c>
      <c r="J4617">
        <v>9732425.8187199999</v>
      </c>
      <c r="K4617">
        <v>6641130.8508000001</v>
      </c>
      <c r="L4617">
        <v>0</v>
      </c>
      <c r="M4617">
        <v>0</v>
      </c>
      <c r="T4617" s="9">
        <v>45108</v>
      </c>
      <c r="U4617" s="9">
        <v>45473</v>
      </c>
      <c r="V4617">
        <f>SUM(POTABLE_NONPOTABLE_API[[#This Row],[RESIDENTIAL_SINGLEFAMILY_GAL]:[OTHER_GAL]])</f>
        <v>333774533.72424001</v>
      </c>
      <c r="W4617">
        <f>SUM(POTABLE_NONPOTABLE_API[[#This Row],[NONPOTABLE_DEMAND_RESIDENTIAL_RECYCLED_WATER_GAL]:[NONPOTABLE_DEMAND_NONRESIDENTIAL_METERED_IRRIGATION_GAL]])</f>
        <v>0</v>
      </c>
      <c r="X4617" t="str">
        <f>IFERROR(INDEX(Crosswalk_API!$H$2:$H$527, MATCH(POTABLE_NONPOTABLE_API[[#This Row],[PWSID]], CW_PWSID_LIST, 0)), "")</f>
        <v>No</v>
      </c>
    </row>
    <row r="4618" spans="1:24" x14ac:dyDescent="0.25">
      <c r="A4618" t="s">
        <v>2093</v>
      </c>
      <c r="B4618" t="s">
        <v>2094</v>
      </c>
      <c r="C4618" t="s">
        <v>2105</v>
      </c>
      <c r="D4618" t="s">
        <v>2106</v>
      </c>
      <c r="E4618" s="9">
        <v>45352</v>
      </c>
      <c r="F4618" s="9">
        <v>45382</v>
      </c>
      <c r="G4618">
        <v>259882420.95648</v>
      </c>
      <c r="H4618">
        <v>17870588.254000001</v>
      </c>
      <c r="I4618">
        <v>28944675.256800003</v>
      </c>
      <c r="J4618">
        <v>8686634.1616799999</v>
      </c>
      <c r="K4618">
        <v>3422300.4973999998</v>
      </c>
      <c r="L4618">
        <v>0</v>
      </c>
      <c r="M4618">
        <v>0</v>
      </c>
      <c r="T4618" s="9">
        <v>45108</v>
      </c>
      <c r="U4618" s="9">
        <v>45473</v>
      </c>
      <c r="V4618">
        <f>SUM(POTABLE_NONPOTABLE_API[[#This Row],[RESIDENTIAL_SINGLEFAMILY_GAL]:[OTHER_GAL]])</f>
        <v>318806619.12635994</v>
      </c>
      <c r="W4618">
        <f>SUM(POTABLE_NONPOTABLE_API[[#This Row],[NONPOTABLE_DEMAND_RESIDENTIAL_RECYCLED_WATER_GAL]:[NONPOTABLE_DEMAND_NONRESIDENTIAL_METERED_IRRIGATION_GAL]])</f>
        <v>0</v>
      </c>
      <c r="X4618" t="str">
        <f>IFERROR(INDEX(Crosswalk_API!$H$2:$H$527, MATCH(POTABLE_NONPOTABLE_API[[#This Row],[PWSID]], CW_PWSID_LIST, 0)), "")</f>
        <v>No</v>
      </c>
    </row>
    <row r="4619" spans="1:24" x14ac:dyDescent="0.25">
      <c r="A4619" t="s">
        <v>2093</v>
      </c>
      <c r="B4619" t="s">
        <v>2094</v>
      </c>
      <c r="C4619" t="s">
        <v>2105</v>
      </c>
      <c r="D4619" t="s">
        <v>2106</v>
      </c>
      <c r="E4619" s="9">
        <v>45383</v>
      </c>
      <c r="F4619" s="9">
        <v>45412</v>
      </c>
      <c r="G4619">
        <v>334022894.46876001</v>
      </c>
      <c r="H4619">
        <v>21157700.793960001</v>
      </c>
      <c r="I4619">
        <v>33871196.1184</v>
      </c>
      <c r="J4619">
        <v>34846551.19912</v>
      </c>
      <c r="K4619">
        <v>6531705.8042400004</v>
      </c>
      <c r="L4619">
        <v>0</v>
      </c>
      <c r="M4619">
        <v>0</v>
      </c>
      <c r="T4619" s="9">
        <v>45108</v>
      </c>
      <c r="U4619" s="9">
        <v>45473</v>
      </c>
      <c r="V4619">
        <f>SUM(POTABLE_NONPOTABLE_API[[#This Row],[RESIDENTIAL_SINGLEFAMILY_GAL]:[OTHER_GAL]])</f>
        <v>430430048.38447994</v>
      </c>
      <c r="W4619">
        <f>SUM(POTABLE_NONPOTABLE_API[[#This Row],[NONPOTABLE_DEMAND_RESIDENTIAL_RECYCLED_WATER_GAL]:[NONPOTABLE_DEMAND_NONRESIDENTIAL_METERED_IRRIGATION_GAL]])</f>
        <v>0</v>
      </c>
      <c r="X4619" t="str">
        <f>IFERROR(INDEX(Crosswalk_API!$H$2:$H$527, MATCH(POTABLE_NONPOTABLE_API[[#This Row],[PWSID]], CW_PWSID_LIST, 0)), "")</f>
        <v>No</v>
      </c>
    </row>
    <row r="4620" spans="1:24" x14ac:dyDescent="0.25">
      <c r="A4620" t="s">
        <v>2093</v>
      </c>
      <c r="B4620" t="s">
        <v>2094</v>
      </c>
      <c r="C4620" t="s">
        <v>2105</v>
      </c>
      <c r="D4620" t="s">
        <v>2106</v>
      </c>
      <c r="E4620" s="9">
        <v>45413</v>
      </c>
      <c r="F4620" s="9">
        <v>45443</v>
      </c>
      <c r="G4620">
        <v>375740849.36584002</v>
      </c>
      <c r="H4620">
        <v>18225247.187720001</v>
      </c>
      <c r="I4620">
        <v>37312100.669040002</v>
      </c>
      <c r="J4620">
        <v>81827612.955200002</v>
      </c>
      <c r="K4620">
        <v>8664858.3679600004</v>
      </c>
      <c r="L4620">
        <v>0</v>
      </c>
      <c r="M4620">
        <v>0</v>
      </c>
      <c r="T4620" s="9">
        <v>45108</v>
      </c>
      <c r="U4620" s="9">
        <v>45473</v>
      </c>
      <c r="V4620">
        <f>SUM(POTABLE_NONPOTABLE_API[[#This Row],[RESIDENTIAL_SINGLEFAMILY_GAL]:[OTHER_GAL]])</f>
        <v>521770668.54576004</v>
      </c>
      <c r="W4620">
        <f>SUM(POTABLE_NONPOTABLE_API[[#This Row],[NONPOTABLE_DEMAND_RESIDENTIAL_RECYCLED_WATER_GAL]:[NONPOTABLE_DEMAND_NONRESIDENTIAL_METERED_IRRIGATION_GAL]])</f>
        <v>0</v>
      </c>
      <c r="X4620" t="str">
        <f>IFERROR(INDEX(Crosswalk_API!$H$2:$H$527, MATCH(POTABLE_NONPOTABLE_API[[#This Row],[PWSID]], CW_PWSID_LIST, 0)), "")</f>
        <v>No</v>
      </c>
    </row>
    <row r="4621" spans="1:24" x14ac:dyDescent="0.25">
      <c r="A4621" t="s">
        <v>2093</v>
      </c>
      <c r="B4621" t="s">
        <v>2094</v>
      </c>
      <c r="C4621" t="s">
        <v>2105</v>
      </c>
      <c r="D4621" t="s">
        <v>2106</v>
      </c>
      <c r="E4621" s="9">
        <v>45444</v>
      </c>
      <c r="F4621" s="9">
        <v>45473</v>
      </c>
      <c r="G4621">
        <v>616016640.38932002</v>
      </c>
      <c r="H4621">
        <v>22254322.584400002</v>
      </c>
      <c r="I4621">
        <v>54178877.944239996</v>
      </c>
      <c r="J4621">
        <v>178806173.87164</v>
      </c>
      <c r="K4621">
        <v>11390961.83</v>
      </c>
      <c r="L4621">
        <v>0</v>
      </c>
      <c r="M4621">
        <v>0</v>
      </c>
      <c r="N4621">
        <v>0</v>
      </c>
      <c r="O4621">
        <v>0</v>
      </c>
      <c r="P4621">
        <v>0</v>
      </c>
      <c r="Q4621">
        <v>28186754</v>
      </c>
      <c r="R4621">
        <v>0</v>
      </c>
      <c r="T4621" s="9">
        <v>45108</v>
      </c>
      <c r="U4621" s="9">
        <v>45473</v>
      </c>
      <c r="V4621">
        <f>SUM(POTABLE_NONPOTABLE_API[[#This Row],[RESIDENTIAL_SINGLEFAMILY_GAL]:[OTHER_GAL]])</f>
        <v>882646976.61960006</v>
      </c>
      <c r="W4621">
        <f>SUM(POTABLE_NONPOTABLE_API[[#This Row],[NONPOTABLE_DEMAND_RESIDENTIAL_RECYCLED_WATER_GAL]:[NONPOTABLE_DEMAND_NONRESIDENTIAL_METERED_IRRIGATION_GAL]])</f>
        <v>28186754</v>
      </c>
      <c r="X4621" t="str">
        <f>IFERROR(INDEX(Crosswalk_API!$H$2:$H$527, MATCH(POTABLE_NONPOTABLE_API[[#This Row],[PWSID]], CW_PWSID_LIST, 0)), "")</f>
        <v>No</v>
      </c>
    </row>
    <row r="4622" spans="1:24" x14ac:dyDescent="0.25">
      <c r="A4622" t="s">
        <v>2093</v>
      </c>
      <c r="B4622" t="s">
        <v>2094</v>
      </c>
      <c r="C4622" t="s">
        <v>2107</v>
      </c>
      <c r="D4622" t="s">
        <v>2108</v>
      </c>
      <c r="E4622" s="9">
        <v>45108</v>
      </c>
      <c r="F4622" s="9">
        <v>45138</v>
      </c>
      <c r="G4622">
        <v>95835455.174720004</v>
      </c>
      <c r="H4622">
        <v>1199269.4858800001</v>
      </c>
      <c r="I4622">
        <v>22009058.775160003</v>
      </c>
      <c r="J4622">
        <v>28093294.834039997</v>
      </c>
      <c r="K4622">
        <v>4653294.8686000006</v>
      </c>
      <c r="L4622">
        <v>0</v>
      </c>
      <c r="M4622">
        <v>0</v>
      </c>
      <c r="T4622" s="9">
        <v>45108</v>
      </c>
      <c r="U4622" s="9">
        <v>45473</v>
      </c>
      <c r="V4622">
        <f>SUM(POTABLE_NONPOTABLE_API[[#This Row],[RESIDENTIAL_SINGLEFAMILY_GAL]:[OTHER_GAL]])</f>
        <v>151790373.13840002</v>
      </c>
      <c r="W4622">
        <f>SUM(POTABLE_NONPOTABLE_API[[#This Row],[NONPOTABLE_DEMAND_RESIDENTIAL_RECYCLED_WATER_GAL]:[NONPOTABLE_DEMAND_NONRESIDENTIAL_METERED_IRRIGATION_GAL]])</f>
        <v>0</v>
      </c>
      <c r="X4622" t="str">
        <f>IFERROR(INDEX(Crosswalk_API!$H$2:$H$527, MATCH(POTABLE_NONPOTABLE_API[[#This Row],[PWSID]], CW_PWSID_LIST, 0)), "")</f>
        <v>No</v>
      </c>
    </row>
    <row r="4623" spans="1:24" x14ac:dyDescent="0.25">
      <c r="A4623" t="s">
        <v>2093</v>
      </c>
      <c r="B4623" t="s">
        <v>2094</v>
      </c>
      <c r="C4623" t="s">
        <v>2107</v>
      </c>
      <c r="D4623" t="s">
        <v>2108</v>
      </c>
      <c r="E4623" s="9">
        <v>45139</v>
      </c>
      <c r="F4623" s="9">
        <v>45169</v>
      </c>
      <c r="G4623">
        <v>108136459.66532001</v>
      </c>
      <c r="H4623">
        <v>1181780.03012</v>
      </c>
      <c r="I4623">
        <v>24497214.37652</v>
      </c>
      <c r="J4623">
        <v>34254348.352800004</v>
      </c>
      <c r="K4623">
        <v>5944941.2959599998</v>
      </c>
      <c r="L4623">
        <v>0</v>
      </c>
      <c r="M4623">
        <v>0</v>
      </c>
      <c r="T4623" s="9">
        <v>45108</v>
      </c>
      <c r="U4623" s="9">
        <v>45473</v>
      </c>
      <c r="V4623">
        <f>SUM(POTABLE_NONPOTABLE_API[[#This Row],[RESIDENTIAL_SINGLEFAMILY_GAL]:[OTHER_GAL]])</f>
        <v>174014743.72072002</v>
      </c>
      <c r="W4623">
        <f>SUM(POTABLE_NONPOTABLE_API[[#This Row],[NONPOTABLE_DEMAND_RESIDENTIAL_RECYCLED_WATER_GAL]:[NONPOTABLE_DEMAND_NONRESIDENTIAL_METERED_IRRIGATION_GAL]])</f>
        <v>0</v>
      </c>
      <c r="X4623" t="str">
        <f>IFERROR(INDEX(Crosswalk_API!$H$2:$H$527, MATCH(POTABLE_NONPOTABLE_API[[#This Row],[PWSID]], CW_PWSID_LIST, 0)), "")</f>
        <v>No</v>
      </c>
    </row>
    <row r="4624" spans="1:24" x14ac:dyDescent="0.25">
      <c r="A4624" t="s">
        <v>2093</v>
      </c>
      <c r="B4624" t="s">
        <v>2094</v>
      </c>
      <c r="C4624" t="s">
        <v>2107</v>
      </c>
      <c r="D4624" t="s">
        <v>2108</v>
      </c>
      <c r="E4624" s="9">
        <v>45170</v>
      </c>
      <c r="F4624" s="9">
        <v>45199</v>
      </c>
      <c r="G4624">
        <v>106805368.456</v>
      </c>
      <c r="H4624">
        <v>1067889.1131199999</v>
      </c>
      <c r="I4624">
        <v>25642122.923560001</v>
      </c>
      <c r="J4624">
        <v>32379131.599199999</v>
      </c>
      <c r="K4624">
        <v>6098426.6053200001</v>
      </c>
      <c r="L4624">
        <v>0</v>
      </c>
      <c r="M4624">
        <v>0</v>
      </c>
      <c r="T4624" s="9">
        <v>45108</v>
      </c>
      <c r="U4624" s="9">
        <v>45473</v>
      </c>
      <c r="V4624">
        <f>SUM(POTABLE_NONPOTABLE_API[[#This Row],[RESIDENTIAL_SINGLEFAMILY_GAL]:[OTHER_GAL]])</f>
        <v>171992938.69720003</v>
      </c>
      <c r="W4624">
        <f>SUM(POTABLE_NONPOTABLE_API[[#This Row],[NONPOTABLE_DEMAND_RESIDENTIAL_RECYCLED_WATER_GAL]:[NONPOTABLE_DEMAND_NONRESIDENTIAL_METERED_IRRIGATION_GAL]])</f>
        <v>0</v>
      </c>
      <c r="X4624" t="str">
        <f>IFERROR(INDEX(Crosswalk_API!$H$2:$H$527, MATCH(POTABLE_NONPOTABLE_API[[#This Row],[PWSID]], CW_PWSID_LIST, 0)), "")</f>
        <v>No</v>
      </c>
    </row>
    <row r="4625" spans="1:24" x14ac:dyDescent="0.25">
      <c r="A4625" t="s">
        <v>2093</v>
      </c>
      <c r="B4625" t="s">
        <v>2094</v>
      </c>
      <c r="C4625" t="s">
        <v>2107</v>
      </c>
      <c r="D4625" t="s">
        <v>2108</v>
      </c>
      <c r="E4625" s="9">
        <v>45200</v>
      </c>
      <c r="F4625" s="9">
        <v>45230</v>
      </c>
      <c r="G4625">
        <v>86540871.672120005</v>
      </c>
      <c r="H4625">
        <v>1036426.046</v>
      </c>
      <c r="I4625">
        <v>24006798.965840001</v>
      </c>
      <c r="J4625">
        <v>23156076.828839999</v>
      </c>
      <c r="K4625">
        <v>5805609.1304400004</v>
      </c>
      <c r="L4625">
        <v>0</v>
      </c>
      <c r="M4625">
        <v>0</v>
      </c>
      <c r="T4625" s="9">
        <v>45108</v>
      </c>
      <c r="U4625" s="9">
        <v>45473</v>
      </c>
      <c r="V4625">
        <f>SUM(POTABLE_NONPOTABLE_API[[#This Row],[RESIDENTIAL_SINGLEFAMILY_GAL]:[OTHER_GAL]])</f>
        <v>140545782.64324</v>
      </c>
      <c r="W4625">
        <f>SUM(POTABLE_NONPOTABLE_API[[#This Row],[NONPOTABLE_DEMAND_RESIDENTIAL_RECYCLED_WATER_GAL]:[NONPOTABLE_DEMAND_NONRESIDENTIAL_METERED_IRRIGATION_GAL]])</f>
        <v>0</v>
      </c>
      <c r="X4625" t="str">
        <f>IFERROR(INDEX(Crosswalk_API!$H$2:$H$527, MATCH(POTABLE_NONPOTABLE_API[[#This Row],[PWSID]], CW_PWSID_LIST, 0)), "")</f>
        <v>No</v>
      </c>
    </row>
    <row r="4626" spans="1:24" x14ac:dyDescent="0.25">
      <c r="A4626" t="s">
        <v>2093</v>
      </c>
      <c r="B4626" t="s">
        <v>2094</v>
      </c>
      <c r="C4626" t="s">
        <v>2107</v>
      </c>
      <c r="D4626" t="s">
        <v>2108</v>
      </c>
      <c r="E4626" s="9">
        <v>45231</v>
      </c>
      <c r="F4626" s="9">
        <v>45260</v>
      </c>
      <c r="G4626">
        <v>72093466.61688</v>
      </c>
      <c r="H4626">
        <v>1057461.2682399999</v>
      </c>
      <c r="I4626">
        <v>20033977.07956</v>
      </c>
      <c r="J4626">
        <v>19486537.664919998</v>
      </c>
      <c r="K4626">
        <v>4959689.48728</v>
      </c>
      <c r="L4626">
        <v>0</v>
      </c>
      <c r="M4626">
        <v>0</v>
      </c>
      <c r="T4626" s="9">
        <v>45108</v>
      </c>
      <c r="U4626" s="9">
        <v>45473</v>
      </c>
      <c r="V4626">
        <f>SUM(POTABLE_NONPOTABLE_API[[#This Row],[RESIDENTIAL_SINGLEFAMILY_GAL]:[OTHER_GAL]])</f>
        <v>117631132.11688</v>
      </c>
      <c r="W4626">
        <f>SUM(POTABLE_NONPOTABLE_API[[#This Row],[NONPOTABLE_DEMAND_RESIDENTIAL_RECYCLED_WATER_GAL]:[NONPOTABLE_DEMAND_NONRESIDENTIAL_METERED_IRRIGATION_GAL]])</f>
        <v>0</v>
      </c>
      <c r="X4626" t="str">
        <f>IFERROR(INDEX(Crosswalk_API!$H$2:$H$527, MATCH(POTABLE_NONPOTABLE_API[[#This Row],[PWSID]], CW_PWSID_LIST, 0)), "")</f>
        <v>No</v>
      </c>
    </row>
    <row r="4627" spans="1:24" x14ac:dyDescent="0.25">
      <c r="A4627" t="s">
        <v>2093</v>
      </c>
      <c r="B4627" t="s">
        <v>2094</v>
      </c>
      <c r="C4627" t="s">
        <v>2107</v>
      </c>
      <c r="D4627" t="s">
        <v>2108</v>
      </c>
      <c r="E4627" s="9">
        <v>45261</v>
      </c>
      <c r="F4627" s="9">
        <v>45291</v>
      </c>
      <c r="G4627">
        <v>52779265.171720006</v>
      </c>
      <c r="H4627">
        <v>1164380.3406</v>
      </c>
      <c r="I4627">
        <v>13006439.968160002</v>
      </c>
      <c r="J4627">
        <v>6550384.6626800001</v>
      </c>
      <c r="K4627">
        <v>3049778.0819200003</v>
      </c>
      <c r="L4627">
        <v>0</v>
      </c>
      <c r="M4627">
        <v>0</v>
      </c>
      <c r="T4627" s="9">
        <v>45108</v>
      </c>
      <c r="U4627" s="9">
        <v>45473</v>
      </c>
      <c r="V4627">
        <f>SUM(POTABLE_NONPOTABLE_API[[#This Row],[RESIDENTIAL_SINGLEFAMILY_GAL]:[OTHER_GAL]])</f>
        <v>76550248.225080013</v>
      </c>
      <c r="W4627">
        <f>SUM(POTABLE_NONPOTABLE_API[[#This Row],[NONPOTABLE_DEMAND_RESIDENTIAL_RECYCLED_WATER_GAL]:[NONPOTABLE_DEMAND_NONRESIDENTIAL_METERED_IRRIGATION_GAL]])</f>
        <v>0</v>
      </c>
      <c r="X4627" t="str">
        <f>IFERROR(INDEX(Crosswalk_API!$H$2:$H$527, MATCH(POTABLE_NONPOTABLE_API[[#This Row],[PWSID]], CW_PWSID_LIST, 0)), "")</f>
        <v>No</v>
      </c>
    </row>
    <row r="4628" spans="1:24" x14ac:dyDescent="0.25">
      <c r="A4628" t="s">
        <v>2093</v>
      </c>
      <c r="B4628" t="s">
        <v>2094</v>
      </c>
      <c r="C4628" t="s">
        <v>2107</v>
      </c>
      <c r="D4628" t="s">
        <v>2108</v>
      </c>
      <c r="E4628" s="9">
        <v>45292</v>
      </c>
      <c r="F4628" s="9">
        <v>45322</v>
      </c>
      <c r="G4628">
        <v>48857340.743520007</v>
      </c>
      <c r="H4628">
        <v>1278966.9459600002</v>
      </c>
      <c r="I4628">
        <v>10384495.2666</v>
      </c>
      <c r="J4628">
        <v>3686475.0612000003</v>
      </c>
      <c r="K4628">
        <v>2367636.9436400002</v>
      </c>
      <c r="L4628">
        <v>0</v>
      </c>
      <c r="M4628">
        <v>0</v>
      </c>
      <c r="T4628" s="9">
        <v>45108</v>
      </c>
      <c r="U4628" s="9">
        <v>45473</v>
      </c>
      <c r="V4628">
        <f>SUM(POTABLE_NONPOTABLE_API[[#This Row],[RESIDENTIAL_SINGLEFAMILY_GAL]:[OTHER_GAL]])</f>
        <v>66574914.960920006</v>
      </c>
      <c r="W4628">
        <f>SUM(POTABLE_NONPOTABLE_API[[#This Row],[NONPOTABLE_DEMAND_RESIDENTIAL_RECYCLED_WATER_GAL]:[NONPOTABLE_DEMAND_NONRESIDENTIAL_METERED_IRRIGATION_GAL]])</f>
        <v>0</v>
      </c>
      <c r="X4628" t="str">
        <f>IFERROR(INDEX(Crosswalk_API!$H$2:$H$527, MATCH(POTABLE_NONPOTABLE_API[[#This Row],[PWSID]], CW_PWSID_LIST, 0)), "")</f>
        <v>No</v>
      </c>
    </row>
    <row r="4629" spans="1:24" x14ac:dyDescent="0.25">
      <c r="A4629" t="s">
        <v>2093</v>
      </c>
      <c r="B4629" t="s">
        <v>2094</v>
      </c>
      <c r="C4629" t="s">
        <v>2107</v>
      </c>
      <c r="D4629" t="s">
        <v>2108</v>
      </c>
      <c r="E4629" s="9">
        <v>45323</v>
      </c>
      <c r="F4629" s="9">
        <v>45351</v>
      </c>
      <c r="G4629">
        <v>41022924.822839998</v>
      </c>
      <c r="H4629">
        <v>1198050.1611200001</v>
      </c>
      <c r="I4629">
        <v>8994801.6635999996</v>
      </c>
      <c r="J4629">
        <v>1883318.1567600002</v>
      </c>
      <c r="K4629">
        <v>2244627.2727600001</v>
      </c>
      <c r="L4629">
        <v>0</v>
      </c>
      <c r="M4629">
        <v>0</v>
      </c>
      <c r="T4629" s="9">
        <v>45108</v>
      </c>
      <c r="U4629" s="9">
        <v>45473</v>
      </c>
      <c r="V4629">
        <f>SUM(POTABLE_NONPOTABLE_API[[#This Row],[RESIDENTIAL_SINGLEFAMILY_GAL]:[OTHER_GAL]])</f>
        <v>55343722.077079996</v>
      </c>
      <c r="W4629">
        <f>SUM(POTABLE_NONPOTABLE_API[[#This Row],[NONPOTABLE_DEMAND_RESIDENTIAL_RECYCLED_WATER_GAL]:[NONPOTABLE_DEMAND_NONRESIDENTIAL_METERED_IRRIGATION_GAL]])</f>
        <v>0</v>
      </c>
      <c r="X4629" t="str">
        <f>IFERROR(INDEX(Crosswalk_API!$H$2:$H$527, MATCH(POTABLE_NONPOTABLE_API[[#This Row],[PWSID]], CW_PWSID_LIST, 0)), "")</f>
        <v>No</v>
      </c>
    </row>
    <row r="4630" spans="1:24" x14ac:dyDescent="0.25">
      <c r="A4630" t="s">
        <v>2093</v>
      </c>
      <c r="B4630" t="s">
        <v>2094</v>
      </c>
      <c r="C4630" t="s">
        <v>2107</v>
      </c>
      <c r="D4630" t="s">
        <v>2108</v>
      </c>
      <c r="E4630" s="9">
        <v>45352</v>
      </c>
      <c r="F4630" s="9">
        <v>45382</v>
      </c>
      <c r="G4630">
        <v>40896077.645199999</v>
      </c>
      <c r="H4630">
        <v>1052015.4496800001</v>
      </c>
      <c r="I4630">
        <v>9411773.3289199993</v>
      </c>
      <c r="J4630">
        <v>1331457.7548</v>
      </c>
      <c r="K4630">
        <v>2509280.58984</v>
      </c>
      <c r="L4630">
        <v>0</v>
      </c>
      <c r="M4630">
        <v>0</v>
      </c>
      <c r="T4630" s="9">
        <v>45108</v>
      </c>
      <c r="U4630" s="9">
        <v>45473</v>
      </c>
      <c r="V4630">
        <f>SUM(POTABLE_NONPOTABLE_API[[#This Row],[RESIDENTIAL_SINGLEFAMILY_GAL]:[OTHER_GAL]])</f>
        <v>55200604.768440001</v>
      </c>
      <c r="W4630">
        <f>SUM(POTABLE_NONPOTABLE_API[[#This Row],[NONPOTABLE_DEMAND_RESIDENTIAL_RECYCLED_WATER_GAL]:[NONPOTABLE_DEMAND_NONRESIDENTIAL_METERED_IRRIGATION_GAL]])</f>
        <v>0</v>
      </c>
      <c r="X4630" t="str">
        <f>IFERROR(INDEX(Crosswalk_API!$H$2:$H$527, MATCH(POTABLE_NONPOTABLE_API[[#This Row],[PWSID]], CW_PWSID_LIST, 0)), "")</f>
        <v>No</v>
      </c>
    </row>
    <row r="4631" spans="1:24" x14ac:dyDescent="0.25">
      <c r="A4631" t="s">
        <v>2093</v>
      </c>
      <c r="B4631" t="s">
        <v>2094</v>
      </c>
      <c r="C4631" t="s">
        <v>2107</v>
      </c>
      <c r="D4631" t="s">
        <v>2108</v>
      </c>
      <c r="E4631" s="9">
        <v>45383</v>
      </c>
      <c r="F4631" s="9">
        <v>45412</v>
      </c>
      <c r="G4631">
        <v>52399957.924600005</v>
      </c>
      <c r="H4631">
        <v>1192484.6542400001</v>
      </c>
      <c r="I4631">
        <v>11095586.017279999</v>
      </c>
      <c r="J4631">
        <v>3043157.8217200004</v>
      </c>
      <c r="K4631">
        <v>2084140.1966800001</v>
      </c>
      <c r="L4631">
        <v>0</v>
      </c>
      <c r="M4631">
        <v>0</v>
      </c>
      <c r="T4631" s="9">
        <v>45108</v>
      </c>
      <c r="U4631" s="9">
        <v>45473</v>
      </c>
      <c r="V4631">
        <f>SUM(POTABLE_NONPOTABLE_API[[#This Row],[RESIDENTIAL_SINGLEFAMILY_GAL]:[OTHER_GAL]])</f>
        <v>69815326.614519998</v>
      </c>
      <c r="W4631">
        <f>SUM(POTABLE_NONPOTABLE_API[[#This Row],[NONPOTABLE_DEMAND_RESIDENTIAL_RECYCLED_WATER_GAL]:[NONPOTABLE_DEMAND_NONRESIDENTIAL_METERED_IRRIGATION_GAL]])</f>
        <v>0</v>
      </c>
      <c r="X4631" t="str">
        <f>IFERROR(INDEX(Crosswalk_API!$H$2:$H$527, MATCH(POTABLE_NONPOTABLE_API[[#This Row],[PWSID]], CW_PWSID_LIST, 0)), "")</f>
        <v>No</v>
      </c>
    </row>
    <row r="4632" spans="1:24" x14ac:dyDescent="0.25">
      <c r="A4632" t="s">
        <v>2093</v>
      </c>
      <c r="B4632" t="s">
        <v>2094</v>
      </c>
      <c r="C4632" t="s">
        <v>2107</v>
      </c>
      <c r="D4632" t="s">
        <v>2108</v>
      </c>
      <c r="E4632" s="9">
        <v>45413</v>
      </c>
      <c r="F4632" s="9">
        <v>45443</v>
      </c>
      <c r="G4632">
        <v>63426132.196800001</v>
      </c>
      <c r="H4632">
        <v>1030980.22744</v>
      </c>
      <c r="I4632">
        <v>13926760.86324</v>
      </c>
      <c r="J4632">
        <v>13116590.625160001</v>
      </c>
      <c r="K4632">
        <v>3435002.4203600003</v>
      </c>
      <c r="L4632">
        <v>0</v>
      </c>
      <c r="M4632">
        <v>0</v>
      </c>
      <c r="T4632" s="9">
        <v>45108</v>
      </c>
      <c r="U4632" s="9">
        <v>45473</v>
      </c>
      <c r="V4632">
        <f>SUM(POTABLE_NONPOTABLE_API[[#This Row],[RESIDENTIAL_SINGLEFAMILY_GAL]:[OTHER_GAL]])</f>
        <v>94935466.333000004</v>
      </c>
      <c r="W4632">
        <f>SUM(POTABLE_NONPOTABLE_API[[#This Row],[NONPOTABLE_DEMAND_RESIDENTIAL_RECYCLED_WATER_GAL]:[NONPOTABLE_DEMAND_NONRESIDENTIAL_METERED_IRRIGATION_GAL]])</f>
        <v>0</v>
      </c>
      <c r="X4632" t="str">
        <f>IFERROR(INDEX(Crosswalk_API!$H$2:$H$527, MATCH(POTABLE_NONPOTABLE_API[[#This Row],[PWSID]], CW_PWSID_LIST, 0)), "")</f>
        <v>No</v>
      </c>
    </row>
    <row r="4633" spans="1:24" x14ac:dyDescent="0.25">
      <c r="A4633" t="s">
        <v>2093</v>
      </c>
      <c r="B4633" t="s">
        <v>2094</v>
      </c>
      <c r="C4633" t="s">
        <v>2107</v>
      </c>
      <c r="D4633" t="s">
        <v>2108</v>
      </c>
      <c r="E4633" s="9">
        <v>45444</v>
      </c>
      <c r="F4633" s="9">
        <v>45473</v>
      </c>
      <c r="G4633">
        <v>98673766.436760008</v>
      </c>
      <c r="H4633">
        <v>1205897.2265999999</v>
      </c>
      <c r="I4633">
        <v>20949293.506760001</v>
      </c>
      <c r="J4633">
        <v>31137425.123360001</v>
      </c>
      <c r="K4633">
        <v>4177675.9264799999</v>
      </c>
      <c r="L4633">
        <v>0</v>
      </c>
      <c r="M4633">
        <v>0</v>
      </c>
      <c r="T4633" s="9">
        <v>45108</v>
      </c>
      <c r="U4633" s="9">
        <v>45473</v>
      </c>
      <c r="V4633">
        <f>SUM(POTABLE_NONPOTABLE_API[[#This Row],[RESIDENTIAL_SINGLEFAMILY_GAL]:[OTHER_GAL]])</f>
        <v>156144058.21996</v>
      </c>
      <c r="W4633">
        <f>SUM(POTABLE_NONPOTABLE_API[[#This Row],[NONPOTABLE_DEMAND_RESIDENTIAL_RECYCLED_WATER_GAL]:[NONPOTABLE_DEMAND_NONRESIDENTIAL_METERED_IRRIGATION_GAL]])</f>
        <v>0</v>
      </c>
      <c r="X4633" t="str">
        <f>IFERROR(INDEX(Crosswalk_API!$H$2:$H$527, MATCH(POTABLE_NONPOTABLE_API[[#This Row],[PWSID]], CW_PWSID_LIST, 0)), "")</f>
        <v>No</v>
      </c>
    </row>
    <row r="4634" spans="1:24" x14ac:dyDescent="0.25">
      <c r="A4634" t="s">
        <v>2109</v>
      </c>
      <c r="B4634" t="s">
        <v>2110</v>
      </c>
      <c r="C4634" t="s">
        <v>2111</v>
      </c>
      <c r="D4634" t="s">
        <v>2112</v>
      </c>
      <c r="E4634" s="9">
        <v>45108</v>
      </c>
      <c r="F4634" s="9">
        <v>45138</v>
      </c>
      <c r="G4634">
        <v>529495891.31600004</v>
      </c>
      <c r="H4634">
        <v>176629290.18799999</v>
      </c>
      <c r="I4634">
        <v>132211458.53200001</v>
      </c>
      <c r="J4634">
        <v>70598903.604000002</v>
      </c>
      <c r="K4634">
        <v>1706306.612</v>
      </c>
      <c r="L4634">
        <v>0</v>
      </c>
      <c r="M4634">
        <v>0</v>
      </c>
      <c r="T4634" s="9">
        <v>45108</v>
      </c>
      <c r="U4634" s="9">
        <v>45473</v>
      </c>
      <c r="V4634">
        <f>SUM(POTABLE_NONPOTABLE_API[[#This Row],[RESIDENTIAL_SINGLEFAMILY_GAL]:[OTHER_GAL]])</f>
        <v>910641850.25199997</v>
      </c>
      <c r="W4634">
        <f>SUM(POTABLE_NONPOTABLE_API[[#This Row],[NONPOTABLE_DEMAND_RESIDENTIAL_RECYCLED_WATER_GAL]:[NONPOTABLE_DEMAND_NONRESIDENTIAL_METERED_IRRIGATION_GAL]])</f>
        <v>0</v>
      </c>
      <c r="X4634" t="str">
        <f>IFERROR(INDEX(Crosswalk_API!$H$2:$H$527, MATCH(POTABLE_NONPOTABLE_API[[#This Row],[PWSID]], CW_PWSID_LIST, 0)), "")</f>
        <v>No</v>
      </c>
    </row>
    <row r="4635" spans="1:24" x14ac:dyDescent="0.25">
      <c r="A4635" t="s">
        <v>2109</v>
      </c>
      <c r="B4635" t="s">
        <v>2110</v>
      </c>
      <c r="C4635" t="s">
        <v>2111</v>
      </c>
      <c r="D4635" t="s">
        <v>2112</v>
      </c>
      <c r="E4635" s="9">
        <v>45139</v>
      </c>
      <c r="F4635" s="9">
        <v>45169</v>
      </c>
      <c r="G4635">
        <v>848491445.93599999</v>
      </c>
      <c r="H4635">
        <v>296764197.23199999</v>
      </c>
      <c r="I4635">
        <v>228818634.072</v>
      </c>
      <c r="J4635">
        <v>315761725.824</v>
      </c>
      <c r="K4635">
        <v>2990711.8960000002</v>
      </c>
      <c r="L4635">
        <v>0</v>
      </c>
      <c r="M4635">
        <v>0</v>
      </c>
      <c r="T4635" s="9">
        <v>45108</v>
      </c>
      <c r="U4635" s="9">
        <v>45473</v>
      </c>
      <c r="V4635">
        <f>SUM(POTABLE_NONPOTABLE_API[[#This Row],[RESIDENTIAL_SINGLEFAMILY_GAL]:[OTHER_GAL]])</f>
        <v>1692826714.96</v>
      </c>
      <c r="W4635">
        <f>SUM(POTABLE_NONPOTABLE_API[[#This Row],[NONPOTABLE_DEMAND_RESIDENTIAL_RECYCLED_WATER_GAL]:[NONPOTABLE_DEMAND_NONRESIDENTIAL_METERED_IRRIGATION_GAL]])</f>
        <v>0</v>
      </c>
      <c r="X4635" t="str">
        <f>IFERROR(INDEX(Crosswalk_API!$H$2:$H$527, MATCH(POTABLE_NONPOTABLE_API[[#This Row],[PWSID]], CW_PWSID_LIST, 0)), "")</f>
        <v>No</v>
      </c>
    </row>
    <row r="4636" spans="1:24" x14ac:dyDescent="0.25">
      <c r="A4636" t="s">
        <v>2109</v>
      </c>
      <c r="B4636" t="s">
        <v>2110</v>
      </c>
      <c r="C4636" t="s">
        <v>2111</v>
      </c>
      <c r="D4636" t="s">
        <v>2112</v>
      </c>
      <c r="E4636" s="9">
        <v>45170</v>
      </c>
      <c r="F4636" s="9">
        <v>45199</v>
      </c>
      <c r="G4636">
        <v>637852719.62</v>
      </c>
      <c r="H4636">
        <v>223280057.06400001</v>
      </c>
      <c r="I4636">
        <v>182641384.11200002</v>
      </c>
      <c r="J4636">
        <v>94646531.247999996</v>
      </c>
      <c r="K4636">
        <v>2572550.8280000002</v>
      </c>
      <c r="L4636">
        <v>0</v>
      </c>
      <c r="M4636">
        <v>0</v>
      </c>
      <c r="T4636" s="9">
        <v>45108</v>
      </c>
      <c r="U4636" s="9">
        <v>45473</v>
      </c>
      <c r="V4636">
        <f>SUM(POTABLE_NONPOTABLE_API[[#This Row],[RESIDENTIAL_SINGLEFAMILY_GAL]:[OTHER_GAL]])</f>
        <v>1140993242.872</v>
      </c>
      <c r="W4636">
        <f>SUM(POTABLE_NONPOTABLE_API[[#This Row],[NONPOTABLE_DEMAND_RESIDENTIAL_RECYCLED_WATER_GAL]:[NONPOTABLE_DEMAND_NONRESIDENTIAL_METERED_IRRIGATION_GAL]])</f>
        <v>0</v>
      </c>
      <c r="X4636" t="str">
        <f>IFERROR(INDEX(Crosswalk_API!$H$2:$H$527, MATCH(POTABLE_NONPOTABLE_API[[#This Row],[PWSID]], CW_PWSID_LIST, 0)), "")</f>
        <v>No</v>
      </c>
    </row>
    <row r="4637" spans="1:24" x14ac:dyDescent="0.25">
      <c r="A4637" t="s">
        <v>2109</v>
      </c>
      <c r="B4637" t="s">
        <v>2110</v>
      </c>
      <c r="C4637" t="s">
        <v>2111</v>
      </c>
      <c r="D4637" t="s">
        <v>2112</v>
      </c>
      <c r="E4637" s="9">
        <v>45200</v>
      </c>
      <c r="F4637" s="9">
        <v>45230</v>
      </c>
      <c r="G4637">
        <v>476025134.35600001</v>
      </c>
      <c r="H4637">
        <v>177897986.38</v>
      </c>
      <c r="I4637">
        <v>133768902.796</v>
      </c>
      <c r="J4637">
        <v>61090414.631999999</v>
      </c>
      <c r="K4637">
        <v>1597091.02</v>
      </c>
      <c r="L4637">
        <v>0</v>
      </c>
      <c r="M4637">
        <v>0</v>
      </c>
      <c r="T4637" s="9">
        <v>45108</v>
      </c>
      <c r="U4637" s="9">
        <v>45473</v>
      </c>
      <c r="V4637">
        <f>SUM(POTABLE_NONPOTABLE_API[[#This Row],[RESIDENTIAL_SINGLEFAMILY_GAL]:[OTHER_GAL]])</f>
        <v>850379529.18400002</v>
      </c>
      <c r="W4637">
        <f>SUM(POTABLE_NONPOTABLE_API[[#This Row],[NONPOTABLE_DEMAND_RESIDENTIAL_RECYCLED_WATER_GAL]:[NONPOTABLE_DEMAND_NONRESIDENTIAL_METERED_IRRIGATION_GAL]])</f>
        <v>0</v>
      </c>
      <c r="X4637" t="str">
        <f>IFERROR(INDEX(Crosswalk_API!$H$2:$H$527, MATCH(POTABLE_NONPOTABLE_API[[#This Row],[PWSID]], CW_PWSID_LIST, 0)), "")</f>
        <v>No</v>
      </c>
    </row>
    <row r="4638" spans="1:24" x14ac:dyDescent="0.25">
      <c r="A4638" t="s">
        <v>2109</v>
      </c>
      <c r="B4638" t="s">
        <v>2110</v>
      </c>
      <c r="C4638" t="s">
        <v>2111</v>
      </c>
      <c r="D4638" t="s">
        <v>2112</v>
      </c>
      <c r="E4638" s="9">
        <v>45231</v>
      </c>
      <c r="F4638" s="9">
        <v>45260</v>
      </c>
      <c r="G4638">
        <v>373861428.56</v>
      </c>
      <c r="H4638">
        <v>164794359.49599999</v>
      </c>
      <c r="I4638">
        <v>131220289.632</v>
      </c>
      <c r="J4638">
        <v>42436241.908</v>
      </c>
      <c r="K4638">
        <v>1766150.7720000001</v>
      </c>
      <c r="L4638">
        <v>0</v>
      </c>
      <c r="M4638">
        <v>0</v>
      </c>
      <c r="T4638" s="9">
        <v>45108</v>
      </c>
      <c r="U4638" s="9">
        <v>45473</v>
      </c>
      <c r="V4638">
        <f>SUM(POTABLE_NONPOTABLE_API[[#This Row],[RESIDENTIAL_SINGLEFAMILY_GAL]:[OTHER_GAL]])</f>
        <v>714078470.36799991</v>
      </c>
      <c r="W4638">
        <f>SUM(POTABLE_NONPOTABLE_API[[#This Row],[NONPOTABLE_DEMAND_RESIDENTIAL_RECYCLED_WATER_GAL]:[NONPOTABLE_DEMAND_NONRESIDENTIAL_METERED_IRRIGATION_GAL]])</f>
        <v>0</v>
      </c>
      <c r="X4638" t="str">
        <f>IFERROR(INDEX(Crosswalk_API!$H$2:$H$527, MATCH(POTABLE_NONPOTABLE_API[[#This Row],[PWSID]], CW_PWSID_LIST, 0)), "")</f>
        <v>No</v>
      </c>
    </row>
    <row r="4639" spans="1:24" x14ac:dyDescent="0.25">
      <c r="A4639" t="s">
        <v>2109</v>
      </c>
      <c r="B4639" t="s">
        <v>2110</v>
      </c>
      <c r="C4639" t="s">
        <v>2111</v>
      </c>
      <c r="D4639" t="s">
        <v>2112</v>
      </c>
      <c r="E4639" s="9">
        <v>45261</v>
      </c>
      <c r="F4639" s="9">
        <v>45291</v>
      </c>
      <c r="G4639">
        <v>233315174.64399999</v>
      </c>
      <c r="H4639">
        <v>137834565.41600001</v>
      </c>
      <c r="I4639">
        <v>77917096.320000008</v>
      </c>
      <c r="J4639">
        <v>10063543.556</v>
      </c>
      <c r="K4639">
        <v>1752685.8360000001</v>
      </c>
      <c r="L4639">
        <v>0</v>
      </c>
      <c r="M4639">
        <v>0</v>
      </c>
      <c r="T4639" s="9">
        <v>45108</v>
      </c>
      <c r="U4639" s="9">
        <v>45473</v>
      </c>
      <c r="V4639">
        <f>SUM(POTABLE_NONPOTABLE_API[[#This Row],[RESIDENTIAL_SINGLEFAMILY_GAL]:[OTHER_GAL]])</f>
        <v>460883065.77200001</v>
      </c>
      <c r="W4639">
        <f>SUM(POTABLE_NONPOTABLE_API[[#This Row],[NONPOTABLE_DEMAND_RESIDENTIAL_RECYCLED_WATER_GAL]:[NONPOTABLE_DEMAND_NONRESIDENTIAL_METERED_IRRIGATION_GAL]])</f>
        <v>0</v>
      </c>
      <c r="X4639" t="str">
        <f>IFERROR(INDEX(Crosswalk_API!$H$2:$H$527, MATCH(POTABLE_NONPOTABLE_API[[#This Row],[PWSID]], CW_PWSID_LIST, 0)), "")</f>
        <v>No</v>
      </c>
    </row>
    <row r="4640" spans="1:24" x14ac:dyDescent="0.25">
      <c r="A4640" t="s">
        <v>2109</v>
      </c>
      <c r="B4640" t="s">
        <v>2110</v>
      </c>
      <c r="C4640" t="s">
        <v>2111</v>
      </c>
      <c r="D4640" t="s">
        <v>2112</v>
      </c>
      <c r="E4640" s="9">
        <v>45292</v>
      </c>
      <c r="F4640" s="9">
        <v>45322</v>
      </c>
      <c r="G4640">
        <v>225103059.78800002</v>
      </c>
      <c r="H4640">
        <v>145597101.02000001</v>
      </c>
      <c r="I4640">
        <v>81031236.796000004</v>
      </c>
      <c r="J4640">
        <v>7546348.5760000004</v>
      </c>
      <c r="K4640">
        <v>1523781.9240000001</v>
      </c>
      <c r="L4640">
        <v>0</v>
      </c>
      <c r="M4640">
        <v>0</v>
      </c>
      <c r="T4640" s="9">
        <v>45108</v>
      </c>
      <c r="U4640" s="9">
        <v>45473</v>
      </c>
      <c r="V4640">
        <f>SUM(POTABLE_NONPOTABLE_API[[#This Row],[RESIDENTIAL_SINGLEFAMILY_GAL]:[OTHER_GAL]])</f>
        <v>460801528.10400003</v>
      </c>
      <c r="W4640">
        <f>SUM(POTABLE_NONPOTABLE_API[[#This Row],[NONPOTABLE_DEMAND_RESIDENTIAL_RECYCLED_WATER_GAL]:[NONPOTABLE_DEMAND_NONRESIDENTIAL_METERED_IRRIGATION_GAL]])</f>
        <v>0</v>
      </c>
      <c r="X4640" t="str">
        <f>IFERROR(INDEX(Crosswalk_API!$H$2:$H$527, MATCH(POTABLE_NONPOTABLE_API[[#This Row],[PWSID]], CW_PWSID_LIST, 0)), "")</f>
        <v>No</v>
      </c>
    </row>
    <row r="4641" spans="1:24" x14ac:dyDescent="0.25">
      <c r="A4641" t="s">
        <v>2109</v>
      </c>
      <c r="B4641" t="s">
        <v>2110</v>
      </c>
      <c r="C4641" t="s">
        <v>2111</v>
      </c>
      <c r="D4641" t="s">
        <v>2112</v>
      </c>
      <c r="E4641" s="9">
        <v>45323</v>
      </c>
      <c r="F4641" s="9">
        <v>45351</v>
      </c>
      <c r="G4641">
        <v>200881136.028</v>
      </c>
      <c r="H4641">
        <v>130461764.904</v>
      </c>
      <c r="I4641">
        <v>73175194.692000002</v>
      </c>
      <c r="J4641">
        <v>12820863.228</v>
      </c>
      <c r="K4641">
        <v>1502088.416</v>
      </c>
      <c r="L4641">
        <v>0</v>
      </c>
      <c r="M4641">
        <v>0</v>
      </c>
      <c r="T4641" s="9">
        <v>45108</v>
      </c>
      <c r="U4641" s="9">
        <v>45473</v>
      </c>
      <c r="V4641">
        <f>SUM(POTABLE_NONPOTABLE_API[[#This Row],[RESIDENTIAL_SINGLEFAMILY_GAL]:[OTHER_GAL]])</f>
        <v>418841047.26799995</v>
      </c>
      <c r="W4641">
        <f>SUM(POTABLE_NONPOTABLE_API[[#This Row],[NONPOTABLE_DEMAND_RESIDENTIAL_RECYCLED_WATER_GAL]:[NONPOTABLE_DEMAND_NONRESIDENTIAL_METERED_IRRIGATION_GAL]])</f>
        <v>0</v>
      </c>
      <c r="X4641" t="str">
        <f>IFERROR(INDEX(Crosswalk_API!$H$2:$H$527, MATCH(POTABLE_NONPOTABLE_API[[#This Row],[PWSID]], CW_PWSID_LIST, 0)), "")</f>
        <v>No</v>
      </c>
    </row>
    <row r="4642" spans="1:24" x14ac:dyDescent="0.25">
      <c r="A4642" t="s">
        <v>2109</v>
      </c>
      <c r="B4642" t="s">
        <v>2110</v>
      </c>
      <c r="C4642" t="s">
        <v>2111</v>
      </c>
      <c r="D4642" t="s">
        <v>2112</v>
      </c>
      <c r="E4642" s="9">
        <v>45352</v>
      </c>
      <c r="F4642" s="9">
        <v>45382</v>
      </c>
      <c r="G4642">
        <v>238994385.428</v>
      </c>
      <c r="H4642">
        <v>145019604.87600002</v>
      </c>
      <c r="I4642">
        <v>81004306.923999995</v>
      </c>
      <c r="J4642">
        <v>7672769.3640000001</v>
      </c>
      <c r="K4642">
        <v>1577641.6680000001</v>
      </c>
      <c r="L4642">
        <v>0</v>
      </c>
      <c r="M4642">
        <v>0</v>
      </c>
      <c r="T4642" s="9">
        <v>45108</v>
      </c>
      <c r="U4642" s="9">
        <v>45473</v>
      </c>
      <c r="V4642">
        <f>SUM(POTABLE_NONPOTABLE_API[[#This Row],[RESIDENTIAL_SINGLEFAMILY_GAL]:[OTHER_GAL]])</f>
        <v>474268708.26000005</v>
      </c>
      <c r="W4642">
        <f>SUM(POTABLE_NONPOTABLE_API[[#This Row],[NONPOTABLE_DEMAND_RESIDENTIAL_RECYCLED_WATER_GAL]:[NONPOTABLE_DEMAND_NONRESIDENTIAL_METERED_IRRIGATION_GAL]])</f>
        <v>0</v>
      </c>
      <c r="X4642" t="str">
        <f>IFERROR(INDEX(Crosswalk_API!$H$2:$H$527, MATCH(POTABLE_NONPOTABLE_API[[#This Row],[PWSID]], CW_PWSID_LIST, 0)), "")</f>
        <v>No</v>
      </c>
    </row>
    <row r="4643" spans="1:24" x14ac:dyDescent="0.25">
      <c r="A4643" t="s">
        <v>2109</v>
      </c>
      <c r="B4643" t="s">
        <v>2110</v>
      </c>
      <c r="C4643" t="s">
        <v>2111</v>
      </c>
      <c r="D4643" t="s">
        <v>2112</v>
      </c>
      <c r="E4643" s="9">
        <v>45383</v>
      </c>
      <c r="F4643" s="9">
        <v>45412</v>
      </c>
      <c r="G4643">
        <v>273633681.34000003</v>
      </c>
      <c r="H4643">
        <v>140531292.87600002</v>
      </c>
      <c r="I4643">
        <v>91927362.228</v>
      </c>
      <c r="J4643">
        <v>19423918.232000001</v>
      </c>
      <c r="K4643">
        <v>1659927.388</v>
      </c>
      <c r="L4643">
        <v>0</v>
      </c>
      <c r="M4643">
        <v>0</v>
      </c>
      <c r="T4643" s="9">
        <v>45108</v>
      </c>
      <c r="U4643" s="9">
        <v>45473</v>
      </c>
      <c r="V4643">
        <f>SUM(POTABLE_NONPOTABLE_API[[#This Row],[RESIDENTIAL_SINGLEFAMILY_GAL]:[OTHER_GAL]])</f>
        <v>527176182.06400007</v>
      </c>
      <c r="W4643">
        <f>SUM(POTABLE_NONPOTABLE_API[[#This Row],[NONPOTABLE_DEMAND_RESIDENTIAL_RECYCLED_WATER_GAL]:[NONPOTABLE_DEMAND_NONRESIDENTIAL_METERED_IRRIGATION_GAL]])</f>
        <v>0</v>
      </c>
      <c r="X4643" t="str">
        <f>IFERROR(INDEX(Crosswalk_API!$H$2:$H$527, MATCH(POTABLE_NONPOTABLE_API[[#This Row],[PWSID]], CW_PWSID_LIST, 0)), "")</f>
        <v>No</v>
      </c>
    </row>
    <row r="4644" spans="1:24" x14ac:dyDescent="0.25">
      <c r="A4644" t="s">
        <v>2109</v>
      </c>
      <c r="B4644" t="s">
        <v>2110</v>
      </c>
      <c r="C4644" t="s">
        <v>2111</v>
      </c>
      <c r="D4644" t="s">
        <v>2112</v>
      </c>
      <c r="E4644" s="9">
        <v>45413</v>
      </c>
      <c r="F4644" s="9">
        <v>45443</v>
      </c>
      <c r="G4644">
        <v>465097590.74000001</v>
      </c>
      <c r="H4644">
        <v>183133602.32800001</v>
      </c>
      <c r="I4644">
        <v>128736756.992</v>
      </c>
      <c r="J4644">
        <v>50869032.104000002</v>
      </c>
      <c r="K4644">
        <v>2039189.7520000001</v>
      </c>
      <c r="L4644">
        <v>0</v>
      </c>
      <c r="M4644">
        <v>0</v>
      </c>
      <c r="T4644" s="9">
        <v>45108</v>
      </c>
      <c r="U4644" s="9">
        <v>45473</v>
      </c>
      <c r="V4644">
        <f>SUM(POTABLE_NONPOTABLE_API[[#This Row],[RESIDENTIAL_SINGLEFAMILY_GAL]:[OTHER_GAL]])</f>
        <v>829876171.91600001</v>
      </c>
      <c r="W4644">
        <f>SUM(POTABLE_NONPOTABLE_API[[#This Row],[NONPOTABLE_DEMAND_RESIDENTIAL_RECYCLED_WATER_GAL]:[NONPOTABLE_DEMAND_NONRESIDENTIAL_METERED_IRRIGATION_GAL]])</f>
        <v>0</v>
      </c>
      <c r="X4644" t="str">
        <f>IFERROR(INDEX(Crosswalk_API!$H$2:$H$527, MATCH(POTABLE_NONPOTABLE_API[[#This Row],[PWSID]], CW_PWSID_LIST, 0)), "")</f>
        <v>No</v>
      </c>
    </row>
    <row r="4645" spans="1:24" x14ac:dyDescent="0.25">
      <c r="A4645" t="s">
        <v>2109</v>
      </c>
      <c r="B4645" t="s">
        <v>2110</v>
      </c>
      <c r="C4645" t="s">
        <v>2111</v>
      </c>
      <c r="D4645" t="s">
        <v>2112</v>
      </c>
      <c r="E4645" s="9">
        <v>45444</v>
      </c>
      <c r="F4645" s="9">
        <v>45473</v>
      </c>
      <c r="G4645">
        <v>695183424.89999998</v>
      </c>
      <c r="H4645">
        <v>234134291.58400002</v>
      </c>
      <c r="I4645">
        <v>184163669.93200001</v>
      </c>
      <c r="J4645">
        <v>87213138.524000004</v>
      </c>
      <c r="K4645">
        <v>3209891.1320000002</v>
      </c>
      <c r="L4645">
        <v>0</v>
      </c>
      <c r="M4645">
        <v>0</v>
      </c>
      <c r="T4645" s="9">
        <v>45108</v>
      </c>
      <c r="U4645" s="9">
        <v>45473</v>
      </c>
      <c r="V4645">
        <f>SUM(POTABLE_NONPOTABLE_API[[#This Row],[RESIDENTIAL_SINGLEFAMILY_GAL]:[OTHER_GAL]])</f>
        <v>1203904416.0719998</v>
      </c>
      <c r="W4645">
        <f>SUM(POTABLE_NONPOTABLE_API[[#This Row],[NONPOTABLE_DEMAND_RESIDENTIAL_RECYCLED_WATER_GAL]:[NONPOTABLE_DEMAND_NONRESIDENTIAL_METERED_IRRIGATION_GAL]])</f>
        <v>0</v>
      </c>
      <c r="X4645" t="str">
        <f>IFERROR(INDEX(Crosswalk_API!$H$2:$H$527, MATCH(POTABLE_NONPOTABLE_API[[#This Row],[PWSID]], CW_PWSID_LIST, 0)), "")</f>
        <v>No</v>
      </c>
    </row>
    <row r="4646" spans="1:24" x14ac:dyDescent="0.25">
      <c r="A4646" t="s">
        <v>2113</v>
      </c>
      <c r="B4646" t="s">
        <v>2114</v>
      </c>
      <c r="C4646" t="s">
        <v>2115</v>
      </c>
      <c r="D4646" t="s">
        <v>2116</v>
      </c>
      <c r="E4646" s="9">
        <v>45108</v>
      </c>
      <c r="F4646" s="9">
        <v>45138</v>
      </c>
      <c r="G4646">
        <v>531485709.63600004</v>
      </c>
      <c r="H4646">
        <v>161047367.028</v>
      </c>
      <c r="I4646">
        <v>177335451.27599999</v>
      </c>
      <c r="J4646">
        <v>191894039.30000001</v>
      </c>
      <c r="K4646">
        <v>0</v>
      </c>
      <c r="L4646">
        <v>0</v>
      </c>
      <c r="M4646">
        <v>0</v>
      </c>
      <c r="T4646" s="9">
        <v>45108</v>
      </c>
      <c r="U4646" s="9">
        <v>45473</v>
      </c>
      <c r="V4646">
        <f>SUM(POTABLE_NONPOTABLE_API[[#This Row],[RESIDENTIAL_SINGLEFAMILY_GAL]:[OTHER_GAL]])</f>
        <v>1061762567.24</v>
      </c>
      <c r="W4646">
        <f>SUM(POTABLE_NONPOTABLE_API[[#This Row],[NONPOTABLE_DEMAND_RESIDENTIAL_RECYCLED_WATER_GAL]:[NONPOTABLE_DEMAND_NONRESIDENTIAL_METERED_IRRIGATION_GAL]])</f>
        <v>0</v>
      </c>
      <c r="X4646" t="str">
        <f>IFERROR(INDEX(Crosswalk_API!$H$2:$H$527, MATCH(POTABLE_NONPOTABLE_API[[#This Row],[PWSID]], CW_PWSID_LIST, 0)), "")</f>
        <v>No</v>
      </c>
    </row>
    <row r="4647" spans="1:24" x14ac:dyDescent="0.25">
      <c r="A4647" t="s">
        <v>2113</v>
      </c>
      <c r="B4647" t="s">
        <v>2114</v>
      </c>
      <c r="C4647" t="s">
        <v>2115</v>
      </c>
      <c r="D4647" t="s">
        <v>2116</v>
      </c>
      <c r="E4647" s="9">
        <v>45139</v>
      </c>
      <c r="F4647" s="9">
        <v>45169</v>
      </c>
      <c r="G4647">
        <v>572927042.38400006</v>
      </c>
      <c r="H4647">
        <v>167541206.44</v>
      </c>
      <c r="I4647">
        <v>196159431.80400002</v>
      </c>
      <c r="J4647">
        <v>218214248.92000002</v>
      </c>
      <c r="K4647">
        <v>0</v>
      </c>
      <c r="L4647">
        <v>8376686.2960000001</v>
      </c>
      <c r="M4647">
        <v>0</v>
      </c>
      <c r="T4647" s="9">
        <v>45108</v>
      </c>
      <c r="U4647" s="9">
        <v>45473</v>
      </c>
      <c r="V4647">
        <f>SUM(POTABLE_NONPOTABLE_API[[#This Row],[RESIDENTIAL_SINGLEFAMILY_GAL]:[OTHER_GAL]])</f>
        <v>1163218615.8440001</v>
      </c>
      <c r="W4647">
        <f>SUM(POTABLE_NONPOTABLE_API[[#This Row],[NONPOTABLE_DEMAND_RESIDENTIAL_RECYCLED_WATER_GAL]:[NONPOTABLE_DEMAND_NONRESIDENTIAL_METERED_IRRIGATION_GAL]])</f>
        <v>0</v>
      </c>
      <c r="X4647" t="str">
        <f>IFERROR(INDEX(Crosswalk_API!$H$2:$H$527, MATCH(POTABLE_NONPOTABLE_API[[#This Row],[PWSID]], CW_PWSID_LIST, 0)), "")</f>
        <v>No</v>
      </c>
    </row>
    <row r="4648" spans="1:24" x14ac:dyDescent="0.25">
      <c r="A4648" t="s">
        <v>2113</v>
      </c>
      <c r="B4648" t="s">
        <v>2114</v>
      </c>
      <c r="C4648" t="s">
        <v>2115</v>
      </c>
      <c r="D4648" t="s">
        <v>2116</v>
      </c>
      <c r="E4648" s="9">
        <v>45170</v>
      </c>
      <c r="F4648" s="9">
        <v>45199</v>
      </c>
      <c r="G4648">
        <v>491462683.48000002</v>
      </c>
      <c r="H4648">
        <v>171710100.236</v>
      </c>
      <c r="I4648">
        <v>195725561.64399999</v>
      </c>
      <c r="J4648">
        <v>205042549.30400002</v>
      </c>
      <c r="K4648">
        <v>0</v>
      </c>
      <c r="L4648">
        <v>795927.32799999998</v>
      </c>
      <c r="M4648">
        <v>0</v>
      </c>
      <c r="T4648" s="9">
        <v>45108</v>
      </c>
      <c r="U4648" s="9">
        <v>45473</v>
      </c>
      <c r="V4648">
        <f>SUM(POTABLE_NONPOTABLE_API[[#This Row],[RESIDENTIAL_SINGLEFAMILY_GAL]:[OTHER_GAL]])</f>
        <v>1064736821.9920001</v>
      </c>
      <c r="W4648">
        <f>SUM(POTABLE_NONPOTABLE_API[[#This Row],[NONPOTABLE_DEMAND_RESIDENTIAL_RECYCLED_WATER_GAL]:[NONPOTABLE_DEMAND_NONRESIDENTIAL_METERED_IRRIGATION_GAL]])</f>
        <v>0</v>
      </c>
      <c r="X4648" t="str">
        <f>IFERROR(INDEX(Crosswalk_API!$H$2:$H$527, MATCH(POTABLE_NONPOTABLE_API[[#This Row],[PWSID]], CW_PWSID_LIST, 0)), "")</f>
        <v>No</v>
      </c>
    </row>
    <row r="4649" spans="1:24" x14ac:dyDescent="0.25">
      <c r="A4649" t="s">
        <v>2113</v>
      </c>
      <c r="B4649" t="s">
        <v>2114</v>
      </c>
      <c r="C4649" t="s">
        <v>2115</v>
      </c>
      <c r="D4649" t="s">
        <v>2116</v>
      </c>
      <c r="E4649" s="9">
        <v>45200</v>
      </c>
      <c r="F4649" s="9">
        <v>45230</v>
      </c>
      <c r="G4649">
        <v>430318409.10400003</v>
      </c>
      <c r="H4649">
        <v>142458274.82800001</v>
      </c>
      <c r="I4649">
        <v>161935304.752</v>
      </c>
      <c r="J4649">
        <v>151598722.21599999</v>
      </c>
      <c r="K4649">
        <v>0</v>
      </c>
      <c r="L4649">
        <v>1030815.6560000001</v>
      </c>
      <c r="M4649">
        <v>0</v>
      </c>
      <c r="T4649" s="9">
        <v>45108</v>
      </c>
      <c r="U4649" s="9">
        <v>45473</v>
      </c>
      <c r="V4649">
        <f>SUM(POTABLE_NONPOTABLE_API[[#This Row],[RESIDENTIAL_SINGLEFAMILY_GAL]:[OTHER_GAL]])</f>
        <v>887341526.55599999</v>
      </c>
      <c r="W4649">
        <f>SUM(POTABLE_NONPOTABLE_API[[#This Row],[NONPOTABLE_DEMAND_RESIDENTIAL_RECYCLED_WATER_GAL]:[NONPOTABLE_DEMAND_NONRESIDENTIAL_METERED_IRRIGATION_GAL]])</f>
        <v>0</v>
      </c>
      <c r="X4649" t="str">
        <f>IFERROR(INDEX(Crosswalk_API!$H$2:$H$527, MATCH(POTABLE_NONPOTABLE_API[[#This Row],[PWSID]], CW_PWSID_LIST, 0)), "")</f>
        <v>No</v>
      </c>
    </row>
    <row r="4650" spans="1:24" x14ac:dyDescent="0.25">
      <c r="A4650" t="s">
        <v>2113</v>
      </c>
      <c r="B4650" t="s">
        <v>2114</v>
      </c>
      <c r="C4650" t="s">
        <v>2115</v>
      </c>
      <c r="D4650" t="s">
        <v>2116</v>
      </c>
      <c r="E4650" s="9">
        <v>45231</v>
      </c>
      <c r="F4650" s="9">
        <v>45260</v>
      </c>
      <c r="G4650">
        <v>419170938.19999999</v>
      </c>
      <c r="H4650">
        <v>147364747.896</v>
      </c>
      <c r="I4650">
        <v>166799886.90799999</v>
      </c>
      <c r="J4650">
        <v>154798140.62</v>
      </c>
      <c r="K4650">
        <v>0</v>
      </c>
      <c r="L4650">
        <v>33373591.927999999</v>
      </c>
      <c r="M4650">
        <v>0</v>
      </c>
      <c r="T4650" s="9">
        <v>45108</v>
      </c>
      <c r="U4650" s="9">
        <v>45473</v>
      </c>
      <c r="V4650">
        <f>SUM(POTABLE_NONPOTABLE_API[[#This Row],[RESIDENTIAL_SINGLEFAMILY_GAL]:[OTHER_GAL]])</f>
        <v>921507305.55199993</v>
      </c>
      <c r="W4650">
        <f>SUM(POTABLE_NONPOTABLE_API[[#This Row],[NONPOTABLE_DEMAND_RESIDENTIAL_RECYCLED_WATER_GAL]:[NONPOTABLE_DEMAND_NONRESIDENTIAL_METERED_IRRIGATION_GAL]])</f>
        <v>0</v>
      </c>
      <c r="X4650" t="str">
        <f>IFERROR(INDEX(Crosswalk_API!$H$2:$H$527, MATCH(POTABLE_NONPOTABLE_API[[#This Row],[PWSID]], CW_PWSID_LIST, 0)), "")</f>
        <v>No</v>
      </c>
    </row>
    <row r="4651" spans="1:24" x14ac:dyDescent="0.25">
      <c r="A4651" t="s">
        <v>2113</v>
      </c>
      <c r="B4651" t="s">
        <v>2114</v>
      </c>
      <c r="C4651" t="s">
        <v>2115</v>
      </c>
      <c r="D4651" t="s">
        <v>2116</v>
      </c>
      <c r="E4651" s="9">
        <v>45261</v>
      </c>
      <c r="F4651" s="9">
        <v>45291</v>
      </c>
      <c r="G4651">
        <v>375825813.11199999</v>
      </c>
      <c r="H4651">
        <v>140071988.94800001</v>
      </c>
      <c r="I4651">
        <v>126057982.78</v>
      </c>
      <c r="J4651">
        <v>150267189.65600002</v>
      </c>
      <c r="K4651">
        <v>0</v>
      </c>
      <c r="L4651">
        <v>88772826.944000006</v>
      </c>
      <c r="M4651">
        <v>0</v>
      </c>
      <c r="T4651" s="9">
        <v>45108</v>
      </c>
      <c r="U4651" s="9">
        <v>45473</v>
      </c>
      <c r="V4651">
        <f>SUM(POTABLE_NONPOTABLE_API[[#This Row],[RESIDENTIAL_SINGLEFAMILY_GAL]:[OTHER_GAL]])</f>
        <v>880995801.44000006</v>
      </c>
      <c r="W4651">
        <f>SUM(POTABLE_NONPOTABLE_API[[#This Row],[NONPOTABLE_DEMAND_RESIDENTIAL_RECYCLED_WATER_GAL]:[NONPOTABLE_DEMAND_NONRESIDENTIAL_METERED_IRRIGATION_GAL]])</f>
        <v>0</v>
      </c>
      <c r="X4651" t="str">
        <f>IFERROR(INDEX(Crosswalk_API!$H$2:$H$527, MATCH(POTABLE_NONPOTABLE_API[[#This Row],[PWSID]], CW_PWSID_LIST, 0)), "")</f>
        <v>No</v>
      </c>
    </row>
    <row r="4652" spans="1:24" x14ac:dyDescent="0.25">
      <c r="A4652" t="s">
        <v>2113</v>
      </c>
      <c r="B4652" t="s">
        <v>2114</v>
      </c>
      <c r="C4652" t="s">
        <v>2115</v>
      </c>
      <c r="D4652" t="s">
        <v>2116</v>
      </c>
      <c r="E4652" s="9">
        <v>45292</v>
      </c>
      <c r="F4652" s="9">
        <v>45322</v>
      </c>
      <c r="G4652">
        <v>328671607.24000001</v>
      </c>
      <c r="H4652">
        <v>141809713.74400002</v>
      </c>
      <c r="I4652">
        <v>127290772.47600001</v>
      </c>
      <c r="J4652">
        <v>85054260.452000007</v>
      </c>
      <c r="K4652">
        <v>0</v>
      </c>
      <c r="L4652">
        <v>39464979.364</v>
      </c>
      <c r="M4652">
        <v>0</v>
      </c>
      <c r="T4652" s="9">
        <v>45108</v>
      </c>
      <c r="U4652" s="9">
        <v>45473</v>
      </c>
      <c r="V4652">
        <f>SUM(POTABLE_NONPOTABLE_API[[#This Row],[RESIDENTIAL_SINGLEFAMILY_GAL]:[OTHER_GAL]])</f>
        <v>722291333.27600002</v>
      </c>
      <c r="W4652">
        <f>SUM(POTABLE_NONPOTABLE_API[[#This Row],[NONPOTABLE_DEMAND_RESIDENTIAL_RECYCLED_WATER_GAL]:[NONPOTABLE_DEMAND_NONRESIDENTIAL_METERED_IRRIGATION_GAL]])</f>
        <v>0</v>
      </c>
      <c r="X4652" t="str">
        <f>IFERROR(INDEX(Crosswalk_API!$H$2:$H$527, MATCH(POTABLE_NONPOTABLE_API[[#This Row],[PWSID]], CW_PWSID_LIST, 0)), "")</f>
        <v>No</v>
      </c>
    </row>
    <row r="4653" spans="1:24" x14ac:dyDescent="0.25">
      <c r="A4653" t="s">
        <v>2113</v>
      </c>
      <c r="B4653" t="s">
        <v>2114</v>
      </c>
      <c r="C4653" t="s">
        <v>2115</v>
      </c>
      <c r="D4653" t="s">
        <v>2116</v>
      </c>
      <c r="E4653" s="9">
        <v>45323</v>
      </c>
      <c r="F4653" s="9">
        <v>45351</v>
      </c>
      <c r="G4653">
        <v>276486003.616</v>
      </c>
      <c r="H4653">
        <v>116557722.38000001</v>
      </c>
      <c r="I4653">
        <v>107602791.888</v>
      </c>
      <c r="J4653">
        <v>48215691.660000004</v>
      </c>
      <c r="K4653">
        <v>0</v>
      </c>
      <c r="L4653">
        <v>25697082.304000001</v>
      </c>
      <c r="M4653">
        <v>0</v>
      </c>
      <c r="T4653" s="9">
        <v>45108</v>
      </c>
      <c r="U4653" s="9">
        <v>45473</v>
      </c>
      <c r="V4653">
        <f>SUM(POTABLE_NONPOTABLE_API[[#This Row],[RESIDENTIAL_SINGLEFAMILY_GAL]:[OTHER_GAL]])</f>
        <v>574559291.84800005</v>
      </c>
      <c r="W4653">
        <f>SUM(POTABLE_NONPOTABLE_API[[#This Row],[NONPOTABLE_DEMAND_RESIDENTIAL_RECYCLED_WATER_GAL]:[NONPOTABLE_DEMAND_NONRESIDENTIAL_METERED_IRRIGATION_GAL]])</f>
        <v>0</v>
      </c>
      <c r="X4653" t="str">
        <f>IFERROR(INDEX(Crosswalk_API!$H$2:$H$527, MATCH(POTABLE_NONPOTABLE_API[[#This Row],[PWSID]], CW_PWSID_LIST, 0)), "")</f>
        <v>No</v>
      </c>
    </row>
    <row r="4654" spans="1:24" x14ac:dyDescent="0.25">
      <c r="A4654" t="s">
        <v>2113</v>
      </c>
      <c r="B4654" t="s">
        <v>2114</v>
      </c>
      <c r="C4654" t="s">
        <v>2115</v>
      </c>
      <c r="D4654" t="s">
        <v>2116</v>
      </c>
      <c r="E4654" s="9">
        <v>45352</v>
      </c>
      <c r="F4654" s="9">
        <v>45382</v>
      </c>
      <c r="G4654">
        <v>268077151.08400002</v>
      </c>
      <c r="H4654">
        <v>115426667.756</v>
      </c>
      <c r="I4654">
        <v>100128256.30400001</v>
      </c>
      <c r="J4654">
        <v>37125072.708000004</v>
      </c>
      <c r="K4654">
        <v>0</v>
      </c>
      <c r="L4654">
        <v>22827554.832000002</v>
      </c>
      <c r="M4654">
        <v>0</v>
      </c>
      <c r="T4654" s="9">
        <v>45108</v>
      </c>
      <c r="U4654" s="9">
        <v>45473</v>
      </c>
      <c r="V4654">
        <f>SUM(POTABLE_NONPOTABLE_API[[#This Row],[RESIDENTIAL_SINGLEFAMILY_GAL]:[OTHER_GAL]])</f>
        <v>543584702.68400002</v>
      </c>
      <c r="W4654">
        <f>SUM(POTABLE_NONPOTABLE_API[[#This Row],[NONPOTABLE_DEMAND_RESIDENTIAL_RECYCLED_WATER_GAL]:[NONPOTABLE_DEMAND_NONRESIDENTIAL_METERED_IRRIGATION_GAL]])</f>
        <v>0</v>
      </c>
      <c r="X4654" t="str">
        <f>IFERROR(INDEX(Crosswalk_API!$H$2:$H$527, MATCH(POTABLE_NONPOTABLE_API[[#This Row],[PWSID]], CW_PWSID_LIST, 0)), "")</f>
        <v>No</v>
      </c>
    </row>
    <row r="4655" spans="1:24" x14ac:dyDescent="0.25">
      <c r="A4655" t="s">
        <v>2113</v>
      </c>
      <c r="B4655" t="s">
        <v>2114</v>
      </c>
      <c r="C4655" t="s">
        <v>2115</v>
      </c>
      <c r="D4655" t="s">
        <v>2116</v>
      </c>
      <c r="E4655" s="9">
        <v>45383</v>
      </c>
      <c r="F4655" s="9">
        <v>45412</v>
      </c>
      <c r="G4655">
        <v>300691470.23199999</v>
      </c>
      <c r="H4655">
        <v>119520008.3</v>
      </c>
      <c r="I4655">
        <v>139866274.648</v>
      </c>
      <c r="J4655">
        <v>73741470.056000009</v>
      </c>
      <c r="K4655">
        <v>0</v>
      </c>
      <c r="L4655">
        <v>733839.01199999999</v>
      </c>
      <c r="M4655">
        <v>0</v>
      </c>
      <c r="T4655" s="9">
        <v>45108</v>
      </c>
      <c r="U4655" s="9">
        <v>45473</v>
      </c>
      <c r="V4655">
        <f>SUM(POTABLE_NONPOTABLE_API[[#This Row],[RESIDENTIAL_SINGLEFAMILY_GAL]:[OTHER_GAL]])</f>
        <v>634553062.24800003</v>
      </c>
      <c r="W4655">
        <f>SUM(POTABLE_NONPOTABLE_API[[#This Row],[NONPOTABLE_DEMAND_RESIDENTIAL_RECYCLED_WATER_GAL]:[NONPOTABLE_DEMAND_NONRESIDENTIAL_METERED_IRRIGATION_GAL]])</f>
        <v>0</v>
      </c>
      <c r="X4655" t="str">
        <f>IFERROR(INDEX(Crosswalk_API!$H$2:$H$527, MATCH(POTABLE_NONPOTABLE_API[[#This Row],[PWSID]], CW_PWSID_LIST, 0)), "")</f>
        <v>No</v>
      </c>
    </row>
    <row r="4656" spans="1:24" x14ac:dyDescent="0.25">
      <c r="A4656" t="s">
        <v>2113</v>
      </c>
      <c r="B4656" t="s">
        <v>2114</v>
      </c>
      <c r="C4656" t="s">
        <v>2115</v>
      </c>
      <c r="D4656" t="s">
        <v>2116</v>
      </c>
      <c r="E4656" s="9">
        <v>45413</v>
      </c>
      <c r="F4656" s="9">
        <v>45443</v>
      </c>
      <c r="G4656">
        <v>408614428.37599999</v>
      </c>
      <c r="H4656">
        <v>139444373.31999999</v>
      </c>
      <c r="I4656">
        <v>126948164.66</v>
      </c>
      <c r="J4656">
        <v>115072091.10800001</v>
      </c>
      <c r="K4656">
        <v>0</v>
      </c>
      <c r="L4656">
        <v>599937.70400000003</v>
      </c>
      <c r="M4656">
        <v>0</v>
      </c>
      <c r="T4656" s="9">
        <v>45108</v>
      </c>
      <c r="U4656" s="9">
        <v>45473</v>
      </c>
      <c r="V4656">
        <f>SUM(POTABLE_NONPOTABLE_API[[#This Row],[RESIDENTIAL_SINGLEFAMILY_GAL]:[OTHER_GAL]])</f>
        <v>790678995.16799998</v>
      </c>
      <c r="W4656">
        <f>SUM(POTABLE_NONPOTABLE_API[[#This Row],[NONPOTABLE_DEMAND_RESIDENTIAL_RECYCLED_WATER_GAL]:[NONPOTABLE_DEMAND_NONRESIDENTIAL_METERED_IRRIGATION_GAL]])</f>
        <v>0</v>
      </c>
      <c r="X4656" t="str">
        <f>IFERROR(INDEX(Crosswalk_API!$H$2:$H$527, MATCH(POTABLE_NONPOTABLE_API[[#This Row],[PWSID]], CW_PWSID_LIST, 0)), "")</f>
        <v>No</v>
      </c>
    </row>
    <row r="4657" spans="1:24" x14ac:dyDescent="0.25">
      <c r="A4657" t="s">
        <v>2113</v>
      </c>
      <c r="B4657" t="s">
        <v>2114</v>
      </c>
      <c r="C4657" t="s">
        <v>2115</v>
      </c>
      <c r="D4657" t="s">
        <v>2116</v>
      </c>
      <c r="E4657" s="9">
        <v>45444</v>
      </c>
      <c r="F4657" s="9">
        <v>45473</v>
      </c>
      <c r="G4657">
        <v>482551140.00400001</v>
      </c>
      <c r="H4657">
        <v>148131501.19600001</v>
      </c>
      <c r="I4657">
        <v>138753921.324</v>
      </c>
      <c r="J4657">
        <v>166959221.984</v>
      </c>
      <c r="K4657">
        <v>0</v>
      </c>
      <c r="L4657">
        <v>696436.41200000001</v>
      </c>
      <c r="M4657">
        <v>0</v>
      </c>
      <c r="T4657" s="9">
        <v>45108</v>
      </c>
      <c r="U4657" s="9">
        <v>45473</v>
      </c>
      <c r="V4657">
        <f>SUM(POTABLE_NONPOTABLE_API[[#This Row],[RESIDENTIAL_SINGLEFAMILY_GAL]:[OTHER_GAL]])</f>
        <v>937092220.91999996</v>
      </c>
      <c r="W4657">
        <f>SUM(POTABLE_NONPOTABLE_API[[#This Row],[NONPOTABLE_DEMAND_RESIDENTIAL_RECYCLED_WATER_GAL]:[NONPOTABLE_DEMAND_NONRESIDENTIAL_METERED_IRRIGATION_GAL]])</f>
        <v>0</v>
      </c>
      <c r="X4657" t="str">
        <f>IFERROR(INDEX(Crosswalk_API!$H$2:$H$527, MATCH(POTABLE_NONPOTABLE_API[[#This Row],[PWSID]], CW_PWSID_LIST, 0)), "")</f>
        <v>No</v>
      </c>
    </row>
    <row r="4658" spans="1:24" x14ac:dyDescent="0.25">
      <c r="A4658" t="s">
        <v>2117</v>
      </c>
      <c r="B4658" t="s">
        <v>2118</v>
      </c>
      <c r="C4658" t="s">
        <v>2119</v>
      </c>
      <c r="D4658" t="s">
        <v>2120</v>
      </c>
      <c r="E4658" s="9">
        <v>45108</v>
      </c>
      <c r="F4658" s="9">
        <v>45138</v>
      </c>
      <c r="G4658">
        <v>72088492.071079999</v>
      </c>
      <c r="H4658">
        <v>165491.54396000001</v>
      </c>
      <c r="I4658">
        <v>6639896.5650000004</v>
      </c>
      <c r="J4658">
        <v>7913290.5235600006</v>
      </c>
      <c r="K4658">
        <v>0</v>
      </c>
      <c r="L4658">
        <v>0</v>
      </c>
      <c r="M4658">
        <v>0</v>
      </c>
      <c r="T4658" s="9">
        <v>45108</v>
      </c>
      <c r="U4658" s="9">
        <v>45473</v>
      </c>
      <c r="V4658">
        <f>SUM(POTABLE_NONPOTABLE_API[[#This Row],[RESIDENTIAL_SINGLEFAMILY_GAL]:[OTHER_GAL]])</f>
        <v>86807170.703600004</v>
      </c>
      <c r="W4658">
        <f>SUM(POTABLE_NONPOTABLE_API[[#This Row],[NONPOTABLE_DEMAND_RESIDENTIAL_RECYCLED_WATER_GAL]:[NONPOTABLE_DEMAND_NONRESIDENTIAL_METERED_IRRIGATION_GAL]])</f>
        <v>0</v>
      </c>
      <c r="X4658" t="str">
        <f>IFERROR(INDEX(Crosswalk_API!$H$2:$H$527, MATCH(POTABLE_NONPOTABLE_API[[#This Row],[PWSID]], CW_PWSID_LIST, 0)), "")</f>
        <v>No</v>
      </c>
    </row>
    <row r="4659" spans="1:24" x14ac:dyDescent="0.25">
      <c r="A4659" t="s">
        <v>2117</v>
      </c>
      <c r="B4659" t="s">
        <v>2118</v>
      </c>
      <c r="C4659" t="s">
        <v>2119</v>
      </c>
      <c r="D4659" t="s">
        <v>2120</v>
      </c>
      <c r="E4659" s="9">
        <v>45139</v>
      </c>
      <c r="F4659" s="9">
        <v>45169</v>
      </c>
      <c r="G4659">
        <v>76856395.986600012</v>
      </c>
      <c r="H4659">
        <v>176435.54472000001</v>
      </c>
      <c r="I4659">
        <v>7811772.3866400002</v>
      </c>
      <c r="J4659">
        <v>7904530.83464</v>
      </c>
      <c r="K4659">
        <v>0</v>
      </c>
      <c r="L4659">
        <v>0</v>
      </c>
      <c r="M4659">
        <v>0</v>
      </c>
      <c r="T4659" s="9">
        <v>45108</v>
      </c>
      <c r="U4659" s="9">
        <v>45473</v>
      </c>
      <c r="V4659">
        <f>SUM(POTABLE_NONPOTABLE_API[[#This Row],[RESIDENTIAL_SINGLEFAMILY_GAL]:[OTHER_GAL]])</f>
        <v>92749134.752599999</v>
      </c>
      <c r="W4659">
        <f>SUM(POTABLE_NONPOTABLE_API[[#This Row],[NONPOTABLE_DEMAND_RESIDENTIAL_RECYCLED_WATER_GAL]:[NONPOTABLE_DEMAND_NONRESIDENTIAL_METERED_IRRIGATION_GAL]])</f>
        <v>0</v>
      </c>
      <c r="X4659" t="str">
        <f>IFERROR(INDEX(Crosswalk_API!$H$2:$H$527, MATCH(POTABLE_NONPOTABLE_API[[#This Row],[PWSID]], CW_PWSID_LIST, 0)), "")</f>
        <v>No</v>
      </c>
    </row>
    <row r="4660" spans="1:24" x14ac:dyDescent="0.25">
      <c r="A4660" t="s">
        <v>2117</v>
      </c>
      <c r="B4660" t="s">
        <v>2118</v>
      </c>
      <c r="C4660" t="s">
        <v>2119</v>
      </c>
      <c r="D4660" t="s">
        <v>2120</v>
      </c>
      <c r="E4660" s="9">
        <v>45170</v>
      </c>
      <c r="F4660" s="9">
        <v>45199</v>
      </c>
      <c r="G4660">
        <v>70097783.569200009</v>
      </c>
      <c r="H4660">
        <v>160920.94624000002</v>
      </c>
      <c r="I4660">
        <v>7417103.8917000005</v>
      </c>
      <c r="J4660">
        <v>7152378.013576</v>
      </c>
      <c r="K4660">
        <v>0</v>
      </c>
      <c r="L4660">
        <v>0</v>
      </c>
      <c r="M4660">
        <v>0</v>
      </c>
      <c r="T4660" s="9">
        <v>45108</v>
      </c>
      <c r="U4660" s="9">
        <v>45473</v>
      </c>
      <c r="V4660">
        <f>SUM(POTABLE_NONPOTABLE_API[[#This Row],[RESIDENTIAL_SINGLEFAMILY_GAL]:[OTHER_GAL]])</f>
        <v>84828186.420716003</v>
      </c>
      <c r="W4660">
        <f>SUM(POTABLE_NONPOTABLE_API[[#This Row],[NONPOTABLE_DEMAND_RESIDENTIAL_RECYCLED_WATER_GAL]:[NONPOTABLE_DEMAND_NONRESIDENTIAL_METERED_IRRIGATION_GAL]])</f>
        <v>0</v>
      </c>
      <c r="X4660" t="str">
        <f>IFERROR(INDEX(Crosswalk_API!$H$2:$H$527, MATCH(POTABLE_NONPOTABLE_API[[#This Row],[PWSID]], CW_PWSID_LIST, 0)), "")</f>
        <v>No</v>
      </c>
    </row>
    <row r="4661" spans="1:24" x14ac:dyDescent="0.25">
      <c r="A4661" t="s">
        <v>2117</v>
      </c>
      <c r="B4661" t="s">
        <v>2118</v>
      </c>
      <c r="C4661" t="s">
        <v>2119</v>
      </c>
      <c r="D4661" t="s">
        <v>2120</v>
      </c>
      <c r="E4661" s="9">
        <v>45200</v>
      </c>
      <c r="F4661" s="9">
        <v>45230</v>
      </c>
      <c r="G4661">
        <v>62224139.801640004</v>
      </c>
      <c r="H4661">
        <v>145735.49064</v>
      </c>
      <c r="I4661">
        <v>5634707.674416</v>
      </c>
      <c r="J4661">
        <v>6418531.5210560001</v>
      </c>
      <c r="K4661">
        <v>0</v>
      </c>
      <c r="L4661">
        <v>0</v>
      </c>
      <c r="M4661">
        <v>0</v>
      </c>
      <c r="T4661" s="9">
        <v>45108</v>
      </c>
      <c r="U4661" s="9">
        <v>45473</v>
      </c>
      <c r="V4661">
        <f>SUM(POTABLE_NONPOTABLE_API[[#This Row],[RESIDENTIAL_SINGLEFAMILY_GAL]:[OTHER_GAL]])</f>
        <v>74423114.487752005</v>
      </c>
      <c r="W4661">
        <f>SUM(POTABLE_NONPOTABLE_API[[#This Row],[NONPOTABLE_DEMAND_RESIDENTIAL_RECYCLED_WATER_GAL]:[NONPOTABLE_DEMAND_NONRESIDENTIAL_METERED_IRRIGATION_GAL]])</f>
        <v>0</v>
      </c>
      <c r="X4661" t="str">
        <f>IFERROR(INDEX(Crosswalk_API!$H$2:$H$527, MATCH(POTABLE_NONPOTABLE_API[[#This Row],[PWSID]], CW_PWSID_LIST, 0)), "")</f>
        <v>No</v>
      </c>
    </row>
    <row r="4662" spans="1:24" x14ac:dyDescent="0.25">
      <c r="A4662" t="s">
        <v>2117</v>
      </c>
      <c r="B4662" t="s">
        <v>2118</v>
      </c>
      <c r="C4662" t="s">
        <v>2119</v>
      </c>
      <c r="D4662" t="s">
        <v>2120</v>
      </c>
      <c r="E4662" s="9">
        <v>45231</v>
      </c>
      <c r="F4662" s="9">
        <v>45260</v>
      </c>
      <c r="G4662">
        <v>51105528.743799999</v>
      </c>
      <c r="H4662">
        <v>117324.47568</v>
      </c>
      <c r="I4662">
        <v>4750988.9636960002</v>
      </c>
      <c r="J4662">
        <v>3050519.4014520003</v>
      </c>
      <c r="K4662">
        <v>0</v>
      </c>
      <c r="L4662">
        <v>0</v>
      </c>
      <c r="M4662">
        <v>0</v>
      </c>
      <c r="T4662" s="9">
        <v>45108</v>
      </c>
      <c r="U4662" s="9">
        <v>45473</v>
      </c>
      <c r="V4662">
        <f>SUM(POTABLE_NONPOTABLE_API[[#This Row],[RESIDENTIAL_SINGLEFAMILY_GAL]:[OTHER_GAL]])</f>
        <v>59024361.584628001</v>
      </c>
      <c r="W4662">
        <f>SUM(POTABLE_NONPOTABLE_API[[#This Row],[NONPOTABLE_DEMAND_RESIDENTIAL_RECYCLED_WATER_GAL]:[NONPOTABLE_DEMAND_NONRESIDENTIAL_METERED_IRRIGATION_GAL]])</f>
        <v>0</v>
      </c>
      <c r="X4662" t="str">
        <f>IFERROR(INDEX(Crosswalk_API!$H$2:$H$527, MATCH(POTABLE_NONPOTABLE_API[[#This Row],[PWSID]], CW_PWSID_LIST, 0)), "")</f>
        <v>No</v>
      </c>
    </row>
    <row r="4663" spans="1:24" x14ac:dyDescent="0.25">
      <c r="A4663" t="s">
        <v>2117</v>
      </c>
      <c r="B4663" t="s">
        <v>2118</v>
      </c>
      <c r="C4663" t="s">
        <v>2119</v>
      </c>
      <c r="D4663" t="s">
        <v>2120</v>
      </c>
      <c r="E4663" s="9">
        <v>45261</v>
      </c>
      <c r="F4663" s="9">
        <v>45291</v>
      </c>
      <c r="G4663">
        <v>42735268.214479998</v>
      </c>
      <c r="H4663">
        <v>98107.019800000009</v>
      </c>
      <c r="I4663">
        <v>2345023.3316800003</v>
      </c>
      <c r="J4663">
        <v>2108032.97756</v>
      </c>
      <c r="K4663">
        <v>0</v>
      </c>
      <c r="L4663">
        <v>0</v>
      </c>
      <c r="M4663">
        <v>0</v>
      </c>
      <c r="T4663" s="9">
        <v>45108</v>
      </c>
      <c r="U4663" s="9">
        <v>45473</v>
      </c>
      <c r="V4663">
        <f>SUM(POTABLE_NONPOTABLE_API[[#This Row],[RESIDENTIAL_SINGLEFAMILY_GAL]:[OTHER_GAL]])</f>
        <v>47286431.543519996</v>
      </c>
      <c r="W4663">
        <f>SUM(POTABLE_NONPOTABLE_API[[#This Row],[NONPOTABLE_DEMAND_RESIDENTIAL_RECYCLED_WATER_GAL]:[NONPOTABLE_DEMAND_NONRESIDENTIAL_METERED_IRRIGATION_GAL]])</f>
        <v>0</v>
      </c>
      <c r="X4663" t="str">
        <f>IFERROR(INDEX(Crosswalk_API!$H$2:$H$527, MATCH(POTABLE_NONPOTABLE_API[[#This Row],[PWSID]], CW_PWSID_LIST, 0)), "")</f>
        <v>No</v>
      </c>
    </row>
    <row r="4664" spans="1:24" x14ac:dyDescent="0.25">
      <c r="A4664" t="s">
        <v>2117</v>
      </c>
      <c r="B4664" t="s">
        <v>2118</v>
      </c>
      <c r="C4664" t="s">
        <v>2119</v>
      </c>
      <c r="D4664" t="s">
        <v>2120</v>
      </c>
      <c r="E4664" s="9">
        <v>45292</v>
      </c>
      <c r="F4664" s="9">
        <v>45322</v>
      </c>
      <c r="G4664">
        <v>38295183.12692</v>
      </c>
      <c r="H4664">
        <v>95376.63</v>
      </c>
      <c r="I4664">
        <v>3151281.2577999998</v>
      </c>
      <c r="J4664">
        <v>1109702.9757640001</v>
      </c>
      <c r="K4664">
        <v>0</v>
      </c>
      <c r="L4664">
        <v>0</v>
      </c>
      <c r="M4664">
        <v>0</v>
      </c>
      <c r="T4664" s="9">
        <v>45108</v>
      </c>
      <c r="U4664" s="9">
        <v>45473</v>
      </c>
      <c r="V4664">
        <f>SUM(POTABLE_NONPOTABLE_API[[#This Row],[RESIDENTIAL_SINGLEFAMILY_GAL]:[OTHER_GAL]])</f>
        <v>42651543.990483999</v>
      </c>
      <c r="W4664">
        <f>SUM(POTABLE_NONPOTABLE_API[[#This Row],[NONPOTABLE_DEMAND_RESIDENTIAL_RECYCLED_WATER_GAL]:[NONPOTABLE_DEMAND_NONRESIDENTIAL_METERED_IRRIGATION_GAL]])</f>
        <v>0</v>
      </c>
      <c r="X4664" t="str">
        <f>IFERROR(INDEX(Crosswalk_API!$H$2:$H$527, MATCH(POTABLE_NONPOTABLE_API[[#This Row],[PWSID]], CW_PWSID_LIST, 0)), "")</f>
        <v>No</v>
      </c>
    </row>
    <row r="4665" spans="1:24" x14ac:dyDescent="0.25">
      <c r="A4665" t="s">
        <v>2117</v>
      </c>
      <c r="B4665" t="s">
        <v>2118</v>
      </c>
      <c r="C4665" t="s">
        <v>2119</v>
      </c>
      <c r="D4665" t="s">
        <v>2120</v>
      </c>
      <c r="E4665" s="9">
        <v>45323</v>
      </c>
      <c r="F4665" s="9">
        <v>45351</v>
      </c>
      <c r="G4665">
        <v>30676318.390039999</v>
      </c>
      <c r="H4665">
        <v>85554.707240000003</v>
      </c>
      <c r="I4665">
        <v>2335410.8634799998</v>
      </c>
      <c r="J4665">
        <v>1108613.064</v>
      </c>
      <c r="K4665">
        <v>0</v>
      </c>
      <c r="L4665">
        <v>0</v>
      </c>
      <c r="M4665">
        <v>0</v>
      </c>
      <c r="T4665" s="9">
        <v>45108</v>
      </c>
      <c r="U4665" s="9">
        <v>45473</v>
      </c>
      <c r="V4665">
        <f>SUM(POTABLE_NONPOTABLE_API[[#This Row],[RESIDENTIAL_SINGLEFAMILY_GAL]:[OTHER_GAL]])</f>
        <v>34205897.02476</v>
      </c>
      <c r="W4665">
        <f>SUM(POTABLE_NONPOTABLE_API[[#This Row],[NONPOTABLE_DEMAND_RESIDENTIAL_RECYCLED_WATER_GAL]:[NONPOTABLE_DEMAND_NONRESIDENTIAL_METERED_IRRIGATION_GAL]])</f>
        <v>0</v>
      </c>
      <c r="X4665" t="str">
        <f>IFERROR(INDEX(Crosswalk_API!$H$2:$H$527, MATCH(POTABLE_NONPOTABLE_API[[#This Row],[PWSID]], CW_PWSID_LIST, 0)), "")</f>
        <v>No</v>
      </c>
    </row>
    <row r="4666" spans="1:24" x14ac:dyDescent="0.25">
      <c r="A4666" t="s">
        <v>2117</v>
      </c>
      <c r="B4666" t="s">
        <v>2118</v>
      </c>
      <c r="C4666" t="s">
        <v>2119</v>
      </c>
      <c r="D4666" t="s">
        <v>2120</v>
      </c>
      <c r="E4666" s="9">
        <v>45352</v>
      </c>
      <c r="F4666" s="9">
        <v>45382</v>
      </c>
      <c r="G4666">
        <v>35355099.390280001</v>
      </c>
      <c r="H4666">
        <v>89220.162039999996</v>
      </c>
      <c r="I4666">
        <v>3058814.55008</v>
      </c>
      <c r="J4666">
        <v>2995619.1171200001</v>
      </c>
      <c r="K4666">
        <v>0</v>
      </c>
      <c r="L4666">
        <v>0</v>
      </c>
      <c r="M4666">
        <v>0</v>
      </c>
      <c r="T4666" s="9">
        <v>45108</v>
      </c>
      <c r="U4666" s="9">
        <v>45473</v>
      </c>
      <c r="V4666">
        <f>SUM(POTABLE_NONPOTABLE_API[[#This Row],[RESIDENTIAL_SINGLEFAMILY_GAL]:[OTHER_GAL]])</f>
        <v>41498753.219520003</v>
      </c>
      <c r="W4666">
        <f>SUM(POTABLE_NONPOTABLE_API[[#This Row],[NONPOTABLE_DEMAND_RESIDENTIAL_RECYCLED_WATER_GAL]:[NONPOTABLE_DEMAND_NONRESIDENTIAL_METERED_IRRIGATION_GAL]])</f>
        <v>0</v>
      </c>
      <c r="X4666" t="str">
        <f>IFERROR(INDEX(Crosswalk_API!$H$2:$H$527, MATCH(POTABLE_NONPOTABLE_API[[#This Row],[PWSID]], CW_PWSID_LIST, 0)), "")</f>
        <v>No</v>
      </c>
    </row>
    <row r="4667" spans="1:24" x14ac:dyDescent="0.25">
      <c r="A4667" t="s">
        <v>2117</v>
      </c>
      <c r="B4667" t="s">
        <v>2118</v>
      </c>
      <c r="C4667" t="s">
        <v>2119</v>
      </c>
      <c r="D4667" t="s">
        <v>2120</v>
      </c>
      <c r="E4667" s="9">
        <v>45383</v>
      </c>
      <c r="F4667" s="9">
        <v>45412</v>
      </c>
      <c r="G4667">
        <v>38852122.801960006</v>
      </c>
      <c r="H4667">
        <v>98870.03284</v>
      </c>
      <c r="I4667">
        <v>3761892.915788</v>
      </c>
      <c r="J4667">
        <v>3413289.4630080005</v>
      </c>
      <c r="K4667">
        <v>0</v>
      </c>
      <c r="L4667">
        <v>0</v>
      </c>
      <c r="M4667">
        <v>0</v>
      </c>
      <c r="T4667" s="9">
        <v>45108</v>
      </c>
      <c r="U4667" s="9">
        <v>45473</v>
      </c>
      <c r="V4667">
        <f>SUM(POTABLE_NONPOTABLE_API[[#This Row],[RESIDENTIAL_SINGLEFAMILY_GAL]:[OTHER_GAL]])</f>
        <v>46126175.213596009</v>
      </c>
      <c r="W4667">
        <f>SUM(POTABLE_NONPOTABLE_API[[#This Row],[NONPOTABLE_DEMAND_RESIDENTIAL_RECYCLED_WATER_GAL]:[NONPOTABLE_DEMAND_NONRESIDENTIAL_METERED_IRRIGATION_GAL]])</f>
        <v>0</v>
      </c>
      <c r="X4667" t="str">
        <f>IFERROR(INDEX(Crosswalk_API!$H$2:$H$527, MATCH(POTABLE_NONPOTABLE_API[[#This Row],[PWSID]], CW_PWSID_LIST, 0)), "")</f>
        <v>No</v>
      </c>
    </row>
    <row r="4668" spans="1:24" x14ac:dyDescent="0.25">
      <c r="A4668" t="s">
        <v>2117</v>
      </c>
      <c r="B4668" t="s">
        <v>2118</v>
      </c>
      <c r="C4668" t="s">
        <v>2119</v>
      </c>
      <c r="D4668" t="s">
        <v>2120</v>
      </c>
      <c r="E4668" s="9">
        <v>45413</v>
      </c>
      <c r="F4668" s="9">
        <v>45443</v>
      </c>
      <c r="G4668">
        <v>54401146.634999998</v>
      </c>
      <c r="H4668">
        <v>166889.20431679999</v>
      </c>
      <c r="I4668">
        <v>5047331.2596000005</v>
      </c>
      <c r="J4668">
        <v>6358726.2597599998</v>
      </c>
      <c r="K4668">
        <v>0</v>
      </c>
      <c r="L4668">
        <v>0</v>
      </c>
      <c r="M4668">
        <v>0</v>
      </c>
      <c r="T4668" s="9">
        <v>45108</v>
      </c>
      <c r="U4668" s="9">
        <v>45473</v>
      </c>
      <c r="V4668">
        <f>SUM(POTABLE_NONPOTABLE_API[[#This Row],[RESIDENTIAL_SINGLEFAMILY_GAL]:[OTHER_GAL]])</f>
        <v>65974093.358676799</v>
      </c>
      <c r="W4668">
        <f>SUM(POTABLE_NONPOTABLE_API[[#This Row],[NONPOTABLE_DEMAND_RESIDENTIAL_RECYCLED_WATER_GAL]:[NONPOTABLE_DEMAND_NONRESIDENTIAL_METERED_IRRIGATION_GAL]])</f>
        <v>0</v>
      </c>
      <c r="X4668" t="str">
        <f>IFERROR(INDEX(Crosswalk_API!$H$2:$H$527, MATCH(POTABLE_NONPOTABLE_API[[#This Row],[PWSID]], CW_PWSID_LIST, 0)), "")</f>
        <v>No</v>
      </c>
    </row>
    <row r="4669" spans="1:24" x14ac:dyDescent="0.25">
      <c r="A4669" t="s">
        <v>2117</v>
      </c>
      <c r="B4669" t="s">
        <v>2118</v>
      </c>
      <c r="C4669" t="s">
        <v>2119</v>
      </c>
      <c r="D4669" t="s">
        <v>2120</v>
      </c>
      <c r="E4669" s="9">
        <v>45444</v>
      </c>
      <c r="F4669" s="9">
        <v>45473</v>
      </c>
      <c r="G4669">
        <v>67376751.899719998</v>
      </c>
      <c r="H4669">
        <v>168311.7</v>
      </c>
      <c r="I4669">
        <v>6486775.5569640007</v>
      </c>
      <c r="J4669">
        <v>6948177.0227720011</v>
      </c>
      <c r="K4669">
        <v>0</v>
      </c>
      <c r="L4669">
        <v>0</v>
      </c>
      <c r="M4669">
        <v>0</v>
      </c>
      <c r="T4669" s="9">
        <v>45108</v>
      </c>
      <c r="U4669" s="9">
        <v>45473</v>
      </c>
      <c r="V4669">
        <f>SUM(POTABLE_NONPOTABLE_API[[#This Row],[RESIDENTIAL_SINGLEFAMILY_GAL]:[OTHER_GAL]])</f>
        <v>80980016.179455996</v>
      </c>
      <c r="W4669">
        <f>SUM(POTABLE_NONPOTABLE_API[[#This Row],[NONPOTABLE_DEMAND_RESIDENTIAL_RECYCLED_WATER_GAL]:[NONPOTABLE_DEMAND_NONRESIDENTIAL_METERED_IRRIGATION_GAL]])</f>
        <v>0</v>
      </c>
      <c r="X4669" t="str">
        <f>IFERROR(INDEX(Crosswalk_API!$H$2:$H$527, MATCH(POTABLE_NONPOTABLE_API[[#This Row],[PWSID]], CW_PWSID_LIST, 0)), "")</f>
        <v>No</v>
      </c>
    </row>
    <row r="4670" spans="1:24" x14ac:dyDescent="0.25">
      <c r="A4670" t="s">
        <v>2579</v>
      </c>
      <c r="B4670" t="s">
        <v>2580</v>
      </c>
      <c r="C4670" t="s">
        <v>2581</v>
      </c>
      <c r="D4670" t="s">
        <v>2582</v>
      </c>
      <c r="E4670" s="9">
        <v>45108</v>
      </c>
      <c r="F4670" s="9">
        <v>45138</v>
      </c>
      <c r="G4670">
        <v>40814382.88628</v>
      </c>
      <c r="H4670">
        <v>46760.730519999997</v>
      </c>
      <c r="I4670">
        <v>7014289.1104800003</v>
      </c>
      <c r="J4670">
        <v>0</v>
      </c>
      <c r="K4670">
        <v>0</v>
      </c>
      <c r="L4670">
        <v>0</v>
      </c>
      <c r="M4670">
        <v>0</v>
      </c>
      <c r="T4670" s="9">
        <v>45108</v>
      </c>
      <c r="U4670" s="9">
        <v>45473</v>
      </c>
      <c r="V4670">
        <f>SUM(POTABLE_NONPOTABLE_API[[#This Row],[RESIDENTIAL_SINGLEFAMILY_GAL]:[OTHER_GAL]])</f>
        <v>47875432.727280006</v>
      </c>
      <c r="W4670">
        <f>SUM(POTABLE_NONPOTABLE_API[[#This Row],[NONPOTABLE_DEMAND_RESIDENTIAL_RECYCLED_WATER_GAL]:[NONPOTABLE_DEMAND_NONRESIDENTIAL_METERED_IRRIGATION_GAL]])</f>
        <v>0</v>
      </c>
      <c r="X4670" t="str">
        <f>IFERROR(INDEX(Crosswalk_API!$H$2:$H$527, MATCH(POTABLE_NONPOTABLE_API[[#This Row],[PWSID]], CW_PWSID_LIST, 0)), "")</f>
        <v>No</v>
      </c>
    </row>
    <row r="4671" spans="1:24" x14ac:dyDescent="0.25">
      <c r="A4671" t="s">
        <v>2579</v>
      </c>
      <c r="B4671" t="s">
        <v>2580</v>
      </c>
      <c r="C4671" t="s">
        <v>2581</v>
      </c>
      <c r="D4671" t="s">
        <v>2582</v>
      </c>
      <c r="E4671" s="9">
        <v>45139</v>
      </c>
      <c r="F4671" s="9">
        <v>45169</v>
      </c>
      <c r="G4671">
        <v>43952004.714560002</v>
      </c>
      <c r="H4671">
        <v>53874.705040000001</v>
      </c>
      <c r="I4671">
        <v>6831734.5004000012</v>
      </c>
      <c r="J4671">
        <v>0</v>
      </c>
      <c r="K4671">
        <v>0</v>
      </c>
      <c r="L4671">
        <v>0</v>
      </c>
      <c r="M4671">
        <v>0</v>
      </c>
      <c r="T4671" s="9">
        <v>45108</v>
      </c>
      <c r="U4671" s="9">
        <v>45473</v>
      </c>
      <c r="V4671">
        <f>SUM(POTABLE_NONPOTABLE_API[[#This Row],[RESIDENTIAL_SINGLEFAMILY_GAL]:[OTHER_GAL]])</f>
        <v>50837613.920000002</v>
      </c>
      <c r="W4671">
        <f>SUM(POTABLE_NONPOTABLE_API[[#This Row],[NONPOTABLE_DEMAND_RESIDENTIAL_RECYCLED_WATER_GAL]:[NONPOTABLE_DEMAND_NONRESIDENTIAL_METERED_IRRIGATION_GAL]])</f>
        <v>0</v>
      </c>
      <c r="X4671" t="str">
        <f>IFERROR(INDEX(Crosswalk_API!$H$2:$H$527, MATCH(POTABLE_NONPOTABLE_API[[#This Row],[PWSID]], CW_PWSID_LIST, 0)), "")</f>
        <v>No</v>
      </c>
    </row>
    <row r="4672" spans="1:24" x14ac:dyDescent="0.25">
      <c r="A4672" t="s">
        <v>2579</v>
      </c>
      <c r="B4672" t="s">
        <v>2580</v>
      </c>
      <c r="C4672" t="s">
        <v>2581</v>
      </c>
      <c r="D4672" t="s">
        <v>2582</v>
      </c>
      <c r="E4672" s="9">
        <v>45170</v>
      </c>
      <c r="F4672" s="9">
        <v>45199</v>
      </c>
      <c r="G4672">
        <v>43587845.520440005</v>
      </c>
      <c r="H4672">
        <v>55916.887000000002</v>
      </c>
      <c r="I4672">
        <v>6439254.0575600006</v>
      </c>
      <c r="J4672">
        <v>0</v>
      </c>
      <c r="K4672">
        <v>0</v>
      </c>
      <c r="L4672">
        <v>0</v>
      </c>
      <c r="M4672">
        <v>0</v>
      </c>
      <c r="T4672" s="9">
        <v>45108</v>
      </c>
      <c r="U4672" s="9">
        <v>45473</v>
      </c>
      <c r="V4672">
        <f>SUM(POTABLE_NONPOTABLE_API[[#This Row],[RESIDENTIAL_SINGLEFAMILY_GAL]:[OTHER_GAL]])</f>
        <v>50083016.465000004</v>
      </c>
      <c r="W4672">
        <f>SUM(POTABLE_NONPOTABLE_API[[#This Row],[NONPOTABLE_DEMAND_RESIDENTIAL_RECYCLED_WATER_GAL]:[NONPOTABLE_DEMAND_NONRESIDENTIAL_METERED_IRRIGATION_GAL]])</f>
        <v>0</v>
      </c>
      <c r="X4672" t="str">
        <f>IFERROR(INDEX(Crosswalk_API!$H$2:$H$527, MATCH(POTABLE_NONPOTABLE_API[[#This Row],[PWSID]], CW_PWSID_LIST, 0)), "")</f>
        <v>No</v>
      </c>
    </row>
    <row r="4673" spans="1:24" x14ac:dyDescent="0.25">
      <c r="A4673" t="s">
        <v>2579</v>
      </c>
      <c r="B4673" t="s">
        <v>2580</v>
      </c>
      <c r="C4673" t="s">
        <v>2581</v>
      </c>
      <c r="D4673" t="s">
        <v>2582</v>
      </c>
      <c r="E4673" s="9">
        <v>45200</v>
      </c>
      <c r="F4673" s="9">
        <v>45230</v>
      </c>
      <c r="G4673">
        <v>35758419.106600001</v>
      </c>
      <c r="H4673">
        <v>50426.185319999997</v>
      </c>
      <c r="I4673">
        <v>4226359.1506399997</v>
      </c>
      <c r="J4673">
        <v>0</v>
      </c>
      <c r="K4673">
        <v>0</v>
      </c>
      <c r="L4673">
        <v>0</v>
      </c>
      <c r="M4673">
        <v>0</v>
      </c>
      <c r="T4673" s="9">
        <v>45108</v>
      </c>
      <c r="U4673" s="9">
        <v>45473</v>
      </c>
      <c r="V4673">
        <f>SUM(POTABLE_NONPOTABLE_API[[#This Row],[RESIDENTIAL_SINGLEFAMILY_GAL]:[OTHER_GAL]])</f>
        <v>40035204.442560002</v>
      </c>
      <c r="W4673">
        <f>SUM(POTABLE_NONPOTABLE_API[[#This Row],[NONPOTABLE_DEMAND_RESIDENTIAL_RECYCLED_WATER_GAL]:[NONPOTABLE_DEMAND_NONRESIDENTIAL_METERED_IRRIGATION_GAL]])</f>
        <v>0</v>
      </c>
      <c r="X4673" t="str">
        <f>IFERROR(INDEX(Crosswalk_API!$H$2:$H$527, MATCH(POTABLE_NONPOTABLE_API[[#This Row],[PWSID]], CW_PWSID_LIST, 0)), "")</f>
        <v>No</v>
      </c>
    </row>
    <row r="4674" spans="1:24" x14ac:dyDescent="0.25">
      <c r="A4674" t="s">
        <v>2579</v>
      </c>
      <c r="B4674" t="s">
        <v>2580</v>
      </c>
      <c r="C4674" t="s">
        <v>2581</v>
      </c>
      <c r="D4674" t="s">
        <v>2582</v>
      </c>
      <c r="E4674" s="9">
        <v>45231</v>
      </c>
      <c r="F4674" s="9">
        <v>45260</v>
      </c>
      <c r="G4674">
        <v>31248256.507679999</v>
      </c>
      <c r="H4674">
        <v>44883.12</v>
      </c>
      <c r="I4674">
        <v>2988774.4413199998</v>
      </c>
      <c r="J4674">
        <v>0</v>
      </c>
      <c r="K4674">
        <v>0</v>
      </c>
      <c r="L4674">
        <v>0</v>
      </c>
      <c r="M4674">
        <v>0</v>
      </c>
      <c r="T4674" s="9">
        <v>45108</v>
      </c>
      <c r="U4674" s="9">
        <v>45473</v>
      </c>
      <c r="V4674">
        <f>SUM(POTABLE_NONPOTABLE_API[[#This Row],[RESIDENTIAL_SINGLEFAMILY_GAL]:[OTHER_GAL]])</f>
        <v>34281914.068999998</v>
      </c>
      <c r="W4674">
        <f>SUM(POTABLE_NONPOTABLE_API[[#This Row],[NONPOTABLE_DEMAND_RESIDENTIAL_RECYCLED_WATER_GAL]:[NONPOTABLE_DEMAND_NONRESIDENTIAL_METERED_IRRIGATION_GAL]])</f>
        <v>0</v>
      </c>
      <c r="X4674" t="str">
        <f>IFERROR(INDEX(Crosswalk_API!$H$2:$H$527, MATCH(POTABLE_NONPOTABLE_API[[#This Row],[PWSID]], CW_PWSID_LIST, 0)), "")</f>
        <v>No</v>
      </c>
    </row>
    <row r="4675" spans="1:24" x14ac:dyDescent="0.25">
      <c r="A4675" t="s">
        <v>2579</v>
      </c>
      <c r="B4675" t="s">
        <v>2580</v>
      </c>
      <c r="C4675" t="s">
        <v>2581</v>
      </c>
      <c r="D4675" t="s">
        <v>2582</v>
      </c>
      <c r="E4675" s="9">
        <v>45261</v>
      </c>
      <c r="F4675" s="9">
        <v>45291</v>
      </c>
      <c r="G4675">
        <v>30157566.769600004</v>
      </c>
      <c r="H4675">
        <v>44209.873200000002</v>
      </c>
      <c r="I4675">
        <v>1816741.5287600001</v>
      </c>
      <c r="J4675">
        <v>0</v>
      </c>
      <c r="K4675">
        <v>0</v>
      </c>
      <c r="L4675">
        <v>0</v>
      </c>
      <c r="M4675">
        <v>0</v>
      </c>
      <c r="T4675" s="9">
        <v>45108</v>
      </c>
      <c r="U4675" s="9">
        <v>45473</v>
      </c>
      <c r="V4675">
        <f>SUM(POTABLE_NONPOTABLE_API[[#This Row],[RESIDENTIAL_SINGLEFAMILY_GAL]:[OTHER_GAL]])</f>
        <v>32018518.171560004</v>
      </c>
      <c r="W4675">
        <f>SUM(POTABLE_NONPOTABLE_API[[#This Row],[NONPOTABLE_DEMAND_RESIDENTIAL_RECYCLED_WATER_GAL]:[NONPOTABLE_DEMAND_NONRESIDENTIAL_METERED_IRRIGATION_GAL]])</f>
        <v>0</v>
      </c>
      <c r="X4675" t="str">
        <f>IFERROR(INDEX(Crosswalk_API!$H$2:$H$527, MATCH(POTABLE_NONPOTABLE_API[[#This Row],[PWSID]], CW_PWSID_LIST, 0)), "")</f>
        <v>No</v>
      </c>
    </row>
    <row r="4676" spans="1:24" x14ac:dyDescent="0.25">
      <c r="A4676" t="s">
        <v>2579</v>
      </c>
      <c r="B4676" t="s">
        <v>2580</v>
      </c>
      <c r="C4676" t="s">
        <v>2581</v>
      </c>
      <c r="D4676" t="s">
        <v>2582</v>
      </c>
      <c r="E4676" s="9">
        <v>45292</v>
      </c>
      <c r="F4676" s="9">
        <v>45322</v>
      </c>
      <c r="G4676">
        <v>29260053.98</v>
      </c>
      <c r="H4676">
        <v>43012.99</v>
      </c>
      <c r="I4676">
        <v>1165839.0420000001</v>
      </c>
      <c r="J4676">
        <v>0</v>
      </c>
      <c r="K4676">
        <v>0</v>
      </c>
      <c r="L4676">
        <v>0</v>
      </c>
      <c r="M4676">
        <v>0</v>
      </c>
      <c r="T4676" s="9">
        <v>45108</v>
      </c>
      <c r="U4676" s="9">
        <v>45473</v>
      </c>
      <c r="V4676">
        <f>SUM(POTABLE_NONPOTABLE_API[[#This Row],[RESIDENTIAL_SINGLEFAMILY_GAL]:[OTHER_GAL]])</f>
        <v>30468906.011999998</v>
      </c>
      <c r="W4676">
        <f>SUM(POTABLE_NONPOTABLE_API[[#This Row],[NONPOTABLE_DEMAND_RESIDENTIAL_RECYCLED_WATER_GAL]:[NONPOTABLE_DEMAND_NONRESIDENTIAL_METERED_IRRIGATION_GAL]])</f>
        <v>0</v>
      </c>
      <c r="X4676" t="str">
        <f>IFERROR(INDEX(Crosswalk_API!$H$2:$H$527, MATCH(POTABLE_NONPOTABLE_API[[#This Row],[PWSID]], CW_PWSID_LIST, 0)), "")</f>
        <v>No</v>
      </c>
    </row>
    <row r="4677" spans="1:24" x14ac:dyDescent="0.25">
      <c r="A4677" t="s">
        <v>2579</v>
      </c>
      <c r="B4677" t="s">
        <v>2580</v>
      </c>
      <c r="C4677" t="s">
        <v>2581</v>
      </c>
      <c r="D4677" t="s">
        <v>2582</v>
      </c>
      <c r="E4677" s="9">
        <v>45323</v>
      </c>
      <c r="F4677" s="9">
        <v>45351</v>
      </c>
      <c r="G4677">
        <v>24027318.032200001</v>
      </c>
      <c r="H4677">
        <v>38322.703959999999</v>
      </c>
      <c r="I4677">
        <v>1041378.15024</v>
      </c>
      <c r="J4677">
        <v>0</v>
      </c>
      <c r="K4677">
        <v>0</v>
      </c>
      <c r="L4677">
        <v>0</v>
      </c>
      <c r="M4677">
        <v>0</v>
      </c>
      <c r="T4677" s="9">
        <v>45108</v>
      </c>
      <c r="U4677" s="9">
        <v>45473</v>
      </c>
      <c r="V4677">
        <f>SUM(POTABLE_NONPOTABLE_API[[#This Row],[RESIDENTIAL_SINGLEFAMILY_GAL]:[OTHER_GAL]])</f>
        <v>25107018.886400003</v>
      </c>
      <c r="W4677">
        <f>SUM(POTABLE_NONPOTABLE_API[[#This Row],[NONPOTABLE_DEMAND_RESIDENTIAL_RECYCLED_WATER_GAL]:[NONPOTABLE_DEMAND_NONRESIDENTIAL_METERED_IRRIGATION_GAL]])</f>
        <v>0</v>
      </c>
      <c r="X4677" t="str">
        <f>IFERROR(INDEX(Crosswalk_API!$H$2:$H$527, MATCH(POTABLE_NONPOTABLE_API[[#This Row],[PWSID]], CW_PWSID_LIST, 0)), "")</f>
        <v>No</v>
      </c>
    </row>
    <row r="4678" spans="1:24" x14ac:dyDescent="0.25">
      <c r="A4678" t="s">
        <v>2579</v>
      </c>
      <c r="B4678" t="s">
        <v>2580</v>
      </c>
      <c r="C4678" t="s">
        <v>2581</v>
      </c>
      <c r="D4678" t="s">
        <v>2582</v>
      </c>
      <c r="E4678" s="9">
        <v>45352</v>
      </c>
      <c r="F4678" s="9">
        <v>45382</v>
      </c>
      <c r="G4678">
        <v>25785718.985479999</v>
      </c>
      <c r="H4678">
        <v>42055.483440000004</v>
      </c>
      <c r="I4678">
        <v>1188175.87472</v>
      </c>
      <c r="J4678">
        <v>0</v>
      </c>
      <c r="K4678">
        <v>0</v>
      </c>
      <c r="L4678">
        <v>0</v>
      </c>
      <c r="M4678">
        <v>0</v>
      </c>
      <c r="T4678" s="9">
        <v>45108</v>
      </c>
      <c r="U4678" s="9">
        <v>45473</v>
      </c>
      <c r="V4678">
        <f>SUM(POTABLE_NONPOTABLE_API[[#This Row],[RESIDENTIAL_SINGLEFAMILY_GAL]:[OTHER_GAL]])</f>
        <v>27015950.34364</v>
      </c>
      <c r="W4678">
        <f>SUM(POTABLE_NONPOTABLE_API[[#This Row],[NONPOTABLE_DEMAND_RESIDENTIAL_RECYCLED_WATER_GAL]:[NONPOTABLE_DEMAND_NONRESIDENTIAL_METERED_IRRIGATION_GAL]])</f>
        <v>0</v>
      </c>
      <c r="X4678" t="str">
        <f>IFERROR(INDEX(Crosswalk_API!$H$2:$H$527, MATCH(POTABLE_NONPOTABLE_API[[#This Row],[PWSID]], CW_PWSID_LIST, 0)), "")</f>
        <v>No</v>
      </c>
    </row>
    <row r="4679" spans="1:24" x14ac:dyDescent="0.25">
      <c r="A4679" t="s">
        <v>2579</v>
      </c>
      <c r="B4679" t="s">
        <v>2580</v>
      </c>
      <c r="C4679" t="s">
        <v>2581</v>
      </c>
      <c r="D4679" t="s">
        <v>2582</v>
      </c>
      <c r="E4679" s="9">
        <v>45383</v>
      </c>
      <c r="F4679" s="9">
        <v>45412</v>
      </c>
      <c r="G4679">
        <v>28050251.921960004</v>
      </c>
      <c r="H4679">
        <v>45212.262880000002</v>
      </c>
      <c r="I4679">
        <v>3248490.6152000003</v>
      </c>
      <c r="J4679">
        <v>0</v>
      </c>
      <c r="K4679">
        <v>0</v>
      </c>
      <c r="L4679">
        <v>0</v>
      </c>
      <c r="M4679">
        <v>0</v>
      </c>
      <c r="T4679" s="9">
        <v>45108</v>
      </c>
      <c r="U4679" s="9">
        <v>45473</v>
      </c>
      <c r="V4679">
        <f>SUM(POTABLE_NONPOTABLE_API[[#This Row],[RESIDENTIAL_SINGLEFAMILY_GAL]:[OTHER_GAL]])</f>
        <v>31343954.800040007</v>
      </c>
      <c r="W4679">
        <f>SUM(POTABLE_NONPOTABLE_API[[#This Row],[NONPOTABLE_DEMAND_RESIDENTIAL_RECYCLED_WATER_GAL]:[NONPOTABLE_DEMAND_NONRESIDENTIAL_METERED_IRRIGATION_GAL]])</f>
        <v>0</v>
      </c>
      <c r="X4679" t="str">
        <f>IFERROR(INDEX(Crosswalk_API!$H$2:$H$527, MATCH(POTABLE_NONPOTABLE_API[[#This Row],[PWSID]], CW_PWSID_LIST, 0)), "")</f>
        <v>No</v>
      </c>
    </row>
    <row r="4680" spans="1:24" x14ac:dyDescent="0.25">
      <c r="A4680" t="s">
        <v>2579</v>
      </c>
      <c r="B4680" t="s">
        <v>2580</v>
      </c>
      <c r="C4680" t="s">
        <v>2581</v>
      </c>
      <c r="D4680" t="s">
        <v>2582</v>
      </c>
      <c r="E4680" s="9">
        <v>45413</v>
      </c>
      <c r="F4680" s="9">
        <v>45443</v>
      </c>
      <c r="G4680">
        <v>30692648.365199998</v>
      </c>
      <c r="H4680">
        <v>49423.795639999997</v>
      </c>
      <c r="I4680">
        <v>4534137.6655200003</v>
      </c>
      <c r="J4680">
        <v>0</v>
      </c>
      <c r="K4680">
        <v>0</v>
      </c>
      <c r="L4680">
        <v>0</v>
      </c>
      <c r="M4680">
        <v>0</v>
      </c>
      <c r="T4680" s="9">
        <v>45108</v>
      </c>
      <c r="U4680" s="9">
        <v>45473</v>
      </c>
      <c r="V4680">
        <f>SUM(POTABLE_NONPOTABLE_API[[#This Row],[RESIDENTIAL_SINGLEFAMILY_GAL]:[OTHER_GAL]])</f>
        <v>35276209.826359995</v>
      </c>
      <c r="W4680">
        <f>SUM(POTABLE_NONPOTABLE_API[[#This Row],[NONPOTABLE_DEMAND_RESIDENTIAL_RECYCLED_WATER_GAL]:[NONPOTABLE_DEMAND_NONRESIDENTIAL_METERED_IRRIGATION_GAL]])</f>
        <v>0</v>
      </c>
      <c r="X4680" t="str">
        <f>IFERROR(INDEX(Crosswalk_API!$H$2:$H$527, MATCH(POTABLE_NONPOTABLE_API[[#This Row],[PWSID]], CW_PWSID_LIST, 0)), "")</f>
        <v>No</v>
      </c>
    </row>
    <row r="4681" spans="1:24" x14ac:dyDescent="0.25">
      <c r="A4681" t="s">
        <v>2579</v>
      </c>
      <c r="B4681" t="s">
        <v>2580</v>
      </c>
      <c r="C4681" t="s">
        <v>2581</v>
      </c>
      <c r="D4681" t="s">
        <v>2582</v>
      </c>
      <c r="E4681" s="9">
        <v>45444</v>
      </c>
      <c r="F4681" s="9">
        <v>45473</v>
      </c>
      <c r="G4681">
        <v>44712968.092080005</v>
      </c>
      <c r="H4681">
        <v>64833.666840000005</v>
      </c>
      <c r="I4681">
        <v>6188753.8843200002</v>
      </c>
      <c r="J4681">
        <v>0</v>
      </c>
      <c r="K4681">
        <v>0</v>
      </c>
      <c r="L4681">
        <v>0</v>
      </c>
      <c r="M4681">
        <v>0</v>
      </c>
      <c r="T4681" s="9">
        <v>45108</v>
      </c>
      <c r="U4681" s="9">
        <v>45473</v>
      </c>
      <c r="V4681">
        <f>SUM(POTABLE_NONPOTABLE_API[[#This Row],[RESIDENTIAL_SINGLEFAMILY_GAL]:[OTHER_GAL]])</f>
        <v>50966555.643240005</v>
      </c>
      <c r="W4681">
        <f>SUM(POTABLE_NONPOTABLE_API[[#This Row],[NONPOTABLE_DEMAND_RESIDENTIAL_RECYCLED_WATER_GAL]:[NONPOTABLE_DEMAND_NONRESIDENTIAL_METERED_IRRIGATION_GAL]])</f>
        <v>0</v>
      </c>
      <c r="X4681" t="str">
        <f>IFERROR(INDEX(Crosswalk_API!$H$2:$H$527, MATCH(POTABLE_NONPOTABLE_API[[#This Row],[PWSID]], CW_PWSID_LIST, 0)), "")</f>
        <v>No</v>
      </c>
    </row>
    <row r="4682" spans="1:24" x14ac:dyDescent="0.25">
      <c r="A4682" t="s">
        <v>2121</v>
      </c>
      <c r="B4682" t="s">
        <v>2122</v>
      </c>
      <c r="C4682" t="s">
        <v>2123</v>
      </c>
      <c r="D4682" t="s">
        <v>2124</v>
      </c>
      <c r="E4682" s="9">
        <v>45108</v>
      </c>
      <c r="F4682" s="9">
        <v>45138</v>
      </c>
      <c r="G4682">
        <v>69145438.568000004</v>
      </c>
      <c r="H4682">
        <v>0</v>
      </c>
      <c r="I4682">
        <v>18387866.212000001</v>
      </c>
      <c r="J4682">
        <v>5222899.0640000002</v>
      </c>
      <c r="K4682">
        <v>0</v>
      </c>
      <c r="L4682">
        <v>0</v>
      </c>
      <c r="M4682">
        <v>0</v>
      </c>
      <c r="T4682" s="9">
        <v>45108</v>
      </c>
      <c r="U4682" s="9">
        <v>45473</v>
      </c>
      <c r="V4682">
        <f>SUM(POTABLE_NONPOTABLE_API[[#This Row],[RESIDENTIAL_SINGLEFAMILY_GAL]:[OTHER_GAL]])</f>
        <v>92756203.843999997</v>
      </c>
      <c r="W4682">
        <f>SUM(POTABLE_NONPOTABLE_API[[#This Row],[NONPOTABLE_DEMAND_RESIDENTIAL_RECYCLED_WATER_GAL]:[NONPOTABLE_DEMAND_NONRESIDENTIAL_METERED_IRRIGATION_GAL]])</f>
        <v>0</v>
      </c>
      <c r="X4682" t="str">
        <f>IFERROR(INDEX(Crosswalk_API!$H$2:$H$527, MATCH(POTABLE_NONPOTABLE_API[[#This Row],[PWSID]], CW_PWSID_LIST, 0)), "")</f>
        <v>No</v>
      </c>
    </row>
    <row r="4683" spans="1:24" x14ac:dyDescent="0.25">
      <c r="A4683" t="s">
        <v>2121</v>
      </c>
      <c r="B4683" t="s">
        <v>2122</v>
      </c>
      <c r="C4683" t="s">
        <v>2123</v>
      </c>
      <c r="D4683" t="s">
        <v>2124</v>
      </c>
      <c r="E4683" s="9">
        <v>45139</v>
      </c>
      <c r="F4683" s="9">
        <v>45169</v>
      </c>
      <c r="G4683">
        <v>56335796.120000005</v>
      </c>
      <c r="H4683">
        <v>0</v>
      </c>
      <c r="I4683">
        <v>20721040.400000002</v>
      </c>
      <c r="J4683">
        <v>5691179.6160000004</v>
      </c>
      <c r="K4683">
        <v>0</v>
      </c>
      <c r="L4683">
        <v>0</v>
      </c>
      <c r="M4683">
        <v>0</v>
      </c>
      <c r="T4683" s="9">
        <v>45108</v>
      </c>
      <c r="U4683" s="9">
        <v>45473</v>
      </c>
      <c r="V4683">
        <f>SUM(POTABLE_NONPOTABLE_API[[#This Row],[RESIDENTIAL_SINGLEFAMILY_GAL]:[OTHER_GAL]])</f>
        <v>82748016.136000007</v>
      </c>
      <c r="W4683">
        <f>SUM(POTABLE_NONPOTABLE_API[[#This Row],[NONPOTABLE_DEMAND_RESIDENTIAL_RECYCLED_WATER_GAL]:[NONPOTABLE_DEMAND_NONRESIDENTIAL_METERED_IRRIGATION_GAL]])</f>
        <v>0</v>
      </c>
      <c r="X4683" t="str">
        <f>IFERROR(INDEX(Crosswalk_API!$H$2:$H$527, MATCH(POTABLE_NONPOTABLE_API[[#This Row],[PWSID]], CW_PWSID_LIST, 0)), "")</f>
        <v>No</v>
      </c>
    </row>
    <row r="4684" spans="1:24" x14ac:dyDescent="0.25">
      <c r="A4684" t="s">
        <v>2121</v>
      </c>
      <c r="B4684" t="s">
        <v>2122</v>
      </c>
      <c r="C4684" t="s">
        <v>2123</v>
      </c>
      <c r="D4684" t="s">
        <v>2124</v>
      </c>
      <c r="E4684" s="9">
        <v>45170</v>
      </c>
      <c r="F4684" s="9">
        <v>45199</v>
      </c>
      <c r="G4684">
        <v>71536960.812000006</v>
      </c>
      <c r="H4684">
        <v>0</v>
      </c>
      <c r="I4684">
        <v>19833850.728</v>
      </c>
      <c r="J4684">
        <v>5965714.7000000002</v>
      </c>
      <c r="K4684">
        <v>0</v>
      </c>
      <c r="L4684">
        <v>0</v>
      </c>
      <c r="M4684">
        <v>0</v>
      </c>
      <c r="T4684" s="9">
        <v>45108</v>
      </c>
      <c r="U4684" s="9">
        <v>45473</v>
      </c>
      <c r="V4684">
        <f>SUM(POTABLE_NONPOTABLE_API[[#This Row],[RESIDENTIAL_SINGLEFAMILY_GAL]:[OTHER_GAL]])</f>
        <v>97336526.24000001</v>
      </c>
      <c r="W4684">
        <f>SUM(POTABLE_NONPOTABLE_API[[#This Row],[NONPOTABLE_DEMAND_RESIDENTIAL_RECYCLED_WATER_GAL]:[NONPOTABLE_DEMAND_NONRESIDENTIAL_METERED_IRRIGATION_GAL]])</f>
        <v>0</v>
      </c>
      <c r="X4684" t="str">
        <f>IFERROR(INDEX(Crosswalk_API!$H$2:$H$527, MATCH(POTABLE_NONPOTABLE_API[[#This Row],[PWSID]], CW_PWSID_LIST, 0)), "")</f>
        <v>No</v>
      </c>
    </row>
    <row r="4685" spans="1:24" x14ac:dyDescent="0.25">
      <c r="A4685" t="s">
        <v>2121</v>
      </c>
      <c r="B4685" t="s">
        <v>2122</v>
      </c>
      <c r="C4685" t="s">
        <v>2123</v>
      </c>
      <c r="D4685" t="s">
        <v>2124</v>
      </c>
      <c r="E4685" s="9">
        <v>45200</v>
      </c>
      <c r="F4685" s="9">
        <v>45230</v>
      </c>
      <c r="G4685">
        <v>56789863.684</v>
      </c>
      <c r="H4685">
        <v>0</v>
      </c>
      <c r="I4685">
        <v>18491097.388</v>
      </c>
      <c r="J4685">
        <v>5233371.7920000004</v>
      </c>
      <c r="K4685">
        <v>0</v>
      </c>
      <c r="L4685">
        <v>0</v>
      </c>
      <c r="M4685">
        <v>0</v>
      </c>
      <c r="T4685" s="9">
        <v>45108</v>
      </c>
      <c r="U4685" s="9">
        <v>45473</v>
      </c>
      <c r="V4685">
        <f>SUM(POTABLE_NONPOTABLE_API[[#This Row],[RESIDENTIAL_SINGLEFAMILY_GAL]:[OTHER_GAL]])</f>
        <v>80514332.863999993</v>
      </c>
      <c r="W4685">
        <f>SUM(POTABLE_NONPOTABLE_API[[#This Row],[NONPOTABLE_DEMAND_RESIDENTIAL_RECYCLED_WATER_GAL]:[NONPOTABLE_DEMAND_NONRESIDENTIAL_METERED_IRRIGATION_GAL]])</f>
        <v>0</v>
      </c>
      <c r="X4685" t="str">
        <f>IFERROR(INDEX(Crosswalk_API!$H$2:$H$527, MATCH(POTABLE_NONPOTABLE_API[[#This Row],[PWSID]], CW_PWSID_LIST, 0)), "")</f>
        <v>No</v>
      </c>
    </row>
    <row r="4686" spans="1:24" x14ac:dyDescent="0.25">
      <c r="A4686" t="s">
        <v>2121</v>
      </c>
      <c r="B4686" t="s">
        <v>2122</v>
      </c>
      <c r="C4686" t="s">
        <v>2123</v>
      </c>
      <c r="D4686" t="s">
        <v>2124</v>
      </c>
      <c r="E4686" s="9">
        <v>45231</v>
      </c>
      <c r="F4686" s="9">
        <v>45260</v>
      </c>
      <c r="G4686">
        <v>67330664.416000009</v>
      </c>
      <c r="H4686">
        <v>0</v>
      </c>
      <c r="I4686">
        <v>17550796.024</v>
      </c>
      <c r="J4686">
        <v>4762847.0839999998</v>
      </c>
      <c r="K4686">
        <v>0</v>
      </c>
      <c r="L4686">
        <v>0</v>
      </c>
      <c r="M4686">
        <v>0</v>
      </c>
      <c r="T4686" s="9">
        <v>45108</v>
      </c>
      <c r="U4686" s="9">
        <v>45473</v>
      </c>
      <c r="V4686">
        <f>SUM(POTABLE_NONPOTABLE_API[[#This Row],[RESIDENTIAL_SINGLEFAMILY_GAL]:[OTHER_GAL]])</f>
        <v>89644307.524000019</v>
      </c>
      <c r="W4686">
        <f>SUM(POTABLE_NONPOTABLE_API[[#This Row],[NONPOTABLE_DEMAND_RESIDENTIAL_RECYCLED_WATER_GAL]:[NONPOTABLE_DEMAND_NONRESIDENTIAL_METERED_IRRIGATION_GAL]])</f>
        <v>0</v>
      </c>
      <c r="X4686" t="str">
        <f>IFERROR(INDEX(Crosswalk_API!$H$2:$H$527, MATCH(POTABLE_NONPOTABLE_API[[#This Row],[PWSID]], CW_PWSID_LIST, 0)), "")</f>
        <v>No</v>
      </c>
    </row>
    <row r="4687" spans="1:24" x14ac:dyDescent="0.25">
      <c r="A4687" t="s">
        <v>2121</v>
      </c>
      <c r="B4687" t="s">
        <v>2122</v>
      </c>
      <c r="C4687" t="s">
        <v>2123</v>
      </c>
      <c r="D4687" t="s">
        <v>2124</v>
      </c>
      <c r="E4687" s="9">
        <v>45261</v>
      </c>
      <c r="F4687" s="9">
        <v>45291</v>
      </c>
      <c r="G4687">
        <v>51516845.136</v>
      </c>
      <c r="H4687">
        <v>0</v>
      </c>
      <c r="I4687">
        <v>13556198.344000001</v>
      </c>
      <c r="J4687">
        <v>2424436.5320000001</v>
      </c>
      <c r="K4687">
        <v>0</v>
      </c>
      <c r="L4687">
        <v>0</v>
      </c>
      <c r="M4687">
        <v>0</v>
      </c>
      <c r="T4687" s="9">
        <v>45108</v>
      </c>
      <c r="U4687" s="9">
        <v>45473</v>
      </c>
      <c r="V4687">
        <f>SUM(POTABLE_NONPOTABLE_API[[#This Row],[RESIDENTIAL_SINGLEFAMILY_GAL]:[OTHER_GAL]])</f>
        <v>67497480.012000009</v>
      </c>
      <c r="W4687">
        <f>SUM(POTABLE_NONPOTABLE_API[[#This Row],[NONPOTABLE_DEMAND_RESIDENTIAL_RECYCLED_WATER_GAL]:[NONPOTABLE_DEMAND_NONRESIDENTIAL_METERED_IRRIGATION_GAL]])</f>
        <v>0</v>
      </c>
      <c r="X4687" t="str">
        <f>IFERROR(INDEX(Crosswalk_API!$H$2:$H$527, MATCH(POTABLE_NONPOTABLE_API[[#This Row],[PWSID]], CW_PWSID_LIST, 0)), "")</f>
        <v>No</v>
      </c>
    </row>
    <row r="4688" spans="1:24" x14ac:dyDescent="0.25">
      <c r="A4688" t="s">
        <v>2121</v>
      </c>
      <c r="B4688" t="s">
        <v>2122</v>
      </c>
      <c r="C4688" t="s">
        <v>2123</v>
      </c>
      <c r="D4688" t="s">
        <v>2124</v>
      </c>
      <c r="E4688" s="9">
        <v>45292</v>
      </c>
      <c r="F4688" s="9">
        <v>45322</v>
      </c>
      <c r="G4688">
        <v>62243910.816</v>
      </c>
      <c r="H4688">
        <v>950774.09200000006</v>
      </c>
      <c r="I4688">
        <v>12659283.996000001</v>
      </c>
      <c r="J4688">
        <v>2116239.108</v>
      </c>
      <c r="K4688">
        <v>0</v>
      </c>
      <c r="L4688">
        <v>0</v>
      </c>
      <c r="M4688">
        <v>0</v>
      </c>
      <c r="T4688" s="9">
        <v>45108</v>
      </c>
      <c r="U4688" s="9">
        <v>45473</v>
      </c>
      <c r="V4688">
        <f>SUM(POTABLE_NONPOTABLE_API[[#This Row],[RESIDENTIAL_SINGLEFAMILY_GAL]:[OTHER_GAL]])</f>
        <v>77970208.011999995</v>
      </c>
      <c r="W4688">
        <f>SUM(POTABLE_NONPOTABLE_API[[#This Row],[NONPOTABLE_DEMAND_RESIDENTIAL_RECYCLED_WATER_GAL]:[NONPOTABLE_DEMAND_NONRESIDENTIAL_METERED_IRRIGATION_GAL]])</f>
        <v>0</v>
      </c>
      <c r="X4688" t="str">
        <f>IFERROR(INDEX(Crosswalk_API!$H$2:$H$527, MATCH(POTABLE_NONPOTABLE_API[[#This Row],[PWSID]], CW_PWSID_LIST, 0)), "")</f>
        <v>No</v>
      </c>
    </row>
    <row r="4689" spans="1:24" x14ac:dyDescent="0.25">
      <c r="A4689" t="s">
        <v>2121</v>
      </c>
      <c r="B4689" t="s">
        <v>2122</v>
      </c>
      <c r="C4689" t="s">
        <v>2123</v>
      </c>
      <c r="D4689" t="s">
        <v>2124</v>
      </c>
      <c r="E4689" s="9">
        <v>45323</v>
      </c>
      <c r="F4689" s="9">
        <v>45351</v>
      </c>
      <c r="G4689">
        <v>50031213.864</v>
      </c>
      <c r="H4689">
        <v>987428.64</v>
      </c>
      <c r="I4689">
        <v>12769247.640000001</v>
      </c>
      <c r="J4689">
        <v>2446878.0920000002</v>
      </c>
      <c r="K4689">
        <v>0</v>
      </c>
      <c r="L4689">
        <v>0</v>
      </c>
      <c r="M4689">
        <v>0</v>
      </c>
      <c r="T4689" s="9">
        <v>45108</v>
      </c>
      <c r="U4689" s="9">
        <v>45473</v>
      </c>
      <c r="V4689">
        <f>SUM(POTABLE_NONPOTABLE_API[[#This Row],[RESIDENTIAL_SINGLEFAMILY_GAL]:[OTHER_GAL]])</f>
        <v>66234768.236000001</v>
      </c>
      <c r="W4689">
        <f>SUM(POTABLE_NONPOTABLE_API[[#This Row],[NONPOTABLE_DEMAND_RESIDENTIAL_RECYCLED_WATER_GAL]:[NONPOTABLE_DEMAND_NONRESIDENTIAL_METERED_IRRIGATION_GAL]])</f>
        <v>0</v>
      </c>
      <c r="X4689" t="str">
        <f>IFERROR(INDEX(Crosswalk_API!$H$2:$H$527, MATCH(POTABLE_NONPOTABLE_API[[#This Row],[PWSID]], CW_PWSID_LIST, 0)), "")</f>
        <v>No</v>
      </c>
    </row>
    <row r="4690" spans="1:24" x14ac:dyDescent="0.25">
      <c r="A4690" t="s">
        <v>2121</v>
      </c>
      <c r="B4690" t="s">
        <v>2122</v>
      </c>
      <c r="C4690" t="s">
        <v>2123</v>
      </c>
      <c r="D4690" t="s">
        <v>2124</v>
      </c>
      <c r="E4690" s="9">
        <v>45352</v>
      </c>
      <c r="F4690" s="9">
        <v>45382</v>
      </c>
      <c r="G4690">
        <v>60830840.588</v>
      </c>
      <c r="H4690">
        <v>987428.64</v>
      </c>
      <c r="I4690">
        <v>11618743.664000001</v>
      </c>
      <c r="J4690">
        <v>2176831.3199999998</v>
      </c>
      <c r="K4690">
        <v>0</v>
      </c>
      <c r="L4690">
        <v>0</v>
      </c>
      <c r="M4690">
        <v>0</v>
      </c>
      <c r="T4690" s="9">
        <v>45108</v>
      </c>
      <c r="U4690" s="9">
        <v>45473</v>
      </c>
      <c r="V4690">
        <f>SUM(POTABLE_NONPOTABLE_API[[#This Row],[RESIDENTIAL_SINGLEFAMILY_GAL]:[OTHER_GAL]])</f>
        <v>75613844.211999997</v>
      </c>
      <c r="W4690">
        <f>SUM(POTABLE_NONPOTABLE_API[[#This Row],[NONPOTABLE_DEMAND_RESIDENTIAL_RECYCLED_WATER_GAL]:[NONPOTABLE_DEMAND_NONRESIDENTIAL_METERED_IRRIGATION_GAL]])</f>
        <v>0</v>
      </c>
      <c r="X4690" t="str">
        <f>IFERROR(INDEX(Crosswalk_API!$H$2:$H$527, MATCH(POTABLE_NONPOTABLE_API[[#This Row],[PWSID]], CW_PWSID_LIST, 0)), "")</f>
        <v>No</v>
      </c>
    </row>
    <row r="4691" spans="1:24" x14ac:dyDescent="0.25">
      <c r="A4691" t="s">
        <v>2121</v>
      </c>
      <c r="B4691" t="s">
        <v>2122</v>
      </c>
      <c r="C4691" t="s">
        <v>2123</v>
      </c>
      <c r="D4691" t="s">
        <v>2124</v>
      </c>
      <c r="E4691" s="9">
        <v>45383</v>
      </c>
      <c r="F4691" s="9">
        <v>45412</v>
      </c>
      <c r="G4691">
        <v>48581489.088</v>
      </c>
      <c r="H4691">
        <v>1054005.2679999999</v>
      </c>
      <c r="I4691">
        <v>15395658.212000001</v>
      </c>
      <c r="J4691">
        <v>2493257.3160000001</v>
      </c>
      <c r="K4691">
        <v>0</v>
      </c>
      <c r="L4691">
        <v>0</v>
      </c>
      <c r="M4691">
        <v>0</v>
      </c>
      <c r="T4691" s="9">
        <v>45108</v>
      </c>
      <c r="U4691" s="9">
        <v>45473</v>
      </c>
      <c r="V4691">
        <f>SUM(POTABLE_NONPOTABLE_API[[#This Row],[RESIDENTIAL_SINGLEFAMILY_GAL]:[OTHER_GAL]])</f>
        <v>67524409.884000003</v>
      </c>
      <c r="W4691">
        <f>SUM(POTABLE_NONPOTABLE_API[[#This Row],[NONPOTABLE_DEMAND_RESIDENTIAL_RECYCLED_WATER_GAL]:[NONPOTABLE_DEMAND_NONRESIDENTIAL_METERED_IRRIGATION_GAL]])</f>
        <v>0</v>
      </c>
      <c r="X4691" t="str">
        <f>IFERROR(INDEX(Crosswalk_API!$H$2:$H$527, MATCH(POTABLE_NONPOTABLE_API[[#This Row],[PWSID]], CW_PWSID_LIST, 0)), "")</f>
        <v>No</v>
      </c>
    </row>
    <row r="4692" spans="1:24" x14ac:dyDescent="0.25">
      <c r="A4692" t="s">
        <v>2121</v>
      </c>
      <c r="B4692" t="s">
        <v>2122</v>
      </c>
      <c r="C4692" t="s">
        <v>2123</v>
      </c>
      <c r="D4692" t="s">
        <v>2124</v>
      </c>
      <c r="E4692" s="9">
        <v>45413</v>
      </c>
      <c r="F4692" s="9">
        <v>45443</v>
      </c>
      <c r="G4692">
        <v>63913562.880000003</v>
      </c>
      <c r="H4692">
        <v>1054753.32</v>
      </c>
      <c r="I4692">
        <v>16472853.092</v>
      </c>
      <c r="J4692">
        <v>3188945.676</v>
      </c>
      <c r="K4692">
        <v>0</v>
      </c>
      <c r="L4692">
        <v>0</v>
      </c>
      <c r="M4692">
        <v>0</v>
      </c>
      <c r="T4692" s="9">
        <v>45108</v>
      </c>
      <c r="U4692" s="9">
        <v>45473</v>
      </c>
      <c r="V4692">
        <f>SUM(POTABLE_NONPOTABLE_API[[#This Row],[RESIDENTIAL_SINGLEFAMILY_GAL]:[OTHER_GAL]])</f>
        <v>84630114.967999995</v>
      </c>
      <c r="W4692">
        <f>SUM(POTABLE_NONPOTABLE_API[[#This Row],[NONPOTABLE_DEMAND_RESIDENTIAL_RECYCLED_WATER_GAL]:[NONPOTABLE_DEMAND_NONRESIDENTIAL_METERED_IRRIGATION_GAL]])</f>
        <v>0</v>
      </c>
      <c r="X4692" t="str">
        <f>IFERROR(INDEX(Crosswalk_API!$H$2:$H$527, MATCH(POTABLE_NONPOTABLE_API[[#This Row],[PWSID]], CW_PWSID_LIST, 0)), "")</f>
        <v>No</v>
      </c>
    </row>
    <row r="4693" spans="1:24" x14ac:dyDescent="0.25">
      <c r="A4693" t="s">
        <v>2121</v>
      </c>
      <c r="B4693" t="s">
        <v>2122</v>
      </c>
      <c r="C4693" t="s">
        <v>2123</v>
      </c>
      <c r="D4693" t="s">
        <v>2124</v>
      </c>
      <c r="E4693" s="9">
        <v>45444</v>
      </c>
      <c r="F4693" s="9">
        <v>45473</v>
      </c>
      <c r="G4693">
        <v>76879548.195999995</v>
      </c>
      <c r="H4693">
        <v>828093.56400000001</v>
      </c>
      <c r="I4693">
        <v>18560666.223999999</v>
      </c>
      <c r="J4693">
        <v>4619969.1519999998</v>
      </c>
      <c r="K4693">
        <v>0</v>
      </c>
      <c r="L4693">
        <v>2306244.3160000001</v>
      </c>
      <c r="M4693">
        <v>0</v>
      </c>
      <c r="T4693" s="9">
        <v>45108</v>
      </c>
      <c r="U4693" s="9">
        <v>45473</v>
      </c>
      <c r="V4693">
        <f>SUM(POTABLE_NONPOTABLE_API[[#This Row],[RESIDENTIAL_SINGLEFAMILY_GAL]:[OTHER_GAL]])</f>
        <v>103194521.45199999</v>
      </c>
      <c r="W4693">
        <f>SUM(POTABLE_NONPOTABLE_API[[#This Row],[NONPOTABLE_DEMAND_RESIDENTIAL_RECYCLED_WATER_GAL]:[NONPOTABLE_DEMAND_NONRESIDENTIAL_METERED_IRRIGATION_GAL]])</f>
        <v>0</v>
      </c>
      <c r="X4693" t="str">
        <f>IFERROR(INDEX(Crosswalk_API!$H$2:$H$527, MATCH(POTABLE_NONPOTABLE_API[[#This Row],[PWSID]], CW_PWSID_LIST, 0)), "")</f>
        <v>No</v>
      </c>
    </row>
    <row r="4694" spans="1:24" x14ac:dyDescent="0.25">
      <c r="A4694" t="s">
        <v>2125</v>
      </c>
      <c r="B4694" t="s">
        <v>2126</v>
      </c>
      <c r="C4694" t="s">
        <v>2127</v>
      </c>
      <c r="D4694" t="s">
        <v>2128</v>
      </c>
      <c r="E4694" s="9">
        <v>45108</v>
      </c>
      <c r="F4694" s="9">
        <v>45138</v>
      </c>
      <c r="G4694">
        <v>134897713.264</v>
      </c>
      <c r="H4694">
        <v>90633232.268000007</v>
      </c>
      <c r="I4694">
        <v>67112981.284000009</v>
      </c>
      <c r="J4694">
        <v>28165653.903999999</v>
      </c>
      <c r="K4694">
        <v>4317756.1440000003</v>
      </c>
      <c r="L4694">
        <v>504187.04800000001</v>
      </c>
      <c r="M4694">
        <v>0</v>
      </c>
      <c r="N4694">
        <v>24999</v>
      </c>
      <c r="O4694">
        <v>0</v>
      </c>
      <c r="P4694">
        <v>0</v>
      </c>
      <c r="Q4694">
        <v>218474</v>
      </c>
      <c r="R4694">
        <v>0</v>
      </c>
      <c r="S4694">
        <v>17054400</v>
      </c>
      <c r="T4694" s="9">
        <v>45108</v>
      </c>
      <c r="U4694" s="9">
        <v>45473</v>
      </c>
      <c r="V4694">
        <f>SUM(POTABLE_NONPOTABLE_API[[#This Row],[RESIDENTIAL_SINGLEFAMILY_GAL]:[OTHER_GAL]])</f>
        <v>325631523.91199994</v>
      </c>
      <c r="W4694">
        <f>SUM(POTABLE_NONPOTABLE_API[[#This Row],[NONPOTABLE_DEMAND_RESIDENTIAL_RECYCLED_WATER_GAL]:[NONPOTABLE_DEMAND_NONRESIDENTIAL_METERED_IRRIGATION_GAL]])</f>
        <v>17297873</v>
      </c>
      <c r="X4694" t="str">
        <f>IFERROR(INDEX(Crosswalk_API!$H$2:$H$527, MATCH(POTABLE_NONPOTABLE_API[[#This Row],[PWSID]], CW_PWSID_LIST, 0)), "")</f>
        <v>No</v>
      </c>
    </row>
    <row r="4695" spans="1:24" x14ac:dyDescent="0.25">
      <c r="A4695" t="s">
        <v>2125</v>
      </c>
      <c r="B4695" t="s">
        <v>2126</v>
      </c>
      <c r="C4695" t="s">
        <v>2127</v>
      </c>
      <c r="D4695" t="s">
        <v>2128</v>
      </c>
      <c r="E4695" s="9">
        <v>45139</v>
      </c>
      <c r="F4695" s="9">
        <v>45169</v>
      </c>
      <c r="G4695">
        <v>154971688.68400002</v>
      </c>
      <c r="H4695">
        <v>100512755.03200001</v>
      </c>
      <c r="I4695">
        <v>76064919.568000004</v>
      </c>
      <c r="J4695">
        <v>37851431.200000003</v>
      </c>
      <c r="K4695">
        <v>4004322.3560000001</v>
      </c>
      <c r="L4695">
        <v>613402.64</v>
      </c>
      <c r="M4695">
        <v>0</v>
      </c>
      <c r="N4695">
        <v>29121</v>
      </c>
      <c r="O4695">
        <v>0</v>
      </c>
      <c r="P4695">
        <v>0</v>
      </c>
      <c r="Q4695">
        <v>659799</v>
      </c>
      <c r="R4695">
        <v>0</v>
      </c>
      <c r="S4695">
        <v>20270800</v>
      </c>
      <c r="T4695" s="9">
        <v>45108</v>
      </c>
      <c r="U4695" s="9">
        <v>45473</v>
      </c>
      <c r="V4695">
        <f>SUM(POTABLE_NONPOTABLE_API[[#This Row],[RESIDENTIAL_SINGLEFAMILY_GAL]:[OTHER_GAL]])</f>
        <v>374018519.48000002</v>
      </c>
      <c r="W4695">
        <f>SUM(POTABLE_NONPOTABLE_API[[#This Row],[NONPOTABLE_DEMAND_RESIDENTIAL_RECYCLED_WATER_GAL]:[NONPOTABLE_DEMAND_NONRESIDENTIAL_METERED_IRRIGATION_GAL]])</f>
        <v>20959720</v>
      </c>
      <c r="X4695" t="str">
        <f>IFERROR(INDEX(Crosswalk_API!$H$2:$H$527, MATCH(POTABLE_NONPOTABLE_API[[#This Row],[PWSID]], CW_PWSID_LIST, 0)), "")</f>
        <v>No</v>
      </c>
    </row>
    <row r="4696" spans="1:24" x14ac:dyDescent="0.25">
      <c r="A4696" t="s">
        <v>2125</v>
      </c>
      <c r="B4696" t="s">
        <v>2126</v>
      </c>
      <c r="C4696" t="s">
        <v>2127</v>
      </c>
      <c r="D4696" t="s">
        <v>2128</v>
      </c>
      <c r="E4696" s="9">
        <v>45170</v>
      </c>
      <c r="F4696" s="9">
        <v>45199</v>
      </c>
      <c r="G4696">
        <v>153850358.736</v>
      </c>
      <c r="H4696">
        <v>100288339.432</v>
      </c>
      <c r="I4696">
        <v>80055776.988000005</v>
      </c>
      <c r="J4696">
        <v>36313436.288000003</v>
      </c>
      <c r="K4696">
        <v>4013298.98</v>
      </c>
      <c r="L4696">
        <v>0</v>
      </c>
      <c r="M4696">
        <v>0</v>
      </c>
      <c r="N4696">
        <v>23692</v>
      </c>
      <c r="O4696">
        <v>0</v>
      </c>
      <c r="P4696">
        <v>0</v>
      </c>
      <c r="Q4696">
        <v>363228</v>
      </c>
      <c r="R4696">
        <v>0</v>
      </c>
      <c r="S4696">
        <v>16864408</v>
      </c>
      <c r="T4696" s="9">
        <v>45108</v>
      </c>
      <c r="U4696" s="9">
        <v>45473</v>
      </c>
      <c r="V4696">
        <f>SUM(POTABLE_NONPOTABLE_API[[#This Row],[RESIDENTIAL_SINGLEFAMILY_GAL]:[OTHER_GAL]])</f>
        <v>374521210.42400002</v>
      </c>
      <c r="W4696">
        <f>SUM(POTABLE_NONPOTABLE_API[[#This Row],[NONPOTABLE_DEMAND_RESIDENTIAL_RECYCLED_WATER_GAL]:[NONPOTABLE_DEMAND_NONRESIDENTIAL_METERED_IRRIGATION_GAL]])</f>
        <v>17251328</v>
      </c>
      <c r="X4696" t="str">
        <f>IFERROR(INDEX(Crosswalk_API!$H$2:$H$527, MATCH(POTABLE_NONPOTABLE_API[[#This Row],[PWSID]], CW_PWSID_LIST, 0)), "")</f>
        <v>No</v>
      </c>
    </row>
    <row r="4697" spans="1:24" x14ac:dyDescent="0.25">
      <c r="A4697" t="s">
        <v>2125</v>
      </c>
      <c r="B4697" t="s">
        <v>2126</v>
      </c>
      <c r="C4697" t="s">
        <v>2127</v>
      </c>
      <c r="D4697" t="s">
        <v>2128</v>
      </c>
      <c r="E4697" s="9">
        <v>45200</v>
      </c>
      <c r="F4697" s="9">
        <v>45230</v>
      </c>
      <c r="G4697">
        <v>142723833.28800002</v>
      </c>
      <c r="H4697">
        <v>101191986.248</v>
      </c>
      <c r="I4697">
        <v>77951506.711999997</v>
      </c>
      <c r="J4697">
        <v>35666371.307999998</v>
      </c>
      <c r="K4697">
        <v>3709589.8680000002</v>
      </c>
      <c r="L4697">
        <v>361309.11600000004</v>
      </c>
      <c r="M4697">
        <v>0</v>
      </c>
      <c r="N4697">
        <v>26947</v>
      </c>
      <c r="O4697">
        <v>0</v>
      </c>
      <c r="P4697">
        <v>0</v>
      </c>
      <c r="Q4697">
        <v>345943</v>
      </c>
      <c r="R4697">
        <v>0</v>
      </c>
      <c r="S4697">
        <v>17301988</v>
      </c>
      <c r="T4697" s="9">
        <v>45108</v>
      </c>
      <c r="U4697" s="9">
        <v>45473</v>
      </c>
      <c r="V4697">
        <f>SUM(POTABLE_NONPOTABLE_API[[#This Row],[RESIDENTIAL_SINGLEFAMILY_GAL]:[OTHER_GAL]])</f>
        <v>361604596.53999996</v>
      </c>
      <c r="W4697">
        <f>SUM(POTABLE_NONPOTABLE_API[[#This Row],[NONPOTABLE_DEMAND_RESIDENTIAL_RECYCLED_WATER_GAL]:[NONPOTABLE_DEMAND_NONRESIDENTIAL_METERED_IRRIGATION_GAL]])</f>
        <v>17674878</v>
      </c>
      <c r="X4697" t="str">
        <f>IFERROR(INDEX(Crosswalk_API!$H$2:$H$527, MATCH(POTABLE_NONPOTABLE_API[[#This Row],[PWSID]], CW_PWSID_LIST, 0)), "")</f>
        <v>No</v>
      </c>
    </row>
    <row r="4698" spans="1:24" x14ac:dyDescent="0.25">
      <c r="A4698" t="s">
        <v>2125</v>
      </c>
      <c r="B4698" t="s">
        <v>2126</v>
      </c>
      <c r="C4698" t="s">
        <v>2127</v>
      </c>
      <c r="D4698" t="s">
        <v>2128</v>
      </c>
      <c r="E4698" s="9">
        <v>45231</v>
      </c>
      <c r="F4698" s="9">
        <v>45260</v>
      </c>
      <c r="G4698">
        <v>185185508.96400002</v>
      </c>
      <c r="H4698">
        <v>115409462.56</v>
      </c>
      <c r="I4698">
        <v>89881440.008000001</v>
      </c>
      <c r="J4698">
        <v>44337042.039999999</v>
      </c>
      <c r="K4698">
        <v>3208395.0279999999</v>
      </c>
      <c r="L4698">
        <v>485485.74800000002</v>
      </c>
      <c r="M4698">
        <v>0</v>
      </c>
      <c r="N4698">
        <v>17131</v>
      </c>
      <c r="O4698">
        <v>0</v>
      </c>
      <c r="P4698">
        <v>0</v>
      </c>
      <c r="Q4698">
        <v>309620</v>
      </c>
      <c r="R4698">
        <v>0</v>
      </c>
      <c r="S4698">
        <v>13918036</v>
      </c>
      <c r="T4698" s="9">
        <v>45108</v>
      </c>
      <c r="U4698" s="9">
        <v>45473</v>
      </c>
      <c r="V4698">
        <f>SUM(POTABLE_NONPOTABLE_API[[#This Row],[RESIDENTIAL_SINGLEFAMILY_GAL]:[OTHER_GAL]])</f>
        <v>438507334.34800011</v>
      </c>
      <c r="W4698">
        <f>SUM(POTABLE_NONPOTABLE_API[[#This Row],[NONPOTABLE_DEMAND_RESIDENTIAL_RECYCLED_WATER_GAL]:[NONPOTABLE_DEMAND_NONRESIDENTIAL_METERED_IRRIGATION_GAL]])</f>
        <v>14244787</v>
      </c>
      <c r="X4698" t="str">
        <f>IFERROR(INDEX(Crosswalk_API!$H$2:$H$527, MATCH(POTABLE_NONPOTABLE_API[[#This Row],[PWSID]], CW_PWSID_LIST, 0)), "")</f>
        <v>No</v>
      </c>
    </row>
    <row r="4699" spans="1:24" x14ac:dyDescent="0.25">
      <c r="A4699" t="s">
        <v>2125</v>
      </c>
      <c r="B4699" t="s">
        <v>2126</v>
      </c>
      <c r="C4699" t="s">
        <v>2127</v>
      </c>
      <c r="D4699" t="s">
        <v>2128</v>
      </c>
      <c r="E4699" s="9">
        <v>45261</v>
      </c>
      <c r="F4699" s="9">
        <v>45291</v>
      </c>
      <c r="G4699">
        <v>101833814.86400001</v>
      </c>
      <c r="H4699">
        <v>80705834.175999999</v>
      </c>
      <c r="I4699">
        <v>59859121.039999999</v>
      </c>
      <c r="J4699">
        <v>30055981.308000002</v>
      </c>
      <c r="K4699">
        <v>2304748.2120000003</v>
      </c>
      <c r="L4699">
        <v>472020.81200000003</v>
      </c>
      <c r="M4699">
        <v>0</v>
      </c>
      <c r="N4699">
        <v>10813</v>
      </c>
      <c r="O4699">
        <v>0</v>
      </c>
      <c r="P4699">
        <v>0</v>
      </c>
      <c r="Q4699">
        <v>204729</v>
      </c>
      <c r="R4699">
        <v>0</v>
      </c>
      <c r="S4699">
        <v>9993280</v>
      </c>
      <c r="T4699" s="9">
        <v>45108</v>
      </c>
      <c r="U4699" s="9">
        <v>45473</v>
      </c>
      <c r="V4699">
        <f>SUM(POTABLE_NONPOTABLE_API[[#This Row],[RESIDENTIAL_SINGLEFAMILY_GAL]:[OTHER_GAL]])</f>
        <v>275231520.412</v>
      </c>
      <c r="W4699">
        <f>SUM(POTABLE_NONPOTABLE_API[[#This Row],[NONPOTABLE_DEMAND_RESIDENTIAL_RECYCLED_WATER_GAL]:[NONPOTABLE_DEMAND_NONRESIDENTIAL_METERED_IRRIGATION_GAL]])</f>
        <v>10208822</v>
      </c>
      <c r="X4699" t="str">
        <f>IFERROR(INDEX(Crosswalk_API!$H$2:$H$527, MATCH(POTABLE_NONPOTABLE_API[[#This Row],[PWSID]], CW_PWSID_LIST, 0)), "")</f>
        <v>No</v>
      </c>
    </row>
    <row r="4700" spans="1:24" x14ac:dyDescent="0.25">
      <c r="A4700" t="s">
        <v>2125</v>
      </c>
      <c r="B4700" t="s">
        <v>2126</v>
      </c>
      <c r="C4700" t="s">
        <v>2127</v>
      </c>
      <c r="D4700" t="s">
        <v>2128</v>
      </c>
      <c r="E4700" s="9">
        <v>45292</v>
      </c>
      <c r="F4700" s="9">
        <v>45322</v>
      </c>
      <c r="G4700">
        <v>131050481.82800001</v>
      </c>
      <c r="H4700">
        <v>91563060.903999999</v>
      </c>
      <c r="I4700">
        <v>64517240.844000004</v>
      </c>
      <c r="J4700">
        <v>23075908.096000001</v>
      </c>
      <c r="K4700">
        <v>2185059.892</v>
      </c>
      <c r="L4700">
        <v>365797.42800000001</v>
      </c>
      <c r="M4700">
        <v>0</v>
      </c>
      <c r="N4700">
        <v>3316</v>
      </c>
      <c r="O4700">
        <v>0</v>
      </c>
      <c r="P4700">
        <v>0</v>
      </c>
      <c r="Q4700">
        <v>7075</v>
      </c>
      <c r="R4700">
        <v>0</v>
      </c>
      <c r="S4700">
        <v>6615312</v>
      </c>
      <c r="T4700" s="9">
        <v>45108</v>
      </c>
      <c r="U4700" s="9">
        <v>45473</v>
      </c>
      <c r="V4700">
        <f>SUM(POTABLE_NONPOTABLE_API[[#This Row],[RESIDENTIAL_SINGLEFAMILY_GAL]:[OTHER_GAL]])</f>
        <v>312757548.99199998</v>
      </c>
      <c r="W4700">
        <f>SUM(POTABLE_NONPOTABLE_API[[#This Row],[NONPOTABLE_DEMAND_RESIDENTIAL_RECYCLED_WATER_GAL]:[NONPOTABLE_DEMAND_NONRESIDENTIAL_METERED_IRRIGATION_GAL]])</f>
        <v>6625703</v>
      </c>
      <c r="X4700" t="str">
        <f>IFERROR(INDEX(Crosswalk_API!$H$2:$H$527, MATCH(POTABLE_NONPOTABLE_API[[#This Row],[PWSID]], CW_PWSID_LIST, 0)), "")</f>
        <v>No</v>
      </c>
    </row>
    <row r="4701" spans="1:24" x14ac:dyDescent="0.25">
      <c r="A4701" t="s">
        <v>2125</v>
      </c>
      <c r="B4701" t="s">
        <v>2126</v>
      </c>
      <c r="C4701" t="s">
        <v>2127</v>
      </c>
      <c r="D4701" t="s">
        <v>2128</v>
      </c>
      <c r="E4701" s="9">
        <v>45323</v>
      </c>
      <c r="F4701" s="9">
        <v>45351</v>
      </c>
      <c r="G4701">
        <v>112756870.168</v>
      </c>
      <c r="H4701">
        <v>83442956.444000006</v>
      </c>
      <c r="I4701">
        <v>54967609.012000002</v>
      </c>
      <c r="J4701">
        <v>11163928.048</v>
      </c>
      <c r="K4701">
        <v>1796072.852</v>
      </c>
      <c r="L4701">
        <v>172051.96</v>
      </c>
      <c r="M4701">
        <v>0</v>
      </c>
      <c r="N4701">
        <v>194</v>
      </c>
      <c r="O4701">
        <v>0</v>
      </c>
      <c r="P4701">
        <v>0</v>
      </c>
      <c r="Q4701">
        <v>3420</v>
      </c>
      <c r="R4701">
        <v>0</v>
      </c>
      <c r="S4701">
        <v>2030820</v>
      </c>
      <c r="T4701" s="9">
        <v>45108</v>
      </c>
      <c r="U4701" s="9">
        <v>45473</v>
      </c>
      <c r="V4701">
        <f>SUM(POTABLE_NONPOTABLE_API[[#This Row],[RESIDENTIAL_SINGLEFAMILY_GAL]:[OTHER_GAL]])</f>
        <v>264299488.484</v>
      </c>
      <c r="W4701">
        <f>SUM(POTABLE_NONPOTABLE_API[[#This Row],[NONPOTABLE_DEMAND_RESIDENTIAL_RECYCLED_WATER_GAL]:[NONPOTABLE_DEMAND_NONRESIDENTIAL_METERED_IRRIGATION_GAL]])</f>
        <v>2034434</v>
      </c>
      <c r="X4701" t="str">
        <f>IFERROR(INDEX(Crosswalk_API!$H$2:$H$527, MATCH(POTABLE_NONPOTABLE_API[[#This Row],[PWSID]], CW_PWSID_LIST, 0)), "")</f>
        <v>No</v>
      </c>
    </row>
    <row r="4702" spans="1:24" x14ac:dyDescent="0.25">
      <c r="A4702" t="s">
        <v>2125</v>
      </c>
      <c r="B4702" t="s">
        <v>2126</v>
      </c>
      <c r="C4702" t="s">
        <v>2127</v>
      </c>
      <c r="D4702" t="s">
        <v>2128</v>
      </c>
      <c r="E4702" s="9">
        <v>45352</v>
      </c>
      <c r="F4702" s="9">
        <v>45382</v>
      </c>
      <c r="G4702">
        <v>104253763.08400001</v>
      </c>
      <c r="H4702">
        <v>82058312.192000002</v>
      </c>
      <c r="I4702">
        <v>54864377.836000003</v>
      </c>
      <c r="J4702">
        <v>6772114.7560000001</v>
      </c>
      <c r="K4702">
        <v>1897807.9240000001</v>
      </c>
      <c r="L4702">
        <v>205714.30000000002</v>
      </c>
      <c r="M4702">
        <v>0</v>
      </c>
      <c r="N4702">
        <v>970</v>
      </c>
      <c r="O4702">
        <v>0</v>
      </c>
      <c r="P4702">
        <v>0</v>
      </c>
      <c r="Q4702">
        <v>26395</v>
      </c>
      <c r="R4702">
        <v>0</v>
      </c>
      <c r="S4702">
        <v>1685992</v>
      </c>
      <c r="T4702" s="9">
        <v>45108</v>
      </c>
      <c r="U4702" s="9">
        <v>45473</v>
      </c>
      <c r="V4702">
        <f>SUM(POTABLE_NONPOTABLE_API[[#This Row],[RESIDENTIAL_SINGLEFAMILY_GAL]:[OTHER_GAL]])</f>
        <v>250052090.09200004</v>
      </c>
      <c r="W4702">
        <f>SUM(POTABLE_NONPOTABLE_API[[#This Row],[NONPOTABLE_DEMAND_RESIDENTIAL_RECYCLED_WATER_GAL]:[NONPOTABLE_DEMAND_NONRESIDENTIAL_METERED_IRRIGATION_GAL]])</f>
        <v>1713357</v>
      </c>
      <c r="X4702" t="str">
        <f>IFERROR(INDEX(Crosswalk_API!$H$2:$H$527, MATCH(POTABLE_NONPOTABLE_API[[#This Row],[PWSID]], CW_PWSID_LIST, 0)), "")</f>
        <v>No</v>
      </c>
    </row>
    <row r="4703" spans="1:24" x14ac:dyDescent="0.25">
      <c r="A4703" t="s">
        <v>2125</v>
      </c>
      <c r="B4703" t="s">
        <v>2126</v>
      </c>
      <c r="C4703" t="s">
        <v>2127</v>
      </c>
      <c r="D4703" t="s">
        <v>2128</v>
      </c>
      <c r="E4703" s="9">
        <v>45383</v>
      </c>
      <c r="F4703" s="9">
        <v>45412</v>
      </c>
      <c r="G4703">
        <v>101191238.19600001</v>
      </c>
      <c r="H4703">
        <v>79304732.780000001</v>
      </c>
      <c r="I4703">
        <v>53159567.328000002</v>
      </c>
      <c r="J4703">
        <v>9724676</v>
      </c>
      <c r="K4703">
        <v>3487418.4240000001</v>
      </c>
      <c r="L4703">
        <v>880457.20400000003</v>
      </c>
      <c r="M4703">
        <v>0</v>
      </c>
      <c r="N4703">
        <v>860</v>
      </c>
      <c r="O4703">
        <v>0</v>
      </c>
      <c r="P4703">
        <v>0</v>
      </c>
      <c r="Q4703">
        <v>19839</v>
      </c>
      <c r="R4703">
        <v>0</v>
      </c>
      <c r="S4703">
        <v>2817716</v>
      </c>
      <c r="T4703" s="9">
        <v>45108</v>
      </c>
      <c r="U4703" s="9">
        <v>45473</v>
      </c>
      <c r="V4703">
        <f>SUM(POTABLE_NONPOTABLE_API[[#This Row],[RESIDENTIAL_SINGLEFAMILY_GAL]:[OTHER_GAL]])</f>
        <v>247748089.93200001</v>
      </c>
      <c r="W4703">
        <f>SUM(POTABLE_NONPOTABLE_API[[#This Row],[NONPOTABLE_DEMAND_RESIDENTIAL_RECYCLED_WATER_GAL]:[NONPOTABLE_DEMAND_NONRESIDENTIAL_METERED_IRRIGATION_GAL]])</f>
        <v>2838415</v>
      </c>
      <c r="X4703" t="str">
        <f>IFERROR(INDEX(Crosswalk_API!$H$2:$H$527, MATCH(POTABLE_NONPOTABLE_API[[#This Row],[PWSID]], CW_PWSID_LIST, 0)), "")</f>
        <v>No</v>
      </c>
    </row>
    <row r="4704" spans="1:24" x14ac:dyDescent="0.25">
      <c r="A4704" t="s">
        <v>2125</v>
      </c>
      <c r="B4704" t="s">
        <v>2126</v>
      </c>
      <c r="C4704" t="s">
        <v>2127</v>
      </c>
      <c r="D4704" t="s">
        <v>2128</v>
      </c>
      <c r="E4704" s="9">
        <v>45413</v>
      </c>
      <c r="F4704" s="9">
        <v>45443</v>
      </c>
      <c r="G4704">
        <v>112797264.976</v>
      </c>
      <c r="H4704">
        <v>88805741.232000008</v>
      </c>
      <c r="I4704">
        <v>59112565.144000001</v>
      </c>
      <c r="J4704">
        <v>12061590.448000001</v>
      </c>
      <c r="K4704">
        <v>5887917.2920000004</v>
      </c>
      <c r="L4704">
        <v>1814026.1</v>
      </c>
      <c r="M4704">
        <v>0</v>
      </c>
      <c r="N4704">
        <v>13181</v>
      </c>
      <c r="O4704">
        <v>0</v>
      </c>
      <c r="P4704">
        <v>0</v>
      </c>
      <c r="Q4704">
        <v>199167</v>
      </c>
      <c r="R4704">
        <v>0</v>
      </c>
      <c r="S4704">
        <v>10355312</v>
      </c>
      <c r="T4704" s="9">
        <v>45108</v>
      </c>
      <c r="U4704" s="9">
        <v>45473</v>
      </c>
      <c r="V4704">
        <f>SUM(POTABLE_NONPOTABLE_API[[#This Row],[RESIDENTIAL_SINGLEFAMILY_GAL]:[OTHER_GAL]])</f>
        <v>280479105.19200003</v>
      </c>
      <c r="W4704">
        <f>SUM(POTABLE_NONPOTABLE_API[[#This Row],[NONPOTABLE_DEMAND_RESIDENTIAL_RECYCLED_WATER_GAL]:[NONPOTABLE_DEMAND_NONRESIDENTIAL_METERED_IRRIGATION_GAL]])</f>
        <v>10567660</v>
      </c>
      <c r="X4704" t="str">
        <f>IFERROR(INDEX(Crosswalk_API!$H$2:$H$527, MATCH(POTABLE_NONPOTABLE_API[[#This Row],[PWSID]], CW_PWSID_LIST, 0)), "")</f>
        <v>No</v>
      </c>
    </row>
    <row r="4705" spans="1:24" x14ac:dyDescent="0.25">
      <c r="A4705" t="s">
        <v>2125</v>
      </c>
      <c r="B4705" t="s">
        <v>2126</v>
      </c>
      <c r="C4705" t="s">
        <v>2127</v>
      </c>
      <c r="D4705" t="s">
        <v>2128</v>
      </c>
      <c r="E4705" s="9">
        <v>45444</v>
      </c>
      <c r="F4705" s="9">
        <v>45473</v>
      </c>
      <c r="G4705">
        <v>128810066.088</v>
      </c>
      <c r="H4705">
        <v>93136214.260000005</v>
      </c>
      <c r="I4705">
        <v>66505563.060000002</v>
      </c>
      <c r="J4705">
        <v>25577393.984000001</v>
      </c>
      <c r="K4705">
        <v>6890306.9720000001</v>
      </c>
      <c r="L4705">
        <v>834826.03200000001</v>
      </c>
      <c r="M4705">
        <v>0</v>
      </c>
      <c r="N4705">
        <v>20057</v>
      </c>
      <c r="O4705">
        <v>0</v>
      </c>
      <c r="P4705">
        <v>0</v>
      </c>
      <c r="Q4705">
        <v>316750</v>
      </c>
      <c r="R4705">
        <v>0</v>
      </c>
      <c r="S4705">
        <v>16705084</v>
      </c>
      <c r="T4705" s="9">
        <v>45108</v>
      </c>
      <c r="U4705" s="9">
        <v>45473</v>
      </c>
      <c r="V4705">
        <f>SUM(POTABLE_NONPOTABLE_API[[#This Row],[RESIDENTIAL_SINGLEFAMILY_GAL]:[OTHER_GAL]])</f>
        <v>321754370.39600003</v>
      </c>
      <c r="W4705">
        <f>SUM(POTABLE_NONPOTABLE_API[[#This Row],[NONPOTABLE_DEMAND_RESIDENTIAL_RECYCLED_WATER_GAL]:[NONPOTABLE_DEMAND_NONRESIDENTIAL_METERED_IRRIGATION_GAL]])</f>
        <v>17041891</v>
      </c>
      <c r="X4705" t="str">
        <f>IFERROR(INDEX(Crosswalk_API!$H$2:$H$527, MATCH(POTABLE_NONPOTABLE_API[[#This Row],[PWSID]], CW_PWSID_LIST, 0)), "")</f>
        <v>No</v>
      </c>
    </row>
    <row r="4706" spans="1:24" x14ac:dyDescent="0.25">
      <c r="A4706" t="s">
        <v>2129</v>
      </c>
      <c r="B4706" t="s">
        <v>2130</v>
      </c>
      <c r="C4706" t="s">
        <v>2131</v>
      </c>
      <c r="D4706" t="s">
        <v>2132</v>
      </c>
      <c r="E4706" s="9">
        <v>45108</v>
      </c>
      <c r="F4706" s="9">
        <v>45138</v>
      </c>
      <c r="G4706">
        <v>111573451.904</v>
      </c>
      <c r="H4706">
        <v>32631524.344000001</v>
      </c>
      <c r="I4706">
        <v>19703689.68</v>
      </c>
      <c r="J4706">
        <v>38014506.535999998</v>
      </c>
      <c r="K4706">
        <v>0</v>
      </c>
      <c r="L4706">
        <v>0</v>
      </c>
      <c r="M4706">
        <v>0</v>
      </c>
      <c r="N4706">
        <v>0</v>
      </c>
      <c r="O4706">
        <v>0</v>
      </c>
      <c r="P4706">
        <v>0</v>
      </c>
      <c r="Q4706">
        <v>0</v>
      </c>
      <c r="R4706">
        <v>0</v>
      </c>
      <c r="S4706">
        <v>29722350.116</v>
      </c>
      <c r="T4706" s="9">
        <v>45108</v>
      </c>
      <c r="U4706" s="9">
        <v>45473</v>
      </c>
      <c r="V4706">
        <f>SUM(POTABLE_NONPOTABLE_API[[#This Row],[RESIDENTIAL_SINGLEFAMILY_GAL]:[OTHER_GAL]])</f>
        <v>201923172.46399999</v>
      </c>
      <c r="W4706">
        <f>SUM(POTABLE_NONPOTABLE_API[[#This Row],[NONPOTABLE_DEMAND_RESIDENTIAL_RECYCLED_WATER_GAL]:[NONPOTABLE_DEMAND_NONRESIDENTIAL_METERED_IRRIGATION_GAL]])</f>
        <v>29722350.116</v>
      </c>
      <c r="X4706" t="str">
        <f>IFERROR(INDEX(Crosswalk_API!$H$2:$H$527, MATCH(POTABLE_NONPOTABLE_API[[#This Row],[PWSID]], CW_PWSID_LIST, 0)), "")</f>
        <v>No</v>
      </c>
    </row>
    <row r="4707" spans="1:24" x14ac:dyDescent="0.25">
      <c r="A4707" t="s">
        <v>2129</v>
      </c>
      <c r="B4707" t="s">
        <v>2130</v>
      </c>
      <c r="C4707" t="s">
        <v>2131</v>
      </c>
      <c r="D4707" t="s">
        <v>2132</v>
      </c>
      <c r="E4707" s="9">
        <v>45139</v>
      </c>
      <c r="F4707" s="9">
        <v>45169</v>
      </c>
      <c r="G4707">
        <v>120154356.396</v>
      </c>
      <c r="H4707">
        <v>34574963.439999998</v>
      </c>
      <c r="I4707">
        <v>22461757.403999999</v>
      </c>
      <c r="J4707">
        <v>40766589.844000004</v>
      </c>
      <c r="K4707">
        <v>0</v>
      </c>
      <c r="L4707">
        <v>0</v>
      </c>
      <c r="M4707">
        <v>0</v>
      </c>
      <c r="N4707">
        <v>0</v>
      </c>
      <c r="O4707">
        <v>0</v>
      </c>
      <c r="P4707">
        <v>0</v>
      </c>
      <c r="Q4707">
        <v>0</v>
      </c>
      <c r="R4707">
        <v>0</v>
      </c>
      <c r="S4707">
        <v>30548199.524</v>
      </c>
      <c r="T4707" s="9">
        <v>45108</v>
      </c>
      <c r="U4707" s="9">
        <v>45473</v>
      </c>
      <c r="V4707">
        <f>SUM(POTABLE_NONPOTABLE_API[[#This Row],[RESIDENTIAL_SINGLEFAMILY_GAL]:[OTHER_GAL]])</f>
        <v>217957667.08400002</v>
      </c>
      <c r="W4707">
        <f>SUM(POTABLE_NONPOTABLE_API[[#This Row],[NONPOTABLE_DEMAND_RESIDENTIAL_RECYCLED_WATER_GAL]:[NONPOTABLE_DEMAND_NONRESIDENTIAL_METERED_IRRIGATION_GAL]])</f>
        <v>30548199.524</v>
      </c>
      <c r="X4707" t="str">
        <f>IFERROR(INDEX(Crosswalk_API!$H$2:$H$527, MATCH(POTABLE_NONPOTABLE_API[[#This Row],[PWSID]], CW_PWSID_LIST, 0)), "")</f>
        <v>No</v>
      </c>
    </row>
    <row r="4708" spans="1:24" x14ac:dyDescent="0.25">
      <c r="A4708" t="s">
        <v>2129</v>
      </c>
      <c r="B4708" t="s">
        <v>2130</v>
      </c>
      <c r="C4708" t="s">
        <v>2131</v>
      </c>
      <c r="D4708" t="s">
        <v>2132</v>
      </c>
      <c r="E4708" s="9">
        <v>45170</v>
      </c>
      <c r="F4708" s="9">
        <v>45199</v>
      </c>
      <c r="G4708">
        <v>101503175.88000001</v>
      </c>
      <c r="H4708">
        <v>30202599.5</v>
      </c>
      <c r="I4708">
        <v>17793912.923999999</v>
      </c>
      <c r="J4708">
        <v>30839191.752</v>
      </c>
      <c r="K4708">
        <v>0</v>
      </c>
      <c r="L4708">
        <v>0</v>
      </c>
      <c r="M4708">
        <v>0</v>
      </c>
      <c r="N4708">
        <v>0</v>
      </c>
      <c r="O4708">
        <v>0</v>
      </c>
      <c r="P4708">
        <v>0</v>
      </c>
      <c r="Q4708">
        <v>0</v>
      </c>
      <c r="R4708">
        <v>0</v>
      </c>
      <c r="S4708">
        <v>21932884.640000001</v>
      </c>
      <c r="T4708" s="9">
        <v>45108</v>
      </c>
      <c r="U4708" s="9">
        <v>45473</v>
      </c>
      <c r="V4708">
        <f>SUM(POTABLE_NONPOTABLE_API[[#This Row],[RESIDENTIAL_SINGLEFAMILY_GAL]:[OTHER_GAL]])</f>
        <v>180338880.05600002</v>
      </c>
      <c r="W4708">
        <f>SUM(POTABLE_NONPOTABLE_API[[#This Row],[NONPOTABLE_DEMAND_RESIDENTIAL_RECYCLED_WATER_GAL]:[NONPOTABLE_DEMAND_NONRESIDENTIAL_METERED_IRRIGATION_GAL]])</f>
        <v>21932884.640000001</v>
      </c>
      <c r="X4708" t="str">
        <f>IFERROR(INDEX(Crosswalk_API!$H$2:$H$527, MATCH(POTABLE_NONPOTABLE_API[[#This Row],[PWSID]], CW_PWSID_LIST, 0)), "")</f>
        <v>No</v>
      </c>
    </row>
    <row r="4709" spans="1:24" x14ac:dyDescent="0.25">
      <c r="A4709" t="s">
        <v>2129</v>
      </c>
      <c r="B4709" t="s">
        <v>2130</v>
      </c>
      <c r="C4709" t="s">
        <v>2131</v>
      </c>
      <c r="D4709" t="s">
        <v>2132</v>
      </c>
      <c r="E4709" s="9">
        <v>45200</v>
      </c>
      <c r="F4709" s="9">
        <v>45230</v>
      </c>
      <c r="G4709">
        <v>106338606.44956</v>
      </c>
      <c r="H4709">
        <v>32130643.685839999</v>
      </c>
      <c r="I4709">
        <v>19314523.107519999</v>
      </c>
      <c r="J4709">
        <v>29843788.87768</v>
      </c>
      <c r="K4709">
        <v>0</v>
      </c>
      <c r="L4709">
        <v>0</v>
      </c>
      <c r="M4709">
        <v>0</v>
      </c>
      <c r="N4709">
        <v>0</v>
      </c>
      <c r="O4709">
        <v>0</v>
      </c>
      <c r="P4709">
        <v>0</v>
      </c>
      <c r="Q4709">
        <v>0</v>
      </c>
      <c r="R4709">
        <v>0</v>
      </c>
      <c r="S4709">
        <v>22463253.508000001</v>
      </c>
      <c r="T4709" s="9">
        <v>45108</v>
      </c>
      <c r="U4709" s="9">
        <v>45473</v>
      </c>
      <c r="V4709">
        <f>SUM(POTABLE_NONPOTABLE_API[[#This Row],[RESIDENTIAL_SINGLEFAMILY_GAL]:[OTHER_GAL]])</f>
        <v>187627562.12059999</v>
      </c>
      <c r="W4709">
        <f>SUM(POTABLE_NONPOTABLE_API[[#This Row],[NONPOTABLE_DEMAND_RESIDENTIAL_RECYCLED_WATER_GAL]:[NONPOTABLE_DEMAND_NONRESIDENTIAL_METERED_IRRIGATION_GAL]])</f>
        <v>22463253.508000001</v>
      </c>
      <c r="X4709" t="str">
        <f>IFERROR(INDEX(Crosswalk_API!$H$2:$H$527, MATCH(POTABLE_NONPOTABLE_API[[#This Row],[PWSID]], CW_PWSID_LIST, 0)), "")</f>
        <v>No</v>
      </c>
    </row>
    <row r="4710" spans="1:24" x14ac:dyDescent="0.25">
      <c r="A4710" t="s">
        <v>2129</v>
      </c>
      <c r="B4710" t="s">
        <v>2130</v>
      </c>
      <c r="C4710" t="s">
        <v>2131</v>
      </c>
      <c r="D4710" t="s">
        <v>2132</v>
      </c>
      <c r="E4710" s="9">
        <v>45231</v>
      </c>
      <c r="F4710" s="9">
        <v>45260</v>
      </c>
      <c r="G4710">
        <v>91303486.859999999</v>
      </c>
      <c r="H4710">
        <v>27332323.976</v>
      </c>
      <c r="I4710">
        <v>16035242.672</v>
      </c>
      <c r="J4710">
        <v>24310941.947999999</v>
      </c>
      <c r="K4710">
        <v>0</v>
      </c>
      <c r="L4710">
        <v>0</v>
      </c>
      <c r="M4710">
        <v>0</v>
      </c>
      <c r="N4710">
        <v>0</v>
      </c>
      <c r="O4710">
        <v>0</v>
      </c>
      <c r="P4710">
        <v>0</v>
      </c>
      <c r="Q4710">
        <v>0</v>
      </c>
      <c r="R4710">
        <v>0</v>
      </c>
      <c r="S4710">
        <v>16946370.008000001</v>
      </c>
      <c r="T4710" s="9">
        <v>45108</v>
      </c>
      <c r="U4710" s="9">
        <v>45473</v>
      </c>
      <c r="V4710">
        <f>SUM(POTABLE_NONPOTABLE_API[[#This Row],[RESIDENTIAL_SINGLEFAMILY_GAL]:[OTHER_GAL]])</f>
        <v>158981995.45599997</v>
      </c>
      <c r="W4710">
        <f>SUM(POTABLE_NONPOTABLE_API[[#This Row],[NONPOTABLE_DEMAND_RESIDENTIAL_RECYCLED_WATER_GAL]:[NONPOTABLE_DEMAND_NONRESIDENTIAL_METERED_IRRIGATION_GAL]])</f>
        <v>16946370.008000001</v>
      </c>
      <c r="X4710" t="str">
        <f>IFERROR(INDEX(Crosswalk_API!$H$2:$H$527, MATCH(POTABLE_NONPOTABLE_API[[#This Row],[PWSID]], CW_PWSID_LIST, 0)), "")</f>
        <v>No</v>
      </c>
    </row>
    <row r="4711" spans="1:24" x14ac:dyDescent="0.25">
      <c r="A4711" t="s">
        <v>2129</v>
      </c>
      <c r="B4711" t="s">
        <v>2130</v>
      </c>
      <c r="C4711" t="s">
        <v>2131</v>
      </c>
      <c r="D4711" t="s">
        <v>2132</v>
      </c>
      <c r="E4711" s="9">
        <v>45261</v>
      </c>
      <c r="F4711" s="9">
        <v>45291</v>
      </c>
      <c r="G4711">
        <v>91483767.392000005</v>
      </c>
      <c r="H4711">
        <v>29682703.359999999</v>
      </c>
      <c r="I4711">
        <v>16976292.088</v>
      </c>
      <c r="J4711">
        <v>70793397.123999998</v>
      </c>
      <c r="K4711">
        <v>0</v>
      </c>
      <c r="L4711">
        <v>0</v>
      </c>
      <c r="M4711">
        <v>0</v>
      </c>
      <c r="N4711">
        <v>0</v>
      </c>
      <c r="O4711">
        <v>0</v>
      </c>
      <c r="P4711">
        <v>0</v>
      </c>
      <c r="Q4711">
        <v>0</v>
      </c>
      <c r="R4711">
        <v>0</v>
      </c>
      <c r="S4711">
        <v>12986182.720000001</v>
      </c>
      <c r="T4711" s="9">
        <v>45108</v>
      </c>
      <c r="U4711" s="9">
        <v>45473</v>
      </c>
      <c r="V4711">
        <f>SUM(POTABLE_NONPOTABLE_API[[#This Row],[RESIDENTIAL_SINGLEFAMILY_GAL]:[OTHER_GAL]])</f>
        <v>208936159.96399999</v>
      </c>
      <c r="W4711">
        <f>SUM(POTABLE_NONPOTABLE_API[[#This Row],[NONPOTABLE_DEMAND_RESIDENTIAL_RECYCLED_WATER_GAL]:[NONPOTABLE_DEMAND_NONRESIDENTIAL_METERED_IRRIGATION_GAL]])</f>
        <v>12986182.720000001</v>
      </c>
      <c r="X4711" t="str">
        <f>IFERROR(INDEX(Crosswalk_API!$H$2:$H$527, MATCH(POTABLE_NONPOTABLE_API[[#This Row],[PWSID]], CW_PWSID_LIST, 0)), "")</f>
        <v>No</v>
      </c>
    </row>
    <row r="4712" spans="1:24" x14ac:dyDescent="0.25">
      <c r="A4712" t="s">
        <v>2129</v>
      </c>
      <c r="B4712" t="s">
        <v>2130</v>
      </c>
      <c r="C4712" t="s">
        <v>2131</v>
      </c>
      <c r="D4712" t="s">
        <v>2132</v>
      </c>
      <c r="E4712" s="9">
        <v>45292</v>
      </c>
      <c r="F4712" s="9">
        <v>45322</v>
      </c>
      <c r="G4712">
        <v>85843455.312000006</v>
      </c>
      <c r="H4712">
        <v>32304625.620000001</v>
      </c>
      <c r="I4712">
        <v>16621715.440000001</v>
      </c>
      <c r="J4712">
        <v>8679647.3560000006</v>
      </c>
      <c r="K4712">
        <v>0</v>
      </c>
      <c r="L4712">
        <v>0</v>
      </c>
      <c r="M4712">
        <v>0</v>
      </c>
      <c r="N4712">
        <v>0</v>
      </c>
      <c r="O4712">
        <v>0</v>
      </c>
      <c r="P4712">
        <v>0</v>
      </c>
      <c r="Q4712">
        <v>0</v>
      </c>
      <c r="R4712">
        <v>0</v>
      </c>
      <c r="S4712">
        <v>8126088.8760000002</v>
      </c>
      <c r="T4712" s="9">
        <v>45108</v>
      </c>
      <c r="U4712" s="9">
        <v>45473</v>
      </c>
      <c r="V4712">
        <f>SUM(POTABLE_NONPOTABLE_API[[#This Row],[RESIDENTIAL_SINGLEFAMILY_GAL]:[OTHER_GAL]])</f>
        <v>143449443.72800002</v>
      </c>
      <c r="W4712">
        <f>SUM(POTABLE_NONPOTABLE_API[[#This Row],[NONPOTABLE_DEMAND_RESIDENTIAL_RECYCLED_WATER_GAL]:[NONPOTABLE_DEMAND_NONRESIDENTIAL_METERED_IRRIGATION_GAL]])</f>
        <v>8126088.8760000002</v>
      </c>
      <c r="X4712" t="str">
        <f>IFERROR(INDEX(Crosswalk_API!$H$2:$H$527, MATCH(POTABLE_NONPOTABLE_API[[#This Row],[PWSID]], CW_PWSID_LIST, 0)), "")</f>
        <v>No</v>
      </c>
    </row>
    <row r="4713" spans="1:24" x14ac:dyDescent="0.25">
      <c r="A4713" t="s">
        <v>2129</v>
      </c>
      <c r="B4713" t="s">
        <v>2130</v>
      </c>
      <c r="C4713" t="s">
        <v>2131</v>
      </c>
      <c r="D4713" t="s">
        <v>2132</v>
      </c>
      <c r="E4713" s="9">
        <v>45323</v>
      </c>
      <c r="F4713" s="9">
        <v>45351</v>
      </c>
      <c r="G4713">
        <v>61253489.968000002</v>
      </c>
      <c r="H4713">
        <v>26370329.104000002</v>
      </c>
      <c r="I4713">
        <v>13427533.4</v>
      </c>
      <c r="J4713">
        <v>2954057.3480000002</v>
      </c>
      <c r="K4713">
        <v>0</v>
      </c>
      <c r="L4713">
        <v>6732.4679999999998</v>
      </c>
      <c r="M4713">
        <v>0</v>
      </c>
      <c r="N4713">
        <v>0</v>
      </c>
      <c r="O4713">
        <v>0</v>
      </c>
      <c r="P4713">
        <v>0</v>
      </c>
      <c r="Q4713">
        <v>0</v>
      </c>
      <c r="R4713">
        <v>0</v>
      </c>
      <c r="S4713">
        <v>5134628.9280000003</v>
      </c>
      <c r="T4713" s="9">
        <v>45108</v>
      </c>
      <c r="U4713" s="9">
        <v>45473</v>
      </c>
      <c r="V4713">
        <f>SUM(POTABLE_NONPOTABLE_API[[#This Row],[RESIDENTIAL_SINGLEFAMILY_GAL]:[OTHER_GAL]])</f>
        <v>104012142.288</v>
      </c>
      <c r="W4713">
        <f>SUM(POTABLE_NONPOTABLE_API[[#This Row],[NONPOTABLE_DEMAND_RESIDENTIAL_RECYCLED_WATER_GAL]:[NONPOTABLE_DEMAND_NONRESIDENTIAL_METERED_IRRIGATION_GAL]])</f>
        <v>5134628.9280000003</v>
      </c>
      <c r="X4713" t="str">
        <f>IFERROR(INDEX(Crosswalk_API!$H$2:$H$527, MATCH(POTABLE_NONPOTABLE_API[[#This Row],[PWSID]], CW_PWSID_LIST, 0)), "")</f>
        <v>No</v>
      </c>
    </row>
    <row r="4714" spans="1:24" x14ac:dyDescent="0.25">
      <c r="A4714" t="s">
        <v>2129</v>
      </c>
      <c r="B4714" t="s">
        <v>2130</v>
      </c>
      <c r="C4714" t="s">
        <v>2131</v>
      </c>
      <c r="D4714" t="s">
        <v>2132</v>
      </c>
      <c r="E4714" s="9">
        <v>45352</v>
      </c>
      <c r="F4714" s="9">
        <v>45382</v>
      </c>
      <c r="G4714">
        <v>64838155.152000003</v>
      </c>
      <c r="H4714">
        <v>27374962.940000001</v>
      </c>
      <c r="I4714">
        <v>15668697.192</v>
      </c>
      <c r="J4714">
        <v>4016291.1880000001</v>
      </c>
      <c r="K4714">
        <v>0</v>
      </c>
      <c r="L4714">
        <v>103231.17600000001</v>
      </c>
      <c r="M4714">
        <v>0</v>
      </c>
      <c r="N4714">
        <v>0</v>
      </c>
      <c r="O4714">
        <v>0</v>
      </c>
      <c r="P4714">
        <v>0</v>
      </c>
      <c r="Q4714">
        <v>0</v>
      </c>
      <c r="R4714">
        <v>0</v>
      </c>
      <c r="S4714">
        <v>4940135.4079999998</v>
      </c>
      <c r="T4714" s="9">
        <v>45108</v>
      </c>
      <c r="U4714" s="9">
        <v>45473</v>
      </c>
      <c r="V4714">
        <f>SUM(POTABLE_NONPOTABLE_API[[#This Row],[RESIDENTIAL_SINGLEFAMILY_GAL]:[OTHER_GAL]])</f>
        <v>112001337.648</v>
      </c>
      <c r="W4714">
        <f>SUM(POTABLE_NONPOTABLE_API[[#This Row],[NONPOTABLE_DEMAND_RESIDENTIAL_RECYCLED_WATER_GAL]:[NONPOTABLE_DEMAND_NONRESIDENTIAL_METERED_IRRIGATION_GAL]])</f>
        <v>4940135.4079999998</v>
      </c>
      <c r="X4714" t="str">
        <f>IFERROR(INDEX(Crosswalk_API!$H$2:$H$527, MATCH(POTABLE_NONPOTABLE_API[[#This Row],[PWSID]], CW_PWSID_LIST, 0)), "")</f>
        <v>No</v>
      </c>
    </row>
    <row r="4715" spans="1:24" x14ac:dyDescent="0.25">
      <c r="A4715" t="s">
        <v>2129</v>
      </c>
      <c r="B4715" t="s">
        <v>2130</v>
      </c>
      <c r="C4715" t="s">
        <v>2131</v>
      </c>
      <c r="D4715" t="s">
        <v>2132</v>
      </c>
      <c r="E4715" s="9">
        <v>45383</v>
      </c>
      <c r="F4715" s="9">
        <v>45412</v>
      </c>
      <c r="G4715">
        <v>75278716.916000009</v>
      </c>
      <c r="H4715">
        <v>29832313.760000002</v>
      </c>
      <c r="I4715">
        <v>16006068.644000001</v>
      </c>
      <c r="J4715">
        <v>8328810.9680000003</v>
      </c>
      <c r="K4715">
        <v>0</v>
      </c>
      <c r="L4715">
        <v>103231.17600000001</v>
      </c>
      <c r="M4715">
        <v>0</v>
      </c>
      <c r="N4715">
        <v>0</v>
      </c>
      <c r="O4715">
        <v>0</v>
      </c>
      <c r="P4715">
        <v>0</v>
      </c>
      <c r="Q4715">
        <v>0</v>
      </c>
      <c r="R4715">
        <v>0</v>
      </c>
      <c r="S4715">
        <v>9681288.9840000011</v>
      </c>
      <c r="T4715" s="9">
        <v>45108</v>
      </c>
      <c r="U4715" s="9">
        <v>45473</v>
      </c>
      <c r="V4715">
        <f>SUM(POTABLE_NONPOTABLE_API[[#This Row],[RESIDENTIAL_SINGLEFAMILY_GAL]:[OTHER_GAL]])</f>
        <v>129549141.46400002</v>
      </c>
      <c r="W4715">
        <f>SUM(POTABLE_NONPOTABLE_API[[#This Row],[NONPOTABLE_DEMAND_RESIDENTIAL_RECYCLED_WATER_GAL]:[NONPOTABLE_DEMAND_NONRESIDENTIAL_METERED_IRRIGATION_GAL]])</f>
        <v>9681288.9840000011</v>
      </c>
      <c r="X4715" t="str">
        <f>IFERROR(INDEX(Crosswalk_API!$H$2:$H$527, MATCH(POTABLE_NONPOTABLE_API[[#This Row],[PWSID]], CW_PWSID_LIST, 0)), "")</f>
        <v>No</v>
      </c>
    </row>
    <row r="4716" spans="1:24" x14ac:dyDescent="0.25">
      <c r="A4716" t="s">
        <v>2129</v>
      </c>
      <c r="B4716" t="s">
        <v>2130</v>
      </c>
      <c r="C4716" t="s">
        <v>2131</v>
      </c>
      <c r="D4716" t="s">
        <v>2132</v>
      </c>
      <c r="E4716" s="9">
        <v>45413</v>
      </c>
      <c r="F4716" s="9">
        <v>45443</v>
      </c>
      <c r="G4716">
        <v>100090853.704</v>
      </c>
      <c r="H4716">
        <v>31450350.236000001</v>
      </c>
      <c r="I4716">
        <v>19328167.576000001</v>
      </c>
      <c r="J4716">
        <v>27104168.116</v>
      </c>
      <c r="K4716">
        <v>0</v>
      </c>
      <c r="L4716">
        <v>847542.91599999997</v>
      </c>
      <c r="M4716">
        <v>0</v>
      </c>
      <c r="N4716">
        <v>0</v>
      </c>
      <c r="O4716">
        <v>0</v>
      </c>
      <c r="P4716">
        <v>0</v>
      </c>
      <c r="Q4716">
        <v>0</v>
      </c>
      <c r="R4716">
        <v>0</v>
      </c>
      <c r="S4716">
        <v>31567794.400000002</v>
      </c>
      <c r="T4716" s="9">
        <v>45108</v>
      </c>
      <c r="U4716" s="9">
        <v>45473</v>
      </c>
      <c r="V4716">
        <f>SUM(POTABLE_NONPOTABLE_API[[#This Row],[RESIDENTIAL_SINGLEFAMILY_GAL]:[OTHER_GAL]])</f>
        <v>178821082.54800001</v>
      </c>
      <c r="W4716">
        <f>SUM(POTABLE_NONPOTABLE_API[[#This Row],[NONPOTABLE_DEMAND_RESIDENTIAL_RECYCLED_WATER_GAL]:[NONPOTABLE_DEMAND_NONRESIDENTIAL_METERED_IRRIGATION_GAL]])</f>
        <v>31567794.400000002</v>
      </c>
      <c r="X4716" t="str">
        <f>IFERROR(INDEX(Crosswalk_API!$H$2:$H$527, MATCH(POTABLE_NONPOTABLE_API[[#This Row],[PWSID]], CW_PWSID_LIST, 0)), "")</f>
        <v>No</v>
      </c>
    </row>
    <row r="4717" spans="1:24" x14ac:dyDescent="0.25">
      <c r="A4717" t="s">
        <v>2129</v>
      </c>
      <c r="B4717" t="s">
        <v>2130</v>
      </c>
      <c r="C4717" t="s">
        <v>2131</v>
      </c>
      <c r="D4717" t="s">
        <v>2132</v>
      </c>
      <c r="E4717" s="9">
        <v>45444</v>
      </c>
      <c r="F4717" s="9">
        <v>45473</v>
      </c>
      <c r="G4717">
        <v>96120941.74000001</v>
      </c>
      <c r="H4717">
        <v>28676.573420000001</v>
      </c>
      <c r="I4717">
        <v>17282993.408</v>
      </c>
      <c r="J4717">
        <v>31565550.244000003</v>
      </c>
      <c r="K4717">
        <v>0</v>
      </c>
      <c r="L4717">
        <v>829589.66800000006</v>
      </c>
      <c r="M4717">
        <v>0</v>
      </c>
      <c r="N4717">
        <v>0</v>
      </c>
      <c r="O4717">
        <v>0</v>
      </c>
      <c r="P4717">
        <v>0</v>
      </c>
      <c r="Q4717">
        <v>0</v>
      </c>
      <c r="R4717">
        <v>0</v>
      </c>
      <c r="S4717">
        <v>31534132.060000002</v>
      </c>
      <c r="T4717" s="9">
        <v>45108</v>
      </c>
      <c r="U4717" s="9">
        <v>45473</v>
      </c>
      <c r="V4717">
        <f>SUM(POTABLE_NONPOTABLE_API[[#This Row],[RESIDENTIAL_SINGLEFAMILY_GAL]:[OTHER_GAL]])</f>
        <v>145827751.63342002</v>
      </c>
      <c r="W4717">
        <f>SUM(POTABLE_NONPOTABLE_API[[#This Row],[NONPOTABLE_DEMAND_RESIDENTIAL_RECYCLED_WATER_GAL]:[NONPOTABLE_DEMAND_NONRESIDENTIAL_METERED_IRRIGATION_GAL]])</f>
        <v>31534132.060000002</v>
      </c>
      <c r="X4717" t="str">
        <f>IFERROR(INDEX(Crosswalk_API!$H$2:$H$527, MATCH(POTABLE_NONPOTABLE_API[[#This Row],[PWSID]], CW_PWSID_LIST, 0)), "")</f>
        <v>No</v>
      </c>
    </row>
    <row r="4718" spans="1:24" x14ac:dyDescent="0.25">
      <c r="A4718" t="s">
        <v>2133</v>
      </c>
      <c r="B4718" t="s">
        <v>2134</v>
      </c>
      <c r="C4718" t="s">
        <v>2135</v>
      </c>
      <c r="D4718" t="s">
        <v>2136</v>
      </c>
      <c r="E4718" s="9">
        <v>45108</v>
      </c>
      <c r="F4718" s="9">
        <v>45138</v>
      </c>
      <c r="G4718">
        <v>1222882959.3899999</v>
      </c>
      <c r="H4718">
        <v>1255422440.25</v>
      </c>
      <c r="I4718">
        <v>1126290947.46</v>
      </c>
      <c r="J4718">
        <v>423084938.40000004</v>
      </c>
      <c r="K4718">
        <v>0</v>
      </c>
      <c r="L4718">
        <v>14849030.07</v>
      </c>
      <c r="M4718">
        <v>0</v>
      </c>
      <c r="N4718">
        <v>0</v>
      </c>
      <c r="O4718">
        <v>0</v>
      </c>
      <c r="Q4718">
        <v>338153840</v>
      </c>
      <c r="R4718">
        <v>0</v>
      </c>
      <c r="S4718">
        <v>0</v>
      </c>
      <c r="T4718" s="9">
        <v>45108</v>
      </c>
      <c r="U4718" s="9">
        <v>45473</v>
      </c>
      <c r="V4718">
        <f>SUM(POTABLE_NONPOTABLE_API[[#This Row],[RESIDENTIAL_SINGLEFAMILY_GAL]:[OTHER_GAL]])</f>
        <v>4042530315.5700002</v>
      </c>
      <c r="W4718">
        <f>SUM(POTABLE_NONPOTABLE_API[[#This Row],[NONPOTABLE_DEMAND_RESIDENTIAL_RECYCLED_WATER_GAL]:[NONPOTABLE_DEMAND_NONRESIDENTIAL_METERED_IRRIGATION_GAL]])</f>
        <v>338153840</v>
      </c>
      <c r="X4718" t="str">
        <f>IFERROR(INDEX(Crosswalk_API!$H$2:$H$527, MATCH(POTABLE_NONPOTABLE_API[[#This Row],[PWSID]], CW_PWSID_LIST, 0)), "")</f>
        <v>No</v>
      </c>
    </row>
    <row r="4719" spans="1:24" x14ac:dyDescent="0.25">
      <c r="A4719" t="s">
        <v>2133</v>
      </c>
      <c r="B4719" t="s">
        <v>2134</v>
      </c>
      <c r="C4719" t="s">
        <v>2135</v>
      </c>
      <c r="D4719" t="s">
        <v>2136</v>
      </c>
      <c r="E4719" s="9">
        <v>45139</v>
      </c>
      <c r="F4719" s="9">
        <v>45169</v>
      </c>
      <c r="G4719">
        <v>2084869643.7299998</v>
      </c>
      <c r="H4719">
        <v>955447268.15999997</v>
      </c>
      <c r="I4719">
        <v>1263295000.4099998</v>
      </c>
      <c r="J4719">
        <v>883017107.88</v>
      </c>
      <c r="K4719">
        <v>0</v>
      </c>
      <c r="L4719">
        <v>23122386.959999997</v>
      </c>
      <c r="M4719">
        <v>0</v>
      </c>
      <c r="N4719">
        <v>0</v>
      </c>
      <c r="O4719">
        <v>0</v>
      </c>
      <c r="P4719">
        <v>0</v>
      </c>
      <c r="Q4719">
        <v>641762280</v>
      </c>
      <c r="R4719">
        <v>0</v>
      </c>
      <c r="S4719">
        <v>0</v>
      </c>
      <c r="T4719" s="9">
        <v>45108</v>
      </c>
      <c r="U4719" s="9">
        <v>45473</v>
      </c>
      <c r="V4719">
        <f>SUM(POTABLE_NONPOTABLE_API[[#This Row],[RESIDENTIAL_SINGLEFAMILY_GAL]:[OTHER_GAL]])</f>
        <v>5209751407.1399994</v>
      </c>
      <c r="W4719">
        <f>SUM(POTABLE_NONPOTABLE_API[[#This Row],[NONPOTABLE_DEMAND_RESIDENTIAL_RECYCLED_WATER_GAL]:[NONPOTABLE_DEMAND_NONRESIDENTIAL_METERED_IRRIGATION_GAL]])</f>
        <v>641762280</v>
      </c>
      <c r="X4719" t="str">
        <f>IFERROR(INDEX(Crosswalk_API!$H$2:$H$527, MATCH(POTABLE_NONPOTABLE_API[[#This Row],[PWSID]], CW_PWSID_LIST, 0)), "")</f>
        <v>No</v>
      </c>
    </row>
    <row r="4720" spans="1:24" x14ac:dyDescent="0.25">
      <c r="A4720" t="s">
        <v>2133</v>
      </c>
      <c r="B4720" t="s">
        <v>2134</v>
      </c>
      <c r="C4720" t="s">
        <v>2135</v>
      </c>
      <c r="D4720" t="s">
        <v>2136</v>
      </c>
      <c r="E4720" s="9">
        <v>45170</v>
      </c>
      <c r="F4720" s="9">
        <v>45199</v>
      </c>
      <c r="G4720">
        <v>1220830098.0900002</v>
      </c>
      <c r="H4720">
        <v>1264438737.4200001</v>
      </c>
      <c r="I4720">
        <v>1016713773.1799999</v>
      </c>
      <c r="J4720">
        <v>468156648.72000003</v>
      </c>
      <c r="K4720">
        <v>0</v>
      </c>
      <c r="L4720">
        <v>25067717.430000003</v>
      </c>
      <c r="M4720">
        <v>0</v>
      </c>
      <c r="N4720">
        <v>0</v>
      </c>
      <c r="O4720">
        <v>0</v>
      </c>
      <c r="P4720">
        <v>0</v>
      </c>
      <c r="Q4720">
        <v>397304690</v>
      </c>
      <c r="R4720">
        <v>0</v>
      </c>
      <c r="T4720" s="9">
        <v>45108</v>
      </c>
      <c r="U4720" s="9">
        <v>45473</v>
      </c>
      <c r="V4720">
        <f>SUM(POTABLE_NONPOTABLE_API[[#This Row],[RESIDENTIAL_SINGLEFAMILY_GAL]:[OTHER_GAL]])</f>
        <v>3995206974.8399997</v>
      </c>
      <c r="W4720">
        <f>SUM(POTABLE_NONPOTABLE_API[[#This Row],[NONPOTABLE_DEMAND_RESIDENTIAL_RECYCLED_WATER_GAL]:[NONPOTABLE_DEMAND_NONRESIDENTIAL_METERED_IRRIGATION_GAL]])</f>
        <v>397304690</v>
      </c>
      <c r="X4720" t="str">
        <f>IFERROR(INDEX(Crosswalk_API!$H$2:$H$527, MATCH(POTABLE_NONPOTABLE_API[[#This Row],[PWSID]], CW_PWSID_LIST, 0)), "")</f>
        <v>No</v>
      </c>
    </row>
    <row r="4721" spans="1:24" x14ac:dyDescent="0.25">
      <c r="A4721" t="s">
        <v>2133</v>
      </c>
      <c r="B4721" t="s">
        <v>2134</v>
      </c>
      <c r="C4721" t="s">
        <v>2135</v>
      </c>
      <c r="D4721" t="s">
        <v>2136</v>
      </c>
      <c r="E4721" s="9">
        <v>45200</v>
      </c>
      <c r="F4721" s="9">
        <v>45230</v>
      </c>
      <c r="G4721">
        <v>1833625488.6899998</v>
      </c>
      <c r="H4721">
        <v>928082301.17999995</v>
      </c>
      <c r="I4721">
        <v>1214837698.2</v>
      </c>
      <c r="J4721">
        <v>615320735.85000002</v>
      </c>
      <c r="K4721">
        <v>0</v>
      </c>
      <c r="L4721">
        <v>10495660.710000001</v>
      </c>
      <c r="M4721">
        <v>0</v>
      </c>
      <c r="N4721">
        <v>0</v>
      </c>
      <c r="O4721">
        <v>0</v>
      </c>
      <c r="Q4721">
        <v>368234410</v>
      </c>
      <c r="R4721">
        <v>0</v>
      </c>
      <c r="S4721">
        <v>0</v>
      </c>
      <c r="T4721" s="9">
        <v>45108</v>
      </c>
      <c r="U4721" s="9">
        <v>45473</v>
      </c>
      <c r="V4721">
        <f>SUM(POTABLE_NONPOTABLE_API[[#This Row],[RESIDENTIAL_SINGLEFAMILY_GAL]:[OTHER_GAL]])</f>
        <v>4602361884.6300001</v>
      </c>
      <c r="W4721">
        <f>SUM(POTABLE_NONPOTABLE_API[[#This Row],[NONPOTABLE_DEMAND_RESIDENTIAL_RECYCLED_WATER_GAL]:[NONPOTABLE_DEMAND_NONRESIDENTIAL_METERED_IRRIGATION_GAL]])</f>
        <v>368234410</v>
      </c>
      <c r="X4721" t="str">
        <f>IFERROR(INDEX(Crosswalk_API!$H$2:$H$527, MATCH(POTABLE_NONPOTABLE_API[[#This Row],[PWSID]], CW_PWSID_LIST, 0)), "")</f>
        <v>No</v>
      </c>
    </row>
    <row r="4722" spans="1:24" x14ac:dyDescent="0.25">
      <c r="A4722" t="s">
        <v>2133</v>
      </c>
      <c r="B4722" t="s">
        <v>2134</v>
      </c>
      <c r="C4722" t="s">
        <v>2135</v>
      </c>
      <c r="D4722" t="s">
        <v>2136</v>
      </c>
      <c r="E4722" s="9">
        <v>45231</v>
      </c>
      <c r="F4722" s="9">
        <v>45260</v>
      </c>
      <c r="G4722">
        <v>1167172213.9200001</v>
      </c>
      <c r="H4722">
        <v>1198906842.8099999</v>
      </c>
      <c r="I4722">
        <v>950096794.73999989</v>
      </c>
      <c r="J4722">
        <v>442926005.78999996</v>
      </c>
      <c r="K4722">
        <v>0</v>
      </c>
      <c r="L4722">
        <v>17807757.149999999</v>
      </c>
      <c r="M4722">
        <v>0</v>
      </c>
      <c r="N4722">
        <v>0</v>
      </c>
      <c r="O4722">
        <v>0</v>
      </c>
      <c r="P4722">
        <v>0</v>
      </c>
      <c r="Q4722">
        <v>311462630</v>
      </c>
      <c r="R4722">
        <v>0</v>
      </c>
      <c r="S4722">
        <v>0</v>
      </c>
      <c r="T4722" s="9">
        <v>45108</v>
      </c>
      <c r="U4722" s="9">
        <v>45473</v>
      </c>
      <c r="V4722">
        <f>SUM(POTABLE_NONPOTABLE_API[[#This Row],[RESIDENTIAL_SINGLEFAMILY_GAL]:[OTHER_GAL]])</f>
        <v>3776909614.4099998</v>
      </c>
      <c r="W4722">
        <f>SUM(POTABLE_NONPOTABLE_API[[#This Row],[NONPOTABLE_DEMAND_RESIDENTIAL_RECYCLED_WATER_GAL]:[NONPOTABLE_DEMAND_NONRESIDENTIAL_METERED_IRRIGATION_GAL]])</f>
        <v>311462630</v>
      </c>
      <c r="X4722" t="str">
        <f>IFERROR(INDEX(Crosswalk_API!$H$2:$H$527, MATCH(POTABLE_NONPOTABLE_API[[#This Row],[PWSID]], CW_PWSID_LIST, 0)), "")</f>
        <v>No</v>
      </c>
    </row>
    <row r="4723" spans="1:24" x14ac:dyDescent="0.25">
      <c r="A4723" t="s">
        <v>2133</v>
      </c>
      <c r="B4723" t="s">
        <v>2134</v>
      </c>
      <c r="C4723" t="s">
        <v>2135</v>
      </c>
      <c r="D4723" t="s">
        <v>2136</v>
      </c>
      <c r="E4723" s="9">
        <v>45261</v>
      </c>
      <c r="F4723" s="9">
        <v>45291</v>
      </c>
      <c r="G4723">
        <v>1500801277.29</v>
      </c>
      <c r="H4723">
        <v>860644178.21999991</v>
      </c>
      <c r="I4723">
        <v>1425269015.49</v>
      </c>
      <c r="J4723">
        <v>781827338.34000003</v>
      </c>
      <c r="K4723">
        <v>0</v>
      </c>
      <c r="L4723">
        <v>20922892.709999997</v>
      </c>
      <c r="M4723">
        <v>0</v>
      </c>
      <c r="N4723">
        <v>0</v>
      </c>
      <c r="O4723">
        <v>0</v>
      </c>
      <c r="P4723">
        <v>0</v>
      </c>
      <c r="Q4723">
        <v>310713060</v>
      </c>
      <c r="R4723">
        <v>0</v>
      </c>
      <c r="S4723">
        <v>0</v>
      </c>
      <c r="T4723" s="9">
        <v>45108</v>
      </c>
      <c r="U4723" s="9">
        <v>45473</v>
      </c>
      <c r="V4723">
        <f>SUM(POTABLE_NONPOTABLE_API[[#This Row],[RESIDENTIAL_SINGLEFAMILY_GAL]:[OTHER_GAL]])</f>
        <v>4589464702.0500002</v>
      </c>
      <c r="W4723">
        <f>SUM(POTABLE_NONPOTABLE_API[[#This Row],[NONPOTABLE_DEMAND_RESIDENTIAL_RECYCLED_WATER_GAL]:[NONPOTABLE_DEMAND_NONRESIDENTIAL_METERED_IRRIGATION_GAL]])</f>
        <v>310713060</v>
      </c>
      <c r="X4723" t="str">
        <f>IFERROR(INDEX(Crosswalk_API!$H$2:$H$527, MATCH(POTABLE_NONPOTABLE_API[[#This Row],[PWSID]], CW_PWSID_LIST, 0)), "")</f>
        <v>No</v>
      </c>
    </row>
    <row r="4724" spans="1:24" x14ac:dyDescent="0.25">
      <c r="A4724" t="s">
        <v>2133</v>
      </c>
      <c r="B4724" t="s">
        <v>2134</v>
      </c>
      <c r="C4724" t="s">
        <v>2135</v>
      </c>
      <c r="D4724" t="s">
        <v>2136</v>
      </c>
      <c r="E4724" s="9">
        <v>45292</v>
      </c>
      <c r="F4724" s="9">
        <v>45322</v>
      </c>
      <c r="G4724">
        <v>1230599111.0700002</v>
      </c>
      <c r="H4724">
        <v>1496633643</v>
      </c>
      <c r="I4724">
        <v>1113846697.77</v>
      </c>
      <c r="J4724">
        <v>479558175.21000004</v>
      </c>
      <c r="K4724">
        <v>0</v>
      </c>
      <c r="L4724">
        <v>7980090.9899999993</v>
      </c>
      <c r="M4724">
        <v>0</v>
      </c>
      <c r="N4724">
        <v>0</v>
      </c>
      <c r="O4724">
        <v>0</v>
      </c>
      <c r="P4724">
        <v>0</v>
      </c>
      <c r="Q4724">
        <v>198342740</v>
      </c>
      <c r="R4724">
        <v>0</v>
      </c>
      <c r="S4724">
        <v>0</v>
      </c>
      <c r="T4724" s="9">
        <v>45108</v>
      </c>
      <c r="U4724" s="9">
        <v>45473</v>
      </c>
      <c r="V4724">
        <f>SUM(POTABLE_NONPOTABLE_API[[#This Row],[RESIDENTIAL_SINGLEFAMILY_GAL]:[OTHER_GAL]])</f>
        <v>4328617718.04</v>
      </c>
      <c r="W4724">
        <f>SUM(POTABLE_NONPOTABLE_API[[#This Row],[NONPOTABLE_DEMAND_RESIDENTIAL_RECYCLED_WATER_GAL]:[NONPOTABLE_DEMAND_NONRESIDENTIAL_METERED_IRRIGATION_GAL]])</f>
        <v>198342740</v>
      </c>
      <c r="X4724" t="str">
        <f>IFERROR(INDEX(Crosswalk_API!$H$2:$H$527, MATCH(POTABLE_NONPOTABLE_API[[#This Row],[PWSID]], CW_PWSID_LIST, 0)), "")</f>
        <v>No</v>
      </c>
    </row>
    <row r="4725" spans="1:24" x14ac:dyDescent="0.25">
      <c r="A4725" t="s">
        <v>2133</v>
      </c>
      <c r="B4725" t="s">
        <v>2134</v>
      </c>
      <c r="C4725" t="s">
        <v>2135</v>
      </c>
      <c r="D4725" t="s">
        <v>2136</v>
      </c>
      <c r="E4725" s="9">
        <v>45323</v>
      </c>
      <c r="F4725" s="9">
        <v>45351</v>
      </c>
      <c r="G4725">
        <v>1298209935.0599999</v>
      </c>
      <c r="H4725">
        <v>789419666.63999999</v>
      </c>
      <c r="I4725">
        <v>855153588.87</v>
      </c>
      <c r="J4725">
        <v>164375536.94999999</v>
      </c>
      <c r="K4725">
        <v>0</v>
      </c>
      <c r="L4725">
        <v>19847584.41</v>
      </c>
      <c r="M4725">
        <v>0</v>
      </c>
      <c r="N4725">
        <v>0</v>
      </c>
      <c r="O4725">
        <v>0</v>
      </c>
      <c r="P4725">
        <v>0</v>
      </c>
      <c r="Q4725">
        <v>147610503</v>
      </c>
      <c r="R4725">
        <v>0</v>
      </c>
      <c r="S4725">
        <v>0</v>
      </c>
      <c r="T4725" s="9">
        <v>45108</v>
      </c>
      <c r="U4725" s="9">
        <v>45473</v>
      </c>
      <c r="V4725">
        <f>SUM(POTABLE_NONPOTABLE_API[[#This Row],[RESIDENTIAL_SINGLEFAMILY_GAL]:[OTHER_GAL]])</f>
        <v>3127006311.9299994</v>
      </c>
      <c r="W4725">
        <f>SUM(POTABLE_NONPOTABLE_API[[#This Row],[NONPOTABLE_DEMAND_RESIDENTIAL_RECYCLED_WATER_GAL]:[NONPOTABLE_DEMAND_NONRESIDENTIAL_METERED_IRRIGATION_GAL]])</f>
        <v>147610503</v>
      </c>
      <c r="X4725" t="str">
        <f>IFERROR(INDEX(Crosswalk_API!$H$2:$H$527, MATCH(POTABLE_NONPOTABLE_API[[#This Row],[PWSID]], CW_PWSID_LIST, 0)), "")</f>
        <v>No</v>
      </c>
    </row>
    <row r="4726" spans="1:24" x14ac:dyDescent="0.25">
      <c r="A4726" t="s">
        <v>2133</v>
      </c>
      <c r="B4726" t="s">
        <v>2134</v>
      </c>
      <c r="C4726" t="s">
        <v>2135</v>
      </c>
      <c r="D4726" t="s">
        <v>2136</v>
      </c>
      <c r="E4726" s="9">
        <v>45352</v>
      </c>
      <c r="F4726" s="9">
        <v>45382</v>
      </c>
      <c r="G4726">
        <v>970068202.53000009</v>
      </c>
      <c r="H4726">
        <v>1126391961.27</v>
      </c>
      <c r="I4726">
        <v>832344018.87</v>
      </c>
      <c r="J4726">
        <v>110812149.56999999</v>
      </c>
      <c r="K4726">
        <v>0</v>
      </c>
      <c r="L4726">
        <v>22809.570000000003</v>
      </c>
      <c r="M4726">
        <v>0</v>
      </c>
      <c r="N4726">
        <v>0</v>
      </c>
      <c r="O4726">
        <v>0</v>
      </c>
      <c r="P4726">
        <v>0</v>
      </c>
      <c r="Q4726">
        <v>91154230</v>
      </c>
      <c r="R4726">
        <v>0</v>
      </c>
      <c r="S4726">
        <v>0</v>
      </c>
      <c r="T4726" s="9">
        <v>45108</v>
      </c>
      <c r="U4726" s="9">
        <v>45473</v>
      </c>
      <c r="V4726">
        <f>SUM(POTABLE_NONPOTABLE_API[[#This Row],[RESIDENTIAL_SINGLEFAMILY_GAL]:[OTHER_GAL]])</f>
        <v>3039639141.8100004</v>
      </c>
      <c r="W4726">
        <f>SUM(POTABLE_NONPOTABLE_API[[#This Row],[NONPOTABLE_DEMAND_RESIDENTIAL_RECYCLED_WATER_GAL]:[NONPOTABLE_DEMAND_NONRESIDENTIAL_METERED_IRRIGATION_GAL]])</f>
        <v>91154230</v>
      </c>
      <c r="X4726" t="str">
        <f>IFERROR(INDEX(Crosswalk_API!$H$2:$H$527, MATCH(POTABLE_NONPOTABLE_API[[#This Row],[PWSID]], CW_PWSID_LIST, 0)), "")</f>
        <v>No</v>
      </c>
    </row>
    <row r="4727" spans="1:24" x14ac:dyDescent="0.25">
      <c r="A4727" t="s">
        <v>2133</v>
      </c>
      <c r="B4727" t="s">
        <v>2134</v>
      </c>
      <c r="C4727" t="s">
        <v>2135</v>
      </c>
      <c r="D4727" t="s">
        <v>2136</v>
      </c>
      <c r="E4727" s="9">
        <v>45383</v>
      </c>
      <c r="F4727" s="9">
        <v>45412</v>
      </c>
      <c r="G4727">
        <v>1208760577.05</v>
      </c>
      <c r="H4727">
        <v>905924433.17999995</v>
      </c>
      <c r="I4727">
        <v>1253659586.3400002</v>
      </c>
      <c r="J4727">
        <v>295224264.50999999</v>
      </c>
      <c r="K4727">
        <v>0</v>
      </c>
      <c r="L4727">
        <v>20952219.300000001</v>
      </c>
      <c r="M4727">
        <v>0</v>
      </c>
      <c r="N4727">
        <v>0</v>
      </c>
      <c r="O4727">
        <v>0</v>
      </c>
      <c r="P4727">
        <v>0</v>
      </c>
      <c r="Q4727">
        <v>185925950</v>
      </c>
      <c r="R4727">
        <v>0</v>
      </c>
      <c r="S4727">
        <v>0</v>
      </c>
      <c r="T4727" s="9">
        <v>45108</v>
      </c>
      <c r="U4727" s="9">
        <v>45473</v>
      </c>
      <c r="V4727">
        <f>SUM(POTABLE_NONPOTABLE_API[[#This Row],[RESIDENTIAL_SINGLEFAMILY_GAL]:[OTHER_GAL]])</f>
        <v>3684521080.3800001</v>
      </c>
      <c r="W4727">
        <f>SUM(POTABLE_NONPOTABLE_API[[#This Row],[NONPOTABLE_DEMAND_RESIDENTIAL_RECYCLED_WATER_GAL]:[NONPOTABLE_DEMAND_NONRESIDENTIAL_METERED_IRRIGATION_GAL]])</f>
        <v>185925950</v>
      </c>
      <c r="X4727" t="str">
        <f>IFERROR(INDEX(Crosswalk_API!$H$2:$H$527, MATCH(POTABLE_NONPOTABLE_API[[#This Row],[PWSID]], CW_PWSID_LIST, 0)), "")</f>
        <v>No</v>
      </c>
    </row>
    <row r="4728" spans="1:24" x14ac:dyDescent="0.25">
      <c r="A4728" t="s">
        <v>2133</v>
      </c>
      <c r="B4728" t="s">
        <v>2134</v>
      </c>
      <c r="C4728" t="s">
        <v>2135</v>
      </c>
      <c r="D4728" t="s">
        <v>2136</v>
      </c>
      <c r="E4728" s="9">
        <v>45413</v>
      </c>
      <c r="F4728" s="9">
        <v>45443</v>
      </c>
      <c r="G4728">
        <v>1082428144.3499999</v>
      </c>
      <c r="H4728">
        <v>1345758112.9799998</v>
      </c>
      <c r="I4728">
        <v>1297284518.22</v>
      </c>
      <c r="J4728">
        <v>346702205.49000001</v>
      </c>
      <c r="K4728">
        <v>0</v>
      </c>
      <c r="L4728">
        <v>10182843.75</v>
      </c>
      <c r="M4728">
        <v>0</v>
      </c>
      <c r="N4728">
        <v>0</v>
      </c>
      <c r="O4728">
        <v>0</v>
      </c>
      <c r="P4728">
        <v>0</v>
      </c>
      <c r="Q4728">
        <v>117632211</v>
      </c>
      <c r="R4728">
        <v>0</v>
      </c>
      <c r="S4728">
        <v>0</v>
      </c>
      <c r="T4728" s="9">
        <v>45108</v>
      </c>
      <c r="U4728" s="9">
        <v>45473</v>
      </c>
      <c r="V4728">
        <f>SUM(POTABLE_NONPOTABLE_API[[#This Row],[RESIDENTIAL_SINGLEFAMILY_GAL]:[OTHER_GAL]])</f>
        <v>4082355824.79</v>
      </c>
      <c r="W4728">
        <f>SUM(POTABLE_NONPOTABLE_API[[#This Row],[NONPOTABLE_DEMAND_RESIDENTIAL_RECYCLED_WATER_GAL]:[NONPOTABLE_DEMAND_NONRESIDENTIAL_METERED_IRRIGATION_GAL]])</f>
        <v>117632211</v>
      </c>
      <c r="X4728" t="str">
        <f>IFERROR(INDEX(Crosswalk_API!$H$2:$H$527, MATCH(POTABLE_NONPOTABLE_API[[#This Row],[PWSID]], CW_PWSID_LIST, 0)), "")</f>
        <v>No</v>
      </c>
    </row>
    <row r="4729" spans="1:24" x14ac:dyDescent="0.25">
      <c r="A4729" t="s">
        <v>2133</v>
      </c>
      <c r="B4729" t="s">
        <v>2134</v>
      </c>
      <c r="C4729" t="s">
        <v>2135</v>
      </c>
      <c r="D4729" t="s">
        <v>2136</v>
      </c>
      <c r="E4729" s="9">
        <v>45444</v>
      </c>
      <c r="F4729" s="9">
        <v>45473</v>
      </c>
      <c r="G4729">
        <v>1504861380.75</v>
      </c>
      <c r="H4729">
        <v>803877675.51000011</v>
      </c>
      <c r="I4729">
        <v>967803538.07999992</v>
      </c>
      <c r="J4729">
        <v>587264964.75</v>
      </c>
      <c r="K4729">
        <v>0</v>
      </c>
      <c r="L4729">
        <v>16781326.5</v>
      </c>
      <c r="M4729">
        <v>0</v>
      </c>
      <c r="N4729">
        <v>0</v>
      </c>
      <c r="O4729">
        <v>0</v>
      </c>
      <c r="P4729">
        <v>0</v>
      </c>
      <c r="Q4729">
        <v>260941480.79999998</v>
      </c>
      <c r="R4729">
        <v>0</v>
      </c>
      <c r="S4729">
        <v>0</v>
      </c>
      <c r="T4729" s="9">
        <v>45108</v>
      </c>
      <c r="U4729" s="9">
        <v>45473</v>
      </c>
      <c r="V4729">
        <f>SUM(POTABLE_NONPOTABLE_API[[#This Row],[RESIDENTIAL_SINGLEFAMILY_GAL]:[OTHER_GAL]])</f>
        <v>3880588885.5900002</v>
      </c>
      <c r="W4729">
        <f>SUM(POTABLE_NONPOTABLE_API[[#This Row],[NONPOTABLE_DEMAND_RESIDENTIAL_RECYCLED_WATER_GAL]:[NONPOTABLE_DEMAND_NONRESIDENTIAL_METERED_IRRIGATION_GAL]])</f>
        <v>260941480.79999998</v>
      </c>
      <c r="X4729" t="str">
        <f>IFERROR(INDEX(Crosswalk_API!$H$2:$H$527, MATCH(POTABLE_NONPOTABLE_API[[#This Row],[PWSID]], CW_PWSID_LIST, 0)), "")</f>
        <v>No</v>
      </c>
    </row>
    <row r="4730" spans="1:24" x14ac:dyDescent="0.25">
      <c r="A4730" t="s">
        <v>2137</v>
      </c>
      <c r="B4730" t="s">
        <v>2138</v>
      </c>
      <c r="C4730" t="s">
        <v>2139</v>
      </c>
      <c r="D4730" t="s">
        <v>2140</v>
      </c>
      <c r="E4730" s="9">
        <v>45108</v>
      </c>
      <c r="F4730" s="9">
        <v>45138</v>
      </c>
      <c r="G4730">
        <v>83020318</v>
      </c>
      <c r="H4730">
        <v>28951861</v>
      </c>
      <c r="I4730">
        <v>14181036</v>
      </c>
      <c r="J4730">
        <v>11988058</v>
      </c>
      <c r="K4730">
        <v>0</v>
      </c>
      <c r="L4730">
        <v>26068</v>
      </c>
      <c r="M4730">
        <v>6243305</v>
      </c>
      <c r="N4730">
        <v>0</v>
      </c>
      <c r="O4730">
        <v>0</v>
      </c>
      <c r="P4730">
        <v>0</v>
      </c>
      <c r="Q4730">
        <v>902608</v>
      </c>
      <c r="R4730">
        <v>0</v>
      </c>
      <c r="S4730">
        <v>29981551</v>
      </c>
      <c r="T4730" s="9">
        <v>45108</v>
      </c>
      <c r="U4730" s="9">
        <v>45473</v>
      </c>
      <c r="V4730">
        <f>SUM(POTABLE_NONPOTABLE_API[[#This Row],[RESIDENTIAL_SINGLEFAMILY_GAL]:[OTHER_GAL]])</f>
        <v>138167341</v>
      </c>
      <c r="W4730">
        <f>SUM(POTABLE_NONPOTABLE_API[[#This Row],[NONPOTABLE_DEMAND_RESIDENTIAL_RECYCLED_WATER_GAL]:[NONPOTABLE_DEMAND_NONRESIDENTIAL_METERED_IRRIGATION_GAL]])</f>
        <v>30884159</v>
      </c>
      <c r="X4730" t="str">
        <f>IFERROR(INDEX(Crosswalk_API!$H$2:$H$527, MATCH(POTABLE_NONPOTABLE_API[[#This Row],[PWSID]], CW_PWSID_LIST, 0)), "")</f>
        <v>No</v>
      </c>
    </row>
    <row r="4731" spans="1:24" x14ac:dyDescent="0.25">
      <c r="A4731" t="s">
        <v>2137</v>
      </c>
      <c r="B4731" t="s">
        <v>2138</v>
      </c>
      <c r="C4731" t="s">
        <v>2139</v>
      </c>
      <c r="D4731" t="s">
        <v>2140</v>
      </c>
      <c r="E4731" s="9">
        <v>45139</v>
      </c>
      <c r="F4731" s="9">
        <v>45169</v>
      </c>
      <c r="G4731">
        <v>102838576</v>
      </c>
      <c r="H4731">
        <v>30910226</v>
      </c>
      <c r="I4731">
        <v>27668008</v>
      </c>
      <c r="J4731">
        <v>13695518</v>
      </c>
      <c r="K4731">
        <v>0</v>
      </c>
      <c r="L4731">
        <v>39102</v>
      </c>
      <c r="M4731">
        <v>2486243</v>
      </c>
      <c r="N4731">
        <v>0</v>
      </c>
      <c r="O4731">
        <v>0</v>
      </c>
      <c r="P4731">
        <v>0</v>
      </c>
      <c r="Q4731">
        <v>1045982</v>
      </c>
      <c r="R4731">
        <v>0</v>
      </c>
      <c r="S4731">
        <v>26700231</v>
      </c>
      <c r="T4731" s="9">
        <v>45108</v>
      </c>
      <c r="U4731" s="9">
        <v>45473</v>
      </c>
      <c r="V4731">
        <f>SUM(POTABLE_NONPOTABLE_API[[#This Row],[RESIDENTIAL_SINGLEFAMILY_GAL]:[OTHER_GAL]])</f>
        <v>175151430</v>
      </c>
      <c r="W4731">
        <f>SUM(POTABLE_NONPOTABLE_API[[#This Row],[NONPOTABLE_DEMAND_RESIDENTIAL_RECYCLED_WATER_GAL]:[NONPOTABLE_DEMAND_NONRESIDENTIAL_METERED_IRRIGATION_GAL]])</f>
        <v>27746213</v>
      </c>
      <c r="X4731" t="str">
        <f>IFERROR(INDEX(Crosswalk_API!$H$2:$H$527, MATCH(POTABLE_NONPOTABLE_API[[#This Row],[PWSID]], CW_PWSID_LIST, 0)), "")</f>
        <v>No</v>
      </c>
    </row>
    <row r="4732" spans="1:24" x14ac:dyDescent="0.25">
      <c r="A4732" t="s">
        <v>2137</v>
      </c>
      <c r="B4732" t="s">
        <v>2138</v>
      </c>
      <c r="C4732" t="s">
        <v>2139</v>
      </c>
      <c r="D4732" t="s">
        <v>2140</v>
      </c>
      <c r="E4732" s="9">
        <v>45170</v>
      </c>
      <c r="F4732" s="9">
        <v>45199</v>
      </c>
      <c r="G4732">
        <v>77845804</v>
      </c>
      <c r="H4732">
        <v>26814279</v>
      </c>
      <c r="I4732">
        <v>13783497</v>
      </c>
      <c r="J4732">
        <v>12457284</v>
      </c>
      <c r="K4732">
        <v>0</v>
      </c>
      <c r="L4732">
        <v>19551</v>
      </c>
      <c r="M4732">
        <v>4858438</v>
      </c>
      <c r="N4732">
        <v>0</v>
      </c>
      <c r="O4732">
        <v>0</v>
      </c>
      <c r="Q4732">
        <v>752716</v>
      </c>
      <c r="R4732">
        <v>0</v>
      </c>
      <c r="S4732">
        <v>23321156</v>
      </c>
      <c r="T4732" s="9">
        <v>45108</v>
      </c>
      <c r="U4732" s="9">
        <v>45473</v>
      </c>
      <c r="V4732">
        <f>SUM(POTABLE_NONPOTABLE_API[[#This Row],[RESIDENTIAL_SINGLEFAMILY_GAL]:[OTHER_GAL]])</f>
        <v>130920415</v>
      </c>
      <c r="W4732">
        <f>SUM(POTABLE_NONPOTABLE_API[[#This Row],[NONPOTABLE_DEMAND_RESIDENTIAL_RECYCLED_WATER_GAL]:[NONPOTABLE_DEMAND_NONRESIDENTIAL_METERED_IRRIGATION_GAL]])</f>
        <v>24073872</v>
      </c>
      <c r="X4732" t="str">
        <f>IFERROR(INDEX(Crosswalk_API!$H$2:$H$527, MATCH(POTABLE_NONPOTABLE_API[[#This Row],[PWSID]], CW_PWSID_LIST, 0)), "")</f>
        <v>No</v>
      </c>
    </row>
    <row r="4733" spans="1:24" x14ac:dyDescent="0.25">
      <c r="A4733" t="s">
        <v>2137</v>
      </c>
      <c r="B4733" t="s">
        <v>2138</v>
      </c>
      <c r="C4733" t="s">
        <v>2139</v>
      </c>
      <c r="D4733" t="s">
        <v>2140</v>
      </c>
      <c r="E4733" s="9">
        <v>45200</v>
      </c>
      <c r="F4733" s="9">
        <v>45230</v>
      </c>
      <c r="G4733">
        <v>94519600</v>
      </c>
      <c r="H4733">
        <v>30695164</v>
      </c>
      <c r="I4733">
        <v>25748746</v>
      </c>
      <c r="J4733">
        <v>11284220</v>
      </c>
      <c r="K4733">
        <v>0</v>
      </c>
      <c r="L4733">
        <v>45619</v>
      </c>
      <c r="M4733">
        <v>2111514</v>
      </c>
      <c r="N4733">
        <v>0</v>
      </c>
      <c r="O4733">
        <v>0</v>
      </c>
      <c r="P4733">
        <v>0</v>
      </c>
      <c r="Q4733">
        <v>856988</v>
      </c>
      <c r="R4733">
        <v>0</v>
      </c>
      <c r="S4733">
        <v>22864965</v>
      </c>
      <c r="T4733" s="9">
        <v>45108</v>
      </c>
      <c r="U4733" s="9">
        <v>45473</v>
      </c>
      <c r="V4733">
        <f>SUM(POTABLE_NONPOTABLE_API[[#This Row],[RESIDENTIAL_SINGLEFAMILY_GAL]:[OTHER_GAL]])</f>
        <v>162293349</v>
      </c>
      <c r="W4733">
        <f>SUM(POTABLE_NONPOTABLE_API[[#This Row],[NONPOTABLE_DEMAND_RESIDENTIAL_RECYCLED_WATER_GAL]:[NONPOTABLE_DEMAND_NONRESIDENTIAL_METERED_IRRIGATION_GAL]])</f>
        <v>23721953</v>
      </c>
      <c r="X4733" t="str">
        <f>IFERROR(INDEX(Crosswalk_API!$H$2:$H$527, MATCH(POTABLE_NONPOTABLE_API[[#This Row],[PWSID]], CW_PWSID_LIST, 0)), "")</f>
        <v>No</v>
      </c>
    </row>
    <row r="4734" spans="1:24" x14ac:dyDescent="0.25">
      <c r="A4734" t="s">
        <v>2137</v>
      </c>
      <c r="B4734" t="s">
        <v>2138</v>
      </c>
      <c r="C4734" t="s">
        <v>2139</v>
      </c>
      <c r="D4734" t="s">
        <v>2140</v>
      </c>
      <c r="E4734" s="9">
        <v>45231</v>
      </c>
      <c r="F4734" s="9">
        <v>45260</v>
      </c>
      <c r="G4734">
        <v>80107210</v>
      </c>
      <c r="H4734">
        <v>28902984</v>
      </c>
      <c r="I4734">
        <v>13519558</v>
      </c>
      <c r="J4734">
        <v>10857355</v>
      </c>
      <c r="K4734">
        <v>0</v>
      </c>
      <c r="L4734">
        <v>13034</v>
      </c>
      <c r="M4734">
        <v>5181031</v>
      </c>
      <c r="N4734">
        <v>0</v>
      </c>
      <c r="O4734">
        <v>0</v>
      </c>
      <c r="P4734">
        <v>0</v>
      </c>
      <c r="Q4734">
        <v>224837</v>
      </c>
      <c r="R4734">
        <v>0</v>
      </c>
      <c r="S4734">
        <v>13317530</v>
      </c>
      <c r="T4734" s="9">
        <v>45108</v>
      </c>
      <c r="U4734" s="9">
        <v>45473</v>
      </c>
      <c r="V4734">
        <f>SUM(POTABLE_NONPOTABLE_API[[#This Row],[RESIDENTIAL_SINGLEFAMILY_GAL]:[OTHER_GAL]])</f>
        <v>133400141</v>
      </c>
      <c r="W4734">
        <f>SUM(POTABLE_NONPOTABLE_API[[#This Row],[NONPOTABLE_DEMAND_RESIDENTIAL_RECYCLED_WATER_GAL]:[NONPOTABLE_DEMAND_NONRESIDENTIAL_METERED_IRRIGATION_GAL]])</f>
        <v>13542367</v>
      </c>
      <c r="X4734" t="str">
        <f>IFERROR(INDEX(Crosswalk_API!$H$2:$H$527, MATCH(POTABLE_NONPOTABLE_API[[#This Row],[PWSID]], CW_PWSID_LIST, 0)), "")</f>
        <v>No</v>
      </c>
    </row>
    <row r="4735" spans="1:24" x14ac:dyDescent="0.25">
      <c r="A4735" t="s">
        <v>2137</v>
      </c>
      <c r="B4735" t="s">
        <v>2138</v>
      </c>
      <c r="C4735" t="s">
        <v>2139</v>
      </c>
      <c r="D4735" t="s">
        <v>2140</v>
      </c>
      <c r="E4735" s="9">
        <v>45261</v>
      </c>
      <c r="F4735" s="9">
        <v>45291</v>
      </c>
      <c r="G4735">
        <v>78132553</v>
      </c>
      <c r="H4735">
        <v>25918189</v>
      </c>
      <c r="I4735">
        <v>21300880</v>
      </c>
      <c r="J4735">
        <v>7836717</v>
      </c>
      <c r="K4735">
        <v>0</v>
      </c>
      <c r="L4735">
        <v>114048</v>
      </c>
      <c r="M4735">
        <v>1681391</v>
      </c>
      <c r="N4735">
        <v>0</v>
      </c>
      <c r="O4735">
        <v>0</v>
      </c>
      <c r="Q4735">
        <v>404055</v>
      </c>
      <c r="R4735">
        <v>0</v>
      </c>
      <c r="S4735">
        <v>9847217</v>
      </c>
      <c r="T4735" s="9">
        <v>45108</v>
      </c>
      <c r="U4735" s="9">
        <v>45473</v>
      </c>
      <c r="V4735">
        <f>SUM(POTABLE_NONPOTABLE_API[[#This Row],[RESIDENTIAL_SINGLEFAMILY_GAL]:[OTHER_GAL]])</f>
        <v>133302387</v>
      </c>
      <c r="W4735">
        <f>SUM(POTABLE_NONPOTABLE_API[[#This Row],[NONPOTABLE_DEMAND_RESIDENTIAL_RECYCLED_WATER_GAL]:[NONPOTABLE_DEMAND_NONRESIDENTIAL_METERED_IRRIGATION_GAL]])</f>
        <v>10251272</v>
      </c>
      <c r="X4735" t="str">
        <f>IFERROR(INDEX(Crosswalk_API!$H$2:$H$527, MATCH(POTABLE_NONPOTABLE_API[[#This Row],[PWSID]], CW_PWSID_LIST, 0)), "")</f>
        <v>No</v>
      </c>
    </row>
    <row r="4736" spans="1:24" x14ac:dyDescent="0.25">
      <c r="A4736" t="s">
        <v>2137</v>
      </c>
      <c r="B4736" t="s">
        <v>2138</v>
      </c>
      <c r="C4736" t="s">
        <v>2139</v>
      </c>
      <c r="D4736" t="s">
        <v>2140</v>
      </c>
      <c r="E4736" s="9">
        <v>45292</v>
      </c>
      <c r="F4736" s="9">
        <v>45322</v>
      </c>
      <c r="G4736">
        <v>62586201.600000001</v>
      </c>
      <c r="H4736">
        <v>24679954.699999999</v>
      </c>
      <c r="I4736">
        <v>11222308.4</v>
      </c>
      <c r="J4736">
        <v>6285665.7999999998</v>
      </c>
      <c r="K4736">
        <v>0</v>
      </c>
      <c r="L4736">
        <v>71687.199999999997</v>
      </c>
      <c r="M4736">
        <v>3991674.8</v>
      </c>
      <c r="N4736">
        <v>0</v>
      </c>
      <c r="O4736">
        <v>0</v>
      </c>
      <c r="P4736">
        <v>0</v>
      </c>
      <c r="Q4736">
        <v>589790.30000000005</v>
      </c>
      <c r="R4736">
        <v>0</v>
      </c>
      <c r="S4736">
        <v>6565897.7000000002</v>
      </c>
      <c r="T4736" s="9">
        <v>45108</v>
      </c>
      <c r="U4736" s="9">
        <v>45473</v>
      </c>
      <c r="V4736">
        <f>SUM(POTABLE_NONPOTABLE_API[[#This Row],[RESIDENTIAL_SINGLEFAMILY_GAL]:[OTHER_GAL]])</f>
        <v>104845817.7</v>
      </c>
      <c r="W4736">
        <f>SUM(POTABLE_NONPOTABLE_API[[#This Row],[NONPOTABLE_DEMAND_RESIDENTIAL_RECYCLED_WATER_GAL]:[NONPOTABLE_DEMAND_NONRESIDENTIAL_METERED_IRRIGATION_GAL]])</f>
        <v>7155688</v>
      </c>
      <c r="X4736" t="str">
        <f>IFERROR(INDEX(Crosswalk_API!$H$2:$H$527, MATCH(POTABLE_NONPOTABLE_API[[#This Row],[PWSID]], CW_PWSID_LIST, 0)), "")</f>
        <v>No</v>
      </c>
    </row>
    <row r="4737" spans="1:24" x14ac:dyDescent="0.25">
      <c r="A4737" t="s">
        <v>2137</v>
      </c>
      <c r="B4737" t="s">
        <v>2138</v>
      </c>
      <c r="C4737" t="s">
        <v>2139</v>
      </c>
      <c r="D4737" t="s">
        <v>2140</v>
      </c>
      <c r="E4737" s="9">
        <v>45323</v>
      </c>
      <c r="F4737" s="9">
        <v>45351</v>
      </c>
      <c r="G4737">
        <v>69002207</v>
      </c>
      <c r="H4737">
        <v>27231368</v>
      </c>
      <c r="I4737">
        <v>21154246</v>
      </c>
      <c r="J4737">
        <v>3972123</v>
      </c>
      <c r="K4737">
        <v>0</v>
      </c>
      <c r="L4737">
        <v>35843</v>
      </c>
      <c r="M4737">
        <v>987328</v>
      </c>
      <c r="N4737">
        <v>0</v>
      </c>
      <c r="O4737">
        <v>0</v>
      </c>
      <c r="P4737">
        <v>0</v>
      </c>
      <c r="Q4737">
        <v>143374</v>
      </c>
      <c r="R4737">
        <v>0</v>
      </c>
      <c r="S4737">
        <v>619116</v>
      </c>
      <c r="T4737" s="9">
        <v>45108</v>
      </c>
      <c r="U4737" s="9">
        <v>45473</v>
      </c>
      <c r="V4737">
        <f>SUM(POTABLE_NONPOTABLE_API[[#This Row],[RESIDENTIAL_SINGLEFAMILY_GAL]:[OTHER_GAL]])</f>
        <v>121395787</v>
      </c>
      <c r="W4737">
        <f>SUM(POTABLE_NONPOTABLE_API[[#This Row],[NONPOTABLE_DEMAND_RESIDENTIAL_RECYCLED_WATER_GAL]:[NONPOTABLE_DEMAND_NONRESIDENTIAL_METERED_IRRIGATION_GAL]])</f>
        <v>762490</v>
      </c>
      <c r="X4737" t="str">
        <f>IFERROR(INDEX(Crosswalk_API!$H$2:$H$527, MATCH(POTABLE_NONPOTABLE_API[[#This Row],[PWSID]], CW_PWSID_LIST, 0)), "")</f>
        <v>No</v>
      </c>
    </row>
    <row r="4738" spans="1:24" x14ac:dyDescent="0.25">
      <c r="A4738" t="s">
        <v>2137</v>
      </c>
      <c r="B4738" t="s">
        <v>2138</v>
      </c>
      <c r="C4738" t="s">
        <v>2139</v>
      </c>
      <c r="D4738" t="s">
        <v>2140</v>
      </c>
      <c r="E4738" s="9">
        <v>45352</v>
      </c>
      <c r="F4738" s="9">
        <v>45382</v>
      </c>
      <c r="G4738">
        <v>40183945</v>
      </c>
      <c r="H4738">
        <v>21095593</v>
      </c>
      <c r="I4738">
        <v>9433386</v>
      </c>
      <c r="J4738">
        <v>1694425</v>
      </c>
      <c r="K4738">
        <v>0</v>
      </c>
      <c r="L4738">
        <v>130340</v>
      </c>
      <c r="M4738">
        <v>3274802</v>
      </c>
      <c r="N4738">
        <v>0</v>
      </c>
      <c r="O4738">
        <v>0</v>
      </c>
      <c r="P4738">
        <v>0</v>
      </c>
      <c r="Q4738">
        <v>97755</v>
      </c>
      <c r="R4738">
        <v>0</v>
      </c>
      <c r="S4738">
        <v>7103551</v>
      </c>
      <c r="T4738" s="9">
        <v>45108</v>
      </c>
      <c r="U4738" s="9">
        <v>45473</v>
      </c>
      <c r="V4738">
        <f>SUM(POTABLE_NONPOTABLE_API[[#This Row],[RESIDENTIAL_SINGLEFAMILY_GAL]:[OTHER_GAL]])</f>
        <v>72537689</v>
      </c>
      <c r="W4738">
        <f>SUM(POTABLE_NONPOTABLE_API[[#This Row],[NONPOTABLE_DEMAND_RESIDENTIAL_RECYCLED_WATER_GAL]:[NONPOTABLE_DEMAND_NONRESIDENTIAL_METERED_IRRIGATION_GAL]])</f>
        <v>7201306</v>
      </c>
      <c r="X4738" t="str">
        <f>IFERROR(INDEX(Crosswalk_API!$H$2:$H$527, MATCH(POTABLE_NONPOTABLE_API[[#This Row],[PWSID]], CW_PWSID_LIST, 0)), "")</f>
        <v>No</v>
      </c>
    </row>
    <row r="4739" spans="1:24" x14ac:dyDescent="0.25">
      <c r="A4739" t="s">
        <v>2137</v>
      </c>
      <c r="B4739" t="s">
        <v>2138</v>
      </c>
      <c r="C4739" t="s">
        <v>2139</v>
      </c>
      <c r="D4739" t="s">
        <v>2140</v>
      </c>
      <c r="E4739" s="9">
        <v>45383</v>
      </c>
      <c r="F4739" s="9">
        <v>45412</v>
      </c>
      <c r="G4739">
        <v>59282072</v>
      </c>
      <c r="H4739">
        <v>25895378</v>
      </c>
      <c r="I4739">
        <v>20584007</v>
      </c>
      <c r="J4739">
        <v>2101738</v>
      </c>
      <c r="K4739">
        <v>0</v>
      </c>
      <c r="L4739">
        <v>35843</v>
      </c>
      <c r="M4739">
        <v>984070</v>
      </c>
      <c r="N4739">
        <v>0</v>
      </c>
      <c r="O4739">
        <v>0</v>
      </c>
      <c r="P4739">
        <v>0</v>
      </c>
      <c r="Q4739">
        <v>267197</v>
      </c>
      <c r="R4739">
        <v>0</v>
      </c>
      <c r="S4739">
        <v>18681037</v>
      </c>
      <c r="T4739" s="9">
        <v>45108</v>
      </c>
      <c r="U4739" s="9">
        <v>45473</v>
      </c>
      <c r="V4739">
        <f>SUM(POTABLE_NONPOTABLE_API[[#This Row],[RESIDENTIAL_SINGLEFAMILY_GAL]:[OTHER_GAL]])</f>
        <v>107899038</v>
      </c>
      <c r="W4739">
        <f>SUM(POTABLE_NONPOTABLE_API[[#This Row],[NONPOTABLE_DEMAND_RESIDENTIAL_RECYCLED_WATER_GAL]:[NONPOTABLE_DEMAND_NONRESIDENTIAL_METERED_IRRIGATION_GAL]])</f>
        <v>18948234</v>
      </c>
      <c r="X4739" t="str">
        <f>IFERROR(INDEX(Crosswalk_API!$H$2:$H$527, MATCH(POTABLE_NONPOTABLE_API[[#This Row],[PWSID]], CW_PWSID_LIST, 0)), "")</f>
        <v>No</v>
      </c>
    </row>
    <row r="4740" spans="1:24" x14ac:dyDescent="0.25">
      <c r="A4740" t="s">
        <v>2137</v>
      </c>
      <c r="B4740" t="s">
        <v>2138</v>
      </c>
      <c r="C4740" t="s">
        <v>2139</v>
      </c>
      <c r="D4740" t="s">
        <v>2140</v>
      </c>
      <c r="E4740" s="9">
        <v>45413</v>
      </c>
      <c r="F4740" s="9">
        <v>45443</v>
      </c>
      <c r="G4740">
        <v>59044201</v>
      </c>
      <c r="H4740">
        <v>25445704</v>
      </c>
      <c r="I4740">
        <v>12258514</v>
      </c>
      <c r="J4740">
        <v>4904057</v>
      </c>
      <c r="K4740">
        <v>0</v>
      </c>
      <c r="L4740">
        <v>97755</v>
      </c>
      <c r="M4740">
        <v>5480813</v>
      </c>
      <c r="N4740">
        <v>0</v>
      </c>
      <c r="O4740">
        <v>0</v>
      </c>
      <c r="P4740">
        <v>0</v>
      </c>
      <c r="Q4740">
        <v>244388</v>
      </c>
      <c r="R4740">
        <v>0</v>
      </c>
      <c r="S4740">
        <v>23878361</v>
      </c>
      <c r="T4740" s="9">
        <v>45108</v>
      </c>
      <c r="U4740" s="9">
        <v>45473</v>
      </c>
      <c r="V4740">
        <f>SUM(POTABLE_NONPOTABLE_API[[#This Row],[RESIDENTIAL_SINGLEFAMILY_GAL]:[OTHER_GAL]])</f>
        <v>101750231</v>
      </c>
      <c r="W4740">
        <f>SUM(POTABLE_NONPOTABLE_API[[#This Row],[NONPOTABLE_DEMAND_RESIDENTIAL_RECYCLED_WATER_GAL]:[NONPOTABLE_DEMAND_NONRESIDENTIAL_METERED_IRRIGATION_GAL]])</f>
        <v>24122749</v>
      </c>
      <c r="X4740" t="str">
        <f>IFERROR(INDEX(Crosswalk_API!$H$2:$H$527, MATCH(POTABLE_NONPOTABLE_API[[#This Row],[PWSID]], CW_PWSID_LIST, 0)), "")</f>
        <v>No</v>
      </c>
    </row>
    <row r="4741" spans="1:24" x14ac:dyDescent="0.25">
      <c r="A4741" t="s">
        <v>2137</v>
      </c>
      <c r="B4741" t="s">
        <v>2138</v>
      </c>
      <c r="C4741" t="s">
        <v>2139</v>
      </c>
      <c r="D4741" t="s">
        <v>2140</v>
      </c>
      <c r="E4741" s="9">
        <v>45444</v>
      </c>
      <c r="F4741" s="9">
        <v>45473</v>
      </c>
      <c r="G4741">
        <v>89361378</v>
      </c>
      <c r="H4741">
        <v>29978292</v>
      </c>
      <c r="I4741">
        <v>24060837</v>
      </c>
      <c r="J4741">
        <v>10720497</v>
      </c>
      <c r="K4741">
        <v>0</v>
      </c>
      <c r="L4741">
        <v>78204</v>
      </c>
      <c r="M4741">
        <v>1896452</v>
      </c>
      <c r="N4741">
        <v>0</v>
      </c>
      <c r="O4741">
        <v>0</v>
      </c>
      <c r="P4741">
        <v>0</v>
      </c>
      <c r="Q4741">
        <v>638667</v>
      </c>
      <c r="R4741">
        <v>0</v>
      </c>
      <c r="S4741">
        <v>24337811</v>
      </c>
      <c r="T4741" s="9">
        <v>45108</v>
      </c>
      <c r="U4741" s="9">
        <v>45473</v>
      </c>
      <c r="V4741">
        <f>SUM(POTABLE_NONPOTABLE_API[[#This Row],[RESIDENTIAL_SINGLEFAMILY_GAL]:[OTHER_GAL]])</f>
        <v>154199208</v>
      </c>
      <c r="W4741">
        <f>SUM(POTABLE_NONPOTABLE_API[[#This Row],[NONPOTABLE_DEMAND_RESIDENTIAL_RECYCLED_WATER_GAL]:[NONPOTABLE_DEMAND_NONRESIDENTIAL_METERED_IRRIGATION_GAL]])</f>
        <v>24976478</v>
      </c>
      <c r="X4741" t="str">
        <f>IFERROR(INDEX(Crosswalk_API!$H$2:$H$527, MATCH(POTABLE_NONPOTABLE_API[[#This Row],[PWSID]], CW_PWSID_LIST, 0)), "")</f>
        <v>No</v>
      </c>
    </row>
    <row r="4742" spans="1:24" x14ac:dyDescent="0.25">
      <c r="A4742" t="s">
        <v>2141</v>
      </c>
      <c r="B4742" t="s">
        <v>2142</v>
      </c>
      <c r="C4742" t="s">
        <v>2143</v>
      </c>
      <c r="D4742" t="s">
        <v>2144</v>
      </c>
      <c r="E4742" s="9">
        <v>45108</v>
      </c>
      <c r="F4742" s="9">
        <v>45138</v>
      </c>
      <c r="G4742">
        <v>38124567</v>
      </c>
      <c r="H4742">
        <v>5865318</v>
      </c>
      <c r="I4742">
        <v>7494573</v>
      </c>
      <c r="J4742">
        <v>3812456.6999999997</v>
      </c>
      <c r="K4742">
        <v>8797977</v>
      </c>
      <c r="L4742">
        <v>1173063.6000000001</v>
      </c>
      <c r="M4742">
        <v>0</v>
      </c>
      <c r="T4742" s="9">
        <v>45108</v>
      </c>
      <c r="U4742" s="9">
        <v>45473</v>
      </c>
      <c r="V4742">
        <f>SUM(POTABLE_NONPOTABLE_API[[#This Row],[RESIDENTIAL_SINGLEFAMILY_GAL]:[OTHER_GAL]])</f>
        <v>65267955.300000004</v>
      </c>
      <c r="W4742">
        <f>SUM(POTABLE_NONPOTABLE_API[[#This Row],[NONPOTABLE_DEMAND_RESIDENTIAL_RECYCLED_WATER_GAL]:[NONPOTABLE_DEMAND_NONRESIDENTIAL_METERED_IRRIGATION_GAL]])</f>
        <v>0</v>
      </c>
      <c r="X4742" t="str">
        <f>IFERROR(INDEX(Crosswalk_API!$H$2:$H$527, MATCH(POTABLE_NONPOTABLE_API[[#This Row],[PWSID]], CW_PWSID_LIST, 0)), "")</f>
        <v>No</v>
      </c>
    </row>
    <row r="4743" spans="1:24" x14ac:dyDescent="0.25">
      <c r="A4743" t="s">
        <v>2141</v>
      </c>
      <c r="B4743" t="s">
        <v>2142</v>
      </c>
      <c r="C4743" t="s">
        <v>2143</v>
      </c>
      <c r="D4743" t="s">
        <v>2144</v>
      </c>
      <c r="E4743" s="9">
        <v>45139</v>
      </c>
      <c r="F4743" s="9">
        <v>45169</v>
      </c>
      <c r="G4743">
        <v>22907325.300000001</v>
      </c>
      <c r="H4743">
        <v>14532954.6</v>
      </c>
      <c r="I4743">
        <v>11241859.5</v>
      </c>
      <c r="J4743">
        <v>1010138.1</v>
      </c>
      <c r="K4743">
        <v>1140478.5</v>
      </c>
      <c r="L4743">
        <v>7331647.5</v>
      </c>
      <c r="M4743">
        <v>0</v>
      </c>
      <c r="T4743" s="9">
        <v>45108</v>
      </c>
      <c r="U4743" s="9">
        <v>45473</v>
      </c>
      <c r="V4743">
        <f>SUM(POTABLE_NONPOTABLE_API[[#This Row],[RESIDENTIAL_SINGLEFAMILY_GAL]:[OTHER_GAL]])</f>
        <v>58164403.5</v>
      </c>
      <c r="W4743">
        <f>SUM(POTABLE_NONPOTABLE_API[[#This Row],[NONPOTABLE_DEMAND_RESIDENTIAL_RECYCLED_WATER_GAL]:[NONPOTABLE_DEMAND_NONRESIDENTIAL_METERED_IRRIGATION_GAL]])</f>
        <v>0</v>
      </c>
      <c r="X4743" t="str">
        <f>IFERROR(INDEX(Crosswalk_API!$H$2:$H$527, MATCH(POTABLE_NONPOTABLE_API[[#This Row],[PWSID]], CW_PWSID_LIST, 0)), "")</f>
        <v>No</v>
      </c>
    </row>
    <row r="4744" spans="1:24" x14ac:dyDescent="0.25">
      <c r="A4744" t="s">
        <v>2141</v>
      </c>
      <c r="B4744" t="s">
        <v>2142</v>
      </c>
      <c r="C4744" t="s">
        <v>2143</v>
      </c>
      <c r="D4744" t="s">
        <v>2144</v>
      </c>
      <c r="E4744" s="9">
        <v>45170</v>
      </c>
      <c r="F4744" s="9">
        <v>45199</v>
      </c>
      <c r="G4744">
        <v>53472149.100000001</v>
      </c>
      <c r="H4744">
        <v>6777700.7999999998</v>
      </c>
      <c r="I4744">
        <v>8406955.8000000007</v>
      </c>
      <c r="J4744">
        <v>3747286.5</v>
      </c>
      <c r="K4744">
        <v>8635051.5</v>
      </c>
      <c r="L4744">
        <v>1303404</v>
      </c>
      <c r="M4744">
        <v>0</v>
      </c>
      <c r="T4744" s="9">
        <v>45108</v>
      </c>
      <c r="U4744" s="9">
        <v>45473</v>
      </c>
      <c r="V4744">
        <f>SUM(POTABLE_NONPOTABLE_API[[#This Row],[RESIDENTIAL_SINGLEFAMILY_GAL]:[OTHER_GAL]])</f>
        <v>82342547.700000003</v>
      </c>
      <c r="W4744">
        <f>SUM(POTABLE_NONPOTABLE_API[[#This Row],[NONPOTABLE_DEMAND_RESIDENTIAL_RECYCLED_WATER_GAL]:[NONPOTABLE_DEMAND_NONRESIDENTIAL_METERED_IRRIGATION_GAL]])</f>
        <v>0</v>
      </c>
      <c r="X4744" t="str">
        <f>IFERROR(INDEX(Crosswalk_API!$H$2:$H$527, MATCH(POTABLE_NONPOTABLE_API[[#This Row],[PWSID]], CW_PWSID_LIST, 0)), "")</f>
        <v>No</v>
      </c>
    </row>
    <row r="4745" spans="1:24" x14ac:dyDescent="0.25">
      <c r="A4745" t="s">
        <v>2141</v>
      </c>
      <c r="B4745" t="s">
        <v>2142</v>
      </c>
      <c r="C4745" t="s">
        <v>2143</v>
      </c>
      <c r="D4745" t="s">
        <v>2144</v>
      </c>
      <c r="E4745" s="9">
        <v>45200</v>
      </c>
      <c r="F4745" s="9">
        <v>45230</v>
      </c>
      <c r="G4745">
        <v>25253452.5</v>
      </c>
      <c r="H4745">
        <v>14630709.9</v>
      </c>
      <c r="I4745">
        <v>12219412.5</v>
      </c>
      <c r="J4745">
        <v>1238233.8</v>
      </c>
      <c r="K4745">
        <v>1368574.2</v>
      </c>
      <c r="L4745">
        <v>8602466.4000000004</v>
      </c>
      <c r="M4745">
        <v>0</v>
      </c>
      <c r="T4745" s="9">
        <v>45108</v>
      </c>
      <c r="U4745" s="9">
        <v>45473</v>
      </c>
      <c r="V4745">
        <f>SUM(POTABLE_NONPOTABLE_API[[#This Row],[RESIDENTIAL_SINGLEFAMILY_GAL]:[OTHER_GAL]])</f>
        <v>63312849.299999997</v>
      </c>
      <c r="W4745">
        <f>SUM(POTABLE_NONPOTABLE_API[[#This Row],[NONPOTABLE_DEMAND_RESIDENTIAL_RECYCLED_WATER_GAL]:[NONPOTABLE_DEMAND_NONRESIDENTIAL_METERED_IRRIGATION_GAL]])</f>
        <v>0</v>
      </c>
      <c r="X4745" t="str">
        <f>IFERROR(INDEX(Crosswalk_API!$H$2:$H$527, MATCH(POTABLE_NONPOTABLE_API[[#This Row],[PWSID]], CW_PWSID_LIST, 0)), "")</f>
        <v>No</v>
      </c>
    </row>
    <row r="4746" spans="1:24" x14ac:dyDescent="0.25">
      <c r="A4746" t="s">
        <v>2141</v>
      </c>
      <c r="B4746" t="s">
        <v>2142</v>
      </c>
      <c r="C4746" t="s">
        <v>2143</v>
      </c>
      <c r="D4746" t="s">
        <v>2144</v>
      </c>
      <c r="E4746" s="9">
        <v>45231</v>
      </c>
      <c r="F4746" s="9">
        <v>45260</v>
      </c>
      <c r="G4746">
        <v>43598863.800000004</v>
      </c>
      <c r="H4746">
        <v>6370387.0499999998</v>
      </c>
      <c r="I4746">
        <v>8146275</v>
      </c>
      <c r="J4746">
        <v>3030414.3000000003</v>
      </c>
      <c r="K4746">
        <v>9645189.5999999996</v>
      </c>
      <c r="L4746">
        <v>2378712.2999999998</v>
      </c>
      <c r="M4746">
        <v>0</v>
      </c>
      <c r="T4746" s="9">
        <v>45108</v>
      </c>
      <c r="U4746" s="9">
        <v>45473</v>
      </c>
      <c r="V4746">
        <f>SUM(POTABLE_NONPOTABLE_API[[#This Row],[RESIDENTIAL_SINGLEFAMILY_GAL]:[OTHER_GAL]])</f>
        <v>73169842.049999997</v>
      </c>
      <c r="W4746">
        <f>SUM(POTABLE_NONPOTABLE_API[[#This Row],[NONPOTABLE_DEMAND_RESIDENTIAL_RECYCLED_WATER_GAL]:[NONPOTABLE_DEMAND_NONRESIDENTIAL_METERED_IRRIGATION_GAL]])</f>
        <v>0</v>
      </c>
      <c r="X4746" t="str">
        <f>IFERROR(INDEX(Crosswalk_API!$H$2:$H$527, MATCH(POTABLE_NONPOTABLE_API[[#This Row],[PWSID]], CW_PWSID_LIST, 0)), "")</f>
        <v>No</v>
      </c>
    </row>
    <row r="4747" spans="1:24" x14ac:dyDescent="0.25">
      <c r="A4747" t="s">
        <v>2141</v>
      </c>
      <c r="B4747" t="s">
        <v>2142</v>
      </c>
      <c r="C4747" t="s">
        <v>2143</v>
      </c>
      <c r="D4747" t="s">
        <v>2144</v>
      </c>
      <c r="E4747" s="9">
        <v>45261</v>
      </c>
      <c r="F4747" s="9">
        <v>45291</v>
      </c>
      <c r="G4747">
        <v>22842155.099999998</v>
      </c>
      <c r="H4747">
        <v>14207103.6</v>
      </c>
      <c r="I4747">
        <v>10557572.4</v>
      </c>
      <c r="J4747">
        <v>1173063.6000000001</v>
      </c>
      <c r="K4747">
        <v>1466329.5</v>
      </c>
      <c r="L4747">
        <v>8472126</v>
      </c>
      <c r="M4747">
        <v>0</v>
      </c>
      <c r="T4747" s="9">
        <v>45108</v>
      </c>
      <c r="U4747" s="9">
        <v>45473</v>
      </c>
      <c r="V4747">
        <f>SUM(POTABLE_NONPOTABLE_API[[#This Row],[RESIDENTIAL_SINGLEFAMILY_GAL]:[OTHER_GAL]])</f>
        <v>58718350.199999996</v>
      </c>
      <c r="W4747">
        <f>SUM(POTABLE_NONPOTABLE_API[[#This Row],[NONPOTABLE_DEMAND_RESIDENTIAL_RECYCLED_WATER_GAL]:[NONPOTABLE_DEMAND_NONRESIDENTIAL_METERED_IRRIGATION_GAL]])</f>
        <v>0</v>
      </c>
      <c r="X4747" t="str">
        <f>IFERROR(INDEX(Crosswalk_API!$H$2:$H$527, MATCH(POTABLE_NONPOTABLE_API[[#This Row],[PWSID]], CW_PWSID_LIST, 0)), "")</f>
        <v>No</v>
      </c>
    </row>
    <row r="4748" spans="1:24" x14ac:dyDescent="0.25">
      <c r="A4748" t="s">
        <v>2141</v>
      </c>
      <c r="B4748" t="s">
        <v>2142</v>
      </c>
      <c r="C4748" t="s">
        <v>2143</v>
      </c>
      <c r="D4748" t="s">
        <v>2144</v>
      </c>
      <c r="E4748" s="9">
        <v>45292</v>
      </c>
      <c r="F4748" s="9">
        <v>45322</v>
      </c>
      <c r="G4748">
        <v>38776269</v>
      </c>
      <c r="H4748">
        <v>6060828.6000000006</v>
      </c>
      <c r="I4748">
        <v>7527158.1000000006</v>
      </c>
      <c r="J4748">
        <v>2574222.9</v>
      </c>
      <c r="K4748">
        <v>8439540.9000000004</v>
      </c>
      <c r="L4748">
        <v>2183201.7000000002</v>
      </c>
      <c r="M4748">
        <v>0</v>
      </c>
      <c r="T4748" s="9">
        <v>45108</v>
      </c>
      <c r="U4748" s="9">
        <v>45473</v>
      </c>
      <c r="V4748">
        <f>SUM(POTABLE_NONPOTABLE_API[[#This Row],[RESIDENTIAL_SINGLEFAMILY_GAL]:[OTHER_GAL]])</f>
        <v>65561221.200000003</v>
      </c>
      <c r="W4748">
        <f>SUM(POTABLE_NONPOTABLE_API[[#This Row],[NONPOTABLE_DEMAND_RESIDENTIAL_RECYCLED_WATER_GAL]:[NONPOTABLE_DEMAND_NONRESIDENTIAL_METERED_IRRIGATION_GAL]])</f>
        <v>0</v>
      </c>
      <c r="X4748" t="str">
        <f>IFERROR(INDEX(Crosswalk_API!$H$2:$H$527, MATCH(POTABLE_NONPOTABLE_API[[#This Row],[PWSID]], CW_PWSID_LIST, 0)), "")</f>
        <v>No</v>
      </c>
    </row>
    <row r="4749" spans="1:24" x14ac:dyDescent="0.25">
      <c r="A4749" t="s">
        <v>2141</v>
      </c>
      <c r="B4749" t="s">
        <v>2142</v>
      </c>
      <c r="C4749" t="s">
        <v>2143</v>
      </c>
      <c r="D4749" t="s">
        <v>2144</v>
      </c>
      <c r="E4749" s="9">
        <v>45323</v>
      </c>
      <c r="F4749" s="9">
        <v>45351</v>
      </c>
      <c r="G4749">
        <v>20072421.600000001</v>
      </c>
      <c r="H4749">
        <v>13522816.5</v>
      </c>
      <c r="I4749">
        <v>10492402.200000001</v>
      </c>
      <c r="J4749">
        <v>847212.6</v>
      </c>
      <c r="K4749">
        <v>1270818.8999999999</v>
      </c>
      <c r="L4749">
        <v>6810285.8999999994</v>
      </c>
      <c r="M4749">
        <v>0</v>
      </c>
      <c r="T4749" s="9">
        <v>45108</v>
      </c>
      <c r="U4749" s="9">
        <v>45473</v>
      </c>
      <c r="V4749">
        <f>SUM(POTABLE_NONPOTABLE_API[[#This Row],[RESIDENTIAL_SINGLEFAMILY_GAL]:[OTHER_GAL]])</f>
        <v>53015957.700000003</v>
      </c>
      <c r="W4749">
        <f>SUM(POTABLE_NONPOTABLE_API[[#This Row],[NONPOTABLE_DEMAND_RESIDENTIAL_RECYCLED_WATER_GAL]:[NONPOTABLE_DEMAND_NONRESIDENTIAL_METERED_IRRIGATION_GAL]])</f>
        <v>0</v>
      </c>
      <c r="X4749" t="str">
        <f>IFERROR(INDEX(Crosswalk_API!$H$2:$H$527, MATCH(POTABLE_NONPOTABLE_API[[#This Row],[PWSID]], CW_PWSID_LIST, 0)), "")</f>
        <v>No</v>
      </c>
    </row>
    <row r="4750" spans="1:24" x14ac:dyDescent="0.25">
      <c r="A4750" t="s">
        <v>2141</v>
      </c>
      <c r="B4750" t="s">
        <v>2142</v>
      </c>
      <c r="C4750" t="s">
        <v>2143</v>
      </c>
      <c r="D4750" t="s">
        <v>2144</v>
      </c>
      <c r="E4750" s="9">
        <v>45352</v>
      </c>
      <c r="F4750" s="9">
        <v>45382</v>
      </c>
      <c r="G4750">
        <v>37863886.200000003</v>
      </c>
      <c r="H4750">
        <v>5441711.7000000002</v>
      </c>
      <c r="I4750">
        <v>8048519.7000000002</v>
      </c>
      <c r="J4750">
        <v>1564084.8</v>
      </c>
      <c r="K4750">
        <v>7592328.2999999998</v>
      </c>
      <c r="L4750">
        <v>1238233.8</v>
      </c>
      <c r="M4750">
        <v>0</v>
      </c>
      <c r="T4750" s="9">
        <v>45108</v>
      </c>
      <c r="U4750" s="9">
        <v>45473</v>
      </c>
      <c r="V4750">
        <f>SUM(POTABLE_NONPOTABLE_API[[#This Row],[RESIDENTIAL_SINGLEFAMILY_GAL]:[OTHER_GAL]])</f>
        <v>61748764.5</v>
      </c>
      <c r="W4750">
        <f>SUM(POTABLE_NONPOTABLE_API[[#This Row],[NONPOTABLE_DEMAND_RESIDENTIAL_RECYCLED_WATER_GAL]:[NONPOTABLE_DEMAND_NONRESIDENTIAL_METERED_IRRIGATION_GAL]])</f>
        <v>0</v>
      </c>
      <c r="X4750" t="str">
        <f>IFERROR(INDEX(Crosswalk_API!$H$2:$H$527, MATCH(POTABLE_NONPOTABLE_API[[#This Row],[PWSID]], CW_PWSID_LIST, 0)), "")</f>
        <v>No</v>
      </c>
    </row>
    <row r="4751" spans="1:24" x14ac:dyDescent="0.25">
      <c r="A4751" t="s">
        <v>2141</v>
      </c>
      <c r="B4751" t="s">
        <v>2142</v>
      </c>
      <c r="C4751" t="s">
        <v>2143</v>
      </c>
      <c r="D4751" t="s">
        <v>2144</v>
      </c>
      <c r="E4751" s="9">
        <v>45383</v>
      </c>
      <c r="F4751" s="9">
        <v>45412</v>
      </c>
      <c r="G4751">
        <v>17791464.600000001</v>
      </c>
      <c r="H4751">
        <v>12251997.6</v>
      </c>
      <c r="I4751">
        <v>9775530</v>
      </c>
      <c r="J4751">
        <v>325851</v>
      </c>
      <c r="K4751">
        <v>1107893.3999999999</v>
      </c>
      <c r="L4751">
        <v>4301233.2</v>
      </c>
      <c r="M4751">
        <v>0</v>
      </c>
      <c r="T4751" s="9">
        <v>45108</v>
      </c>
      <c r="U4751" s="9">
        <v>45473</v>
      </c>
      <c r="V4751">
        <f>SUM(POTABLE_NONPOTABLE_API[[#This Row],[RESIDENTIAL_SINGLEFAMILY_GAL]:[OTHER_GAL]])</f>
        <v>45553969.800000004</v>
      </c>
      <c r="W4751">
        <f>SUM(POTABLE_NONPOTABLE_API[[#This Row],[NONPOTABLE_DEMAND_RESIDENTIAL_RECYCLED_WATER_GAL]:[NONPOTABLE_DEMAND_NONRESIDENTIAL_METERED_IRRIGATION_GAL]])</f>
        <v>0</v>
      </c>
      <c r="X4751" t="str">
        <f>IFERROR(INDEX(Crosswalk_API!$H$2:$H$527, MATCH(POTABLE_NONPOTABLE_API[[#This Row],[PWSID]], CW_PWSID_LIST, 0)), "")</f>
        <v>No</v>
      </c>
    </row>
    <row r="4752" spans="1:24" x14ac:dyDescent="0.25">
      <c r="A4752" t="s">
        <v>2141</v>
      </c>
      <c r="B4752" t="s">
        <v>2142</v>
      </c>
      <c r="C4752" t="s">
        <v>2143</v>
      </c>
      <c r="D4752" t="s">
        <v>2144</v>
      </c>
      <c r="E4752" s="9">
        <v>45413</v>
      </c>
      <c r="F4752" s="9">
        <v>45443</v>
      </c>
      <c r="G4752">
        <v>32519929.800000001</v>
      </c>
      <c r="H4752">
        <v>5832732.8999999994</v>
      </c>
      <c r="I4752">
        <v>10720497.9</v>
      </c>
      <c r="J4752">
        <v>1173063.6000000001</v>
      </c>
      <c r="K4752">
        <v>6842871</v>
      </c>
      <c r="L4752">
        <v>1140478.5</v>
      </c>
      <c r="M4752">
        <v>0</v>
      </c>
      <c r="T4752" s="9">
        <v>45108</v>
      </c>
      <c r="U4752" s="9">
        <v>45473</v>
      </c>
      <c r="V4752">
        <f>SUM(POTABLE_NONPOTABLE_API[[#This Row],[RESIDENTIAL_SINGLEFAMILY_GAL]:[OTHER_GAL]])</f>
        <v>58229573.700000003</v>
      </c>
      <c r="W4752">
        <f>SUM(POTABLE_NONPOTABLE_API[[#This Row],[NONPOTABLE_DEMAND_RESIDENTIAL_RECYCLED_WATER_GAL]:[NONPOTABLE_DEMAND_NONRESIDENTIAL_METERED_IRRIGATION_GAL]])</f>
        <v>0</v>
      </c>
      <c r="X4752" t="str">
        <f>IFERROR(INDEX(Crosswalk_API!$H$2:$H$527, MATCH(POTABLE_NONPOTABLE_API[[#This Row],[PWSID]], CW_PWSID_LIST, 0)), "")</f>
        <v>No</v>
      </c>
    </row>
    <row r="4753" spans="1:24" x14ac:dyDescent="0.25">
      <c r="A4753" t="s">
        <v>2141</v>
      </c>
      <c r="B4753" t="s">
        <v>2142</v>
      </c>
      <c r="C4753" t="s">
        <v>2143</v>
      </c>
      <c r="D4753" t="s">
        <v>2144</v>
      </c>
      <c r="E4753" s="9">
        <v>45444</v>
      </c>
      <c r="F4753" s="9">
        <v>45473</v>
      </c>
      <c r="G4753">
        <v>19713985.5</v>
      </c>
      <c r="H4753">
        <v>13359891</v>
      </c>
      <c r="I4753">
        <v>10785668.1</v>
      </c>
      <c r="J4753">
        <v>684287.1</v>
      </c>
      <c r="K4753">
        <v>1010138.1</v>
      </c>
      <c r="L4753">
        <v>5734977.6000000006</v>
      </c>
      <c r="M4753">
        <v>0</v>
      </c>
      <c r="T4753" s="9">
        <v>45108</v>
      </c>
      <c r="U4753" s="9">
        <v>45473</v>
      </c>
      <c r="V4753">
        <f>SUM(POTABLE_NONPOTABLE_API[[#This Row],[RESIDENTIAL_SINGLEFAMILY_GAL]:[OTHER_GAL]])</f>
        <v>51288947.400000006</v>
      </c>
      <c r="W4753">
        <f>SUM(POTABLE_NONPOTABLE_API[[#This Row],[NONPOTABLE_DEMAND_RESIDENTIAL_RECYCLED_WATER_GAL]:[NONPOTABLE_DEMAND_NONRESIDENTIAL_METERED_IRRIGATION_GAL]])</f>
        <v>0</v>
      </c>
      <c r="X4753" t="str">
        <f>IFERROR(INDEX(Crosswalk_API!$H$2:$H$527, MATCH(POTABLE_NONPOTABLE_API[[#This Row],[PWSID]], CW_PWSID_LIST, 0)), "")</f>
        <v>No</v>
      </c>
    </row>
    <row r="4754" spans="1:24" x14ac:dyDescent="0.25">
      <c r="A4754" t="s">
        <v>2145</v>
      </c>
      <c r="B4754" t="s">
        <v>2146</v>
      </c>
      <c r="C4754" t="s">
        <v>2147</v>
      </c>
      <c r="D4754" t="s">
        <v>2148</v>
      </c>
      <c r="E4754" s="9">
        <v>45108</v>
      </c>
      <c r="F4754" s="9">
        <v>45138</v>
      </c>
      <c r="G4754">
        <v>1429527.372</v>
      </c>
      <c r="H4754">
        <v>16457.144</v>
      </c>
      <c r="I4754">
        <v>668010.43599999999</v>
      </c>
      <c r="J4754">
        <v>20197.404000000002</v>
      </c>
      <c r="K4754">
        <v>0</v>
      </c>
      <c r="L4754">
        <v>0</v>
      </c>
      <c r="M4754">
        <v>57600.004000000001</v>
      </c>
      <c r="T4754" s="9">
        <v>45108</v>
      </c>
      <c r="U4754" s="9">
        <v>45473</v>
      </c>
      <c r="V4754">
        <f>SUM(POTABLE_NONPOTABLE_API[[#This Row],[RESIDENTIAL_SINGLEFAMILY_GAL]:[OTHER_GAL]])</f>
        <v>2134192.3560000001</v>
      </c>
      <c r="W4754">
        <f>SUM(POTABLE_NONPOTABLE_API[[#This Row],[NONPOTABLE_DEMAND_RESIDENTIAL_RECYCLED_WATER_GAL]:[NONPOTABLE_DEMAND_NONRESIDENTIAL_METERED_IRRIGATION_GAL]])</f>
        <v>0</v>
      </c>
      <c r="X4754" t="str">
        <f>IFERROR(INDEX(Crosswalk_API!$H$2:$H$527, MATCH(POTABLE_NONPOTABLE_API[[#This Row],[PWSID]], CW_PWSID_LIST, 0)), "")</f>
        <v>No</v>
      </c>
    </row>
    <row r="4755" spans="1:24" x14ac:dyDescent="0.25">
      <c r="A4755" t="s">
        <v>2145</v>
      </c>
      <c r="B4755" t="s">
        <v>2146</v>
      </c>
      <c r="C4755" t="s">
        <v>2147</v>
      </c>
      <c r="D4755" t="s">
        <v>2148</v>
      </c>
      <c r="E4755" s="9">
        <v>45139</v>
      </c>
      <c r="F4755" s="9">
        <v>45169</v>
      </c>
      <c r="G4755">
        <v>1426535.1640000001</v>
      </c>
      <c r="H4755">
        <v>16457.144</v>
      </c>
      <c r="I4755">
        <v>668010.43599999999</v>
      </c>
      <c r="J4755">
        <v>20197.404000000002</v>
      </c>
      <c r="K4755">
        <v>0</v>
      </c>
      <c r="L4755">
        <v>0</v>
      </c>
      <c r="M4755">
        <v>57600.004000000001</v>
      </c>
      <c r="T4755" s="9">
        <v>45108</v>
      </c>
      <c r="U4755" s="9">
        <v>45473</v>
      </c>
      <c r="V4755">
        <f>SUM(POTABLE_NONPOTABLE_API[[#This Row],[RESIDENTIAL_SINGLEFAMILY_GAL]:[OTHER_GAL]])</f>
        <v>2131200.148</v>
      </c>
      <c r="W4755">
        <f>SUM(POTABLE_NONPOTABLE_API[[#This Row],[NONPOTABLE_DEMAND_RESIDENTIAL_RECYCLED_WATER_GAL]:[NONPOTABLE_DEMAND_NONRESIDENTIAL_METERED_IRRIGATION_GAL]])</f>
        <v>0</v>
      </c>
      <c r="X4755" t="str">
        <f>IFERROR(INDEX(Crosswalk_API!$H$2:$H$527, MATCH(POTABLE_NONPOTABLE_API[[#This Row],[PWSID]], CW_PWSID_LIST, 0)), "")</f>
        <v>No</v>
      </c>
    </row>
    <row r="4756" spans="1:24" x14ac:dyDescent="0.25">
      <c r="A4756" t="s">
        <v>2145</v>
      </c>
      <c r="B4756" t="s">
        <v>2146</v>
      </c>
      <c r="C4756" t="s">
        <v>2147</v>
      </c>
      <c r="D4756" t="s">
        <v>2148</v>
      </c>
      <c r="E4756" s="9">
        <v>45170</v>
      </c>
      <c r="F4756" s="9">
        <v>45199</v>
      </c>
      <c r="G4756">
        <v>1285153.3360000001</v>
      </c>
      <c r="H4756">
        <v>15709.092000000001</v>
      </c>
      <c r="I4756">
        <v>584976.66399999999</v>
      </c>
      <c r="J4756">
        <v>19449.351999999999</v>
      </c>
      <c r="K4756">
        <v>0</v>
      </c>
      <c r="L4756">
        <v>0</v>
      </c>
      <c r="M4756">
        <v>24685.716</v>
      </c>
      <c r="T4756" s="9">
        <v>45108</v>
      </c>
      <c r="U4756" s="9">
        <v>45473</v>
      </c>
      <c r="V4756">
        <f>SUM(POTABLE_NONPOTABLE_API[[#This Row],[RESIDENTIAL_SINGLEFAMILY_GAL]:[OTHER_GAL]])</f>
        <v>1905288.4440000001</v>
      </c>
      <c r="W4756">
        <f>SUM(POTABLE_NONPOTABLE_API[[#This Row],[NONPOTABLE_DEMAND_RESIDENTIAL_RECYCLED_WATER_GAL]:[NONPOTABLE_DEMAND_NONRESIDENTIAL_METERED_IRRIGATION_GAL]])</f>
        <v>0</v>
      </c>
      <c r="X4756" t="str">
        <f>IFERROR(INDEX(Crosswalk_API!$H$2:$H$527, MATCH(POTABLE_NONPOTABLE_API[[#This Row],[PWSID]], CW_PWSID_LIST, 0)), "")</f>
        <v>No</v>
      </c>
    </row>
    <row r="4757" spans="1:24" x14ac:dyDescent="0.25">
      <c r="A4757" t="s">
        <v>2145</v>
      </c>
      <c r="B4757" t="s">
        <v>2146</v>
      </c>
      <c r="C4757" t="s">
        <v>2147</v>
      </c>
      <c r="D4757" t="s">
        <v>2148</v>
      </c>
      <c r="E4757" s="9">
        <v>45200</v>
      </c>
      <c r="F4757" s="9">
        <v>45230</v>
      </c>
      <c r="G4757">
        <v>1285153.3360000001</v>
      </c>
      <c r="H4757">
        <v>15709.092000000001</v>
      </c>
      <c r="I4757">
        <v>584976.66399999999</v>
      </c>
      <c r="J4757">
        <v>19449.351999999999</v>
      </c>
      <c r="K4757">
        <v>0</v>
      </c>
      <c r="L4757">
        <v>0</v>
      </c>
      <c r="M4757">
        <v>24685.716</v>
      </c>
      <c r="T4757" s="9">
        <v>45108</v>
      </c>
      <c r="U4757" s="9">
        <v>45473</v>
      </c>
      <c r="V4757">
        <f>SUM(POTABLE_NONPOTABLE_API[[#This Row],[RESIDENTIAL_SINGLEFAMILY_GAL]:[OTHER_GAL]])</f>
        <v>1905288.4440000001</v>
      </c>
      <c r="W4757">
        <f>SUM(POTABLE_NONPOTABLE_API[[#This Row],[NONPOTABLE_DEMAND_RESIDENTIAL_RECYCLED_WATER_GAL]:[NONPOTABLE_DEMAND_NONRESIDENTIAL_METERED_IRRIGATION_GAL]])</f>
        <v>0</v>
      </c>
      <c r="X4757" t="str">
        <f>IFERROR(INDEX(Crosswalk_API!$H$2:$H$527, MATCH(POTABLE_NONPOTABLE_API[[#This Row],[PWSID]], CW_PWSID_LIST, 0)), "")</f>
        <v>No</v>
      </c>
    </row>
    <row r="4758" spans="1:24" x14ac:dyDescent="0.25">
      <c r="A4758" t="s">
        <v>2145</v>
      </c>
      <c r="B4758" t="s">
        <v>2146</v>
      </c>
      <c r="C4758" t="s">
        <v>2147</v>
      </c>
      <c r="D4758" t="s">
        <v>2148</v>
      </c>
      <c r="E4758" s="9">
        <v>45231</v>
      </c>
      <c r="F4758" s="9">
        <v>45260</v>
      </c>
      <c r="G4758">
        <v>896914.348</v>
      </c>
      <c r="H4758">
        <v>9724.6759999999995</v>
      </c>
      <c r="I4758">
        <v>277527.29200000002</v>
      </c>
      <c r="J4758">
        <v>5984.4160000000002</v>
      </c>
      <c r="K4758">
        <v>0</v>
      </c>
      <c r="L4758">
        <v>0</v>
      </c>
      <c r="M4758">
        <v>0</v>
      </c>
      <c r="T4758" s="9">
        <v>45108</v>
      </c>
      <c r="U4758" s="9">
        <v>45473</v>
      </c>
      <c r="V4758">
        <f>SUM(POTABLE_NONPOTABLE_API[[#This Row],[RESIDENTIAL_SINGLEFAMILY_GAL]:[OTHER_GAL]])</f>
        <v>1190150.7320000001</v>
      </c>
      <c r="W4758">
        <f>SUM(POTABLE_NONPOTABLE_API[[#This Row],[NONPOTABLE_DEMAND_RESIDENTIAL_RECYCLED_WATER_GAL]:[NONPOTABLE_DEMAND_NONRESIDENTIAL_METERED_IRRIGATION_GAL]])</f>
        <v>0</v>
      </c>
      <c r="X4758" t="str">
        <f>IFERROR(INDEX(Crosswalk_API!$H$2:$H$527, MATCH(POTABLE_NONPOTABLE_API[[#This Row],[PWSID]], CW_PWSID_LIST, 0)), "")</f>
        <v>No</v>
      </c>
    </row>
    <row r="4759" spans="1:24" x14ac:dyDescent="0.25">
      <c r="A4759" t="s">
        <v>2145</v>
      </c>
      <c r="B4759" t="s">
        <v>2146</v>
      </c>
      <c r="C4759" t="s">
        <v>2147</v>
      </c>
      <c r="D4759" t="s">
        <v>2148</v>
      </c>
      <c r="E4759" s="9">
        <v>45261</v>
      </c>
      <c r="F4759" s="9">
        <v>45291</v>
      </c>
      <c r="G4759">
        <v>896914.348</v>
      </c>
      <c r="H4759">
        <v>9724.6759999999995</v>
      </c>
      <c r="I4759">
        <v>277527.29200000002</v>
      </c>
      <c r="J4759">
        <v>5984.4160000000002</v>
      </c>
      <c r="K4759">
        <v>0</v>
      </c>
      <c r="L4759">
        <v>0</v>
      </c>
      <c r="M4759">
        <v>0</v>
      </c>
      <c r="T4759" s="9">
        <v>45108</v>
      </c>
      <c r="U4759" s="9">
        <v>45473</v>
      </c>
      <c r="V4759">
        <f>SUM(POTABLE_NONPOTABLE_API[[#This Row],[RESIDENTIAL_SINGLEFAMILY_GAL]:[OTHER_GAL]])</f>
        <v>1190150.7320000001</v>
      </c>
      <c r="W4759">
        <f>SUM(POTABLE_NONPOTABLE_API[[#This Row],[NONPOTABLE_DEMAND_RESIDENTIAL_RECYCLED_WATER_GAL]:[NONPOTABLE_DEMAND_NONRESIDENTIAL_METERED_IRRIGATION_GAL]])</f>
        <v>0</v>
      </c>
      <c r="X4759" t="str">
        <f>IFERROR(INDEX(Crosswalk_API!$H$2:$H$527, MATCH(POTABLE_NONPOTABLE_API[[#This Row],[PWSID]], CW_PWSID_LIST, 0)), "")</f>
        <v>No</v>
      </c>
    </row>
    <row r="4760" spans="1:24" x14ac:dyDescent="0.25">
      <c r="A4760" t="s">
        <v>2145</v>
      </c>
      <c r="B4760" t="s">
        <v>2146</v>
      </c>
      <c r="C4760" t="s">
        <v>2147</v>
      </c>
      <c r="D4760" t="s">
        <v>2148</v>
      </c>
      <c r="E4760" s="9">
        <v>45292</v>
      </c>
      <c r="F4760" s="9">
        <v>45322</v>
      </c>
      <c r="G4760">
        <v>659781.86400000006</v>
      </c>
      <c r="H4760">
        <v>8976.6239999999998</v>
      </c>
      <c r="I4760">
        <v>608166.27600000007</v>
      </c>
      <c r="J4760">
        <v>5236.3640000000005</v>
      </c>
      <c r="K4760">
        <v>0</v>
      </c>
      <c r="L4760">
        <v>0</v>
      </c>
      <c r="M4760">
        <v>3740.26</v>
      </c>
      <c r="T4760" s="9">
        <v>45108</v>
      </c>
      <c r="U4760" s="9">
        <v>45473</v>
      </c>
      <c r="V4760">
        <f>SUM(POTABLE_NONPOTABLE_API[[#This Row],[RESIDENTIAL_SINGLEFAMILY_GAL]:[OTHER_GAL]])</f>
        <v>1282161.128</v>
      </c>
      <c r="W4760">
        <f>SUM(POTABLE_NONPOTABLE_API[[#This Row],[NONPOTABLE_DEMAND_RESIDENTIAL_RECYCLED_WATER_GAL]:[NONPOTABLE_DEMAND_NONRESIDENTIAL_METERED_IRRIGATION_GAL]])</f>
        <v>0</v>
      </c>
      <c r="X4760" t="str">
        <f>IFERROR(INDEX(Crosswalk_API!$H$2:$H$527, MATCH(POTABLE_NONPOTABLE_API[[#This Row],[PWSID]], CW_PWSID_LIST, 0)), "")</f>
        <v>No</v>
      </c>
    </row>
    <row r="4761" spans="1:24" x14ac:dyDescent="0.25">
      <c r="A4761" t="s">
        <v>2145</v>
      </c>
      <c r="B4761" t="s">
        <v>2146</v>
      </c>
      <c r="C4761" t="s">
        <v>2147</v>
      </c>
      <c r="D4761" t="s">
        <v>2148</v>
      </c>
      <c r="E4761" s="9">
        <v>45323</v>
      </c>
      <c r="F4761" s="9">
        <v>45351</v>
      </c>
      <c r="G4761">
        <v>623127.31599999999</v>
      </c>
      <c r="H4761">
        <v>8976.6239999999998</v>
      </c>
      <c r="I4761">
        <v>616394.848</v>
      </c>
      <c r="J4761">
        <v>5236.3640000000005</v>
      </c>
      <c r="K4761">
        <v>0</v>
      </c>
      <c r="L4761">
        <v>0</v>
      </c>
      <c r="M4761">
        <v>3740.26</v>
      </c>
      <c r="T4761" s="9">
        <v>45108</v>
      </c>
      <c r="U4761" s="9">
        <v>45473</v>
      </c>
      <c r="V4761">
        <f>SUM(POTABLE_NONPOTABLE_API[[#This Row],[RESIDENTIAL_SINGLEFAMILY_GAL]:[OTHER_GAL]])</f>
        <v>1253735.152</v>
      </c>
      <c r="W4761">
        <f>SUM(POTABLE_NONPOTABLE_API[[#This Row],[NONPOTABLE_DEMAND_RESIDENTIAL_RECYCLED_WATER_GAL]:[NONPOTABLE_DEMAND_NONRESIDENTIAL_METERED_IRRIGATION_GAL]])</f>
        <v>0</v>
      </c>
      <c r="X4761" t="str">
        <f>IFERROR(INDEX(Crosswalk_API!$H$2:$H$527, MATCH(POTABLE_NONPOTABLE_API[[#This Row],[PWSID]], CW_PWSID_LIST, 0)), "")</f>
        <v>No</v>
      </c>
    </row>
    <row r="4762" spans="1:24" x14ac:dyDescent="0.25">
      <c r="A4762" t="s">
        <v>2145</v>
      </c>
      <c r="B4762" t="s">
        <v>2146</v>
      </c>
      <c r="C4762" t="s">
        <v>2147</v>
      </c>
      <c r="D4762" t="s">
        <v>2148</v>
      </c>
      <c r="E4762" s="9">
        <v>45352</v>
      </c>
      <c r="F4762" s="9">
        <v>45382</v>
      </c>
      <c r="G4762">
        <v>570015.62400000007</v>
      </c>
      <c r="H4762">
        <v>8976.6239999999998</v>
      </c>
      <c r="I4762">
        <v>502690.94400000002</v>
      </c>
      <c r="J4762">
        <v>6732.4679999999998</v>
      </c>
      <c r="K4762">
        <v>0</v>
      </c>
      <c r="L4762">
        <v>0</v>
      </c>
      <c r="M4762">
        <v>1496.104</v>
      </c>
      <c r="T4762" s="9">
        <v>45108</v>
      </c>
      <c r="U4762" s="9">
        <v>45473</v>
      </c>
      <c r="V4762">
        <f>SUM(POTABLE_NONPOTABLE_API[[#This Row],[RESIDENTIAL_SINGLEFAMILY_GAL]:[OTHER_GAL]])</f>
        <v>1088415.6600000001</v>
      </c>
      <c r="W4762">
        <f>SUM(POTABLE_NONPOTABLE_API[[#This Row],[NONPOTABLE_DEMAND_RESIDENTIAL_RECYCLED_WATER_GAL]:[NONPOTABLE_DEMAND_NONRESIDENTIAL_METERED_IRRIGATION_GAL]])</f>
        <v>0</v>
      </c>
      <c r="X4762" t="str">
        <f>IFERROR(INDEX(Crosswalk_API!$H$2:$H$527, MATCH(POTABLE_NONPOTABLE_API[[#This Row],[PWSID]], CW_PWSID_LIST, 0)), "")</f>
        <v>No</v>
      </c>
    </row>
    <row r="4763" spans="1:24" x14ac:dyDescent="0.25">
      <c r="A4763" t="s">
        <v>2145</v>
      </c>
      <c r="B4763" t="s">
        <v>2146</v>
      </c>
      <c r="C4763" t="s">
        <v>2147</v>
      </c>
      <c r="D4763" t="s">
        <v>2148</v>
      </c>
      <c r="E4763" s="9">
        <v>45383</v>
      </c>
      <c r="F4763" s="9">
        <v>45412</v>
      </c>
      <c r="G4763">
        <v>543833.804</v>
      </c>
      <c r="H4763">
        <v>8976.6239999999998</v>
      </c>
      <c r="I4763">
        <v>494462.37200000003</v>
      </c>
      <c r="J4763">
        <v>6732.4679999999998</v>
      </c>
      <c r="K4763">
        <v>0</v>
      </c>
      <c r="L4763">
        <v>0</v>
      </c>
      <c r="M4763">
        <v>1496.104</v>
      </c>
      <c r="T4763" s="9">
        <v>45108</v>
      </c>
      <c r="U4763" s="9">
        <v>45473</v>
      </c>
      <c r="V4763">
        <f>SUM(POTABLE_NONPOTABLE_API[[#This Row],[RESIDENTIAL_SINGLEFAMILY_GAL]:[OTHER_GAL]])</f>
        <v>1054005.2680000002</v>
      </c>
      <c r="W4763">
        <f>SUM(POTABLE_NONPOTABLE_API[[#This Row],[NONPOTABLE_DEMAND_RESIDENTIAL_RECYCLED_WATER_GAL]:[NONPOTABLE_DEMAND_NONRESIDENTIAL_METERED_IRRIGATION_GAL]])</f>
        <v>0</v>
      </c>
      <c r="X4763" t="str">
        <f>IFERROR(INDEX(Crosswalk_API!$H$2:$H$527, MATCH(POTABLE_NONPOTABLE_API[[#This Row],[PWSID]], CW_PWSID_LIST, 0)), "")</f>
        <v>No</v>
      </c>
    </row>
    <row r="4764" spans="1:24" x14ac:dyDescent="0.25">
      <c r="A4764" t="s">
        <v>2145</v>
      </c>
      <c r="B4764" t="s">
        <v>2146</v>
      </c>
      <c r="C4764" t="s">
        <v>2147</v>
      </c>
      <c r="D4764" t="s">
        <v>2148</v>
      </c>
      <c r="E4764" s="9">
        <v>45413</v>
      </c>
      <c r="F4764" s="9">
        <v>45443</v>
      </c>
      <c r="G4764">
        <v>676239.00800000003</v>
      </c>
      <c r="H4764">
        <v>11968.832</v>
      </c>
      <c r="I4764">
        <v>321662.36</v>
      </c>
      <c r="J4764">
        <v>5984.4160000000002</v>
      </c>
      <c r="K4764">
        <v>0</v>
      </c>
      <c r="L4764">
        <v>0</v>
      </c>
      <c r="M4764">
        <v>748.05200000000002</v>
      </c>
      <c r="T4764" s="9">
        <v>45108</v>
      </c>
      <c r="U4764" s="9">
        <v>45473</v>
      </c>
      <c r="V4764">
        <f>SUM(POTABLE_NONPOTABLE_API[[#This Row],[RESIDENTIAL_SINGLEFAMILY_GAL]:[OTHER_GAL]])</f>
        <v>1015854.616</v>
      </c>
      <c r="W4764">
        <f>SUM(POTABLE_NONPOTABLE_API[[#This Row],[NONPOTABLE_DEMAND_RESIDENTIAL_RECYCLED_WATER_GAL]:[NONPOTABLE_DEMAND_NONRESIDENTIAL_METERED_IRRIGATION_GAL]])</f>
        <v>0</v>
      </c>
      <c r="X4764" t="str">
        <f>IFERROR(INDEX(Crosswalk_API!$H$2:$H$527, MATCH(POTABLE_NONPOTABLE_API[[#This Row],[PWSID]], CW_PWSID_LIST, 0)), "")</f>
        <v>No</v>
      </c>
    </row>
    <row r="4765" spans="1:24" x14ac:dyDescent="0.25">
      <c r="A4765" t="s">
        <v>2145</v>
      </c>
      <c r="B4765" t="s">
        <v>2146</v>
      </c>
      <c r="C4765" t="s">
        <v>2147</v>
      </c>
      <c r="D4765" t="s">
        <v>2148</v>
      </c>
      <c r="E4765" s="9">
        <v>45444</v>
      </c>
      <c r="F4765" s="9">
        <v>45473</v>
      </c>
      <c r="G4765">
        <v>736831.22</v>
      </c>
      <c r="H4765">
        <v>11968.832</v>
      </c>
      <c r="I4765">
        <v>323158.46400000004</v>
      </c>
      <c r="J4765">
        <v>5984.4160000000002</v>
      </c>
      <c r="K4765">
        <v>0</v>
      </c>
      <c r="L4765">
        <v>0</v>
      </c>
      <c r="M4765">
        <v>2244.1559999999999</v>
      </c>
      <c r="T4765" s="9">
        <v>45108</v>
      </c>
      <c r="U4765" s="9">
        <v>45473</v>
      </c>
      <c r="V4765">
        <f>SUM(POTABLE_NONPOTABLE_API[[#This Row],[RESIDENTIAL_SINGLEFAMILY_GAL]:[OTHER_GAL]])</f>
        <v>1077942.932</v>
      </c>
      <c r="W4765">
        <f>SUM(POTABLE_NONPOTABLE_API[[#This Row],[NONPOTABLE_DEMAND_RESIDENTIAL_RECYCLED_WATER_GAL]:[NONPOTABLE_DEMAND_NONRESIDENTIAL_METERED_IRRIGATION_GAL]])</f>
        <v>0</v>
      </c>
      <c r="X4765" t="str">
        <f>IFERROR(INDEX(Crosswalk_API!$H$2:$H$527, MATCH(POTABLE_NONPOTABLE_API[[#This Row],[PWSID]], CW_PWSID_LIST, 0)), "")</f>
        <v>No</v>
      </c>
    </row>
    <row r="4766" spans="1:24" x14ac:dyDescent="0.25">
      <c r="A4766" t="s">
        <v>2145</v>
      </c>
      <c r="B4766" t="s">
        <v>2146</v>
      </c>
      <c r="C4766" t="s">
        <v>2149</v>
      </c>
      <c r="D4766" t="s">
        <v>2150</v>
      </c>
      <c r="E4766" s="9">
        <v>45108</v>
      </c>
      <c r="F4766" s="9">
        <v>45138</v>
      </c>
      <c r="G4766">
        <v>0</v>
      </c>
      <c r="H4766">
        <v>0</v>
      </c>
      <c r="I4766">
        <v>0</v>
      </c>
      <c r="J4766">
        <v>0</v>
      </c>
      <c r="K4766">
        <v>0</v>
      </c>
      <c r="L4766">
        <v>0</v>
      </c>
      <c r="M4766">
        <v>0</v>
      </c>
      <c r="T4766" s="9">
        <v>45108</v>
      </c>
      <c r="U4766" s="9">
        <v>45473</v>
      </c>
      <c r="V4766">
        <f>SUM(POTABLE_NONPOTABLE_API[[#This Row],[RESIDENTIAL_SINGLEFAMILY_GAL]:[OTHER_GAL]])</f>
        <v>0</v>
      </c>
      <c r="W4766">
        <f>SUM(POTABLE_NONPOTABLE_API[[#This Row],[NONPOTABLE_DEMAND_RESIDENTIAL_RECYCLED_WATER_GAL]:[NONPOTABLE_DEMAND_NONRESIDENTIAL_METERED_IRRIGATION_GAL]])</f>
        <v>0</v>
      </c>
      <c r="X4766" t="str">
        <f>IFERROR(INDEX(Crosswalk_API!$H$2:$H$527, MATCH(POTABLE_NONPOTABLE_API[[#This Row],[PWSID]], CW_PWSID_LIST, 0)), "")</f>
        <v>No</v>
      </c>
    </row>
    <row r="4767" spans="1:24" x14ac:dyDescent="0.25">
      <c r="A4767" t="s">
        <v>2145</v>
      </c>
      <c r="B4767" t="s">
        <v>2146</v>
      </c>
      <c r="C4767" t="s">
        <v>2149</v>
      </c>
      <c r="D4767" t="s">
        <v>2150</v>
      </c>
      <c r="E4767" s="9">
        <v>45139</v>
      </c>
      <c r="F4767" s="9">
        <v>45169</v>
      </c>
      <c r="G4767">
        <v>0</v>
      </c>
      <c r="H4767">
        <v>0</v>
      </c>
      <c r="I4767">
        <v>0</v>
      </c>
      <c r="J4767">
        <v>0</v>
      </c>
      <c r="K4767">
        <v>0</v>
      </c>
      <c r="L4767">
        <v>0</v>
      </c>
      <c r="M4767">
        <v>0</v>
      </c>
      <c r="T4767" s="9">
        <v>45108</v>
      </c>
      <c r="U4767" s="9">
        <v>45473</v>
      </c>
      <c r="V4767">
        <f>SUM(POTABLE_NONPOTABLE_API[[#This Row],[RESIDENTIAL_SINGLEFAMILY_GAL]:[OTHER_GAL]])</f>
        <v>0</v>
      </c>
      <c r="W4767">
        <f>SUM(POTABLE_NONPOTABLE_API[[#This Row],[NONPOTABLE_DEMAND_RESIDENTIAL_RECYCLED_WATER_GAL]:[NONPOTABLE_DEMAND_NONRESIDENTIAL_METERED_IRRIGATION_GAL]])</f>
        <v>0</v>
      </c>
      <c r="X4767" t="str">
        <f>IFERROR(INDEX(Crosswalk_API!$H$2:$H$527, MATCH(POTABLE_NONPOTABLE_API[[#This Row],[PWSID]], CW_PWSID_LIST, 0)), "")</f>
        <v>No</v>
      </c>
    </row>
    <row r="4768" spans="1:24" x14ac:dyDescent="0.25">
      <c r="A4768" t="s">
        <v>2145</v>
      </c>
      <c r="B4768" t="s">
        <v>2146</v>
      </c>
      <c r="C4768" t="s">
        <v>2149</v>
      </c>
      <c r="D4768" t="s">
        <v>2150</v>
      </c>
      <c r="E4768" s="9">
        <v>45170</v>
      </c>
      <c r="F4768" s="9">
        <v>45199</v>
      </c>
      <c r="G4768">
        <v>0</v>
      </c>
      <c r="H4768">
        <v>0</v>
      </c>
      <c r="I4768">
        <v>0</v>
      </c>
      <c r="J4768">
        <v>0</v>
      </c>
      <c r="K4768">
        <v>0</v>
      </c>
      <c r="L4768">
        <v>0</v>
      </c>
      <c r="M4768">
        <v>0</v>
      </c>
      <c r="T4768" s="9">
        <v>45108</v>
      </c>
      <c r="U4768" s="9">
        <v>45473</v>
      </c>
      <c r="V4768">
        <f>SUM(POTABLE_NONPOTABLE_API[[#This Row],[RESIDENTIAL_SINGLEFAMILY_GAL]:[OTHER_GAL]])</f>
        <v>0</v>
      </c>
      <c r="W4768">
        <f>SUM(POTABLE_NONPOTABLE_API[[#This Row],[NONPOTABLE_DEMAND_RESIDENTIAL_RECYCLED_WATER_GAL]:[NONPOTABLE_DEMAND_NONRESIDENTIAL_METERED_IRRIGATION_GAL]])</f>
        <v>0</v>
      </c>
      <c r="X4768" t="str">
        <f>IFERROR(INDEX(Crosswalk_API!$H$2:$H$527, MATCH(POTABLE_NONPOTABLE_API[[#This Row],[PWSID]], CW_PWSID_LIST, 0)), "")</f>
        <v>No</v>
      </c>
    </row>
    <row r="4769" spans="1:24" x14ac:dyDescent="0.25">
      <c r="A4769" t="s">
        <v>2145</v>
      </c>
      <c r="B4769" t="s">
        <v>2146</v>
      </c>
      <c r="C4769" t="s">
        <v>2149</v>
      </c>
      <c r="D4769" t="s">
        <v>2150</v>
      </c>
      <c r="E4769" s="9">
        <v>45200</v>
      </c>
      <c r="F4769" s="9">
        <v>45230</v>
      </c>
      <c r="G4769">
        <v>0</v>
      </c>
      <c r="H4769">
        <v>0</v>
      </c>
      <c r="I4769">
        <v>0</v>
      </c>
      <c r="J4769">
        <v>0</v>
      </c>
      <c r="K4769">
        <v>0</v>
      </c>
      <c r="L4769">
        <v>0</v>
      </c>
      <c r="M4769">
        <v>0</v>
      </c>
      <c r="T4769" s="9">
        <v>45108</v>
      </c>
      <c r="U4769" s="9">
        <v>45473</v>
      </c>
      <c r="V4769">
        <f>SUM(POTABLE_NONPOTABLE_API[[#This Row],[RESIDENTIAL_SINGLEFAMILY_GAL]:[OTHER_GAL]])</f>
        <v>0</v>
      </c>
      <c r="W4769">
        <f>SUM(POTABLE_NONPOTABLE_API[[#This Row],[NONPOTABLE_DEMAND_RESIDENTIAL_RECYCLED_WATER_GAL]:[NONPOTABLE_DEMAND_NONRESIDENTIAL_METERED_IRRIGATION_GAL]])</f>
        <v>0</v>
      </c>
      <c r="X4769" t="str">
        <f>IFERROR(INDEX(Crosswalk_API!$H$2:$H$527, MATCH(POTABLE_NONPOTABLE_API[[#This Row],[PWSID]], CW_PWSID_LIST, 0)), "")</f>
        <v>No</v>
      </c>
    </row>
    <row r="4770" spans="1:24" x14ac:dyDescent="0.25">
      <c r="A4770" t="s">
        <v>2145</v>
      </c>
      <c r="B4770" t="s">
        <v>2146</v>
      </c>
      <c r="C4770" t="s">
        <v>2149</v>
      </c>
      <c r="D4770" t="s">
        <v>2150</v>
      </c>
      <c r="E4770" s="9">
        <v>45231</v>
      </c>
      <c r="F4770" s="9">
        <v>45260</v>
      </c>
      <c r="G4770">
        <v>0</v>
      </c>
      <c r="H4770">
        <v>0</v>
      </c>
      <c r="I4770">
        <v>0</v>
      </c>
      <c r="J4770">
        <v>0</v>
      </c>
      <c r="K4770">
        <v>0</v>
      </c>
      <c r="L4770">
        <v>0</v>
      </c>
      <c r="M4770">
        <v>0</v>
      </c>
      <c r="T4770" s="9">
        <v>45108</v>
      </c>
      <c r="U4770" s="9">
        <v>45473</v>
      </c>
      <c r="V4770">
        <f>SUM(POTABLE_NONPOTABLE_API[[#This Row],[RESIDENTIAL_SINGLEFAMILY_GAL]:[OTHER_GAL]])</f>
        <v>0</v>
      </c>
      <c r="W4770">
        <f>SUM(POTABLE_NONPOTABLE_API[[#This Row],[NONPOTABLE_DEMAND_RESIDENTIAL_RECYCLED_WATER_GAL]:[NONPOTABLE_DEMAND_NONRESIDENTIAL_METERED_IRRIGATION_GAL]])</f>
        <v>0</v>
      </c>
      <c r="X4770" t="str">
        <f>IFERROR(INDEX(Crosswalk_API!$H$2:$H$527, MATCH(POTABLE_NONPOTABLE_API[[#This Row],[PWSID]], CW_PWSID_LIST, 0)), "")</f>
        <v>No</v>
      </c>
    </row>
    <row r="4771" spans="1:24" x14ac:dyDescent="0.25">
      <c r="A4771" t="s">
        <v>2145</v>
      </c>
      <c r="B4771" t="s">
        <v>2146</v>
      </c>
      <c r="C4771" t="s">
        <v>2149</v>
      </c>
      <c r="D4771" t="s">
        <v>2150</v>
      </c>
      <c r="E4771" s="9">
        <v>45261</v>
      </c>
      <c r="F4771" s="9">
        <v>45291</v>
      </c>
      <c r="G4771">
        <v>0</v>
      </c>
      <c r="H4771">
        <v>0</v>
      </c>
      <c r="I4771">
        <v>0</v>
      </c>
      <c r="J4771">
        <v>0</v>
      </c>
      <c r="K4771">
        <v>0</v>
      </c>
      <c r="L4771">
        <v>0</v>
      </c>
      <c r="M4771">
        <v>0</v>
      </c>
      <c r="T4771" s="9">
        <v>45108</v>
      </c>
      <c r="U4771" s="9">
        <v>45473</v>
      </c>
      <c r="V4771">
        <f>SUM(POTABLE_NONPOTABLE_API[[#This Row],[RESIDENTIAL_SINGLEFAMILY_GAL]:[OTHER_GAL]])</f>
        <v>0</v>
      </c>
      <c r="W4771">
        <f>SUM(POTABLE_NONPOTABLE_API[[#This Row],[NONPOTABLE_DEMAND_RESIDENTIAL_RECYCLED_WATER_GAL]:[NONPOTABLE_DEMAND_NONRESIDENTIAL_METERED_IRRIGATION_GAL]])</f>
        <v>0</v>
      </c>
      <c r="X4771" t="str">
        <f>IFERROR(INDEX(Crosswalk_API!$H$2:$H$527, MATCH(POTABLE_NONPOTABLE_API[[#This Row],[PWSID]], CW_PWSID_LIST, 0)), "")</f>
        <v>No</v>
      </c>
    </row>
    <row r="4772" spans="1:24" x14ac:dyDescent="0.25">
      <c r="A4772" t="s">
        <v>2145</v>
      </c>
      <c r="B4772" t="s">
        <v>2146</v>
      </c>
      <c r="C4772" t="s">
        <v>2149</v>
      </c>
      <c r="D4772" t="s">
        <v>2150</v>
      </c>
      <c r="E4772" s="9">
        <v>45292</v>
      </c>
      <c r="F4772" s="9">
        <v>45322</v>
      </c>
      <c r="G4772">
        <v>0</v>
      </c>
      <c r="H4772">
        <v>0</v>
      </c>
      <c r="I4772">
        <v>0</v>
      </c>
      <c r="J4772">
        <v>0</v>
      </c>
      <c r="K4772">
        <v>0</v>
      </c>
      <c r="L4772">
        <v>0</v>
      </c>
      <c r="M4772">
        <v>0</v>
      </c>
      <c r="T4772" s="9">
        <v>45108</v>
      </c>
      <c r="U4772" s="9">
        <v>45473</v>
      </c>
      <c r="V4772">
        <f>SUM(POTABLE_NONPOTABLE_API[[#This Row],[RESIDENTIAL_SINGLEFAMILY_GAL]:[OTHER_GAL]])</f>
        <v>0</v>
      </c>
      <c r="W4772">
        <f>SUM(POTABLE_NONPOTABLE_API[[#This Row],[NONPOTABLE_DEMAND_RESIDENTIAL_RECYCLED_WATER_GAL]:[NONPOTABLE_DEMAND_NONRESIDENTIAL_METERED_IRRIGATION_GAL]])</f>
        <v>0</v>
      </c>
      <c r="X4772" t="str">
        <f>IFERROR(INDEX(Crosswalk_API!$H$2:$H$527, MATCH(POTABLE_NONPOTABLE_API[[#This Row],[PWSID]], CW_PWSID_LIST, 0)), "")</f>
        <v>No</v>
      </c>
    </row>
    <row r="4773" spans="1:24" x14ac:dyDescent="0.25">
      <c r="A4773" t="s">
        <v>2145</v>
      </c>
      <c r="B4773" t="s">
        <v>2146</v>
      </c>
      <c r="C4773" t="s">
        <v>2149</v>
      </c>
      <c r="D4773" t="s">
        <v>2150</v>
      </c>
      <c r="E4773" s="9">
        <v>45323</v>
      </c>
      <c r="F4773" s="9">
        <v>45351</v>
      </c>
      <c r="G4773">
        <v>0</v>
      </c>
      <c r="H4773">
        <v>0</v>
      </c>
      <c r="I4773">
        <v>0</v>
      </c>
      <c r="J4773">
        <v>0</v>
      </c>
      <c r="K4773">
        <v>0</v>
      </c>
      <c r="L4773">
        <v>0</v>
      </c>
      <c r="M4773">
        <v>0</v>
      </c>
      <c r="T4773" s="9">
        <v>45108</v>
      </c>
      <c r="U4773" s="9">
        <v>45473</v>
      </c>
      <c r="V4773">
        <f>SUM(POTABLE_NONPOTABLE_API[[#This Row],[RESIDENTIAL_SINGLEFAMILY_GAL]:[OTHER_GAL]])</f>
        <v>0</v>
      </c>
      <c r="W4773">
        <f>SUM(POTABLE_NONPOTABLE_API[[#This Row],[NONPOTABLE_DEMAND_RESIDENTIAL_RECYCLED_WATER_GAL]:[NONPOTABLE_DEMAND_NONRESIDENTIAL_METERED_IRRIGATION_GAL]])</f>
        <v>0</v>
      </c>
      <c r="X4773" t="str">
        <f>IFERROR(INDEX(Crosswalk_API!$H$2:$H$527, MATCH(POTABLE_NONPOTABLE_API[[#This Row],[PWSID]], CW_PWSID_LIST, 0)), "")</f>
        <v>No</v>
      </c>
    </row>
    <row r="4774" spans="1:24" x14ac:dyDescent="0.25">
      <c r="A4774" t="s">
        <v>2145</v>
      </c>
      <c r="B4774" t="s">
        <v>2146</v>
      </c>
      <c r="C4774" t="s">
        <v>2149</v>
      </c>
      <c r="D4774" t="s">
        <v>2150</v>
      </c>
      <c r="E4774" s="9">
        <v>45352</v>
      </c>
      <c r="F4774" s="9">
        <v>45382</v>
      </c>
      <c r="G4774">
        <v>0</v>
      </c>
      <c r="H4774">
        <v>0</v>
      </c>
      <c r="I4774">
        <v>0</v>
      </c>
      <c r="J4774">
        <v>0</v>
      </c>
      <c r="K4774">
        <v>0</v>
      </c>
      <c r="L4774">
        <v>0</v>
      </c>
      <c r="M4774">
        <v>0</v>
      </c>
      <c r="T4774" s="9">
        <v>45108</v>
      </c>
      <c r="U4774" s="9">
        <v>45473</v>
      </c>
      <c r="V4774">
        <f>SUM(POTABLE_NONPOTABLE_API[[#This Row],[RESIDENTIAL_SINGLEFAMILY_GAL]:[OTHER_GAL]])</f>
        <v>0</v>
      </c>
      <c r="W4774">
        <f>SUM(POTABLE_NONPOTABLE_API[[#This Row],[NONPOTABLE_DEMAND_RESIDENTIAL_RECYCLED_WATER_GAL]:[NONPOTABLE_DEMAND_NONRESIDENTIAL_METERED_IRRIGATION_GAL]])</f>
        <v>0</v>
      </c>
      <c r="X4774" t="str">
        <f>IFERROR(INDEX(Crosswalk_API!$H$2:$H$527, MATCH(POTABLE_NONPOTABLE_API[[#This Row],[PWSID]], CW_PWSID_LIST, 0)), "")</f>
        <v>No</v>
      </c>
    </row>
    <row r="4775" spans="1:24" x14ac:dyDescent="0.25">
      <c r="A4775" t="s">
        <v>2145</v>
      </c>
      <c r="B4775" t="s">
        <v>2146</v>
      </c>
      <c r="C4775" t="s">
        <v>2149</v>
      </c>
      <c r="D4775" t="s">
        <v>2150</v>
      </c>
      <c r="E4775" s="9">
        <v>45383</v>
      </c>
      <c r="F4775" s="9">
        <v>45412</v>
      </c>
      <c r="G4775">
        <v>0</v>
      </c>
      <c r="H4775">
        <v>0</v>
      </c>
      <c r="I4775">
        <v>0</v>
      </c>
      <c r="J4775">
        <v>0</v>
      </c>
      <c r="K4775">
        <v>0</v>
      </c>
      <c r="L4775">
        <v>0</v>
      </c>
      <c r="M4775">
        <v>0</v>
      </c>
      <c r="T4775" s="9">
        <v>45108</v>
      </c>
      <c r="U4775" s="9">
        <v>45473</v>
      </c>
      <c r="V4775">
        <f>SUM(POTABLE_NONPOTABLE_API[[#This Row],[RESIDENTIAL_SINGLEFAMILY_GAL]:[OTHER_GAL]])</f>
        <v>0</v>
      </c>
      <c r="W4775">
        <f>SUM(POTABLE_NONPOTABLE_API[[#This Row],[NONPOTABLE_DEMAND_RESIDENTIAL_RECYCLED_WATER_GAL]:[NONPOTABLE_DEMAND_NONRESIDENTIAL_METERED_IRRIGATION_GAL]])</f>
        <v>0</v>
      </c>
      <c r="X4775" t="str">
        <f>IFERROR(INDEX(Crosswalk_API!$H$2:$H$527, MATCH(POTABLE_NONPOTABLE_API[[#This Row],[PWSID]], CW_PWSID_LIST, 0)), "")</f>
        <v>No</v>
      </c>
    </row>
    <row r="4776" spans="1:24" x14ac:dyDescent="0.25">
      <c r="A4776" t="s">
        <v>2145</v>
      </c>
      <c r="B4776" t="s">
        <v>2146</v>
      </c>
      <c r="C4776" t="s">
        <v>2149</v>
      </c>
      <c r="D4776" t="s">
        <v>2150</v>
      </c>
      <c r="E4776" s="9">
        <v>45413</v>
      </c>
      <c r="F4776" s="9">
        <v>45443</v>
      </c>
      <c r="G4776">
        <v>0</v>
      </c>
      <c r="H4776">
        <v>0</v>
      </c>
      <c r="I4776">
        <v>0</v>
      </c>
      <c r="J4776">
        <v>0</v>
      </c>
      <c r="K4776">
        <v>0</v>
      </c>
      <c r="L4776">
        <v>0</v>
      </c>
      <c r="M4776">
        <v>0</v>
      </c>
      <c r="T4776" s="9">
        <v>45108</v>
      </c>
      <c r="U4776" s="9">
        <v>45473</v>
      </c>
      <c r="V4776">
        <f>SUM(POTABLE_NONPOTABLE_API[[#This Row],[RESIDENTIAL_SINGLEFAMILY_GAL]:[OTHER_GAL]])</f>
        <v>0</v>
      </c>
      <c r="W4776">
        <f>SUM(POTABLE_NONPOTABLE_API[[#This Row],[NONPOTABLE_DEMAND_RESIDENTIAL_RECYCLED_WATER_GAL]:[NONPOTABLE_DEMAND_NONRESIDENTIAL_METERED_IRRIGATION_GAL]])</f>
        <v>0</v>
      </c>
      <c r="X4776" t="str">
        <f>IFERROR(INDEX(Crosswalk_API!$H$2:$H$527, MATCH(POTABLE_NONPOTABLE_API[[#This Row],[PWSID]], CW_PWSID_LIST, 0)), "")</f>
        <v>No</v>
      </c>
    </row>
    <row r="4777" spans="1:24" x14ac:dyDescent="0.25">
      <c r="A4777" t="s">
        <v>2145</v>
      </c>
      <c r="B4777" t="s">
        <v>2146</v>
      </c>
      <c r="C4777" t="s">
        <v>2149</v>
      </c>
      <c r="D4777" t="s">
        <v>2150</v>
      </c>
      <c r="E4777" s="9">
        <v>45444</v>
      </c>
      <c r="F4777" s="9">
        <v>45473</v>
      </c>
      <c r="G4777">
        <v>0</v>
      </c>
      <c r="H4777">
        <v>0</v>
      </c>
      <c r="I4777">
        <v>0</v>
      </c>
      <c r="J4777">
        <v>0</v>
      </c>
      <c r="K4777">
        <v>0</v>
      </c>
      <c r="L4777">
        <v>0</v>
      </c>
      <c r="M4777">
        <v>0</v>
      </c>
      <c r="T4777" s="9">
        <v>45108</v>
      </c>
      <c r="U4777" s="9">
        <v>45473</v>
      </c>
      <c r="V4777">
        <f>SUM(POTABLE_NONPOTABLE_API[[#This Row],[RESIDENTIAL_SINGLEFAMILY_GAL]:[OTHER_GAL]])</f>
        <v>0</v>
      </c>
      <c r="W4777">
        <f>SUM(POTABLE_NONPOTABLE_API[[#This Row],[NONPOTABLE_DEMAND_RESIDENTIAL_RECYCLED_WATER_GAL]:[NONPOTABLE_DEMAND_NONRESIDENTIAL_METERED_IRRIGATION_GAL]])</f>
        <v>0</v>
      </c>
      <c r="X4777" t="str">
        <f>IFERROR(INDEX(Crosswalk_API!$H$2:$H$527, MATCH(POTABLE_NONPOTABLE_API[[#This Row],[PWSID]], CW_PWSID_LIST, 0)), "")</f>
        <v>No</v>
      </c>
    </row>
    <row r="4778" spans="1:24" x14ac:dyDescent="0.25">
      <c r="A4778" t="s">
        <v>2145</v>
      </c>
      <c r="B4778" t="s">
        <v>2146</v>
      </c>
      <c r="C4778" t="s">
        <v>2151</v>
      </c>
      <c r="D4778" t="s">
        <v>2152</v>
      </c>
      <c r="E4778" s="9">
        <v>45108</v>
      </c>
      <c r="F4778" s="9">
        <v>45138</v>
      </c>
      <c r="G4778">
        <v>402886594.21200001</v>
      </c>
      <c r="H4778">
        <v>696924141.90400004</v>
      </c>
      <c r="I4778">
        <v>466838307.74400002</v>
      </c>
      <c r="J4778">
        <v>54996034.987999998</v>
      </c>
      <c r="K4778">
        <v>3321350.88</v>
      </c>
      <c r="L4778">
        <v>4539927.5880000005</v>
      </c>
      <c r="M4778">
        <v>0</v>
      </c>
      <c r="N4778">
        <v>0</v>
      </c>
      <c r="O4778">
        <v>0</v>
      </c>
      <c r="Q4778">
        <v>4970000</v>
      </c>
      <c r="R4778">
        <v>0</v>
      </c>
      <c r="T4778" s="9">
        <v>45108</v>
      </c>
      <c r="U4778" s="9">
        <v>45473</v>
      </c>
      <c r="V4778">
        <f>SUM(POTABLE_NONPOTABLE_API[[#This Row],[RESIDENTIAL_SINGLEFAMILY_GAL]:[OTHER_GAL]])</f>
        <v>1629506357.3160002</v>
      </c>
      <c r="W4778">
        <f>SUM(POTABLE_NONPOTABLE_API[[#This Row],[NONPOTABLE_DEMAND_RESIDENTIAL_RECYCLED_WATER_GAL]:[NONPOTABLE_DEMAND_NONRESIDENTIAL_METERED_IRRIGATION_GAL]])</f>
        <v>4970000</v>
      </c>
      <c r="X4778" t="str">
        <f>IFERROR(INDEX(Crosswalk_API!$H$2:$H$527, MATCH(POTABLE_NONPOTABLE_API[[#This Row],[PWSID]], CW_PWSID_LIST, 0)), "")</f>
        <v>No</v>
      </c>
    </row>
    <row r="4779" spans="1:24" x14ac:dyDescent="0.25">
      <c r="A4779" t="s">
        <v>2145</v>
      </c>
      <c r="B4779" t="s">
        <v>2146</v>
      </c>
      <c r="C4779" t="s">
        <v>2151</v>
      </c>
      <c r="D4779" t="s">
        <v>2152</v>
      </c>
      <c r="E4779" s="9">
        <v>45139</v>
      </c>
      <c r="F4779" s="9">
        <v>45169</v>
      </c>
      <c r="G4779">
        <v>363754497.98800004</v>
      </c>
      <c r="H4779">
        <v>637914059.88400006</v>
      </c>
      <c r="I4779">
        <v>403313731.90399998</v>
      </c>
      <c r="J4779">
        <v>59449188.544</v>
      </c>
      <c r="K4779">
        <v>2801454.74</v>
      </c>
      <c r="L4779">
        <v>5029901.648</v>
      </c>
      <c r="M4779">
        <v>0</v>
      </c>
      <c r="N4779">
        <v>0</v>
      </c>
      <c r="O4779">
        <v>0</v>
      </c>
      <c r="Q4779">
        <v>0</v>
      </c>
      <c r="R4779">
        <v>0</v>
      </c>
      <c r="T4779" s="9">
        <v>45108</v>
      </c>
      <c r="U4779" s="9">
        <v>45473</v>
      </c>
      <c r="V4779">
        <f>SUM(POTABLE_NONPOTABLE_API[[#This Row],[RESIDENTIAL_SINGLEFAMILY_GAL]:[OTHER_GAL]])</f>
        <v>1472262834.7079999</v>
      </c>
      <c r="W4779">
        <f>SUM(POTABLE_NONPOTABLE_API[[#This Row],[NONPOTABLE_DEMAND_RESIDENTIAL_RECYCLED_WATER_GAL]:[NONPOTABLE_DEMAND_NONRESIDENTIAL_METERED_IRRIGATION_GAL]])</f>
        <v>0</v>
      </c>
      <c r="X4779" t="str">
        <f>IFERROR(INDEX(Crosswalk_API!$H$2:$H$527, MATCH(POTABLE_NONPOTABLE_API[[#This Row],[PWSID]], CW_PWSID_LIST, 0)), "")</f>
        <v>No</v>
      </c>
    </row>
    <row r="4780" spans="1:24" x14ac:dyDescent="0.25">
      <c r="A4780" t="s">
        <v>2145</v>
      </c>
      <c r="B4780" t="s">
        <v>2146</v>
      </c>
      <c r="C4780" t="s">
        <v>2151</v>
      </c>
      <c r="D4780" t="s">
        <v>2152</v>
      </c>
      <c r="E4780" s="9">
        <v>45170</v>
      </c>
      <c r="F4780" s="9">
        <v>45199</v>
      </c>
      <c r="G4780">
        <v>427376320.588</v>
      </c>
      <c r="H4780">
        <v>727327967.39200008</v>
      </c>
      <c r="I4780">
        <v>463834130.912</v>
      </c>
      <c r="J4780">
        <v>67675516.387999997</v>
      </c>
      <c r="K4780">
        <v>2276322.236</v>
      </c>
      <c r="L4780">
        <v>4159169.12</v>
      </c>
      <c r="M4780">
        <v>0</v>
      </c>
      <c r="N4780">
        <v>0</v>
      </c>
      <c r="O4780">
        <v>0</v>
      </c>
      <c r="P4780">
        <v>0</v>
      </c>
      <c r="Q4780">
        <v>0</v>
      </c>
      <c r="R4780">
        <v>0</v>
      </c>
      <c r="S4780">
        <v>0</v>
      </c>
      <c r="T4780" s="9">
        <v>45108</v>
      </c>
      <c r="U4780" s="9">
        <v>45473</v>
      </c>
      <c r="V4780">
        <f>SUM(POTABLE_NONPOTABLE_API[[#This Row],[RESIDENTIAL_SINGLEFAMILY_GAL]:[OTHER_GAL]])</f>
        <v>1692649426.6359999</v>
      </c>
      <c r="W4780">
        <f>SUM(POTABLE_NONPOTABLE_API[[#This Row],[NONPOTABLE_DEMAND_RESIDENTIAL_RECYCLED_WATER_GAL]:[NONPOTABLE_DEMAND_NONRESIDENTIAL_METERED_IRRIGATION_GAL]])</f>
        <v>0</v>
      </c>
      <c r="X4780" t="str">
        <f>IFERROR(INDEX(Crosswalk_API!$H$2:$H$527, MATCH(POTABLE_NONPOTABLE_API[[#This Row],[PWSID]], CW_PWSID_LIST, 0)), "")</f>
        <v>No</v>
      </c>
    </row>
    <row r="4781" spans="1:24" x14ac:dyDescent="0.25">
      <c r="A4781" t="s">
        <v>2145</v>
      </c>
      <c r="B4781" t="s">
        <v>2146</v>
      </c>
      <c r="C4781" t="s">
        <v>2151</v>
      </c>
      <c r="D4781" t="s">
        <v>2152</v>
      </c>
      <c r="E4781" s="9">
        <v>45200</v>
      </c>
      <c r="F4781" s="9">
        <v>45230</v>
      </c>
      <c r="G4781">
        <v>363236846.00400001</v>
      </c>
      <c r="H4781">
        <v>646749302.05599999</v>
      </c>
      <c r="I4781">
        <v>423268019.00400001</v>
      </c>
      <c r="J4781">
        <v>47395826.667999998</v>
      </c>
      <c r="K4781">
        <v>2567314.4640000002</v>
      </c>
      <c r="L4781">
        <v>5694171.824</v>
      </c>
      <c r="M4781">
        <v>0</v>
      </c>
      <c r="N4781">
        <v>0</v>
      </c>
      <c r="O4781">
        <v>0</v>
      </c>
      <c r="Q4781">
        <v>0</v>
      </c>
      <c r="R4781">
        <v>0</v>
      </c>
      <c r="T4781" s="9">
        <v>45108</v>
      </c>
      <c r="U4781" s="9">
        <v>45473</v>
      </c>
      <c r="V4781">
        <f>SUM(POTABLE_NONPOTABLE_API[[#This Row],[RESIDENTIAL_SINGLEFAMILY_GAL]:[OTHER_GAL]])</f>
        <v>1488911480.0199997</v>
      </c>
      <c r="W4781">
        <f>SUM(POTABLE_NONPOTABLE_API[[#This Row],[NONPOTABLE_DEMAND_RESIDENTIAL_RECYCLED_WATER_GAL]:[NONPOTABLE_DEMAND_NONRESIDENTIAL_METERED_IRRIGATION_GAL]])</f>
        <v>0</v>
      </c>
      <c r="X4781" t="str">
        <f>IFERROR(INDEX(Crosswalk_API!$H$2:$H$527, MATCH(POTABLE_NONPOTABLE_API[[#This Row],[PWSID]], CW_PWSID_LIST, 0)), "")</f>
        <v>No</v>
      </c>
    </row>
    <row r="4782" spans="1:24" x14ac:dyDescent="0.25">
      <c r="A4782" t="s">
        <v>2145</v>
      </c>
      <c r="B4782" t="s">
        <v>2146</v>
      </c>
      <c r="C4782" t="s">
        <v>2151</v>
      </c>
      <c r="D4782" t="s">
        <v>2152</v>
      </c>
      <c r="E4782" s="9">
        <v>45231</v>
      </c>
      <c r="F4782" s="9">
        <v>45260</v>
      </c>
      <c r="G4782">
        <v>378639236.68400002</v>
      </c>
      <c r="H4782">
        <v>678618561.41200006</v>
      </c>
      <c r="I4782">
        <v>402086926.62400001</v>
      </c>
      <c r="J4782">
        <v>33826911.439999998</v>
      </c>
      <c r="K4782">
        <v>2266597.56</v>
      </c>
      <c r="L4782">
        <v>5584208.1799999997</v>
      </c>
      <c r="M4782">
        <v>0</v>
      </c>
      <c r="N4782">
        <v>0</v>
      </c>
      <c r="O4782">
        <v>0</v>
      </c>
      <c r="Q4782">
        <v>0</v>
      </c>
      <c r="R4782">
        <v>0</v>
      </c>
      <c r="T4782" s="9">
        <v>45108</v>
      </c>
      <c r="U4782" s="9">
        <v>45473</v>
      </c>
      <c r="V4782">
        <f>SUM(POTABLE_NONPOTABLE_API[[#This Row],[RESIDENTIAL_SINGLEFAMILY_GAL]:[OTHER_GAL]])</f>
        <v>1501022441.9000001</v>
      </c>
      <c r="W4782">
        <f>SUM(POTABLE_NONPOTABLE_API[[#This Row],[NONPOTABLE_DEMAND_RESIDENTIAL_RECYCLED_WATER_GAL]:[NONPOTABLE_DEMAND_NONRESIDENTIAL_METERED_IRRIGATION_GAL]])</f>
        <v>0</v>
      </c>
      <c r="X4782" t="str">
        <f>IFERROR(INDEX(Crosswalk_API!$H$2:$H$527, MATCH(POTABLE_NONPOTABLE_API[[#This Row],[PWSID]], CW_PWSID_LIST, 0)), "")</f>
        <v>No</v>
      </c>
    </row>
    <row r="4783" spans="1:24" x14ac:dyDescent="0.25">
      <c r="A4783" t="s">
        <v>2145</v>
      </c>
      <c r="B4783" t="s">
        <v>2146</v>
      </c>
      <c r="C4783" t="s">
        <v>2151</v>
      </c>
      <c r="D4783" t="s">
        <v>2152</v>
      </c>
      <c r="E4783" s="9">
        <v>45261</v>
      </c>
      <c r="F4783" s="9">
        <v>45291</v>
      </c>
      <c r="G4783">
        <v>355694985.74000001</v>
      </c>
      <c r="H4783">
        <v>612244655.50400007</v>
      </c>
      <c r="I4783">
        <v>352069177.69600004</v>
      </c>
      <c r="J4783">
        <v>17446816.796</v>
      </c>
      <c r="K4783">
        <v>2039189.7520000001</v>
      </c>
      <c r="L4783">
        <v>5047106.8440000005</v>
      </c>
      <c r="M4783">
        <v>0</v>
      </c>
      <c r="N4783">
        <v>0</v>
      </c>
      <c r="O4783">
        <v>0</v>
      </c>
      <c r="Q4783">
        <v>0</v>
      </c>
      <c r="R4783">
        <v>0</v>
      </c>
      <c r="T4783" s="9">
        <v>45108</v>
      </c>
      <c r="U4783" s="9">
        <v>45473</v>
      </c>
      <c r="V4783">
        <f>SUM(POTABLE_NONPOTABLE_API[[#This Row],[RESIDENTIAL_SINGLEFAMILY_GAL]:[OTHER_GAL]])</f>
        <v>1344541932.3320003</v>
      </c>
      <c r="W4783">
        <f>SUM(POTABLE_NONPOTABLE_API[[#This Row],[NONPOTABLE_DEMAND_RESIDENTIAL_RECYCLED_WATER_GAL]:[NONPOTABLE_DEMAND_NONRESIDENTIAL_METERED_IRRIGATION_GAL]])</f>
        <v>0</v>
      </c>
      <c r="X4783" t="str">
        <f>IFERROR(INDEX(Crosswalk_API!$H$2:$H$527, MATCH(POTABLE_NONPOTABLE_API[[#This Row],[PWSID]], CW_PWSID_LIST, 0)), "")</f>
        <v>No</v>
      </c>
    </row>
    <row r="4784" spans="1:24" x14ac:dyDescent="0.25">
      <c r="A4784" t="s">
        <v>2145</v>
      </c>
      <c r="B4784" t="s">
        <v>2146</v>
      </c>
      <c r="C4784" t="s">
        <v>2151</v>
      </c>
      <c r="D4784" t="s">
        <v>2152</v>
      </c>
      <c r="E4784" s="9">
        <v>45292</v>
      </c>
      <c r="F4784" s="9">
        <v>45322</v>
      </c>
      <c r="G4784">
        <v>362259142.04000002</v>
      </c>
      <c r="H4784">
        <v>634097498.58000004</v>
      </c>
      <c r="I4784">
        <v>377239631.39200002</v>
      </c>
      <c r="J4784">
        <v>9156904.5319999997</v>
      </c>
      <c r="K4784">
        <v>2941340.4640000002</v>
      </c>
      <c r="L4784">
        <v>3378202.8319999999</v>
      </c>
      <c r="M4784">
        <v>0</v>
      </c>
      <c r="N4784">
        <v>0</v>
      </c>
      <c r="O4784">
        <v>0</v>
      </c>
      <c r="Q4784">
        <v>0</v>
      </c>
      <c r="R4784">
        <v>0</v>
      </c>
      <c r="T4784" s="9">
        <v>45108</v>
      </c>
      <c r="U4784" s="9">
        <v>45473</v>
      </c>
      <c r="V4784">
        <f>SUM(POTABLE_NONPOTABLE_API[[#This Row],[RESIDENTIAL_SINGLEFAMILY_GAL]:[OTHER_GAL]])</f>
        <v>1389072719.8400002</v>
      </c>
      <c r="W4784">
        <f>SUM(POTABLE_NONPOTABLE_API[[#This Row],[NONPOTABLE_DEMAND_RESIDENTIAL_RECYCLED_WATER_GAL]:[NONPOTABLE_DEMAND_NONRESIDENTIAL_METERED_IRRIGATION_GAL]])</f>
        <v>0</v>
      </c>
      <c r="X4784" t="str">
        <f>IFERROR(INDEX(Crosswalk_API!$H$2:$H$527, MATCH(POTABLE_NONPOTABLE_API[[#This Row],[PWSID]], CW_PWSID_LIST, 0)), "")</f>
        <v>No</v>
      </c>
    </row>
    <row r="4785" spans="1:24" x14ac:dyDescent="0.25">
      <c r="A4785" t="s">
        <v>2145</v>
      </c>
      <c r="B4785" t="s">
        <v>2146</v>
      </c>
      <c r="C4785" t="s">
        <v>2151</v>
      </c>
      <c r="D4785" t="s">
        <v>2152</v>
      </c>
      <c r="E4785" s="9">
        <v>45323</v>
      </c>
      <c r="F4785" s="9">
        <v>45351</v>
      </c>
      <c r="G4785">
        <v>358560024.90000004</v>
      </c>
      <c r="H4785">
        <v>645671359.12400007</v>
      </c>
      <c r="I4785">
        <v>372071340.12400001</v>
      </c>
      <c r="J4785">
        <v>6652426.4359999998</v>
      </c>
      <c r="K4785">
        <v>2485776.7960000001</v>
      </c>
      <c r="L4785">
        <v>3444779.46</v>
      </c>
      <c r="M4785">
        <v>0</v>
      </c>
      <c r="N4785">
        <v>0</v>
      </c>
      <c r="O4785">
        <v>0</v>
      </c>
      <c r="Q4785">
        <v>0</v>
      </c>
      <c r="R4785">
        <v>0</v>
      </c>
      <c r="T4785" s="9">
        <v>45108</v>
      </c>
      <c r="U4785" s="9">
        <v>45473</v>
      </c>
      <c r="V4785">
        <f>SUM(POTABLE_NONPOTABLE_API[[#This Row],[RESIDENTIAL_SINGLEFAMILY_GAL]:[OTHER_GAL]])</f>
        <v>1388885706.8400004</v>
      </c>
      <c r="W4785">
        <f>SUM(POTABLE_NONPOTABLE_API[[#This Row],[NONPOTABLE_DEMAND_RESIDENTIAL_RECYCLED_WATER_GAL]:[NONPOTABLE_DEMAND_NONRESIDENTIAL_METERED_IRRIGATION_GAL]])</f>
        <v>0</v>
      </c>
      <c r="X4785" t="str">
        <f>IFERROR(INDEX(Crosswalk_API!$H$2:$H$527, MATCH(POTABLE_NONPOTABLE_API[[#This Row],[PWSID]], CW_PWSID_LIST, 0)), "")</f>
        <v>No</v>
      </c>
    </row>
    <row r="4786" spans="1:24" x14ac:dyDescent="0.25">
      <c r="A4786" t="s">
        <v>2145</v>
      </c>
      <c r="B4786" t="s">
        <v>2146</v>
      </c>
      <c r="C4786" t="s">
        <v>2151</v>
      </c>
      <c r="D4786" t="s">
        <v>2152</v>
      </c>
      <c r="E4786" s="9">
        <v>45352</v>
      </c>
      <c r="F4786" s="9">
        <v>45382</v>
      </c>
      <c r="G4786">
        <v>339950735.296</v>
      </c>
      <c r="H4786">
        <v>625182214.84399998</v>
      </c>
      <c r="I4786">
        <v>363990882.42000002</v>
      </c>
      <c r="J4786">
        <v>11457912.484000001</v>
      </c>
      <c r="K4786">
        <v>2192540.412</v>
      </c>
      <c r="L4786">
        <v>0</v>
      </c>
      <c r="M4786">
        <v>0</v>
      </c>
      <c r="N4786">
        <v>0</v>
      </c>
      <c r="O4786">
        <v>0</v>
      </c>
      <c r="Q4786">
        <v>0</v>
      </c>
      <c r="R4786">
        <v>0</v>
      </c>
      <c r="T4786" s="9">
        <v>45108</v>
      </c>
      <c r="U4786" s="9">
        <v>45473</v>
      </c>
      <c r="V4786">
        <f>SUM(POTABLE_NONPOTABLE_API[[#This Row],[RESIDENTIAL_SINGLEFAMILY_GAL]:[OTHER_GAL]])</f>
        <v>1342774285.4559999</v>
      </c>
      <c r="W4786">
        <f>SUM(POTABLE_NONPOTABLE_API[[#This Row],[NONPOTABLE_DEMAND_RESIDENTIAL_RECYCLED_WATER_GAL]:[NONPOTABLE_DEMAND_NONRESIDENTIAL_METERED_IRRIGATION_GAL]])</f>
        <v>0</v>
      </c>
      <c r="X4786" t="str">
        <f>IFERROR(INDEX(Crosswalk_API!$H$2:$H$527, MATCH(POTABLE_NONPOTABLE_API[[#This Row],[PWSID]], CW_PWSID_LIST, 0)), "")</f>
        <v>No</v>
      </c>
    </row>
    <row r="4787" spans="1:24" x14ac:dyDescent="0.25">
      <c r="A4787" t="s">
        <v>2145</v>
      </c>
      <c r="B4787" t="s">
        <v>2146</v>
      </c>
      <c r="C4787" t="s">
        <v>2151</v>
      </c>
      <c r="D4787" t="s">
        <v>2152</v>
      </c>
      <c r="E4787" s="9">
        <v>45383</v>
      </c>
      <c r="F4787" s="9">
        <v>45412</v>
      </c>
      <c r="G4787">
        <v>364032025.28000003</v>
      </c>
      <c r="H4787">
        <v>646279525.39999998</v>
      </c>
      <c r="I4787">
        <v>375468992.30800003</v>
      </c>
      <c r="J4787">
        <v>12528374.896</v>
      </c>
      <c r="K4787">
        <v>2378057.3080000002</v>
      </c>
      <c r="L4787">
        <v>3618327.5240000002</v>
      </c>
      <c r="M4787">
        <v>0</v>
      </c>
      <c r="N4787">
        <v>0</v>
      </c>
      <c r="O4787">
        <v>0</v>
      </c>
      <c r="Q4787">
        <v>1490000</v>
      </c>
      <c r="R4787">
        <v>0</v>
      </c>
      <c r="T4787" s="9">
        <v>45108</v>
      </c>
      <c r="U4787" s="9">
        <v>45473</v>
      </c>
      <c r="V4787">
        <f>SUM(POTABLE_NONPOTABLE_API[[#This Row],[RESIDENTIAL_SINGLEFAMILY_GAL]:[OTHER_GAL]])</f>
        <v>1404305302.7160001</v>
      </c>
      <c r="W4787">
        <f>SUM(POTABLE_NONPOTABLE_API[[#This Row],[NONPOTABLE_DEMAND_RESIDENTIAL_RECYCLED_WATER_GAL]:[NONPOTABLE_DEMAND_NONRESIDENTIAL_METERED_IRRIGATION_GAL]])</f>
        <v>1490000</v>
      </c>
      <c r="X4787" t="str">
        <f>IFERROR(INDEX(Crosswalk_API!$H$2:$H$527, MATCH(POTABLE_NONPOTABLE_API[[#This Row],[PWSID]], CW_PWSID_LIST, 0)), "")</f>
        <v>No</v>
      </c>
    </row>
    <row r="4788" spans="1:24" x14ac:dyDescent="0.25">
      <c r="A4788" t="s">
        <v>2145</v>
      </c>
      <c r="B4788" t="s">
        <v>2146</v>
      </c>
      <c r="C4788" t="s">
        <v>2151</v>
      </c>
      <c r="D4788" t="s">
        <v>2152</v>
      </c>
      <c r="E4788" s="9">
        <v>45413</v>
      </c>
      <c r="F4788" s="9">
        <v>45443</v>
      </c>
      <c r="G4788">
        <v>377232898.92400002</v>
      </c>
      <c r="H4788">
        <v>670106477.704</v>
      </c>
      <c r="I4788">
        <v>420670782.46000004</v>
      </c>
      <c r="J4788">
        <v>36784709.048</v>
      </c>
      <c r="K4788">
        <v>2259117.04</v>
      </c>
      <c r="L4788">
        <v>2882244.3560000001</v>
      </c>
      <c r="M4788">
        <v>0</v>
      </c>
      <c r="N4788">
        <v>0</v>
      </c>
      <c r="O4788">
        <v>0</v>
      </c>
      <c r="Q4788">
        <v>0</v>
      </c>
      <c r="R4788">
        <v>0</v>
      </c>
      <c r="T4788" s="9">
        <v>45108</v>
      </c>
      <c r="U4788" s="9">
        <v>45473</v>
      </c>
      <c r="V4788">
        <f>SUM(POTABLE_NONPOTABLE_API[[#This Row],[RESIDENTIAL_SINGLEFAMILY_GAL]:[OTHER_GAL]])</f>
        <v>1509936229.5320001</v>
      </c>
      <c r="W4788">
        <f>SUM(POTABLE_NONPOTABLE_API[[#This Row],[NONPOTABLE_DEMAND_RESIDENTIAL_RECYCLED_WATER_GAL]:[NONPOTABLE_DEMAND_NONRESIDENTIAL_METERED_IRRIGATION_GAL]])</f>
        <v>0</v>
      </c>
      <c r="X4788" t="str">
        <f>IFERROR(INDEX(Crosswalk_API!$H$2:$H$527, MATCH(POTABLE_NONPOTABLE_API[[#This Row],[PWSID]], CW_PWSID_LIST, 0)), "")</f>
        <v>No</v>
      </c>
    </row>
    <row r="4789" spans="1:24" x14ac:dyDescent="0.25">
      <c r="A4789" t="s">
        <v>2145</v>
      </c>
      <c r="B4789" t="s">
        <v>2146</v>
      </c>
      <c r="C4789" t="s">
        <v>2151</v>
      </c>
      <c r="D4789" t="s">
        <v>2152</v>
      </c>
      <c r="E4789" s="9">
        <v>45444</v>
      </c>
      <c r="F4789" s="9">
        <v>45473</v>
      </c>
      <c r="G4789">
        <v>388283871.12</v>
      </c>
      <c r="H4789">
        <v>704715851.53600001</v>
      </c>
      <c r="I4789">
        <v>469538775.46399999</v>
      </c>
      <c r="J4789">
        <v>50457603.504000001</v>
      </c>
      <c r="K4789">
        <v>2577787.1920000003</v>
      </c>
      <c r="L4789">
        <v>4517486.0279999999</v>
      </c>
      <c r="M4789">
        <v>0</v>
      </c>
      <c r="N4789">
        <v>0</v>
      </c>
      <c r="O4789">
        <v>0</v>
      </c>
      <c r="Q4789">
        <v>0</v>
      </c>
      <c r="R4789">
        <v>0</v>
      </c>
      <c r="T4789" s="9">
        <v>45108</v>
      </c>
      <c r="U4789" s="9">
        <v>45473</v>
      </c>
      <c r="V4789">
        <f>SUM(POTABLE_NONPOTABLE_API[[#This Row],[RESIDENTIAL_SINGLEFAMILY_GAL]:[OTHER_GAL]])</f>
        <v>1620091374.8440001</v>
      </c>
      <c r="W4789">
        <f>SUM(POTABLE_NONPOTABLE_API[[#This Row],[NONPOTABLE_DEMAND_RESIDENTIAL_RECYCLED_WATER_GAL]:[NONPOTABLE_DEMAND_NONRESIDENTIAL_METERED_IRRIGATION_GAL]])</f>
        <v>0</v>
      </c>
      <c r="X4789" t="str">
        <f>IFERROR(INDEX(Crosswalk_API!$H$2:$H$527, MATCH(POTABLE_NONPOTABLE_API[[#This Row],[PWSID]], CW_PWSID_LIST, 0)), "")</f>
        <v>No</v>
      </c>
    </row>
    <row r="4790" spans="1:24" x14ac:dyDescent="0.25">
      <c r="A4790" t="s">
        <v>2154</v>
      </c>
      <c r="B4790" t="s">
        <v>2155</v>
      </c>
      <c r="C4790" t="s">
        <v>2156</v>
      </c>
      <c r="D4790" t="s">
        <v>2157</v>
      </c>
      <c r="E4790" s="9">
        <v>45108</v>
      </c>
      <c r="F4790" s="9">
        <v>45138</v>
      </c>
      <c r="G4790">
        <v>63757220.012000002</v>
      </c>
      <c r="H4790">
        <v>20535523.504000001</v>
      </c>
      <c r="I4790">
        <v>13975107.464</v>
      </c>
      <c r="J4790">
        <v>5694919.8760000002</v>
      </c>
      <c r="K4790">
        <v>0</v>
      </c>
      <c r="L4790">
        <v>9046192.8360000011</v>
      </c>
      <c r="M4790">
        <v>0</v>
      </c>
      <c r="T4790" s="9">
        <v>45108</v>
      </c>
      <c r="U4790" s="9">
        <v>45473</v>
      </c>
      <c r="V4790">
        <f>SUM(POTABLE_NONPOTABLE_API[[#This Row],[RESIDENTIAL_SINGLEFAMILY_GAL]:[OTHER_GAL]])</f>
        <v>113008963.692</v>
      </c>
      <c r="W4790">
        <f>SUM(POTABLE_NONPOTABLE_API[[#This Row],[NONPOTABLE_DEMAND_RESIDENTIAL_RECYCLED_WATER_GAL]:[NONPOTABLE_DEMAND_NONRESIDENTIAL_METERED_IRRIGATION_GAL]])</f>
        <v>0</v>
      </c>
      <c r="X4790" t="str">
        <f>IFERROR(INDEX(Crosswalk_API!$H$2:$H$527, MATCH(POTABLE_NONPOTABLE_API[[#This Row],[PWSID]], CW_PWSID_LIST, 0)), "")</f>
        <v>No</v>
      </c>
    </row>
    <row r="4791" spans="1:24" x14ac:dyDescent="0.25">
      <c r="A4791" t="s">
        <v>2154</v>
      </c>
      <c r="B4791" t="s">
        <v>2155</v>
      </c>
      <c r="C4791" t="s">
        <v>2156</v>
      </c>
      <c r="D4791" t="s">
        <v>2157</v>
      </c>
      <c r="E4791" s="9">
        <v>45139</v>
      </c>
      <c r="F4791" s="9">
        <v>45169</v>
      </c>
      <c r="G4791">
        <v>62691245.912</v>
      </c>
      <c r="H4791">
        <v>20520562.464000002</v>
      </c>
      <c r="I4791">
        <v>35524989.480000004</v>
      </c>
      <c r="J4791">
        <v>6157964.0640000002</v>
      </c>
      <c r="K4791">
        <v>0</v>
      </c>
      <c r="L4791">
        <v>3690140.5160000003</v>
      </c>
      <c r="M4791">
        <v>0</v>
      </c>
      <c r="T4791" s="9">
        <v>45108</v>
      </c>
      <c r="U4791" s="9">
        <v>45473</v>
      </c>
      <c r="V4791">
        <f>SUM(POTABLE_NONPOTABLE_API[[#This Row],[RESIDENTIAL_SINGLEFAMILY_GAL]:[OTHER_GAL]])</f>
        <v>128584902.436</v>
      </c>
      <c r="W4791">
        <f>SUM(POTABLE_NONPOTABLE_API[[#This Row],[NONPOTABLE_DEMAND_RESIDENTIAL_RECYCLED_WATER_GAL]:[NONPOTABLE_DEMAND_NONRESIDENTIAL_METERED_IRRIGATION_GAL]])</f>
        <v>0</v>
      </c>
      <c r="X4791" t="str">
        <f>IFERROR(INDEX(Crosswalk_API!$H$2:$H$527, MATCH(POTABLE_NONPOTABLE_API[[#This Row],[PWSID]], CW_PWSID_LIST, 0)), "")</f>
        <v>No</v>
      </c>
    </row>
    <row r="4792" spans="1:24" x14ac:dyDescent="0.25">
      <c r="A4792" t="s">
        <v>2154</v>
      </c>
      <c r="B4792" t="s">
        <v>2155</v>
      </c>
      <c r="C4792" t="s">
        <v>2156</v>
      </c>
      <c r="D4792" t="s">
        <v>2157</v>
      </c>
      <c r="E4792" s="9">
        <v>45170</v>
      </c>
      <c r="F4792" s="9">
        <v>45199</v>
      </c>
      <c r="G4792">
        <v>82179496.615999997</v>
      </c>
      <c r="H4792">
        <v>25154744.604000002</v>
      </c>
      <c r="I4792">
        <v>16714473.888</v>
      </c>
      <c r="J4792">
        <v>10736790.356000001</v>
      </c>
      <c r="K4792">
        <v>0</v>
      </c>
      <c r="L4792">
        <v>12369787.872</v>
      </c>
      <c r="M4792">
        <v>0</v>
      </c>
      <c r="T4792" s="9">
        <v>45108</v>
      </c>
      <c r="U4792" s="9">
        <v>45473</v>
      </c>
      <c r="V4792">
        <f>SUM(POTABLE_NONPOTABLE_API[[#This Row],[RESIDENTIAL_SINGLEFAMILY_GAL]:[OTHER_GAL]])</f>
        <v>147155293.336</v>
      </c>
      <c r="W4792">
        <f>SUM(POTABLE_NONPOTABLE_API[[#This Row],[NONPOTABLE_DEMAND_RESIDENTIAL_RECYCLED_WATER_GAL]:[NONPOTABLE_DEMAND_NONRESIDENTIAL_METERED_IRRIGATION_GAL]])</f>
        <v>0</v>
      </c>
      <c r="X4792" t="str">
        <f>IFERROR(INDEX(Crosswalk_API!$H$2:$H$527, MATCH(POTABLE_NONPOTABLE_API[[#This Row],[PWSID]], CW_PWSID_LIST, 0)), "")</f>
        <v>No</v>
      </c>
    </row>
    <row r="4793" spans="1:24" x14ac:dyDescent="0.25">
      <c r="A4793" t="s">
        <v>2154</v>
      </c>
      <c r="B4793" t="s">
        <v>2155</v>
      </c>
      <c r="C4793" t="s">
        <v>2156</v>
      </c>
      <c r="D4793" t="s">
        <v>2157</v>
      </c>
      <c r="E4793" s="9">
        <v>45200</v>
      </c>
      <c r="F4793" s="9">
        <v>45230</v>
      </c>
      <c r="G4793">
        <v>58740035.248000003</v>
      </c>
      <c r="H4793">
        <v>20221341.664000001</v>
      </c>
      <c r="I4793">
        <v>33346662.056000002</v>
      </c>
      <c r="J4793">
        <v>5270026.34</v>
      </c>
      <c r="K4793">
        <v>0</v>
      </c>
      <c r="L4793">
        <v>4055189.892</v>
      </c>
      <c r="M4793">
        <v>0</v>
      </c>
      <c r="T4793" s="9">
        <v>45108</v>
      </c>
      <c r="U4793" s="9">
        <v>45473</v>
      </c>
      <c r="V4793">
        <f>SUM(POTABLE_NONPOTABLE_API[[#This Row],[RESIDENTIAL_SINGLEFAMILY_GAL]:[OTHER_GAL]])</f>
        <v>121633255.2</v>
      </c>
      <c r="W4793">
        <f>SUM(POTABLE_NONPOTABLE_API[[#This Row],[NONPOTABLE_DEMAND_RESIDENTIAL_RECYCLED_WATER_GAL]:[NONPOTABLE_DEMAND_NONRESIDENTIAL_METERED_IRRIGATION_GAL]])</f>
        <v>0</v>
      </c>
      <c r="X4793" t="str">
        <f>IFERROR(INDEX(Crosswalk_API!$H$2:$H$527, MATCH(POTABLE_NONPOTABLE_API[[#This Row],[PWSID]], CW_PWSID_LIST, 0)), "")</f>
        <v>No</v>
      </c>
    </row>
    <row r="4794" spans="1:24" x14ac:dyDescent="0.25">
      <c r="A4794" t="s">
        <v>2154</v>
      </c>
      <c r="B4794" t="s">
        <v>2155</v>
      </c>
      <c r="C4794" t="s">
        <v>2156</v>
      </c>
      <c r="D4794" t="s">
        <v>2157</v>
      </c>
      <c r="E4794" s="9">
        <v>45231</v>
      </c>
      <c r="F4794" s="9">
        <v>45260</v>
      </c>
      <c r="G4794">
        <v>71803267.324000001</v>
      </c>
      <c r="H4794">
        <v>23597300.34</v>
      </c>
      <c r="I4794">
        <v>15878899.804</v>
      </c>
      <c r="J4794">
        <v>7548592.7319999998</v>
      </c>
      <c r="K4794">
        <v>0</v>
      </c>
      <c r="L4794">
        <v>9634909.7599999998</v>
      </c>
      <c r="M4794">
        <v>0</v>
      </c>
      <c r="T4794" s="9">
        <v>45108</v>
      </c>
      <c r="U4794" s="9">
        <v>45473</v>
      </c>
      <c r="V4794">
        <f>SUM(POTABLE_NONPOTABLE_API[[#This Row],[RESIDENTIAL_SINGLEFAMILY_GAL]:[OTHER_GAL]])</f>
        <v>128462969.96000001</v>
      </c>
      <c r="W4794">
        <f>SUM(POTABLE_NONPOTABLE_API[[#This Row],[NONPOTABLE_DEMAND_RESIDENTIAL_RECYCLED_WATER_GAL]:[NONPOTABLE_DEMAND_NONRESIDENTIAL_METERED_IRRIGATION_GAL]])</f>
        <v>0</v>
      </c>
      <c r="X4794" t="str">
        <f>IFERROR(INDEX(Crosswalk_API!$H$2:$H$527, MATCH(POTABLE_NONPOTABLE_API[[#This Row],[PWSID]], CW_PWSID_LIST, 0)), "")</f>
        <v>No</v>
      </c>
    </row>
    <row r="4795" spans="1:24" x14ac:dyDescent="0.25">
      <c r="A4795" t="s">
        <v>2154</v>
      </c>
      <c r="B4795" t="s">
        <v>2155</v>
      </c>
      <c r="C4795" t="s">
        <v>2156</v>
      </c>
      <c r="D4795" t="s">
        <v>2157</v>
      </c>
      <c r="E4795" s="9">
        <v>45261</v>
      </c>
      <c r="F4795" s="9">
        <v>45291</v>
      </c>
      <c r="G4795">
        <v>61187661.392000005</v>
      </c>
      <c r="H4795">
        <v>21699492.416000001</v>
      </c>
      <c r="I4795">
        <v>36551316.824000001</v>
      </c>
      <c r="J4795">
        <v>4978286.0600000005</v>
      </c>
      <c r="K4795">
        <v>0</v>
      </c>
      <c r="L4795">
        <v>4254919.7760000005</v>
      </c>
      <c r="M4795">
        <v>0</v>
      </c>
      <c r="T4795" s="9">
        <v>45108</v>
      </c>
      <c r="U4795" s="9">
        <v>45473</v>
      </c>
      <c r="V4795">
        <f>SUM(POTABLE_NONPOTABLE_API[[#This Row],[RESIDENTIAL_SINGLEFAMILY_GAL]:[OTHER_GAL]])</f>
        <v>128671676.46799999</v>
      </c>
      <c r="W4795">
        <f>SUM(POTABLE_NONPOTABLE_API[[#This Row],[NONPOTABLE_DEMAND_RESIDENTIAL_RECYCLED_WATER_GAL]:[NONPOTABLE_DEMAND_NONRESIDENTIAL_METERED_IRRIGATION_GAL]])</f>
        <v>0</v>
      </c>
      <c r="X4795" t="str">
        <f>IFERROR(INDEX(Crosswalk_API!$H$2:$H$527, MATCH(POTABLE_NONPOTABLE_API[[#This Row],[PWSID]], CW_PWSID_LIST, 0)), "")</f>
        <v>No</v>
      </c>
    </row>
    <row r="4796" spans="1:24" x14ac:dyDescent="0.25">
      <c r="A4796" t="s">
        <v>2154</v>
      </c>
      <c r="B4796" t="s">
        <v>2155</v>
      </c>
      <c r="C4796" t="s">
        <v>2156</v>
      </c>
      <c r="D4796" t="s">
        <v>2157</v>
      </c>
      <c r="E4796" s="9">
        <v>45292</v>
      </c>
      <c r="F4796" s="9">
        <v>45322</v>
      </c>
      <c r="G4796">
        <v>56200398.708000004</v>
      </c>
      <c r="H4796">
        <v>19925113.072000001</v>
      </c>
      <c r="I4796">
        <v>14114993.188000001</v>
      </c>
      <c r="J4796">
        <v>5195221.1400000006</v>
      </c>
      <c r="K4796">
        <v>0</v>
      </c>
      <c r="L4796">
        <v>6177413.4160000002</v>
      </c>
      <c r="M4796">
        <v>0</v>
      </c>
      <c r="T4796" s="9">
        <v>45108</v>
      </c>
      <c r="U4796" s="9">
        <v>45473</v>
      </c>
      <c r="V4796">
        <f>SUM(POTABLE_NONPOTABLE_API[[#This Row],[RESIDENTIAL_SINGLEFAMILY_GAL]:[OTHER_GAL]])</f>
        <v>101613139.52399999</v>
      </c>
      <c r="W4796">
        <f>SUM(POTABLE_NONPOTABLE_API[[#This Row],[NONPOTABLE_DEMAND_RESIDENTIAL_RECYCLED_WATER_GAL]:[NONPOTABLE_DEMAND_NONRESIDENTIAL_METERED_IRRIGATION_GAL]])</f>
        <v>0</v>
      </c>
      <c r="X4796" t="str">
        <f>IFERROR(INDEX(Crosswalk_API!$H$2:$H$527, MATCH(POTABLE_NONPOTABLE_API[[#This Row],[PWSID]], CW_PWSID_LIST, 0)), "")</f>
        <v>No</v>
      </c>
    </row>
    <row r="4797" spans="1:24" x14ac:dyDescent="0.25">
      <c r="A4797" t="s">
        <v>2154</v>
      </c>
      <c r="B4797" t="s">
        <v>2155</v>
      </c>
      <c r="C4797" t="s">
        <v>2156</v>
      </c>
      <c r="D4797" t="s">
        <v>2157</v>
      </c>
      <c r="E4797" s="9">
        <v>45323</v>
      </c>
      <c r="F4797" s="9">
        <v>45351</v>
      </c>
      <c r="G4797">
        <v>56200398.708000004</v>
      </c>
      <c r="H4797">
        <v>19925113.072000001</v>
      </c>
      <c r="I4797">
        <v>14114993.188000001</v>
      </c>
      <c r="J4797">
        <v>5195221.1400000006</v>
      </c>
      <c r="K4797">
        <v>0</v>
      </c>
      <c r="L4797">
        <v>6177413.4160000002</v>
      </c>
      <c r="M4797">
        <v>0</v>
      </c>
      <c r="T4797" s="9">
        <v>45108</v>
      </c>
      <c r="U4797" s="9">
        <v>45473</v>
      </c>
      <c r="V4797">
        <f>SUM(POTABLE_NONPOTABLE_API[[#This Row],[RESIDENTIAL_SINGLEFAMILY_GAL]:[OTHER_GAL]])</f>
        <v>101613139.52399999</v>
      </c>
      <c r="W4797">
        <f>SUM(POTABLE_NONPOTABLE_API[[#This Row],[NONPOTABLE_DEMAND_RESIDENTIAL_RECYCLED_WATER_GAL]:[NONPOTABLE_DEMAND_NONRESIDENTIAL_METERED_IRRIGATION_GAL]])</f>
        <v>0</v>
      </c>
      <c r="X4797" t="str">
        <f>IFERROR(INDEX(Crosswalk_API!$H$2:$H$527, MATCH(POTABLE_NONPOTABLE_API[[#This Row],[PWSID]], CW_PWSID_LIST, 0)), "")</f>
        <v>No</v>
      </c>
    </row>
    <row r="4798" spans="1:24" x14ac:dyDescent="0.25">
      <c r="A4798" t="s">
        <v>2154</v>
      </c>
      <c r="B4798" t="s">
        <v>2155</v>
      </c>
      <c r="C4798" t="s">
        <v>2156</v>
      </c>
      <c r="D4798" t="s">
        <v>2157</v>
      </c>
      <c r="E4798" s="9">
        <v>45352</v>
      </c>
      <c r="F4798" s="9">
        <v>45382</v>
      </c>
      <c r="G4798">
        <v>50093302.18</v>
      </c>
      <c r="H4798">
        <v>19964011.776000001</v>
      </c>
      <c r="I4798">
        <v>14463585.42</v>
      </c>
      <c r="J4798">
        <v>3494150.892</v>
      </c>
      <c r="K4798">
        <v>0</v>
      </c>
      <c r="L4798">
        <v>5267034.1320000002</v>
      </c>
      <c r="M4798">
        <v>0</v>
      </c>
      <c r="T4798" s="9">
        <v>45108</v>
      </c>
      <c r="U4798" s="9">
        <v>45473</v>
      </c>
      <c r="V4798">
        <f>SUM(POTABLE_NONPOTABLE_API[[#This Row],[RESIDENTIAL_SINGLEFAMILY_GAL]:[OTHER_GAL]])</f>
        <v>93282084.400000006</v>
      </c>
      <c r="W4798">
        <f>SUM(POTABLE_NONPOTABLE_API[[#This Row],[NONPOTABLE_DEMAND_RESIDENTIAL_RECYCLED_WATER_GAL]:[NONPOTABLE_DEMAND_NONRESIDENTIAL_METERED_IRRIGATION_GAL]])</f>
        <v>0</v>
      </c>
      <c r="X4798" t="str">
        <f>IFERROR(INDEX(Crosswalk_API!$H$2:$H$527, MATCH(POTABLE_NONPOTABLE_API[[#This Row],[PWSID]], CW_PWSID_LIST, 0)), "")</f>
        <v>No</v>
      </c>
    </row>
    <row r="4799" spans="1:24" x14ac:dyDescent="0.25">
      <c r="A4799" t="s">
        <v>2154</v>
      </c>
      <c r="B4799" t="s">
        <v>2155</v>
      </c>
      <c r="C4799" t="s">
        <v>2156</v>
      </c>
      <c r="D4799" t="s">
        <v>2157</v>
      </c>
      <c r="E4799" s="9">
        <v>45383</v>
      </c>
      <c r="F4799" s="9">
        <v>45412</v>
      </c>
      <c r="G4799">
        <v>48599442.336000003</v>
      </c>
      <c r="H4799">
        <v>19328167.576000001</v>
      </c>
      <c r="I4799">
        <v>32235056.784000002</v>
      </c>
      <c r="J4799">
        <v>3656478.176</v>
      </c>
      <c r="K4799">
        <v>0</v>
      </c>
      <c r="L4799">
        <v>1961392.344</v>
      </c>
      <c r="M4799">
        <v>0</v>
      </c>
      <c r="T4799" s="9">
        <v>45108</v>
      </c>
      <c r="U4799" s="9">
        <v>45473</v>
      </c>
      <c r="V4799">
        <f>SUM(POTABLE_NONPOTABLE_API[[#This Row],[RESIDENTIAL_SINGLEFAMILY_GAL]:[OTHER_GAL]])</f>
        <v>105780537.21600001</v>
      </c>
      <c r="W4799">
        <f>SUM(POTABLE_NONPOTABLE_API[[#This Row],[NONPOTABLE_DEMAND_RESIDENTIAL_RECYCLED_WATER_GAL]:[NONPOTABLE_DEMAND_NONRESIDENTIAL_METERED_IRRIGATION_GAL]])</f>
        <v>0</v>
      </c>
      <c r="X4799" t="str">
        <f>IFERROR(INDEX(Crosswalk_API!$H$2:$H$527, MATCH(POTABLE_NONPOTABLE_API[[#This Row],[PWSID]], CW_PWSID_LIST, 0)), "")</f>
        <v>No</v>
      </c>
    </row>
    <row r="4800" spans="1:24" x14ac:dyDescent="0.25">
      <c r="A4800" t="s">
        <v>2154</v>
      </c>
      <c r="B4800" t="s">
        <v>2155</v>
      </c>
      <c r="C4800" t="s">
        <v>2156</v>
      </c>
      <c r="D4800" t="s">
        <v>2157</v>
      </c>
      <c r="E4800" s="9">
        <v>45413</v>
      </c>
      <c r="F4800" s="9">
        <v>45443</v>
      </c>
      <c r="G4800">
        <v>53874705.039999999</v>
      </c>
      <c r="H4800">
        <v>20774900.144000001</v>
      </c>
      <c r="I4800">
        <v>14715678.944</v>
      </c>
      <c r="J4800">
        <v>4591543.176</v>
      </c>
      <c r="K4800">
        <v>0</v>
      </c>
      <c r="L4800">
        <v>5151834.1239999998</v>
      </c>
      <c r="M4800">
        <v>0</v>
      </c>
      <c r="T4800" s="9">
        <v>45108</v>
      </c>
      <c r="U4800" s="9">
        <v>45473</v>
      </c>
      <c r="V4800">
        <f>SUM(POTABLE_NONPOTABLE_API[[#This Row],[RESIDENTIAL_SINGLEFAMILY_GAL]:[OTHER_GAL]])</f>
        <v>99108661.428000003</v>
      </c>
      <c r="W4800">
        <f>SUM(POTABLE_NONPOTABLE_API[[#This Row],[NONPOTABLE_DEMAND_RESIDENTIAL_RECYCLED_WATER_GAL]:[NONPOTABLE_DEMAND_NONRESIDENTIAL_METERED_IRRIGATION_GAL]])</f>
        <v>0</v>
      </c>
      <c r="X4800" t="str">
        <f>IFERROR(INDEX(Crosswalk_API!$H$2:$H$527, MATCH(POTABLE_NONPOTABLE_API[[#This Row],[PWSID]], CW_PWSID_LIST, 0)), "")</f>
        <v>No</v>
      </c>
    </row>
    <row r="4801" spans="1:24" x14ac:dyDescent="0.25">
      <c r="A4801" t="s">
        <v>2154</v>
      </c>
      <c r="B4801" t="s">
        <v>2155</v>
      </c>
      <c r="C4801" t="s">
        <v>2156</v>
      </c>
      <c r="D4801" t="s">
        <v>2157</v>
      </c>
      <c r="E4801" s="9">
        <v>45444</v>
      </c>
      <c r="F4801" s="9">
        <v>45473</v>
      </c>
      <c r="G4801">
        <v>51877406.200000003</v>
      </c>
      <c r="H4801">
        <v>18928707.808000002</v>
      </c>
      <c r="I4801">
        <v>30325280.028000001</v>
      </c>
      <c r="J4801">
        <v>5056083.4680000003</v>
      </c>
      <c r="K4801">
        <v>0</v>
      </c>
      <c r="L4801">
        <v>3170992.4280000003</v>
      </c>
      <c r="M4801">
        <v>0</v>
      </c>
      <c r="T4801" s="9">
        <v>45108</v>
      </c>
      <c r="U4801" s="9">
        <v>45473</v>
      </c>
      <c r="V4801">
        <f>SUM(POTABLE_NONPOTABLE_API[[#This Row],[RESIDENTIAL_SINGLEFAMILY_GAL]:[OTHER_GAL]])</f>
        <v>109358469.932</v>
      </c>
      <c r="W4801">
        <f>SUM(POTABLE_NONPOTABLE_API[[#This Row],[NONPOTABLE_DEMAND_RESIDENTIAL_RECYCLED_WATER_GAL]:[NONPOTABLE_DEMAND_NONRESIDENTIAL_METERED_IRRIGATION_GAL]])</f>
        <v>0</v>
      </c>
      <c r="X4801" t="str">
        <f>IFERROR(INDEX(Crosswalk_API!$H$2:$H$527, MATCH(POTABLE_NONPOTABLE_API[[#This Row],[PWSID]], CW_PWSID_LIST, 0)), "")</f>
        <v>No</v>
      </c>
    </row>
    <row r="4802" spans="1:24" x14ac:dyDescent="0.25">
      <c r="A4802" t="s">
        <v>2162</v>
      </c>
      <c r="B4802" t="s">
        <v>2163</v>
      </c>
      <c r="C4802" t="s">
        <v>2164</v>
      </c>
      <c r="D4802" t="s">
        <v>2165</v>
      </c>
      <c r="E4802" s="9">
        <v>45108</v>
      </c>
      <c r="F4802" s="9">
        <v>45138</v>
      </c>
      <c r="G4802">
        <v>349809312.60400003</v>
      </c>
      <c r="H4802">
        <v>140195417.528</v>
      </c>
      <c r="I4802">
        <v>357738663.80400002</v>
      </c>
      <c r="J4802">
        <v>16797507.66</v>
      </c>
      <c r="K4802">
        <v>52921686.792000003</v>
      </c>
      <c r="L4802">
        <v>2402743.0240000002</v>
      </c>
      <c r="M4802">
        <v>0</v>
      </c>
      <c r="N4802">
        <v>0</v>
      </c>
      <c r="O4802">
        <v>0</v>
      </c>
      <c r="P4802">
        <v>0</v>
      </c>
      <c r="Q4802">
        <v>76803994.944000006</v>
      </c>
      <c r="R4802">
        <v>0</v>
      </c>
      <c r="S4802">
        <v>0</v>
      </c>
      <c r="T4802" s="9">
        <v>45108</v>
      </c>
      <c r="U4802" s="9">
        <v>45473</v>
      </c>
      <c r="V4802">
        <f>SUM(POTABLE_NONPOTABLE_API[[#This Row],[RESIDENTIAL_SINGLEFAMILY_GAL]:[OTHER_GAL]])</f>
        <v>919865331.41200018</v>
      </c>
      <c r="W4802">
        <f>SUM(POTABLE_NONPOTABLE_API[[#This Row],[NONPOTABLE_DEMAND_RESIDENTIAL_RECYCLED_WATER_GAL]:[NONPOTABLE_DEMAND_NONRESIDENTIAL_METERED_IRRIGATION_GAL]])</f>
        <v>76803994.944000006</v>
      </c>
      <c r="X4802" t="str">
        <f>IFERROR(INDEX(Crosswalk_API!$H$2:$H$527, MATCH(POTABLE_NONPOTABLE_API[[#This Row],[PWSID]], CW_PWSID_LIST, 0)), "")</f>
        <v>No</v>
      </c>
    </row>
    <row r="4803" spans="1:24" x14ac:dyDescent="0.25">
      <c r="A4803" t="s">
        <v>2162</v>
      </c>
      <c r="B4803" t="s">
        <v>2163</v>
      </c>
      <c r="C4803" t="s">
        <v>2164</v>
      </c>
      <c r="D4803" t="s">
        <v>2165</v>
      </c>
      <c r="E4803" s="9">
        <v>45139</v>
      </c>
      <c r="F4803" s="9">
        <v>45169</v>
      </c>
      <c r="G4803">
        <v>365920856.57999998</v>
      </c>
      <c r="H4803">
        <v>140898586.40799999</v>
      </c>
      <c r="I4803">
        <v>320104167.68400002</v>
      </c>
      <c r="J4803">
        <v>21834889.828000002</v>
      </c>
      <c r="K4803">
        <v>48271795.560000002</v>
      </c>
      <c r="L4803">
        <v>611158.48400000005</v>
      </c>
      <c r="M4803">
        <v>0</v>
      </c>
      <c r="N4803">
        <v>0</v>
      </c>
      <c r="O4803">
        <v>0</v>
      </c>
      <c r="P4803">
        <v>0</v>
      </c>
      <c r="Q4803">
        <v>64633936.956</v>
      </c>
      <c r="R4803">
        <v>0</v>
      </c>
      <c r="S4803">
        <v>0</v>
      </c>
      <c r="T4803" s="9">
        <v>45108</v>
      </c>
      <c r="U4803" s="9">
        <v>45473</v>
      </c>
      <c r="V4803">
        <f>SUM(POTABLE_NONPOTABLE_API[[#This Row],[RESIDENTIAL_SINGLEFAMILY_GAL]:[OTHER_GAL]])</f>
        <v>897641454.54399991</v>
      </c>
      <c r="W4803">
        <f>SUM(POTABLE_NONPOTABLE_API[[#This Row],[NONPOTABLE_DEMAND_RESIDENTIAL_RECYCLED_WATER_GAL]:[NONPOTABLE_DEMAND_NONRESIDENTIAL_METERED_IRRIGATION_GAL]])</f>
        <v>64633936.956</v>
      </c>
      <c r="X4803" t="str">
        <f>IFERROR(INDEX(Crosswalk_API!$H$2:$H$527, MATCH(POTABLE_NONPOTABLE_API[[#This Row],[PWSID]], CW_PWSID_LIST, 0)), "")</f>
        <v>No</v>
      </c>
    </row>
    <row r="4804" spans="1:24" x14ac:dyDescent="0.25">
      <c r="A4804" t="s">
        <v>2162</v>
      </c>
      <c r="B4804" t="s">
        <v>2163</v>
      </c>
      <c r="C4804" t="s">
        <v>2164</v>
      </c>
      <c r="D4804" t="s">
        <v>2165</v>
      </c>
      <c r="E4804" s="9">
        <v>45170</v>
      </c>
      <c r="F4804" s="9">
        <v>45199</v>
      </c>
      <c r="G4804">
        <v>337547244.22000003</v>
      </c>
      <c r="H4804">
        <v>141978025.44400001</v>
      </c>
      <c r="I4804">
        <v>320718318.37599999</v>
      </c>
      <c r="J4804">
        <v>18451450.631999999</v>
      </c>
      <c r="K4804">
        <v>52036741.276000001</v>
      </c>
      <c r="L4804">
        <v>825101.35600000003</v>
      </c>
      <c r="M4804">
        <v>0</v>
      </c>
      <c r="N4804">
        <v>0</v>
      </c>
      <c r="O4804">
        <v>0</v>
      </c>
      <c r="P4804">
        <v>0</v>
      </c>
      <c r="Q4804">
        <v>55552585.675999999</v>
      </c>
      <c r="R4804">
        <v>0</v>
      </c>
      <c r="S4804">
        <v>0</v>
      </c>
      <c r="T4804" s="9">
        <v>45108</v>
      </c>
      <c r="U4804" s="9">
        <v>45473</v>
      </c>
      <c r="V4804">
        <f>SUM(POTABLE_NONPOTABLE_API[[#This Row],[RESIDENTIAL_SINGLEFAMILY_GAL]:[OTHER_GAL]])</f>
        <v>871556881.3039999</v>
      </c>
      <c r="W4804">
        <f>SUM(POTABLE_NONPOTABLE_API[[#This Row],[NONPOTABLE_DEMAND_RESIDENTIAL_RECYCLED_WATER_GAL]:[NONPOTABLE_DEMAND_NONRESIDENTIAL_METERED_IRRIGATION_GAL]])</f>
        <v>55552585.675999999</v>
      </c>
      <c r="X4804" t="str">
        <f>IFERROR(INDEX(Crosswalk_API!$H$2:$H$527, MATCH(POTABLE_NONPOTABLE_API[[#This Row],[PWSID]], CW_PWSID_LIST, 0)), "")</f>
        <v>No</v>
      </c>
    </row>
    <row r="4805" spans="1:24" x14ac:dyDescent="0.25">
      <c r="A4805" t="s">
        <v>2162</v>
      </c>
      <c r="B4805" t="s">
        <v>2163</v>
      </c>
      <c r="C4805" t="s">
        <v>2164</v>
      </c>
      <c r="D4805" t="s">
        <v>2165</v>
      </c>
      <c r="E4805" s="9">
        <v>45200</v>
      </c>
      <c r="F4805" s="9">
        <v>45230</v>
      </c>
      <c r="G4805">
        <v>342209852.33600003</v>
      </c>
      <c r="H4805">
        <v>147046825.796</v>
      </c>
      <c r="I4805">
        <v>329837072.25599998</v>
      </c>
      <c r="J4805">
        <v>18078172.684</v>
      </c>
      <c r="K4805">
        <v>48464792.976000004</v>
      </c>
      <c r="L4805">
        <v>1537994.912</v>
      </c>
      <c r="M4805">
        <v>0</v>
      </c>
      <c r="N4805">
        <v>0</v>
      </c>
      <c r="O4805">
        <v>0</v>
      </c>
      <c r="P4805">
        <v>0</v>
      </c>
      <c r="Q4805">
        <v>44222590.083999999</v>
      </c>
      <c r="R4805">
        <v>0</v>
      </c>
      <c r="S4805">
        <v>0</v>
      </c>
      <c r="T4805" s="9">
        <v>45108</v>
      </c>
      <c r="U4805" s="9">
        <v>45473</v>
      </c>
      <c r="V4805">
        <f>SUM(POTABLE_NONPOTABLE_API[[#This Row],[RESIDENTIAL_SINGLEFAMILY_GAL]:[OTHER_GAL]])</f>
        <v>887174710.95999992</v>
      </c>
      <c r="W4805">
        <f>SUM(POTABLE_NONPOTABLE_API[[#This Row],[NONPOTABLE_DEMAND_RESIDENTIAL_RECYCLED_WATER_GAL]:[NONPOTABLE_DEMAND_NONRESIDENTIAL_METERED_IRRIGATION_GAL]])</f>
        <v>44222590.083999999</v>
      </c>
      <c r="X4805" t="str">
        <f>IFERROR(INDEX(Crosswalk_API!$H$2:$H$527, MATCH(POTABLE_NONPOTABLE_API[[#This Row],[PWSID]], CW_PWSID_LIST, 0)), "")</f>
        <v>No</v>
      </c>
    </row>
    <row r="4806" spans="1:24" x14ac:dyDescent="0.25">
      <c r="A4806" t="s">
        <v>2162</v>
      </c>
      <c r="B4806" t="s">
        <v>2163</v>
      </c>
      <c r="C4806" t="s">
        <v>2164</v>
      </c>
      <c r="D4806" t="s">
        <v>2165</v>
      </c>
      <c r="E4806" s="9">
        <v>45231</v>
      </c>
      <c r="F4806" s="9">
        <v>45260</v>
      </c>
      <c r="G4806">
        <v>304422005.55599999</v>
      </c>
      <c r="H4806">
        <v>129217006.376</v>
      </c>
      <c r="I4806">
        <v>248502874.40000001</v>
      </c>
      <c r="J4806">
        <v>16628447.908</v>
      </c>
      <c r="K4806">
        <v>39507618.328000002</v>
      </c>
      <c r="L4806">
        <v>1237278.0080000001</v>
      </c>
      <c r="M4806">
        <v>0</v>
      </c>
      <c r="N4806">
        <v>0</v>
      </c>
      <c r="O4806">
        <v>0</v>
      </c>
      <c r="P4806">
        <v>0</v>
      </c>
      <c r="Q4806">
        <v>34322869.916000001</v>
      </c>
      <c r="R4806">
        <v>0</v>
      </c>
      <c r="S4806">
        <v>0</v>
      </c>
      <c r="T4806" s="9">
        <v>45108</v>
      </c>
      <c r="U4806" s="9">
        <v>45473</v>
      </c>
      <c r="V4806">
        <f>SUM(POTABLE_NONPOTABLE_API[[#This Row],[RESIDENTIAL_SINGLEFAMILY_GAL]:[OTHER_GAL]])</f>
        <v>739515230.57599998</v>
      </c>
      <c r="W4806">
        <f>SUM(POTABLE_NONPOTABLE_API[[#This Row],[NONPOTABLE_DEMAND_RESIDENTIAL_RECYCLED_WATER_GAL]:[NONPOTABLE_DEMAND_NONRESIDENTIAL_METERED_IRRIGATION_GAL]])</f>
        <v>34322869.916000001</v>
      </c>
      <c r="X4806" t="str">
        <f>IFERROR(INDEX(Crosswalk_API!$H$2:$H$527, MATCH(POTABLE_NONPOTABLE_API[[#This Row],[PWSID]], CW_PWSID_LIST, 0)), "")</f>
        <v>No</v>
      </c>
    </row>
    <row r="4807" spans="1:24" x14ac:dyDescent="0.25">
      <c r="A4807" t="s">
        <v>2162</v>
      </c>
      <c r="B4807" t="s">
        <v>2163</v>
      </c>
      <c r="C4807" t="s">
        <v>2164</v>
      </c>
      <c r="D4807" t="s">
        <v>2165</v>
      </c>
      <c r="E4807" s="9">
        <v>45261</v>
      </c>
      <c r="F4807" s="9">
        <v>45291</v>
      </c>
      <c r="G4807">
        <v>294078690.55199999</v>
      </c>
      <c r="H4807">
        <v>133773391.10800001</v>
      </c>
      <c r="I4807">
        <v>211829625.09999999</v>
      </c>
      <c r="J4807">
        <v>14021486.688000001</v>
      </c>
      <c r="K4807">
        <v>36397966.164000005</v>
      </c>
      <c r="L4807">
        <v>0</v>
      </c>
      <c r="M4807">
        <v>0</v>
      </c>
      <c r="N4807">
        <v>0</v>
      </c>
      <c r="O4807">
        <v>0</v>
      </c>
      <c r="P4807">
        <v>0</v>
      </c>
      <c r="Q4807">
        <v>31769020.388</v>
      </c>
      <c r="R4807">
        <v>0</v>
      </c>
      <c r="S4807">
        <v>0</v>
      </c>
      <c r="T4807" s="9">
        <v>45108</v>
      </c>
      <c r="U4807" s="9">
        <v>45473</v>
      </c>
      <c r="V4807">
        <f>SUM(POTABLE_NONPOTABLE_API[[#This Row],[RESIDENTIAL_SINGLEFAMILY_GAL]:[OTHER_GAL]])</f>
        <v>690101159.61199999</v>
      </c>
      <c r="W4807">
        <f>SUM(POTABLE_NONPOTABLE_API[[#This Row],[NONPOTABLE_DEMAND_RESIDENTIAL_RECYCLED_WATER_GAL]:[NONPOTABLE_DEMAND_NONRESIDENTIAL_METERED_IRRIGATION_GAL]])</f>
        <v>31769020.388</v>
      </c>
      <c r="X4807" t="str">
        <f>IFERROR(INDEX(Crosswalk_API!$H$2:$H$527, MATCH(POTABLE_NONPOTABLE_API[[#This Row],[PWSID]], CW_PWSID_LIST, 0)), "")</f>
        <v>No</v>
      </c>
    </row>
    <row r="4808" spans="1:24" x14ac:dyDescent="0.25">
      <c r="A4808" t="s">
        <v>2162</v>
      </c>
      <c r="B4808" t="s">
        <v>2163</v>
      </c>
      <c r="C4808" t="s">
        <v>2164</v>
      </c>
      <c r="D4808" t="s">
        <v>2165</v>
      </c>
      <c r="E4808" s="9">
        <v>45292</v>
      </c>
      <c r="F4808" s="9">
        <v>45322</v>
      </c>
      <c r="G4808">
        <v>258148256.88800001</v>
      </c>
      <c r="H4808">
        <v>125888174.97600001</v>
      </c>
      <c r="I4808">
        <v>179650672.21599999</v>
      </c>
      <c r="J4808">
        <v>8572675.9199999999</v>
      </c>
      <c r="K4808">
        <v>32293404.84</v>
      </c>
      <c r="L4808">
        <v>15309632.232000001</v>
      </c>
      <c r="M4808">
        <v>0</v>
      </c>
      <c r="N4808">
        <v>0</v>
      </c>
      <c r="O4808">
        <v>0</v>
      </c>
      <c r="Q4808">
        <v>12689206.076000001</v>
      </c>
      <c r="R4808">
        <v>0</v>
      </c>
      <c r="S4808">
        <v>0</v>
      </c>
      <c r="T4808" s="9">
        <v>45108</v>
      </c>
      <c r="U4808" s="9">
        <v>45473</v>
      </c>
      <c r="V4808">
        <f>SUM(POTABLE_NONPOTABLE_API[[#This Row],[RESIDENTIAL_SINGLEFAMILY_GAL]:[OTHER_GAL]])</f>
        <v>619862817.07200003</v>
      </c>
      <c r="W4808">
        <f>SUM(POTABLE_NONPOTABLE_API[[#This Row],[NONPOTABLE_DEMAND_RESIDENTIAL_RECYCLED_WATER_GAL]:[NONPOTABLE_DEMAND_NONRESIDENTIAL_METERED_IRRIGATION_GAL]])</f>
        <v>12689206.076000001</v>
      </c>
      <c r="X4808" t="str">
        <f>IFERROR(INDEX(Crosswalk_API!$H$2:$H$527, MATCH(POTABLE_NONPOTABLE_API[[#This Row],[PWSID]], CW_PWSID_LIST, 0)), "")</f>
        <v>No</v>
      </c>
    </row>
    <row r="4809" spans="1:24" x14ac:dyDescent="0.25">
      <c r="A4809" t="s">
        <v>2162</v>
      </c>
      <c r="B4809" t="s">
        <v>2163</v>
      </c>
      <c r="C4809" t="s">
        <v>2164</v>
      </c>
      <c r="D4809" t="s">
        <v>2165</v>
      </c>
      <c r="E4809" s="9">
        <v>45323</v>
      </c>
      <c r="F4809" s="9">
        <v>45351</v>
      </c>
      <c r="G4809">
        <v>242795237.64000002</v>
      </c>
      <c r="H4809">
        <v>122035707.176</v>
      </c>
      <c r="I4809">
        <v>168439616.89200002</v>
      </c>
      <c r="J4809">
        <v>7077319.9720000001</v>
      </c>
      <c r="K4809">
        <v>30697809.924000002</v>
      </c>
      <c r="L4809">
        <v>12106473.568</v>
      </c>
      <c r="M4809">
        <v>0</v>
      </c>
      <c r="N4809">
        <v>0</v>
      </c>
      <c r="O4809">
        <v>0</v>
      </c>
      <c r="P4809">
        <v>0</v>
      </c>
      <c r="Q4809">
        <v>8811304.5079999994</v>
      </c>
      <c r="R4809">
        <v>0</v>
      </c>
      <c r="S4809">
        <v>0</v>
      </c>
      <c r="T4809" s="9">
        <v>45108</v>
      </c>
      <c r="U4809" s="9">
        <v>45473</v>
      </c>
      <c r="V4809">
        <f>SUM(POTABLE_NONPOTABLE_API[[#This Row],[RESIDENTIAL_SINGLEFAMILY_GAL]:[OTHER_GAL]])</f>
        <v>583152165.17199993</v>
      </c>
      <c r="W4809">
        <f>SUM(POTABLE_NONPOTABLE_API[[#This Row],[NONPOTABLE_DEMAND_RESIDENTIAL_RECYCLED_WATER_GAL]:[NONPOTABLE_DEMAND_NONRESIDENTIAL_METERED_IRRIGATION_GAL]])</f>
        <v>8811304.5079999994</v>
      </c>
      <c r="X4809" t="str">
        <f>IFERROR(INDEX(Crosswalk_API!$H$2:$H$527, MATCH(POTABLE_NONPOTABLE_API[[#This Row],[PWSID]], CW_PWSID_LIST, 0)), "")</f>
        <v>No</v>
      </c>
    </row>
    <row r="4810" spans="1:24" x14ac:dyDescent="0.25">
      <c r="A4810" t="s">
        <v>2162</v>
      </c>
      <c r="B4810" t="s">
        <v>2163</v>
      </c>
      <c r="C4810" t="s">
        <v>2164</v>
      </c>
      <c r="D4810" t="s">
        <v>2165</v>
      </c>
      <c r="E4810" s="9">
        <v>45352</v>
      </c>
      <c r="F4810" s="9">
        <v>45382</v>
      </c>
      <c r="G4810">
        <v>245765004.08000001</v>
      </c>
      <c r="H4810">
        <v>123885639.772</v>
      </c>
      <c r="I4810">
        <v>156414680.99200001</v>
      </c>
      <c r="J4810">
        <v>5665745.8480000002</v>
      </c>
      <c r="K4810">
        <v>34726069.943999998</v>
      </c>
      <c r="L4810">
        <v>26181.82</v>
      </c>
      <c r="M4810">
        <v>0</v>
      </c>
      <c r="N4810">
        <v>0</v>
      </c>
      <c r="O4810">
        <v>0</v>
      </c>
      <c r="P4810">
        <v>0</v>
      </c>
      <c r="Q4810">
        <v>16202058.268000001</v>
      </c>
      <c r="R4810">
        <v>0</v>
      </c>
      <c r="S4810">
        <v>0</v>
      </c>
      <c r="T4810" s="9">
        <v>45108</v>
      </c>
      <c r="U4810" s="9">
        <v>45473</v>
      </c>
      <c r="V4810">
        <f>SUM(POTABLE_NONPOTABLE_API[[#This Row],[RESIDENTIAL_SINGLEFAMILY_GAL]:[OTHER_GAL]])</f>
        <v>566483322.45599997</v>
      </c>
      <c r="W4810">
        <f>SUM(POTABLE_NONPOTABLE_API[[#This Row],[NONPOTABLE_DEMAND_RESIDENTIAL_RECYCLED_WATER_GAL]:[NONPOTABLE_DEMAND_NONRESIDENTIAL_METERED_IRRIGATION_GAL]])</f>
        <v>16202058.268000001</v>
      </c>
      <c r="X4810" t="str">
        <f>IFERROR(INDEX(Crosswalk_API!$H$2:$H$527, MATCH(POTABLE_NONPOTABLE_API[[#This Row],[PWSID]], CW_PWSID_LIST, 0)), "")</f>
        <v>No</v>
      </c>
    </row>
    <row r="4811" spans="1:24" x14ac:dyDescent="0.25">
      <c r="A4811" t="s">
        <v>2162</v>
      </c>
      <c r="B4811" t="s">
        <v>2163</v>
      </c>
      <c r="C4811" t="s">
        <v>2164</v>
      </c>
      <c r="D4811" t="s">
        <v>2165</v>
      </c>
      <c r="E4811" s="9">
        <v>45383</v>
      </c>
      <c r="F4811" s="9">
        <v>45412</v>
      </c>
      <c r="G4811">
        <v>253033825.36399999</v>
      </c>
      <c r="H4811">
        <v>128439032.296</v>
      </c>
      <c r="I4811">
        <v>195503390.20000002</v>
      </c>
      <c r="J4811">
        <v>8057268.0920000002</v>
      </c>
      <c r="K4811">
        <v>38271088.372000001</v>
      </c>
      <c r="L4811">
        <v>14961.04</v>
      </c>
      <c r="M4811">
        <v>0</v>
      </c>
      <c r="N4811">
        <v>0</v>
      </c>
      <c r="O4811">
        <v>0</v>
      </c>
      <c r="P4811">
        <v>0</v>
      </c>
      <c r="Q4811">
        <v>22987637.960000001</v>
      </c>
      <c r="R4811">
        <v>0</v>
      </c>
      <c r="S4811">
        <v>0</v>
      </c>
      <c r="T4811" s="9">
        <v>45108</v>
      </c>
      <c r="U4811" s="9">
        <v>45473</v>
      </c>
      <c r="V4811">
        <f>SUM(POTABLE_NONPOTABLE_API[[#This Row],[RESIDENTIAL_SINGLEFAMILY_GAL]:[OTHER_GAL]])</f>
        <v>623319565.36399996</v>
      </c>
      <c r="W4811">
        <f>SUM(POTABLE_NONPOTABLE_API[[#This Row],[NONPOTABLE_DEMAND_RESIDENTIAL_RECYCLED_WATER_GAL]:[NONPOTABLE_DEMAND_NONRESIDENTIAL_METERED_IRRIGATION_GAL]])</f>
        <v>22987637.960000001</v>
      </c>
      <c r="X4811" t="str">
        <f>IFERROR(INDEX(Crosswalk_API!$H$2:$H$527, MATCH(POTABLE_NONPOTABLE_API[[#This Row],[PWSID]], CW_PWSID_LIST, 0)), "")</f>
        <v>No</v>
      </c>
    </row>
    <row r="4812" spans="1:24" x14ac:dyDescent="0.25">
      <c r="A4812" t="s">
        <v>2162</v>
      </c>
      <c r="B4812" t="s">
        <v>2163</v>
      </c>
      <c r="C4812" t="s">
        <v>2164</v>
      </c>
      <c r="D4812" t="s">
        <v>2165</v>
      </c>
      <c r="E4812" s="9">
        <v>45413</v>
      </c>
      <c r="F4812" s="9">
        <v>45443</v>
      </c>
      <c r="G4812">
        <v>293311189.19999999</v>
      </c>
      <c r="H4812">
        <v>132031178</v>
      </c>
      <c r="I4812">
        <v>207224616.98800001</v>
      </c>
      <c r="J4812">
        <v>11111564.408</v>
      </c>
      <c r="K4812">
        <v>41879691.219999999</v>
      </c>
      <c r="L4812">
        <v>132405.204</v>
      </c>
      <c r="M4812">
        <v>0</v>
      </c>
      <c r="N4812">
        <v>0</v>
      </c>
      <c r="O4812">
        <v>0</v>
      </c>
      <c r="P4812">
        <v>0</v>
      </c>
      <c r="Q4812">
        <v>63085469.316</v>
      </c>
      <c r="R4812">
        <v>0</v>
      </c>
      <c r="S4812">
        <v>0</v>
      </c>
      <c r="T4812" s="9">
        <v>45108</v>
      </c>
      <c r="U4812" s="9">
        <v>45473</v>
      </c>
      <c r="V4812">
        <f>SUM(POTABLE_NONPOTABLE_API[[#This Row],[RESIDENTIAL_SINGLEFAMILY_GAL]:[OTHER_GAL]])</f>
        <v>685690645.01999998</v>
      </c>
      <c r="W4812">
        <f>SUM(POTABLE_NONPOTABLE_API[[#This Row],[NONPOTABLE_DEMAND_RESIDENTIAL_RECYCLED_WATER_GAL]:[NONPOTABLE_DEMAND_NONRESIDENTIAL_METERED_IRRIGATION_GAL]])</f>
        <v>63085469.316</v>
      </c>
      <c r="X4812" t="str">
        <f>IFERROR(INDEX(Crosswalk_API!$H$2:$H$527, MATCH(POTABLE_NONPOTABLE_API[[#This Row],[PWSID]], CW_PWSID_LIST, 0)), "")</f>
        <v>No</v>
      </c>
    </row>
    <row r="4813" spans="1:24" x14ac:dyDescent="0.25">
      <c r="A4813" t="s">
        <v>2162</v>
      </c>
      <c r="B4813" t="s">
        <v>2163</v>
      </c>
      <c r="C4813" t="s">
        <v>2164</v>
      </c>
      <c r="D4813" t="s">
        <v>2165</v>
      </c>
      <c r="E4813" s="9">
        <v>45444</v>
      </c>
      <c r="F4813" s="9">
        <v>45473</v>
      </c>
      <c r="G4813">
        <v>330113851.49599999</v>
      </c>
      <c r="H4813">
        <v>135731791.24400002</v>
      </c>
      <c r="I4813">
        <v>212002425.11200002</v>
      </c>
      <c r="J4813">
        <v>14741112.712000001</v>
      </c>
      <c r="K4813">
        <v>41894652.259999998</v>
      </c>
      <c r="L4813">
        <v>491470.16399999999</v>
      </c>
      <c r="M4813">
        <v>0</v>
      </c>
      <c r="N4813">
        <v>0</v>
      </c>
      <c r="O4813">
        <v>0</v>
      </c>
      <c r="P4813">
        <v>0</v>
      </c>
      <c r="Q4813">
        <v>66792066.976000004</v>
      </c>
      <c r="R4813">
        <v>0</v>
      </c>
      <c r="S4813">
        <v>0</v>
      </c>
      <c r="T4813" s="9">
        <v>45108</v>
      </c>
      <c r="U4813" s="9">
        <v>45473</v>
      </c>
      <c r="V4813">
        <f>SUM(POTABLE_NONPOTABLE_API[[#This Row],[RESIDENTIAL_SINGLEFAMILY_GAL]:[OTHER_GAL]])</f>
        <v>734975302.98800004</v>
      </c>
      <c r="W4813">
        <f>SUM(POTABLE_NONPOTABLE_API[[#This Row],[NONPOTABLE_DEMAND_RESIDENTIAL_RECYCLED_WATER_GAL]:[NONPOTABLE_DEMAND_NONRESIDENTIAL_METERED_IRRIGATION_GAL]])</f>
        <v>66792066.976000004</v>
      </c>
      <c r="X4813" t="str">
        <f>IFERROR(INDEX(Crosswalk_API!$H$2:$H$527, MATCH(POTABLE_NONPOTABLE_API[[#This Row],[PWSID]], CW_PWSID_LIST, 0)), "")</f>
        <v>No</v>
      </c>
    </row>
    <row r="4814" spans="1:24" x14ac:dyDescent="0.25">
      <c r="A4814" t="s">
        <v>2162</v>
      </c>
      <c r="B4814" t="s">
        <v>2163</v>
      </c>
      <c r="C4814" t="s">
        <v>2166</v>
      </c>
      <c r="D4814" t="s">
        <v>2167</v>
      </c>
      <c r="E4814" s="9">
        <v>45108</v>
      </c>
      <c r="F4814" s="9">
        <v>45138</v>
      </c>
      <c r="G4814">
        <v>15419595.876</v>
      </c>
      <c r="H4814">
        <v>10472.728000000001</v>
      </c>
      <c r="I4814">
        <v>1244758.5279999999</v>
      </c>
      <c r="J4814">
        <v>50119.484000000004</v>
      </c>
      <c r="K4814">
        <v>0</v>
      </c>
      <c r="L4814">
        <v>0</v>
      </c>
      <c r="M4814">
        <v>0</v>
      </c>
      <c r="N4814">
        <v>0</v>
      </c>
      <c r="O4814">
        <v>0</v>
      </c>
      <c r="P4814">
        <v>0</v>
      </c>
      <c r="Q4814">
        <v>0</v>
      </c>
      <c r="R4814">
        <v>0</v>
      </c>
      <c r="S4814">
        <v>0</v>
      </c>
      <c r="T4814" s="9">
        <v>45108</v>
      </c>
      <c r="U4814" s="9">
        <v>45473</v>
      </c>
      <c r="V4814">
        <f>SUM(POTABLE_NONPOTABLE_API[[#This Row],[RESIDENTIAL_SINGLEFAMILY_GAL]:[OTHER_GAL]])</f>
        <v>16724946.615999999</v>
      </c>
      <c r="W4814">
        <f>SUM(POTABLE_NONPOTABLE_API[[#This Row],[NONPOTABLE_DEMAND_RESIDENTIAL_RECYCLED_WATER_GAL]:[NONPOTABLE_DEMAND_NONRESIDENTIAL_METERED_IRRIGATION_GAL]])</f>
        <v>0</v>
      </c>
      <c r="X4814" t="str">
        <f>IFERROR(INDEX(Crosswalk_API!$H$2:$H$527, MATCH(POTABLE_NONPOTABLE_API[[#This Row],[PWSID]], CW_PWSID_LIST, 0)), "")</f>
        <v>No</v>
      </c>
    </row>
    <row r="4815" spans="1:24" x14ac:dyDescent="0.25">
      <c r="A4815" t="s">
        <v>2162</v>
      </c>
      <c r="B4815" t="s">
        <v>2163</v>
      </c>
      <c r="C4815" t="s">
        <v>2166</v>
      </c>
      <c r="D4815" t="s">
        <v>2167</v>
      </c>
      <c r="E4815" s="9">
        <v>45139</v>
      </c>
      <c r="F4815" s="9">
        <v>45169</v>
      </c>
      <c r="G4815">
        <v>14543626.984000001</v>
      </c>
      <c r="H4815">
        <v>11968.832</v>
      </c>
      <c r="I4815">
        <v>1244010.476</v>
      </c>
      <c r="J4815">
        <v>74805.2</v>
      </c>
      <c r="K4815">
        <v>0</v>
      </c>
      <c r="L4815">
        <v>0</v>
      </c>
      <c r="M4815">
        <v>0</v>
      </c>
      <c r="N4815">
        <v>0</v>
      </c>
      <c r="O4815">
        <v>0</v>
      </c>
      <c r="P4815">
        <v>0</v>
      </c>
      <c r="Q4815">
        <v>0</v>
      </c>
      <c r="R4815">
        <v>0</v>
      </c>
      <c r="S4815">
        <v>0</v>
      </c>
      <c r="T4815" s="9">
        <v>45108</v>
      </c>
      <c r="U4815" s="9">
        <v>45473</v>
      </c>
      <c r="V4815">
        <f>SUM(POTABLE_NONPOTABLE_API[[#This Row],[RESIDENTIAL_SINGLEFAMILY_GAL]:[OTHER_GAL]])</f>
        <v>15874411.492000001</v>
      </c>
      <c r="W4815">
        <f>SUM(POTABLE_NONPOTABLE_API[[#This Row],[NONPOTABLE_DEMAND_RESIDENTIAL_RECYCLED_WATER_GAL]:[NONPOTABLE_DEMAND_NONRESIDENTIAL_METERED_IRRIGATION_GAL]])</f>
        <v>0</v>
      </c>
      <c r="X4815" t="str">
        <f>IFERROR(INDEX(Crosswalk_API!$H$2:$H$527, MATCH(POTABLE_NONPOTABLE_API[[#This Row],[PWSID]], CW_PWSID_LIST, 0)), "")</f>
        <v>No</v>
      </c>
    </row>
    <row r="4816" spans="1:24" x14ac:dyDescent="0.25">
      <c r="A4816" t="s">
        <v>2162</v>
      </c>
      <c r="B4816" t="s">
        <v>2163</v>
      </c>
      <c r="C4816" t="s">
        <v>2166</v>
      </c>
      <c r="D4816" t="s">
        <v>2167</v>
      </c>
      <c r="E4816" s="9">
        <v>45170</v>
      </c>
      <c r="F4816" s="9">
        <v>45199</v>
      </c>
      <c r="G4816">
        <v>13910026.939999999</v>
      </c>
      <c r="H4816">
        <v>23937.664000000001</v>
      </c>
      <c r="I4816">
        <v>1566420.888</v>
      </c>
      <c r="J4816">
        <v>118192.216</v>
      </c>
      <c r="K4816">
        <v>0</v>
      </c>
      <c r="L4816">
        <v>0</v>
      </c>
      <c r="M4816">
        <v>0</v>
      </c>
      <c r="N4816">
        <v>0</v>
      </c>
      <c r="O4816">
        <v>0</v>
      </c>
      <c r="P4816">
        <v>0</v>
      </c>
      <c r="Q4816">
        <v>0</v>
      </c>
      <c r="R4816">
        <v>0</v>
      </c>
      <c r="S4816">
        <v>0</v>
      </c>
      <c r="T4816" s="9">
        <v>45108</v>
      </c>
      <c r="U4816" s="9">
        <v>45473</v>
      </c>
      <c r="V4816">
        <f>SUM(POTABLE_NONPOTABLE_API[[#This Row],[RESIDENTIAL_SINGLEFAMILY_GAL]:[OTHER_GAL]])</f>
        <v>15618577.708000001</v>
      </c>
      <c r="W4816">
        <f>SUM(POTABLE_NONPOTABLE_API[[#This Row],[NONPOTABLE_DEMAND_RESIDENTIAL_RECYCLED_WATER_GAL]:[NONPOTABLE_DEMAND_NONRESIDENTIAL_METERED_IRRIGATION_GAL]])</f>
        <v>0</v>
      </c>
      <c r="X4816" t="str">
        <f>IFERROR(INDEX(Crosswalk_API!$H$2:$H$527, MATCH(POTABLE_NONPOTABLE_API[[#This Row],[PWSID]], CW_PWSID_LIST, 0)), "")</f>
        <v>No</v>
      </c>
    </row>
    <row r="4817" spans="1:24" x14ac:dyDescent="0.25">
      <c r="A4817" t="s">
        <v>2162</v>
      </c>
      <c r="B4817" t="s">
        <v>2163</v>
      </c>
      <c r="C4817" t="s">
        <v>2166</v>
      </c>
      <c r="D4817" t="s">
        <v>2167</v>
      </c>
      <c r="E4817" s="9">
        <v>45200</v>
      </c>
      <c r="F4817" s="9">
        <v>45230</v>
      </c>
      <c r="G4817">
        <v>13299616.507999999</v>
      </c>
      <c r="H4817">
        <v>18701.3</v>
      </c>
      <c r="I4817">
        <v>1564924.784</v>
      </c>
      <c r="J4817">
        <v>109215.592</v>
      </c>
      <c r="K4817">
        <v>0</v>
      </c>
      <c r="L4817">
        <v>0</v>
      </c>
      <c r="M4817">
        <v>0</v>
      </c>
      <c r="N4817">
        <v>0</v>
      </c>
      <c r="O4817">
        <v>0</v>
      </c>
      <c r="P4817">
        <v>0</v>
      </c>
      <c r="Q4817">
        <v>0</v>
      </c>
      <c r="R4817">
        <v>0</v>
      </c>
      <c r="S4817">
        <v>0</v>
      </c>
      <c r="T4817" s="9">
        <v>45108</v>
      </c>
      <c r="U4817" s="9">
        <v>45473</v>
      </c>
      <c r="V4817">
        <f>SUM(POTABLE_NONPOTABLE_API[[#This Row],[RESIDENTIAL_SINGLEFAMILY_GAL]:[OTHER_GAL]])</f>
        <v>14992458.184</v>
      </c>
      <c r="W4817">
        <f>SUM(POTABLE_NONPOTABLE_API[[#This Row],[NONPOTABLE_DEMAND_RESIDENTIAL_RECYCLED_WATER_GAL]:[NONPOTABLE_DEMAND_NONRESIDENTIAL_METERED_IRRIGATION_GAL]])</f>
        <v>0</v>
      </c>
      <c r="X4817" t="str">
        <f>IFERROR(INDEX(Crosswalk_API!$H$2:$H$527, MATCH(POTABLE_NONPOTABLE_API[[#This Row],[PWSID]], CW_PWSID_LIST, 0)), "")</f>
        <v>No</v>
      </c>
    </row>
    <row r="4818" spans="1:24" x14ac:dyDescent="0.25">
      <c r="A4818" t="s">
        <v>2162</v>
      </c>
      <c r="B4818" t="s">
        <v>2163</v>
      </c>
      <c r="C4818" t="s">
        <v>2166</v>
      </c>
      <c r="D4818" t="s">
        <v>2167</v>
      </c>
      <c r="E4818" s="9">
        <v>45231</v>
      </c>
      <c r="F4818" s="9">
        <v>45260</v>
      </c>
      <c r="G4818">
        <v>13149258.056</v>
      </c>
      <c r="H4818">
        <v>12716.884</v>
      </c>
      <c r="I4818">
        <v>1205111.7720000001</v>
      </c>
      <c r="J4818">
        <v>48623.380000000005</v>
      </c>
      <c r="K4818">
        <v>0</v>
      </c>
      <c r="L4818">
        <v>0</v>
      </c>
      <c r="M4818">
        <v>0</v>
      </c>
      <c r="N4818">
        <v>0</v>
      </c>
      <c r="O4818">
        <v>0</v>
      </c>
      <c r="P4818">
        <v>0</v>
      </c>
      <c r="Q4818">
        <v>0</v>
      </c>
      <c r="R4818">
        <v>0</v>
      </c>
      <c r="S4818">
        <v>0</v>
      </c>
      <c r="T4818" s="9">
        <v>45108</v>
      </c>
      <c r="U4818" s="9">
        <v>45473</v>
      </c>
      <c r="V4818">
        <f>SUM(POTABLE_NONPOTABLE_API[[#This Row],[RESIDENTIAL_SINGLEFAMILY_GAL]:[OTHER_GAL]])</f>
        <v>14415710.092</v>
      </c>
      <c r="W4818">
        <f>SUM(POTABLE_NONPOTABLE_API[[#This Row],[NONPOTABLE_DEMAND_RESIDENTIAL_RECYCLED_WATER_GAL]:[NONPOTABLE_DEMAND_NONRESIDENTIAL_METERED_IRRIGATION_GAL]])</f>
        <v>0</v>
      </c>
      <c r="X4818" t="str">
        <f>IFERROR(INDEX(Crosswalk_API!$H$2:$H$527, MATCH(POTABLE_NONPOTABLE_API[[#This Row],[PWSID]], CW_PWSID_LIST, 0)), "")</f>
        <v>No</v>
      </c>
    </row>
    <row r="4819" spans="1:24" x14ac:dyDescent="0.25">
      <c r="A4819" t="s">
        <v>2162</v>
      </c>
      <c r="B4819" t="s">
        <v>2163</v>
      </c>
      <c r="C4819" t="s">
        <v>2166</v>
      </c>
      <c r="D4819" t="s">
        <v>2167</v>
      </c>
      <c r="E4819" s="9">
        <v>45261</v>
      </c>
      <c r="F4819" s="9">
        <v>45291</v>
      </c>
      <c r="G4819">
        <v>11930681.348000001</v>
      </c>
      <c r="H4819">
        <v>6732.4679999999998</v>
      </c>
      <c r="I4819">
        <v>1027075.3960000001</v>
      </c>
      <c r="J4819">
        <v>43387.016000000003</v>
      </c>
      <c r="K4819">
        <v>0</v>
      </c>
      <c r="L4819">
        <v>0</v>
      </c>
      <c r="M4819">
        <v>0</v>
      </c>
      <c r="N4819">
        <v>0</v>
      </c>
      <c r="O4819">
        <v>0</v>
      </c>
      <c r="P4819">
        <v>0</v>
      </c>
      <c r="Q4819">
        <v>0</v>
      </c>
      <c r="R4819">
        <v>0</v>
      </c>
      <c r="S4819">
        <v>0</v>
      </c>
      <c r="T4819" s="9">
        <v>45108</v>
      </c>
      <c r="U4819" s="9">
        <v>45473</v>
      </c>
      <c r="V4819">
        <f>SUM(POTABLE_NONPOTABLE_API[[#This Row],[RESIDENTIAL_SINGLEFAMILY_GAL]:[OTHER_GAL]])</f>
        <v>13007876.228000002</v>
      </c>
      <c r="W4819">
        <f>SUM(POTABLE_NONPOTABLE_API[[#This Row],[NONPOTABLE_DEMAND_RESIDENTIAL_RECYCLED_WATER_GAL]:[NONPOTABLE_DEMAND_NONRESIDENTIAL_METERED_IRRIGATION_GAL]])</f>
        <v>0</v>
      </c>
      <c r="X4819" t="str">
        <f>IFERROR(INDEX(Crosswalk_API!$H$2:$H$527, MATCH(POTABLE_NONPOTABLE_API[[#This Row],[PWSID]], CW_PWSID_LIST, 0)), "")</f>
        <v>No</v>
      </c>
    </row>
    <row r="4820" spans="1:24" x14ac:dyDescent="0.25">
      <c r="A4820" t="s">
        <v>2162</v>
      </c>
      <c r="B4820" t="s">
        <v>2163</v>
      </c>
      <c r="C4820" t="s">
        <v>2166</v>
      </c>
      <c r="D4820" t="s">
        <v>2167</v>
      </c>
      <c r="E4820" s="9">
        <v>45292</v>
      </c>
      <c r="F4820" s="9">
        <v>45322</v>
      </c>
      <c r="G4820">
        <v>10336582.536</v>
      </c>
      <c r="H4820">
        <v>4488.3119999999999</v>
      </c>
      <c r="I4820">
        <v>654545.5</v>
      </c>
      <c r="J4820">
        <v>17953.248</v>
      </c>
      <c r="K4820">
        <v>0</v>
      </c>
      <c r="L4820">
        <v>0</v>
      </c>
      <c r="M4820">
        <v>0</v>
      </c>
      <c r="N4820">
        <v>0</v>
      </c>
      <c r="O4820">
        <v>0</v>
      </c>
      <c r="P4820">
        <v>0</v>
      </c>
      <c r="Q4820">
        <v>1140779.3</v>
      </c>
      <c r="R4820">
        <v>0</v>
      </c>
      <c r="S4820">
        <v>0</v>
      </c>
      <c r="T4820" s="9">
        <v>45108</v>
      </c>
      <c r="U4820" s="9">
        <v>45473</v>
      </c>
      <c r="V4820">
        <f>SUM(POTABLE_NONPOTABLE_API[[#This Row],[RESIDENTIAL_SINGLEFAMILY_GAL]:[OTHER_GAL]])</f>
        <v>11013569.596000001</v>
      </c>
      <c r="W4820">
        <f>SUM(POTABLE_NONPOTABLE_API[[#This Row],[NONPOTABLE_DEMAND_RESIDENTIAL_RECYCLED_WATER_GAL]:[NONPOTABLE_DEMAND_NONRESIDENTIAL_METERED_IRRIGATION_GAL]])</f>
        <v>1140779.3</v>
      </c>
      <c r="X4820" t="str">
        <f>IFERROR(INDEX(Crosswalk_API!$H$2:$H$527, MATCH(POTABLE_NONPOTABLE_API[[#This Row],[PWSID]], CW_PWSID_LIST, 0)), "")</f>
        <v>No</v>
      </c>
    </row>
    <row r="4821" spans="1:24" x14ac:dyDescent="0.25">
      <c r="A4821" t="s">
        <v>2162</v>
      </c>
      <c r="B4821" t="s">
        <v>2163</v>
      </c>
      <c r="C4821" t="s">
        <v>2166</v>
      </c>
      <c r="D4821" t="s">
        <v>2167</v>
      </c>
      <c r="E4821" s="9">
        <v>45323</v>
      </c>
      <c r="F4821" s="9">
        <v>45351</v>
      </c>
      <c r="G4821">
        <v>8457475.9120000005</v>
      </c>
      <c r="H4821">
        <v>5984.4160000000002</v>
      </c>
      <c r="I4821">
        <v>983688.38</v>
      </c>
      <c r="J4821">
        <v>17953.248</v>
      </c>
      <c r="K4821">
        <v>0</v>
      </c>
      <c r="L4821">
        <v>0</v>
      </c>
      <c r="M4821">
        <v>0</v>
      </c>
      <c r="N4821">
        <v>0</v>
      </c>
      <c r="O4821">
        <v>0</v>
      </c>
      <c r="P4821">
        <v>0</v>
      </c>
      <c r="Q4821">
        <v>586472.76800000004</v>
      </c>
      <c r="R4821">
        <v>0</v>
      </c>
      <c r="S4821">
        <v>0</v>
      </c>
      <c r="T4821" s="9">
        <v>45108</v>
      </c>
      <c r="U4821" s="9">
        <v>45473</v>
      </c>
      <c r="V4821">
        <f>SUM(POTABLE_NONPOTABLE_API[[#This Row],[RESIDENTIAL_SINGLEFAMILY_GAL]:[OTHER_GAL]])</f>
        <v>9465101.9560000002</v>
      </c>
      <c r="W4821">
        <f>SUM(POTABLE_NONPOTABLE_API[[#This Row],[NONPOTABLE_DEMAND_RESIDENTIAL_RECYCLED_WATER_GAL]:[NONPOTABLE_DEMAND_NONRESIDENTIAL_METERED_IRRIGATION_GAL]])</f>
        <v>586472.76800000004</v>
      </c>
      <c r="X4821" t="str">
        <f>IFERROR(INDEX(Crosswalk_API!$H$2:$H$527, MATCH(POTABLE_NONPOTABLE_API[[#This Row],[PWSID]], CW_PWSID_LIST, 0)), "")</f>
        <v>No</v>
      </c>
    </row>
    <row r="4822" spans="1:24" x14ac:dyDescent="0.25">
      <c r="A4822" t="s">
        <v>2162</v>
      </c>
      <c r="B4822" t="s">
        <v>2163</v>
      </c>
      <c r="C4822" t="s">
        <v>2166</v>
      </c>
      <c r="D4822" t="s">
        <v>2167</v>
      </c>
      <c r="E4822" s="9">
        <v>45352</v>
      </c>
      <c r="F4822" s="9">
        <v>45382</v>
      </c>
      <c r="G4822">
        <v>9167377.2599999998</v>
      </c>
      <c r="H4822">
        <v>5236.3640000000005</v>
      </c>
      <c r="I4822">
        <v>1116841.6359999999</v>
      </c>
      <c r="J4822">
        <v>19449.351999999999</v>
      </c>
      <c r="K4822">
        <v>0</v>
      </c>
      <c r="L4822">
        <v>0</v>
      </c>
      <c r="M4822">
        <v>0</v>
      </c>
      <c r="N4822">
        <v>0</v>
      </c>
      <c r="O4822">
        <v>0</v>
      </c>
      <c r="P4822">
        <v>0</v>
      </c>
      <c r="Q4822">
        <v>480997.43599999999</v>
      </c>
      <c r="R4822">
        <v>0</v>
      </c>
      <c r="S4822">
        <v>0</v>
      </c>
      <c r="T4822" s="9">
        <v>45108</v>
      </c>
      <c r="U4822" s="9">
        <v>45473</v>
      </c>
      <c r="V4822">
        <f>SUM(POTABLE_NONPOTABLE_API[[#This Row],[RESIDENTIAL_SINGLEFAMILY_GAL]:[OTHER_GAL]])</f>
        <v>10308904.612</v>
      </c>
      <c r="W4822">
        <f>SUM(POTABLE_NONPOTABLE_API[[#This Row],[NONPOTABLE_DEMAND_RESIDENTIAL_RECYCLED_WATER_GAL]:[NONPOTABLE_DEMAND_NONRESIDENTIAL_METERED_IRRIGATION_GAL]])</f>
        <v>480997.43599999999</v>
      </c>
      <c r="X4822" t="str">
        <f>IFERROR(INDEX(Crosswalk_API!$H$2:$H$527, MATCH(POTABLE_NONPOTABLE_API[[#This Row],[PWSID]], CW_PWSID_LIST, 0)), "")</f>
        <v>No</v>
      </c>
    </row>
    <row r="4823" spans="1:24" x14ac:dyDescent="0.25">
      <c r="A4823" t="s">
        <v>2162</v>
      </c>
      <c r="B4823" t="s">
        <v>2163</v>
      </c>
      <c r="C4823" t="s">
        <v>2166</v>
      </c>
      <c r="D4823" t="s">
        <v>2167</v>
      </c>
      <c r="E4823" s="9">
        <v>45383</v>
      </c>
      <c r="F4823" s="9">
        <v>45412</v>
      </c>
      <c r="G4823">
        <v>9687273.4000000004</v>
      </c>
      <c r="H4823">
        <v>8228.5720000000001</v>
      </c>
      <c r="I4823">
        <v>1157236.4440000001</v>
      </c>
      <c r="J4823">
        <v>20197.404000000002</v>
      </c>
      <c r="K4823">
        <v>0</v>
      </c>
      <c r="L4823">
        <v>0</v>
      </c>
      <c r="M4823">
        <v>0</v>
      </c>
      <c r="N4823">
        <v>0</v>
      </c>
      <c r="O4823">
        <v>0</v>
      </c>
      <c r="P4823">
        <v>0</v>
      </c>
      <c r="Q4823">
        <v>2358607.9560000002</v>
      </c>
      <c r="R4823">
        <v>0</v>
      </c>
      <c r="S4823">
        <v>0</v>
      </c>
      <c r="T4823" s="9">
        <v>45108</v>
      </c>
      <c r="U4823" s="9">
        <v>45473</v>
      </c>
      <c r="V4823">
        <f>SUM(POTABLE_NONPOTABLE_API[[#This Row],[RESIDENTIAL_SINGLEFAMILY_GAL]:[OTHER_GAL]])</f>
        <v>10872935.82</v>
      </c>
      <c r="W4823">
        <f>SUM(POTABLE_NONPOTABLE_API[[#This Row],[NONPOTABLE_DEMAND_RESIDENTIAL_RECYCLED_WATER_GAL]:[NONPOTABLE_DEMAND_NONRESIDENTIAL_METERED_IRRIGATION_GAL]])</f>
        <v>2358607.9560000002</v>
      </c>
      <c r="X4823" t="str">
        <f>IFERROR(INDEX(Crosswalk_API!$H$2:$H$527, MATCH(POTABLE_NONPOTABLE_API[[#This Row],[PWSID]], CW_PWSID_LIST, 0)), "")</f>
        <v>No</v>
      </c>
    </row>
    <row r="4824" spans="1:24" x14ac:dyDescent="0.25">
      <c r="A4824" t="s">
        <v>2162</v>
      </c>
      <c r="B4824" t="s">
        <v>2163</v>
      </c>
      <c r="C4824" t="s">
        <v>2166</v>
      </c>
      <c r="D4824" t="s">
        <v>2167</v>
      </c>
      <c r="E4824" s="9">
        <v>45413</v>
      </c>
      <c r="F4824" s="9">
        <v>45443</v>
      </c>
      <c r="G4824">
        <v>12270296.956</v>
      </c>
      <c r="H4824">
        <v>14961.04</v>
      </c>
      <c r="I4824">
        <v>1396613.084</v>
      </c>
      <c r="J4824">
        <v>29922.080000000002</v>
      </c>
      <c r="K4824">
        <v>0</v>
      </c>
      <c r="L4824">
        <v>0</v>
      </c>
      <c r="M4824">
        <v>0</v>
      </c>
      <c r="N4824">
        <v>0</v>
      </c>
      <c r="O4824">
        <v>0</v>
      </c>
      <c r="P4824">
        <v>0</v>
      </c>
      <c r="Q4824">
        <v>1772883.24</v>
      </c>
      <c r="R4824">
        <v>0</v>
      </c>
      <c r="S4824">
        <v>0</v>
      </c>
      <c r="T4824" s="9">
        <v>45108</v>
      </c>
      <c r="U4824" s="9">
        <v>45473</v>
      </c>
      <c r="V4824">
        <f>SUM(POTABLE_NONPOTABLE_API[[#This Row],[RESIDENTIAL_SINGLEFAMILY_GAL]:[OTHER_GAL]])</f>
        <v>13711793.16</v>
      </c>
      <c r="W4824">
        <f>SUM(POTABLE_NONPOTABLE_API[[#This Row],[NONPOTABLE_DEMAND_RESIDENTIAL_RECYCLED_WATER_GAL]:[NONPOTABLE_DEMAND_NONRESIDENTIAL_METERED_IRRIGATION_GAL]])</f>
        <v>1772883.24</v>
      </c>
      <c r="X4824" t="str">
        <f>IFERROR(INDEX(Crosswalk_API!$H$2:$H$527, MATCH(POTABLE_NONPOTABLE_API[[#This Row],[PWSID]], CW_PWSID_LIST, 0)), "")</f>
        <v>No</v>
      </c>
    </row>
    <row r="4825" spans="1:24" x14ac:dyDescent="0.25">
      <c r="A4825" t="s">
        <v>2162</v>
      </c>
      <c r="B4825" t="s">
        <v>2163</v>
      </c>
      <c r="C4825" t="s">
        <v>2166</v>
      </c>
      <c r="D4825" t="s">
        <v>2167</v>
      </c>
      <c r="E4825" s="9">
        <v>45444</v>
      </c>
      <c r="F4825" s="9">
        <v>45473</v>
      </c>
      <c r="G4825">
        <v>14278068.524</v>
      </c>
      <c r="H4825">
        <v>20197.404000000002</v>
      </c>
      <c r="I4825">
        <v>1665911.804</v>
      </c>
      <c r="J4825">
        <v>34410.392</v>
      </c>
      <c r="K4825">
        <v>0</v>
      </c>
      <c r="L4825">
        <v>0</v>
      </c>
      <c r="M4825">
        <v>0</v>
      </c>
      <c r="N4825">
        <v>0</v>
      </c>
      <c r="O4825">
        <v>0</v>
      </c>
      <c r="P4825">
        <v>0</v>
      </c>
      <c r="Q4825">
        <v>13085673.636</v>
      </c>
      <c r="R4825">
        <v>0</v>
      </c>
      <c r="S4825">
        <v>0</v>
      </c>
      <c r="T4825" s="9">
        <v>45108</v>
      </c>
      <c r="U4825" s="9">
        <v>45473</v>
      </c>
      <c r="V4825">
        <f>SUM(POTABLE_NONPOTABLE_API[[#This Row],[RESIDENTIAL_SINGLEFAMILY_GAL]:[OTHER_GAL]])</f>
        <v>15998588.124</v>
      </c>
      <c r="W4825">
        <f>SUM(POTABLE_NONPOTABLE_API[[#This Row],[NONPOTABLE_DEMAND_RESIDENTIAL_RECYCLED_WATER_GAL]:[NONPOTABLE_DEMAND_NONRESIDENTIAL_METERED_IRRIGATION_GAL]])</f>
        <v>13085673.636</v>
      </c>
      <c r="X4825" t="str">
        <f>IFERROR(INDEX(Crosswalk_API!$H$2:$H$527, MATCH(POTABLE_NONPOTABLE_API[[#This Row],[PWSID]], CW_PWSID_LIST, 0)), "")</f>
        <v>No</v>
      </c>
    </row>
    <row r="4826" spans="1:24" x14ac:dyDescent="0.25">
      <c r="A4826" t="s">
        <v>2158</v>
      </c>
      <c r="B4826" t="s">
        <v>2159</v>
      </c>
      <c r="C4826" t="s">
        <v>2160</v>
      </c>
      <c r="D4826" t="s">
        <v>2161</v>
      </c>
      <c r="E4826" s="9">
        <v>45108</v>
      </c>
      <c r="F4826" s="9">
        <v>45138</v>
      </c>
      <c r="G4826">
        <v>525186363.74400002</v>
      </c>
      <c r="H4826">
        <v>102398594.124</v>
      </c>
      <c r="I4826">
        <v>180795939.82800001</v>
      </c>
      <c r="J4826">
        <v>147641527.13600001</v>
      </c>
      <c r="K4826">
        <v>134570814.53999999</v>
      </c>
      <c r="L4826">
        <v>6678608.2560000001</v>
      </c>
      <c r="M4826">
        <v>0</v>
      </c>
      <c r="N4826">
        <v>0</v>
      </c>
      <c r="O4826">
        <v>0</v>
      </c>
      <c r="P4826">
        <v>0</v>
      </c>
      <c r="Q4826">
        <v>0</v>
      </c>
      <c r="R4826">
        <v>0</v>
      </c>
      <c r="S4826">
        <v>17513393.423999999</v>
      </c>
      <c r="T4826" s="9">
        <v>45108</v>
      </c>
      <c r="U4826" s="9">
        <v>45473</v>
      </c>
      <c r="V4826">
        <f>SUM(POTABLE_NONPOTABLE_API[[#This Row],[RESIDENTIAL_SINGLEFAMILY_GAL]:[OTHER_GAL]])</f>
        <v>1097271847.6280003</v>
      </c>
      <c r="W4826">
        <f>SUM(POTABLE_NONPOTABLE_API[[#This Row],[NONPOTABLE_DEMAND_RESIDENTIAL_RECYCLED_WATER_GAL]:[NONPOTABLE_DEMAND_NONRESIDENTIAL_METERED_IRRIGATION_GAL]])</f>
        <v>17513393.423999999</v>
      </c>
      <c r="X4826" t="str">
        <f>IFERROR(INDEX(Crosswalk_API!$H$2:$H$527, MATCH(POTABLE_NONPOTABLE_API[[#This Row],[PWSID]], CW_PWSID_LIST, 0)), "")</f>
        <v>No</v>
      </c>
    </row>
    <row r="4827" spans="1:24" x14ac:dyDescent="0.25">
      <c r="A4827" t="s">
        <v>2158</v>
      </c>
      <c r="B4827" t="s">
        <v>2159</v>
      </c>
      <c r="C4827" t="s">
        <v>2160</v>
      </c>
      <c r="D4827" t="s">
        <v>2161</v>
      </c>
      <c r="E4827" s="9">
        <v>45139</v>
      </c>
      <c r="F4827" s="9">
        <v>45169</v>
      </c>
      <c r="G4827">
        <v>567017431.58399999</v>
      </c>
      <c r="H4827">
        <v>96190510.576000005</v>
      </c>
      <c r="I4827">
        <v>179771108.588</v>
      </c>
      <c r="J4827">
        <v>170974765.12</v>
      </c>
      <c r="K4827">
        <v>113658272.82800001</v>
      </c>
      <c r="L4827">
        <v>4903480.8600000003</v>
      </c>
      <c r="M4827">
        <v>0</v>
      </c>
      <c r="N4827">
        <v>0</v>
      </c>
      <c r="O4827">
        <v>0</v>
      </c>
      <c r="P4827">
        <v>0</v>
      </c>
      <c r="Q4827">
        <v>0</v>
      </c>
      <c r="R4827">
        <v>0</v>
      </c>
      <c r="S4827">
        <v>14044676.300000001</v>
      </c>
      <c r="T4827" s="9">
        <v>45108</v>
      </c>
      <c r="U4827" s="9">
        <v>45473</v>
      </c>
      <c r="V4827">
        <f>SUM(POTABLE_NONPOTABLE_API[[#This Row],[RESIDENTIAL_SINGLEFAMILY_GAL]:[OTHER_GAL]])</f>
        <v>1132515569.5559998</v>
      </c>
      <c r="W4827">
        <f>SUM(POTABLE_NONPOTABLE_API[[#This Row],[NONPOTABLE_DEMAND_RESIDENTIAL_RECYCLED_WATER_GAL]:[NONPOTABLE_DEMAND_NONRESIDENTIAL_METERED_IRRIGATION_GAL]])</f>
        <v>14044676.300000001</v>
      </c>
      <c r="X4827" t="str">
        <f>IFERROR(INDEX(Crosswalk_API!$H$2:$H$527, MATCH(POTABLE_NONPOTABLE_API[[#This Row],[PWSID]], CW_PWSID_LIST, 0)), "")</f>
        <v>No</v>
      </c>
    </row>
    <row r="4828" spans="1:24" x14ac:dyDescent="0.25">
      <c r="A4828" t="s">
        <v>2158</v>
      </c>
      <c r="B4828" t="s">
        <v>2159</v>
      </c>
      <c r="C4828" t="s">
        <v>2160</v>
      </c>
      <c r="D4828" t="s">
        <v>2161</v>
      </c>
      <c r="E4828" s="9">
        <v>45170</v>
      </c>
      <c r="F4828" s="9">
        <v>45199</v>
      </c>
      <c r="G4828">
        <v>519418882.824</v>
      </c>
      <c r="H4828">
        <v>105789513.84</v>
      </c>
      <c r="I4828">
        <v>187069851.95199999</v>
      </c>
      <c r="J4828">
        <v>158419460.352</v>
      </c>
      <c r="K4828">
        <v>130818585.708</v>
      </c>
      <c r="L4828">
        <v>7256852.4520000005</v>
      </c>
      <c r="M4828">
        <v>0</v>
      </c>
      <c r="N4828">
        <v>0</v>
      </c>
      <c r="O4828">
        <v>0</v>
      </c>
      <c r="P4828">
        <v>0</v>
      </c>
      <c r="Q4828">
        <v>0</v>
      </c>
      <c r="R4828">
        <v>0</v>
      </c>
      <c r="S4828">
        <v>11986785.248</v>
      </c>
      <c r="T4828" s="9">
        <v>45108</v>
      </c>
      <c r="U4828" s="9">
        <v>45473</v>
      </c>
      <c r="V4828">
        <f>SUM(POTABLE_NONPOTABLE_API[[#This Row],[RESIDENTIAL_SINGLEFAMILY_GAL]:[OTHER_GAL]])</f>
        <v>1108773147.128</v>
      </c>
      <c r="W4828">
        <f>SUM(POTABLE_NONPOTABLE_API[[#This Row],[NONPOTABLE_DEMAND_RESIDENTIAL_RECYCLED_WATER_GAL]:[NONPOTABLE_DEMAND_NONRESIDENTIAL_METERED_IRRIGATION_GAL]])</f>
        <v>11986785.248</v>
      </c>
      <c r="X4828" t="str">
        <f>IFERROR(INDEX(Crosswalk_API!$H$2:$H$527, MATCH(POTABLE_NONPOTABLE_API[[#This Row],[PWSID]], CW_PWSID_LIST, 0)), "")</f>
        <v>No</v>
      </c>
    </row>
    <row r="4829" spans="1:24" x14ac:dyDescent="0.25">
      <c r="A4829" t="s">
        <v>2158</v>
      </c>
      <c r="B4829" t="s">
        <v>2159</v>
      </c>
      <c r="C4829" t="s">
        <v>2160</v>
      </c>
      <c r="D4829" t="s">
        <v>2161</v>
      </c>
      <c r="E4829" s="9">
        <v>45200</v>
      </c>
      <c r="F4829" s="9">
        <v>45230</v>
      </c>
      <c r="G4829">
        <v>511775287.48800004</v>
      </c>
      <c r="H4829">
        <v>93637409.100000009</v>
      </c>
      <c r="I4829">
        <v>175707690.12400001</v>
      </c>
      <c r="J4829">
        <v>143032030.71200001</v>
      </c>
      <c r="K4829">
        <v>109214843.948</v>
      </c>
      <c r="L4829">
        <v>6327023.8160000006</v>
      </c>
      <c r="M4829">
        <v>0</v>
      </c>
      <c r="N4829">
        <v>0</v>
      </c>
      <c r="O4829">
        <v>0</v>
      </c>
      <c r="P4829">
        <v>0</v>
      </c>
      <c r="Q4829">
        <v>0</v>
      </c>
      <c r="R4829">
        <v>0</v>
      </c>
      <c r="S4829">
        <v>9432187.6679999996</v>
      </c>
      <c r="T4829" s="9">
        <v>45108</v>
      </c>
      <c r="U4829" s="9">
        <v>45473</v>
      </c>
      <c r="V4829">
        <f>SUM(POTABLE_NONPOTABLE_API[[#This Row],[RESIDENTIAL_SINGLEFAMILY_GAL]:[OTHER_GAL]])</f>
        <v>1039694285.1880001</v>
      </c>
      <c r="W4829">
        <f>SUM(POTABLE_NONPOTABLE_API[[#This Row],[NONPOTABLE_DEMAND_RESIDENTIAL_RECYCLED_WATER_GAL]:[NONPOTABLE_DEMAND_NONRESIDENTIAL_METERED_IRRIGATION_GAL]])</f>
        <v>9432187.6679999996</v>
      </c>
      <c r="X4829" t="str">
        <f>IFERROR(INDEX(Crosswalk_API!$H$2:$H$527, MATCH(POTABLE_NONPOTABLE_API[[#This Row],[PWSID]], CW_PWSID_LIST, 0)), "")</f>
        <v>No</v>
      </c>
    </row>
    <row r="4830" spans="1:24" x14ac:dyDescent="0.25">
      <c r="A4830" t="s">
        <v>2158</v>
      </c>
      <c r="B4830" t="s">
        <v>2159</v>
      </c>
      <c r="C4830" t="s">
        <v>2160</v>
      </c>
      <c r="D4830" t="s">
        <v>2161</v>
      </c>
      <c r="E4830" s="9">
        <v>45231</v>
      </c>
      <c r="F4830" s="9">
        <v>45260</v>
      </c>
      <c r="G4830">
        <v>473410692.616</v>
      </c>
      <c r="H4830">
        <v>98669554.903999999</v>
      </c>
      <c r="I4830">
        <v>163284042.50800002</v>
      </c>
      <c r="J4830">
        <v>124707000.868</v>
      </c>
      <c r="K4830">
        <v>118992631.64</v>
      </c>
      <c r="L4830">
        <v>11101839.732000001</v>
      </c>
      <c r="M4830">
        <v>0</v>
      </c>
      <c r="N4830">
        <v>0</v>
      </c>
      <c r="O4830">
        <v>0</v>
      </c>
      <c r="P4830">
        <v>0</v>
      </c>
      <c r="Q4830">
        <v>0</v>
      </c>
      <c r="R4830">
        <v>0</v>
      </c>
      <c r="S4830">
        <v>6561912.1440000003</v>
      </c>
      <c r="T4830" s="9">
        <v>45108</v>
      </c>
      <c r="U4830" s="9">
        <v>45473</v>
      </c>
      <c r="V4830">
        <f>SUM(POTABLE_NONPOTABLE_API[[#This Row],[RESIDENTIAL_SINGLEFAMILY_GAL]:[OTHER_GAL]])</f>
        <v>990165762.26800001</v>
      </c>
      <c r="W4830">
        <f>SUM(POTABLE_NONPOTABLE_API[[#This Row],[NONPOTABLE_DEMAND_RESIDENTIAL_RECYCLED_WATER_GAL]:[NONPOTABLE_DEMAND_NONRESIDENTIAL_METERED_IRRIGATION_GAL]])</f>
        <v>6561912.1440000003</v>
      </c>
      <c r="X4830" t="str">
        <f>IFERROR(INDEX(Crosswalk_API!$H$2:$H$527, MATCH(POTABLE_NONPOTABLE_API[[#This Row],[PWSID]], CW_PWSID_LIST, 0)), "")</f>
        <v>No</v>
      </c>
    </row>
    <row r="4831" spans="1:24" x14ac:dyDescent="0.25">
      <c r="A4831" t="s">
        <v>2158</v>
      </c>
      <c r="B4831" t="s">
        <v>2159</v>
      </c>
      <c r="C4831" t="s">
        <v>2160</v>
      </c>
      <c r="D4831" t="s">
        <v>2161</v>
      </c>
      <c r="E4831" s="9">
        <v>45261</v>
      </c>
      <c r="F4831" s="9">
        <v>45291</v>
      </c>
      <c r="G4831">
        <v>421679156.55599999</v>
      </c>
      <c r="H4831">
        <v>83674852.563999996</v>
      </c>
      <c r="I4831">
        <v>141496279.956</v>
      </c>
      <c r="J4831">
        <v>99977897.851999998</v>
      </c>
      <c r="K4831">
        <v>117886262.73200001</v>
      </c>
      <c r="L4831">
        <v>8916779.8399999999</v>
      </c>
      <c r="M4831">
        <v>0</v>
      </c>
      <c r="N4831">
        <v>0</v>
      </c>
      <c r="O4831">
        <v>0</v>
      </c>
      <c r="P4831">
        <v>0</v>
      </c>
      <c r="Q4831">
        <v>0</v>
      </c>
      <c r="R4831">
        <v>0</v>
      </c>
      <c r="S4831">
        <v>4358899.0039999997</v>
      </c>
      <c r="T4831" s="9">
        <v>45108</v>
      </c>
      <c r="U4831" s="9">
        <v>45473</v>
      </c>
      <c r="V4831">
        <f>SUM(POTABLE_NONPOTABLE_API[[#This Row],[RESIDENTIAL_SINGLEFAMILY_GAL]:[OTHER_GAL]])</f>
        <v>873631229.5</v>
      </c>
      <c r="W4831">
        <f>SUM(POTABLE_NONPOTABLE_API[[#This Row],[NONPOTABLE_DEMAND_RESIDENTIAL_RECYCLED_WATER_GAL]:[NONPOTABLE_DEMAND_NONRESIDENTIAL_METERED_IRRIGATION_GAL]])</f>
        <v>4358899.0039999997</v>
      </c>
      <c r="X4831" t="str">
        <f>IFERROR(INDEX(Crosswalk_API!$H$2:$H$527, MATCH(POTABLE_NONPOTABLE_API[[#This Row],[PWSID]], CW_PWSID_LIST, 0)), "")</f>
        <v>No</v>
      </c>
    </row>
    <row r="4832" spans="1:24" x14ac:dyDescent="0.25">
      <c r="A4832" t="s">
        <v>2158</v>
      </c>
      <c r="B4832" t="s">
        <v>2159</v>
      </c>
      <c r="C4832" t="s">
        <v>2160</v>
      </c>
      <c r="D4832" t="s">
        <v>2161</v>
      </c>
      <c r="E4832" s="9">
        <v>45292</v>
      </c>
      <c r="F4832" s="9">
        <v>45322</v>
      </c>
      <c r="G4832">
        <v>350151920.42000002</v>
      </c>
      <c r="H4832">
        <v>71937916.684</v>
      </c>
      <c r="I4832">
        <v>111862199.976</v>
      </c>
      <c r="J4832">
        <v>61785354.940000005</v>
      </c>
      <c r="K4832">
        <v>128533286.848</v>
      </c>
      <c r="L4832">
        <v>4401601.4028095994</v>
      </c>
      <c r="M4832">
        <v>0</v>
      </c>
      <c r="N4832">
        <v>0</v>
      </c>
      <c r="O4832">
        <v>0</v>
      </c>
      <c r="P4832">
        <v>0</v>
      </c>
      <c r="Q4832">
        <v>0</v>
      </c>
      <c r="R4832">
        <v>0</v>
      </c>
      <c r="S4832">
        <v>2080332.612</v>
      </c>
      <c r="T4832" s="9">
        <v>45108</v>
      </c>
      <c r="U4832" s="9">
        <v>45473</v>
      </c>
      <c r="V4832">
        <f>SUM(POTABLE_NONPOTABLE_API[[#This Row],[RESIDENTIAL_SINGLEFAMILY_GAL]:[OTHER_GAL]])</f>
        <v>728672280.27080977</v>
      </c>
      <c r="W4832">
        <f>SUM(POTABLE_NONPOTABLE_API[[#This Row],[NONPOTABLE_DEMAND_RESIDENTIAL_RECYCLED_WATER_GAL]:[NONPOTABLE_DEMAND_NONRESIDENTIAL_METERED_IRRIGATION_GAL]])</f>
        <v>2080332.612</v>
      </c>
      <c r="X4832" t="str">
        <f>IFERROR(INDEX(Crosswalk_API!$H$2:$H$527, MATCH(POTABLE_NONPOTABLE_API[[#This Row],[PWSID]], CW_PWSID_LIST, 0)), "")</f>
        <v>No</v>
      </c>
    </row>
    <row r="4833" spans="1:24" x14ac:dyDescent="0.25">
      <c r="A4833" t="s">
        <v>2158</v>
      </c>
      <c r="B4833" t="s">
        <v>2159</v>
      </c>
      <c r="C4833" t="s">
        <v>2160</v>
      </c>
      <c r="D4833" t="s">
        <v>2161</v>
      </c>
      <c r="E4833" s="9">
        <v>45323</v>
      </c>
      <c r="F4833" s="9">
        <v>45351</v>
      </c>
      <c r="G4833">
        <v>319101778.00400001</v>
      </c>
      <c r="H4833">
        <v>69035474.923999995</v>
      </c>
      <c r="I4833">
        <v>99010666.615999997</v>
      </c>
      <c r="J4833">
        <v>35300573.880000003</v>
      </c>
      <c r="K4833">
        <v>104786376.10800001</v>
      </c>
      <c r="L4833">
        <v>3271231.3960000002</v>
      </c>
      <c r="M4833">
        <v>0</v>
      </c>
      <c r="N4833">
        <v>0</v>
      </c>
      <c r="O4833">
        <v>0</v>
      </c>
      <c r="P4833">
        <v>0</v>
      </c>
      <c r="Q4833">
        <v>0</v>
      </c>
      <c r="R4833">
        <v>0</v>
      </c>
      <c r="S4833">
        <v>339615.60800000001</v>
      </c>
      <c r="T4833" s="9">
        <v>45108</v>
      </c>
      <c r="U4833" s="9">
        <v>45473</v>
      </c>
      <c r="V4833">
        <f>SUM(POTABLE_NONPOTABLE_API[[#This Row],[RESIDENTIAL_SINGLEFAMILY_GAL]:[OTHER_GAL]])</f>
        <v>630506100.92799997</v>
      </c>
      <c r="W4833">
        <f>SUM(POTABLE_NONPOTABLE_API[[#This Row],[NONPOTABLE_DEMAND_RESIDENTIAL_RECYCLED_WATER_GAL]:[NONPOTABLE_DEMAND_NONRESIDENTIAL_METERED_IRRIGATION_GAL]])</f>
        <v>339615.60800000001</v>
      </c>
      <c r="X4833" t="str">
        <f>IFERROR(INDEX(Crosswalk_API!$H$2:$H$527, MATCH(POTABLE_NONPOTABLE_API[[#This Row],[PWSID]], CW_PWSID_LIST, 0)), "")</f>
        <v>No</v>
      </c>
    </row>
    <row r="4834" spans="1:24" x14ac:dyDescent="0.25">
      <c r="A4834" t="s">
        <v>2158</v>
      </c>
      <c r="B4834" t="s">
        <v>2159</v>
      </c>
      <c r="C4834" t="s">
        <v>2160</v>
      </c>
      <c r="D4834" t="s">
        <v>2161</v>
      </c>
      <c r="E4834" s="9">
        <v>45352</v>
      </c>
      <c r="F4834" s="9">
        <v>45382</v>
      </c>
      <c r="G4834">
        <v>301248020.92000002</v>
      </c>
      <c r="H4834">
        <v>69089334.667999998</v>
      </c>
      <c r="I4834">
        <v>95025045.560000002</v>
      </c>
      <c r="J4834">
        <v>22676448.328000002</v>
      </c>
      <c r="K4834">
        <v>98121980.840000004</v>
      </c>
      <c r="L4834">
        <v>2309960.9375568004</v>
      </c>
      <c r="M4834">
        <v>0</v>
      </c>
      <c r="N4834">
        <v>0</v>
      </c>
      <c r="O4834">
        <v>0</v>
      </c>
      <c r="P4834">
        <v>0</v>
      </c>
      <c r="Q4834">
        <v>0</v>
      </c>
      <c r="R4834">
        <v>0</v>
      </c>
      <c r="S4834">
        <v>834077.98</v>
      </c>
      <c r="T4834" s="9">
        <v>45108</v>
      </c>
      <c r="U4834" s="9">
        <v>45473</v>
      </c>
      <c r="V4834">
        <f>SUM(POTABLE_NONPOTABLE_API[[#This Row],[RESIDENTIAL_SINGLEFAMILY_GAL]:[OTHER_GAL]])</f>
        <v>588470791.25355673</v>
      </c>
      <c r="W4834">
        <f>SUM(POTABLE_NONPOTABLE_API[[#This Row],[NONPOTABLE_DEMAND_RESIDENTIAL_RECYCLED_WATER_GAL]:[NONPOTABLE_DEMAND_NONRESIDENTIAL_METERED_IRRIGATION_GAL]])</f>
        <v>834077.98</v>
      </c>
      <c r="X4834" t="str">
        <f>IFERROR(INDEX(Crosswalk_API!$H$2:$H$527, MATCH(POTABLE_NONPOTABLE_API[[#This Row],[PWSID]], CW_PWSID_LIST, 0)), "")</f>
        <v>No</v>
      </c>
    </row>
    <row r="4835" spans="1:24" x14ac:dyDescent="0.25">
      <c r="A4835" t="s">
        <v>2158</v>
      </c>
      <c r="B4835" t="s">
        <v>2159</v>
      </c>
      <c r="C4835" t="s">
        <v>2160</v>
      </c>
      <c r="D4835" t="s">
        <v>2161</v>
      </c>
      <c r="E4835" s="9">
        <v>45383</v>
      </c>
      <c r="F4835" s="9">
        <v>45412</v>
      </c>
      <c r="G4835">
        <v>324678505.66400003</v>
      </c>
      <c r="H4835">
        <v>76709740.392000005</v>
      </c>
      <c r="I4835">
        <v>120741577.21600001</v>
      </c>
      <c r="J4835">
        <v>51804097.104000002</v>
      </c>
      <c r="K4835">
        <v>114242501.44</v>
      </c>
      <c r="L4835">
        <v>7813403.1400000006</v>
      </c>
      <c r="M4835">
        <v>0</v>
      </c>
      <c r="N4835">
        <v>0</v>
      </c>
      <c r="O4835">
        <v>0</v>
      </c>
      <c r="P4835">
        <v>0</v>
      </c>
      <c r="Q4835">
        <v>0</v>
      </c>
      <c r="R4835">
        <v>0</v>
      </c>
      <c r="S4835">
        <v>3709589.8680000002</v>
      </c>
      <c r="T4835" s="9">
        <v>45108</v>
      </c>
      <c r="U4835" s="9">
        <v>45473</v>
      </c>
      <c r="V4835">
        <f>SUM(POTABLE_NONPOTABLE_API[[#This Row],[RESIDENTIAL_SINGLEFAMILY_GAL]:[OTHER_GAL]])</f>
        <v>695989824.95599997</v>
      </c>
      <c r="W4835">
        <f>SUM(POTABLE_NONPOTABLE_API[[#This Row],[NONPOTABLE_DEMAND_RESIDENTIAL_RECYCLED_WATER_GAL]:[NONPOTABLE_DEMAND_NONRESIDENTIAL_METERED_IRRIGATION_GAL]])</f>
        <v>3709589.8680000002</v>
      </c>
      <c r="X4835" t="str">
        <f>IFERROR(INDEX(Crosswalk_API!$H$2:$H$527, MATCH(POTABLE_NONPOTABLE_API[[#This Row],[PWSID]], CW_PWSID_LIST, 0)), "")</f>
        <v>No</v>
      </c>
    </row>
    <row r="4836" spans="1:24" x14ac:dyDescent="0.25">
      <c r="A4836" t="s">
        <v>2158</v>
      </c>
      <c r="B4836" t="s">
        <v>2159</v>
      </c>
      <c r="C4836" t="s">
        <v>2160</v>
      </c>
      <c r="D4836" t="s">
        <v>2161</v>
      </c>
      <c r="E4836" s="9">
        <v>45413</v>
      </c>
      <c r="F4836" s="9">
        <v>45443</v>
      </c>
      <c r="G4836">
        <v>393146957.17199999</v>
      </c>
      <c r="H4836">
        <v>82501907.027999997</v>
      </c>
      <c r="I4836">
        <v>156159595.25999999</v>
      </c>
      <c r="J4836">
        <v>94744526.060000002</v>
      </c>
      <c r="K4836">
        <v>113807135.176</v>
      </c>
      <c r="L4836">
        <v>7277797.9079999998</v>
      </c>
      <c r="M4836">
        <v>0</v>
      </c>
      <c r="N4836">
        <v>0</v>
      </c>
      <c r="O4836">
        <v>0</v>
      </c>
      <c r="P4836">
        <v>0</v>
      </c>
      <c r="Q4836">
        <v>0</v>
      </c>
      <c r="R4836">
        <v>0</v>
      </c>
      <c r="S4836">
        <v>9882514.972000001</v>
      </c>
      <c r="T4836" s="9">
        <v>45108</v>
      </c>
      <c r="U4836" s="9">
        <v>45473</v>
      </c>
      <c r="V4836">
        <f>SUM(POTABLE_NONPOTABLE_API[[#This Row],[RESIDENTIAL_SINGLEFAMILY_GAL]:[OTHER_GAL]])</f>
        <v>847637918.60399997</v>
      </c>
      <c r="W4836">
        <f>SUM(POTABLE_NONPOTABLE_API[[#This Row],[NONPOTABLE_DEMAND_RESIDENTIAL_RECYCLED_WATER_GAL]:[NONPOTABLE_DEMAND_NONRESIDENTIAL_METERED_IRRIGATION_GAL]])</f>
        <v>9882514.972000001</v>
      </c>
      <c r="X4836" t="str">
        <f>IFERROR(INDEX(Crosswalk_API!$H$2:$H$527, MATCH(POTABLE_NONPOTABLE_API[[#This Row],[PWSID]], CW_PWSID_LIST, 0)), "")</f>
        <v>No</v>
      </c>
    </row>
    <row r="4837" spans="1:24" x14ac:dyDescent="0.25">
      <c r="A4837" t="s">
        <v>2158</v>
      </c>
      <c r="B4837" t="s">
        <v>2159</v>
      </c>
      <c r="C4837" t="s">
        <v>2160</v>
      </c>
      <c r="D4837" t="s">
        <v>2161</v>
      </c>
      <c r="E4837" s="9">
        <v>45444</v>
      </c>
      <c r="F4837" s="9">
        <v>45473</v>
      </c>
      <c r="G4837">
        <v>477834672.14399999</v>
      </c>
      <c r="H4837">
        <v>95952630.040000007</v>
      </c>
      <c r="I4837">
        <v>173965477.016</v>
      </c>
      <c r="J4837">
        <v>138978336.92399999</v>
      </c>
      <c r="K4837">
        <v>117636413.36400001</v>
      </c>
      <c r="L4837">
        <v>7859782.3640000001</v>
      </c>
      <c r="M4837">
        <v>0</v>
      </c>
      <c r="N4837">
        <v>0</v>
      </c>
      <c r="O4837">
        <v>0</v>
      </c>
      <c r="P4837">
        <v>0</v>
      </c>
      <c r="Q4837">
        <v>0</v>
      </c>
      <c r="R4837">
        <v>0</v>
      </c>
      <c r="S4837">
        <v>14815917.912</v>
      </c>
      <c r="T4837" s="9">
        <v>45108</v>
      </c>
      <c r="U4837" s="9">
        <v>45473</v>
      </c>
      <c r="V4837">
        <f>SUM(POTABLE_NONPOTABLE_API[[#This Row],[RESIDENTIAL_SINGLEFAMILY_GAL]:[OTHER_GAL]])</f>
        <v>1012227311.852</v>
      </c>
      <c r="W4837">
        <f>SUM(POTABLE_NONPOTABLE_API[[#This Row],[NONPOTABLE_DEMAND_RESIDENTIAL_RECYCLED_WATER_GAL]:[NONPOTABLE_DEMAND_NONRESIDENTIAL_METERED_IRRIGATION_GAL]])</f>
        <v>14815917.912</v>
      </c>
      <c r="X4837" t="str">
        <f>IFERROR(INDEX(Crosswalk_API!$H$2:$H$527, MATCH(POTABLE_NONPOTABLE_API[[#This Row],[PWSID]], CW_PWSID_LIST, 0)), "")</f>
        <v>No</v>
      </c>
    </row>
    <row r="4838" spans="1:24" x14ac:dyDescent="0.25">
      <c r="A4838" t="s">
        <v>2168</v>
      </c>
      <c r="B4838" t="s">
        <v>2169</v>
      </c>
      <c r="C4838" t="s">
        <v>2170</v>
      </c>
      <c r="D4838" t="s">
        <v>2171</v>
      </c>
      <c r="E4838" s="9">
        <v>45108</v>
      </c>
      <c r="F4838" s="9">
        <v>45138</v>
      </c>
      <c r="G4838">
        <v>35607275.200000003</v>
      </c>
      <c r="H4838">
        <v>12186066.300799999</v>
      </c>
      <c r="I4838">
        <v>19695610.718400002</v>
      </c>
      <c r="J4838">
        <v>3708841.8160000001</v>
      </c>
      <c r="K4838">
        <v>429157.43240000005</v>
      </c>
      <c r="L4838">
        <v>1294728.4016</v>
      </c>
      <c r="M4838">
        <v>220675.34</v>
      </c>
      <c r="T4838" s="9">
        <v>45108</v>
      </c>
      <c r="U4838" s="9">
        <v>45473</v>
      </c>
      <c r="V4838">
        <f>SUM(POTABLE_NONPOTABLE_API[[#This Row],[RESIDENTIAL_SINGLEFAMILY_GAL]:[OTHER_GAL]])</f>
        <v>72921679.869200006</v>
      </c>
      <c r="W4838">
        <f>SUM(POTABLE_NONPOTABLE_API[[#This Row],[NONPOTABLE_DEMAND_RESIDENTIAL_RECYCLED_WATER_GAL]:[NONPOTABLE_DEMAND_NONRESIDENTIAL_METERED_IRRIGATION_GAL]])</f>
        <v>0</v>
      </c>
      <c r="X4838" t="str">
        <f>IFERROR(INDEX(Crosswalk_API!$H$2:$H$527, MATCH(POTABLE_NONPOTABLE_API[[#This Row],[PWSID]], CW_PWSID_LIST, 0)), "")</f>
        <v>No</v>
      </c>
    </row>
    <row r="4839" spans="1:24" x14ac:dyDescent="0.25">
      <c r="A4839" t="s">
        <v>2168</v>
      </c>
      <c r="B4839" t="s">
        <v>2169</v>
      </c>
      <c r="C4839" t="s">
        <v>2170</v>
      </c>
      <c r="D4839" t="s">
        <v>2171</v>
      </c>
      <c r="E4839" s="9">
        <v>45139</v>
      </c>
      <c r="F4839" s="9">
        <v>45169</v>
      </c>
      <c r="G4839">
        <v>42951649.736000001</v>
      </c>
      <c r="H4839">
        <v>17146099.892000001</v>
      </c>
      <c r="I4839">
        <v>24950301.992399998</v>
      </c>
      <c r="J4839">
        <v>4705995.1320000002</v>
      </c>
      <c r="K4839">
        <v>437834.83559999999</v>
      </c>
      <c r="L4839">
        <v>915840.06359999999</v>
      </c>
      <c r="M4839">
        <v>0</v>
      </c>
      <c r="T4839" s="9">
        <v>45108</v>
      </c>
      <c r="U4839" s="9">
        <v>45473</v>
      </c>
      <c r="V4839">
        <f>SUM(POTABLE_NONPOTABLE_API[[#This Row],[RESIDENTIAL_SINGLEFAMILY_GAL]:[OTHER_GAL]])</f>
        <v>91107721.651600018</v>
      </c>
      <c r="W4839">
        <f>SUM(POTABLE_NONPOTABLE_API[[#This Row],[NONPOTABLE_DEMAND_RESIDENTIAL_RECYCLED_WATER_GAL]:[NONPOTABLE_DEMAND_NONRESIDENTIAL_METERED_IRRIGATION_GAL]])</f>
        <v>0</v>
      </c>
      <c r="X4839" t="str">
        <f>IFERROR(INDEX(Crosswalk_API!$H$2:$H$527, MATCH(POTABLE_NONPOTABLE_API[[#This Row],[PWSID]], CW_PWSID_LIST, 0)), "")</f>
        <v>No</v>
      </c>
    </row>
    <row r="4840" spans="1:24" x14ac:dyDescent="0.25">
      <c r="A4840" t="s">
        <v>2168</v>
      </c>
      <c r="B4840" t="s">
        <v>2169</v>
      </c>
      <c r="C4840" t="s">
        <v>2170</v>
      </c>
      <c r="D4840" t="s">
        <v>2171</v>
      </c>
      <c r="E4840" s="9">
        <v>45170</v>
      </c>
      <c r="F4840" s="9">
        <v>45199</v>
      </c>
      <c r="G4840">
        <v>29553290.364</v>
      </c>
      <c r="H4840">
        <v>11350043.385600001</v>
      </c>
      <c r="I4840">
        <v>16034045.788800001</v>
      </c>
      <c r="J4840">
        <v>3040831.38</v>
      </c>
      <c r="K4840">
        <v>366919.50599999999</v>
      </c>
      <c r="L4840">
        <v>2066119.6240000001</v>
      </c>
      <c r="M4840">
        <v>7779.7408000000005</v>
      </c>
      <c r="T4840" s="9">
        <v>45108</v>
      </c>
      <c r="U4840" s="9">
        <v>45473</v>
      </c>
      <c r="V4840">
        <f>SUM(POTABLE_NONPOTABLE_API[[#This Row],[RESIDENTIAL_SINGLEFAMILY_GAL]:[OTHER_GAL]])</f>
        <v>62411250.0484</v>
      </c>
      <c r="W4840">
        <f>SUM(POTABLE_NONPOTABLE_API[[#This Row],[NONPOTABLE_DEMAND_RESIDENTIAL_RECYCLED_WATER_GAL]:[NONPOTABLE_DEMAND_NONRESIDENTIAL_METERED_IRRIGATION_GAL]])</f>
        <v>0</v>
      </c>
      <c r="X4840" t="str">
        <f>IFERROR(INDEX(Crosswalk_API!$H$2:$H$527, MATCH(POTABLE_NONPOTABLE_API[[#This Row],[PWSID]], CW_PWSID_LIST, 0)), "")</f>
        <v>No</v>
      </c>
    </row>
    <row r="4841" spans="1:24" x14ac:dyDescent="0.25">
      <c r="A4841" t="s">
        <v>2168</v>
      </c>
      <c r="B4841" t="s">
        <v>2169</v>
      </c>
      <c r="C4841" t="s">
        <v>2170</v>
      </c>
      <c r="D4841" t="s">
        <v>2171</v>
      </c>
      <c r="E4841" s="9">
        <v>45200</v>
      </c>
      <c r="F4841" s="9">
        <v>45230</v>
      </c>
      <c r="G4841">
        <v>32901571.116</v>
      </c>
      <c r="H4841">
        <v>12662276.204</v>
      </c>
      <c r="I4841">
        <v>18942621.575199999</v>
      </c>
      <c r="J4841">
        <v>3034846.9640000002</v>
      </c>
      <c r="K4841">
        <v>580039.52080000006</v>
      </c>
      <c r="L4841">
        <v>632103.94000000006</v>
      </c>
      <c r="M4841">
        <v>17205.196</v>
      </c>
      <c r="T4841" s="9">
        <v>45108</v>
      </c>
      <c r="U4841" s="9">
        <v>45473</v>
      </c>
      <c r="V4841">
        <f>SUM(POTABLE_NONPOTABLE_API[[#This Row],[RESIDENTIAL_SINGLEFAMILY_GAL]:[OTHER_GAL]])</f>
        <v>68753459.319999993</v>
      </c>
      <c r="W4841">
        <f>SUM(POTABLE_NONPOTABLE_API[[#This Row],[NONPOTABLE_DEMAND_RESIDENTIAL_RECYCLED_WATER_GAL]:[NONPOTABLE_DEMAND_NONRESIDENTIAL_METERED_IRRIGATION_GAL]])</f>
        <v>0</v>
      </c>
      <c r="X4841" t="str">
        <f>IFERROR(INDEX(Crosswalk_API!$H$2:$H$527, MATCH(POTABLE_NONPOTABLE_API[[#This Row],[PWSID]], CW_PWSID_LIST, 0)), "")</f>
        <v>No</v>
      </c>
    </row>
    <row r="4842" spans="1:24" x14ac:dyDescent="0.25">
      <c r="A4842" t="s">
        <v>2168</v>
      </c>
      <c r="B4842" t="s">
        <v>2169</v>
      </c>
      <c r="C4842" t="s">
        <v>2170</v>
      </c>
      <c r="D4842" t="s">
        <v>2171</v>
      </c>
      <c r="E4842" s="9">
        <v>45231</v>
      </c>
      <c r="F4842" s="9">
        <v>45260</v>
      </c>
      <c r="G4842">
        <v>30119565.728</v>
      </c>
      <c r="H4842">
        <v>11953122.908</v>
      </c>
      <c r="I4842">
        <v>14183065.92</v>
      </c>
      <c r="J4842">
        <v>2297267.6920000003</v>
      </c>
      <c r="K4842">
        <v>3856208.06</v>
      </c>
      <c r="L4842">
        <v>1763158.564</v>
      </c>
      <c r="M4842">
        <v>171303.908</v>
      </c>
      <c r="T4842" s="9">
        <v>45108</v>
      </c>
      <c r="U4842" s="9">
        <v>45473</v>
      </c>
      <c r="V4842">
        <f>SUM(POTABLE_NONPOTABLE_API[[#This Row],[RESIDENTIAL_SINGLEFAMILY_GAL]:[OTHER_GAL]])</f>
        <v>64172388.872000009</v>
      </c>
      <c r="W4842">
        <f>SUM(POTABLE_NONPOTABLE_API[[#This Row],[NONPOTABLE_DEMAND_RESIDENTIAL_RECYCLED_WATER_GAL]:[NONPOTABLE_DEMAND_NONRESIDENTIAL_METERED_IRRIGATION_GAL]])</f>
        <v>0</v>
      </c>
      <c r="X4842" t="str">
        <f>IFERROR(INDEX(Crosswalk_API!$H$2:$H$527, MATCH(POTABLE_NONPOTABLE_API[[#This Row],[PWSID]], CW_PWSID_LIST, 0)), "")</f>
        <v>No</v>
      </c>
    </row>
    <row r="4843" spans="1:24" x14ac:dyDescent="0.25">
      <c r="A4843" t="s">
        <v>2168</v>
      </c>
      <c r="B4843" t="s">
        <v>2169</v>
      </c>
      <c r="C4843" t="s">
        <v>2170</v>
      </c>
      <c r="D4843" t="s">
        <v>2171</v>
      </c>
      <c r="E4843" s="9">
        <v>45261</v>
      </c>
      <c r="F4843" s="9">
        <v>45291</v>
      </c>
      <c r="G4843">
        <v>25991066.740000002</v>
      </c>
      <c r="H4843">
        <v>10494421.507999999</v>
      </c>
      <c r="I4843">
        <v>9799481.2000000011</v>
      </c>
      <c r="J4843">
        <v>1561932.5760000001</v>
      </c>
      <c r="K4843">
        <v>805652.00400000007</v>
      </c>
      <c r="L4843">
        <v>2272581.9760000003</v>
      </c>
      <c r="M4843">
        <v>748.05200000000002</v>
      </c>
      <c r="T4843" s="9">
        <v>45108</v>
      </c>
      <c r="U4843" s="9">
        <v>45473</v>
      </c>
      <c r="V4843">
        <f>SUM(POTABLE_NONPOTABLE_API[[#This Row],[RESIDENTIAL_SINGLEFAMILY_GAL]:[OTHER_GAL]])</f>
        <v>50925136.004000008</v>
      </c>
      <c r="W4843">
        <f>SUM(POTABLE_NONPOTABLE_API[[#This Row],[NONPOTABLE_DEMAND_RESIDENTIAL_RECYCLED_WATER_GAL]:[NONPOTABLE_DEMAND_NONRESIDENTIAL_METERED_IRRIGATION_GAL]])</f>
        <v>0</v>
      </c>
      <c r="X4843" t="str">
        <f>IFERROR(INDEX(Crosswalk_API!$H$2:$H$527, MATCH(POTABLE_NONPOTABLE_API[[#This Row],[PWSID]], CW_PWSID_LIST, 0)), "")</f>
        <v>No</v>
      </c>
    </row>
    <row r="4844" spans="1:24" x14ac:dyDescent="0.25">
      <c r="A4844" t="s">
        <v>2168</v>
      </c>
      <c r="B4844" t="s">
        <v>2169</v>
      </c>
      <c r="C4844" t="s">
        <v>2170</v>
      </c>
      <c r="D4844" t="s">
        <v>2171</v>
      </c>
      <c r="E4844" s="9">
        <v>45292</v>
      </c>
      <c r="F4844" s="9">
        <v>45322</v>
      </c>
      <c r="G4844">
        <v>23469383.447999999</v>
      </c>
      <c r="H4844">
        <v>9603491.5759999994</v>
      </c>
      <c r="I4844">
        <v>8843470.7440000009</v>
      </c>
      <c r="J4844">
        <v>888685.77600000007</v>
      </c>
      <c r="K4844">
        <v>258302.35560000001</v>
      </c>
      <c r="L4844">
        <v>3655430.9032000005</v>
      </c>
      <c r="M4844">
        <v>24685.716</v>
      </c>
      <c r="T4844" s="9">
        <v>45108</v>
      </c>
      <c r="U4844" s="9">
        <v>45473</v>
      </c>
      <c r="V4844">
        <f>SUM(POTABLE_NONPOTABLE_API[[#This Row],[RESIDENTIAL_SINGLEFAMILY_GAL]:[OTHER_GAL]])</f>
        <v>46718764.8028</v>
      </c>
      <c r="W4844">
        <f>SUM(POTABLE_NONPOTABLE_API[[#This Row],[NONPOTABLE_DEMAND_RESIDENTIAL_RECYCLED_WATER_GAL]:[NONPOTABLE_DEMAND_NONRESIDENTIAL_METERED_IRRIGATION_GAL]])</f>
        <v>0</v>
      </c>
      <c r="X4844" t="str">
        <f>IFERROR(INDEX(Crosswalk_API!$H$2:$H$527, MATCH(POTABLE_NONPOTABLE_API[[#This Row],[PWSID]], CW_PWSID_LIST, 0)), "")</f>
        <v>No</v>
      </c>
    </row>
    <row r="4845" spans="1:24" x14ac:dyDescent="0.25">
      <c r="A4845" t="s">
        <v>2168</v>
      </c>
      <c r="B4845" t="s">
        <v>2169</v>
      </c>
      <c r="C4845" t="s">
        <v>2170</v>
      </c>
      <c r="D4845" t="s">
        <v>2171</v>
      </c>
      <c r="E4845" s="9">
        <v>45323</v>
      </c>
      <c r="F4845" s="9">
        <v>45351</v>
      </c>
      <c r="G4845">
        <v>22092967.767999999</v>
      </c>
      <c r="H4845">
        <v>8754452.5559999999</v>
      </c>
      <c r="I4845">
        <v>8368158.5032000002</v>
      </c>
      <c r="J4845">
        <v>522140.29600000003</v>
      </c>
      <c r="K4845">
        <v>254711.70600000001</v>
      </c>
      <c r="L4845">
        <v>1128735.6628</v>
      </c>
      <c r="M4845">
        <v>7480.52</v>
      </c>
      <c r="T4845" s="9">
        <v>45108</v>
      </c>
      <c r="U4845" s="9">
        <v>45473</v>
      </c>
      <c r="V4845">
        <f>SUM(POTABLE_NONPOTABLE_API[[#This Row],[RESIDENTIAL_SINGLEFAMILY_GAL]:[OTHER_GAL]])</f>
        <v>41121166.491999999</v>
      </c>
      <c r="W4845">
        <f>SUM(POTABLE_NONPOTABLE_API[[#This Row],[NONPOTABLE_DEMAND_RESIDENTIAL_RECYCLED_WATER_GAL]:[NONPOTABLE_DEMAND_NONRESIDENTIAL_METERED_IRRIGATION_GAL]])</f>
        <v>0</v>
      </c>
      <c r="X4845" t="str">
        <f>IFERROR(INDEX(Crosswalk_API!$H$2:$H$527, MATCH(POTABLE_NONPOTABLE_API[[#This Row],[PWSID]], CW_PWSID_LIST, 0)), "")</f>
        <v>No</v>
      </c>
    </row>
    <row r="4846" spans="1:24" x14ac:dyDescent="0.25">
      <c r="A4846" t="s">
        <v>2168</v>
      </c>
      <c r="B4846" t="s">
        <v>2169</v>
      </c>
      <c r="C4846" t="s">
        <v>2170</v>
      </c>
      <c r="D4846" t="s">
        <v>2171</v>
      </c>
      <c r="E4846" s="9">
        <v>45352</v>
      </c>
      <c r="F4846" s="9">
        <v>45382</v>
      </c>
      <c r="G4846">
        <v>21694256.052000001</v>
      </c>
      <c r="H4846">
        <v>8595192.2851999998</v>
      </c>
      <c r="I4846">
        <v>7979171.4632000001</v>
      </c>
      <c r="J4846">
        <v>663522.12400000007</v>
      </c>
      <c r="K4846">
        <v>194792.7408</v>
      </c>
      <c r="L4846">
        <v>1616091.5408000001</v>
      </c>
      <c r="M4846">
        <v>17953.248</v>
      </c>
      <c r="T4846" s="9">
        <v>45108</v>
      </c>
      <c r="U4846" s="9">
        <v>45473</v>
      </c>
      <c r="V4846">
        <f>SUM(POTABLE_NONPOTABLE_API[[#This Row],[RESIDENTIAL_SINGLEFAMILY_GAL]:[OTHER_GAL]])</f>
        <v>40743026.206</v>
      </c>
      <c r="W4846">
        <f>SUM(POTABLE_NONPOTABLE_API[[#This Row],[NONPOTABLE_DEMAND_RESIDENTIAL_RECYCLED_WATER_GAL]:[NONPOTABLE_DEMAND_NONRESIDENTIAL_METERED_IRRIGATION_GAL]])</f>
        <v>0</v>
      </c>
      <c r="X4846" t="str">
        <f>IFERROR(INDEX(Crosswalk_API!$H$2:$H$527, MATCH(POTABLE_NONPOTABLE_API[[#This Row],[PWSID]], CW_PWSID_LIST, 0)), "")</f>
        <v>No</v>
      </c>
    </row>
    <row r="4847" spans="1:24" x14ac:dyDescent="0.25">
      <c r="A4847" t="s">
        <v>2168</v>
      </c>
      <c r="B4847" t="s">
        <v>2169</v>
      </c>
      <c r="C4847" t="s">
        <v>2170</v>
      </c>
      <c r="D4847" t="s">
        <v>2171</v>
      </c>
      <c r="E4847" s="9">
        <v>45383</v>
      </c>
      <c r="F4847" s="9">
        <v>45412</v>
      </c>
      <c r="G4847">
        <v>27351025.276000001</v>
      </c>
      <c r="H4847">
        <v>10124360.183599999</v>
      </c>
      <c r="I4847">
        <v>11571616.388</v>
      </c>
      <c r="J4847">
        <v>1917257.2760000001</v>
      </c>
      <c r="K4847">
        <v>232644.17200000002</v>
      </c>
      <c r="L4847">
        <v>1128735.6628</v>
      </c>
      <c r="M4847">
        <v>1496.104</v>
      </c>
      <c r="T4847" s="9">
        <v>45108</v>
      </c>
      <c r="U4847" s="9">
        <v>45473</v>
      </c>
      <c r="V4847">
        <f>SUM(POTABLE_NONPOTABLE_API[[#This Row],[RESIDENTIAL_SINGLEFAMILY_GAL]:[OTHER_GAL]])</f>
        <v>52325638.958399996</v>
      </c>
      <c r="W4847">
        <f>SUM(POTABLE_NONPOTABLE_API[[#This Row],[NONPOTABLE_DEMAND_RESIDENTIAL_RECYCLED_WATER_GAL]:[NONPOTABLE_DEMAND_NONRESIDENTIAL_METERED_IRRIGATION_GAL]])</f>
        <v>0</v>
      </c>
      <c r="X4847" t="str">
        <f>IFERROR(INDEX(Crosswalk_API!$H$2:$H$527, MATCH(POTABLE_NONPOTABLE_API[[#This Row],[PWSID]], CW_PWSID_LIST, 0)), "")</f>
        <v>No</v>
      </c>
    </row>
    <row r="4848" spans="1:24" x14ac:dyDescent="0.25">
      <c r="A4848" t="s">
        <v>2168</v>
      </c>
      <c r="B4848" t="s">
        <v>2169</v>
      </c>
      <c r="C4848" t="s">
        <v>2170</v>
      </c>
      <c r="D4848" t="s">
        <v>2171</v>
      </c>
      <c r="E4848" s="9">
        <v>45413</v>
      </c>
      <c r="F4848" s="9">
        <v>45443</v>
      </c>
      <c r="G4848">
        <v>34111171.200000003</v>
      </c>
      <c r="H4848">
        <v>11160187.788000001</v>
      </c>
      <c r="I4848">
        <v>17037632.352000002</v>
      </c>
      <c r="J4848">
        <v>3432810.628</v>
      </c>
      <c r="K4848">
        <v>296153.7868</v>
      </c>
      <c r="L4848">
        <v>1128885.2731999999</v>
      </c>
      <c r="M4848">
        <v>9724.6759999999995</v>
      </c>
      <c r="T4848" s="9">
        <v>45108</v>
      </c>
      <c r="U4848" s="9">
        <v>45473</v>
      </c>
      <c r="V4848">
        <f>SUM(POTABLE_NONPOTABLE_API[[#This Row],[RESIDENTIAL_SINGLEFAMILY_GAL]:[OTHER_GAL]])</f>
        <v>67166841.027999997</v>
      </c>
      <c r="W4848">
        <f>SUM(POTABLE_NONPOTABLE_API[[#This Row],[NONPOTABLE_DEMAND_RESIDENTIAL_RECYCLED_WATER_GAL]:[NONPOTABLE_DEMAND_NONRESIDENTIAL_METERED_IRRIGATION_GAL]])</f>
        <v>0</v>
      </c>
      <c r="X4848" t="str">
        <f>IFERROR(INDEX(Crosswalk_API!$H$2:$H$527, MATCH(POTABLE_NONPOTABLE_API[[#This Row],[PWSID]], CW_PWSID_LIST, 0)), "")</f>
        <v>No</v>
      </c>
    </row>
    <row r="4849" spans="1:24" x14ac:dyDescent="0.25">
      <c r="A4849" t="s">
        <v>2168</v>
      </c>
      <c r="B4849" t="s">
        <v>2169</v>
      </c>
      <c r="C4849" t="s">
        <v>2170</v>
      </c>
      <c r="D4849" t="s">
        <v>2171</v>
      </c>
      <c r="E4849" s="9">
        <v>45444</v>
      </c>
      <c r="F4849" s="9">
        <v>45473</v>
      </c>
      <c r="G4849">
        <v>34994620.612000003</v>
      </c>
      <c r="H4849">
        <v>11408840.2728</v>
      </c>
      <c r="I4849">
        <v>19970819.049199998</v>
      </c>
      <c r="J4849">
        <v>4330473.0279999999</v>
      </c>
      <c r="K4849">
        <v>341710.15360000002</v>
      </c>
      <c r="L4849">
        <v>1855767.4016000002</v>
      </c>
      <c r="M4849">
        <v>8976.6239999999998</v>
      </c>
      <c r="T4849" s="9">
        <v>45108</v>
      </c>
      <c r="U4849" s="9">
        <v>45473</v>
      </c>
      <c r="V4849">
        <f>SUM(POTABLE_NONPOTABLE_API[[#This Row],[RESIDENTIAL_SINGLEFAMILY_GAL]:[OTHER_GAL]])</f>
        <v>72902230.517200008</v>
      </c>
      <c r="W4849">
        <f>SUM(POTABLE_NONPOTABLE_API[[#This Row],[NONPOTABLE_DEMAND_RESIDENTIAL_RECYCLED_WATER_GAL]:[NONPOTABLE_DEMAND_NONRESIDENTIAL_METERED_IRRIGATION_GAL]])</f>
        <v>0</v>
      </c>
      <c r="X4849" t="str">
        <f>IFERROR(INDEX(Crosswalk_API!$H$2:$H$527, MATCH(POTABLE_NONPOTABLE_API[[#This Row],[PWSID]], CW_PWSID_LIST, 0)), "")</f>
        <v>No</v>
      </c>
    </row>
    <row r="4850" spans="1:24" x14ac:dyDescent="0.25">
      <c r="A4850" t="s">
        <v>2172</v>
      </c>
      <c r="B4850" t="s">
        <v>2173</v>
      </c>
      <c r="C4850" t="s">
        <v>2174</v>
      </c>
      <c r="D4850" t="s">
        <v>2175</v>
      </c>
      <c r="E4850" s="9">
        <v>45108</v>
      </c>
      <c r="F4850" s="9">
        <v>45138</v>
      </c>
      <c r="G4850">
        <v>33235.950360000003</v>
      </c>
      <c r="H4850">
        <v>69131973.631999999</v>
      </c>
      <c r="I4850">
        <v>16995741.440000001</v>
      </c>
      <c r="J4850">
        <v>58324866.388000004</v>
      </c>
      <c r="K4850">
        <v>66413552.664000005</v>
      </c>
      <c r="L4850">
        <v>182524.68799999999</v>
      </c>
      <c r="M4850">
        <v>0</v>
      </c>
      <c r="N4850">
        <v>0</v>
      </c>
      <c r="O4850">
        <v>0</v>
      </c>
      <c r="P4850">
        <v>0</v>
      </c>
      <c r="Q4850">
        <v>20418079.34</v>
      </c>
      <c r="R4850">
        <v>0</v>
      </c>
      <c r="S4850">
        <v>35729955.728</v>
      </c>
      <c r="T4850" s="9">
        <v>45108</v>
      </c>
      <c r="U4850" s="9">
        <v>45473</v>
      </c>
      <c r="V4850">
        <f>SUM(POTABLE_NONPOTABLE_API[[#This Row],[RESIDENTIAL_SINGLEFAMILY_GAL]:[OTHER_GAL]])</f>
        <v>211081894.76236001</v>
      </c>
      <c r="W4850">
        <f>SUM(POTABLE_NONPOTABLE_API[[#This Row],[NONPOTABLE_DEMAND_RESIDENTIAL_RECYCLED_WATER_GAL]:[NONPOTABLE_DEMAND_NONRESIDENTIAL_METERED_IRRIGATION_GAL]])</f>
        <v>56148035.068000004</v>
      </c>
      <c r="X4850" t="str">
        <f>IFERROR(INDEX(Crosswalk_API!$H$2:$H$527, MATCH(POTABLE_NONPOTABLE_API[[#This Row],[PWSID]], CW_PWSID_LIST, 0)), "")</f>
        <v>No</v>
      </c>
    </row>
    <row r="4851" spans="1:24" x14ac:dyDescent="0.25">
      <c r="A4851" t="s">
        <v>2172</v>
      </c>
      <c r="B4851" t="s">
        <v>2173</v>
      </c>
      <c r="C4851" t="s">
        <v>2174</v>
      </c>
      <c r="D4851" t="s">
        <v>2175</v>
      </c>
      <c r="E4851" s="9">
        <v>45139</v>
      </c>
      <c r="F4851" s="9">
        <v>45169</v>
      </c>
      <c r="G4851">
        <v>9689151.01052</v>
      </c>
      <c r="H4851">
        <v>16066204.54428</v>
      </c>
      <c r="I4851">
        <v>8115017.7064000005</v>
      </c>
      <c r="J4851">
        <v>11964268.8828</v>
      </c>
      <c r="K4851">
        <v>290214.25391999999</v>
      </c>
      <c r="L4851">
        <v>44135.067999999999</v>
      </c>
      <c r="M4851">
        <v>0</v>
      </c>
      <c r="N4851">
        <v>0</v>
      </c>
      <c r="O4851">
        <v>0</v>
      </c>
      <c r="P4851">
        <v>0</v>
      </c>
      <c r="Q4851">
        <v>3676084.6189200003</v>
      </c>
      <c r="R4851">
        <v>0</v>
      </c>
      <c r="S4851">
        <v>1923877.5362</v>
      </c>
      <c r="T4851" s="9">
        <v>45108</v>
      </c>
      <c r="U4851" s="9">
        <v>45473</v>
      </c>
      <c r="V4851">
        <f>SUM(POTABLE_NONPOTABLE_API[[#This Row],[RESIDENTIAL_SINGLEFAMILY_GAL]:[OTHER_GAL]])</f>
        <v>46168991.465920001</v>
      </c>
      <c r="W4851">
        <f>SUM(POTABLE_NONPOTABLE_API[[#This Row],[NONPOTABLE_DEMAND_RESIDENTIAL_RECYCLED_WATER_GAL]:[NONPOTABLE_DEMAND_NONRESIDENTIAL_METERED_IRRIGATION_GAL]])</f>
        <v>5599962.1551200002</v>
      </c>
      <c r="X4851" t="str">
        <f>IFERROR(INDEX(Crosswalk_API!$H$2:$H$527, MATCH(POTABLE_NONPOTABLE_API[[#This Row],[PWSID]], CW_PWSID_LIST, 0)), "")</f>
        <v>No</v>
      </c>
    </row>
    <row r="4852" spans="1:24" x14ac:dyDescent="0.25">
      <c r="A4852" t="s">
        <v>2172</v>
      </c>
      <c r="B4852" t="s">
        <v>2173</v>
      </c>
      <c r="C4852" t="s">
        <v>2174</v>
      </c>
      <c r="D4852" t="s">
        <v>2175</v>
      </c>
      <c r="E4852" s="9">
        <v>45170</v>
      </c>
      <c r="F4852" s="9">
        <v>45199</v>
      </c>
      <c r="G4852">
        <v>20945.456000000002</v>
      </c>
      <c r="H4852">
        <v>68090685.247999996</v>
      </c>
      <c r="I4852">
        <v>18354203.872000001</v>
      </c>
      <c r="J4852">
        <v>69454384.044</v>
      </c>
      <c r="K4852">
        <v>73086176.504000008</v>
      </c>
      <c r="L4852">
        <v>326898.72399999999</v>
      </c>
      <c r="M4852">
        <v>0</v>
      </c>
      <c r="N4852">
        <v>0</v>
      </c>
      <c r="O4852">
        <v>0</v>
      </c>
      <c r="P4852">
        <v>0</v>
      </c>
      <c r="Q4852">
        <v>23460406.824000001</v>
      </c>
      <c r="R4852">
        <v>0</v>
      </c>
      <c r="S4852">
        <v>35593062.211999997</v>
      </c>
      <c r="T4852" s="9">
        <v>45108</v>
      </c>
      <c r="U4852" s="9">
        <v>45473</v>
      </c>
      <c r="V4852">
        <f>SUM(POTABLE_NONPOTABLE_API[[#This Row],[RESIDENTIAL_SINGLEFAMILY_GAL]:[OTHER_GAL]])</f>
        <v>229333293.84800002</v>
      </c>
      <c r="W4852">
        <f>SUM(POTABLE_NONPOTABLE_API[[#This Row],[NONPOTABLE_DEMAND_RESIDENTIAL_RECYCLED_WATER_GAL]:[NONPOTABLE_DEMAND_NONRESIDENTIAL_METERED_IRRIGATION_GAL]])</f>
        <v>59053469.035999998</v>
      </c>
      <c r="X4852" t="str">
        <f>IFERROR(INDEX(Crosswalk_API!$H$2:$H$527, MATCH(POTABLE_NONPOTABLE_API[[#This Row],[PWSID]], CW_PWSID_LIST, 0)), "")</f>
        <v>No</v>
      </c>
    </row>
    <row r="4853" spans="1:24" x14ac:dyDescent="0.25">
      <c r="A4853" t="s">
        <v>2172</v>
      </c>
      <c r="B4853" t="s">
        <v>2173</v>
      </c>
      <c r="C4853" t="s">
        <v>2174</v>
      </c>
      <c r="D4853" t="s">
        <v>2175</v>
      </c>
      <c r="E4853" s="9">
        <v>45200</v>
      </c>
      <c r="F4853" s="9">
        <v>45230</v>
      </c>
      <c r="G4853">
        <v>11225268.312000001</v>
      </c>
      <c r="H4853">
        <v>18840437.672000002</v>
      </c>
      <c r="I4853">
        <v>7350358.9520000005</v>
      </c>
      <c r="J4853">
        <v>11565631.972000001</v>
      </c>
      <c r="K4853">
        <v>845298.76</v>
      </c>
      <c r="L4853">
        <v>221423.39199999999</v>
      </c>
      <c r="M4853">
        <v>0</v>
      </c>
      <c r="N4853">
        <v>0</v>
      </c>
      <c r="O4853">
        <v>0</v>
      </c>
      <c r="P4853">
        <v>0</v>
      </c>
      <c r="Q4853">
        <v>8484405.784</v>
      </c>
      <c r="R4853">
        <v>0</v>
      </c>
      <c r="S4853">
        <v>1805049.476</v>
      </c>
      <c r="T4853" s="9">
        <v>45108</v>
      </c>
      <c r="U4853" s="9">
        <v>45473</v>
      </c>
      <c r="V4853">
        <f>SUM(POTABLE_NONPOTABLE_API[[#This Row],[RESIDENTIAL_SINGLEFAMILY_GAL]:[OTHER_GAL]])</f>
        <v>50048419.060000002</v>
      </c>
      <c r="W4853">
        <f>SUM(POTABLE_NONPOTABLE_API[[#This Row],[NONPOTABLE_DEMAND_RESIDENTIAL_RECYCLED_WATER_GAL]:[NONPOTABLE_DEMAND_NONRESIDENTIAL_METERED_IRRIGATION_GAL]])</f>
        <v>10289455.26</v>
      </c>
      <c r="X4853" t="str">
        <f>IFERROR(INDEX(Crosswalk_API!$H$2:$H$527, MATCH(POTABLE_NONPOTABLE_API[[#This Row],[PWSID]], CW_PWSID_LIST, 0)), "")</f>
        <v>No</v>
      </c>
    </row>
    <row r="4854" spans="1:24" x14ac:dyDescent="0.25">
      <c r="A4854" t="s">
        <v>2172</v>
      </c>
      <c r="B4854" t="s">
        <v>2173</v>
      </c>
      <c r="C4854" t="s">
        <v>2174</v>
      </c>
      <c r="D4854" t="s">
        <v>2175</v>
      </c>
      <c r="E4854" s="9">
        <v>45231</v>
      </c>
      <c r="F4854" s="9">
        <v>45260</v>
      </c>
      <c r="G4854">
        <v>14212.988000000001</v>
      </c>
      <c r="H4854">
        <v>66142009.788000003</v>
      </c>
      <c r="I4854">
        <v>17269528.471999999</v>
      </c>
      <c r="J4854">
        <v>46753998.052000001</v>
      </c>
      <c r="K4854">
        <v>67194518.952000007</v>
      </c>
      <c r="L4854">
        <v>243116.9</v>
      </c>
      <c r="M4854">
        <v>0</v>
      </c>
      <c r="N4854">
        <v>0</v>
      </c>
      <c r="O4854">
        <v>0</v>
      </c>
      <c r="P4854">
        <v>0</v>
      </c>
      <c r="Q4854">
        <v>16292572.560000001</v>
      </c>
      <c r="R4854">
        <v>0</v>
      </c>
      <c r="S4854">
        <v>25362703.060000002</v>
      </c>
      <c r="T4854" s="9">
        <v>45108</v>
      </c>
      <c r="U4854" s="9">
        <v>45473</v>
      </c>
      <c r="V4854">
        <f>SUM(POTABLE_NONPOTABLE_API[[#This Row],[RESIDENTIAL_SINGLEFAMILY_GAL]:[OTHER_GAL]])</f>
        <v>197617385.15200001</v>
      </c>
      <c r="W4854">
        <f>SUM(POTABLE_NONPOTABLE_API[[#This Row],[NONPOTABLE_DEMAND_RESIDENTIAL_RECYCLED_WATER_GAL]:[NONPOTABLE_DEMAND_NONRESIDENTIAL_METERED_IRRIGATION_GAL]])</f>
        <v>41655275.620000005</v>
      </c>
      <c r="X4854" t="str">
        <f>IFERROR(INDEX(Crosswalk_API!$H$2:$H$527, MATCH(POTABLE_NONPOTABLE_API[[#This Row],[PWSID]], CW_PWSID_LIST, 0)), "")</f>
        <v>No</v>
      </c>
    </row>
    <row r="4855" spans="1:24" x14ac:dyDescent="0.25">
      <c r="A4855" t="s">
        <v>2172</v>
      </c>
      <c r="B4855" t="s">
        <v>2173</v>
      </c>
      <c r="C4855" t="s">
        <v>2174</v>
      </c>
      <c r="D4855" t="s">
        <v>2175</v>
      </c>
      <c r="E4855" s="9">
        <v>45261</v>
      </c>
      <c r="F4855" s="9">
        <v>45291</v>
      </c>
      <c r="G4855">
        <v>8779138.2719999999</v>
      </c>
      <c r="H4855">
        <v>15733029.664000001</v>
      </c>
      <c r="I4855">
        <v>4175626.264</v>
      </c>
      <c r="J4855">
        <v>6095127.6960000005</v>
      </c>
      <c r="K4855">
        <v>429381.848</v>
      </c>
      <c r="L4855">
        <v>295480.54000000004</v>
      </c>
      <c r="M4855">
        <v>0</v>
      </c>
      <c r="N4855">
        <v>0</v>
      </c>
      <c r="O4855">
        <v>0</v>
      </c>
      <c r="P4855">
        <v>0</v>
      </c>
      <c r="Q4855">
        <v>3684156.1</v>
      </c>
      <c r="R4855">
        <v>0</v>
      </c>
      <c r="S4855">
        <v>879709.152</v>
      </c>
      <c r="T4855" s="9">
        <v>45108</v>
      </c>
      <c r="U4855" s="9">
        <v>45473</v>
      </c>
      <c r="V4855">
        <f>SUM(POTABLE_NONPOTABLE_API[[#This Row],[RESIDENTIAL_SINGLEFAMILY_GAL]:[OTHER_GAL]])</f>
        <v>35507784.283999994</v>
      </c>
      <c r="W4855">
        <f>SUM(POTABLE_NONPOTABLE_API[[#This Row],[NONPOTABLE_DEMAND_RESIDENTIAL_RECYCLED_WATER_GAL]:[NONPOTABLE_DEMAND_NONRESIDENTIAL_METERED_IRRIGATION_GAL]])</f>
        <v>4563865.2520000003</v>
      </c>
      <c r="X4855" t="str">
        <f>IFERROR(INDEX(Crosswalk_API!$H$2:$H$527, MATCH(POTABLE_NONPOTABLE_API[[#This Row],[PWSID]], CW_PWSID_LIST, 0)), "")</f>
        <v>No</v>
      </c>
    </row>
    <row r="4856" spans="1:24" x14ac:dyDescent="0.25">
      <c r="A4856" t="s">
        <v>2172</v>
      </c>
      <c r="B4856" t="s">
        <v>2173</v>
      </c>
      <c r="C4856" t="s">
        <v>2174</v>
      </c>
      <c r="D4856" t="s">
        <v>2175</v>
      </c>
      <c r="E4856" s="9">
        <v>45292</v>
      </c>
      <c r="F4856" s="9">
        <v>45322</v>
      </c>
      <c r="G4856">
        <v>17953.248</v>
      </c>
      <c r="H4856">
        <v>53300949.156000003</v>
      </c>
      <c r="I4856">
        <v>12048873.564000001</v>
      </c>
      <c r="J4856">
        <v>14249642.548</v>
      </c>
      <c r="K4856">
        <v>48701925.460000001</v>
      </c>
      <c r="L4856">
        <v>46379.224000000002</v>
      </c>
      <c r="M4856">
        <v>0</v>
      </c>
      <c r="N4856">
        <v>0</v>
      </c>
      <c r="O4856">
        <v>0</v>
      </c>
      <c r="P4856">
        <v>0</v>
      </c>
      <c r="Q4856">
        <v>10213153.956</v>
      </c>
      <c r="R4856">
        <v>0</v>
      </c>
      <c r="S4856">
        <v>9971533.1600000001</v>
      </c>
      <c r="T4856" s="9">
        <v>45108</v>
      </c>
      <c r="U4856" s="9">
        <v>45473</v>
      </c>
      <c r="V4856">
        <f>SUM(POTABLE_NONPOTABLE_API[[#This Row],[RESIDENTIAL_SINGLEFAMILY_GAL]:[OTHER_GAL]])</f>
        <v>128365723.20000002</v>
      </c>
      <c r="W4856">
        <f>SUM(POTABLE_NONPOTABLE_API[[#This Row],[NONPOTABLE_DEMAND_RESIDENTIAL_RECYCLED_WATER_GAL]:[NONPOTABLE_DEMAND_NONRESIDENTIAL_METERED_IRRIGATION_GAL]])</f>
        <v>20184687.116</v>
      </c>
      <c r="X4856" t="str">
        <f>IFERROR(INDEX(Crosswalk_API!$H$2:$H$527, MATCH(POTABLE_NONPOTABLE_API[[#This Row],[PWSID]], CW_PWSID_LIST, 0)), "")</f>
        <v>No</v>
      </c>
    </row>
    <row r="4857" spans="1:24" x14ac:dyDescent="0.25">
      <c r="A4857" t="s">
        <v>2172</v>
      </c>
      <c r="B4857" t="s">
        <v>2173</v>
      </c>
      <c r="C4857" t="s">
        <v>2174</v>
      </c>
      <c r="D4857" t="s">
        <v>2175</v>
      </c>
      <c r="E4857" s="9">
        <v>45323</v>
      </c>
      <c r="F4857" s="9">
        <v>45351</v>
      </c>
      <c r="G4857">
        <v>9679044.8279999997</v>
      </c>
      <c r="H4857">
        <v>19245881.855999999</v>
      </c>
      <c r="I4857">
        <v>2918150.852</v>
      </c>
      <c r="J4857">
        <v>1502836.4680000001</v>
      </c>
      <c r="K4857">
        <v>1064477.996</v>
      </c>
      <c r="L4857">
        <v>220675.34</v>
      </c>
      <c r="M4857">
        <v>0</v>
      </c>
      <c r="N4857">
        <v>0</v>
      </c>
      <c r="O4857">
        <v>0</v>
      </c>
      <c r="P4857">
        <v>0</v>
      </c>
      <c r="Q4857">
        <v>988176.69200000004</v>
      </c>
      <c r="R4857">
        <v>0</v>
      </c>
      <c r="S4857">
        <v>510919.516</v>
      </c>
      <c r="T4857" s="9">
        <v>45108</v>
      </c>
      <c r="U4857" s="9">
        <v>45473</v>
      </c>
      <c r="V4857">
        <f>SUM(POTABLE_NONPOTABLE_API[[#This Row],[RESIDENTIAL_SINGLEFAMILY_GAL]:[OTHER_GAL]])</f>
        <v>34631067.340000004</v>
      </c>
      <c r="W4857">
        <f>SUM(POTABLE_NONPOTABLE_API[[#This Row],[NONPOTABLE_DEMAND_RESIDENTIAL_RECYCLED_WATER_GAL]:[NONPOTABLE_DEMAND_NONRESIDENTIAL_METERED_IRRIGATION_GAL]])</f>
        <v>1499096.2080000001</v>
      </c>
      <c r="X4857" t="str">
        <f>IFERROR(INDEX(Crosswalk_API!$H$2:$H$527, MATCH(POTABLE_NONPOTABLE_API[[#This Row],[PWSID]], CW_PWSID_LIST, 0)), "")</f>
        <v>No</v>
      </c>
    </row>
    <row r="4858" spans="1:24" x14ac:dyDescent="0.25">
      <c r="A4858" t="s">
        <v>2172</v>
      </c>
      <c r="B4858" t="s">
        <v>2173</v>
      </c>
      <c r="C4858" t="s">
        <v>2174</v>
      </c>
      <c r="D4858" t="s">
        <v>2175</v>
      </c>
      <c r="E4858" s="9">
        <v>45352</v>
      </c>
      <c r="F4858" s="9">
        <v>45382</v>
      </c>
      <c r="G4858">
        <v>45631.171999999999</v>
      </c>
      <c r="H4858">
        <v>65726092.876000002</v>
      </c>
      <c r="I4858">
        <v>15240811.448000001</v>
      </c>
      <c r="J4858">
        <v>9864561.7239999995</v>
      </c>
      <c r="K4858">
        <v>56557219.512000002</v>
      </c>
      <c r="L4858">
        <v>186264.948</v>
      </c>
      <c r="M4858">
        <v>0</v>
      </c>
      <c r="N4858">
        <v>0</v>
      </c>
      <c r="O4858">
        <v>0</v>
      </c>
      <c r="P4858">
        <v>0</v>
      </c>
      <c r="Q4858">
        <v>7675013.5200000005</v>
      </c>
      <c r="R4858">
        <v>0</v>
      </c>
      <c r="S4858">
        <v>7654816.1160000004</v>
      </c>
      <c r="T4858" s="9">
        <v>45108</v>
      </c>
      <c r="U4858" s="9">
        <v>45473</v>
      </c>
      <c r="V4858">
        <f>SUM(POTABLE_NONPOTABLE_API[[#This Row],[RESIDENTIAL_SINGLEFAMILY_GAL]:[OTHER_GAL]])</f>
        <v>147620581.68000001</v>
      </c>
      <c r="W4858">
        <f>SUM(POTABLE_NONPOTABLE_API[[#This Row],[NONPOTABLE_DEMAND_RESIDENTIAL_RECYCLED_WATER_GAL]:[NONPOTABLE_DEMAND_NONRESIDENTIAL_METERED_IRRIGATION_GAL]])</f>
        <v>15329829.636</v>
      </c>
      <c r="X4858" t="str">
        <f>IFERROR(INDEX(Crosswalk_API!$H$2:$H$527, MATCH(POTABLE_NONPOTABLE_API[[#This Row],[PWSID]], CW_PWSID_LIST, 0)), "")</f>
        <v>No</v>
      </c>
    </row>
    <row r="4859" spans="1:24" x14ac:dyDescent="0.25">
      <c r="A4859" t="s">
        <v>2172</v>
      </c>
      <c r="B4859" t="s">
        <v>2173</v>
      </c>
      <c r="C4859" t="s">
        <v>2174</v>
      </c>
      <c r="D4859" t="s">
        <v>2175</v>
      </c>
      <c r="E4859" s="9">
        <v>45383</v>
      </c>
      <c r="F4859" s="9">
        <v>45412</v>
      </c>
      <c r="G4859">
        <v>9640146.1239999998</v>
      </c>
      <c r="H4859">
        <v>18760396.107999999</v>
      </c>
      <c r="I4859">
        <v>3686400.2560000001</v>
      </c>
      <c r="J4859">
        <v>3571200.2480000001</v>
      </c>
      <c r="K4859">
        <v>810888.36800000002</v>
      </c>
      <c r="L4859">
        <v>11968.832</v>
      </c>
      <c r="M4859">
        <v>0</v>
      </c>
      <c r="N4859">
        <v>0</v>
      </c>
      <c r="O4859">
        <v>0</v>
      </c>
      <c r="P4859">
        <v>0</v>
      </c>
      <c r="Q4859">
        <v>8948946.0759999994</v>
      </c>
      <c r="R4859">
        <v>0</v>
      </c>
      <c r="S4859">
        <v>0</v>
      </c>
      <c r="T4859" s="9">
        <v>45108</v>
      </c>
      <c r="U4859" s="9">
        <v>45473</v>
      </c>
      <c r="V4859">
        <f>SUM(POTABLE_NONPOTABLE_API[[#This Row],[RESIDENTIAL_SINGLEFAMILY_GAL]:[OTHER_GAL]])</f>
        <v>36480999.936000004</v>
      </c>
      <c r="W4859">
        <f>SUM(POTABLE_NONPOTABLE_API[[#This Row],[NONPOTABLE_DEMAND_RESIDENTIAL_RECYCLED_WATER_GAL]:[NONPOTABLE_DEMAND_NONRESIDENTIAL_METERED_IRRIGATION_GAL]])</f>
        <v>8948946.0759999994</v>
      </c>
      <c r="X4859" t="str">
        <f>IFERROR(INDEX(Crosswalk_API!$H$2:$H$527, MATCH(POTABLE_NONPOTABLE_API[[#This Row],[PWSID]], CW_PWSID_LIST, 0)), "")</f>
        <v>No</v>
      </c>
    </row>
    <row r="4860" spans="1:24" x14ac:dyDescent="0.25">
      <c r="A4860" t="s">
        <v>2172</v>
      </c>
      <c r="B4860" t="s">
        <v>2173</v>
      </c>
      <c r="C4860" t="s">
        <v>2174</v>
      </c>
      <c r="D4860" t="s">
        <v>2175</v>
      </c>
      <c r="E4860" s="9">
        <v>45413</v>
      </c>
      <c r="F4860" s="9">
        <v>45443</v>
      </c>
      <c r="G4860">
        <v>51615.588000000003</v>
      </c>
      <c r="H4860">
        <v>68373448.903999999</v>
      </c>
      <c r="I4860">
        <v>17200707.688000001</v>
      </c>
      <c r="J4860">
        <v>39063275.439999998</v>
      </c>
      <c r="K4860">
        <v>61364949.715999998</v>
      </c>
      <c r="L4860">
        <v>0</v>
      </c>
      <c r="M4860">
        <v>0</v>
      </c>
      <c r="N4860">
        <v>0</v>
      </c>
      <c r="O4860">
        <v>0</v>
      </c>
      <c r="P4860">
        <v>0</v>
      </c>
      <c r="Q4860">
        <v>36511670.068000004</v>
      </c>
      <c r="R4860">
        <v>0</v>
      </c>
      <c r="S4860">
        <v>0</v>
      </c>
      <c r="T4860" s="9">
        <v>45108</v>
      </c>
      <c r="U4860" s="9">
        <v>45473</v>
      </c>
      <c r="V4860">
        <f>SUM(POTABLE_NONPOTABLE_API[[#This Row],[RESIDENTIAL_SINGLEFAMILY_GAL]:[OTHER_GAL]])</f>
        <v>186053997.336</v>
      </c>
      <c r="W4860">
        <f>SUM(POTABLE_NONPOTABLE_API[[#This Row],[NONPOTABLE_DEMAND_RESIDENTIAL_RECYCLED_WATER_GAL]:[NONPOTABLE_DEMAND_NONRESIDENTIAL_METERED_IRRIGATION_GAL]])</f>
        <v>36511670.068000004</v>
      </c>
      <c r="X4860" t="str">
        <f>IFERROR(INDEX(Crosswalk_API!$H$2:$H$527, MATCH(POTABLE_NONPOTABLE_API[[#This Row],[PWSID]], CW_PWSID_LIST, 0)), "")</f>
        <v>No</v>
      </c>
    </row>
    <row r="4861" spans="1:24" x14ac:dyDescent="0.25">
      <c r="A4861" t="s">
        <v>2172</v>
      </c>
      <c r="B4861" t="s">
        <v>2173</v>
      </c>
      <c r="C4861" t="s">
        <v>2174</v>
      </c>
      <c r="D4861" t="s">
        <v>2175</v>
      </c>
      <c r="E4861" s="9">
        <v>45444</v>
      </c>
      <c r="F4861" s="9">
        <v>45473</v>
      </c>
      <c r="G4861">
        <v>10778681.268000001</v>
      </c>
      <c r="H4861">
        <v>21038962.5</v>
      </c>
      <c r="I4861">
        <v>7267325.1800000006</v>
      </c>
      <c r="J4861">
        <v>11836426.796</v>
      </c>
      <c r="K4861">
        <v>720374.076</v>
      </c>
      <c r="L4861">
        <v>73309.096000000005</v>
      </c>
      <c r="M4861">
        <v>0</v>
      </c>
      <c r="N4861">
        <v>0</v>
      </c>
      <c r="O4861">
        <v>0</v>
      </c>
      <c r="P4861">
        <v>0</v>
      </c>
      <c r="Q4861">
        <v>10875928.028000001</v>
      </c>
      <c r="R4861">
        <v>0</v>
      </c>
      <c r="S4861">
        <v>0</v>
      </c>
      <c r="T4861" s="9">
        <v>45108</v>
      </c>
      <c r="U4861" s="9">
        <v>45473</v>
      </c>
      <c r="V4861">
        <f>SUM(POTABLE_NONPOTABLE_API[[#This Row],[RESIDENTIAL_SINGLEFAMILY_GAL]:[OTHER_GAL]])</f>
        <v>51715078.916000001</v>
      </c>
      <c r="W4861">
        <f>SUM(POTABLE_NONPOTABLE_API[[#This Row],[NONPOTABLE_DEMAND_RESIDENTIAL_RECYCLED_WATER_GAL]:[NONPOTABLE_DEMAND_NONRESIDENTIAL_METERED_IRRIGATION_GAL]])</f>
        <v>10875928.028000001</v>
      </c>
      <c r="X4861" t="str">
        <f>IFERROR(INDEX(Crosswalk_API!$H$2:$H$527, MATCH(POTABLE_NONPOTABLE_API[[#This Row],[PWSID]], CW_PWSID_LIST, 0)), "")</f>
        <v>No</v>
      </c>
    </row>
    <row r="4862" spans="1:24" x14ac:dyDescent="0.25">
      <c r="A4862" t="s">
        <v>2172</v>
      </c>
      <c r="B4862" t="s">
        <v>2173</v>
      </c>
      <c r="C4862" t="s">
        <v>2176</v>
      </c>
      <c r="D4862" t="s">
        <v>2177</v>
      </c>
      <c r="E4862" s="9">
        <v>45108</v>
      </c>
      <c r="F4862" s="9">
        <v>45138</v>
      </c>
      <c r="G4862">
        <v>271519978.12828004</v>
      </c>
      <c r="H4862">
        <v>26408083.28844</v>
      </c>
      <c r="I4862">
        <v>22173577.851519998</v>
      </c>
      <c r="J4862">
        <v>82431395.646480009</v>
      </c>
      <c r="K4862">
        <v>23745923.311360002</v>
      </c>
      <c r="L4862">
        <v>787698.75600000005</v>
      </c>
      <c r="M4862">
        <v>0</v>
      </c>
      <c r="N4862">
        <v>0</v>
      </c>
      <c r="O4862">
        <v>0</v>
      </c>
      <c r="P4862">
        <v>0</v>
      </c>
      <c r="Q4862">
        <v>33518399.834160004</v>
      </c>
      <c r="R4862">
        <v>0</v>
      </c>
      <c r="S4862">
        <v>99317442.7412</v>
      </c>
      <c r="T4862" s="9">
        <v>45108</v>
      </c>
      <c r="U4862" s="9">
        <v>45473</v>
      </c>
      <c r="V4862">
        <f>SUM(POTABLE_NONPOTABLE_API[[#This Row],[RESIDENTIAL_SINGLEFAMILY_GAL]:[OTHER_GAL]])</f>
        <v>427066656.98208004</v>
      </c>
      <c r="W4862">
        <f>SUM(POTABLE_NONPOTABLE_API[[#This Row],[NONPOTABLE_DEMAND_RESIDENTIAL_RECYCLED_WATER_GAL]:[NONPOTABLE_DEMAND_NONRESIDENTIAL_METERED_IRRIGATION_GAL]])</f>
        <v>132835842.57536</v>
      </c>
      <c r="X4862" t="str">
        <f>IFERROR(INDEX(Crosswalk_API!$H$2:$H$527, MATCH(POTABLE_NONPOTABLE_API[[#This Row],[PWSID]], CW_PWSID_LIST, 0)), "")</f>
        <v>No</v>
      </c>
    </row>
    <row r="4863" spans="1:24" x14ac:dyDescent="0.25">
      <c r="A4863" t="s">
        <v>2172</v>
      </c>
      <c r="B4863" t="s">
        <v>2173</v>
      </c>
      <c r="C4863" t="s">
        <v>2176</v>
      </c>
      <c r="D4863" t="s">
        <v>2177</v>
      </c>
      <c r="E4863" s="9">
        <v>45139</v>
      </c>
      <c r="F4863" s="9">
        <v>45169</v>
      </c>
      <c r="G4863">
        <v>136028431.26460001</v>
      </c>
      <c r="H4863">
        <v>25405738.491560001</v>
      </c>
      <c r="I4863">
        <v>33646810.440480001</v>
      </c>
      <c r="J4863">
        <v>30980020.021520004</v>
      </c>
      <c r="K4863">
        <v>9589517.9646400008</v>
      </c>
      <c r="L4863">
        <v>702847.21764000005</v>
      </c>
      <c r="M4863">
        <v>0</v>
      </c>
      <c r="N4863">
        <v>0</v>
      </c>
      <c r="O4863">
        <v>0</v>
      </c>
      <c r="P4863">
        <v>0</v>
      </c>
      <c r="Q4863">
        <v>39941054.617839999</v>
      </c>
      <c r="R4863">
        <v>0</v>
      </c>
      <c r="S4863">
        <v>42431678.790800005</v>
      </c>
      <c r="T4863" s="9">
        <v>45108</v>
      </c>
      <c r="U4863" s="9">
        <v>45473</v>
      </c>
      <c r="V4863">
        <f>SUM(POTABLE_NONPOTABLE_API[[#This Row],[RESIDENTIAL_SINGLEFAMILY_GAL]:[OTHER_GAL]])</f>
        <v>236353365.40044004</v>
      </c>
      <c r="W4863">
        <f>SUM(POTABLE_NONPOTABLE_API[[#This Row],[NONPOTABLE_DEMAND_RESIDENTIAL_RECYCLED_WATER_GAL]:[NONPOTABLE_DEMAND_NONRESIDENTIAL_METERED_IRRIGATION_GAL]])</f>
        <v>82372733.408639997</v>
      </c>
      <c r="X4863" t="str">
        <f>IFERROR(INDEX(Crosswalk_API!$H$2:$H$527, MATCH(POTABLE_NONPOTABLE_API[[#This Row],[PWSID]], CW_PWSID_LIST, 0)), "")</f>
        <v>No</v>
      </c>
    </row>
    <row r="4864" spans="1:24" x14ac:dyDescent="0.25">
      <c r="A4864" t="s">
        <v>2172</v>
      </c>
      <c r="B4864" t="s">
        <v>2173</v>
      </c>
      <c r="C4864" t="s">
        <v>2176</v>
      </c>
      <c r="D4864" t="s">
        <v>2177</v>
      </c>
      <c r="E4864" s="9">
        <v>45170</v>
      </c>
      <c r="F4864" s="9">
        <v>45199</v>
      </c>
      <c r="G4864">
        <v>216509677.78864002</v>
      </c>
      <c r="H4864">
        <v>18112583.076000001</v>
      </c>
      <c r="I4864">
        <v>16032893.788720001</v>
      </c>
      <c r="J4864">
        <v>79518675.651999995</v>
      </c>
      <c r="K4864">
        <v>14904936.1</v>
      </c>
      <c r="L4864">
        <v>570763.67599999998</v>
      </c>
      <c r="M4864">
        <v>0</v>
      </c>
      <c r="N4864">
        <v>0</v>
      </c>
      <c r="O4864">
        <v>0</v>
      </c>
      <c r="P4864">
        <v>0</v>
      </c>
      <c r="Q4864">
        <v>17205.196</v>
      </c>
      <c r="R4864">
        <v>0</v>
      </c>
      <c r="S4864">
        <v>69690020.423999995</v>
      </c>
      <c r="T4864" s="9">
        <v>45108</v>
      </c>
      <c r="U4864" s="9">
        <v>45473</v>
      </c>
      <c r="V4864">
        <f>SUM(POTABLE_NONPOTABLE_API[[#This Row],[RESIDENTIAL_SINGLEFAMILY_GAL]:[OTHER_GAL]])</f>
        <v>345649530.08136004</v>
      </c>
      <c r="W4864">
        <f>SUM(POTABLE_NONPOTABLE_API[[#This Row],[NONPOTABLE_DEMAND_RESIDENTIAL_RECYCLED_WATER_GAL]:[NONPOTABLE_DEMAND_NONRESIDENTIAL_METERED_IRRIGATION_GAL]])</f>
        <v>69707225.61999999</v>
      </c>
      <c r="X4864" t="str">
        <f>IFERROR(INDEX(Crosswalk_API!$H$2:$H$527, MATCH(POTABLE_NONPOTABLE_API[[#This Row],[PWSID]], CW_PWSID_LIST, 0)), "")</f>
        <v>No</v>
      </c>
    </row>
    <row r="4865" spans="1:24" x14ac:dyDescent="0.25">
      <c r="A4865" t="s">
        <v>2172</v>
      </c>
      <c r="B4865" t="s">
        <v>2173</v>
      </c>
      <c r="C4865" t="s">
        <v>2176</v>
      </c>
      <c r="D4865" t="s">
        <v>2177</v>
      </c>
      <c r="E4865" s="9">
        <v>45200</v>
      </c>
      <c r="F4865" s="9">
        <v>45230</v>
      </c>
      <c r="G4865">
        <v>228426183.55124</v>
      </c>
      <c r="H4865">
        <v>38059389.656000003</v>
      </c>
      <c r="I4865">
        <v>46647026.616000004</v>
      </c>
      <c r="J4865">
        <v>47852886.439999998</v>
      </c>
      <c r="K4865">
        <v>27027866.811999999</v>
      </c>
      <c r="L4865">
        <v>455563.66800000001</v>
      </c>
      <c r="M4865">
        <v>0</v>
      </c>
      <c r="N4865">
        <v>0</v>
      </c>
      <c r="O4865">
        <v>0</v>
      </c>
      <c r="P4865">
        <v>0</v>
      </c>
      <c r="Q4865">
        <v>120354834.332</v>
      </c>
      <c r="R4865">
        <v>0</v>
      </c>
      <c r="S4865">
        <v>68315848.900000006</v>
      </c>
      <c r="T4865" s="9">
        <v>45108</v>
      </c>
      <c r="U4865" s="9">
        <v>45473</v>
      </c>
      <c r="V4865">
        <f>SUM(POTABLE_NONPOTABLE_API[[#This Row],[RESIDENTIAL_SINGLEFAMILY_GAL]:[OTHER_GAL]])</f>
        <v>388468916.74323994</v>
      </c>
      <c r="W4865">
        <f>SUM(POTABLE_NONPOTABLE_API[[#This Row],[NONPOTABLE_DEMAND_RESIDENTIAL_RECYCLED_WATER_GAL]:[NONPOTABLE_DEMAND_NONRESIDENTIAL_METERED_IRRIGATION_GAL]])</f>
        <v>188670683.23199999</v>
      </c>
      <c r="X4865" t="str">
        <f>IFERROR(INDEX(Crosswalk_API!$H$2:$H$527, MATCH(POTABLE_NONPOTABLE_API[[#This Row],[PWSID]], CW_PWSID_LIST, 0)), "")</f>
        <v>No</v>
      </c>
    </row>
    <row r="4866" spans="1:24" x14ac:dyDescent="0.25">
      <c r="A4866" t="s">
        <v>2172</v>
      </c>
      <c r="B4866" t="s">
        <v>2173</v>
      </c>
      <c r="C4866" t="s">
        <v>2176</v>
      </c>
      <c r="D4866" t="s">
        <v>2177</v>
      </c>
      <c r="E4866" s="9">
        <v>45231</v>
      </c>
      <c r="F4866" s="9">
        <v>45260</v>
      </c>
      <c r="G4866">
        <v>174051974.26876</v>
      </c>
      <c r="H4866">
        <v>17232873.923999999</v>
      </c>
      <c r="I4866">
        <v>15454754.32</v>
      </c>
      <c r="J4866">
        <v>62102528.987999998</v>
      </c>
      <c r="K4866">
        <v>14537642.568</v>
      </c>
      <c r="L4866">
        <v>419657.17200000002</v>
      </c>
      <c r="M4866">
        <v>0</v>
      </c>
      <c r="N4866">
        <v>0</v>
      </c>
      <c r="O4866">
        <v>0</v>
      </c>
      <c r="P4866">
        <v>0</v>
      </c>
      <c r="Q4866">
        <v>34410.392</v>
      </c>
      <c r="R4866">
        <v>0</v>
      </c>
      <c r="S4866">
        <v>41326880.792000003</v>
      </c>
      <c r="T4866" s="9">
        <v>45108</v>
      </c>
      <c r="U4866" s="9">
        <v>45473</v>
      </c>
      <c r="V4866">
        <f>SUM(POTABLE_NONPOTABLE_API[[#This Row],[RESIDENTIAL_SINGLEFAMILY_GAL]:[OTHER_GAL]])</f>
        <v>283799431.24075997</v>
      </c>
      <c r="W4866">
        <f>SUM(POTABLE_NONPOTABLE_API[[#This Row],[NONPOTABLE_DEMAND_RESIDENTIAL_RECYCLED_WATER_GAL]:[NONPOTABLE_DEMAND_NONRESIDENTIAL_METERED_IRRIGATION_GAL]])</f>
        <v>41361291.184</v>
      </c>
      <c r="X4866" t="str">
        <f>IFERROR(INDEX(Crosswalk_API!$H$2:$H$527, MATCH(POTABLE_NONPOTABLE_API[[#This Row],[PWSID]], CW_PWSID_LIST, 0)), "")</f>
        <v>No</v>
      </c>
    </row>
    <row r="4867" spans="1:24" x14ac:dyDescent="0.25">
      <c r="A4867" t="s">
        <v>2172</v>
      </c>
      <c r="B4867" t="s">
        <v>2173</v>
      </c>
      <c r="C4867" t="s">
        <v>2176</v>
      </c>
      <c r="D4867" t="s">
        <v>2177</v>
      </c>
      <c r="E4867" s="9">
        <v>45261</v>
      </c>
      <c r="F4867" s="9">
        <v>45291</v>
      </c>
      <c r="G4867">
        <v>171842505.44</v>
      </c>
      <c r="H4867">
        <v>31346371.008000001</v>
      </c>
      <c r="I4867">
        <v>36522142.796000004</v>
      </c>
      <c r="J4867">
        <v>31522163.228</v>
      </c>
      <c r="K4867">
        <v>26423440.796</v>
      </c>
      <c r="L4867">
        <v>164571.44</v>
      </c>
      <c r="M4867">
        <v>0</v>
      </c>
      <c r="N4867">
        <v>0</v>
      </c>
      <c r="O4867">
        <v>0</v>
      </c>
      <c r="P4867">
        <v>0</v>
      </c>
      <c r="Q4867">
        <v>121687114.94400001</v>
      </c>
      <c r="R4867">
        <v>0</v>
      </c>
      <c r="S4867">
        <v>32307617.828000002</v>
      </c>
      <c r="T4867" s="9">
        <v>45108</v>
      </c>
      <c r="U4867" s="9">
        <v>45473</v>
      </c>
      <c r="V4867">
        <f>SUM(POTABLE_NONPOTABLE_API[[#This Row],[RESIDENTIAL_SINGLEFAMILY_GAL]:[OTHER_GAL]])</f>
        <v>297821194.708</v>
      </c>
      <c r="W4867">
        <f>SUM(POTABLE_NONPOTABLE_API[[#This Row],[NONPOTABLE_DEMAND_RESIDENTIAL_RECYCLED_WATER_GAL]:[NONPOTABLE_DEMAND_NONRESIDENTIAL_METERED_IRRIGATION_GAL]])</f>
        <v>153994732.77200001</v>
      </c>
      <c r="X4867" t="str">
        <f>IFERROR(INDEX(Crosswalk_API!$H$2:$H$527, MATCH(POTABLE_NONPOTABLE_API[[#This Row],[PWSID]], CW_PWSID_LIST, 0)), "")</f>
        <v>No</v>
      </c>
    </row>
    <row r="4868" spans="1:24" x14ac:dyDescent="0.25">
      <c r="A4868" t="s">
        <v>2172</v>
      </c>
      <c r="B4868" t="s">
        <v>2173</v>
      </c>
      <c r="C4868" t="s">
        <v>2176</v>
      </c>
      <c r="D4868" t="s">
        <v>2177</v>
      </c>
      <c r="E4868" s="9">
        <v>45292</v>
      </c>
      <c r="F4868" s="9">
        <v>45322</v>
      </c>
      <c r="G4868">
        <v>120107229.12</v>
      </c>
      <c r="H4868">
        <v>13265954.168</v>
      </c>
      <c r="I4868">
        <v>13172447.668</v>
      </c>
      <c r="J4868">
        <v>14920645.192</v>
      </c>
      <c r="K4868">
        <v>12051865.772</v>
      </c>
      <c r="L4868">
        <v>97246.760000000009</v>
      </c>
      <c r="M4868">
        <v>0</v>
      </c>
      <c r="N4868">
        <v>0</v>
      </c>
      <c r="O4868">
        <v>0</v>
      </c>
      <c r="P4868">
        <v>0</v>
      </c>
      <c r="Q4868">
        <v>18701.3</v>
      </c>
      <c r="R4868">
        <v>0</v>
      </c>
      <c r="S4868">
        <v>27414609.696000002</v>
      </c>
      <c r="T4868" s="9">
        <v>45108</v>
      </c>
      <c r="U4868" s="9">
        <v>45473</v>
      </c>
      <c r="V4868">
        <f>SUM(POTABLE_NONPOTABLE_API[[#This Row],[RESIDENTIAL_SINGLEFAMILY_GAL]:[OTHER_GAL]])</f>
        <v>173615388.68000001</v>
      </c>
      <c r="W4868">
        <f>SUM(POTABLE_NONPOTABLE_API[[#This Row],[NONPOTABLE_DEMAND_RESIDENTIAL_RECYCLED_WATER_GAL]:[NONPOTABLE_DEMAND_NONRESIDENTIAL_METERED_IRRIGATION_GAL]])</f>
        <v>27433310.996000003</v>
      </c>
      <c r="X4868" t="str">
        <f>IFERROR(INDEX(Crosswalk_API!$H$2:$H$527, MATCH(POTABLE_NONPOTABLE_API[[#This Row],[PWSID]], CW_PWSID_LIST, 0)), "")</f>
        <v>No</v>
      </c>
    </row>
    <row r="4869" spans="1:24" x14ac:dyDescent="0.25">
      <c r="A4869" t="s">
        <v>2172</v>
      </c>
      <c r="B4869" t="s">
        <v>2173</v>
      </c>
      <c r="C4869" t="s">
        <v>2176</v>
      </c>
      <c r="D4869" t="s">
        <v>2177</v>
      </c>
      <c r="E4869" s="9">
        <v>45323</v>
      </c>
      <c r="F4869" s="9">
        <v>45351</v>
      </c>
      <c r="G4869">
        <v>131758139.02000001</v>
      </c>
      <c r="H4869">
        <v>28223253.908</v>
      </c>
      <c r="I4869">
        <v>34247316.664000005</v>
      </c>
      <c r="J4869">
        <v>6802036.8360000001</v>
      </c>
      <c r="K4869">
        <v>19076822.104000002</v>
      </c>
      <c r="L4869">
        <v>2244.1559999999999</v>
      </c>
      <c r="M4869">
        <v>0</v>
      </c>
      <c r="N4869">
        <v>0</v>
      </c>
      <c r="O4869">
        <v>0</v>
      </c>
      <c r="P4869">
        <v>0</v>
      </c>
      <c r="Q4869">
        <v>126812767.24800001</v>
      </c>
      <c r="R4869">
        <v>0</v>
      </c>
      <c r="S4869">
        <v>6661403.0600000005</v>
      </c>
      <c r="T4869" s="9">
        <v>45108</v>
      </c>
      <c r="U4869" s="9">
        <v>45473</v>
      </c>
      <c r="V4869">
        <f>SUM(POTABLE_NONPOTABLE_API[[#This Row],[RESIDENTIAL_SINGLEFAMILY_GAL]:[OTHER_GAL]])</f>
        <v>220109812.68799999</v>
      </c>
      <c r="W4869">
        <f>SUM(POTABLE_NONPOTABLE_API[[#This Row],[NONPOTABLE_DEMAND_RESIDENTIAL_RECYCLED_WATER_GAL]:[NONPOTABLE_DEMAND_NONRESIDENTIAL_METERED_IRRIGATION_GAL]])</f>
        <v>133474170.30800001</v>
      </c>
      <c r="X4869" t="str">
        <f>IFERROR(INDEX(Crosswalk_API!$H$2:$H$527, MATCH(POTABLE_NONPOTABLE_API[[#This Row],[PWSID]], CW_PWSID_LIST, 0)), "")</f>
        <v>No</v>
      </c>
    </row>
    <row r="4870" spans="1:24" x14ac:dyDescent="0.25">
      <c r="A4870" t="s">
        <v>2172</v>
      </c>
      <c r="B4870" t="s">
        <v>2173</v>
      </c>
      <c r="C4870" t="s">
        <v>2176</v>
      </c>
      <c r="D4870" t="s">
        <v>2177</v>
      </c>
      <c r="E4870" s="9">
        <v>45352</v>
      </c>
      <c r="F4870" s="9">
        <v>45382</v>
      </c>
      <c r="G4870">
        <v>111910075.30400001</v>
      </c>
      <c r="H4870">
        <v>12539595.676000001</v>
      </c>
      <c r="I4870">
        <v>9228717.5240000002</v>
      </c>
      <c r="J4870">
        <v>4652883.4400000004</v>
      </c>
      <c r="K4870">
        <v>13015356.748</v>
      </c>
      <c r="L4870">
        <v>32914.288</v>
      </c>
      <c r="M4870">
        <v>0</v>
      </c>
      <c r="N4870">
        <v>0</v>
      </c>
      <c r="O4870">
        <v>0</v>
      </c>
      <c r="P4870">
        <v>0</v>
      </c>
      <c r="Q4870">
        <v>20197.404000000002</v>
      </c>
      <c r="R4870">
        <v>0</v>
      </c>
      <c r="S4870">
        <v>5665745.8480000002</v>
      </c>
      <c r="T4870" s="9">
        <v>45108</v>
      </c>
      <c r="U4870" s="9">
        <v>45473</v>
      </c>
      <c r="V4870">
        <f>SUM(POTABLE_NONPOTABLE_API[[#This Row],[RESIDENTIAL_SINGLEFAMILY_GAL]:[OTHER_GAL]])</f>
        <v>151379542.97999999</v>
      </c>
      <c r="W4870">
        <f>SUM(POTABLE_NONPOTABLE_API[[#This Row],[NONPOTABLE_DEMAND_RESIDENTIAL_RECYCLED_WATER_GAL]:[NONPOTABLE_DEMAND_NONRESIDENTIAL_METERED_IRRIGATION_GAL]])</f>
        <v>5685943.2520000003</v>
      </c>
      <c r="X4870" t="str">
        <f>IFERROR(INDEX(Crosswalk_API!$H$2:$H$527, MATCH(POTABLE_NONPOTABLE_API[[#This Row],[PWSID]], CW_PWSID_LIST, 0)), "")</f>
        <v>No</v>
      </c>
    </row>
    <row r="4871" spans="1:24" x14ac:dyDescent="0.25">
      <c r="A4871" t="s">
        <v>2172</v>
      </c>
      <c r="B4871" t="s">
        <v>2173</v>
      </c>
      <c r="C4871" t="s">
        <v>2176</v>
      </c>
      <c r="D4871" t="s">
        <v>2177</v>
      </c>
      <c r="E4871" s="9">
        <v>45383</v>
      </c>
      <c r="F4871" s="9">
        <v>45412</v>
      </c>
      <c r="G4871">
        <v>116653473.036</v>
      </c>
      <c r="H4871">
        <v>25810038.155999999</v>
      </c>
      <c r="I4871">
        <v>33970537.424000002</v>
      </c>
      <c r="J4871">
        <v>5395699.0760000004</v>
      </c>
      <c r="K4871">
        <v>22955471.723999999</v>
      </c>
      <c r="L4871">
        <v>65828.576000000001</v>
      </c>
      <c r="M4871">
        <v>0</v>
      </c>
      <c r="N4871">
        <v>0</v>
      </c>
      <c r="O4871">
        <v>0</v>
      </c>
      <c r="P4871">
        <v>0</v>
      </c>
      <c r="Q4871">
        <v>95085637.772</v>
      </c>
      <c r="R4871">
        <v>0</v>
      </c>
      <c r="S4871">
        <v>0</v>
      </c>
      <c r="T4871" s="9">
        <v>45108</v>
      </c>
      <c r="U4871" s="9">
        <v>45473</v>
      </c>
      <c r="V4871">
        <f>SUM(POTABLE_NONPOTABLE_API[[#This Row],[RESIDENTIAL_SINGLEFAMILY_GAL]:[OTHER_GAL]])</f>
        <v>204851047.99200001</v>
      </c>
      <c r="W4871">
        <f>SUM(POTABLE_NONPOTABLE_API[[#This Row],[NONPOTABLE_DEMAND_RESIDENTIAL_RECYCLED_WATER_GAL]:[NONPOTABLE_DEMAND_NONRESIDENTIAL_METERED_IRRIGATION_GAL]])</f>
        <v>95085637.772</v>
      </c>
      <c r="X4871" t="str">
        <f>IFERROR(INDEX(Crosswalk_API!$H$2:$H$527, MATCH(POTABLE_NONPOTABLE_API[[#This Row],[PWSID]], CW_PWSID_LIST, 0)), "")</f>
        <v>No</v>
      </c>
    </row>
    <row r="4872" spans="1:24" x14ac:dyDescent="0.25">
      <c r="A4872" t="s">
        <v>2172</v>
      </c>
      <c r="B4872" t="s">
        <v>2173</v>
      </c>
      <c r="C4872" t="s">
        <v>2176</v>
      </c>
      <c r="D4872" t="s">
        <v>2177</v>
      </c>
      <c r="E4872" s="9">
        <v>45413</v>
      </c>
      <c r="F4872" s="9">
        <v>45443</v>
      </c>
      <c r="G4872">
        <v>133739728.76800001</v>
      </c>
      <c r="H4872">
        <v>14278816.576000001</v>
      </c>
      <c r="I4872">
        <v>13541237.304</v>
      </c>
      <c r="J4872">
        <v>26102526.488000002</v>
      </c>
      <c r="K4872">
        <v>14321455.540000001</v>
      </c>
      <c r="L4872">
        <v>768249.40399999998</v>
      </c>
      <c r="M4872">
        <v>0</v>
      </c>
      <c r="N4872">
        <v>0</v>
      </c>
      <c r="O4872">
        <v>0</v>
      </c>
      <c r="P4872">
        <v>0</v>
      </c>
      <c r="Q4872">
        <v>20511219.294519998</v>
      </c>
      <c r="R4872">
        <v>0</v>
      </c>
      <c r="S4872">
        <v>0</v>
      </c>
      <c r="T4872" s="9">
        <v>45108</v>
      </c>
      <c r="U4872" s="9">
        <v>45473</v>
      </c>
      <c r="V4872">
        <f>SUM(POTABLE_NONPOTABLE_API[[#This Row],[RESIDENTIAL_SINGLEFAMILY_GAL]:[OTHER_GAL]])</f>
        <v>202752014.08000001</v>
      </c>
      <c r="W4872">
        <f>SUM(POTABLE_NONPOTABLE_API[[#This Row],[NONPOTABLE_DEMAND_RESIDENTIAL_RECYCLED_WATER_GAL]:[NONPOTABLE_DEMAND_NONRESIDENTIAL_METERED_IRRIGATION_GAL]])</f>
        <v>20511219.294519998</v>
      </c>
      <c r="X4872" t="str">
        <f>IFERROR(INDEX(Crosswalk_API!$H$2:$H$527, MATCH(POTABLE_NONPOTABLE_API[[#This Row],[PWSID]], CW_PWSID_LIST, 0)), "")</f>
        <v>No</v>
      </c>
    </row>
    <row r="4873" spans="1:24" x14ac:dyDescent="0.25">
      <c r="A4873" t="s">
        <v>2172</v>
      </c>
      <c r="B4873" t="s">
        <v>2173</v>
      </c>
      <c r="C4873" t="s">
        <v>2176</v>
      </c>
      <c r="D4873" t="s">
        <v>2177</v>
      </c>
      <c r="E4873" s="9">
        <v>45444</v>
      </c>
      <c r="F4873" s="9">
        <v>45473</v>
      </c>
      <c r="G4873">
        <v>178485955.252</v>
      </c>
      <c r="H4873">
        <v>35177145.300000004</v>
      </c>
      <c r="I4873">
        <v>41306683.388000004</v>
      </c>
      <c r="J4873">
        <v>31902173.644000001</v>
      </c>
      <c r="K4873">
        <v>2304748.2120000003</v>
      </c>
      <c r="L4873">
        <v>1725755.9640000002</v>
      </c>
      <c r="M4873">
        <v>0</v>
      </c>
      <c r="N4873">
        <v>0</v>
      </c>
      <c r="O4873">
        <v>0</v>
      </c>
      <c r="P4873">
        <v>0</v>
      </c>
      <c r="Q4873">
        <v>48834330.664000005</v>
      </c>
      <c r="R4873">
        <v>0</v>
      </c>
      <c r="S4873">
        <v>0</v>
      </c>
      <c r="T4873" s="9">
        <v>45108</v>
      </c>
      <c r="U4873" s="9">
        <v>45473</v>
      </c>
      <c r="V4873">
        <f>SUM(POTABLE_NONPOTABLE_API[[#This Row],[RESIDENTIAL_SINGLEFAMILY_GAL]:[OTHER_GAL]])</f>
        <v>290902461.76000005</v>
      </c>
      <c r="W4873">
        <f>SUM(POTABLE_NONPOTABLE_API[[#This Row],[NONPOTABLE_DEMAND_RESIDENTIAL_RECYCLED_WATER_GAL]:[NONPOTABLE_DEMAND_NONRESIDENTIAL_METERED_IRRIGATION_GAL]])</f>
        <v>48834330.664000005</v>
      </c>
      <c r="X4873" t="str">
        <f>IFERROR(INDEX(Crosswalk_API!$H$2:$H$527, MATCH(POTABLE_NONPOTABLE_API[[#This Row],[PWSID]], CW_PWSID_LIST, 0)), "")</f>
        <v>No</v>
      </c>
    </row>
    <row r="4874" spans="1:24" x14ac:dyDescent="0.25">
      <c r="A4874" t="s">
        <v>2178</v>
      </c>
      <c r="B4874" t="s">
        <v>2179</v>
      </c>
      <c r="C4874" t="s">
        <v>2180</v>
      </c>
      <c r="D4874" t="s">
        <v>2181</v>
      </c>
      <c r="E4874" s="9">
        <v>45108</v>
      </c>
      <c r="F4874" s="9">
        <v>45138</v>
      </c>
      <c r="G4874">
        <v>1742240000</v>
      </c>
      <c r="H4874">
        <v>0</v>
      </c>
      <c r="I4874">
        <v>1121540000</v>
      </c>
      <c r="J4874">
        <v>0</v>
      </c>
      <c r="K4874">
        <v>9420000</v>
      </c>
      <c r="L4874">
        <v>236980000</v>
      </c>
      <c r="M4874">
        <v>0</v>
      </c>
      <c r="N4874">
        <v>0</v>
      </c>
      <c r="O4874">
        <v>0</v>
      </c>
      <c r="P4874">
        <v>0</v>
      </c>
      <c r="Q4874">
        <v>118888000</v>
      </c>
      <c r="R4874">
        <v>0</v>
      </c>
      <c r="S4874">
        <v>0</v>
      </c>
      <c r="T4874" s="9">
        <v>45108</v>
      </c>
      <c r="U4874" s="9">
        <v>45473</v>
      </c>
      <c r="V4874">
        <f>SUM(POTABLE_NONPOTABLE_API[[#This Row],[RESIDENTIAL_SINGLEFAMILY_GAL]:[OTHER_GAL]])</f>
        <v>3110180000</v>
      </c>
      <c r="W4874">
        <f>SUM(POTABLE_NONPOTABLE_API[[#This Row],[NONPOTABLE_DEMAND_RESIDENTIAL_RECYCLED_WATER_GAL]:[NONPOTABLE_DEMAND_NONRESIDENTIAL_METERED_IRRIGATION_GAL]])</f>
        <v>118888000</v>
      </c>
      <c r="X4874" t="str">
        <f>IFERROR(INDEX(Crosswalk_API!$H$2:$H$527, MATCH(POTABLE_NONPOTABLE_API[[#This Row],[PWSID]], CW_PWSID_LIST, 0)), "")</f>
        <v>No</v>
      </c>
    </row>
    <row r="4875" spans="1:24" x14ac:dyDescent="0.25">
      <c r="A4875" t="s">
        <v>2178</v>
      </c>
      <c r="B4875" t="s">
        <v>2179</v>
      </c>
      <c r="C4875" t="s">
        <v>2180</v>
      </c>
      <c r="D4875" t="s">
        <v>2181</v>
      </c>
      <c r="E4875" s="9">
        <v>45139</v>
      </c>
      <c r="F4875" s="9">
        <v>45169</v>
      </c>
      <c r="G4875">
        <v>1714860000</v>
      </c>
      <c r="H4875">
        <v>0</v>
      </c>
      <c r="I4875">
        <v>1135170000</v>
      </c>
      <c r="J4875">
        <v>0</v>
      </c>
      <c r="K4875">
        <v>7340000</v>
      </c>
      <c r="L4875">
        <v>223800000</v>
      </c>
      <c r="M4875">
        <v>0</v>
      </c>
      <c r="N4875">
        <v>0</v>
      </c>
      <c r="O4875">
        <v>0</v>
      </c>
      <c r="P4875">
        <v>0</v>
      </c>
      <c r="Q4875">
        <v>140800000</v>
      </c>
      <c r="R4875">
        <v>0</v>
      </c>
      <c r="S4875">
        <v>0</v>
      </c>
      <c r="T4875" s="9">
        <v>45108</v>
      </c>
      <c r="U4875" s="9">
        <v>45473</v>
      </c>
      <c r="V4875">
        <f>SUM(POTABLE_NONPOTABLE_API[[#This Row],[RESIDENTIAL_SINGLEFAMILY_GAL]:[OTHER_GAL]])</f>
        <v>3081170000</v>
      </c>
      <c r="W4875">
        <f>SUM(POTABLE_NONPOTABLE_API[[#This Row],[NONPOTABLE_DEMAND_RESIDENTIAL_RECYCLED_WATER_GAL]:[NONPOTABLE_DEMAND_NONRESIDENTIAL_METERED_IRRIGATION_GAL]])</f>
        <v>140800000</v>
      </c>
      <c r="X4875" t="str">
        <f>IFERROR(INDEX(Crosswalk_API!$H$2:$H$527, MATCH(POTABLE_NONPOTABLE_API[[#This Row],[PWSID]], CW_PWSID_LIST, 0)), "")</f>
        <v>No</v>
      </c>
    </row>
    <row r="4876" spans="1:24" x14ac:dyDescent="0.25">
      <c r="A4876" t="s">
        <v>2178</v>
      </c>
      <c r="B4876" t="s">
        <v>2179</v>
      </c>
      <c r="C4876" t="s">
        <v>2180</v>
      </c>
      <c r="D4876" t="s">
        <v>2181</v>
      </c>
      <c r="E4876" s="9">
        <v>45170</v>
      </c>
      <c r="F4876" s="9">
        <v>45199</v>
      </c>
      <c r="G4876">
        <v>1863500000</v>
      </c>
      <c r="H4876">
        <v>0</v>
      </c>
      <c r="I4876">
        <v>1143100000</v>
      </c>
      <c r="J4876">
        <v>0</v>
      </c>
      <c r="K4876">
        <v>6300000</v>
      </c>
      <c r="L4876">
        <v>218700000</v>
      </c>
      <c r="M4876">
        <v>0</v>
      </c>
      <c r="N4876">
        <v>0</v>
      </c>
      <c r="O4876">
        <v>0</v>
      </c>
      <c r="P4876">
        <v>0</v>
      </c>
      <c r="Q4876">
        <v>104100000</v>
      </c>
      <c r="R4876">
        <v>0</v>
      </c>
      <c r="S4876">
        <v>0</v>
      </c>
      <c r="T4876" s="9">
        <v>45108</v>
      </c>
      <c r="U4876" s="9">
        <v>45473</v>
      </c>
      <c r="V4876">
        <f>SUM(POTABLE_NONPOTABLE_API[[#This Row],[RESIDENTIAL_SINGLEFAMILY_GAL]:[OTHER_GAL]])</f>
        <v>3231600000</v>
      </c>
      <c r="W4876">
        <f>SUM(POTABLE_NONPOTABLE_API[[#This Row],[NONPOTABLE_DEMAND_RESIDENTIAL_RECYCLED_WATER_GAL]:[NONPOTABLE_DEMAND_NONRESIDENTIAL_METERED_IRRIGATION_GAL]])</f>
        <v>104100000</v>
      </c>
      <c r="X4876" t="str">
        <f>IFERROR(INDEX(Crosswalk_API!$H$2:$H$527, MATCH(POTABLE_NONPOTABLE_API[[#This Row],[PWSID]], CW_PWSID_LIST, 0)), "")</f>
        <v>No</v>
      </c>
    </row>
    <row r="4877" spans="1:24" x14ac:dyDescent="0.25">
      <c r="A4877" t="s">
        <v>2178</v>
      </c>
      <c r="B4877" t="s">
        <v>2179</v>
      </c>
      <c r="C4877" t="s">
        <v>2180</v>
      </c>
      <c r="D4877" t="s">
        <v>2181</v>
      </c>
      <c r="E4877" s="9">
        <v>45200</v>
      </c>
      <c r="F4877" s="9">
        <v>45230</v>
      </c>
      <c r="G4877">
        <v>1652260000</v>
      </c>
      <c r="H4877">
        <v>0</v>
      </c>
      <c r="I4877">
        <v>1107300000</v>
      </c>
      <c r="J4877">
        <v>0</v>
      </c>
      <c r="K4877">
        <v>7260000</v>
      </c>
      <c r="L4877">
        <v>196500000</v>
      </c>
      <c r="M4877">
        <v>0</v>
      </c>
      <c r="N4877">
        <v>0</v>
      </c>
      <c r="O4877">
        <v>0</v>
      </c>
      <c r="P4877">
        <v>0</v>
      </c>
      <c r="Q4877">
        <v>94280000</v>
      </c>
      <c r="R4877">
        <v>0</v>
      </c>
      <c r="S4877">
        <v>0</v>
      </c>
      <c r="T4877" s="9">
        <v>45108</v>
      </c>
      <c r="U4877" s="9">
        <v>45473</v>
      </c>
      <c r="V4877">
        <f>SUM(POTABLE_NONPOTABLE_API[[#This Row],[RESIDENTIAL_SINGLEFAMILY_GAL]:[OTHER_GAL]])</f>
        <v>2963320000</v>
      </c>
      <c r="W4877">
        <f>SUM(POTABLE_NONPOTABLE_API[[#This Row],[NONPOTABLE_DEMAND_RESIDENTIAL_RECYCLED_WATER_GAL]:[NONPOTABLE_DEMAND_NONRESIDENTIAL_METERED_IRRIGATION_GAL]])</f>
        <v>94280000</v>
      </c>
      <c r="X4877" t="str">
        <f>IFERROR(INDEX(Crosswalk_API!$H$2:$H$527, MATCH(POTABLE_NONPOTABLE_API[[#This Row],[PWSID]], CW_PWSID_LIST, 0)), "")</f>
        <v>No</v>
      </c>
    </row>
    <row r="4878" spans="1:24" x14ac:dyDescent="0.25">
      <c r="A4878" t="s">
        <v>2178</v>
      </c>
      <c r="B4878" t="s">
        <v>2179</v>
      </c>
      <c r="C4878" t="s">
        <v>2180</v>
      </c>
      <c r="D4878" t="s">
        <v>2181</v>
      </c>
      <c r="E4878" s="9">
        <v>45231</v>
      </c>
      <c r="F4878" s="9">
        <v>45260</v>
      </c>
      <c r="G4878">
        <v>1670000000</v>
      </c>
      <c r="H4878">
        <v>0</v>
      </c>
      <c r="I4878">
        <v>1037000000</v>
      </c>
      <c r="J4878">
        <v>0</v>
      </c>
      <c r="K4878">
        <v>5700000</v>
      </c>
      <c r="L4878">
        <v>140400000</v>
      </c>
      <c r="M4878">
        <v>0</v>
      </c>
      <c r="N4878">
        <v>0</v>
      </c>
      <c r="O4878">
        <v>0</v>
      </c>
      <c r="P4878">
        <v>0</v>
      </c>
      <c r="Q4878">
        <v>73500000</v>
      </c>
      <c r="R4878">
        <v>0</v>
      </c>
      <c r="S4878">
        <v>0</v>
      </c>
      <c r="T4878" s="9">
        <v>45108</v>
      </c>
      <c r="U4878" s="9">
        <v>45473</v>
      </c>
      <c r="V4878">
        <f>SUM(POTABLE_NONPOTABLE_API[[#This Row],[RESIDENTIAL_SINGLEFAMILY_GAL]:[OTHER_GAL]])</f>
        <v>2853100000</v>
      </c>
      <c r="W4878">
        <f>SUM(POTABLE_NONPOTABLE_API[[#This Row],[NONPOTABLE_DEMAND_RESIDENTIAL_RECYCLED_WATER_GAL]:[NONPOTABLE_DEMAND_NONRESIDENTIAL_METERED_IRRIGATION_GAL]])</f>
        <v>73500000</v>
      </c>
      <c r="X4878" t="str">
        <f>IFERROR(INDEX(Crosswalk_API!$H$2:$H$527, MATCH(POTABLE_NONPOTABLE_API[[#This Row],[PWSID]], CW_PWSID_LIST, 0)), "")</f>
        <v>No</v>
      </c>
    </row>
    <row r="4879" spans="1:24" x14ac:dyDescent="0.25">
      <c r="A4879" t="s">
        <v>2178</v>
      </c>
      <c r="B4879" t="s">
        <v>2179</v>
      </c>
      <c r="C4879" t="s">
        <v>2180</v>
      </c>
      <c r="D4879" t="s">
        <v>2181</v>
      </c>
      <c r="E4879" s="9">
        <v>45261</v>
      </c>
      <c r="F4879" s="9">
        <v>45291</v>
      </c>
      <c r="G4879">
        <v>1383988000</v>
      </c>
      <c r="H4879">
        <v>0</v>
      </c>
      <c r="I4879">
        <v>979943000</v>
      </c>
      <c r="J4879">
        <v>0</v>
      </c>
      <c r="K4879">
        <v>5431000</v>
      </c>
      <c r="L4879">
        <v>82111000</v>
      </c>
      <c r="M4879">
        <v>0</v>
      </c>
      <c r="N4879">
        <v>0</v>
      </c>
      <c r="O4879">
        <v>0</v>
      </c>
      <c r="P4879">
        <v>0</v>
      </c>
      <c r="Q4879">
        <v>42088000</v>
      </c>
      <c r="R4879">
        <v>0</v>
      </c>
      <c r="S4879">
        <v>0</v>
      </c>
      <c r="T4879" s="9">
        <v>45108</v>
      </c>
      <c r="U4879" s="9">
        <v>45473</v>
      </c>
      <c r="V4879">
        <f>SUM(POTABLE_NONPOTABLE_API[[#This Row],[RESIDENTIAL_SINGLEFAMILY_GAL]:[OTHER_GAL]])</f>
        <v>2451473000</v>
      </c>
      <c r="W4879">
        <f>SUM(POTABLE_NONPOTABLE_API[[#This Row],[NONPOTABLE_DEMAND_RESIDENTIAL_RECYCLED_WATER_GAL]:[NONPOTABLE_DEMAND_NONRESIDENTIAL_METERED_IRRIGATION_GAL]])</f>
        <v>42088000</v>
      </c>
      <c r="X4879" t="str">
        <f>IFERROR(INDEX(Crosswalk_API!$H$2:$H$527, MATCH(POTABLE_NONPOTABLE_API[[#This Row],[PWSID]], CW_PWSID_LIST, 0)), "")</f>
        <v>No</v>
      </c>
    </row>
    <row r="4880" spans="1:24" x14ac:dyDescent="0.25">
      <c r="A4880" t="s">
        <v>2178</v>
      </c>
      <c r="B4880" t="s">
        <v>2179</v>
      </c>
      <c r="C4880" t="s">
        <v>2180</v>
      </c>
      <c r="D4880" t="s">
        <v>2181</v>
      </c>
      <c r="E4880" s="9">
        <v>45292</v>
      </c>
      <c r="F4880" s="9">
        <v>45322</v>
      </c>
      <c r="G4880">
        <v>1399460000</v>
      </c>
      <c r="H4880">
        <v>0</v>
      </c>
      <c r="I4880">
        <v>853440000</v>
      </c>
      <c r="J4880">
        <v>0</v>
      </c>
      <c r="K4880">
        <v>4959000</v>
      </c>
      <c r="L4880">
        <v>77710000</v>
      </c>
      <c r="M4880">
        <v>0</v>
      </c>
      <c r="N4880">
        <v>0</v>
      </c>
      <c r="O4880">
        <v>0</v>
      </c>
      <c r="P4880">
        <v>0</v>
      </c>
      <c r="Q4880">
        <v>27989966</v>
      </c>
      <c r="R4880">
        <v>0</v>
      </c>
      <c r="S4880">
        <v>0</v>
      </c>
      <c r="T4880" s="9">
        <v>45108</v>
      </c>
      <c r="U4880" s="9">
        <v>45473</v>
      </c>
      <c r="V4880">
        <f>SUM(POTABLE_NONPOTABLE_API[[#This Row],[RESIDENTIAL_SINGLEFAMILY_GAL]:[OTHER_GAL]])</f>
        <v>2335569000</v>
      </c>
      <c r="W4880">
        <f>SUM(POTABLE_NONPOTABLE_API[[#This Row],[NONPOTABLE_DEMAND_RESIDENTIAL_RECYCLED_WATER_GAL]:[NONPOTABLE_DEMAND_NONRESIDENTIAL_METERED_IRRIGATION_GAL]])</f>
        <v>27989966</v>
      </c>
      <c r="X4880" t="str">
        <f>IFERROR(INDEX(Crosswalk_API!$H$2:$H$527, MATCH(POTABLE_NONPOTABLE_API[[#This Row],[PWSID]], CW_PWSID_LIST, 0)), "")</f>
        <v>No</v>
      </c>
    </row>
    <row r="4881" spans="1:24" x14ac:dyDescent="0.25">
      <c r="A4881" t="s">
        <v>2178</v>
      </c>
      <c r="B4881" t="s">
        <v>2179</v>
      </c>
      <c r="C4881" t="s">
        <v>2180</v>
      </c>
      <c r="D4881" t="s">
        <v>2181</v>
      </c>
      <c r="E4881" s="9">
        <v>45323</v>
      </c>
      <c r="F4881" s="9">
        <v>45351</v>
      </c>
      <c r="G4881">
        <v>1096818000</v>
      </c>
      <c r="H4881">
        <v>0</v>
      </c>
      <c r="I4881">
        <v>812614000</v>
      </c>
      <c r="J4881">
        <v>0</v>
      </c>
      <c r="K4881">
        <v>5322000</v>
      </c>
      <c r="L4881">
        <v>56468000</v>
      </c>
      <c r="M4881">
        <v>0</v>
      </c>
      <c r="N4881">
        <v>0</v>
      </c>
      <c r="O4881">
        <v>0</v>
      </c>
      <c r="P4881">
        <v>0</v>
      </c>
      <c r="Q4881">
        <v>22938168</v>
      </c>
      <c r="R4881">
        <v>0</v>
      </c>
      <c r="S4881">
        <v>0</v>
      </c>
      <c r="T4881" s="9">
        <v>45108</v>
      </c>
      <c r="U4881" s="9">
        <v>45473</v>
      </c>
      <c r="V4881">
        <f>SUM(POTABLE_NONPOTABLE_API[[#This Row],[RESIDENTIAL_SINGLEFAMILY_GAL]:[OTHER_GAL]])</f>
        <v>1971222000</v>
      </c>
      <c r="W4881">
        <f>SUM(POTABLE_NONPOTABLE_API[[#This Row],[NONPOTABLE_DEMAND_RESIDENTIAL_RECYCLED_WATER_GAL]:[NONPOTABLE_DEMAND_NONRESIDENTIAL_METERED_IRRIGATION_GAL]])</f>
        <v>22938168</v>
      </c>
      <c r="X4881" t="str">
        <f>IFERROR(INDEX(Crosswalk_API!$H$2:$H$527, MATCH(POTABLE_NONPOTABLE_API[[#This Row],[PWSID]], CW_PWSID_LIST, 0)), "")</f>
        <v>No</v>
      </c>
    </row>
    <row r="4882" spans="1:24" x14ac:dyDescent="0.25">
      <c r="A4882" t="s">
        <v>2178</v>
      </c>
      <c r="B4882" t="s">
        <v>2179</v>
      </c>
      <c r="C4882" t="s">
        <v>2180</v>
      </c>
      <c r="D4882" t="s">
        <v>2181</v>
      </c>
      <c r="E4882" s="9">
        <v>45352</v>
      </c>
      <c r="F4882" s="9">
        <v>45382</v>
      </c>
      <c r="G4882">
        <v>999302000</v>
      </c>
      <c r="H4882">
        <v>0</v>
      </c>
      <c r="I4882">
        <v>711298000</v>
      </c>
      <c r="J4882">
        <v>0</v>
      </c>
      <c r="K4882">
        <v>4703000</v>
      </c>
      <c r="L4882">
        <v>59591000</v>
      </c>
      <c r="M4882">
        <v>0</v>
      </c>
      <c r="N4882">
        <v>0</v>
      </c>
      <c r="O4882">
        <v>0</v>
      </c>
      <c r="P4882">
        <v>0</v>
      </c>
      <c r="Q4882">
        <v>26073036</v>
      </c>
      <c r="R4882">
        <v>0</v>
      </c>
      <c r="S4882">
        <v>0</v>
      </c>
      <c r="T4882" s="9">
        <v>45108</v>
      </c>
      <c r="U4882" s="9">
        <v>45473</v>
      </c>
      <c r="V4882">
        <f>SUM(POTABLE_NONPOTABLE_API[[#This Row],[RESIDENTIAL_SINGLEFAMILY_GAL]:[OTHER_GAL]])</f>
        <v>1774894000</v>
      </c>
      <c r="W4882">
        <f>SUM(POTABLE_NONPOTABLE_API[[#This Row],[NONPOTABLE_DEMAND_RESIDENTIAL_RECYCLED_WATER_GAL]:[NONPOTABLE_DEMAND_NONRESIDENTIAL_METERED_IRRIGATION_GAL]])</f>
        <v>26073036</v>
      </c>
      <c r="X4882" t="str">
        <f>IFERROR(INDEX(Crosswalk_API!$H$2:$H$527, MATCH(POTABLE_NONPOTABLE_API[[#This Row],[PWSID]], CW_PWSID_LIST, 0)), "")</f>
        <v>No</v>
      </c>
    </row>
    <row r="4883" spans="1:24" x14ac:dyDescent="0.25">
      <c r="A4883" t="s">
        <v>2178</v>
      </c>
      <c r="B4883" t="s">
        <v>2179</v>
      </c>
      <c r="C4883" t="s">
        <v>2180</v>
      </c>
      <c r="D4883" t="s">
        <v>2181</v>
      </c>
      <c r="E4883" s="9">
        <v>45383</v>
      </c>
      <c r="F4883" s="9">
        <v>45412</v>
      </c>
      <c r="G4883">
        <v>935752000</v>
      </c>
      <c r="H4883">
        <v>0</v>
      </c>
      <c r="I4883">
        <v>767980000</v>
      </c>
      <c r="J4883">
        <v>0</v>
      </c>
      <c r="K4883">
        <v>6090000</v>
      </c>
      <c r="L4883">
        <v>64465000</v>
      </c>
      <c r="M4883">
        <v>0</v>
      </c>
      <c r="N4883">
        <v>0</v>
      </c>
      <c r="O4883">
        <v>0</v>
      </c>
      <c r="P4883">
        <v>0</v>
      </c>
      <c r="Q4883">
        <v>36860692</v>
      </c>
      <c r="R4883">
        <v>0</v>
      </c>
      <c r="S4883">
        <v>0</v>
      </c>
      <c r="T4883" s="9">
        <v>45108</v>
      </c>
      <c r="U4883" s="9">
        <v>45473</v>
      </c>
      <c r="V4883">
        <f>SUM(POTABLE_NONPOTABLE_API[[#This Row],[RESIDENTIAL_SINGLEFAMILY_GAL]:[OTHER_GAL]])</f>
        <v>1774287000</v>
      </c>
      <c r="W4883">
        <f>SUM(POTABLE_NONPOTABLE_API[[#This Row],[NONPOTABLE_DEMAND_RESIDENTIAL_RECYCLED_WATER_GAL]:[NONPOTABLE_DEMAND_NONRESIDENTIAL_METERED_IRRIGATION_GAL]])</f>
        <v>36860692</v>
      </c>
      <c r="X4883" t="str">
        <f>IFERROR(INDEX(Crosswalk_API!$H$2:$H$527, MATCH(POTABLE_NONPOTABLE_API[[#This Row],[PWSID]], CW_PWSID_LIST, 0)), "")</f>
        <v>No</v>
      </c>
    </row>
    <row r="4884" spans="1:24" x14ac:dyDescent="0.25">
      <c r="A4884" t="s">
        <v>2178</v>
      </c>
      <c r="B4884" t="s">
        <v>2179</v>
      </c>
      <c r="C4884" t="s">
        <v>2180</v>
      </c>
      <c r="D4884" t="s">
        <v>2181</v>
      </c>
      <c r="E4884" s="9">
        <v>45413</v>
      </c>
      <c r="F4884" s="9">
        <v>45443</v>
      </c>
      <c r="G4884">
        <v>1146415000</v>
      </c>
      <c r="H4884">
        <v>0</v>
      </c>
      <c r="I4884">
        <v>844943000</v>
      </c>
      <c r="J4884">
        <v>0</v>
      </c>
      <c r="K4884">
        <v>5350000</v>
      </c>
      <c r="L4884">
        <v>125876000</v>
      </c>
      <c r="M4884">
        <v>0</v>
      </c>
      <c r="N4884">
        <v>0</v>
      </c>
      <c r="O4884">
        <v>0</v>
      </c>
      <c r="P4884">
        <v>0</v>
      </c>
      <c r="Q4884">
        <v>69516876</v>
      </c>
      <c r="R4884">
        <v>0</v>
      </c>
      <c r="S4884">
        <v>0</v>
      </c>
      <c r="T4884" s="9">
        <v>45108</v>
      </c>
      <c r="U4884" s="9">
        <v>45473</v>
      </c>
      <c r="V4884">
        <f>SUM(POTABLE_NONPOTABLE_API[[#This Row],[RESIDENTIAL_SINGLEFAMILY_GAL]:[OTHER_GAL]])</f>
        <v>2122584000</v>
      </c>
      <c r="W4884">
        <f>SUM(POTABLE_NONPOTABLE_API[[#This Row],[NONPOTABLE_DEMAND_RESIDENTIAL_RECYCLED_WATER_GAL]:[NONPOTABLE_DEMAND_NONRESIDENTIAL_METERED_IRRIGATION_GAL]])</f>
        <v>69516876</v>
      </c>
      <c r="X4884" t="str">
        <f>IFERROR(INDEX(Crosswalk_API!$H$2:$H$527, MATCH(POTABLE_NONPOTABLE_API[[#This Row],[PWSID]], CW_PWSID_LIST, 0)), "")</f>
        <v>No</v>
      </c>
    </row>
    <row r="4885" spans="1:24" x14ac:dyDescent="0.25">
      <c r="A4885" t="s">
        <v>2178</v>
      </c>
      <c r="B4885" t="s">
        <v>2179</v>
      </c>
      <c r="C4885" t="s">
        <v>2180</v>
      </c>
      <c r="D4885" t="s">
        <v>2181</v>
      </c>
      <c r="E4885" s="9">
        <v>45444</v>
      </c>
      <c r="F4885" s="9">
        <v>45473</v>
      </c>
      <c r="G4885">
        <v>1415694000</v>
      </c>
      <c r="H4885">
        <v>0</v>
      </c>
      <c r="I4885">
        <v>1018905000</v>
      </c>
      <c r="J4885">
        <v>0</v>
      </c>
      <c r="K4885">
        <v>6921000</v>
      </c>
      <c r="L4885">
        <v>201420000</v>
      </c>
      <c r="M4885">
        <v>0</v>
      </c>
      <c r="N4885">
        <v>0</v>
      </c>
      <c r="O4885">
        <v>0</v>
      </c>
      <c r="P4885">
        <v>0</v>
      </c>
      <c r="Q4885">
        <v>111179728</v>
      </c>
      <c r="R4885">
        <v>0</v>
      </c>
      <c r="S4885">
        <v>0</v>
      </c>
      <c r="T4885" s="9">
        <v>45108</v>
      </c>
      <c r="U4885" s="9">
        <v>45473</v>
      </c>
      <c r="V4885">
        <f>SUM(POTABLE_NONPOTABLE_API[[#This Row],[RESIDENTIAL_SINGLEFAMILY_GAL]:[OTHER_GAL]])</f>
        <v>2642940000</v>
      </c>
      <c r="W4885">
        <f>SUM(POTABLE_NONPOTABLE_API[[#This Row],[NONPOTABLE_DEMAND_RESIDENTIAL_RECYCLED_WATER_GAL]:[NONPOTABLE_DEMAND_NONRESIDENTIAL_METERED_IRRIGATION_GAL]])</f>
        <v>111179728</v>
      </c>
      <c r="X4885" t="str">
        <f>IFERROR(INDEX(Crosswalk_API!$H$2:$H$527, MATCH(POTABLE_NONPOTABLE_API[[#This Row],[PWSID]], CW_PWSID_LIST, 0)), "")</f>
        <v>No</v>
      </c>
    </row>
    <row r="4886" spans="1:24" x14ac:dyDescent="0.25">
      <c r="A4886" t="s">
        <v>2178</v>
      </c>
      <c r="B4886" t="s">
        <v>2179</v>
      </c>
      <c r="C4886" t="s">
        <v>2182</v>
      </c>
      <c r="D4886" t="s">
        <v>2183</v>
      </c>
      <c r="E4886" s="9">
        <v>45108</v>
      </c>
      <c r="F4886" s="9">
        <v>45138</v>
      </c>
      <c r="G4886">
        <v>100000</v>
      </c>
      <c r="H4886">
        <v>0</v>
      </c>
      <c r="I4886">
        <v>16970000</v>
      </c>
      <c r="J4886">
        <v>0</v>
      </c>
      <c r="K4886">
        <v>2820000</v>
      </c>
      <c r="L4886">
        <v>6010000</v>
      </c>
      <c r="M4886">
        <v>0</v>
      </c>
      <c r="T4886" s="9">
        <v>45108</v>
      </c>
      <c r="U4886" s="9">
        <v>45473</v>
      </c>
      <c r="V4886">
        <f>SUM(POTABLE_NONPOTABLE_API[[#This Row],[RESIDENTIAL_SINGLEFAMILY_GAL]:[OTHER_GAL]])</f>
        <v>25900000</v>
      </c>
      <c r="W4886">
        <f>SUM(POTABLE_NONPOTABLE_API[[#This Row],[NONPOTABLE_DEMAND_RESIDENTIAL_RECYCLED_WATER_GAL]:[NONPOTABLE_DEMAND_NONRESIDENTIAL_METERED_IRRIGATION_GAL]])</f>
        <v>0</v>
      </c>
      <c r="X4886" t="str">
        <f>IFERROR(INDEX(Crosswalk_API!$H$2:$H$527, MATCH(POTABLE_NONPOTABLE_API[[#This Row],[PWSID]], CW_PWSID_LIST, 0)), "")</f>
        <v>No</v>
      </c>
    </row>
    <row r="4887" spans="1:24" x14ac:dyDescent="0.25">
      <c r="A4887" t="s">
        <v>2178</v>
      </c>
      <c r="B4887" t="s">
        <v>2179</v>
      </c>
      <c r="C4887" t="s">
        <v>2182</v>
      </c>
      <c r="D4887" t="s">
        <v>2183</v>
      </c>
      <c r="E4887" s="9">
        <v>45139</v>
      </c>
      <c r="F4887" s="9">
        <v>45169</v>
      </c>
      <c r="G4887">
        <v>79400000</v>
      </c>
      <c r="H4887">
        <v>0</v>
      </c>
      <c r="I4887">
        <v>26500000</v>
      </c>
      <c r="J4887">
        <v>0</v>
      </c>
      <c r="K4887">
        <v>3600000</v>
      </c>
      <c r="L4887">
        <v>7300000</v>
      </c>
      <c r="M4887">
        <v>0</v>
      </c>
      <c r="T4887" s="9">
        <v>45108</v>
      </c>
      <c r="U4887" s="9">
        <v>45473</v>
      </c>
      <c r="V4887">
        <f>SUM(POTABLE_NONPOTABLE_API[[#This Row],[RESIDENTIAL_SINGLEFAMILY_GAL]:[OTHER_GAL]])</f>
        <v>116800000</v>
      </c>
      <c r="W4887">
        <f>SUM(POTABLE_NONPOTABLE_API[[#This Row],[NONPOTABLE_DEMAND_RESIDENTIAL_RECYCLED_WATER_GAL]:[NONPOTABLE_DEMAND_NONRESIDENTIAL_METERED_IRRIGATION_GAL]])</f>
        <v>0</v>
      </c>
      <c r="X4887" t="str">
        <f>IFERROR(INDEX(Crosswalk_API!$H$2:$H$527, MATCH(POTABLE_NONPOTABLE_API[[#This Row],[PWSID]], CW_PWSID_LIST, 0)), "")</f>
        <v>No</v>
      </c>
    </row>
    <row r="4888" spans="1:24" x14ac:dyDescent="0.25">
      <c r="A4888" t="s">
        <v>2178</v>
      </c>
      <c r="B4888" t="s">
        <v>2179</v>
      </c>
      <c r="C4888" t="s">
        <v>2182</v>
      </c>
      <c r="D4888" t="s">
        <v>2183</v>
      </c>
      <c r="E4888" s="9">
        <v>45170</v>
      </c>
      <c r="F4888" s="9">
        <v>45199</v>
      </c>
      <c r="G4888">
        <v>0</v>
      </c>
      <c r="H4888">
        <v>0</v>
      </c>
      <c r="I4888">
        <v>17400000</v>
      </c>
      <c r="J4888">
        <v>0</v>
      </c>
      <c r="K4888">
        <v>2500000</v>
      </c>
      <c r="L4888">
        <v>6000000</v>
      </c>
      <c r="M4888">
        <v>0</v>
      </c>
      <c r="T4888" s="9">
        <v>45108</v>
      </c>
      <c r="U4888" s="9">
        <v>45473</v>
      </c>
      <c r="V4888">
        <f>SUM(POTABLE_NONPOTABLE_API[[#This Row],[RESIDENTIAL_SINGLEFAMILY_GAL]:[OTHER_GAL]])</f>
        <v>25900000</v>
      </c>
      <c r="W4888">
        <f>SUM(POTABLE_NONPOTABLE_API[[#This Row],[NONPOTABLE_DEMAND_RESIDENTIAL_RECYCLED_WATER_GAL]:[NONPOTABLE_DEMAND_NONRESIDENTIAL_METERED_IRRIGATION_GAL]])</f>
        <v>0</v>
      </c>
      <c r="X4888" t="str">
        <f>IFERROR(INDEX(Crosswalk_API!$H$2:$H$527, MATCH(POTABLE_NONPOTABLE_API[[#This Row],[PWSID]], CW_PWSID_LIST, 0)), "")</f>
        <v>No</v>
      </c>
    </row>
    <row r="4889" spans="1:24" x14ac:dyDescent="0.25">
      <c r="A4889" t="s">
        <v>2178</v>
      </c>
      <c r="B4889" t="s">
        <v>2179</v>
      </c>
      <c r="C4889" t="s">
        <v>2182</v>
      </c>
      <c r="D4889" t="s">
        <v>2183</v>
      </c>
      <c r="E4889" s="9">
        <v>45200</v>
      </c>
      <c r="F4889" s="9">
        <v>45230</v>
      </c>
      <c r="G4889">
        <v>72500000</v>
      </c>
      <c r="H4889">
        <v>0</v>
      </c>
      <c r="I4889">
        <v>21100000</v>
      </c>
      <c r="J4889">
        <v>0</v>
      </c>
      <c r="K4889">
        <v>2500000</v>
      </c>
      <c r="L4889">
        <v>4500000</v>
      </c>
      <c r="M4889">
        <v>0</v>
      </c>
      <c r="T4889" s="9">
        <v>45108</v>
      </c>
      <c r="U4889" s="9">
        <v>45473</v>
      </c>
      <c r="V4889">
        <f>SUM(POTABLE_NONPOTABLE_API[[#This Row],[RESIDENTIAL_SINGLEFAMILY_GAL]:[OTHER_GAL]])</f>
        <v>100600000</v>
      </c>
      <c r="W4889">
        <f>SUM(POTABLE_NONPOTABLE_API[[#This Row],[NONPOTABLE_DEMAND_RESIDENTIAL_RECYCLED_WATER_GAL]:[NONPOTABLE_DEMAND_NONRESIDENTIAL_METERED_IRRIGATION_GAL]])</f>
        <v>0</v>
      </c>
      <c r="X4889" t="str">
        <f>IFERROR(INDEX(Crosswalk_API!$H$2:$H$527, MATCH(POTABLE_NONPOTABLE_API[[#This Row],[PWSID]], CW_PWSID_LIST, 0)), "")</f>
        <v>No</v>
      </c>
    </row>
    <row r="4890" spans="1:24" x14ac:dyDescent="0.25">
      <c r="A4890" t="s">
        <v>2178</v>
      </c>
      <c r="B4890" t="s">
        <v>2179</v>
      </c>
      <c r="C4890" t="s">
        <v>2182</v>
      </c>
      <c r="D4890" t="s">
        <v>2183</v>
      </c>
      <c r="E4890" s="9">
        <v>45231</v>
      </c>
      <c r="F4890" s="9">
        <v>45260</v>
      </c>
      <c r="G4890">
        <v>0</v>
      </c>
      <c r="H4890">
        <v>0</v>
      </c>
      <c r="I4890">
        <v>15400000</v>
      </c>
      <c r="J4890">
        <v>0</v>
      </c>
      <c r="K4890">
        <v>2800000</v>
      </c>
      <c r="L4890">
        <v>3700000</v>
      </c>
      <c r="M4890">
        <v>0</v>
      </c>
      <c r="T4890" s="9">
        <v>45108</v>
      </c>
      <c r="U4890" s="9">
        <v>45473</v>
      </c>
      <c r="V4890">
        <f>SUM(POTABLE_NONPOTABLE_API[[#This Row],[RESIDENTIAL_SINGLEFAMILY_GAL]:[OTHER_GAL]])</f>
        <v>21900000</v>
      </c>
      <c r="W4890">
        <f>SUM(POTABLE_NONPOTABLE_API[[#This Row],[NONPOTABLE_DEMAND_RESIDENTIAL_RECYCLED_WATER_GAL]:[NONPOTABLE_DEMAND_NONRESIDENTIAL_METERED_IRRIGATION_GAL]])</f>
        <v>0</v>
      </c>
      <c r="X4890" t="str">
        <f>IFERROR(INDEX(Crosswalk_API!$H$2:$H$527, MATCH(POTABLE_NONPOTABLE_API[[#This Row],[PWSID]], CW_PWSID_LIST, 0)), "")</f>
        <v>No</v>
      </c>
    </row>
    <row r="4891" spans="1:24" x14ac:dyDescent="0.25">
      <c r="A4891" t="s">
        <v>2178</v>
      </c>
      <c r="B4891" t="s">
        <v>2179</v>
      </c>
      <c r="C4891" t="s">
        <v>2182</v>
      </c>
      <c r="D4891" t="s">
        <v>2183</v>
      </c>
      <c r="E4891" s="9">
        <v>45261</v>
      </c>
      <c r="F4891" s="9">
        <v>45291</v>
      </c>
      <c r="G4891">
        <v>56560000</v>
      </c>
      <c r="H4891">
        <v>0</v>
      </c>
      <c r="I4891">
        <v>13745000</v>
      </c>
      <c r="J4891">
        <v>0</v>
      </c>
      <c r="K4891">
        <v>2295000</v>
      </c>
      <c r="L4891">
        <v>2791000</v>
      </c>
      <c r="M4891">
        <v>0</v>
      </c>
      <c r="T4891" s="9">
        <v>45108</v>
      </c>
      <c r="U4891" s="9">
        <v>45473</v>
      </c>
      <c r="V4891">
        <f>SUM(POTABLE_NONPOTABLE_API[[#This Row],[RESIDENTIAL_SINGLEFAMILY_GAL]:[OTHER_GAL]])</f>
        <v>75391000</v>
      </c>
      <c r="W4891">
        <f>SUM(POTABLE_NONPOTABLE_API[[#This Row],[NONPOTABLE_DEMAND_RESIDENTIAL_RECYCLED_WATER_GAL]:[NONPOTABLE_DEMAND_NONRESIDENTIAL_METERED_IRRIGATION_GAL]])</f>
        <v>0</v>
      </c>
      <c r="X4891" t="str">
        <f>IFERROR(INDEX(Crosswalk_API!$H$2:$H$527, MATCH(POTABLE_NONPOTABLE_API[[#This Row],[PWSID]], CW_PWSID_LIST, 0)), "")</f>
        <v>No</v>
      </c>
    </row>
    <row r="4892" spans="1:24" x14ac:dyDescent="0.25">
      <c r="A4892" t="s">
        <v>2178</v>
      </c>
      <c r="B4892" t="s">
        <v>2179</v>
      </c>
      <c r="C4892" t="s">
        <v>2182</v>
      </c>
      <c r="D4892" t="s">
        <v>2183</v>
      </c>
      <c r="E4892" s="9">
        <v>45292</v>
      </c>
      <c r="F4892" s="9">
        <v>45322</v>
      </c>
      <c r="G4892">
        <v>57600</v>
      </c>
      <c r="H4892">
        <v>0</v>
      </c>
      <c r="I4892">
        <v>7210000</v>
      </c>
      <c r="J4892">
        <v>0</v>
      </c>
      <c r="K4892">
        <v>1637000</v>
      </c>
      <c r="L4892">
        <v>1726000</v>
      </c>
      <c r="M4892">
        <v>0</v>
      </c>
      <c r="T4892" s="9">
        <v>45108</v>
      </c>
      <c r="U4892" s="9">
        <v>45473</v>
      </c>
      <c r="V4892">
        <f>SUM(POTABLE_NONPOTABLE_API[[#This Row],[RESIDENTIAL_SINGLEFAMILY_GAL]:[OTHER_GAL]])</f>
        <v>10630600</v>
      </c>
      <c r="W4892">
        <f>SUM(POTABLE_NONPOTABLE_API[[#This Row],[NONPOTABLE_DEMAND_RESIDENTIAL_RECYCLED_WATER_GAL]:[NONPOTABLE_DEMAND_NONRESIDENTIAL_METERED_IRRIGATION_GAL]])</f>
        <v>0</v>
      </c>
      <c r="X4892" t="str">
        <f>IFERROR(INDEX(Crosswalk_API!$H$2:$H$527, MATCH(POTABLE_NONPOTABLE_API[[#This Row],[PWSID]], CW_PWSID_LIST, 0)), "")</f>
        <v>No</v>
      </c>
    </row>
    <row r="4893" spans="1:24" x14ac:dyDescent="0.25">
      <c r="A4893" t="s">
        <v>2178</v>
      </c>
      <c r="B4893" t="s">
        <v>2179</v>
      </c>
      <c r="C4893" t="s">
        <v>2182</v>
      </c>
      <c r="D4893" t="s">
        <v>2183</v>
      </c>
      <c r="E4893" s="9">
        <v>45323</v>
      </c>
      <c r="F4893" s="9">
        <v>45351</v>
      </c>
      <c r="G4893">
        <v>40731000</v>
      </c>
      <c r="H4893">
        <v>0</v>
      </c>
      <c r="I4893">
        <v>10880000</v>
      </c>
      <c r="J4893">
        <v>0</v>
      </c>
      <c r="K4893">
        <v>2185000</v>
      </c>
      <c r="L4893">
        <v>2278000</v>
      </c>
      <c r="M4893">
        <v>0</v>
      </c>
      <c r="T4893" s="9">
        <v>45108</v>
      </c>
      <c r="U4893" s="9">
        <v>45473</v>
      </c>
      <c r="V4893">
        <f>SUM(POTABLE_NONPOTABLE_API[[#This Row],[RESIDENTIAL_SINGLEFAMILY_GAL]:[OTHER_GAL]])</f>
        <v>56074000</v>
      </c>
      <c r="W4893">
        <f>SUM(POTABLE_NONPOTABLE_API[[#This Row],[NONPOTABLE_DEMAND_RESIDENTIAL_RECYCLED_WATER_GAL]:[NONPOTABLE_DEMAND_NONRESIDENTIAL_METERED_IRRIGATION_GAL]])</f>
        <v>0</v>
      </c>
      <c r="X4893" t="str">
        <f>IFERROR(INDEX(Crosswalk_API!$H$2:$H$527, MATCH(POTABLE_NONPOTABLE_API[[#This Row],[PWSID]], CW_PWSID_LIST, 0)), "")</f>
        <v>No</v>
      </c>
    </row>
    <row r="4894" spans="1:24" x14ac:dyDescent="0.25">
      <c r="A4894" t="s">
        <v>2178</v>
      </c>
      <c r="B4894" t="s">
        <v>2179</v>
      </c>
      <c r="C4894" t="s">
        <v>2182</v>
      </c>
      <c r="D4894" t="s">
        <v>2183</v>
      </c>
      <c r="E4894" s="9">
        <v>45352</v>
      </c>
      <c r="F4894" s="9">
        <v>45382</v>
      </c>
      <c r="G4894">
        <v>4500</v>
      </c>
      <c r="H4894">
        <v>0</v>
      </c>
      <c r="I4894">
        <v>6834000</v>
      </c>
      <c r="J4894">
        <v>0</v>
      </c>
      <c r="K4894">
        <v>1829000</v>
      </c>
      <c r="L4894">
        <v>2020000</v>
      </c>
      <c r="M4894">
        <v>0</v>
      </c>
      <c r="T4894" s="9">
        <v>45108</v>
      </c>
      <c r="U4894" s="9">
        <v>45473</v>
      </c>
      <c r="V4894">
        <f>SUM(POTABLE_NONPOTABLE_API[[#This Row],[RESIDENTIAL_SINGLEFAMILY_GAL]:[OTHER_GAL]])</f>
        <v>10687500</v>
      </c>
      <c r="W4894">
        <f>SUM(POTABLE_NONPOTABLE_API[[#This Row],[NONPOTABLE_DEMAND_RESIDENTIAL_RECYCLED_WATER_GAL]:[NONPOTABLE_DEMAND_NONRESIDENTIAL_METERED_IRRIGATION_GAL]])</f>
        <v>0</v>
      </c>
      <c r="X4894" t="str">
        <f>IFERROR(INDEX(Crosswalk_API!$H$2:$H$527, MATCH(POTABLE_NONPOTABLE_API[[#This Row],[PWSID]], CW_PWSID_LIST, 0)), "")</f>
        <v>No</v>
      </c>
    </row>
    <row r="4895" spans="1:24" x14ac:dyDescent="0.25">
      <c r="A4895" t="s">
        <v>2178</v>
      </c>
      <c r="B4895" t="s">
        <v>2179</v>
      </c>
      <c r="C4895" t="s">
        <v>2182</v>
      </c>
      <c r="D4895" t="s">
        <v>2183</v>
      </c>
      <c r="E4895" s="9">
        <v>45383</v>
      </c>
      <c r="F4895" s="9">
        <v>45412</v>
      </c>
      <c r="G4895">
        <v>36602000</v>
      </c>
      <c r="H4895">
        <v>0</v>
      </c>
      <c r="I4895">
        <v>768000</v>
      </c>
      <c r="J4895">
        <v>0</v>
      </c>
      <c r="K4895">
        <v>1999000</v>
      </c>
      <c r="L4895">
        <v>2093999.9999999998</v>
      </c>
      <c r="M4895">
        <v>0</v>
      </c>
      <c r="T4895" s="9">
        <v>45108</v>
      </c>
      <c r="U4895" s="9">
        <v>45473</v>
      </c>
      <c r="V4895">
        <f>SUM(POTABLE_NONPOTABLE_API[[#This Row],[RESIDENTIAL_SINGLEFAMILY_GAL]:[OTHER_GAL]])</f>
        <v>41463000</v>
      </c>
      <c r="W4895">
        <f>SUM(POTABLE_NONPOTABLE_API[[#This Row],[NONPOTABLE_DEMAND_RESIDENTIAL_RECYCLED_WATER_GAL]:[NONPOTABLE_DEMAND_NONRESIDENTIAL_METERED_IRRIGATION_GAL]])</f>
        <v>0</v>
      </c>
      <c r="X4895" t="str">
        <f>IFERROR(INDEX(Crosswalk_API!$H$2:$H$527, MATCH(POTABLE_NONPOTABLE_API[[#This Row],[PWSID]], CW_PWSID_LIST, 0)), "")</f>
        <v>No</v>
      </c>
    </row>
    <row r="4896" spans="1:24" x14ac:dyDescent="0.25">
      <c r="A4896" t="s">
        <v>2178</v>
      </c>
      <c r="B4896" t="s">
        <v>2179</v>
      </c>
      <c r="C4896" t="s">
        <v>2182</v>
      </c>
      <c r="D4896" t="s">
        <v>2183</v>
      </c>
      <c r="E4896" s="9">
        <v>45413</v>
      </c>
      <c r="F4896" s="9">
        <v>45443</v>
      </c>
      <c r="G4896">
        <v>2992</v>
      </c>
      <c r="H4896">
        <v>0</v>
      </c>
      <c r="I4896">
        <v>12507310</v>
      </c>
      <c r="J4896">
        <v>0</v>
      </c>
      <c r="K4896">
        <v>2344232</v>
      </c>
      <c r="L4896">
        <v>3508120</v>
      </c>
      <c r="M4896">
        <v>0</v>
      </c>
      <c r="T4896" s="9">
        <v>45108</v>
      </c>
      <c r="U4896" s="9">
        <v>45473</v>
      </c>
      <c r="V4896">
        <f>SUM(POTABLE_NONPOTABLE_API[[#This Row],[RESIDENTIAL_SINGLEFAMILY_GAL]:[OTHER_GAL]])</f>
        <v>18362654</v>
      </c>
      <c r="W4896">
        <f>SUM(POTABLE_NONPOTABLE_API[[#This Row],[NONPOTABLE_DEMAND_RESIDENTIAL_RECYCLED_WATER_GAL]:[NONPOTABLE_DEMAND_NONRESIDENTIAL_METERED_IRRIGATION_GAL]])</f>
        <v>0</v>
      </c>
      <c r="X4896" t="str">
        <f>IFERROR(INDEX(Crosswalk_API!$H$2:$H$527, MATCH(POTABLE_NONPOTABLE_API[[#This Row],[PWSID]], CW_PWSID_LIST, 0)), "")</f>
        <v>No</v>
      </c>
    </row>
    <row r="4897" spans="1:24" x14ac:dyDescent="0.25">
      <c r="A4897" t="s">
        <v>2178</v>
      </c>
      <c r="B4897" t="s">
        <v>2179</v>
      </c>
      <c r="C4897" t="s">
        <v>2182</v>
      </c>
      <c r="D4897" t="s">
        <v>2183</v>
      </c>
      <c r="E4897" s="9">
        <v>45444</v>
      </c>
      <c r="F4897" s="9">
        <v>45473</v>
      </c>
      <c r="G4897">
        <v>69800000</v>
      </c>
      <c r="H4897">
        <v>0</v>
      </c>
      <c r="I4897">
        <v>22776000</v>
      </c>
      <c r="J4897">
        <v>0</v>
      </c>
      <c r="K4897">
        <v>3477000</v>
      </c>
      <c r="L4897">
        <v>6644484</v>
      </c>
      <c r="M4897">
        <v>0</v>
      </c>
      <c r="T4897" s="9">
        <v>45108</v>
      </c>
      <c r="U4897" s="9">
        <v>45473</v>
      </c>
      <c r="V4897">
        <f>SUM(POTABLE_NONPOTABLE_API[[#This Row],[RESIDENTIAL_SINGLEFAMILY_GAL]:[OTHER_GAL]])</f>
        <v>102697484</v>
      </c>
      <c r="W4897">
        <f>SUM(POTABLE_NONPOTABLE_API[[#This Row],[NONPOTABLE_DEMAND_RESIDENTIAL_RECYCLED_WATER_GAL]:[NONPOTABLE_DEMAND_NONRESIDENTIAL_METERED_IRRIGATION_GAL]])</f>
        <v>0</v>
      </c>
      <c r="X4897" t="str">
        <f>IFERROR(INDEX(Crosswalk_API!$H$2:$H$527, MATCH(POTABLE_NONPOTABLE_API[[#This Row],[PWSID]], CW_PWSID_LIST, 0)), "")</f>
        <v>No</v>
      </c>
    </row>
    <row r="4898" spans="1:24" x14ac:dyDescent="0.25">
      <c r="A4898" t="s">
        <v>2184</v>
      </c>
      <c r="B4898" t="s">
        <v>2185</v>
      </c>
      <c r="C4898" t="s">
        <v>2186</v>
      </c>
      <c r="D4898" t="s">
        <v>2187</v>
      </c>
      <c r="E4898" s="9">
        <v>45108</v>
      </c>
      <c r="F4898" s="9">
        <v>45138</v>
      </c>
      <c r="G4898">
        <v>411494418.32999998</v>
      </c>
      <c r="H4898">
        <v>4975744.7699999996</v>
      </c>
      <c r="I4898">
        <v>26563373.52</v>
      </c>
      <c r="J4898">
        <v>39802699.649999999</v>
      </c>
      <c r="K4898">
        <v>0</v>
      </c>
      <c r="L4898">
        <v>16778067.990000002</v>
      </c>
      <c r="M4898">
        <v>3444245.0700000003</v>
      </c>
      <c r="N4898">
        <v>0</v>
      </c>
      <c r="O4898">
        <v>0</v>
      </c>
      <c r="P4898">
        <v>0</v>
      </c>
      <c r="Q4898">
        <v>0</v>
      </c>
      <c r="R4898">
        <v>0</v>
      </c>
      <c r="S4898">
        <v>29352658.079999998</v>
      </c>
      <c r="T4898" s="9">
        <v>45108</v>
      </c>
      <c r="U4898" s="9">
        <v>45473</v>
      </c>
      <c r="V4898">
        <f>SUM(POTABLE_NONPOTABLE_API[[#This Row],[RESIDENTIAL_SINGLEFAMILY_GAL]:[OTHER_GAL]])</f>
        <v>499614304.25999993</v>
      </c>
      <c r="W4898">
        <f>SUM(POTABLE_NONPOTABLE_API[[#This Row],[NONPOTABLE_DEMAND_RESIDENTIAL_RECYCLED_WATER_GAL]:[NONPOTABLE_DEMAND_NONRESIDENTIAL_METERED_IRRIGATION_GAL]])</f>
        <v>29352658.079999998</v>
      </c>
      <c r="X4898" t="str">
        <f>IFERROR(INDEX(Crosswalk_API!$H$2:$H$527, MATCH(POTABLE_NONPOTABLE_API[[#This Row],[PWSID]], CW_PWSID_LIST, 0)), "")</f>
        <v>No</v>
      </c>
    </row>
    <row r="4899" spans="1:24" x14ac:dyDescent="0.25">
      <c r="A4899" t="s">
        <v>2184</v>
      </c>
      <c r="B4899" t="s">
        <v>2185</v>
      </c>
      <c r="C4899" t="s">
        <v>2186</v>
      </c>
      <c r="D4899" t="s">
        <v>2187</v>
      </c>
      <c r="E4899" s="9">
        <v>45139</v>
      </c>
      <c r="F4899" s="9">
        <v>45169</v>
      </c>
      <c r="G4899">
        <v>443812320.50999999</v>
      </c>
      <c r="H4899">
        <v>5011588.38</v>
      </c>
      <c r="I4899">
        <v>27951498.780000001</v>
      </c>
      <c r="J4899">
        <v>42611535.270000003</v>
      </c>
      <c r="K4899">
        <v>0</v>
      </c>
      <c r="L4899">
        <v>16403339.340000002</v>
      </c>
      <c r="M4899">
        <v>3375816.36</v>
      </c>
      <c r="N4899">
        <v>0</v>
      </c>
      <c r="O4899">
        <v>0</v>
      </c>
      <c r="P4899">
        <v>0</v>
      </c>
      <c r="Q4899">
        <v>0</v>
      </c>
      <c r="R4899">
        <v>0</v>
      </c>
      <c r="S4899">
        <v>23601387.930000003</v>
      </c>
      <c r="T4899" s="9">
        <v>45108</v>
      </c>
      <c r="U4899" s="9">
        <v>45473</v>
      </c>
      <c r="V4899">
        <f>SUM(POTABLE_NONPOTABLE_API[[#This Row],[RESIDENTIAL_SINGLEFAMILY_GAL]:[OTHER_GAL]])</f>
        <v>535790282.27999991</v>
      </c>
      <c r="W4899">
        <f>SUM(POTABLE_NONPOTABLE_API[[#This Row],[NONPOTABLE_DEMAND_RESIDENTIAL_RECYCLED_WATER_GAL]:[NONPOTABLE_DEMAND_NONRESIDENTIAL_METERED_IRRIGATION_GAL]])</f>
        <v>23601387.930000003</v>
      </c>
      <c r="X4899" t="str">
        <f>IFERROR(INDEX(Crosswalk_API!$H$2:$H$527, MATCH(POTABLE_NONPOTABLE_API[[#This Row],[PWSID]], CW_PWSID_LIST, 0)), "")</f>
        <v>No</v>
      </c>
    </row>
    <row r="4900" spans="1:24" x14ac:dyDescent="0.25">
      <c r="A4900" t="s">
        <v>2184</v>
      </c>
      <c r="B4900" t="s">
        <v>2185</v>
      </c>
      <c r="C4900" t="s">
        <v>2186</v>
      </c>
      <c r="D4900" t="s">
        <v>2187</v>
      </c>
      <c r="E4900" s="9">
        <v>45170</v>
      </c>
      <c r="F4900" s="9">
        <v>45199</v>
      </c>
      <c r="G4900">
        <v>418301445.72000003</v>
      </c>
      <c r="H4900">
        <v>4649893.7699999996</v>
      </c>
      <c r="I4900">
        <v>25217608.890000001</v>
      </c>
      <c r="J4900">
        <v>40962729.210000001</v>
      </c>
      <c r="K4900">
        <v>0</v>
      </c>
      <c r="L4900">
        <v>15259602.33</v>
      </c>
      <c r="M4900">
        <v>3128169.6</v>
      </c>
      <c r="N4900">
        <v>0</v>
      </c>
      <c r="O4900">
        <v>0</v>
      </c>
      <c r="P4900">
        <v>0</v>
      </c>
      <c r="Q4900">
        <v>0</v>
      </c>
      <c r="R4900">
        <v>0</v>
      </c>
      <c r="S4900">
        <v>21854826.569999997</v>
      </c>
      <c r="T4900" s="9">
        <v>45108</v>
      </c>
      <c r="U4900" s="9">
        <v>45473</v>
      </c>
      <c r="V4900">
        <f>SUM(POTABLE_NONPOTABLE_API[[#This Row],[RESIDENTIAL_SINGLEFAMILY_GAL]:[OTHER_GAL]])</f>
        <v>504391279.91999996</v>
      </c>
      <c r="W4900">
        <f>SUM(POTABLE_NONPOTABLE_API[[#This Row],[NONPOTABLE_DEMAND_RESIDENTIAL_RECYCLED_WATER_GAL]:[NONPOTABLE_DEMAND_NONRESIDENTIAL_METERED_IRRIGATION_GAL]])</f>
        <v>21854826.569999997</v>
      </c>
      <c r="X4900" t="str">
        <f>IFERROR(INDEX(Crosswalk_API!$H$2:$H$527, MATCH(POTABLE_NONPOTABLE_API[[#This Row],[PWSID]], CW_PWSID_LIST, 0)), "")</f>
        <v>No</v>
      </c>
    </row>
    <row r="4901" spans="1:24" x14ac:dyDescent="0.25">
      <c r="A4901" t="s">
        <v>2184</v>
      </c>
      <c r="B4901" t="s">
        <v>2185</v>
      </c>
      <c r="C4901" t="s">
        <v>2186</v>
      </c>
      <c r="D4901" t="s">
        <v>2187</v>
      </c>
      <c r="E4901" s="9">
        <v>45200</v>
      </c>
      <c r="F4901" s="9">
        <v>45230</v>
      </c>
      <c r="G4901">
        <v>360316260.26999998</v>
      </c>
      <c r="H4901">
        <v>4379437.4399999995</v>
      </c>
      <c r="I4901">
        <v>22069888.23</v>
      </c>
      <c r="J4901">
        <v>34748750.640000001</v>
      </c>
      <c r="K4901">
        <v>0</v>
      </c>
      <c r="L4901">
        <v>15416010.810000001</v>
      </c>
      <c r="M4901">
        <v>2932659</v>
      </c>
      <c r="N4901">
        <v>0</v>
      </c>
      <c r="O4901">
        <v>0</v>
      </c>
      <c r="P4901">
        <v>0</v>
      </c>
      <c r="Q4901">
        <v>0</v>
      </c>
      <c r="R4901">
        <v>0</v>
      </c>
      <c r="S4901">
        <v>15288928.92</v>
      </c>
      <c r="T4901" s="9">
        <v>45108</v>
      </c>
      <c r="U4901" s="9">
        <v>45473</v>
      </c>
      <c r="V4901">
        <f>SUM(POTABLE_NONPOTABLE_API[[#This Row],[RESIDENTIAL_SINGLEFAMILY_GAL]:[OTHER_GAL]])</f>
        <v>436930347.38999999</v>
      </c>
      <c r="W4901">
        <f>SUM(POTABLE_NONPOTABLE_API[[#This Row],[NONPOTABLE_DEMAND_RESIDENTIAL_RECYCLED_WATER_GAL]:[NONPOTABLE_DEMAND_NONRESIDENTIAL_METERED_IRRIGATION_GAL]])</f>
        <v>15288928.92</v>
      </c>
      <c r="X4901" t="str">
        <f>IFERROR(INDEX(Crosswalk_API!$H$2:$H$527, MATCH(POTABLE_NONPOTABLE_API[[#This Row],[PWSID]], CW_PWSID_LIST, 0)), "")</f>
        <v>No</v>
      </c>
    </row>
    <row r="4902" spans="1:24" x14ac:dyDescent="0.25">
      <c r="A4902" t="s">
        <v>2184</v>
      </c>
      <c r="B4902" t="s">
        <v>2185</v>
      </c>
      <c r="C4902" t="s">
        <v>2186</v>
      </c>
      <c r="D4902" t="s">
        <v>2187</v>
      </c>
      <c r="E4902" s="9">
        <v>45231</v>
      </c>
      <c r="F4902" s="9">
        <v>45260</v>
      </c>
      <c r="G4902">
        <v>215214809.97</v>
      </c>
      <c r="H4902">
        <v>3115135.56</v>
      </c>
      <c r="I4902">
        <v>12092330.609999999</v>
      </c>
      <c r="J4902">
        <v>18091247.52</v>
      </c>
      <c r="K4902">
        <v>0</v>
      </c>
      <c r="L4902">
        <v>11968507.229999999</v>
      </c>
      <c r="M4902">
        <v>1072049.79</v>
      </c>
      <c r="N4902">
        <v>0</v>
      </c>
      <c r="O4902">
        <v>0</v>
      </c>
      <c r="P4902">
        <v>0</v>
      </c>
      <c r="Q4902">
        <v>0</v>
      </c>
      <c r="R4902">
        <v>0</v>
      </c>
      <c r="S4902">
        <v>296524.41000000003</v>
      </c>
      <c r="T4902" s="9">
        <v>45108</v>
      </c>
      <c r="U4902" s="9">
        <v>45473</v>
      </c>
      <c r="V4902">
        <f>SUM(POTABLE_NONPOTABLE_API[[#This Row],[RESIDENTIAL_SINGLEFAMILY_GAL]:[OTHER_GAL]])</f>
        <v>260482030.88999999</v>
      </c>
      <c r="W4902">
        <f>SUM(POTABLE_NONPOTABLE_API[[#This Row],[NONPOTABLE_DEMAND_RESIDENTIAL_RECYCLED_WATER_GAL]:[NONPOTABLE_DEMAND_NONRESIDENTIAL_METERED_IRRIGATION_GAL]])</f>
        <v>296524.41000000003</v>
      </c>
      <c r="X4902" t="str">
        <f>IFERROR(INDEX(Crosswalk_API!$H$2:$H$527, MATCH(POTABLE_NONPOTABLE_API[[#This Row],[PWSID]], CW_PWSID_LIST, 0)), "")</f>
        <v>No</v>
      </c>
    </row>
    <row r="4903" spans="1:24" x14ac:dyDescent="0.25">
      <c r="A4903" t="s">
        <v>2184</v>
      </c>
      <c r="B4903" t="s">
        <v>2185</v>
      </c>
      <c r="C4903" t="s">
        <v>2186</v>
      </c>
      <c r="D4903" t="s">
        <v>2187</v>
      </c>
      <c r="E4903" s="9">
        <v>45261</v>
      </c>
      <c r="F4903" s="9">
        <v>45291</v>
      </c>
      <c r="G4903">
        <v>147535557.26999998</v>
      </c>
      <c r="H4903">
        <v>2844679.23</v>
      </c>
      <c r="I4903">
        <v>10202394.809999999</v>
      </c>
      <c r="J4903">
        <v>9052140.7800000012</v>
      </c>
      <c r="K4903">
        <v>0</v>
      </c>
      <c r="L4903">
        <v>12698413.469999999</v>
      </c>
      <c r="M4903">
        <v>778783.89</v>
      </c>
      <c r="N4903">
        <v>0</v>
      </c>
      <c r="O4903">
        <v>0</v>
      </c>
      <c r="P4903">
        <v>0</v>
      </c>
      <c r="Q4903">
        <v>0</v>
      </c>
      <c r="R4903">
        <v>0</v>
      </c>
      <c r="S4903">
        <v>9775.5299999999988</v>
      </c>
      <c r="T4903" s="9">
        <v>45108</v>
      </c>
      <c r="U4903" s="9">
        <v>45473</v>
      </c>
      <c r="V4903">
        <f>SUM(POTABLE_NONPOTABLE_API[[#This Row],[RESIDENTIAL_SINGLEFAMILY_GAL]:[OTHER_GAL]])</f>
        <v>182333185.55999997</v>
      </c>
      <c r="W4903">
        <f>SUM(POTABLE_NONPOTABLE_API[[#This Row],[NONPOTABLE_DEMAND_RESIDENTIAL_RECYCLED_WATER_GAL]:[NONPOTABLE_DEMAND_NONRESIDENTIAL_METERED_IRRIGATION_GAL]])</f>
        <v>9775.5299999999988</v>
      </c>
      <c r="X4903" t="str">
        <f>IFERROR(INDEX(Crosswalk_API!$H$2:$H$527, MATCH(POTABLE_NONPOTABLE_API[[#This Row],[PWSID]], CW_PWSID_LIST, 0)), "")</f>
        <v>No</v>
      </c>
    </row>
    <row r="4904" spans="1:24" x14ac:dyDescent="0.25">
      <c r="A4904" t="s">
        <v>2184</v>
      </c>
      <c r="B4904" t="s">
        <v>2185</v>
      </c>
      <c r="C4904" t="s">
        <v>2186</v>
      </c>
      <c r="D4904" t="s">
        <v>2187</v>
      </c>
      <c r="E4904" s="9">
        <v>45292</v>
      </c>
      <c r="F4904" s="9">
        <v>45322</v>
      </c>
      <c r="G4904">
        <v>84753845.100000009</v>
      </c>
      <c r="H4904">
        <v>2267922.96</v>
      </c>
      <c r="I4904">
        <v>6458366.8200000003</v>
      </c>
      <c r="J4904">
        <v>3160754.6999999997</v>
      </c>
      <c r="K4904">
        <v>0</v>
      </c>
      <c r="L4904">
        <v>13441353.75</v>
      </c>
      <c r="M4904">
        <v>45619.140000000007</v>
      </c>
      <c r="N4904">
        <v>0</v>
      </c>
      <c r="O4904">
        <v>0</v>
      </c>
      <c r="P4904">
        <v>0</v>
      </c>
      <c r="Q4904">
        <v>0</v>
      </c>
      <c r="R4904">
        <v>0</v>
      </c>
      <c r="S4904">
        <v>9775.5299999999988</v>
      </c>
      <c r="T4904" s="9">
        <v>45108</v>
      </c>
      <c r="U4904" s="9">
        <v>45473</v>
      </c>
      <c r="V4904">
        <f>SUM(POTABLE_NONPOTABLE_API[[#This Row],[RESIDENTIAL_SINGLEFAMILY_GAL]:[OTHER_GAL]])</f>
        <v>110082243.33</v>
      </c>
      <c r="W4904">
        <f>SUM(POTABLE_NONPOTABLE_API[[#This Row],[NONPOTABLE_DEMAND_RESIDENTIAL_RECYCLED_WATER_GAL]:[NONPOTABLE_DEMAND_NONRESIDENTIAL_METERED_IRRIGATION_GAL]])</f>
        <v>9775.5299999999988</v>
      </c>
      <c r="X4904" t="str">
        <f>IFERROR(INDEX(Crosswalk_API!$H$2:$H$527, MATCH(POTABLE_NONPOTABLE_API[[#This Row],[PWSID]], CW_PWSID_LIST, 0)), "")</f>
        <v>No</v>
      </c>
    </row>
    <row r="4905" spans="1:24" x14ac:dyDescent="0.25">
      <c r="A4905" t="s">
        <v>2184</v>
      </c>
      <c r="B4905" t="s">
        <v>2185</v>
      </c>
      <c r="C4905" t="s">
        <v>2186</v>
      </c>
      <c r="D4905" t="s">
        <v>2187</v>
      </c>
      <c r="E4905" s="9">
        <v>45323</v>
      </c>
      <c r="F4905" s="9">
        <v>45351</v>
      </c>
      <c r="G4905">
        <v>71345076.450000003</v>
      </c>
      <c r="H4905">
        <v>2290732.5300000003</v>
      </c>
      <c r="I4905">
        <v>5783855.25</v>
      </c>
      <c r="J4905">
        <v>2264664.4500000002</v>
      </c>
      <c r="K4905">
        <v>0</v>
      </c>
      <c r="L4905">
        <v>12737515.590000002</v>
      </c>
      <c r="M4905">
        <v>26068.080000000002</v>
      </c>
      <c r="N4905">
        <v>0</v>
      </c>
      <c r="O4905">
        <v>0</v>
      </c>
      <c r="P4905">
        <v>0</v>
      </c>
      <c r="Q4905">
        <v>0</v>
      </c>
      <c r="R4905">
        <v>0</v>
      </c>
      <c r="S4905">
        <v>9775.5299999999988</v>
      </c>
      <c r="T4905" s="9">
        <v>45108</v>
      </c>
      <c r="U4905" s="9">
        <v>45473</v>
      </c>
      <c r="V4905">
        <f>SUM(POTABLE_NONPOTABLE_API[[#This Row],[RESIDENTIAL_SINGLEFAMILY_GAL]:[OTHER_GAL]])</f>
        <v>94421844.270000011</v>
      </c>
      <c r="W4905">
        <f>SUM(POTABLE_NONPOTABLE_API[[#This Row],[NONPOTABLE_DEMAND_RESIDENTIAL_RECYCLED_WATER_GAL]:[NONPOTABLE_DEMAND_NONRESIDENTIAL_METERED_IRRIGATION_GAL]])</f>
        <v>9775.5299999999988</v>
      </c>
      <c r="X4905" t="str">
        <f>IFERROR(INDEX(Crosswalk_API!$H$2:$H$527, MATCH(POTABLE_NONPOTABLE_API[[#This Row],[PWSID]], CW_PWSID_LIST, 0)), "")</f>
        <v>No</v>
      </c>
    </row>
    <row r="4906" spans="1:24" x14ac:dyDescent="0.25">
      <c r="A4906" t="s">
        <v>2184</v>
      </c>
      <c r="B4906" t="s">
        <v>2185</v>
      </c>
      <c r="C4906" t="s">
        <v>2186</v>
      </c>
      <c r="D4906" t="s">
        <v>2187</v>
      </c>
      <c r="E4906" s="9">
        <v>45352</v>
      </c>
      <c r="F4906" s="9">
        <v>45382</v>
      </c>
      <c r="G4906">
        <v>75757098.99000001</v>
      </c>
      <c r="H4906">
        <v>2411297.4</v>
      </c>
      <c r="I4906">
        <v>6282407.2800000003</v>
      </c>
      <c r="J4906">
        <v>3395367.42</v>
      </c>
      <c r="K4906">
        <v>0</v>
      </c>
      <c r="L4906">
        <v>13122019.770000001</v>
      </c>
      <c r="M4906">
        <v>114047.84999999999</v>
      </c>
      <c r="N4906">
        <v>0</v>
      </c>
      <c r="O4906">
        <v>0</v>
      </c>
      <c r="P4906">
        <v>0</v>
      </c>
      <c r="Q4906">
        <v>0</v>
      </c>
      <c r="R4906">
        <v>0</v>
      </c>
      <c r="S4906">
        <v>2616583.5299999998</v>
      </c>
      <c r="T4906" s="9">
        <v>45108</v>
      </c>
      <c r="U4906" s="9">
        <v>45473</v>
      </c>
      <c r="V4906">
        <f>SUM(POTABLE_NONPOTABLE_API[[#This Row],[RESIDENTIAL_SINGLEFAMILY_GAL]:[OTHER_GAL]])</f>
        <v>100968190.86000001</v>
      </c>
      <c r="W4906">
        <f>SUM(POTABLE_NONPOTABLE_API[[#This Row],[NONPOTABLE_DEMAND_RESIDENTIAL_RECYCLED_WATER_GAL]:[NONPOTABLE_DEMAND_NONRESIDENTIAL_METERED_IRRIGATION_GAL]])</f>
        <v>2616583.5299999998</v>
      </c>
      <c r="X4906" t="str">
        <f>IFERROR(INDEX(Crosswalk_API!$H$2:$H$527, MATCH(POTABLE_NONPOTABLE_API[[#This Row],[PWSID]], CW_PWSID_LIST, 0)), "")</f>
        <v>No</v>
      </c>
    </row>
    <row r="4907" spans="1:24" x14ac:dyDescent="0.25">
      <c r="A4907" t="s">
        <v>2184</v>
      </c>
      <c r="B4907" t="s">
        <v>2185</v>
      </c>
      <c r="C4907" t="s">
        <v>2186</v>
      </c>
      <c r="D4907" t="s">
        <v>2187</v>
      </c>
      <c r="E4907" s="9">
        <v>45383</v>
      </c>
      <c r="F4907" s="9">
        <v>45412</v>
      </c>
      <c r="G4907">
        <v>102040240.64999999</v>
      </c>
      <c r="H4907">
        <v>2587256.94</v>
      </c>
      <c r="I4907">
        <v>7152429.4500000002</v>
      </c>
      <c r="J4907">
        <v>7028606.0700000003</v>
      </c>
      <c r="K4907">
        <v>0</v>
      </c>
      <c r="L4907">
        <v>12356269.92</v>
      </c>
      <c r="M4907">
        <v>319333.98</v>
      </c>
      <c r="N4907">
        <v>0</v>
      </c>
      <c r="O4907">
        <v>0</v>
      </c>
      <c r="P4907">
        <v>0</v>
      </c>
      <c r="Q4907">
        <v>0</v>
      </c>
      <c r="R4907">
        <v>0</v>
      </c>
      <c r="S4907">
        <v>7276252.8299999991</v>
      </c>
      <c r="T4907" s="9">
        <v>45108</v>
      </c>
      <c r="U4907" s="9">
        <v>45473</v>
      </c>
      <c r="V4907">
        <f>SUM(POTABLE_NONPOTABLE_API[[#This Row],[RESIDENTIAL_SINGLEFAMILY_GAL]:[OTHER_GAL]])</f>
        <v>131164803.02999999</v>
      </c>
      <c r="W4907">
        <f>SUM(POTABLE_NONPOTABLE_API[[#This Row],[NONPOTABLE_DEMAND_RESIDENTIAL_RECYCLED_WATER_GAL]:[NONPOTABLE_DEMAND_NONRESIDENTIAL_METERED_IRRIGATION_GAL]])</f>
        <v>7276252.8299999991</v>
      </c>
      <c r="X4907" t="str">
        <f>IFERROR(INDEX(Crosswalk_API!$H$2:$H$527, MATCH(POTABLE_NONPOTABLE_API[[#This Row],[PWSID]], CW_PWSID_LIST, 0)), "")</f>
        <v>No</v>
      </c>
    </row>
    <row r="4908" spans="1:24" x14ac:dyDescent="0.25">
      <c r="A4908" t="s">
        <v>2184</v>
      </c>
      <c r="B4908" t="s">
        <v>2185</v>
      </c>
      <c r="C4908" t="s">
        <v>2186</v>
      </c>
      <c r="D4908" t="s">
        <v>2187</v>
      </c>
      <c r="E4908" s="9">
        <v>45413</v>
      </c>
      <c r="F4908" s="9">
        <v>45443</v>
      </c>
      <c r="G4908">
        <v>218812205.00999999</v>
      </c>
      <c r="H4908">
        <v>3431211.03</v>
      </c>
      <c r="I4908">
        <v>16475026.560000001</v>
      </c>
      <c r="J4908">
        <v>19919271.630000003</v>
      </c>
      <c r="K4908">
        <v>0</v>
      </c>
      <c r="L4908">
        <v>12613692.210000001</v>
      </c>
      <c r="M4908">
        <v>2017017.6900000002</v>
      </c>
      <c r="N4908">
        <v>0</v>
      </c>
      <c r="O4908">
        <v>0</v>
      </c>
      <c r="P4908">
        <v>0</v>
      </c>
      <c r="Q4908">
        <v>0</v>
      </c>
      <c r="R4908">
        <v>0</v>
      </c>
      <c r="S4908">
        <v>11251635.030000001</v>
      </c>
      <c r="T4908" s="9">
        <v>45108</v>
      </c>
      <c r="U4908" s="9">
        <v>45473</v>
      </c>
      <c r="V4908">
        <f>SUM(POTABLE_NONPOTABLE_API[[#This Row],[RESIDENTIAL_SINGLEFAMILY_GAL]:[OTHER_GAL]])</f>
        <v>271251406.44</v>
      </c>
      <c r="W4908">
        <f>SUM(POTABLE_NONPOTABLE_API[[#This Row],[NONPOTABLE_DEMAND_RESIDENTIAL_RECYCLED_WATER_GAL]:[NONPOTABLE_DEMAND_NONRESIDENTIAL_METERED_IRRIGATION_GAL]])</f>
        <v>11251635.030000001</v>
      </c>
      <c r="X4908" t="str">
        <f>IFERROR(INDEX(Crosswalk_API!$H$2:$H$527, MATCH(POTABLE_NONPOTABLE_API[[#This Row],[PWSID]], CW_PWSID_LIST, 0)), "")</f>
        <v>No</v>
      </c>
    </row>
    <row r="4909" spans="1:24" x14ac:dyDescent="0.25">
      <c r="A4909" t="s">
        <v>2184</v>
      </c>
      <c r="B4909" t="s">
        <v>2185</v>
      </c>
      <c r="C4909" t="s">
        <v>2186</v>
      </c>
      <c r="D4909" t="s">
        <v>2187</v>
      </c>
      <c r="E4909" s="9">
        <v>45444</v>
      </c>
      <c r="F4909" s="9">
        <v>45473</v>
      </c>
      <c r="G4909">
        <v>319500164.00999999</v>
      </c>
      <c r="H4909">
        <v>4021001.34</v>
      </c>
      <c r="I4909">
        <v>20658953.399999999</v>
      </c>
      <c r="J4909">
        <v>33057583.949999999</v>
      </c>
      <c r="K4909">
        <v>0</v>
      </c>
      <c r="L4909">
        <v>15282411.9</v>
      </c>
      <c r="M4909">
        <v>2456916.54</v>
      </c>
      <c r="N4909">
        <v>0</v>
      </c>
      <c r="O4909">
        <v>0</v>
      </c>
      <c r="P4909">
        <v>0</v>
      </c>
      <c r="Q4909">
        <v>0</v>
      </c>
      <c r="R4909">
        <v>0</v>
      </c>
      <c r="S4909">
        <v>23858810.219999999</v>
      </c>
      <c r="T4909" s="9">
        <v>45108</v>
      </c>
      <c r="U4909" s="9">
        <v>45473</v>
      </c>
      <c r="V4909">
        <f>SUM(POTABLE_NONPOTABLE_API[[#This Row],[RESIDENTIAL_SINGLEFAMILY_GAL]:[OTHER_GAL]])</f>
        <v>392520114.5999999</v>
      </c>
      <c r="W4909">
        <f>SUM(POTABLE_NONPOTABLE_API[[#This Row],[NONPOTABLE_DEMAND_RESIDENTIAL_RECYCLED_WATER_GAL]:[NONPOTABLE_DEMAND_NONRESIDENTIAL_METERED_IRRIGATION_GAL]])</f>
        <v>23858810.219999999</v>
      </c>
      <c r="X4909" t="str">
        <f>IFERROR(INDEX(Crosswalk_API!$H$2:$H$527, MATCH(POTABLE_NONPOTABLE_API[[#This Row],[PWSID]], CW_PWSID_LIST, 0)), "")</f>
        <v>No</v>
      </c>
    </row>
    <row r="4910" spans="1:24" x14ac:dyDescent="0.25">
      <c r="A4910" t="s">
        <v>2188</v>
      </c>
      <c r="B4910" t="s">
        <v>2189</v>
      </c>
      <c r="C4910" t="s">
        <v>2190</v>
      </c>
      <c r="D4910" t="s">
        <v>2191</v>
      </c>
      <c r="E4910" s="9">
        <v>45108</v>
      </c>
      <c r="F4910" s="9">
        <v>45138</v>
      </c>
      <c r="G4910">
        <v>5262928</v>
      </c>
      <c r="H4910">
        <v>1018776</v>
      </c>
      <c r="I4910">
        <v>1097316</v>
      </c>
      <c r="J4910">
        <v>14212</v>
      </c>
      <c r="K4910">
        <v>1413720</v>
      </c>
      <c r="L4910">
        <v>136884</v>
      </c>
      <c r="M4910">
        <v>0</v>
      </c>
      <c r="T4910" s="9">
        <v>45108</v>
      </c>
      <c r="U4910" s="9">
        <v>45473</v>
      </c>
      <c r="V4910">
        <f>SUM(POTABLE_NONPOTABLE_API[[#This Row],[RESIDENTIAL_SINGLEFAMILY_GAL]:[OTHER_GAL]])</f>
        <v>8943836</v>
      </c>
      <c r="W4910">
        <f>SUM(POTABLE_NONPOTABLE_API[[#This Row],[NONPOTABLE_DEMAND_RESIDENTIAL_RECYCLED_WATER_GAL]:[NONPOTABLE_DEMAND_NONRESIDENTIAL_METERED_IRRIGATION_GAL]])</f>
        <v>0</v>
      </c>
      <c r="X4910" t="str">
        <f>IFERROR(INDEX(Crosswalk_API!$H$2:$H$527, MATCH(POTABLE_NONPOTABLE_API[[#This Row],[PWSID]], CW_PWSID_LIST, 0)), "")</f>
        <v>No</v>
      </c>
    </row>
    <row r="4911" spans="1:24" x14ac:dyDescent="0.25">
      <c r="A4911" t="s">
        <v>2188</v>
      </c>
      <c r="B4911" t="s">
        <v>2189</v>
      </c>
      <c r="C4911" t="s">
        <v>2190</v>
      </c>
      <c r="D4911" t="s">
        <v>2191</v>
      </c>
      <c r="E4911" s="9">
        <v>45139</v>
      </c>
      <c r="F4911" s="9">
        <v>45169</v>
      </c>
      <c r="G4911">
        <v>5633188</v>
      </c>
      <c r="H4911">
        <v>1045704</v>
      </c>
      <c r="I4911">
        <v>1127236</v>
      </c>
      <c r="J4911">
        <v>41888</v>
      </c>
      <c r="K4911">
        <v>1259632</v>
      </c>
      <c r="L4911">
        <v>142120</v>
      </c>
      <c r="M4911">
        <v>0</v>
      </c>
      <c r="T4911" s="9">
        <v>45108</v>
      </c>
      <c r="U4911" s="9">
        <v>45473</v>
      </c>
      <c r="V4911">
        <f>SUM(POTABLE_NONPOTABLE_API[[#This Row],[RESIDENTIAL_SINGLEFAMILY_GAL]:[OTHER_GAL]])</f>
        <v>9249768</v>
      </c>
      <c r="W4911">
        <f>SUM(POTABLE_NONPOTABLE_API[[#This Row],[NONPOTABLE_DEMAND_RESIDENTIAL_RECYCLED_WATER_GAL]:[NONPOTABLE_DEMAND_NONRESIDENTIAL_METERED_IRRIGATION_GAL]])</f>
        <v>0</v>
      </c>
      <c r="X4911" t="str">
        <f>IFERROR(INDEX(Crosswalk_API!$H$2:$H$527, MATCH(POTABLE_NONPOTABLE_API[[#This Row],[PWSID]], CW_PWSID_LIST, 0)), "")</f>
        <v>No</v>
      </c>
    </row>
    <row r="4912" spans="1:24" x14ac:dyDescent="0.25">
      <c r="A4912" t="s">
        <v>2188</v>
      </c>
      <c r="B4912" t="s">
        <v>2189</v>
      </c>
      <c r="C4912" t="s">
        <v>2190</v>
      </c>
      <c r="D4912" t="s">
        <v>2191</v>
      </c>
      <c r="E4912" s="9">
        <v>45170</v>
      </c>
      <c r="F4912" s="9">
        <v>45199</v>
      </c>
      <c r="G4912">
        <v>5633188</v>
      </c>
      <c r="H4912">
        <v>1045704</v>
      </c>
      <c r="I4912">
        <v>1127236</v>
      </c>
      <c r="J4912">
        <v>41888</v>
      </c>
      <c r="K4912">
        <v>1259632</v>
      </c>
      <c r="L4912">
        <v>142868</v>
      </c>
      <c r="M4912">
        <v>0</v>
      </c>
      <c r="T4912" s="9">
        <v>45108</v>
      </c>
      <c r="U4912" s="9">
        <v>45473</v>
      </c>
      <c r="V4912">
        <f>SUM(POTABLE_NONPOTABLE_API[[#This Row],[RESIDENTIAL_SINGLEFAMILY_GAL]:[OTHER_GAL]])</f>
        <v>9250516</v>
      </c>
      <c r="W4912">
        <f>SUM(POTABLE_NONPOTABLE_API[[#This Row],[NONPOTABLE_DEMAND_RESIDENTIAL_RECYCLED_WATER_GAL]:[NONPOTABLE_DEMAND_NONRESIDENTIAL_METERED_IRRIGATION_GAL]])</f>
        <v>0</v>
      </c>
      <c r="X4912" t="str">
        <f>IFERROR(INDEX(Crosswalk_API!$H$2:$H$527, MATCH(POTABLE_NONPOTABLE_API[[#This Row],[PWSID]], CW_PWSID_LIST, 0)), "")</f>
        <v>No</v>
      </c>
    </row>
    <row r="4913" spans="1:24" x14ac:dyDescent="0.25">
      <c r="A4913" t="s">
        <v>2188</v>
      </c>
      <c r="B4913" t="s">
        <v>2189</v>
      </c>
      <c r="C4913" t="s">
        <v>2190</v>
      </c>
      <c r="D4913" t="s">
        <v>2191</v>
      </c>
      <c r="E4913" s="9">
        <v>45200</v>
      </c>
      <c r="F4913" s="9">
        <v>45230</v>
      </c>
      <c r="G4913">
        <v>4249388</v>
      </c>
      <c r="H4913">
        <v>812328</v>
      </c>
      <c r="I4913">
        <v>777172</v>
      </c>
      <c r="J4913">
        <v>40392</v>
      </c>
      <c r="K4913">
        <v>937244</v>
      </c>
      <c r="L4913">
        <v>119680</v>
      </c>
      <c r="M4913">
        <v>0</v>
      </c>
      <c r="T4913" s="9">
        <v>45108</v>
      </c>
      <c r="U4913" s="9">
        <v>45473</v>
      </c>
      <c r="V4913">
        <f>SUM(POTABLE_NONPOTABLE_API[[#This Row],[RESIDENTIAL_SINGLEFAMILY_GAL]:[OTHER_GAL]])</f>
        <v>6936204</v>
      </c>
      <c r="W4913">
        <f>SUM(POTABLE_NONPOTABLE_API[[#This Row],[NONPOTABLE_DEMAND_RESIDENTIAL_RECYCLED_WATER_GAL]:[NONPOTABLE_DEMAND_NONRESIDENTIAL_METERED_IRRIGATION_GAL]])</f>
        <v>0</v>
      </c>
      <c r="X4913" t="str">
        <f>IFERROR(INDEX(Crosswalk_API!$H$2:$H$527, MATCH(POTABLE_NONPOTABLE_API[[#This Row],[PWSID]], CW_PWSID_LIST, 0)), "")</f>
        <v>No</v>
      </c>
    </row>
    <row r="4914" spans="1:24" x14ac:dyDescent="0.25">
      <c r="A4914" t="s">
        <v>2188</v>
      </c>
      <c r="B4914" t="s">
        <v>2189</v>
      </c>
      <c r="C4914" t="s">
        <v>2190</v>
      </c>
      <c r="D4914" t="s">
        <v>2191</v>
      </c>
      <c r="E4914" s="9">
        <v>45231</v>
      </c>
      <c r="F4914" s="9">
        <v>45260</v>
      </c>
      <c r="G4914">
        <v>4276316</v>
      </c>
      <c r="H4914">
        <v>874412</v>
      </c>
      <c r="I4914">
        <v>811580</v>
      </c>
      <c r="J4914">
        <v>48620</v>
      </c>
      <c r="K4914">
        <v>789140</v>
      </c>
      <c r="L4914">
        <v>130900</v>
      </c>
      <c r="M4914">
        <v>0</v>
      </c>
      <c r="T4914" s="9">
        <v>45108</v>
      </c>
      <c r="U4914" s="9">
        <v>45473</v>
      </c>
      <c r="V4914">
        <f>SUM(POTABLE_NONPOTABLE_API[[#This Row],[RESIDENTIAL_SINGLEFAMILY_GAL]:[OTHER_GAL]])</f>
        <v>6930968</v>
      </c>
      <c r="W4914">
        <f>SUM(POTABLE_NONPOTABLE_API[[#This Row],[NONPOTABLE_DEMAND_RESIDENTIAL_RECYCLED_WATER_GAL]:[NONPOTABLE_DEMAND_NONRESIDENTIAL_METERED_IRRIGATION_GAL]])</f>
        <v>0</v>
      </c>
      <c r="X4914" t="str">
        <f>IFERROR(INDEX(Crosswalk_API!$H$2:$H$527, MATCH(POTABLE_NONPOTABLE_API[[#This Row],[PWSID]], CW_PWSID_LIST, 0)), "")</f>
        <v>No</v>
      </c>
    </row>
    <row r="4915" spans="1:24" x14ac:dyDescent="0.25">
      <c r="A4915" t="s">
        <v>2188</v>
      </c>
      <c r="B4915" t="s">
        <v>2189</v>
      </c>
      <c r="C4915" t="s">
        <v>2190</v>
      </c>
      <c r="D4915" t="s">
        <v>2191</v>
      </c>
      <c r="E4915" s="9">
        <v>45261</v>
      </c>
      <c r="F4915" s="9">
        <v>45291</v>
      </c>
      <c r="G4915">
        <v>3512608</v>
      </c>
      <c r="H4915">
        <v>841500</v>
      </c>
      <c r="I4915">
        <v>813824</v>
      </c>
      <c r="J4915">
        <v>8228</v>
      </c>
      <c r="K4915">
        <v>531080</v>
      </c>
      <c r="L4915">
        <v>123420</v>
      </c>
      <c r="M4915">
        <v>0</v>
      </c>
      <c r="T4915" s="9">
        <v>45108</v>
      </c>
      <c r="U4915" s="9">
        <v>45473</v>
      </c>
      <c r="V4915">
        <f>SUM(POTABLE_NONPOTABLE_API[[#This Row],[RESIDENTIAL_SINGLEFAMILY_GAL]:[OTHER_GAL]])</f>
        <v>5830660</v>
      </c>
      <c r="W4915">
        <f>SUM(POTABLE_NONPOTABLE_API[[#This Row],[NONPOTABLE_DEMAND_RESIDENTIAL_RECYCLED_WATER_GAL]:[NONPOTABLE_DEMAND_NONRESIDENTIAL_METERED_IRRIGATION_GAL]])</f>
        <v>0</v>
      </c>
      <c r="X4915" t="str">
        <f>IFERROR(INDEX(Crosswalk_API!$H$2:$H$527, MATCH(POTABLE_NONPOTABLE_API[[#This Row],[PWSID]], CW_PWSID_LIST, 0)), "")</f>
        <v>No</v>
      </c>
    </row>
    <row r="4916" spans="1:24" x14ac:dyDescent="0.25">
      <c r="A4916" t="s">
        <v>2188</v>
      </c>
      <c r="B4916" t="s">
        <v>2189</v>
      </c>
      <c r="C4916" t="s">
        <v>2190</v>
      </c>
      <c r="D4916" t="s">
        <v>2191</v>
      </c>
      <c r="E4916" s="9">
        <v>45292</v>
      </c>
      <c r="F4916" s="9">
        <v>45322</v>
      </c>
      <c r="G4916">
        <v>3478948</v>
      </c>
      <c r="H4916">
        <v>783156</v>
      </c>
      <c r="I4916">
        <v>768196</v>
      </c>
      <c r="J4916">
        <v>0</v>
      </c>
      <c r="K4916">
        <v>557260</v>
      </c>
      <c r="L4916">
        <v>130152</v>
      </c>
      <c r="M4916">
        <v>0</v>
      </c>
      <c r="T4916" s="9">
        <v>45108</v>
      </c>
      <c r="U4916" s="9">
        <v>45473</v>
      </c>
      <c r="V4916">
        <f>SUM(POTABLE_NONPOTABLE_API[[#This Row],[RESIDENTIAL_SINGLEFAMILY_GAL]:[OTHER_GAL]])</f>
        <v>5717712</v>
      </c>
      <c r="W4916">
        <f>SUM(POTABLE_NONPOTABLE_API[[#This Row],[NONPOTABLE_DEMAND_RESIDENTIAL_RECYCLED_WATER_GAL]:[NONPOTABLE_DEMAND_NONRESIDENTIAL_METERED_IRRIGATION_GAL]])</f>
        <v>0</v>
      </c>
      <c r="X4916" t="str">
        <f>IFERROR(INDEX(Crosswalk_API!$H$2:$H$527, MATCH(POTABLE_NONPOTABLE_API[[#This Row],[PWSID]], CW_PWSID_LIST, 0)), "")</f>
        <v>No</v>
      </c>
    </row>
    <row r="4917" spans="1:24" x14ac:dyDescent="0.25">
      <c r="A4917" t="s">
        <v>2188</v>
      </c>
      <c r="B4917" t="s">
        <v>2189</v>
      </c>
      <c r="C4917" t="s">
        <v>2190</v>
      </c>
      <c r="D4917" t="s">
        <v>2191</v>
      </c>
      <c r="E4917" s="9">
        <v>45323</v>
      </c>
      <c r="F4917" s="9">
        <v>45351</v>
      </c>
      <c r="G4917">
        <v>3518592</v>
      </c>
      <c r="H4917">
        <v>406164</v>
      </c>
      <c r="I4917">
        <v>797368</v>
      </c>
      <c r="J4917">
        <v>0</v>
      </c>
      <c r="K4917">
        <v>673948</v>
      </c>
      <c r="L4917">
        <v>148104</v>
      </c>
      <c r="M4917">
        <v>0</v>
      </c>
      <c r="T4917" s="9">
        <v>45108</v>
      </c>
      <c r="U4917" s="9">
        <v>45473</v>
      </c>
      <c r="V4917">
        <f>SUM(POTABLE_NONPOTABLE_API[[#This Row],[RESIDENTIAL_SINGLEFAMILY_GAL]:[OTHER_GAL]])</f>
        <v>5544176</v>
      </c>
      <c r="W4917">
        <f>SUM(POTABLE_NONPOTABLE_API[[#This Row],[NONPOTABLE_DEMAND_RESIDENTIAL_RECYCLED_WATER_GAL]:[NONPOTABLE_DEMAND_NONRESIDENTIAL_METERED_IRRIGATION_GAL]])</f>
        <v>0</v>
      </c>
      <c r="X4917" t="str">
        <f>IFERROR(INDEX(Crosswalk_API!$H$2:$H$527, MATCH(POTABLE_NONPOTABLE_API[[#This Row],[PWSID]], CW_PWSID_LIST, 0)), "")</f>
        <v>No</v>
      </c>
    </row>
    <row r="4918" spans="1:24" x14ac:dyDescent="0.25">
      <c r="A4918" t="s">
        <v>2188</v>
      </c>
      <c r="B4918" t="s">
        <v>2189</v>
      </c>
      <c r="C4918" t="s">
        <v>2190</v>
      </c>
      <c r="D4918" t="s">
        <v>2191</v>
      </c>
      <c r="E4918" s="9">
        <v>45352</v>
      </c>
      <c r="F4918" s="9">
        <v>45382</v>
      </c>
      <c r="G4918">
        <v>3224628</v>
      </c>
      <c r="H4918">
        <v>362032</v>
      </c>
      <c r="I4918">
        <v>707608</v>
      </c>
      <c r="J4918">
        <v>0</v>
      </c>
      <c r="K4918">
        <v>555764</v>
      </c>
      <c r="L4918">
        <v>94996</v>
      </c>
      <c r="M4918">
        <v>0</v>
      </c>
      <c r="T4918" s="9">
        <v>45108</v>
      </c>
      <c r="U4918" s="9">
        <v>45473</v>
      </c>
      <c r="V4918">
        <f>SUM(POTABLE_NONPOTABLE_API[[#This Row],[RESIDENTIAL_SINGLEFAMILY_GAL]:[OTHER_GAL]])</f>
        <v>4945028</v>
      </c>
      <c r="W4918">
        <f>SUM(POTABLE_NONPOTABLE_API[[#This Row],[NONPOTABLE_DEMAND_RESIDENTIAL_RECYCLED_WATER_GAL]:[NONPOTABLE_DEMAND_NONRESIDENTIAL_METERED_IRRIGATION_GAL]])</f>
        <v>0</v>
      </c>
      <c r="X4918" t="str">
        <f>IFERROR(INDEX(Crosswalk_API!$H$2:$H$527, MATCH(POTABLE_NONPOTABLE_API[[#This Row],[PWSID]], CW_PWSID_LIST, 0)), "")</f>
        <v>No</v>
      </c>
    </row>
    <row r="4919" spans="1:24" x14ac:dyDescent="0.25">
      <c r="A4919" t="s">
        <v>2188</v>
      </c>
      <c r="B4919" t="s">
        <v>2189</v>
      </c>
      <c r="C4919" t="s">
        <v>2190</v>
      </c>
      <c r="D4919" t="s">
        <v>2191</v>
      </c>
      <c r="E4919" s="9">
        <v>45383</v>
      </c>
      <c r="F4919" s="9">
        <v>45412</v>
      </c>
      <c r="G4919">
        <v>3061564</v>
      </c>
      <c r="H4919">
        <v>409156</v>
      </c>
      <c r="I4919">
        <v>658988</v>
      </c>
      <c r="J4919">
        <v>0</v>
      </c>
      <c r="K4919">
        <v>546040</v>
      </c>
      <c r="L4919">
        <v>99484</v>
      </c>
      <c r="M4919">
        <v>0</v>
      </c>
      <c r="T4919" s="9">
        <v>45108</v>
      </c>
      <c r="U4919" s="9">
        <v>45473</v>
      </c>
      <c r="V4919">
        <f>SUM(POTABLE_NONPOTABLE_API[[#This Row],[RESIDENTIAL_SINGLEFAMILY_GAL]:[OTHER_GAL]])</f>
        <v>4775232</v>
      </c>
      <c r="W4919">
        <f>SUM(POTABLE_NONPOTABLE_API[[#This Row],[NONPOTABLE_DEMAND_RESIDENTIAL_RECYCLED_WATER_GAL]:[NONPOTABLE_DEMAND_NONRESIDENTIAL_METERED_IRRIGATION_GAL]])</f>
        <v>0</v>
      </c>
      <c r="X4919" t="str">
        <f>IFERROR(INDEX(Crosswalk_API!$H$2:$H$527, MATCH(POTABLE_NONPOTABLE_API[[#This Row],[PWSID]], CW_PWSID_LIST, 0)), "")</f>
        <v>No</v>
      </c>
    </row>
    <row r="4920" spans="1:24" x14ac:dyDescent="0.25">
      <c r="A4920" t="s">
        <v>2188</v>
      </c>
      <c r="B4920" t="s">
        <v>2189</v>
      </c>
      <c r="C4920" t="s">
        <v>2190</v>
      </c>
      <c r="D4920" t="s">
        <v>2191</v>
      </c>
      <c r="E4920" s="9">
        <v>45413</v>
      </c>
      <c r="F4920" s="9">
        <v>45443</v>
      </c>
      <c r="G4920">
        <v>3778896</v>
      </c>
      <c r="H4920">
        <v>468996</v>
      </c>
      <c r="I4920">
        <v>792132</v>
      </c>
      <c r="J4920">
        <v>6732</v>
      </c>
      <c r="K4920">
        <v>842996</v>
      </c>
      <c r="L4920">
        <v>95744</v>
      </c>
      <c r="M4920">
        <v>0</v>
      </c>
      <c r="T4920" s="9">
        <v>45108</v>
      </c>
      <c r="U4920" s="9">
        <v>45473</v>
      </c>
      <c r="V4920">
        <f>SUM(POTABLE_NONPOTABLE_API[[#This Row],[RESIDENTIAL_SINGLEFAMILY_GAL]:[OTHER_GAL]])</f>
        <v>5985496</v>
      </c>
      <c r="W4920">
        <f>SUM(POTABLE_NONPOTABLE_API[[#This Row],[NONPOTABLE_DEMAND_RESIDENTIAL_RECYCLED_WATER_GAL]:[NONPOTABLE_DEMAND_NONRESIDENTIAL_METERED_IRRIGATION_GAL]])</f>
        <v>0</v>
      </c>
      <c r="X4920" t="str">
        <f>IFERROR(INDEX(Crosswalk_API!$H$2:$H$527, MATCH(POTABLE_NONPOTABLE_API[[#This Row],[PWSID]], CW_PWSID_LIST, 0)), "")</f>
        <v>No</v>
      </c>
    </row>
    <row r="4921" spans="1:24" x14ac:dyDescent="0.25">
      <c r="A4921" t="s">
        <v>2188</v>
      </c>
      <c r="B4921" t="s">
        <v>2189</v>
      </c>
      <c r="C4921" t="s">
        <v>2190</v>
      </c>
      <c r="D4921" t="s">
        <v>2191</v>
      </c>
      <c r="E4921" s="9">
        <v>45444</v>
      </c>
      <c r="F4921" s="9">
        <v>45473</v>
      </c>
      <c r="G4921">
        <v>5113328</v>
      </c>
      <c r="H4921">
        <v>468996</v>
      </c>
      <c r="I4921">
        <v>884884</v>
      </c>
      <c r="J4921">
        <v>11968</v>
      </c>
      <c r="K4921">
        <v>1107040</v>
      </c>
      <c r="L4921">
        <v>137632</v>
      </c>
      <c r="M4921">
        <v>0</v>
      </c>
      <c r="T4921" s="9">
        <v>45108</v>
      </c>
      <c r="U4921" s="9">
        <v>45473</v>
      </c>
      <c r="V4921">
        <f>SUM(POTABLE_NONPOTABLE_API[[#This Row],[RESIDENTIAL_SINGLEFAMILY_GAL]:[OTHER_GAL]])</f>
        <v>7723848</v>
      </c>
      <c r="W4921">
        <f>SUM(POTABLE_NONPOTABLE_API[[#This Row],[NONPOTABLE_DEMAND_RESIDENTIAL_RECYCLED_WATER_GAL]:[NONPOTABLE_DEMAND_NONRESIDENTIAL_METERED_IRRIGATION_GAL]])</f>
        <v>0</v>
      </c>
      <c r="X4921" t="str">
        <f>IFERROR(INDEX(Crosswalk_API!$H$2:$H$527, MATCH(POTABLE_NONPOTABLE_API[[#This Row],[PWSID]], CW_PWSID_LIST, 0)), "")</f>
        <v>No</v>
      </c>
    </row>
    <row r="4922" spans="1:24" x14ac:dyDescent="0.25">
      <c r="A4922" t="s">
        <v>2188</v>
      </c>
      <c r="B4922" t="s">
        <v>2189</v>
      </c>
      <c r="C4922" t="s">
        <v>2193</v>
      </c>
      <c r="D4922" t="s">
        <v>2194</v>
      </c>
      <c r="E4922" s="9">
        <v>45108</v>
      </c>
      <c r="F4922" s="9">
        <v>45138</v>
      </c>
      <c r="G4922">
        <v>27152400</v>
      </c>
      <c r="H4922">
        <v>5650392</v>
      </c>
      <c r="I4922">
        <v>1026256</v>
      </c>
      <c r="J4922">
        <v>599148</v>
      </c>
      <c r="K4922">
        <v>1688984</v>
      </c>
      <c r="L4922">
        <v>940984</v>
      </c>
      <c r="M4922">
        <v>0</v>
      </c>
      <c r="T4922" s="9">
        <v>45108</v>
      </c>
      <c r="U4922" s="9">
        <v>45473</v>
      </c>
      <c r="V4922">
        <f>SUM(POTABLE_NONPOTABLE_API[[#This Row],[RESIDENTIAL_SINGLEFAMILY_GAL]:[OTHER_GAL]])</f>
        <v>37058164</v>
      </c>
      <c r="W4922">
        <f>SUM(POTABLE_NONPOTABLE_API[[#This Row],[NONPOTABLE_DEMAND_RESIDENTIAL_RECYCLED_WATER_GAL]:[NONPOTABLE_DEMAND_NONRESIDENTIAL_METERED_IRRIGATION_GAL]])</f>
        <v>0</v>
      </c>
      <c r="X4922" t="str">
        <f>IFERROR(INDEX(Crosswalk_API!$H$2:$H$527, MATCH(POTABLE_NONPOTABLE_API[[#This Row],[PWSID]], CW_PWSID_LIST, 0)), "")</f>
        <v>No</v>
      </c>
    </row>
    <row r="4923" spans="1:24" x14ac:dyDescent="0.25">
      <c r="A4923" t="s">
        <v>2188</v>
      </c>
      <c r="B4923" t="s">
        <v>2189</v>
      </c>
      <c r="C4923" t="s">
        <v>2193</v>
      </c>
      <c r="D4923" t="s">
        <v>2194</v>
      </c>
      <c r="E4923" s="9">
        <v>45139</v>
      </c>
      <c r="F4923" s="9">
        <v>45169</v>
      </c>
      <c r="G4923">
        <v>28076180</v>
      </c>
      <c r="H4923">
        <v>6001204</v>
      </c>
      <c r="I4923">
        <v>1225972</v>
      </c>
      <c r="J4923">
        <v>850476</v>
      </c>
      <c r="K4923">
        <v>1718156</v>
      </c>
      <c r="L4923">
        <v>1155660</v>
      </c>
      <c r="M4923">
        <v>0</v>
      </c>
      <c r="T4923" s="9">
        <v>45108</v>
      </c>
      <c r="U4923" s="9">
        <v>45473</v>
      </c>
      <c r="V4923">
        <f>SUM(POTABLE_NONPOTABLE_API[[#This Row],[RESIDENTIAL_SINGLEFAMILY_GAL]:[OTHER_GAL]])</f>
        <v>39027648</v>
      </c>
      <c r="W4923">
        <f>SUM(POTABLE_NONPOTABLE_API[[#This Row],[NONPOTABLE_DEMAND_RESIDENTIAL_RECYCLED_WATER_GAL]:[NONPOTABLE_DEMAND_NONRESIDENTIAL_METERED_IRRIGATION_GAL]])</f>
        <v>0</v>
      </c>
      <c r="X4923" t="str">
        <f>IFERROR(INDEX(Crosswalk_API!$H$2:$H$527, MATCH(POTABLE_NONPOTABLE_API[[#This Row],[PWSID]], CW_PWSID_LIST, 0)), "")</f>
        <v>No</v>
      </c>
    </row>
    <row r="4924" spans="1:24" x14ac:dyDescent="0.25">
      <c r="A4924" t="s">
        <v>2188</v>
      </c>
      <c r="B4924" t="s">
        <v>2189</v>
      </c>
      <c r="C4924" t="s">
        <v>2193</v>
      </c>
      <c r="D4924" t="s">
        <v>2194</v>
      </c>
      <c r="E4924" s="9">
        <v>45170</v>
      </c>
      <c r="F4924" s="9">
        <v>45199</v>
      </c>
      <c r="G4924">
        <v>31239472</v>
      </c>
      <c r="H4924">
        <v>6325836</v>
      </c>
      <c r="I4924">
        <v>1047200</v>
      </c>
      <c r="J4924">
        <v>489940</v>
      </c>
      <c r="K4924">
        <v>1956768</v>
      </c>
      <c r="L4924">
        <v>1694968</v>
      </c>
      <c r="M4924">
        <v>0</v>
      </c>
      <c r="T4924" s="9">
        <v>45108</v>
      </c>
      <c r="U4924" s="9">
        <v>45473</v>
      </c>
      <c r="V4924">
        <f>SUM(POTABLE_NONPOTABLE_API[[#This Row],[RESIDENTIAL_SINGLEFAMILY_GAL]:[OTHER_GAL]])</f>
        <v>42754184</v>
      </c>
      <c r="W4924">
        <f>SUM(POTABLE_NONPOTABLE_API[[#This Row],[NONPOTABLE_DEMAND_RESIDENTIAL_RECYCLED_WATER_GAL]:[NONPOTABLE_DEMAND_NONRESIDENTIAL_METERED_IRRIGATION_GAL]])</f>
        <v>0</v>
      </c>
      <c r="X4924" t="str">
        <f>IFERROR(INDEX(Crosswalk_API!$H$2:$H$527, MATCH(POTABLE_NONPOTABLE_API[[#This Row],[PWSID]], CW_PWSID_LIST, 0)), "")</f>
        <v>No</v>
      </c>
    </row>
    <row r="4925" spans="1:24" x14ac:dyDescent="0.25">
      <c r="A4925" t="s">
        <v>2188</v>
      </c>
      <c r="B4925" t="s">
        <v>2189</v>
      </c>
      <c r="C4925" t="s">
        <v>2193</v>
      </c>
      <c r="D4925" t="s">
        <v>2194</v>
      </c>
      <c r="E4925" s="9">
        <v>45200</v>
      </c>
      <c r="F4925" s="9">
        <v>45230</v>
      </c>
      <c r="G4925">
        <v>23758724</v>
      </c>
      <c r="H4925">
        <v>5233008</v>
      </c>
      <c r="I4925">
        <v>975392</v>
      </c>
      <c r="J4925">
        <v>547536</v>
      </c>
      <c r="K4925">
        <v>1326204</v>
      </c>
      <c r="L4925">
        <v>2144516</v>
      </c>
      <c r="M4925">
        <v>0</v>
      </c>
      <c r="T4925" s="9">
        <v>45108</v>
      </c>
      <c r="U4925" s="9">
        <v>45473</v>
      </c>
      <c r="V4925">
        <f>SUM(POTABLE_NONPOTABLE_API[[#This Row],[RESIDENTIAL_SINGLEFAMILY_GAL]:[OTHER_GAL]])</f>
        <v>33985380</v>
      </c>
      <c r="W4925">
        <f>SUM(POTABLE_NONPOTABLE_API[[#This Row],[NONPOTABLE_DEMAND_RESIDENTIAL_RECYCLED_WATER_GAL]:[NONPOTABLE_DEMAND_NONRESIDENTIAL_METERED_IRRIGATION_GAL]])</f>
        <v>0</v>
      </c>
      <c r="X4925" t="str">
        <f>IFERROR(INDEX(Crosswalk_API!$H$2:$H$527, MATCH(POTABLE_NONPOTABLE_API[[#This Row],[PWSID]], CW_PWSID_LIST, 0)), "")</f>
        <v>No</v>
      </c>
    </row>
    <row r="4926" spans="1:24" x14ac:dyDescent="0.25">
      <c r="A4926" t="s">
        <v>2188</v>
      </c>
      <c r="B4926" t="s">
        <v>2189</v>
      </c>
      <c r="C4926" t="s">
        <v>2193</v>
      </c>
      <c r="D4926" t="s">
        <v>2194</v>
      </c>
      <c r="E4926" s="9">
        <v>45231</v>
      </c>
      <c r="F4926" s="9">
        <v>45260</v>
      </c>
      <c r="G4926">
        <v>21848332</v>
      </c>
      <c r="H4926">
        <v>4763264</v>
      </c>
      <c r="I4926">
        <v>986612</v>
      </c>
      <c r="J4926">
        <v>150348</v>
      </c>
      <c r="K4926">
        <v>1089088</v>
      </c>
      <c r="L4926">
        <v>4231436</v>
      </c>
      <c r="M4926">
        <v>0</v>
      </c>
      <c r="T4926" s="9">
        <v>45108</v>
      </c>
      <c r="U4926" s="9">
        <v>45473</v>
      </c>
      <c r="V4926">
        <f>SUM(POTABLE_NONPOTABLE_API[[#This Row],[RESIDENTIAL_SINGLEFAMILY_GAL]:[OTHER_GAL]])</f>
        <v>33069080</v>
      </c>
      <c r="W4926">
        <f>SUM(POTABLE_NONPOTABLE_API[[#This Row],[NONPOTABLE_DEMAND_RESIDENTIAL_RECYCLED_WATER_GAL]:[NONPOTABLE_DEMAND_NONRESIDENTIAL_METERED_IRRIGATION_GAL]])</f>
        <v>0</v>
      </c>
      <c r="X4926" t="str">
        <f>IFERROR(INDEX(Crosswalk_API!$H$2:$H$527, MATCH(POTABLE_NONPOTABLE_API[[#This Row],[PWSID]], CW_PWSID_LIST, 0)), "")</f>
        <v>No</v>
      </c>
    </row>
    <row r="4927" spans="1:24" x14ac:dyDescent="0.25">
      <c r="A4927" t="s">
        <v>2188</v>
      </c>
      <c r="B4927" t="s">
        <v>2189</v>
      </c>
      <c r="C4927" t="s">
        <v>2193</v>
      </c>
      <c r="D4927" t="s">
        <v>2194</v>
      </c>
      <c r="E4927" s="9">
        <v>45261</v>
      </c>
      <c r="F4927" s="9">
        <v>45291</v>
      </c>
      <c r="G4927">
        <v>19132344</v>
      </c>
      <c r="H4927">
        <v>4318952</v>
      </c>
      <c r="I4927">
        <v>771936</v>
      </c>
      <c r="J4927">
        <v>14960</v>
      </c>
      <c r="K4927">
        <v>569976</v>
      </c>
      <c r="L4927">
        <v>1572050</v>
      </c>
      <c r="M4927">
        <v>0</v>
      </c>
      <c r="T4927" s="9">
        <v>45108</v>
      </c>
      <c r="U4927" s="9">
        <v>45473</v>
      </c>
      <c r="V4927">
        <f>SUM(POTABLE_NONPOTABLE_API[[#This Row],[RESIDENTIAL_SINGLEFAMILY_GAL]:[OTHER_GAL]])</f>
        <v>26380218</v>
      </c>
      <c r="W4927">
        <f>SUM(POTABLE_NONPOTABLE_API[[#This Row],[NONPOTABLE_DEMAND_RESIDENTIAL_RECYCLED_WATER_GAL]:[NONPOTABLE_DEMAND_NONRESIDENTIAL_METERED_IRRIGATION_GAL]])</f>
        <v>0</v>
      </c>
      <c r="X4927" t="str">
        <f>IFERROR(INDEX(Crosswalk_API!$H$2:$H$527, MATCH(POTABLE_NONPOTABLE_API[[#This Row],[PWSID]], CW_PWSID_LIST, 0)), "")</f>
        <v>No</v>
      </c>
    </row>
    <row r="4928" spans="1:24" x14ac:dyDescent="0.25">
      <c r="A4928" t="s">
        <v>2188</v>
      </c>
      <c r="B4928" t="s">
        <v>2189</v>
      </c>
      <c r="C4928" t="s">
        <v>2193</v>
      </c>
      <c r="D4928" t="s">
        <v>2194</v>
      </c>
      <c r="E4928" s="9">
        <v>45292</v>
      </c>
      <c r="F4928" s="9">
        <v>45322</v>
      </c>
      <c r="G4928">
        <v>18235492</v>
      </c>
      <c r="H4928">
        <v>4438632</v>
      </c>
      <c r="I4928">
        <v>853468</v>
      </c>
      <c r="J4928">
        <v>16456</v>
      </c>
      <c r="K4928">
        <v>317900</v>
      </c>
      <c r="L4928">
        <v>2098140</v>
      </c>
      <c r="M4928">
        <v>0</v>
      </c>
      <c r="T4928" s="9">
        <v>45108</v>
      </c>
      <c r="U4928" s="9">
        <v>45473</v>
      </c>
      <c r="V4928">
        <f>SUM(POTABLE_NONPOTABLE_API[[#This Row],[RESIDENTIAL_SINGLEFAMILY_GAL]:[OTHER_GAL]])</f>
        <v>25960088</v>
      </c>
      <c r="W4928">
        <f>SUM(POTABLE_NONPOTABLE_API[[#This Row],[NONPOTABLE_DEMAND_RESIDENTIAL_RECYCLED_WATER_GAL]:[NONPOTABLE_DEMAND_NONRESIDENTIAL_METERED_IRRIGATION_GAL]])</f>
        <v>0</v>
      </c>
      <c r="X4928" t="str">
        <f>IFERROR(INDEX(Crosswalk_API!$H$2:$H$527, MATCH(POTABLE_NONPOTABLE_API[[#This Row],[PWSID]], CW_PWSID_LIST, 0)), "")</f>
        <v>No</v>
      </c>
    </row>
    <row r="4929" spans="1:24" x14ac:dyDescent="0.25">
      <c r="A4929" t="s">
        <v>2188</v>
      </c>
      <c r="B4929" t="s">
        <v>2189</v>
      </c>
      <c r="C4929" t="s">
        <v>2193</v>
      </c>
      <c r="D4929" t="s">
        <v>2194</v>
      </c>
      <c r="E4929" s="9">
        <v>45323</v>
      </c>
      <c r="F4929" s="9">
        <v>45351</v>
      </c>
      <c r="G4929">
        <v>15978776</v>
      </c>
      <c r="H4929">
        <v>2279156</v>
      </c>
      <c r="I4929">
        <v>816816</v>
      </c>
      <c r="J4929">
        <v>44880</v>
      </c>
      <c r="K4929">
        <v>342584</v>
      </c>
      <c r="L4929">
        <v>2586763</v>
      </c>
      <c r="M4929">
        <v>0</v>
      </c>
      <c r="T4929" s="9">
        <v>45108</v>
      </c>
      <c r="U4929" s="9">
        <v>45473</v>
      </c>
      <c r="V4929">
        <f>SUM(POTABLE_NONPOTABLE_API[[#This Row],[RESIDENTIAL_SINGLEFAMILY_GAL]:[OTHER_GAL]])</f>
        <v>22048975</v>
      </c>
      <c r="W4929">
        <f>SUM(POTABLE_NONPOTABLE_API[[#This Row],[NONPOTABLE_DEMAND_RESIDENTIAL_RECYCLED_WATER_GAL]:[NONPOTABLE_DEMAND_NONRESIDENTIAL_METERED_IRRIGATION_GAL]])</f>
        <v>0</v>
      </c>
      <c r="X4929" t="str">
        <f>IFERROR(INDEX(Crosswalk_API!$H$2:$H$527, MATCH(POTABLE_NONPOTABLE_API[[#This Row],[PWSID]], CW_PWSID_LIST, 0)), "")</f>
        <v>No</v>
      </c>
    </row>
    <row r="4930" spans="1:24" x14ac:dyDescent="0.25">
      <c r="A4930" t="s">
        <v>2188</v>
      </c>
      <c r="B4930" t="s">
        <v>2189</v>
      </c>
      <c r="C4930" t="s">
        <v>2193</v>
      </c>
      <c r="D4930" t="s">
        <v>2194</v>
      </c>
      <c r="E4930" s="9">
        <v>45352</v>
      </c>
      <c r="F4930" s="9">
        <v>45382</v>
      </c>
      <c r="G4930">
        <v>16803820</v>
      </c>
      <c r="H4930">
        <v>2304588</v>
      </c>
      <c r="I4930">
        <v>1038224</v>
      </c>
      <c r="J4930">
        <v>77044</v>
      </c>
      <c r="K4930">
        <v>532576</v>
      </c>
      <c r="L4930">
        <v>1199044</v>
      </c>
      <c r="M4930">
        <v>0</v>
      </c>
      <c r="T4930" s="9">
        <v>45108</v>
      </c>
      <c r="U4930" s="9">
        <v>45473</v>
      </c>
      <c r="V4930">
        <f>SUM(POTABLE_NONPOTABLE_API[[#This Row],[RESIDENTIAL_SINGLEFAMILY_GAL]:[OTHER_GAL]])</f>
        <v>21955296</v>
      </c>
      <c r="W4930">
        <f>SUM(POTABLE_NONPOTABLE_API[[#This Row],[NONPOTABLE_DEMAND_RESIDENTIAL_RECYCLED_WATER_GAL]:[NONPOTABLE_DEMAND_NONRESIDENTIAL_METERED_IRRIGATION_GAL]])</f>
        <v>0</v>
      </c>
      <c r="X4930" t="str">
        <f>IFERROR(INDEX(Crosswalk_API!$H$2:$H$527, MATCH(POTABLE_NONPOTABLE_API[[#This Row],[PWSID]], CW_PWSID_LIST, 0)), "")</f>
        <v>No</v>
      </c>
    </row>
    <row r="4931" spans="1:24" x14ac:dyDescent="0.25">
      <c r="A4931" t="s">
        <v>2188</v>
      </c>
      <c r="B4931" t="s">
        <v>2189</v>
      </c>
      <c r="C4931" t="s">
        <v>2193</v>
      </c>
      <c r="D4931" t="s">
        <v>2194</v>
      </c>
      <c r="E4931" s="9">
        <v>45383</v>
      </c>
      <c r="F4931" s="9">
        <v>45412</v>
      </c>
      <c r="G4931">
        <v>16376712</v>
      </c>
      <c r="H4931">
        <v>2323288</v>
      </c>
      <c r="I4931">
        <v>899096</v>
      </c>
      <c r="J4931">
        <v>32912</v>
      </c>
      <c r="K4931">
        <v>402424</v>
      </c>
      <c r="L4931">
        <v>2107864</v>
      </c>
      <c r="M4931">
        <v>0</v>
      </c>
      <c r="T4931" s="9">
        <v>45108</v>
      </c>
      <c r="U4931" s="9">
        <v>45473</v>
      </c>
      <c r="V4931">
        <f>SUM(POTABLE_NONPOTABLE_API[[#This Row],[RESIDENTIAL_SINGLEFAMILY_GAL]:[OTHER_GAL]])</f>
        <v>22142296</v>
      </c>
      <c r="W4931">
        <f>SUM(POTABLE_NONPOTABLE_API[[#This Row],[NONPOTABLE_DEMAND_RESIDENTIAL_RECYCLED_WATER_GAL]:[NONPOTABLE_DEMAND_NONRESIDENTIAL_METERED_IRRIGATION_GAL]])</f>
        <v>0</v>
      </c>
      <c r="X4931" t="str">
        <f>IFERROR(INDEX(Crosswalk_API!$H$2:$H$527, MATCH(POTABLE_NONPOTABLE_API[[#This Row],[PWSID]], CW_PWSID_LIST, 0)), "")</f>
        <v>No</v>
      </c>
    </row>
    <row r="4932" spans="1:24" x14ac:dyDescent="0.25">
      <c r="A4932" t="s">
        <v>2188</v>
      </c>
      <c r="B4932" t="s">
        <v>2189</v>
      </c>
      <c r="C4932" t="s">
        <v>2193</v>
      </c>
      <c r="D4932" t="s">
        <v>2194</v>
      </c>
      <c r="E4932" s="9">
        <v>45413</v>
      </c>
      <c r="F4932" s="9">
        <v>45443</v>
      </c>
      <c r="G4932">
        <v>19905776</v>
      </c>
      <c r="H4932">
        <v>2949364</v>
      </c>
      <c r="I4932">
        <v>1012792</v>
      </c>
      <c r="J4932">
        <v>501908</v>
      </c>
      <c r="K4932">
        <v>842996</v>
      </c>
      <c r="L4932">
        <v>736059</v>
      </c>
      <c r="M4932">
        <v>0</v>
      </c>
      <c r="T4932" s="9">
        <v>45108</v>
      </c>
      <c r="U4932" s="9">
        <v>45473</v>
      </c>
      <c r="V4932">
        <f>SUM(POTABLE_NONPOTABLE_API[[#This Row],[RESIDENTIAL_SINGLEFAMILY_GAL]:[OTHER_GAL]])</f>
        <v>25948895</v>
      </c>
      <c r="W4932">
        <f>SUM(POTABLE_NONPOTABLE_API[[#This Row],[NONPOTABLE_DEMAND_RESIDENTIAL_RECYCLED_WATER_GAL]:[NONPOTABLE_DEMAND_NONRESIDENTIAL_METERED_IRRIGATION_GAL]])</f>
        <v>0</v>
      </c>
      <c r="X4932" t="str">
        <f>IFERROR(INDEX(Crosswalk_API!$H$2:$H$527, MATCH(POTABLE_NONPOTABLE_API[[#This Row],[PWSID]], CW_PWSID_LIST, 0)), "")</f>
        <v>No</v>
      </c>
    </row>
    <row r="4933" spans="1:24" x14ac:dyDescent="0.25">
      <c r="A4933" t="s">
        <v>2188</v>
      </c>
      <c r="B4933" t="s">
        <v>2189</v>
      </c>
      <c r="C4933" t="s">
        <v>2193</v>
      </c>
      <c r="D4933" t="s">
        <v>2194</v>
      </c>
      <c r="E4933" s="9">
        <v>45444</v>
      </c>
      <c r="F4933" s="9">
        <v>45473</v>
      </c>
      <c r="G4933">
        <v>26639272</v>
      </c>
      <c r="H4933">
        <v>3627800</v>
      </c>
      <c r="I4933">
        <v>1186328</v>
      </c>
      <c r="J4933">
        <v>476476</v>
      </c>
      <c r="K4933">
        <v>1350888</v>
      </c>
      <c r="L4933">
        <v>1187824</v>
      </c>
      <c r="M4933">
        <v>0</v>
      </c>
      <c r="T4933" s="9">
        <v>45108</v>
      </c>
      <c r="U4933" s="9">
        <v>45473</v>
      </c>
      <c r="V4933">
        <f>SUM(POTABLE_NONPOTABLE_API[[#This Row],[RESIDENTIAL_SINGLEFAMILY_GAL]:[OTHER_GAL]])</f>
        <v>34468588</v>
      </c>
      <c r="W4933">
        <f>SUM(POTABLE_NONPOTABLE_API[[#This Row],[NONPOTABLE_DEMAND_RESIDENTIAL_RECYCLED_WATER_GAL]:[NONPOTABLE_DEMAND_NONRESIDENTIAL_METERED_IRRIGATION_GAL]])</f>
        <v>0</v>
      </c>
      <c r="X4933" t="str">
        <f>IFERROR(INDEX(Crosswalk_API!$H$2:$H$527, MATCH(POTABLE_NONPOTABLE_API[[#This Row],[PWSID]], CW_PWSID_LIST, 0)), "")</f>
        <v>No</v>
      </c>
    </row>
    <row r="4934" spans="1:24" x14ac:dyDescent="0.25">
      <c r="A4934" t="s">
        <v>2195</v>
      </c>
      <c r="B4934" t="s">
        <v>2196</v>
      </c>
      <c r="C4934" t="s">
        <v>2197</v>
      </c>
      <c r="D4934" t="s">
        <v>2198</v>
      </c>
      <c r="E4934" s="9">
        <v>45108</v>
      </c>
      <c r="F4934" s="9">
        <v>45138</v>
      </c>
      <c r="G4934">
        <v>66023929.620000005</v>
      </c>
      <c r="H4934">
        <v>21177056.489999998</v>
      </c>
      <c r="I4934">
        <v>42093432.18</v>
      </c>
      <c r="J4934">
        <v>11046348.9</v>
      </c>
      <c r="K4934">
        <v>1039464.69</v>
      </c>
      <c r="L4934">
        <v>0</v>
      </c>
      <c r="M4934">
        <v>0</v>
      </c>
      <c r="N4934">
        <v>1945330.47</v>
      </c>
      <c r="O4934">
        <v>0</v>
      </c>
      <c r="Q4934">
        <v>9505073.6699999999</v>
      </c>
      <c r="R4934">
        <v>0</v>
      </c>
      <c r="T4934" s="9">
        <v>45108</v>
      </c>
      <c r="U4934" s="9">
        <v>45473</v>
      </c>
      <c r="V4934">
        <f>SUM(POTABLE_NONPOTABLE_API[[#This Row],[RESIDENTIAL_SINGLEFAMILY_GAL]:[OTHER_GAL]])</f>
        <v>141380231.88</v>
      </c>
      <c r="W4934">
        <f>SUM(POTABLE_NONPOTABLE_API[[#This Row],[NONPOTABLE_DEMAND_RESIDENTIAL_RECYCLED_WATER_GAL]:[NONPOTABLE_DEMAND_NONRESIDENTIAL_METERED_IRRIGATION_GAL]])</f>
        <v>11450404.140000001</v>
      </c>
      <c r="X4934" t="str">
        <f>IFERROR(INDEX(Crosswalk_API!$H$2:$H$527, MATCH(POTABLE_NONPOTABLE_API[[#This Row],[PWSID]], CW_PWSID_LIST, 0)), "")</f>
        <v>No</v>
      </c>
    </row>
    <row r="4935" spans="1:24" x14ac:dyDescent="0.25">
      <c r="A4935" t="s">
        <v>2195</v>
      </c>
      <c r="B4935" t="s">
        <v>2196</v>
      </c>
      <c r="C4935" t="s">
        <v>2197</v>
      </c>
      <c r="D4935" t="s">
        <v>2198</v>
      </c>
      <c r="E4935" s="9">
        <v>45139</v>
      </c>
      <c r="F4935" s="9">
        <v>45169</v>
      </c>
      <c r="G4935">
        <v>68262525.99000001</v>
      </c>
      <c r="H4935">
        <v>21786397.859999999</v>
      </c>
      <c r="I4935">
        <v>40043829.390000001</v>
      </c>
      <c r="J4935">
        <v>11717601.960000001</v>
      </c>
      <c r="K4935">
        <v>1117668.9300000002</v>
      </c>
      <c r="L4935">
        <v>0</v>
      </c>
      <c r="M4935">
        <v>0</v>
      </c>
      <c r="N4935">
        <v>2101738.9500000002</v>
      </c>
      <c r="O4935">
        <v>0</v>
      </c>
      <c r="Q4935">
        <v>9469230.0599999987</v>
      </c>
      <c r="R4935">
        <v>0</v>
      </c>
      <c r="T4935" s="9">
        <v>45108</v>
      </c>
      <c r="U4935" s="9">
        <v>45473</v>
      </c>
      <c r="V4935">
        <f>SUM(POTABLE_NONPOTABLE_API[[#This Row],[RESIDENTIAL_SINGLEFAMILY_GAL]:[OTHER_GAL]])</f>
        <v>142928024.13000003</v>
      </c>
      <c r="W4935">
        <f>SUM(POTABLE_NONPOTABLE_API[[#This Row],[NONPOTABLE_DEMAND_RESIDENTIAL_RECYCLED_WATER_GAL]:[NONPOTABLE_DEMAND_NONRESIDENTIAL_METERED_IRRIGATION_GAL]])</f>
        <v>11570969.009999998</v>
      </c>
      <c r="X4935" t="str">
        <f>IFERROR(INDEX(Crosswalk_API!$H$2:$H$527, MATCH(POTABLE_NONPOTABLE_API[[#This Row],[PWSID]], CW_PWSID_LIST, 0)), "")</f>
        <v>No</v>
      </c>
    </row>
    <row r="4936" spans="1:24" x14ac:dyDescent="0.25">
      <c r="A4936" t="s">
        <v>2195</v>
      </c>
      <c r="B4936" t="s">
        <v>2196</v>
      </c>
      <c r="C4936" t="s">
        <v>2197</v>
      </c>
      <c r="D4936" t="s">
        <v>2198</v>
      </c>
      <c r="E4936" s="9">
        <v>45170</v>
      </c>
      <c r="F4936" s="9">
        <v>45199</v>
      </c>
      <c r="G4936">
        <v>71726322.120000005</v>
      </c>
      <c r="H4936">
        <v>29460188.91</v>
      </c>
      <c r="I4936">
        <v>50119142.310000002</v>
      </c>
      <c r="J4936">
        <v>11199498.869999999</v>
      </c>
      <c r="K4936">
        <v>1195873.17</v>
      </c>
      <c r="L4936">
        <v>0</v>
      </c>
      <c r="M4936">
        <v>0</v>
      </c>
      <c r="N4936">
        <v>2215786.7999999998</v>
      </c>
      <c r="O4936">
        <v>0</v>
      </c>
      <c r="Q4936">
        <v>8406955.8000000007</v>
      </c>
      <c r="R4936">
        <v>0</v>
      </c>
      <c r="T4936" s="9">
        <v>45108</v>
      </c>
      <c r="U4936" s="9">
        <v>45473</v>
      </c>
      <c r="V4936">
        <f>SUM(POTABLE_NONPOTABLE_API[[#This Row],[RESIDENTIAL_SINGLEFAMILY_GAL]:[OTHER_GAL]])</f>
        <v>163701025.38</v>
      </c>
      <c r="W4936">
        <f>SUM(POTABLE_NONPOTABLE_API[[#This Row],[NONPOTABLE_DEMAND_RESIDENTIAL_RECYCLED_WATER_GAL]:[NONPOTABLE_DEMAND_NONRESIDENTIAL_METERED_IRRIGATION_GAL]])</f>
        <v>10622742.600000001</v>
      </c>
      <c r="X4936" t="str">
        <f>IFERROR(INDEX(Crosswalk_API!$H$2:$H$527, MATCH(POTABLE_NONPOTABLE_API[[#This Row],[PWSID]], CW_PWSID_LIST, 0)), "")</f>
        <v>No</v>
      </c>
    </row>
    <row r="4937" spans="1:24" x14ac:dyDescent="0.25">
      <c r="A4937" t="s">
        <v>2195</v>
      </c>
      <c r="B4937" t="s">
        <v>2196</v>
      </c>
      <c r="C4937" t="s">
        <v>2197</v>
      </c>
      <c r="D4937" t="s">
        <v>2198</v>
      </c>
      <c r="E4937" s="9">
        <v>45200</v>
      </c>
      <c r="F4937" s="9">
        <v>45230</v>
      </c>
      <c r="G4937">
        <v>70621687.229999989</v>
      </c>
      <c r="H4937">
        <v>26540563.949999999</v>
      </c>
      <c r="I4937">
        <v>54306327.659999996</v>
      </c>
      <c r="J4937">
        <v>9332372.6400000006</v>
      </c>
      <c r="K4937">
        <v>1182839.1299999999</v>
      </c>
      <c r="L4937">
        <v>0</v>
      </c>
      <c r="M4937">
        <v>0</v>
      </c>
      <c r="N4937">
        <v>2323317.63</v>
      </c>
      <c r="O4937">
        <v>0</v>
      </c>
      <c r="Q4937">
        <v>7044898.6200000001</v>
      </c>
      <c r="R4937">
        <v>0</v>
      </c>
      <c r="T4937" s="9">
        <v>45108</v>
      </c>
      <c r="U4937" s="9">
        <v>45473</v>
      </c>
      <c r="V4937">
        <f>SUM(POTABLE_NONPOTABLE_API[[#This Row],[RESIDENTIAL_SINGLEFAMILY_GAL]:[OTHER_GAL]])</f>
        <v>161983790.60999995</v>
      </c>
      <c r="W4937">
        <f>SUM(POTABLE_NONPOTABLE_API[[#This Row],[NONPOTABLE_DEMAND_RESIDENTIAL_RECYCLED_WATER_GAL]:[NONPOTABLE_DEMAND_NONRESIDENTIAL_METERED_IRRIGATION_GAL]])</f>
        <v>9368216.25</v>
      </c>
      <c r="X4937" t="str">
        <f>IFERROR(INDEX(Crosswalk_API!$H$2:$H$527, MATCH(POTABLE_NONPOTABLE_API[[#This Row],[PWSID]], CW_PWSID_LIST, 0)), "")</f>
        <v>No</v>
      </c>
    </row>
    <row r="4938" spans="1:24" x14ac:dyDescent="0.25">
      <c r="A4938" t="s">
        <v>2195</v>
      </c>
      <c r="B4938" t="s">
        <v>2196</v>
      </c>
      <c r="C4938" t="s">
        <v>2197</v>
      </c>
      <c r="D4938" t="s">
        <v>2198</v>
      </c>
      <c r="E4938" s="9">
        <v>45231</v>
      </c>
      <c r="F4938" s="9">
        <v>45260</v>
      </c>
      <c r="G4938">
        <v>65773024.350000001</v>
      </c>
      <c r="H4938">
        <v>24627818.579999998</v>
      </c>
      <c r="I4938">
        <v>47932682.100000001</v>
      </c>
      <c r="J4938">
        <v>5780596.7399999993</v>
      </c>
      <c r="K4938">
        <v>1169805.0899999999</v>
      </c>
      <c r="L4938">
        <v>0</v>
      </c>
      <c r="M4938">
        <v>0</v>
      </c>
      <c r="N4938">
        <v>1723751.79</v>
      </c>
      <c r="O4938">
        <v>0</v>
      </c>
      <c r="P4938">
        <v>0</v>
      </c>
      <c r="Q4938">
        <v>4819336.29</v>
      </c>
      <c r="R4938">
        <v>0</v>
      </c>
      <c r="S4938">
        <v>0</v>
      </c>
      <c r="T4938" s="9">
        <v>45108</v>
      </c>
      <c r="U4938" s="9">
        <v>45473</v>
      </c>
      <c r="V4938">
        <f>SUM(POTABLE_NONPOTABLE_API[[#This Row],[RESIDENTIAL_SINGLEFAMILY_GAL]:[OTHER_GAL]])</f>
        <v>145283926.86000001</v>
      </c>
      <c r="W4938">
        <f>SUM(POTABLE_NONPOTABLE_API[[#This Row],[NONPOTABLE_DEMAND_RESIDENTIAL_RECYCLED_WATER_GAL]:[NONPOTABLE_DEMAND_NONRESIDENTIAL_METERED_IRRIGATION_GAL]])</f>
        <v>6543088.0800000001</v>
      </c>
      <c r="X4938" t="str">
        <f>IFERROR(INDEX(Crosswalk_API!$H$2:$H$527, MATCH(POTABLE_NONPOTABLE_API[[#This Row],[PWSID]], CW_PWSID_LIST, 0)), "")</f>
        <v>No</v>
      </c>
    </row>
    <row r="4939" spans="1:24" x14ac:dyDescent="0.25">
      <c r="A4939" t="s">
        <v>2195</v>
      </c>
      <c r="B4939" t="s">
        <v>2196</v>
      </c>
      <c r="C4939" t="s">
        <v>2197</v>
      </c>
      <c r="D4939" t="s">
        <v>2198</v>
      </c>
      <c r="E4939" s="9">
        <v>45261</v>
      </c>
      <c r="F4939" s="9">
        <v>45291</v>
      </c>
      <c r="G4939">
        <v>46234998.389999993</v>
      </c>
      <c r="H4939">
        <v>18602833.59</v>
      </c>
      <c r="I4939">
        <v>35182132.469999999</v>
      </c>
      <c r="J4939">
        <v>1528241.1900000002</v>
      </c>
      <c r="K4939">
        <v>791817.93</v>
      </c>
      <c r="L4939">
        <v>0</v>
      </c>
      <c r="M4939">
        <v>0</v>
      </c>
      <c r="N4939">
        <v>586531.80000000005</v>
      </c>
      <c r="O4939">
        <v>0</v>
      </c>
      <c r="P4939">
        <v>0</v>
      </c>
      <c r="Q4939">
        <v>928675.35</v>
      </c>
      <c r="R4939">
        <v>0</v>
      </c>
      <c r="S4939">
        <v>0</v>
      </c>
      <c r="T4939" s="9">
        <v>45108</v>
      </c>
      <c r="U4939" s="9">
        <v>45473</v>
      </c>
      <c r="V4939">
        <f>SUM(POTABLE_NONPOTABLE_API[[#This Row],[RESIDENTIAL_SINGLEFAMILY_GAL]:[OTHER_GAL]])</f>
        <v>102340023.56999999</v>
      </c>
      <c r="W4939">
        <f>SUM(POTABLE_NONPOTABLE_API[[#This Row],[NONPOTABLE_DEMAND_RESIDENTIAL_RECYCLED_WATER_GAL]:[NONPOTABLE_DEMAND_NONRESIDENTIAL_METERED_IRRIGATION_GAL]])</f>
        <v>1515207.15</v>
      </c>
      <c r="X4939" t="str">
        <f>IFERROR(INDEX(Crosswalk_API!$H$2:$H$527, MATCH(POTABLE_NONPOTABLE_API[[#This Row],[PWSID]], CW_PWSID_LIST, 0)), "")</f>
        <v>No</v>
      </c>
    </row>
    <row r="4940" spans="1:24" x14ac:dyDescent="0.25">
      <c r="A4940" t="s">
        <v>2195</v>
      </c>
      <c r="B4940" t="s">
        <v>2196</v>
      </c>
      <c r="C4940" t="s">
        <v>2197</v>
      </c>
      <c r="D4940" t="s">
        <v>2198</v>
      </c>
      <c r="E4940" s="9">
        <v>45292</v>
      </c>
      <c r="F4940" s="9">
        <v>45322</v>
      </c>
      <c r="G4940">
        <v>29437379.34</v>
      </c>
      <c r="H4940">
        <v>17433028.5</v>
      </c>
      <c r="I4940">
        <v>29209283.640000001</v>
      </c>
      <c r="J4940">
        <v>697321.14</v>
      </c>
      <c r="K4940">
        <v>632150.93999999994</v>
      </c>
      <c r="L4940">
        <v>0</v>
      </c>
      <c r="M4940">
        <v>0</v>
      </c>
      <c r="N4940">
        <v>202027.62</v>
      </c>
      <c r="O4940">
        <v>0</v>
      </c>
      <c r="Q4940">
        <v>456191.39999999997</v>
      </c>
      <c r="R4940">
        <v>0</v>
      </c>
      <c r="T4940" s="9">
        <v>45108</v>
      </c>
      <c r="U4940" s="9">
        <v>45473</v>
      </c>
      <c r="V4940">
        <f>SUM(POTABLE_NONPOTABLE_API[[#This Row],[RESIDENTIAL_SINGLEFAMILY_GAL]:[OTHER_GAL]])</f>
        <v>77409163.560000002</v>
      </c>
      <c r="W4940">
        <f>SUM(POTABLE_NONPOTABLE_API[[#This Row],[NONPOTABLE_DEMAND_RESIDENTIAL_RECYCLED_WATER_GAL]:[NONPOTABLE_DEMAND_NONRESIDENTIAL_METERED_IRRIGATION_GAL]])</f>
        <v>658219.02</v>
      </c>
      <c r="X4940" t="str">
        <f>IFERROR(INDEX(Crosswalk_API!$H$2:$H$527, MATCH(POTABLE_NONPOTABLE_API[[#This Row],[PWSID]], CW_PWSID_LIST, 0)), "")</f>
        <v>No</v>
      </c>
    </row>
    <row r="4941" spans="1:24" x14ac:dyDescent="0.25">
      <c r="A4941" t="s">
        <v>2195</v>
      </c>
      <c r="B4941" t="s">
        <v>2196</v>
      </c>
      <c r="C4941" t="s">
        <v>2197</v>
      </c>
      <c r="D4941" t="s">
        <v>2198</v>
      </c>
      <c r="E4941" s="9">
        <v>45323</v>
      </c>
      <c r="F4941" s="9">
        <v>45351</v>
      </c>
      <c r="G4941">
        <v>45684310.199999996</v>
      </c>
      <c r="H4941">
        <v>19192623.899999999</v>
      </c>
      <c r="I4941">
        <v>37241510.789999999</v>
      </c>
      <c r="J4941">
        <v>778783.89</v>
      </c>
      <c r="K4941">
        <v>654960.50999999989</v>
      </c>
      <c r="L4941">
        <v>0</v>
      </c>
      <c r="M4941">
        <v>0</v>
      </c>
      <c r="N4941">
        <v>202027.62</v>
      </c>
      <c r="O4941">
        <v>0</v>
      </c>
      <c r="P4941">
        <v>0</v>
      </c>
      <c r="Q4941">
        <v>547429.67999999993</v>
      </c>
      <c r="R4941">
        <v>0</v>
      </c>
      <c r="S4941">
        <v>0</v>
      </c>
      <c r="T4941" s="9">
        <v>45108</v>
      </c>
      <c r="U4941" s="9">
        <v>45473</v>
      </c>
      <c r="V4941">
        <f>SUM(POTABLE_NONPOTABLE_API[[#This Row],[RESIDENTIAL_SINGLEFAMILY_GAL]:[OTHER_GAL]])</f>
        <v>103552189.28999999</v>
      </c>
      <c r="W4941">
        <f>SUM(POTABLE_NONPOTABLE_API[[#This Row],[NONPOTABLE_DEMAND_RESIDENTIAL_RECYCLED_WATER_GAL]:[NONPOTABLE_DEMAND_NONRESIDENTIAL_METERED_IRRIGATION_GAL]])</f>
        <v>749457.29999999993</v>
      </c>
      <c r="X4941" t="str">
        <f>IFERROR(INDEX(Crosswalk_API!$H$2:$H$527, MATCH(POTABLE_NONPOTABLE_API[[#This Row],[PWSID]], CW_PWSID_LIST, 0)), "")</f>
        <v>No</v>
      </c>
    </row>
    <row r="4942" spans="1:24" x14ac:dyDescent="0.25">
      <c r="A4942" t="s">
        <v>2195</v>
      </c>
      <c r="B4942" t="s">
        <v>2196</v>
      </c>
      <c r="C4942" t="s">
        <v>2197</v>
      </c>
      <c r="D4942" t="s">
        <v>2198</v>
      </c>
      <c r="E4942" s="9">
        <v>45352</v>
      </c>
      <c r="F4942" s="9">
        <v>45382</v>
      </c>
      <c r="G4942">
        <v>49535869.020000003</v>
      </c>
      <c r="H4942">
        <v>20561198.100000001</v>
      </c>
      <c r="I4942">
        <v>39232460.399999999</v>
      </c>
      <c r="J4942">
        <v>2372195.2800000003</v>
      </c>
      <c r="K4942">
        <v>840695.58000000007</v>
      </c>
      <c r="L4942">
        <v>0</v>
      </c>
      <c r="M4942">
        <v>0</v>
      </c>
      <c r="N4942">
        <v>739681.77</v>
      </c>
      <c r="O4942">
        <v>0</v>
      </c>
      <c r="P4942">
        <v>0</v>
      </c>
      <c r="Q4942">
        <v>2036568.75</v>
      </c>
      <c r="R4942">
        <v>0</v>
      </c>
      <c r="S4942">
        <v>0</v>
      </c>
      <c r="T4942" s="9">
        <v>45108</v>
      </c>
      <c r="U4942" s="9">
        <v>45473</v>
      </c>
      <c r="V4942">
        <f>SUM(POTABLE_NONPOTABLE_API[[#This Row],[RESIDENTIAL_SINGLEFAMILY_GAL]:[OTHER_GAL]])</f>
        <v>112542418.38000001</v>
      </c>
      <c r="W4942">
        <f>SUM(POTABLE_NONPOTABLE_API[[#This Row],[NONPOTABLE_DEMAND_RESIDENTIAL_RECYCLED_WATER_GAL]:[NONPOTABLE_DEMAND_NONRESIDENTIAL_METERED_IRRIGATION_GAL]])</f>
        <v>2776250.52</v>
      </c>
      <c r="X4942" t="str">
        <f>IFERROR(INDEX(Crosswalk_API!$H$2:$H$527, MATCH(POTABLE_NONPOTABLE_API[[#This Row],[PWSID]], CW_PWSID_LIST, 0)), "")</f>
        <v>No</v>
      </c>
    </row>
    <row r="4943" spans="1:24" x14ac:dyDescent="0.25">
      <c r="A4943" t="s">
        <v>2195</v>
      </c>
      <c r="B4943" t="s">
        <v>2196</v>
      </c>
      <c r="C4943" t="s">
        <v>2197</v>
      </c>
      <c r="D4943" t="s">
        <v>2198</v>
      </c>
      <c r="E4943" s="9">
        <v>45383</v>
      </c>
      <c r="F4943" s="9">
        <v>45412</v>
      </c>
      <c r="G4943">
        <v>55873670.969999999</v>
      </c>
      <c r="H4943">
        <v>22561923.239999998</v>
      </c>
      <c r="I4943">
        <v>44667655.080000006</v>
      </c>
      <c r="J4943">
        <v>4284940.6500000004</v>
      </c>
      <c r="K4943">
        <v>856988.13</v>
      </c>
      <c r="L4943">
        <v>0</v>
      </c>
      <c r="M4943">
        <v>0</v>
      </c>
      <c r="N4943">
        <v>1883418.78</v>
      </c>
      <c r="O4943">
        <v>0</v>
      </c>
      <c r="Q4943">
        <v>3255251.49</v>
      </c>
      <c r="R4943">
        <v>0</v>
      </c>
      <c r="T4943" s="9">
        <v>45108</v>
      </c>
      <c r="U4943" s="9">
        <v>45473</v>
      </c>
      <c r="V4943">
        <f>SUM(POTABLE_NONPOTABLE_API[[#This Row],[RESIDENTIAL_SINGLEFAMILY_GAL]:[OTHER_GAL]])</f>
        <v>128245178.06999999</v>
      </c>
      <c r="W4943">
        <f>SUM(POTABLE_NONPOTABLE_API[[#This Row],[NONPOTABLE_DEMAND_RESIDENTIAL_RECYCLED_WATER_GAL]:[NONPOTABLE_DEMAND_NONRESIDENTIAL_METERED_IRRIGATION_GAL]])</f>
        <v>5138670.2700000005</v>
      </c>
      <c r="X4943" t="str">
        <f>IFERROR(INDEX(Crosswalk_API!$H$2:$H$527, MATCH(POTABLE_NONPOTABLE_API[[#This Row],[PWSID]], CW_PWSID_LIST, 0)), "")</f>
        <v>No</v>
      </c>
    </row>
    <row r="4944" spans="1:24" x14ac:dyDescent="0.25">
      <c r="A4944" t="s">
        <v>2195</v>
      </c>
      <c r="B4944" t="s">
        <v>2196</v>
      </c>
      <c r="C4944" t="s">
        <v>2197</v>
      </c>
      <c r="D4944" t="s">
        <v>2198</v>
      </c>
      <c r="E4944" s="9">
        <v>45413</v>
      </c>
      <c r="F4944" s="9">
        <v>45443</v>
      </c>
      <c r="G4944">
        <v>58571717.25</v>
      </c>
      <c r="H4944">
        <v>29352658.079999998</v>
      </c>
      <c r="I4944">
        <v>49281705.240000002</v>
      </c>
      <c r="J4944">
        <v>8827303.5899999999</v>
      </c>
      <c r="K4944">
        <v>1023172.14</v>
      </c>
      <c r="L4944">
        <v>0</v>
      </c>
      <c r="M4944">
        <v>0</v>
      </c>
      <c r="N4944">
        <v>1749819.87</v>
      </c>
      <c r="O4944">
        <v>0</v>
      </c>
      <c r="Q4944">
        <v>8260322.8500000006</v>
      </c>
      <c r="R4944">
        <v>0</v>
      </c>
      <c r="T4944" s="9">
        <v>45108</v>
      </c>
      <c r="U4944" s="9">
        <v>45473</v>
      </c>
      <c r="V4944">
        <f>SUM(POTABLE_NONPOTABLE_API[[#This Row],[RESIDENTIAL_SINGLEFAMILY_GAL]:[OTHER_GAL]])</f>
        <v>147056556.29999998</v>
      </c>
      <c r="W4944">
        <f>SUM(POTABLE_NONPOTABLE_API[[#This Row],[NONPOTABLE_DEMAND_RESIDENTIAL_RECYCLED_WATER_GAL]:[NONPOTABLE_DEMAND_NONRESIDENTIAL_METERED_IRRIGATION_GAL]])</f>
        <v>10010142.720000001</v>
      </c>
      <c r="X4944" t="str">
        <f>IFERROR(INDEX(Crosswalk_API!$H$2:$H$527, MATCH(POTABLE_NONPOTABLE_API[[#This Row],[PWSID]], CW_PWSID_LIST, 0)), "")</f>
        <v>No</v>
      </c>
    </row>
    <row r="4945" spans="1:24" x14ac:dyDescent="0.25">
      <c r="A4945" t="s">
        <v>2195</v>
      </c>
      <c r="B4945" t="s">
        <v>2196</v>
      </c>
      <c r="C4945" t="s">
        <v>2197</v>
      </c>
      <c r="D4945" t="s">
        <v>2198</v>
      </c>
      <c r="E4945" s="9">
        <v>45444</v>
      </c>
      <c r="F4945" s="9">
        <v>45473</v>
      </c>
      <c r="G4945">
        <v>62856657.899999999</v>
      </c>
      <c r="H4945">
        <v>29111528.34</v>
      </c>
      <c r="I4945">
        <v>46365338.789999999</v>
      </c>
      <c r="J4945">
        <v>11323322.25</v>
      </c>
      <c r="K4945">
        <v>1068791.28</v>
      </c>
      <c r="L4945">
        <v>0</v>
      </c>
      <c r="M4945">
        <v>0</v>
      </c>
      <c r="N4945">
        <v>1984432.5899999999</v>
      </c>
      <c r="O4945">
        <v>0</v>
      </c>
      <c r="Q4945">
        <v>9166188.629999999</v>
      </c>
      <c r="R4945">
        <v>0</v>
      </c>
      <c r="T4945" s="9">
        <v>45108</v>
      </c>
      <c r="U4945" s="9">
        <v>45473</v>
      </c>
      <c r="V4945">
        <f>SUM(POTABLE_NONPOTABLE_API[[#This Row],[RESIDENTIAL_SINGLEFAMILY_GAL]:[OTHER_GAL]])</f>
        <v>150725638.56</v>
      </c>
      <c r="W4945">
        <f>SUM(POTABLE_NONPOTABLE_API[[#This Row],[NONPOTABLE_DEMAND_RESIDENTIAL_RECYCLED_WATER_GAL]:[NONPOTABLE_DEMAND_NONRESIDENTIAL_METERED_IRRIGATION_GAL]])</f>
        <v>11150621.219999999</v>
      </c>
      <c r="X4945" t="str">
        <f>IFERROR(INDEX(Crosswalk_API!$H$2:$H$527, MATCH(POTABLE_NONPOTABLE_API[[#This Row],[PWSID]], CW_PWSID_LIST, 0)), "")</f>
        <v>No</v>
      </c>
    </row>
    <row r="4946" spans="1:24" x14ac:dyDescent="0.25">
      <c r="A4946" t="s">
        <v>2199</v>
      </c>
      <c r="B4946" t="s">
        <v>2200</v>
      </c>
      <c r="C4946" t="s">
        <v>2201</v>
      </c>
      <c r="D4946" t="s">
        <v>2202</v>
      </c>
      <c r="E4946" s="9">
        <v>45108</v>
      </c>
      <c r="F4946" s="9">
        <v>45138</v>
      </c>
      <c r="G4946">
        <v>131024000</v>
      </c>
      <c r="H4946">
        <v>8401000</v>
      </c>
      <c r="I4946">
        <v>25379000</v>
      </c>
      <c r="J4946">
        <v>0</v>
      </c>
      <c r="K4946">
        <v>29670000</v>
      </c>
      <c r="L4946">
        <v>0</v>
      </c>
      <c r="M4946">
        <v>0</v>
      </c>
      <c r="T4946" s="9">
        <v>45108</v>
      </c>
      <c r="U4946" s="9">
        <v>45473</v>
      </c>
      <c r="V4946">
        <f>SUM(POTABLE_NONPOTABLE_API[[#This Row],[RESIDENTIAL_SINGLEFAMILY_GAL]:[OTHER_GAL]])</f>
        <v>194474000</v>
      </c>
      <c r="W4946">
        <f>SUM(POTABLE_NONPOTABLE_API[[#This Row],[NONPOTABLE_DEMAND_RESIDENTIAL_RECYCLED_WATER_GAL]:[NONPOTABLE_DEMAND_NONRESIDENTIAL_METERED_IRRIGATION_GAL]])</f>
        <v>0</v>
      </c>
      <c r="X4946" t="str">
        <f>IFERROR(INDEX(Crosswalk_API!$H$2:$H$527, MATCH(POTABLE_NONPOTABLE_API[[#This Row],[PWSID]], CW_PWSID_LIST, 0)), "")</f>
        <v>No</v>
      </c>
    </row>
    <row r="4947" spans="1:24" x14ac:dyDescent="0.25">
      <c r="A4947" t="s">
        <v>2199</v>
      </c>
      <c r="B4947" t="s">
        <v>2200</v>
      </c>
      <c r="C4947" t="s">
        <v>2201</v>
      </c>
      <c r="D4947" t="s">
        <v>2202</v>
      </c>
      <c r="E4947" s="9">
        <v>45139</v>
      </c>
      <c r="F4947" s="9">
        <v>45169</v>
      </c>
      <c r="G4947">
        <v>136586000</v>
      </c>
      <c r="H4947">
        <v>8783000</v>
      </c>
      <c r="I4947">
        <v>30882000</v>
      </c>
      <c r="J4947">
        <v>0</v>
      </c>
      <c r="K4947">
        <v>29921000</v>
      </c>
      <c r="L4947">
        <v>0</v>
      </c>
      <c r="M4947">
        <v>0</v>
      </c>
      <c r="T4947" s="9">
        <v>45108</v>
      </c>
      <c r="U4947" s="9">
        <v>45473</v>
      </c>
      <c r="V4947">
        <f>SUM(POTABLE_NONPOTABLE_API[[#This Row],[RESIDENTIAL_SINGLEFAMILY_GAL]:[OTHER_GAL]])</f>
        <v>206172000</v>
      </c>
      <c r="W4947">
        <f>SUM(POTABLE_NONPOTABLE_API[[#This Row],[NONPOTABLE_DEMAND_RESIDENTIAL_RECYCLED_WATER_GAL]:[NONPOTABLE_DEMAND_NONRESIDENTIAL_METERED_IRRIGATION_GAL]])</f>
        <v>0</v>
      </c>
      <c r="X4947" t="str">
        <f>IFERROR(INDEX(Crosswalk_API!$H$2:$H$527, MATCH(POTABLE_NONPOTABLE_API[[#This Row],[PWSID]], CW_PWSID_LIST, 0)), "")</f>
        <v>No</v>
      </c>
    </row>
    <row r="4948" spans="1:24" x14ac:dyDescent="0.25">
      <c r="A4948" t="s">
        <v>2199</v>
      </c>
      <c r="B4948" t="s">
        <v>2200</v>
      </c>
      <c r="C4948" t="s">
        <v>2201</v>
      </c>
      <c r="D4948" t="s">
        <v>2202</v>
      </c>
      <c r="E4948" s="9">
        <v>45170</v>
      </c>
      <c r="F4948" s="9">
        <v>45199</v>
      </c>
      <c r="G4948">
        <v>116257000</v>
      </c>
      <c r="H4948">
        <v>8335000</v>
      </c>
      <c r="I4948">
        <v>27504000</v>
      </c>
      <c r="J4948">
        <v>0</v>
      </c>
      <c r="K4948">
        <v>30403000</v>
      </c>
      <c r="L4948">
        <v>0</v>
      </c>
      <c r="M4948">
        <v>0</v>
      </c>
      <c r="T4948" s="9">
        <v>45108</v>
      </c>
      <c r="U4948" s="9">
        <v>45473</v>
      </c>
      <c r="V4948">
        <f>SUM(POTABLE_NONPOTABLE_API[[#This Row],[RESIDENTIAL_SINGLEFAMILY_GAL]:[OTHER_GAL]])</f>
        <v>182499000</v>
      </c>
      <c r="W4948">
        <f>SUM(POTABLE_NONPOTABLE_API[[#This Row],[NONPOTABLE_DEMAND_RESIDENTIAL_RECYCLED_WATER_GAL]:[NONPOTABLE_DEMAND_NONRESIDENTIAL_METERED_IRRIGATION_GAL]])</f>
        <v>0</v>
      </c>
      <c r="X4948" t="str">
        <f>IFERROR(INDEX(Crosswalk_API!$H$2:$H$527, MATCH(POTABLE_NONPOTABLE_API[[#This Row],[PWSID]], CW_PWSID_LIST, 0)), "")</f>
        <v>No</v>
      </c>
    </row>
    <row r="4949" spans="1:24" x14ac:dyDescent="0.25">
      <c r="A4949" t="s">
        <v>2199</v>
      </c>
      <c r="B4949" t="s">
        <v>2200</v>
      </c>
      <c r="C4949" t="s">
        <v>2201</v>
      </c>
      <c r="D4949" t="s">
        <v>2202</v>
      </c>
      <c r="E4949" s="9">
        <v>45200</v>
      </c>
      <c r="F4949" s="9">
        <v>45230</v>
      </c>
      <c r="G4949">
        <v>99206000</v>
      </c>
      <c r="H4949">
        <v>7429000</v>
      </c>
      <c r="I4949">
        <v>25445000</v>
      </c>
      <c r="J4949">
        <v>0</v>
      </c>
      <c r="K4949">
        <v>32693000</v>
      </c>
      <c r="L4949">
        <v>0</v>
      </c>
      <c r="M4949">
        <v>0</v>
      </c>
      <c r="T4949" s="9">
        <v>45108</v>
      </c>
      <c r="U4949" s="9">
        <v>45473</v>
      </c>
      <c r="V4949">
        <f>SUM(POTABLE_NONPOTABLE_API[[#This Row],[RESIDENTIAL_SINGLEFAMILY_GAL]:[OTHER_GAL]])</f>
        <v>164773000</v>
      </c>
      <c r="W4949">
        <f>SUM(POTABLE_NONPOTABLE_API[[#This Row],[NONPOTABLE_DEMAND_RESIDENTIAL_RECYCLED_WATER_GAL]:[NONPOTABLE_DEMAND_NONRESIDENTIAL_METERED_IRRIGATION_GAL]])</f>
        <v>0</v>
      </c>
      <c r="X4949" t="str">
        <f>IFERROR(INDEX(Crosswalk_API!$H$2:$H$527, MATCH(POTABLE_NONPOTABLE_API[[#This Row],[PWSID]], CW_PWSID_LIST, 0)), "")</f>
        <v>No</v>
      </c>
    </row>
    <row r="4950" spans="1:24" x14ac:dyDescent="0.25">
      <c r="A4950" t="s">
        <v>2199</v>
      </c>
      <c r="B4950" t="s">
        <v>2200</v>
      </c>
      <c r="C4950" t="s">
        <v>2201</v>
      </c>
      <c r="D4950" t="s">
        <v>2202</v>
      </c>
      <c r="E4950" s="9">
        <v>45231</v>
      </c>
      <c r="F4950" s="9">
        <v>45260</v>
      </c>
      <c r="G4950">
        <v>77368000</v>
      </c>
      <c r="H4950">
        <v>7138000</v>
      </c>
      <c r="I4950">
        <v>18473000</v>
      </c>
      <c r="J4950">
        <v>0</v>
      </c>
      <c r="K4950">
        <v>29066000</v>
      </c>
      <c r="L4950">
        <v>0</v>
      </c>
      <c r="M4950">
        <v>0</v>
      </c>
      <c r="T4950" s="9">
        <v>45108</v>
      </c>
      <c r="U4950" s="9">
        <v>45473</v>
      </c>
      <c r="V4950">
        <f>SUM(POTABLE_NONPOTABLE_API[[#This Row],[RESIDENTIAL_SINGLEFAMILY_GAL]:[OTHER_GAL]])</f>
        <v>132045000</v>
      </c>
      <c r="W4950">
        <f>SUM(POTABLE_NONPOTABLE_API[[#This Row],[NONPOTABLE_DEMAND_RESIDENTIAL_RECYCLED_WATER_GAL]:[NONPOTABLE_DEMAND_NONRESIDENTIAL_METERED_IRRIGATION_GAL]])</f>
        <v>0</v>
      </c>
      <c r="X4950" t="str">
        <f>IFERROR(INDEX(Crosswalk_API!$H$2:$H$527, MATCH(POTABLE_NONPOTABLE_API[[#This Row],[PWSID]], CW_PWSID_LIST, 0)), "")</f>
        <v>No</v>
      </c>
    </row>
    <row r="4951" spans="1:24" x14ac:dyDescent="0.25">
      <c r="A4951" t="s">
        <v>2199</v>
      </c>
      <c r="B4951" t="s">
        <v>2200</v>
      </c>
      <c r="C4951" t="s">
        <v>2201</v>
      </c>
      <c r="D4951" t="s">
        <v>2202</v>
      </c>
      <c r="E4951" s="9">
        <v>45261</v>
      </c>
      <c r="F4951" s="9">
        <v>45291</v>
      </c>
      <c r="G4951">
        <v>72660000</v>
      </c>
      <c r="H4951">
        <v>6990000</v>
      </c>
      <c r="I4951">
        <v>14630000</v>
      </c>
      <c r="J4951">
        <v>0</v>
      </c>
      <c r="K4951">
        <v>24170000</v>
      </c>
      <c r="L4951">
        <v>530000</v>
      </c>
      <c r="M4951">
        <v>0</v>
      </c>
      <c r="T4951" s="9">
        <v>45108</v>
      </c>
      <c r="U4951" s="9">
        <v>45473</v>
      </c>
      <c r="V4951">
        <f>SUM(POTABLE_NONPOTABLE_API[[#This Row],[RESIDENTIAL_SINGLEFAMILY_GAL]:[OTHER_GAL]])</f>
        <v>118980000</v>
      </c>
      <c r="W4951">
        <f>SUM(POTABLE_NONPOTABLE_API[[#This Row],[NONPOTABLE_DEMAND_RESIDENTIAL_RECYCLED_WATER_GAL]:[NONPOTABLE_DEMAND_NONRESIDENTIAL_METERED_IRRIGATION_GAL]])</f>
        <v>0</v>
      </c>
      <c r="X4951" t="str">
        <f>IFERROR(INDEX(Crosswalk_API!$H$2:$H$527, MATCH(POTABLE_NONPOTABLE_API[[#This Row],[PWSID]], CW_PWSID_LIST, 0)), "")</f>
        <v>No</v>
      </c>
    </row>
    <row r="4952" spans="1:24" x14ac:dyDescent="0.25">
      <c r="A4952" t="s">
        <v>2199</v>
      </c>
      <c r="B4952" t="s">
        <v>2200</v>
      </c>
      <c r="C4952" t="s">
        <v>2201</v>
      </c>
      <c r="D4952" t="s">
        <v>2202</v>
      </c>
      <c r="E4952" s="9">
        <v>45292</v>
      </c>
      <c r="F4952" s="9">
        <v>45322</v>
      </c>
      <c r="G4952">
        <v>59399000</v>
      </c>
      <c r="H4952">
        <v>6003000</v>
      </c>
      <c r="I4952">
        <v>8747000</v>
      </c>
      <c r="J4952">
        <v>0</v>
      </c>
      <c r="K4952">
        <v>27650000</v>
      </c>
      <c r="L4952">
        <v>316000</v>
      </c>
      <c r="M4952">
        <v>0</v>
      </c>
      <c r="T4952" s="9">
        <v>45108</v>
      </c>
      <c r="U4952" s="9">
        <v>45473</v>
      </c>
      <c r="V4952">
        <f>SUM(POTABLE_NONPOTABLE_API[[#This Row],[RESIDENTIAL_SINGLEFAMILY_GAL]:[OTHER_GAL]])</f>
        <v>102115000</v>
      </c>
      <c r="W4952">
        <f>SUM(POTABLE_NONPOTABLE_API[[#This Row],[NONPOTABLE_DEMAND_RESIDENTIAL_RECYCLED_WATER_GAL]:[NONPOTABLE_DEMAND_NONRESIDENTIAL_METERED_IRRIGATION_GAL]])</f>
        <v>0</v>
      </c>
      <c r="X4952" t="str">
        <f>IFERROR(INDEX(Crosswalk_API!$H$2:$H$527, MATCH(POTABLE_NONPOTABLE_API[[#This Row],[PWSID]], CW_PWSID_LIST, 0)), "")</f>
        <v>No</v>
      </c>
    </row>
    <row r="4953" spans="1:24" x14ac:dyDescent="0.25">
      <c r="A4953" t="s">
        <v>2199</v>
      </c>
      <c r="B4953" t="s">
        <v>2200</v>
      </c>
      <c r="C4953" t="s">
        <v>2201</v>
      </c>
      <c r="D4953" t="s">
        <v>2202</v>
      </c>
      <c r="E4953" s="9">
        <v>45323</v>
      </c>
      <c r="F4953" s="9">
        <v>45351</v>
      </c>
      <c r="G4953">
        <v>57155000</v>
      </c>
      <c r="H4953">
        <v>6134000</v>
      </c>
      <c r="I4953">
        <v>8725000</v>
      </c>
      <c r="J4953">
        <v>0</v>
      </c>
      <c r="K4953">
        <v>23069000</v>
      </c>
      <c r="L4953">
        <v>269000</v>
      </c>
      <c r="M4953">
        <v>0</v>
      </c>
      <c r="T4953" s="9">
        <v>45108</v>
      </c>
      <c r="U4953" s="9">
        <v>45473</v>
      </c>
      <c r="V4953">
        <f>SUM(POTABLE_NONPOTABLE_API[[#This Row],[RESIDENTIAL_SINGLEFAMILY_GAL]:[OTHER_GAL]])</f>
        <v>95352000</v>
      </c>
      <c r="W4953">
        <f>SUM(POTABLE_NONPOTABLE_API[[#This Row],[NONPOTABLE_DEMAND_RESIDENTIAL_RECYCLED_WATER_GAL]:[NONPOTABLE_DEMAND_NONRESIDENTIAL_METERED_IRRIGATION_GAL]])</f>
        <v>0</v>
      </c>
      <c r="X4953" t="str">
        <f>IFERROR(INDEX(Crosswalk_API!$H$2:$H$527, MATCH(POTABLE_NONPOTABLE_API[[#This Row],[PWSID]], CW_PWSID_LIST, 0)), "")</f>
        <v>No</v>
      </c>
    </row>
    <row r="4954" spans="1:24" x14ac:dyDescent="0.25">
      <c r="A4954" t="s">
        <v>2199</v>
      </c>
      <c r="B4954" t="s">
        <v>2200</v>
      </c>
      <c r="C4954" t="s">
        <v>2201</v>
      </c>
      <c r="D4954" t="s">
        <v>2202</v>
      </c>
      <c r="E4954" s="9">
        <v>45352</v>
      </c>
      <c r="F4954" s="9">
        <v>45382</v>
      </c>
      <c r="G4954">
        <v>55832000</v>
      </c>
      <c r="H4954">
        <v>5446000</v>
      </c>
      <c r="I4954">
        <v>8090999.9999999991</v>
      </c>
      <c r="J4954">
        <v>0</v>
      </c>
      <c r="K4954">
        <v>27101000</v>
      </c>
      <c r="L4954">
        <v>273000</v>
      </c>
      <c r="M4954">
        <v>0</v>
      </c>
      <c r="T4954" s="9">
        <v>45108</v>
      </c>
      <c r="U4954" s="9">
        <v>45473</v>
      </c>
      <c r="V4954">
        <f>SUM(POTABLE_NONPOTABLE_API[[#This Row],[RESIDENTIAL_SINGLEFAMILY_GAL]:[OTHER_GAL]])</f>
        <v>96743000</v>
      </c>
      <c r="W4954">
        <f>SUM(POTABLE_NONPOTABLE_API[[#This Row],[NONPOTABLE_DEMAND_RESIDENTIAL_RECYCLED_WATER_GAL]:[NONPOTABLE_DEMAND_NONRESIDENTIAL_METERED_IRRIGATION_GAL]])</f>
        <v>0</v>
      </c>
      <c r="X4954" t="str">
        <f>IFERROR(INDEX(Crosswalk_API!$H$2:$H$527, MATCH(POTABLE_NONPOTABLE_API[[#This Row],[PWSID]], CW_PWSID_LIST, 0)), "")</f>
        <v>No</v>
      </c>
    </row>
    <row r="4955" spans="1:24" x14ac:dyDescent="0.25">
      <c r="A4955" t="s">
        <v>2199</v>
      </c>
      <c r="B4955" t="s">
        <v>2200</v>
      </c>
      <c r="C4955" t="s">
        <v>2201</v>
      </c>
      <c r="D4955" t="s">
        <v>2202</v>
      </c>
      <c r="E4955" s="9">
        <v>45383</v>
      </c>
      <c r="F4955" s="9">
        <v>45412</v>
      </c>
      <c r="G4955">
        <v>61819000</v>
      </c>
      <c r="H4955">
        <v>6367000</v>
      </c>
      <c r="I4955">
        <v>10044000</v>
      </c>
      <c r="J4955">
        <v>0</v>
      </c>
      <c r="K4955">
        <v>27311000</v>
      </c>
      <c r="L4955">
        <v>374000</v>
      </c>
      <c r="M4955">
        <v>0</v>
      </c>
      <c r="T4955" s="9">
        <v>45108</v>
      </c>
      <c r="U4955" s="9">
        <v>45473</v>
      </c>
      <c r="V4955">
        <f>SUM(POTABLE_NONPOTABLE_API[[#This Row],[RESIDENTIAL_SINGLEFAMILY_GAL]:[OTHER_GAL]])</f>
        <v>105915000</v>
      </c>
      <c r="W4955">
        <f>SUM(POTABLE_NONPOTABLE_API[[#This Row],[NONPOTABLE_DEMAND_RESIDENTIAL_RECYCLED_WATER_GAL]:[NONPOTABLE_DEMAND_NONRESIDENTIAL_METERED_IRRIGATION_GAL]])</f>
        <v>0</v>
      </c>
      <c r="X4955" t="str">
        <f>IFERROR(INDEX(Crosswalk_API!$H$2:$H$527, MATCH(POTABLE_NONPOTABLE_API[[#This Row],[PWSID]], CW_PWSID_LIST, 0)), "")</f>
        <v>No</v>
      </c>
    </row>
    <row r="4956" spans="1:24" x14ac:dyDescent="0.25">
      <c r="A4956" t="s">
        <v>2199</v>
      </c>
      <c r="B4956" t="s">
        <v>2200</v>
      </c>
      <c r="C4956" t="s">
        <v>2201</v>
      </c>
      <c r="D4956" t="s">
        <v>2202</v>
      </c>
      <c r="E4956" s="9">
        <v>45413</v>
      </c>
      <c r="F4956" s="9">
        <v>45443</v>
      </c>
      <c r="G4956">
        <v>94376000</v>
      </c>
      <c r="H4956">
        <v>6999000</v>
      </c>
      <c r="I4956">
        <v>17611000</v>
      </c>
      <c r="J4956">
        <v>0</v>
      </c>
      <c r="K4956">
        <v>26997000</v>
      </c>
      <c r="L4956">
        <v>528000</v>
      </c>
      <c r="M4956">
        <v>0</v>
      </c>
      <c r="T4956" s="9">
        <v>45108</v>
      </c>
      <c r="U4956" s="9">
        <v>45473</v>
      </c>
      <c r="V4956">
        <f>SUM(POTABLE_NONPOTABLE_API[[#This Row],[RESIDENTIAL_SINGLEFAMILY_GAL]:[OTHER_GAL]])</f>
        <v>146511000</v>
      </c>
      <c r="W4956">
        <f>SUM(POTABLE_NONPOTABLE_API[[#This Row],[NONPOTABLE_DEMAND_RESIDENTIAL_RECYCLED_WATER_GAL]:[NONPOTABLE_DEMAND_NONRESIDENTIAL_METERED_IRRIGATION_GAL]])</f>
        <v>0</v>
      </c>
      <c r="X4956" t="str">
        <f>IFERROR(INDEX(Crosswalk_API!$H$2:$H$527, MATCH(POTABLE_NONPOTABLE_API[[#This Row],[PWSID]], CW_PWSID_LIST, 0)), "")</f>
        <v>No</v>
      </c>
    </row>
    <row r="4957" spans="1:24" x14ac:dyDescent="0.25">
      <c r="A4957" t="s">
        <v>2199</v>
      </c>
      <c r="B4957" t="s">
        <v>2200</v>
      </c>
      <c r="C4957" t="s">
        <v>2201</v>
      </c>
      <c r="D4957" t="s">
        <v>2202</v>
      </c>
      <c r="E4957" s="9">
        <v>45444</v>
      </c>
      <c r="F4957" s="9">
        <v>45473</v>
      </c>
      <c r="G4957">
        <v>130317000</v>
      </c>
      <c r="H4957">
        <v>8514000</v>
      </c>
      <c r="I4957">
        <v>24248000</v>
      </c>
      <c r="J4957">
        <v>0</v>
      </c>
      <c r="K4957">
        <v>26089000</v>
      </c>
      <c r="L4957">
        <v>864000</v>
      </c>
      <c r="M4957">
        <v>0</v>
      </c>
      <c r="T4957" s="9">
        <v>45108</v>
      </c>
      <c r="U4957" s="9">
        <v>45473</v>
      </c>
      <c r="V4957">
        <f>SUM(POTABLE_NONPOTABLE_API[[#This Row],[RESIDENTIAL_SINGLEFAMILY_GAL]:[OTHER_GAL]])</f>
        <v>190032000</v>
      </c>
      <c r="W4957">
        <f>SUM(POTABLE_NONPOTABLE_API[[#This Row],[NONPOTABLE_DEMAND_RESIDENTIAL_RECYCLED_WATER_GAL]:[NONPOTABLE_DEMAND_NONRESIDENTIAL_METERED_IRRIGATION_GAL]])</f>
        <v>0</v>
      </c>
      <c r="X4957" t="str">
        <f>IFERROR(INDEX(Crosswalk_API!$H$2:$H$527, MATCH(POTABLE_NONPOTABLE_API[[#This Row],[PWSID]], CW_PWSID_LIST, 0)), "")</f>
        <v>No</v>
      </c>
    </row>
    <row r="4958" spans="1:24" x14ac:dyDescent="0.25">
      <c r="A4958" t="s">
        <v>2203</v>
      </c>
      <c r="B4958" t="s">
        <v>2204</v>
      </c>
      <c r="C4958" t="s">
        <v>2205</v>
      </c>
      <c r="D4958" t="s">
        <v>2206</v>
      </c>
      <c r="E4958" s="9">
        <v>45108</v>
      </c>
      <c r="F4958" s="9">
        <v>45138</v>
      </c>
      <c r="G4958">
        <v>314543970.30000001</v>
      </c>
      <c r="H4958">
        <v>256487097.63</v>
      </c>
      <c r="I4958">
        <v>209401628.13</v>
      </c>
      <c r="J4958">
        <v>51220518.689999998</v>
      </c>
      <c r="K4958">
        <v>23660041.109999999</v>
      </c>
      <c r="L4958">
        <v>817886.00999999989</v>
      </c>
      <c r="M4958">
        <v>0</v>
      </c>
      <c r="N4958">
        <v>0</v>
      </c>
      <c r="O4958">
        <v>0</v>
      </c>
      <c r="P4958">
        <v>0</v>
      </c>
      <c r="Q4958">
        <v>0</v>
      </c>
      <c r="R4958">
        <v>0</v>
      </c>
      <c r="S4958">
        <v>13239326.130000001</v>
      </c>
      <c r="T4958" s="9">
        <v>45108</v>
      </c>
      <c r="U4958" s="9">
        <v>45473</v>
      </c>
      <c r="V4958">
        <f>SUM(POTABLE_NONPOTABLE_API[[#This Row],[RESIDENTIAL_SINGLEFAMILY_GAL]:[OTHER_GAL]])</f>
        <v>856131141.87</v>
      </c>
      <c r="W4958">
        <f>SUM(POTABLE_NONPOTABLE_API[[#This Row],[NONPOTABLE_DEMAND_RESIDENTIAL_RECYCLED_WATER_GAL]:[NONPOTABLE_DEMAND_NONRESIDENTIAL_METERED_IRRIGATION_GAL]])</f>
        <v>13239326.130000001</v>
      </c>
      <c r="X4958" t="str">
        <f>IFERROR(INDEX(Crosswalk_API!$H$2:$H$527, MATCH(POTABLE_NONPOTABLE_API[[#This Row],[PWSID]], CW_PWSID_LIST, 0)), "")</f>
        <v>No</v>
      </c>
    </row>
    <row r="4959" spans="1:24" x14ac:dyDescent="0.25">
      <c r="A4959" t="s">
        <v>2203</v>
      </c>
      <c r="B4959" t="s">
        <v>2204</v>
      </c>
      <c r="C4959" t="s">
        <v>2205</v>
      </c>
      <c r="D4959" t="s">
        <v>2206</v>
      </c>
      <c r="E4959" s="9">
        <v>45139</v>
      </c>
      <c r="F4959" s="9">
        <v>45169</v>
      </c>
      <c r="G4959">
        <v>325417618.16999996</v>
      </c>
      <c r="H4959">
        <v>269390797.23000002</v>
      </c>
      <c r="I4959">
        <v>222940737.17999998</v>
      </c>
      <c r="J4959">
        <v>51204226.139999993</v>
      </c>
      <c r="K4959">
        <v>20821878.899999999</v>
      </c>
      <c r="L4959">
        <v>883056.21</v>
      </c>
      <c r="M4959">
        <v>0</v>
      </c>
      <c r="N4959">
        <v>0</v>
      </c>
      <c r="O4959">
        <v>0</v>
      </c>
      <c r="P4959">
        <v>0</v>
      </c>
      <c r="Q4959">
        <v>0</v>
      </c>
      <c r="R4959">
        <v>0</v>
      </c>
      <c r="S4959">
        <v>9162930.120000001</v>
      </c>
      <c r="T4959" s="9">
        <v>45108</v>
      </c>
      <c r="U4959" s="9">
        <v>45473</v>
      </c>
      <c r="V4959">
        <f>SUM(POTABLE_NONPOTABLE_API[[#This Row],[RESIDENTIAL_SINGLEFAMILY_GAL]:[OTHER_GAL]])</f>
        <v>890658313.82999992</v>
      </c>
      <c r="W4959">
        <f>SUM(POTABLE_NONPOTABLE_API[[#This Row],[NONPOTABLE_DEMAND_RESIDENTIAL_RECYCLED_WATER_GAL]:[NONPOTABLE_DEMAND_NONRESIDENTIAL_METERED_IRRIGATION_GAL]])</f>
        <v>9162930.120000001</v>
      </c>
      <c r="X4959" t="str">
        <f>IFERROR(INDEX(Crosswalk_API!$H$2:$H$527, MATCH(POTABLE_NONPOTABLE_API[[#This Row],[PWSID]], CW_PWSID_LIST, 0)), "")</f>
        <v>No</v>
      </c>
    </row>
    <row r="4960" spans="1:24" x14ac:dyDescent="0.25">
      <c r="A4960" t="s">
        <v>2203</v>
      </c>
      <c r="B4960" t="s">
        <v>2204</v>
      </c>
      <c r="C4960" t="s">
        <v>2205</v>
      </c>
      <c r="D4960" t="s">
        <v>2206</v>
      </c>
      <c r="E4960" s="9">
        <v>45170</v>
      </c>
      <c r="F4960" s="9">
        <v>45199</v>
      </c>
      <c r="G4960">
        <v>327714867.72000003</v>
      </c>
      <c r="H4960">
        <v>280877044.98000002</v>
      </c>
      <c r="I4960">
        <v>228076148.94000003</v>
      </c>
      <c r="J4960">
        <v>51233552.729999997</v>
      </c>
      <c r="K4960">
        <v>20773001.25</v>
      </c>
      <c r="L4960">
        <v>912382.79999999993</v>
      </c>
      <c r="M4960">
        <v>0</v>
      </c>
      <c r="N4960">
        <v>0</v>
      </c>
      <c r="O4960">
        <v>0</v>
      </c>
      <c r="P4960">
        <v>0</v>
      </c>
      <c r="Q4960">
        <v>0</v>
      </c>
      <c r="R4960">
        <v>0</v>
      </c>
      <c r="S4960">
        <v>8146275</v>
      </c>
      <c r="T4960" s="9">
        <v>45108</v>
      </c>
      <c r="U4960" s="9">
        <v>45473</v>
      </c>
      <c r="V4960">
        <f>SUM(POTABLE_NONPOTABLE_API[[#This Row],[RESIDENTIAL_SINGLEFAMILY_GAL]:[OTHER_GAL]])</f>
        <v>909586998.42000008</v>
      </c>
      <c r="W4960">
        <f>SUM(POTABLE_NONPOTABLE_API[[#This Row],[NONPOTABLE_DEMAND_RESIDENTIAL_RECYCLED_WATER_GAL]:[NONPOTABLE_DEMAND_NONRESIDENTIAL_METERED_IRRIGATION_GAL]])</f>
        <v>8146275</v>
      </c>
      <c r="X4960" t="str">
        <f>IFERROR(INDEX(Crosswalk_API!$H$2:$H$527, MATCH(POTABLE_NONPOTABLE_API[[#This Row],[PWSID]], CW_PWSID_LIST, 0)), "")</f>
        <v>No</v>
      </c>
    </row>
    <row r="4961" spans="1:24" x14ac:dyDescent="0.25">
      <c r="A4961" t="s">
        <v>2203</v>
      </c>
      <c r="B4961" t="s">
        <v>2204</v>
      </c>
      <c r="C4961" t="s">
        <v>2205</v>
      </c>
      <c r="D4961" t="s">
        <v>2206</v>
      </c>
      <c r="E4961" s="9">
        <v>45200</v>
      </c>
      <c r="F4961" s="9">
        <v>45230</v>
      </c>
      <c r="G4961">
        <v>301451277.12</v>
      </c>
      <c r="H4961">
        <v>263085580.38</v>
      </c>
      <c r="I4961">
        <v>205058034.29999998</v>
      </c>
      <c r="J4961">
        <v>44426525.340000004</v>
      </c>
      <c r="K4961">
        <v>21695159.579999998</v>
      </c>
      <c r="L4961">
        <v>954743.43</v>
      </c>
      <c r="M4961">
        <v>0</v>
      </c>
      <c r="N4961">
        <v>0</v>
      </c>
      <c r="O4961">
        <v>0</v>
      </c>
      <c r="P4961">
        <v>0</v>
      </c>
      <c r="Q4961">
        <v>0</v>
      </c>
      <c r="R4961">
        <v>0</v>
      </c>
      <c r="S4961">
        <v>6494210.4299999997</v>
      </c>
      <c r="T4961" s="9">
        <v>45108</v>
      </c>
      <c r="U4961" s="9">
        <v>45473</v>
      </c>
      <c r="V4961">
        <f>SUM(POTABLE_NONPOTABLE_API[[#This Row],[RESIDENTIAL_SINGLEFAMILY_GAL]:[OTHER_GAL]])</f>
        <v>836671320.14999998</v>
      </c>
      <c r="W4961">
        <f>SUM(POTABLE_NONPOTABLE_API[[#This Row],[NONPOTABLE_DEMAND_RESIDENTIAL_RECYCLED_WATER_GAL]:[NONPOTABLE_DEMAND_NONRESIDENTIAL_METERED_IRRIGATION_GAL]])</f>
        <v>6494210.4299999997</v>
      </c>
      <c r="X4961" t="str">
        <f>IFERROR(INDEX(Crosswalk_API!$H$2:$H$527, MATCH(POTABLE_NONPOTABLE_API[[#This Row],[PWSID]], CW_PWSID_LIST, 0)), "")</f>
        <v>No</v>
      </c>
    </row>
    <row r="4962" spans="1:24" x14ac:dyDescent="0.25">
      <c r="A4962" t="s">
        <v>2203</v>
      </c>
      <c r="B4962" t="s">
        <v>2204</v>
      </c>
      <c r="C4962" t="s">
        <v>2205</v>
      </c>
      <c r="D4962" t="s">
        <v>2206</v>
      </c>
      <c r="E4962" s="9">
        <v>45231</v>
      </c>
      <c r="F4962" s="9">
        <v>45260</v>
      </c>
      <c r="G4962">
        <v>277240547.81999999</v>
      </c>
      <c r="H4962">
        <v>243762616.08000001</v>
      </c>
      <c r="I4962">
        <v>192952669.65000001</v>
      </c>
      <c r="J4962">
        <v>36276991.829999998</v>
      </c>
      <c r="K4962">
        <v>22444616.879999999</v>
      </c>
      <c r="L4962">
        <v>755974.32</v>
      </c>
      <c r="M4962">
        <v>0</v>
      </c>
      <c r="N4962">
        <v>0</v>
      </c>
      <c r="O4962">
        <v>0</v>
      </c>
      <c r="P4962">
        <v>0</v>
      </c>
      <c r="Q4962">
        <v>0</v>
      </c>
      <c r="R4962">
        <v>0</v>
      </c>
      <c r="S4962">
        <v>4842145.8599999994</v>
      </c>
      <c r="T4962" s="9">
        <v>45108</v>
      </c>
      <c r="U4962" s="9">
        <v>45473</v>
      </c>
      <c r="V4962">
        <f>SUM(POTABLE_NONPOTABLE_API[[#This Row],[RESIDENTIAL_SINGLEFAMILY_GAL]:[OTHER_GAL]])</f>
        <v>773433416.58000004</v>
      </c>
      <c r="W4962">
        <f>SUM(POTABLE_NONPOTABLE_API[[#This Row],[NONPOTABLE_DEMAND_RESIDENTIAL_RECYCLED_WATER_GAL]:[NONPOTABLE_DEMAND_NONRESIDENTIAL_METERED_IRRIGATION_GAL]])</f>
        <v>4842145.8599999994</v>
      </c>
      <c r="X4962" t="str">
        <f>IFERROR(INDEX(Crosswalk_API!$H$2:$H$527, MATCH(POTABLE_NONPOTABLE_API[[#This Row],[PWSID]], CW_PWSID_LIST, 0)), "")</f>
        <v>No</v>
      </c>
    </row>
    <row r="4963" spans="1:24" x14ac:dyDescent="0.25">
      <c r="A4963" t="s">
        <v>2203</v>
      </c>
      <c r="B4963" t="s">
        <v>2204</v>
      </c>
      <c r="C4963" t="s">
        <v>2205</v>
      </c>
      <c r="D4963" t="s">
        <v>2206</v>
      </c>
      <c r="E4963" s="9">
        <v>45261</v>
      </c>
      <c r="F4963" s="9">
        <v>45291</v>
      </c>
      <c r="G4963">
        <v>263919758.94000003</v>
      </c>
      <c r="H4963">
        <v>240803889</v>
      </c>
      <c r="I4963">
        <v>185396184.96000001</v>
      </c>
      <c r="J4963">
        <v>29219059.170000002</v>
      </c>
      <c r="K4963">
        <v>21946064.849999998</v>
      </c>
      <c r="L4963">
        <v>553946.69999999995</v>
      </c>
      <c r="M4963">
        <v>0</v>
      </c>
      <c r="N4963">
        <v>0</v>
      </c>
      <c r="O4963">
        <v>0</v>
      </c>
      <c r="P4963">
        <v>0</v>
      </c>
      <c r="Q4963">
        <v>0</v>
      </c>
      <c r="R4963">
        <v>0</v>
      </c>
      <c r="S4963">
        <v>3467054.64</v>
      </c>
      <c r="T4963" s="9">
        <v>45108</v>
      </c>
      <c r="U4963" s="9">
        <v>45473</v>
      </c>
      <c r="V4963">
        <f>SUM(POTABLE_NONPOTABLE_API[[#This Row],[RESIDENTIAL_SINGLEFAMILY_GAL]:[OTHER_GAL]])</f>
        <v>741838903.62000012</v>
      </c>
      <c r="W4963">
        <f>SUM(POTABLE_NONPOTABLE_API[[#This Row],[NONPOTABLE_DEMAND_RESIDENTIAL_RECYCLED_WATER_GAL]:[NONPOTABLE_DEMAND_NONRESIDENTIAL_METERED_IRRIGATION_GAL]])</f>
        <v>3467054.64</v>
      </c>
      <c r="X4963" t="str">
        <f>IFERROR(INDEX(Crosswalk_API!$H$2:$H$527, MATCH(POTABLE_NONPOTABLE_API[[#This Row],[PWSID]], CW_PWSID_LIST, 0)), "")</f>
        <v>No</v>
      </c>
    </row>
    <row r="4964" spans="1:24" x14ac:dyDescent="0.25">
      <c r="A4964" t="s">
        <v>2203</v>
      </c>
      <c r="B4964" t="s">
        <v>2204</v>
      </c>
      <c r="C4964" t="s">
        <v>2205</v>
      </c>
      <c r="D4964" t="s">
        <v>2206</v>
      </c>
      <c r="E4964" s="9">
        <v>45292</v>
      </c>
      <c r="F4964" s="9">
        <v>45322</v>
      </c>
      <c r="G4964">
        <v>249940751.03999999</v>
      </c>
      <c r="H4964">
        <v>231458482.32000002</v>
      </c>
      <c r="I4964">
        <v>173505881.97</v>
      </c>
      <c r="J4964">
        <v>21727744.680000003</v>
      </c>
      <c r="K4964">
        <v>19779155.699999999</v>
      </c>
      <c r="L4964">
        <v>524620.11</v>
      </c>
      <c r="M4964">
        <v>0</v>
      </c>
      <c r="N4964">
        <v>0</v>
      </c>
      <c r="O4964">
        <v>0</v>
      </c>
      <c r="P4964">
        <v>0</v>
      </c>
      <c r="Q4964">
        <v>0</v>
      </c>
      <c r="R4964">
        <v>0</v>
      </c>
      <c r="S4964">
        <v>1557567.78</v>
      </c>
      <c r="T4964" s="9">
        <v>45108</v>
      </c>
      <c r="U4964" s="9">
        <v>45473</v>
      </c>
      <c r="V4964">
        <f>SUM(POTABLE_NONPOTABLE_API[[#This Row],[RESIDENTIAL_SINGLEFAMILY_GAL]:[OTHER_GAL]])</f>
        <v>696936635.82000005</v>
      </c>
      <c r="W4964">
        <f>SUM(POTABLE_NONPOTABLE_API[[#This Row],[NONPOTABLE_DEMAND_RESIDENTIAL_RECYCLED_WATER_GAL]:[NONPOTABLE_DEMAND_NONRESIDENTIAL_METERED_IRRIGATION_GAL]])</f>
        <v>1557567.78</v>
      </c>
      <c r="X4964" t="str">
        <f>IFERROR(INDEX(Crosswalk_API!$H$2:$H$527, MATCH(POTABLE_NONPOTABLE_API[[#This Row],[PWSID]], CW_PWSID_LIST, 0)), "")</f>
        <v>No</v>
      </c>
    </row>
    <row r="4965" spans="1:24" x14ac:dyDescent="0.25">
      <c r="A4965" t="s">
        <v>2203</v>
      </c>
      <c r="B4965" t="s">
        <v>2204</v>
      </c>
      <c r="C4965" t="s">
        <v>2205</v>
      </c>
      <c r="D4965" t="s">
        <v>2206</v>
      </c>
      <c r="E4965" s="9">
        <v>45323</v>
      </c>
      <c r="F4965" s="9">
        <v>45351</v>
      </c>
      <c r="G4965">
        <v>226094974.86000001</v>
      </c>
      <c r="H4965">
        <v>226342621.62</v>
      </c>
      <c r="I4965">
        <v>152367927.59999999</v>
      </c>
      <c r="J4965">
        <v>15064091.729999999</v>
      </c>
      <c r="K4965">
        <v>21470322.390000001</v>
      </c>
      <c r="L4965">
        <v>498552.03</v>
      </c>
      <c r="M4965">
        <v>0</v>
      </c>
      <c r="N4965">
        <v>0</v>
      </c>
      <c r="O4965">
        <v>0</v>
      </c>
      <c r="P4965">
        <v>0</v>
      </c>
      <c r="Q4965">
        <v>0</v>
      </c>
      <c r="R4965">
        <v>0</v>
      </c>
      <c r="S4965">
        <v>1173063.6000000001</v>
      </c>
      <c r="T4965" s="9">
        <v>45108</v>
      </c>
      <c r="U4965" s="9">
        <v>45473</v>
      </c>
      <c r="V4965">
        <f>SUM(POTABLE_NONPOTABLE_API[[#This Row],[RESIDENTIAL_SINGLEFAMILY_GAL]:[OTHER_GAL]])</f>
        <v>641838490.23000002</v>
      </c>
      <c r="W4965">
        <f>SUM(POTABLE_NONPOTABLE_API[[#This Row],[NONPOTABLE_DEMAND_RESIDENTIAL_RECYCLED_WATER_GAL]:[NONPOTABLE_DEMAND_NONRESIDENTIAL_METERED_IRRIGATION_GAL]])</f>
        <v>1173063.6000000001</v>
      </c>
      <c r="X4965" t="str">
        <f>IFERROR(INDEX(Crosswalk_API!$H$2:$H$527, MATCH(POTABLE_NONPOTABLE_API[[#This Row],[PWSID]], CW_PWSID_LIST, 0)), "")</f>
        <v>No</v>
      </c>
    </row>
    <row r="4966" spans="1:24" x14ac:dyDescent="0.25">
      <c r="A4966" t="s">
        <v>2203</v>
      </c>
      <c r="B4966" t="s">
        <v>2204</v>
      </c>
      <c r="C4966" t="s">
        <v>2205</v>
      </c>
      <c r="D4966" t="s">
        <v>2206</v>
      </c>
      <c r="E4966" s="9">
        <v>45352</v>
      </c>
      <c r="F4966" s="9">
        <v>45382</v>
      </c>
      <c r="G4966">
        <v>244283977.67999998</v>
      </c>
      <c r="H4966">
        <v>229757540.09999999</v>
      </c>
      <c r="I4966">
        <v>164642734.76999998</v>
      </c>
      <c r="J4966">
        <v>19655332.32</v>
      </c>
      <c r="K4966">
        <v>22183936.079999998</v>
      </c>
      <c r="L4966">
        <v>703838.16</v>
      </c>
      <c r="M4966">
        <v>0</v>
      </c>
      <c r="N4966">
        <v>0</v>
      </c>
      <c r="O4966">
        <v>0</v>
      </c>
      <c r="P4966">
        <v>0</v>
      </c>
      <c r="Q4966">
        <v>0</v>
      </c>
      <c r="R4966">
        <v>0</v>
      </c>
      <c r="S4966">
        <v>2238596.37</v>
      </c>
      <c r="T4966" s="9">
        <v>45108</v>
      </c>
      <c r="U4966" s="9">
        <v>45473</v>
      </c>
      <c r="V4966">
        <f>SUM(POTABLE_NONPOTABLE_API[[#This Row],[RESIDENTIAL_SINGLEFAMILY_GAL]:[OTHER_GAL]])</f>
        <v>681227359.11000001</v>
      </c>
      <c r="W4966">
        <f>SUM(POTABLE_NONPOTABLE_API[[#This Row],[NONPOTABLE_DEMAND_RESIDENTIAL_RECYCLED_WATER_GAL]:[NONPOTABLE_DEMAND_NONRESIDENTIAL_METERED_IRRIGATION_GAL]])</f>
        <v>2238596.37</v>
      </c>
      <c r="X4966" t="str">
        <f>IFERROR(INDEX(Crosswalk_API!$H$2:$H$527, MATCH(POTABLE_NONPOTABLE_API[[#This Row],[PWSID]], CW_PWSID_LIST, 0)), "")</f>
        <v>No</v>
      </c>
    </row>
    <row r="4967" spans="1:24" x14ac:dyDescent="0.25">
      <c r="A4967" t="s">
        <v>2203</v>
      </c>
      <c r="B4967" t="s">
        <v>2204</v>
      </c>
      <c r="C4967" t="s">
        <v>2205</v>
      </c>
      <c r="D4967" t="s">
        <v>2206</v>
      </c>
      <c r="E4967" s="9">
        <v>45383</v>
      </c>
      <c r="F4967" s="9">
        <v>45412</v>
      </c>
      <c r="G4967">
        <v>262251401.82000002</v>
      </c>
      <c r="H4967">
        <v>265816211.75999999</v>
      </c>
      <c r="I4967">
        <v>178768375.62</v>
      </c>
      <c r="J4967">
        <v>26856639.420000002</v>
      </c>
      <c r="K4967">
        <v>21822241.469999999</v>
      </c>
      <c r="L4967">
        <v>785300.91</v>
      </c>
      <c r="M4967">
        <v>0</v>
      </c>
      <c r="N4967">
        <v>0</v>
      </c>
      <c r="O4967">
        <v>0</v>
      </c>
      <c r="P4967">
        <v>0</v>
      </c>
      <c r="Q4967">
        <v>0</v>
      </c>
      <c r="R4967">
        <v>0</v>
      </c>
      <c r="S4967">
        <v>7080742.2300000004</v>
      </c>
      <c r="T4967" s="9">
        <v>45108</v>
      </c>
      <c r="U4967" s="9">
        <v>45473</v>
      </c>
      <c r="V4967">
        <f>SUM(POTABLE_NONPOTABLE_API[[#This Row],[RESIDENTIAL_SINGLEFAMILY_GAL]:[OTHER_GAL]])</f>
        <v>756300171</v>
      </c>
      <c r="W4967">
        <f>SUM(POTABLE_NONPOTABLE_API[[#This Row],[NONPOTABLE_DEMAND_RESIDENTIAL_RECYCLED_WATER_GAL]:[NONPOTABLE_DEMAND_NONRESIDENTIAL_METERED_IRRIGATION_GAL]])</f>
        <v>7080742.2300000004</v>
      </c>
      <c r="X4967" t="str">
        <f>IFERROR(INDEX(Crosswalk_API!$H$2:$H$527, MATCH(POTABLE_NONPOTABLE_API[[#This Row],[PWSID]], CW_PWSID_LIST, 0)), "")</f>
        <v>No</v>
      </c>
    </row>
    <row r="4968" spans="1:24" x14ac:dyDescent="0.25">
      <c r="A4968" t="s">
        <v>2203</v>
      </c>
      <c r="B4968" t="s">
        <v>2204</v>
      </c>
      <c r="C4968" t="s">
        <v>2205</v>
      </c>
      <c r="D4968" t="s">
        <v>2206</v>
      </c>
      <c r="E4968" s="9">
        <v>45413</v>
      </c>
      <c r="F4968" s="9">
        <v>45443</v>
      </c>
      <c r="G4968">
        <v>304090670.22000003</v>
      </c>
      <c r="H4968">
        <v>243674636.30999997</v>
      </c>
      <c r="I4968">
        <v>195057667.11000001</v>
      </c>
      <c r="J4968">
        <v>38779527.510000005</v>
      </c>
      <c r="K4968">
        <v>20714348.07</v>
      </c>
      <c r="L4968">
        <v>759232.83000000007</v>
      </c>
      <c r="M4968">
        <v>0</v>
      </c>
      <c r="N4968">
        <v>0</v>
      </c>
      <c r="O4968">
        <v>0</v>
      </c>
      <c r="P4968">
        <v>0</v>
      </c>
      <c r="Q4968">
        <v>0</v>
      </c>
      <c r="R4968">
        <v>0</v>
      </c>
      <c r="S4968">
        <v>6699496.5599999996</v>
      </c>
      <c r="T4968" s="9">
        <v>45108</v>
      </c>
      <c r="U4968" s="9">
        <v>45473</v>
      </c>
      <c r="V4968">
        <f>SUM(POTABLE_NONPOTABLE_API[[#This Row],[RESIDENTIAL_SINGLEFAMILY_GAL]:[OTHER_GAL]])</f>
        <v>803076082.05000007</v>
      </c>
      <c r="W4968">
        <f>SUM(POTABLE_NONPOTABLE_API[[#This Row],[NONPOTABLE_DEMAND_RESIDENTIAL_RECYCLED_WATER_GAL]:[NONPOTABLE_DEMAND_NONRESIDENTIAL_METERED_IRRIGATION_GAL]])</f>
        <v>6699496.5599999996</v>
      </c>
      <c r="X4968" t="str">
        <f>IFERROR(INDEX(Crosswalk_API!$H$2:$H$527, MATCH(POTABLE_NONPOTABLE_API[[#This Row],[PWSID]], CW_PWSID_LIST, 0)), "")</f>
        <v>No</v>
      </c>
    </row>
    <row r="4969" spans="1:24" x14ac:dyDescent="0.25">
      <c r="A4969" t="s">
        <v>2203</v>
      </c>
      <c r="B4969" t="s">
        <v>2204</v>
      </c>
      <c r="C4969" t="s">
        <v>2205</v>
      </c>
      <c r="D4969" t="s">
        <v>2206</v>
      </c>
      <c r="E4969" s="9">
        <v>45444</v>
      </c>
      <c r="F4969" s="9">
        <v>45473</v>
      </c>
      <c r="G4969">
        <v>321360773.22000003</v>
      </c>
      <c r="H4969">
        <v>255639885.03</v>
      </c>
      <c r="I4969">
        <v>212428783.91999999</v>
      </c>
      <c r="J4969">
        <v>44700240.18</v>
      </c>
      <c r="K4969">
        <v>24706022.819999997</v>
      </c>
      <c r="L4969">
        <v>798334.95000000007</v>
      </c>
      <c r="M4969">
        <v>0</v>
      </c>
      <c r="N4969">
        <v>0</v>
      </c>
      <c r="O4969">
        <v>0</v>
      </c>
      <c r="P4969">
        <v>0</v>
      </c>
      <c r="Q4969">
        <v>0</v>
      </c>
      <c r="R4969">
        <v>0</v>
      </c>
      <c r="S4969">
        <v>8700221.6999999993</v>
      </c>
      <c r="T4969" s="9">
        <v>45108</v>
      </c>
      <c r="U4969" s="9">
        <v>45473</v>
      </c>
      <c r="V4969">
        <f>SUM(POTABLE_NONPOTABLE_API[[#This Row],[RESIDENTIAL_SINGLEFAMILY_GAL]:[OTHER_GAL]])</f>
        <v>859634040.12</v>
      </c>
      <c r="W4969">
        <f>SUM(POTABLE_NONPOTABLE_API[[#This Row],[NONPOTABLE_DEMAND_RESIDENTIAL_RECYCLED_WATER_GAL]:[NONPOTABLE_DEMAND_NONRESIDENTIAL_METERED_IRRIGATION_GAL]])</f>
        <v>8700221.6999999993</v>
      </c>
      <c r="X4969" t="str">
        <f>IFERROR(INDEX(Crosswalk_API!$H$2:$H$527, MATCH(POTABLE_NONPOTABLE_API[[#This Row],[PWSID]], CW_PWSID_LIST, 0)), "")</f>
        <v>No</v>
      </c>
    </row>
    <row r="4970" spans="1:24" x14ac:dyDescent="0.25">
      <c r="A4970" t="s">
        <v>2207</v>
      </c>
      <c r="B4970" t="s">
        <v>2208</v>
      </c>
      <c r="C4970" t="s">
        <v>2209</v>
      </c>
      <c r="D4970" t="s">
        <v>2210</v>
      </c>
      <c r="E4970" s="9">
        <v>45108</v>
      </c>
      <c r="F4970" s="9">
        <v>45138</v>
      </c>
      <c r="G4970">
        <v>113912610.508</v>
      </c>
      <c r="H4970">
        <v>74287548.016000003</v>
      </c>
      <c r="I4970">
        <v>54230777.792000003</v>
      </c>
      <c r="J4970">
        <v>7037673.216</v>
      </c>
      <c r="K4970">
        <v>5284987.38</v>
      </c>
      <c r="L4970">
        <v>0</v>
      </c>
      <c r="M4970">
        <v>3406628.8080000002</v>
      </c>
      <c r="N4970">
        <v>0</v>
      </c>
      <c r="O4970">
        <v>0</v>
      </c>
      <c r="P4970">
        <v>2286046.912</v>
      </c>
      <c r="Q4970">
        <v>0</v>
      </c>
      <c r="R4970">
        <v>0</v>
      </c>
      <c r="S4970">
        <v>25952168.036000002</v>
      </c>
      <c r="T4970" s="9">
        <v>45108</v>
      </c>
      <c r="U4970" s="9">
        <v>45473</v>
      </c>
      <c r="V4970">
        <f>SUM(POTABLE_NONPOTABLE_API[[#This Row],[RESIDENTIAL_SINGLEFAMILY_GAL]:[OTHER_GAL]])</f>
        <v>254753596.91199997</v>
      </c>
      <c r="W4970">
        <f>SUM(POTABLE_NONPOTABLE_API[[#This Row],[NONPOTABLE_DEMAND_RESIDENTIAL_RECYCLED_WATER_GAL]:[NONPOTABLE_DEMAND_NONRESIDENTIAL_METERED_IRRIGATION_GAL]])</f>
        <v>28238214.948000003</v>
      </c>
      <c r="X4970" t="str">
        <f>IFERROR(INDEX(Crosswalk_API!$H$2:$H$527, MATCH(POTABLE_NONPOTABLE_API[[#This Row],[PWSID]], CW_PWSID_LIST, 0)), "")</f>
        <v>No</v>
      </c>
    </row>
    <row r="4971" spans="1:24" x14ac:dyDescent="0.25">
      <c r="A4971" t="s">
        <v>2207</v>
      </c>
      <c r="B4971" t="s">
        <v>2208</v>
      </c>
      <c r="C4971" t="s">
        <v>2209</v>
      </c>
      <c r="D4971" t="s">
        <v>2210</v>
      </c>
      <c r="E4971" s="9">
        <v>45139</v>
      </c>
      <c r="F4971" s="9">
        <v>45169</v>
      </c>
      <c r="G4971">
        <v>130253806.448</v>
      </c>
      <c r="H4971">
        <v>74719174.019999996</v>
      </c>
      <c r="I4971">
        <v>54230777.792000003</v>
      </c>
      <c r="J4971">
        <v>9669320.1520000007</v>
      </c>
      <c r="K4971">
        <v>5097974.38</v>
      </c>
      <c r="L4971">
        <v>0</v>
      </c>
      <c r="M4971">
        <v>3921288.5840000003</v>
      </c>
      <c r="N4971">
        <v>0</v>
      </c>
      <c r="O4971">
        <v>0</v>
      </c>
      <c r="P4971">
        <v>2568810.568</v>
      </c>
      <c r="Q4971">
        <v>0</v>
      </c>
      <c r="R4971">
        <v>0</v>
      </c>
      <c r="S4971">
        <v>26953061.612</v>
      </c>
      <c r="T4971" s="9">
        <v>45108</v>
      </c>
      <c r="U4971" s="9">
        <v>45473</v>
      </c>
      <c r="V4971">
        <f>SUM(POTABLE_NONPOTABLE_API[[#This Row],[RESIDENTIAL_SINGLEFAMILY_GAL]:[OTHER_GAL]])</f>
        <v>273971052.792</v>
      </c>
      <c r="W4971">
        <f>SUM(POTABLE_NONPOTABLE_API[[#This Row],[NONPOTABLE_DEMAND_RESIDENTIAL_RECYCLED_WATER_GAL]:[NONPOTABLE_DEMAND_NONRESIDENTIAL_METERED_IRRIGATION_GAL]])</f>
        <v>29521872.18</v>
      </c>
      <c r="X4971" t="str">
        <f>IFERROR(INDEX(Crosswalk_API!$H$2:$H$527, MATCH(POTABLE_NONPOTABLE_API[[#This Row],[PWSID]], CW_PWSID_LIST, 0)), "")</f>
        <v>No</v>
      </c>
    </row>
    <row r="4972" spans="1:24" x14ac:dyDescent="0.25">
      <c r="A4972" t="s">
        <v>2207</v>
      </c>
      <c r="B4972" t="s">
        <v>2208</v>
      </c>
      <c r="C4972" t="s">
        <v>2209</v>
      </c>
      <c r="D4972" t="s">
        <v>2210</v>
      </c>
      <c r="E4972" s="9">
        <v>45170</v>
      </c>
      <c r="F4972" s="9">
        <v>45199</v>
      </c>
      <c r="G4972">
        <v>128430803.72400001</v>
      </c>
      <c r="H4972">
        <v>76207049.447999999</v>
      </c>
      <c r="I4972">
        <v>54230777.792000003</v>
      </c>
      <c r="J4972">
        <v>8683387.6160000004</v>
      </c>
      <c r="K4972">
        <v>5162306.852</v>
      </c>
      <c r="L4972">
        <v>0</v>
      </c>
      <c r="M4972">
        <v>3571200.2480000001</v>
      </c>
      <c r="N4972">
        <v>0</v>
      </c>
      <c r="O4972">
        <v>0</v>
      </c>
      <c r="P4972">
        <v>2474556.0160000003</v>
      </c>
      <c r="Q4972">
        <v>0</v>
      </c>
      <c r="R4972">
        <v>0</v>
      </c>
      <c r="S4972">
        <v>21582796.304000001</v>
      </c>
      <c r="T4972" s="9">
        <v>45108</v>
      </c>
      <c r="U4972" s="9">
        <v>45473</v>
      </c>
      <c r="V4972">
        <f>SUM(POTABLE_NONPOTABLE_API[[#This Row],[RESIDENTIAL_SINGLEFAMILY_GAL]:[OTHER_GAL]])</f>
        <v>272714325.43199998</v>
      </c>
      <c r="W4972">
        <f>SUM(POTABLE_NONPOTABLE_API[[#This Row],[NONPOTABLE_DEMAND_RESIDENTIAL_RECYCLED_WATER_GAL]:[NONPOTABLE_DEMAND_NONRESIDENTIAL_METERED_IRRIGATION_GAL]])</f>
        <v>24057352.32</v>
      </c>
      <c r="X4972" t="str">
        <f>IFERROR(INDEX(Crosswalk_API!$H$2:$H$527, MATCH(POTABLE_NONPOTABLE_API[[#This Row],[PWSID]], CW_PWSID_LIST, 0)), "")</f>
        <v>No</v>
      </c>
    </row>
    <row r="4973" spans="1:24" x14ac:dyDescent="0.25">
      <c r="A4973" t="s">
        <v>2207</v>
      </c>
      <c r="B4973" t="s">
        <v>2208</v>
      </c>
      <c r="C4973" t="s">
        <v>2209</v>
      </c>
      <c r="D4973" t="s">
        <v>2210</v>
      </c>
      <c r="E4973" s="9">
        <v>45200</v>
      </c>
      <c r="F4973" s="9">
        <v>45230</v>
      </c>
      <c r="G4973">
        <v>124203561.87200001</v>
      </c>
      <c r="H4973">
        <v>76625958.568000004</v>
      </c>
      <c r="I4973">
        <v>52501281.568000004</v>
      </c>
      <c r="J4973">
        <v>7218701.7999999998</v>
      </c>
      <c r="K4973">
        <v>4893008.1320000002</v>
      </c>
      <c r="L4973">
        <v>0</v>
      </c>
      <c r="M4973">
        <v>3958691.1839999999</v>
      </c>
      <c r="N4973">
        <v>0</v>
      </c>
      <c r="O4973">
        <v>0</v>
      </c>
      <c r="P4973">
        <v>2299511.8480000002</v>
      </c>
      <c r="Q4973">
        <v>0</v>
      </c>
      <c r="R4973">
        <v>0</v>
      </c>
      <c r="S4973">
        <v>20142048.151999999</v>
      </c>
      <c r="T4973" s="9">
        <v>45108</v>
      </c>
      <c r="U4973" s="9">
        <v>45473</v>
      </c>
      <c r="V4973">
        <f>SUM(POTABLE_NONPOTABLE_API[[#This Row],[RESIDENTIAL_SINGLEFAMILY_GAL]:[OTHER_GAL]])</f>
        <v>265442511.94000003</v>
      </c>
      <c r="W4973">
        <f>SUM(POTABLE_NONPOTABLE_API[[#This Row],[NONPOTABLE_DEMAND_RESIDENTIAL_RECYCLED_WATER_GAL]:[NONPOTABLE_DEMAND_NONRESIDENTIAL_METERED_IRRIGATION_GAL]])</f>
        <v>22441560</v>
      </c>
      <c r="X4973" t="str">
        <f>IFERROR(INDEX(Crosswalk_API!$H$2:$H$527, MATCH(POTABLE_NONPOTABLE_API[[#This Row],[PWSID]], CW_PWSID_LIST, 0)), "")</f>
        <v>No</v>
      </c>
    </row>
    <row r="4974" spans="1:24" x14ac:dyDescent="0.25">
      <c r="A4974" t="s">
        <v>2207</v>
      </c>
      <c r="B4974" t="s">
        <v>2208</v>
      </c>
      <c r="C4974" t="s">
        <v>2209</v>
      </c>
      <c r="D4974" t="s">
        <v>2210</v>
      </c>
      <c r="E4974" s="9">
        <v>45231</v>
      </c>
      <c r="F4974" s="9">
        <v>45260</v>
      </c>
      <c r="G4974">
        <v>116789618.5</v>
      </c>
      <c r="H4974">
        <v>66929708.544</v>
      </c>
      <c r="I4974">
        <v>42230527.608000003</v>
      </c>
      <c r="J4974">
        <v>6073434.1880000001</v>
      </c>
      <c r="K4974">
        <v>4379844.46</v>
      </c>
      <c r="L4974">
        <v>0</v>
      </c>
      <c r="M4974">
        <v>3749984.676</v>
      </c>
      <c r="N4974">
        <v>0</v>
      </c>
      <c r="O4974">
        <v>0</v>
      </c>
      <c r="P4974">
        <v>1907532.6</v>
      </c>
      <c r="Q4974">
        <v>0</v>
      </c>
      <c r="R4974">
        <v>0</v>
      </c>
      <c r="S4974">
        <v>16730931.032</v>
      </c>
      <c r="T4974" s="9">
        <v>45108</v>
      </c>
      <c r="U4974" s="9">
        <v>45473</v>
      </c>
      <c r="V4974">
        <f>SUM(POTABLE_NONPOTABLE_API[[#This Row],[RESIDENTIAL_SINGLEFAMILY_GAL]:[OTHER_GAL]])</f>
        <v>236403133.30000001</v>
      </c>
      <c r="W4974">
        <f>SUM(POTABLE_NONPOTABLE_API[[#This Row],[NONPOTABLE_DEMAND_RESIDENTIAL_RECYCLED_WATER_GAL]:[NONPOTABLE_DEMAND_NONRESIDENTIAL_METERED_IRRIGATION_GAL]])</f>
        <v>18638463.631999999</v>
      </c>
      <c r="X4974" t="str">
        <f>IFERROR(INDEX(Crosswalk_API!$H$2:$H$527, MATCH(POTABLE_NONPOTABLE_API[[#This Row],[PWSID]], CW_PWSID_LIST, 0)), "")</f>
        <v>No</v>
      </c>
    </row>
    <row r="4975" spans="1:24" x14ac:dyDescent="0.25">
      <c r="A4975" t="s">
        <v>2207</v>
      </c>
      <c r="B4975" t="s">
        <v>2208</v>
      </c>
      <c r="C4975" t="s">
        <v>2209</v>
      </c>
      <c r="D4975" t="s">
        <v>2210</v>
      </c>
      <c r="E4975" s="9">
        <v>45261</v>
      </c>
      <c r="F4975" s="9">
        <v>45291</v>
      </c>
      <c r="G4975">
        <v>105894989.17200001</v>
      </c>
      <c r="H4975">
        <v>68864919.068000004</v>
      </c>
      <c r="I4975">
        <v>45575068.100000001</v>
      </c>
      <c r="J4975">
        <v>4484571.74</v>
      </c>
      <c r="K4975">
        <v>3957195.08</v>
      </c>
      <c r="L4975">
        <v>0</v>
      </c>
      <c r="M4975">
        <v>2862046.952</v>
      </c>
      <c r="N4975">
        <v>0</v>
      </c>
      <c r="O4975">
        <v>0</v>
      </c>
      <c r="P4975">
        <v>1708550.7680000002</v>
      </c>
      <c r="Q4975">
        <v>0</v>
      </c>
      <c r="R4975">
        <v>0</v>
      </c>
      <c r="S4975">
        <v>11590317.688000001</v>
      </c>
      <c r="T4975" s="9">
        <v>45108</v>
      </c>
      <c r="U4975" s="9">
        <v>45473</v>
      </c>
      <c r="V4975">
        <f>SUM(POTABLE_NONPOTABLE_API[[#This Row],[RESIDENTIAL_SINGLEFAMILY_GAL]:[OTHER_GAL]])</f>
        <v>228776743.16000003</v>
      </c>
      <c r="W4975">
        <f>SUM(POTABLE_NONPOTABLE_API[[#This Row],[NONPOTABLE_DEMAND_RESIDENTIAL_RECYCLED_WATER_GAL]:[NONPOTABLE_DEMAND_NONRESIDENTIAL_METERED_IRRIGATION_GAL]])</f>
        <v>13298868.456</v>
      </c>
      <c r="X4975" t="str">
        <f>IFERROR(INDEX(Crosswalk_API!$H$2:$H$527, MATCH(POTABLE_NONPOTABLE_API[[#This Row],[PWSID]], CW_PWSID_LIST, 0)), "")</f>
        <v>No</v>
      </c>
    </row>
    <row r="4976" spans="1:24" x14ac:dyDescent="0.25">
      <c r="A4976" t="s">
        <v>2207</v>
      </c>
      <c r="B4976" t="s">
        <v>2208</v>
      </c>
      <c r="C4976" t="s">
        <v>2209</v>
      </c>
      <c r="D4976" t="s">
        <v>2210</v>
      </c>
      <c r="E4976" s="9">
        <v>45292</v>
      </c>
      <c r="F4976" s="9">
        <v>45322</v>
      </c>
      <c r="G4976">
        <v>79646592.544</v>
      </c>
      <c r="H4976">
        <v>65503921.432000004</v>
      </c>
      <c r="I4976">
        <v>41709135.364</v>
      </c>
      <c r="J4976">
        <v>2499989.784</v>
      </c>
      <c r="K4976">
        <v>3974400.2760000001</v>
      </c>
      <c r="L4976">
        <v>0</v>
      </c>
      <c r="M4976">
        <v>976955.91200000001</v>
      </c>
      <c r="N4976">
        <v>0</v>
      </c>
      <c r="O4976">
        <v>0</v>
      </c>
      <c r="P4976">
        <v>638088.35600000003</v>
      </c>
      <c r="Q4976">
        <v>0</v>
      </c>
      <c r="R4976">
        <v>0</v>
      </c>
      <c r="S4976">
        <v>3295169.06</v>
      </c>
      <c r="T4976" s="9">
        <v>45108</v>
      </c>
      <c r="U4976" s="9">
        <v>45473</v>
      </c>
      <c r="V4976">
        <f>SUM(POTABLE_NONPOTABLE_API[[#This Row],[RESIDENTIAL_SINGLEFAMILY_GAL]:[OTHER_GAL]])</f>
        <v>193334039.40000001</v>
      </c>
      <c r="W4976">
        <f>SUM(POTABLE_NONPOTABLE_API[[#This Row],[NONPOTABLE_DEMAND_RESIDENTIAL_RECYCLED_WATER_GAL]:[NONPOTABLE_DEMAND_NONRESIDENTIAL_METERED_IRRIGATION_GAL]])</f>
        <v>3933257.4160000002</v>
      </c>
      <c r="X4976" t="str">
        <f>IFERROR(INDEX(Crosswalk_API!$H$2:$H$527, MATCH(POTABLE_NONPOTABLE_API[[#This Row],[PWSID]], CW_PWSID_LIST, 0)), "")</f>
        <v>No</v>
      </c>
    </row>
    <row r="4977" spans="1:24" x14ac:dyDescent="0.25">
      <c r="A4977" t="s">
        <v>2207</v>
      </c>
      <c r="B4977" t="s">
        <v>2208</v>
      </c>
      <c r="C4977" t="s">
        <v>2209</v>
      </c>
      <c r="D4977" t="s">
        <v>2210</v>
      </c>
      <c r="E4977" s="9">
        <v>45323</v>
      </c>
      <c r="F4977" s="9">
        <v>45351</v>
      </c>
      <c r="G4977">
        <v>65199464.267999999</v>
      </c>
      <c r="H4977">
        <v>63333074.528000005</v>
      </c>
      <c r="I4977">
        <v>41493696.388000004</v>
      </c>
      <c r="J4977">
        <v>1131054.6240000001</v>
      </c>
      <c r="K4977">
        <v>3949714.56</v>
      </c>
      <c r="L4977">
        <v>0</v>
      </c>
      <c r="M4977">
        <v>448831.2</v>
      </c>
      <c r="N4977">
        <v>0</v>
      </c>
      <c r="O4977">
        <v>0</v>
      </c>
      <c r="P4977">
        <v>219927.288</v>
      </c>
      <c r="Q4977">
        <v>0</v>
      </c>
      <c r="R4977">
        <v>0</v>
      </c>
      <c r="S4977">
        <v>1533506.6</v>
      </c>
      <c r="T4977" s="9">
        <v>45108</v>
      </c>
      <c r="U4977" s="9">
        <v>45473</v>
      </c>
      <c r="V4977">
        <f>SUM(POTABLE_NONPOTABLE_API[[#This Row],[RESIDENTIAL_SINGLEFAMILY_GAL]:[OTHER_GAL]])</f>
        <v>175107004.36800003</v>
      </c>
      <c r="W4977">
        <f>SUM(POTABLE_NONPOTABLE_API[[#This Row],[NONPOTABLE_DEMAND_RESIDENTIAL_RECYCLED_WATER_GAL]:[NONPOTABLE_DEMAND_NONRESIDENTIAL_METERED_IRRIGATION_GAL]])</f>
        <v>1753433.888</v>
      </c>
      <c r="X4977" t="str">
        <f>IFERROR(INDEX(Crosswalk_API!$H$2:$H$527, MATCH(POTABLE_NONPOTABLE_API[[#This Row],[PWSID]], CW_PWSID_LIST, 0)), "")</f>
        <v>No</v>
      </c>
    </row>
    <row r="4978" spans="1:24" x14ac:dyDescent="0.25">
      <c r="A4978" t="s">
        <v>2207</v>
      </c>
      <c r="B4978" t="s">
        <v>2208</v>
      </c>
      <c r="C4978" t="s">
        <v>2209</v>
      </c>
      <c r="D4978" t="s">
        <v>2210</v>
      </c>
      <c r="E4978" s="9">
        <v>45352</v>
      </c>
      <c r="F4978" s="9">
        <v>45382</v>
      </c>
      <c r="G4978">
        <v>61896066.636</v>
      </c>
      <c r="H4978">
        <v>63725053.776000001</v>
      </c>
      <c r="I4978">
        <v>42819244.531999998</v>
      </c>
      <c r="J4978">
        <v>727106.54399999999</v>
      </c>
      <c r="K4978">
        <v>4101569.1159999999</v>
      </c>
      <c r="L4978">
        <v>0</v>
      </c>
      <c r="M4978">
        <v>247605.212</v>
      </c>
      <c r="N4978">
        <v>0</v>
      </c>
      <c r="O4978">
        <v>0</v>
      </c>
      <c r="P4978">
        <v>261070.14800000002</v>
      </c>
      <c r="Q4978">
        <v>0</v>
      </c>
      <c r="R4978">
        <v>0</v>
      </c>
      <c r="S4978">
        <v>1678628.6880000001</v>
      </c>
      <c r="T4978" s="9">
        <v>45108</v>
      </c>
      <c r="U4978" s="9">
        <v>45473</v>
      </c>
      <c r="V4978">
        <f>SUM(POTABLE_NONPOTABLE_API[[#This Row],[RESIDENTIAL_SINGLEFAMILY_GAL]:[OTHER_GAL]])</f>
        <v>173269040.604</v>
      </c>
      <c r="W4978">
        <f>SUM(POTABLE_NONPOTABLE_API[[#This Row],[NONPOTABLE_DEMAND_RESIDENTIAL_RECYCLED_WATER_GAL]:[NONPOTABLE_DEMAND_NONRESIDENTIAL_METERED_IRRIGATION_GAL]])</f>
        <v>1939698.8360000001</v>
      </c>
      <c r="X4978" t="str">
        <f>IFERROR(INDEX(Crosswalk_API!$H$2:$H$527, MATCH(POTABLE_NONPOTABLE_API[[#This Row],[PWSID]], CW_PWSID_LIST, 0)), "")</f>
        <v>No</v>
      </c>
    </row>
    <row r="4979" spans="1:24" x14ac:dyDescent="0.25">
      <c r="A4979" t="s">
        <v>2207</v>
      </c>
      <c r="B4979" t="s">
        <v>2208</v>
      </c>
      <c r="C4979" t="s">
        <v>2209</v>
      </c>
      <c r="D4979" t="s">
        <v>2210</v>
      </c>
      <c r="E4979" s="9">
        <v>45383</v>
      </c>
      <c r="F4979" s="9">
        <v>45412</v>
      </c>
      <c r="G4979">
        <v>68591132.035999998</v>
      </c>
      <c r="H4979">
        <v>64613739.552000001</v>
      </c>
      <c r="I4979">
        <v>43567296.531999998</v>
      </c>
      <c r="J4979">
        <v>1621028.6840000001</v>
      </c>
      <c r="K4979">
        <v>4152436.6520000002</v>
      </c>
      <c r="L4979">
        <v>0</v>
      </c>
      <c r="M4979">
        <v>607418.22400000005</v>
      </c>
      <c r="N4979">
        <v>0</v>
      </c>
      <c r="O4979">
        <v>0</v>
      </c>
      <c r="P4979">
        <v>596945.49600000004</v>
      </c>
      <c r="Q4979">
        <v>0</v>
      </c>
      <c r="R4979">
        <v>0</v>
      </c>
      <c r="S4979">
        <v>3212135.2880000002</v>
      </c>
      <c r="T4979" s="9">
        <v>45108</v>
      </c>
      <c r="U4979" s="9">
        <v>45473</v>
      </c>
      <c r="V4979">
        <f>SUM(POTABLE_NONPOTABLE_API[[#This Row],[RESIDENTIAL_SINGLEFAMILY_GAL]:[OTHER_GAL]])</f>
        <v>182545633.456</v>
      </c>
      <c r="W4979">
        <f>SUM(POTABLE_NONPOTABLE_API[[#This Row],[NONPOTABLE_DEMAND_RESIDENTIAL_RECYCLED_WATER_GAL]:[NONPOTABLE_DEMAND_NONRESIDENTIAL_METERED_IRRIGATION_GAL]])</f>
        <v>3809080.784</v>
      </c>
      <c r="X4979" t="str">
        <f>IFERROR(INDEX(Crosswalk_API!$H$2:$H$527, MATCH(POTABLE_NONPOTABLE_API[[#This Row],[PWSID]], CW_PWSID_LIST, 0)), "")</f>
        <v>No</v>
      </c>
    </row>
    <row r="4980" spans="1:24" x14ac:dyDescent="0.25">
      <c r="A4980" t="s">
        <v>2207</v>
      </c>
      <c r="B4980" t="s">
        <v>2208</v>
      </c>
      <c r="C4980" t="s">
        <v>2209</v>
      </c>
      <c r="D4980" t="s">
        <v>2210</v>
      </c>
      <c r="E4980" s="9">
        <v>45413</v>
      </c>
      <c r="F4980" s="9">
        <v>45443</v>
      </c>
      <c r="G4980">
        <v>77156327.436000004</v>
      </c>
      <c r="H4980">
        <v>64309282.388000004</v>
      </c>
      <c r="I4980">
        <v>45792003.18</v>
      </c>
      <c r="J4980">
        <v>2802950.844</v>
      </c>
      <c r="K4980">
        <v>4419491.216</v>
      </c>
      <c r="L4980">
        <v>0</v>
      </c>
      <c r="M4980">
        <v>977703.96400000004</v>
      </c>
      <c r="N4980">
        <v>0</v>
      </c>
      <c r="O4980">
        <v>0</v>
      </c>
      <c r="P4980">
        <v>1044280.5920000001</v>
      </c>
      <c r="Q4980">
        <v>0</v>
      </c>
      <c r="R4980">
        <v>0</v>
      </c>
      <c r="S4980">
        <v>10203429.280000001</v>
      </c>
      <c r="T4980" s="9">
        <v>45108</v>
      </c>
      <c r="U4980" s="9">
        <v>45473</v>
      </c>
      <c r="V4980">
        <f>SUM(POTABLE_NONPOTABLE_API[[#This Row],[RESIDENTIAL_SINGLEFAMILY_GAL]:[OTHER_GAL]])</f>
        <v>194480055.06400001</v>
      </c>
      <c r="W4980">
        <f>SUM(POTABLE_NONPOTABLE_API[[#This Row],[NONPOTABLE_DEMAND_RESIDENTIAL_RECYCLED_WATER_GAL]:[NONPOTABLE_DEMAND_NONRESIDENTIAL_METERED_IRRIGATION_GAL]])</f>
        <v>11247709.872000001</v>
      </c>
      <c r="X4980" t="str">
        <f>IFERROR(INDEX(Crosswalk_API!$H$2:$H$527, MATCH(POTABLE_NONPOTABLE_API[[#This Row],[PWSID]], CW_PWSID_LIST, 0)), "")</f>
        <v>No</v>
      </c>
    </row>
    <row r="4981" spans="1:24" x14ac:dyDescent="0.25">
      <c r="A4981" t="s">
        <v>2207</v>
      </c>
      <c r="B4981" t="s">
        <v>2208</v>
      </c>
      <c r="C4981" t="s">
        <v>2209</v>
      </c>
      <c r="D4981" t="s">
        <v>2210</v>
      </c>
      <c r="E4981" s="9">
        <v>45444</v>
      </c>
      <c r="F4981" s="9">
        <v>45473</v>
      </c>
      <c r="G4981">
        <v>103963518.90800001</v>
      </c>
      <c r="H4981">
        <v>71947641.359999999</v>
      </c>
      <c r="I4981">
        <v>52190839.987999998</v>
      </c>
      <c r="J4981">
        <v>5154826.3320000004</v>
      </c>
      <c r="K4981">
        <v>5059823.7280000001</v>
      </c>
      <c r="L4981">
        <v>0</v>
      </c>
      <c r="M4981">
        <v>2051158.584</v>
      </c>
      <c r="N4981">
        <v>0</v>
      </c>
      <c r="O4981">
        <v>0</v>
      </c>
      <c r="P4981">
        <v>2411719.648</v>
      </c>
      <c r="Q4981">
        <v>0</v>
      </c>
      <c r="R4981">
        <v>0</v>
      </c>
      <c r="S4981">
        <v>18594328.563999999</v>
      </c>
      <c r="T4981" s="9">
        <v>45108</v>
      </c>
      <c r="U4981" s="9">
        <v>45473</v>
      </c>
      <c r="V4981">
        <f>SUM(POTABLE_NONPOTABLE_API[[#This Row],[RESIDENTIAL_SINGLEFAMILY_GAL]:[OTHER_GAL]])</f>
        <v>238316650.31599998</v>
      </c>
      <c r="W4981">
        <f>SUM(POTABLE_NONPOTABLE_API[[#This Row],[NONPOTABLE_DEMAND_RESIDENTIAL_RECYCLED_WATER_GAL]:[NONPOTABLE_DEMAND_NONRESIDENTIAL_METERED_IRRIGATION_GAL]])</f>
        <v>21006048.211999997</v>
      </c>
      <c r="X4981" t="str">
        <f>IFERROR(INDEX(Crosswalk_API!$H$2:$H$527, MATCH(POTABLE_NONPOTABLE_API[[#This Row],[PWSID]], CW_PWSID_LIST, 0)), "")</f>
        <v>No</v>
      </c>
    </row>
    <row r="4982" spans="1:24" x14ac:dyDescent="0.25">
      <c r="A4982" t="s">
        <v>2211</v>
      </c>
      <c r="B4982" t="s">
        <v>2212</v>
      </c>
      <c r="C4982" t="s">
        <v>2213</v>
      </c>
      <c r="D4982" t="s">
        <v>2214</v>
      </c>
      <c r="E4982" s="9">
        <v>45108</v>
      </c>
      <c r="F4982" s="9">
        <v>45138</v>
      </c>
      <c r="G4982">
        <v>126900000</v>
      </c>
      <c r="H4982">
        <v>111500000</v>
      </c>
      <c r="I4982">
        <v>186800000</v>
      </c>
      <c r="J4982">
        <v>0</v>
      </c>
      <c r="K4982">
        <v>41800000</v>
      </c>
      <c r="L4982">
        <v>200000</v>
      </c>
      <c r="M4982">
        <v>0</v>
      </c>
      <c r="N4982">
        <v>10800000</v>
      </c>
      <c r="O4982">
        <v>0</v>
      </c>
      <c r="P4982">
        <v>0</v>
      </c>
      <c r="Q4982">
        <v>84600000</v>
      </c>
      <c r="R4982">
        <v>0</v>
      </c>
      <c r="S4982">
        <v>0</v>
      </c>
      <c r="T4982" s="9">
        <v>45108</v>
      </c>
      <c r="U4982" s="9">
        <v>45473</v>
      </c>
      <c r="V4982">
        <f>SUM(POTABLE_NONPOTABLE_API[[#This Row],[RESIDENTIAL_SINGLEFAMILY_GAL]:[OTHER_GAL]])</f>
        <v>467200000</v>
      </c>
      <c r="W4982">
        <f>SUM(POTABLE_NONPOTABLE_API[[#This Row],[NONPOTABLE_DEMAND_RESIDENTIAL_RECYCLED_WATER_GAL]:[NONPOTABLE_DEMAND_NONRESIDENTIAL_METERED_IRRIGATION_GAL]])</f>
        <v>95400000</v>
      </c>
      <c r="X4982" t="str">
        <f>IFERROR(INDEX(Crosswalk_API!$H$2:$H$527, MATCH(POTABLE_NONPOTABLE_API[[#This Row],[PWSID]], CW_PWSID_LIST, 0)), "")</f>
        <v>No</v>
      </c>
    </row>
    <row r="4983" spans="1:24" x14ac:dyDescent="0.25">
      <c r="A4983" t="s">
        <v>2211</v>
      </c>
      <c r="B4983" t="s">
        <v>2212</v>
      </c>
      <c r="C4983" t="s">
        <v>2213</v>
      </c>
      <c r="D4983" t="s">
        <v>2214</v>
      </c>
      <c r="E4983" s="9">
        <v>45139</v>
      </c>
      <c r="F4983" s="9">
        <v>45169</v>
      </c>
      <c r="G4983">
        <v>139400000</v>
      </c>
      <c r="H4983">
        <v>137300000</v>
      </c>
      <c r="I4983">
        <v>229100000</v>
      </c>
      <c r="J4983">
        <v>0</v>
      </c>
      <c r="K4983">
        <v>45300000</v>
      </c>
      <c r="L4983">
        <v>23200000</v>
      </c>
      <c r="M4983">
        <v>0</v>
      </c>
      <c r="N4983">
        <v>54196367.399999999</v>
      </c>
      <c r="O4983">
        <v>0</v>
      </c>
      <c r="P4983">
        <v>0</v>
      </c>
      <c r="Q4983">
        <v>221494456.94</v>
      </c>
      <c r="R4983">
        <v>0</v>
      </c>
      <c r="S4983">
        <v>0</v>
      </c>
      <c r="T4983" s="9">
        <v>45108</v>
      </c>
      <c r="U4983" s="9">
        <v>45473</v>
      </c>
      <c r="V4983">
        <f>SUM(POTABLE_NONPOTABLE_API[[#This Row],[RESIDENTIAL_SINGLEFAMILY_GAL]:[OTHER_GAL]])</f>
        <v>574300000</v>
      </c>
      <c r="W4983">
        <f>SUM(POTABLE_NONPOTABLE_API[[#This Row],[NONPOTABLE_DEMAND_RESIDENTIAL_RECYCLED_WATER_GAL]:[NONPOTABLE_DEMAND_NONRESIDENTIAL_METERED_IRRIGATION_GAL]])</f>
        <v>275690824.33999997</v>
      </c>
      <c r="X4983" t="str">
        <f>IFERROR(INDEX(Crosswalk_API!$H$2:$H$527, MATCH(POTABLE_NONPOTABLE_API[[#This Row],[PWSID]], CW_PWSID_LIST, 0)), "")</f>
        <v>No</v>
      </c>
    </row>
    <row r="4984" spans="1:24" x14ac:dyDescent="0.25">
      <c r="A4984" t="s">
        <v>2211</v>
      </c>
      <c r="B4984" t="s">
        <v>2212</v>
      </c>
      <c r="C4984" t="s">
        <v>2213</v>
      </c>
      <c r="D4984" t="s">
        <v>2214</v>
      </c>
      <c r="E4984" s="9">
        <v>45170</v>
      </c>
      <c r="F4984" s="9">
        <v>45199</v>
      </c>
      <c r="G4984">
        <v>115900000</v>
      </c>
      <c r="H4984">
        <v>100600000</v>
      </c>
      <c r="I4984">
        <v>183700000</v>
      </c>
      <c r="J4984">
        <v>0</v>
      </c>
      <c r="K4984">
        <v>42900000</v>
      </c>
      <c r="L4984">
        <v>300000</v>
      </c>
      <c r="M4984">
        <v>0</v>
      </c>
      <c r="N4984">
        <v>0</v>
      </c>
      <c r="O4984">
        <v>0</v>
      </c>
      <c r="P4984">
        <v>400000</v>
      </c>
      <c r="Q4984">
        <v>97200000</v>
      </c>
      <c r="R4984">
        <v>0</v>
      </c>
      <c r="S4984">
        <v>0</v>
      </c>
      <c r="T4984" s="9">
        <v>45108</v>
      </c>
      <c r="U4984" s="9">
        <v>45473</v>
      </c>
      <c r="V4984">
        <f>SUM(POTABLE_NONPOTABLE_API[[#This Row],[RESIDENTIAL_SINGLEFAMILY_GAL]:[OTHER_GAL]])</f>
        <v>443400000</v>
      </c>
      <c r="W4984">
        <f>SUM(POTABLE_NONPOTABLE_API[[#This Row],[NONPOTABLE_DEMAND_RESIDENTIAL_RECYCLED_WATER_GAL]:[NONPOTABLE_DEMAND_NONRESIDENTIAL_METERED_IRRIGATION_GAL]])</f>
        <v>97600000</v>
      </c>
      <c r="X4984" t="str">
        <f>IFERROR(INDEX(Crosswalk_API!$H$2:$H$527, MATCH(POTABLE_NONPOTABLE_API[[#This Row],[PWSID]], CW_PWSID_LIST, 0)), "")</f>
        <v>No</v>
      </c>
    </row>
    <row r="4985" spans="1:24" x14ac:dyDescent="0.25">
      <c r="A4985" t="s">
        <v>2211</v>
      </c>
      <c r="B4985" t="s">
        <v>2212</v>
      </c>
      <c r="C4985" t="s">
        <v>2213</v>
      </c>
      <c r="D4985" t="s">
        <v>2214</v>
      </c>
      <c r="E4985" s="9">
        <v>45200</v>
      </c>
      <c r="F4985" s="9">
        <v>45230</v>
      </c>
      <c r="G4985">
        <v>116100000</v>
      </c>
      <c r="H4985">
        <v>111900000</v>
      </c>
      <c r="I4985">
        <v>191500000</v>
      </c>
      <c r="J4985">
        <v>0</v>
      </c>
      <c r="K4985">
        <v>39800000</v>
      </c>
      <c r="L4985">
        <v>21700000</v>
      </c>
      <c r="M4985">
        <v>0</v>
      </c>
      <c r="N4985">
        <v>12700000</v>
      </c>
      <c r="O4985">
        <v>0</v>
      </c>
      <c r="Q4985">
        <v>156400000</v>
      </c>
      <c r="R4985">
        <v>0</v>
      </c>
      <c r="T4985" s="9">
        <v>45108</v>
      </c>
      <c r="U4985" s="9">
        <v>45473</v>
      </c>
      <c r="V4985">
        <f>SUM(POTABLE_NONPOTABLE_API[[#This Row],[RESIDENTIAL_SINGLEFAMILY_GAL]:[OTHER_GAL]])</f>
        <v>481000000</v>
      </c>
      <c r="W4985">
        <f>SUM(POTABLE_NONPOTABLE_API[[#This Row],[NONPOTABLE_DEMAND_RESIDENTIAL_RECYCLED_WATER_GAL]:[NONPOTABLE_DEMAND_NONRESIDENTIAL_METERED_IRRIGATION_GAL]])</f>
        <v>169100000</v>
      </c>
      <c r="X4985" t="str">
        <f>IFERROR(INDEX(Crosswalk_API!$H$2:$H$527, MATCH(POTABLE_NONPOTABLE_API[[#This Row],[PWSID]], CW_PWSID_LIST, 0)), "")</f>
        <v>No</v>
      </c>
    </row>
    <row r="4986" spans="1:24" x14ac:dyDescent="0.25">
      <c r="A4986" t="s">
        <v>2211</v>
      </c>
      <c r="B4986" t="s">
        <v>2212</v>
      </c>
      <c r="C4986" t="s">
        <v>2213</v>
      </c>
      <c r="D4986" t="s">
        <v>2214</v>
      </c>
      <c r="E4986" s="9">
        <v>45231</v>
      </c>
      <c r="F4986" s="9">
        <v>45260</v>
      </c>
      <c r="G4986">
        <v>103000000</v>
      </c>
      <c r="H4986">
        <v>109000000</v>
      </c>
      <c r="I4986">
        <v>180900000</v>
      </c>
      <c r="J4986">
        <v>0</v>
      </c>
      <c r="K4986">
        <v>38800000</v>
      </c>
      <c r="L4986">
        <v>200000</v>
      </c>
      <c r="M4986">
        <v>0</v>
      </c>
      <c r="N4986">
        <v>10500000</v>
      </c>
      <c r="O4986">
        <v>0</v>
      </c>
      <c r="P4986">
        <v>0</v>
      </c>
      <c r="Q4986">
        <v>77900000</v>
      </c>
      <c r="R4986">
        <v>0</v>
      </c>
      <c r="S4986">
        <v>0</v>
      </c>
      <c r="T4986" s="9">
        <v>45108</v>
      </c>
      <c r="U4986" s="9">
        <v>45473</v>
      </c>
      <c r="V4986">
        <f>SUM(POTABLE_NONPOTABLE_API[[#This Row],[RESIDENTIAL_SINGLEFAMILY_GAL]:[OTHER_GAL]])</f>
        <v>431900000</v>
      </c>
      <c r="W4986">
        <f>SUM(POTABLE_NONPOTABLE_API[[#This Row],[NONPOTABLE_DEMAND_RESIDENTIAL_RECYCLED_WATER_GAL]:[NONPOTABLE_DEMAND_NONRESIDENTIAL_METERED_IRRIGATION_GAL]])</f>
        <v>88400000</v>
      </c>
      <c r="X4986" t="str">
        <f>IFERROR(INDEX(Crosswalk_API!$H$2:$H$527, MATCH(POTABLE_NONPOTABLE_API[[#This Row],[PWSID]], CW_PWSID_LIST, 0)), "")</f>
        <v>No</v>
      </c>
    </row>
    <row r="4987" spans="1:24" x14ac:dyDescent="0.25">
      <c r="A4987" t="s">
        <v>2211</v>
      </c>
      <c r="B4987" t="s">
        <v>2212</v>
      </c>
      <c r="C4987" t="s">
        <v>2213</v>
      </c>
      <c r="D4987" t="s">
        <v>2214</v>
      </c>
      <c r="E4987" s="9">
        <v>45261</v>
      </c>
      <c r="F4987" s="9">
        <v>45291</v>
      </c>
      <c r="G4987">
        <v>86500000</v>
      </c>
      <c r="H4987">
        <v>100500000</v>
      </c>
      <c r="I4987">
        <v>146800000</v>
      </c>
      <c r="J4987">
        <v>0</v>
      </c>
      <c r="K4987">
        <v>33000000</v>
      </c>
      <c r="L4987">
        <v>7300000</v>
      </c>
      <c r="M4987">
        <v>0</v>
      </c>
      <c r="N4987">
        <v>6200000</v>
      </c>
      <c r="O4987">
        <v>0</v>
      </c>
      <c r="Q4987">
        <v>100100000</v>
      </c>
      <c r="R4987">
        <v>0</v>
      </c>
      <c r="T4987" s="9">
        <v>45108</v>
      </c>
      <c r="U4987" s="9">
        <v>45473</v>
      </c>
      <c r="V4987">
        <f>SUM(POTABLE_NONPOTABLE_API[[#This Row],[RESIDENTIAL_SINGLEFAMILY_GAL]:[OTHER_GAL]])</f>
        <v>374100000</v>
      </c>
      <c r="W4987">
        <f>SUM(POTABLE_NONPOTABLE_API[[#This Row],[NONPOTABLE_DEMAND_RESIDENTIAL_RECYCLED_WATER_GAL]:[NONPOTABLE_DEMAND_NONRESIDENTIAL_METERED_IRRIGATION_GAL]])</f>
        <v>106300000</v>
      </c>
      <c r="X4987" t="str">
        <f>IFERROR(INDEX(Crosswalk_API!$H$2:$H$527, MATCH(POTABLE_NONPOTABLE_API[[#This Row],[PWSID]], CW_PWSID_LIST, 0)), "")</f>
        <v>No</v>
      </c>
    </row>
    <row r="4988" spans="1:24" x14ac:dyDescent="0.25">
      <c r="A4988" t="s">
        <v>2211</v>
      </c>
      <c r="B4988" t="s">
        <v>2212</v>
      </c>
      <c r="C4988" t="s">
        <v>2213</v>
      </c>
      <c r="D4988" t="s">
        <v>2214</v>
      </c>
      <c r="E4988" s="9">
        <v>45292</v>
      </c>
      <c r="F4988" s="9">
        <v>45322</v>
      </c>
      <c r="G4988">
        <v>78000000</v>
      </c>
      <c r="H4988">
        <v>95300000</v>
      </c>
      <c r="I4988">
        <v>136700000</v>
      </c>
      <c r="J4988">
        <v>0</v>
      </c>
      <c r="K4988">
        <v>28300000</v>
      </c>
      <c r="L4988">
        <v>100000</v>
      </c>
      <c r="M4988">
        <v>0</v>
      </c>
      <c r="N4988">
        <v>3200000</v>
      </c>
      <c r="O4988">
        <v>0</v>
      </c>
      <c r="Q4988">
        <v>43900000</v>
      </c>
      <c r="R4988">
        <v>0</v>
      </c>
      <c r="T4988" s="9">
        <v>45108</v>
      </c>
      <c r="U4988" s="9">
        <v>45473</v>
      </c>
      <c r="V4988">
        <f>SUM(POTABLE_NONPOTABLE_API[[#This Row],[RESIDENTIAL_SINGLEFAMILY_GAL]:[OTHER_GAL]])</f>
        <v>338400000</v>
      </c>
      <c r="W4988">
        <f>SUM(POTABLE_NONPOTABLE_API[[#This Row],[NONPOTABLE_DEMAND_RESIDENTIAL_RECYCLED_WATER_GAL]:[NONPOTABLE_DEMAND_NONRESIDENTIAL_METERED_IRRIGATION_GAL]])</f>
        <v>47100000</v>
      </c>
      <c r="X4988" t="str">
        <f>IFERROR(INDEX(Crosswalk_API!$H$2:$H$527, MATCH(POTABLE_NONPOTABLE_API[[#This Row],[PWSID]], CW_PWSID_LIST, 0)), "")</f>
        <v>No</v>
      </c>
    </row>
    <row r="4989" spans="1:24" x14ac:dyDescent="0.25">
      <c r="A4989" t="s">
        <v>2211</v>
      </c>
      <c r="B4989" t="s">
        <v>2212</v>
      </c>
      <c r="C4989" t="s">
        <v>2213</v>
      </c>
      <c r="D4989" t="s">
        <v>2214</v>
      </c>
      <c r="E4989" s="9">
        <v>45323</v>
      </c>
      <c r="F4989" s="9">
        <v>45351</v>
      </c>
      <c r="G4989">
        <v>74200000</v>
      </c>
      <c r="H4989">
        <v>97900000</v>
      </c>
      <c r="I4989">
        <v>122300000</v>
      </c>
      <c r="J4989">
        <v>0</v>
      </c>
      <c r="K4989">
        <v>29000000</v>
      </c>
      <c r="L4989">
        <v>8700000</v>
      </c>
      <c r="M4989">
        <v>0</v>
      </c>
      <c r="N4989">
        <v>0</v>
      </c>
      <c r="O4989">
        <v>0</v>
      </c>
      <c r="Q4989">
        <v>1800000</v>
      </c>
      <c r="R4989">
        <v>85000000</v>
      </c>
      <c r="T4989" s="9">
        <v>45108</v>
      </c>
      <c r="U4989" s="9">
        <v>45473</v>
      </c>
      <c r="V4989">
        <f>SUM(POTABLE_NONPOTABLE_API[[#This Row],[RESIDENTIAL_SINGLEFAMILY_GAL]:[OTHER_GAL]])</f>
        <v>332100000</v>
      </c>
      <c r="W4989">
        <f>SUM(POTABLE_NONPOTABLE_API[[#This Row],[NONPOTABLE_DEMAND_RESIDENTIAL_RECYCLED_WATER_GAL]:[NONPOTABLE_DEMAND_NONRESIDENTIAL_METERED_IRRIGATION_GAL]])</f>
        <v>86800000</v>
      </c>
      <c r="X4989" t="str">
        <f>IFERROR(INDEX(Crosswalk_API!$H$2:$H$527, MATCH(POTABLE_NONPOTABLE_API[[#This Row],[PWSID]], CW_PWSID_LIST, 0)), "")</f>
        <v>No</v>
      </c>
    </row>
    <row r="4990" spans="1:24" x14ac:dyDescent="0.25">
      <c r="A4990" t="s">
        <v>2211</v>
      </c>
      <c r="B4990" t="s">
        <v>2212</v>
      </c>
      <c r="C4990" t="s">
        <v>2213</v>
      </c>
      <c r="D4990" t="s">
        <v>2214</v>
      </c>
      <c r="E4990" s="9">
        <v>45352</v>
      </c>
      <c r="F4990" s="9">
        <v>45382</v>
      </c>
      <c r="G4990">
        <v>74800000</v>
      </c>
      <c r="H4990">
        <v>96700000</v>
      </c>
      <c r="I4990">
        <v>117000000</v>
      </c>
      <c r="J4990">
        <v>0</v>
      </c>
      <c r="K4990">
        <v>28700000</v>
      </c>
      <c r="L4990">
        <v>100000</v>
      </c>
      <c r="M4990">
        <v>0</v>
      </c>
      <c r="N4990">
        <v>1300000</v>
      </c>
      <c r="O4990">
        <v>0</v>
      </c>
      <c r="P4990">
        <v>0</v>
      </c>
      <c r="Q4990">
        <v>36800000</v>
      </c>
      <c r="R4990">
        <v>0</v>
      </c>
      <c r="S4990">
        <v>0</v>
      </c>
      <c r="T4990" s="9">
        <v>45108</v>
      </c>
      <c r="U4990" s="9">
        <v>45473</v>
      </c>
      <c r="V4990">
        <f>SUM(POTABLE_NONPOTABLE_API[[#This Row],[RESIDENTIAL_SINGLEFAMILY_GAL]:[OTHER_GAL]])</f>
        <v>317300000</v>
      </c>
      <c r="W4990">
        <f>SUM(POTABLE_NONPOTABLE_API[[#This Row],[NONPOTABLE_DEMAND_RESIDENTIAL_RECYCLED_WATER_GAL]:[NONPOTABLE_DEMAND_NONRESIDENTIAL_METERED_IRRIGATION_GAL]])</f>
        <v>38100000</v>
      </c>
      <c r="X4990" t="str">
        <f>IFERROR(INDEX(Crosswalk_API!$H$2:$H$527, MATCH(POTABLE_NONPOTABLE_API[[#This Row],[PWSID]], CW_PWSID_LIST, 0)), "")</f>
        <v>No</v>
      </c>
    </row>
    <row r="4991" spans="1:24" x14ac:dyDescent="0.25">
      <c r="A4991" t="s">
        <v>2211</v>
      </c>
      <c r="B4991" t="s">
        <v>2212</v>
      </c>
      <c r="C4991" t="s">
        <v>2213</v>
      </c>
      <c r="D4991" t="s">
        <v>2214</v>
      </c>
      <c r="E4991" s="9">
        <v>45383</v>
      </c>
      <c r="F4991" s="9">
        <v>45412</v>
      </c>
      <c r="G4991">
        <v>79510000</v>
      </c>
      <c r="H4991">
        <v>99450000</v>
      </c>
      <c r="I4991">
        <v>136000000</v>
      </c>
      <c r="J4991">
        <v>0</v>
      </c>
      <c r="K4991">
        <v>31400000</v>
      </c>
      <c r="L4991">
        <v>5800000</v>
      </c>
      <c r="M4991">
        <v>0</v>
      </c>
      <c r="N4991">
        <v>3000000</v>
      </c>
      <c r="O4991">
        <v>0</v>
      </c>
      <c r="Q4991">
        <v>63700000</v>
      </c>
      <c r="R4991">
        <v>0</v>
      </c>
      <c r="T4991" s="9">
        <v>45108</v>
      </c>
      <c r="U4991" s="9">
        <v>45473</v>
      </c>
      <c r="V4991">
        <f>SUM(POTABLE_NONPOTABLE_API[[#This Row],[RESIDENTIAL_SINGLEFAMILY_GAL]:[OTHER_GAL]])</f>
        <v>352160000</v>
      </c>
      <c r="W4991">
        <f>SUM(POTABLE_NONPOTABLE_API[[#This Row],[NONPOTABLE_DEMAND_RESIDENTIAL_RECYCLED_WATER_GAL]:[NONPOTABLE_DEMAND_NONRESIDENTIAL_METERED_IRRIGATION_GAL]])</f>
        <v>66700000</v>
      </c>
      <c r="X4991" t="str">
        <f>IFERROR(INDEX(Crosswalk_API!$H$2:$H$527, MATCH(POTABLE_NONPOTABLE_API[[#This Row],[PWSID]], CW_PWSID_LIST, 0)), "")</f>
        <v>No</v>
      </c>
    </row>
    <row r="4992" spans="1:24" x14ac:dyDescent="0.25">
      <c r="A4992" t="s">
        <v>2211</v>
      </c>
      <c r="B4992" t="s">
        <v>2212</v>
      </c>
      <c r="C4992" t="s">
        <v>2213</v>
      </c>
      <c r="D4992" t="s">
        <v>2214</v>
      </c>
      <c r="E4992" s="9">
        <v>45413</v>
      </c>
      <c r="F4992" s="9">
        <v>45443</v>
      </c>
      <c r="G4992">
        <v>104390000</v>
      </c>
      <c r="H4992">
        <v>112850000</v>
      </c>
      <c r="I4992">
        <v>157000000</v>
      </c>
      <c r="J4992">
        <v>0</v>
      </c>
      <c r="K4992">
        <v>33400000</v>
      </c>
      <c r="L4992">
        <v>200000</v>
      </c>
      <c r="M4992">
        <v>0</v>
      </c>
      <c r="N4992">
        <v>11600000</v>
      </c>
      <c r="O4992">
        <v>0</v>
      </c>
      <c r="P4992">
        <v>0</v>
      </c>
      <c r="Q4992">
        <v>60300000</v>
      </c>
      <c r="R4992">
        <v>0</v>
      </c>
      <c r="S4992">
        <v>0</v>
      </c>
      <c r="T4992" s="9">
        <v>45108</v>
      </c>
      <c r="U4992" s="9">
        <v>45473</v>
      </c>
      <c r="V4992">
        <f>SUM(POTABLE_NONPOTABLE_API[[#This Row],[RESIDENTIAL_SINGLEFAMILY_GAL]:[OTHER_GAL]])</f>
        <v>407840000</v>
      </c>
      <c r="W4992">
        <f>SUM(POTABLE_NONPOTABLE_API[[#This Row],[NONPOTABLE_DEMAND_RESIDENTIAL_RECYCLED_WATER_GAL]:[NONPOTABLE_DEMAND_NONRESIDENTIAL_METERED_IRRIGATION_GAL]])</f>
        <v>71900000</v>
      </c>
      <c r="X4992" t="str">
        <f>IFERROR(INDEX(Crosswalk_API!$H$2:$H$527, MATCH(POTABLE_NONPOTABLE_API[[#This Row],[PWSID]], CW_PWSID_LIST, 0)), "")</f>
        <v>No</v>
      </c>
    </row>
    <row r="4993" spans="1:24" x14ac:dyDescent="0.25">
      <c r="A4993" t="s">
        <v>2211</v>
      </c>
      <c r="B4993" t="s">
        <v>2212</v>
      </c>
      <c r="C4993" t="s">
        <v>2213</v>
      </c>
      <c r="D4993" t="s">
        <v>2214</v>
      </c>
      <c r="E4993" s="9">
        <v>45444</v>
      </c>
      <c r="F4993" s="9">
        <v>45473</v>
      </c>
      <c r="G4993">
        <v>123700000</v>
      </c>
      <c r="H4993">
        <v>111300000</v>
      </c>
      <c r="I4993">
        <v>182400000</v>
      </c>
      <c r="J4993">
        <v>0</v>
      </c>
      <c r="K4993">
        <v>40600000</v>
      </c>
      <c r="L4993">
        <v>17100000</v>
      </c>
      <c r="M4993">
        <v>0</v>
      </c>
      <c r="N4993">
        <v>0</v>
      </c>
      <c r="O4993">
        <v>0</v>
      </c>
      <c r="P4993">
        <v>7500000</v>
      </c>
      <c r="Q4993">
        <v>136800000</v>
      </c>
      <c r="R4993">
        <v>0</v>
      </c>
      <c r="S4993">
        <v>0</v>
      </c>
      <c r="T4993" s="9">
        <v>45108</v>
      </c>
      <c r="U4993" s="9">
        <v>45473</v>
      </c>
      <c r="V4993">
        <f>SUM(POTABLE_NONPOTABLE_API[[#This Row],[RESIDENTIAL_SINGLEFAMILY_GAL]:[OTHER_GAL]])</f>
        <v>475100000</v>
      </c>
      <c r="W4993">
        <f>SUM(POTABLE_NONPOTABLE_API[[#This Row],[NONPOTABLE_DEMAND_RESIDENTIAL_RECYCLED_WATER_GAL]:[NONPOTABLE_DEMAND_NONRESIDENTIAL_METERED_IRRIGATION_GAL]])</f>
        <v>144300000</v>
      </c>
      <c r="X4993" t="str">
        <f>IFERROR(INDEX(Crosswalk_API!$H$2:$H$527, MATCH(POTABLE_NONPOTABLE_API[[#This Row],[PWSID]], CW_PWSID_LIST, 0)), "")</f>
        <v>No</v>
      </c>
    </row>
    <row r="4994" spans="1:24" x14ac:dyDescent="0.25">
      <c r="A4994" t="s">
        <v>2591</v>
      </c>
      <c r="B4994" t="s">
        <v>2592</v>
      </c>
      <c r="C4994" t="s">
        <v>2593</v>
      </c>
      <c r="D4994" t="s">
        <v>2594</v>
      </c>
      <c r="E4994" s="9">
        <v>45108</v>
      </c>
      <c r="F4994" s="9">
        <v>45138</v>
      </c>
      <c r="G4994">
        <v>360303226.23000002</v>
      </c>
      <c r="H4994">
        <v>79628208.870000005</v>
      </c>
      <c r="I4994">
        <v>49125296.759999998</v>
      </c>
      <c r="J4994">
        <v>129792970.31999999</v>
      </c>
      <c r="K4994">
        <v>3209632.35</v>
      </c>
      <c r="L4994">
        <v>9886319.3399999999</v>
      </c>
      <c r="M4994">
        <v>0</v>
      </c>
      <c r="T4994" s="9">
        <v>45108</v>
      </c>
      <c r="U4994" s="9">
        <v>45473</v>
      </c>
      <c r="V4994">
        <f>SUM(POTABLE_NONPOTABLE_API[[#This Row],[RESIDENTIAL_SINGLEFAMILY_GAL]:[OTHER_GAL]])</f>
        <v>631945653.87000012</v>
      </c>
      <c r="W4994">
        <f>SUM(POTABLE_NONPOTABLE_API[[#This Row],[NONPOTABLE_DEMAND_RESIDENTIAL_RECYCLED_WATER_GAL]:[NONPOTABLE_DEMAND_NONRESIDENTIAL_METERED_IRRIGATION_GAL]])</f>
        <v>0</v>
      </c>
      <c r="X4994" t="str">
        <f>IFERROR(INDEX(Crosswalk_API!$H$2:$H$527, MATCH(POTABLE_NONPOTABLE_API[[#This Row],[PWSID]], CW_PWSID_LIST, 0)), "")</f>
        <v>No</v>
      </c>
    </row>
    <row r="4995" spans="1:24" x14ac:dyDescent="0.25">
      <c r="A4995" t="s">
        <v>2591</v>
      </c>
      <c r="B4995" t="s">
        <v>2592</v>
      </c>
      <c r="C4995" t="s">
        <v>2593</v>
      </c>
      <c r="D4995" t="s">
        <v>2594</v>
      </c>
      <c r="E4995" s="9">
        <v>45139</v>
      </c>
      <c r="F4995" s="9">
        <v>45169</v>
      </c>
      <c r="G4995">
        <v>461848173.35999995</v>
      </c>
      <c r="H4995">
        <v>94750953.779999986</v>
      </c>
      <c r="I4995">
        <v>56929428.210000001</v>
      </c>
      <c r="J4995">
        <v>189932030.88</v>
      </c>
      <c r="K4995">
        <v>3727735.44</v>
      </c>
      <c r="L4995">
        <v>9094501.4100000001</v>
      </c>
      <c r="M4995">
        <v>0</v>
      </c>
      <c r="T4995" s="9">
        <v>45108</v>
      </c>
      <c r="U4995" s="9">
        <v>45473</v>
      </c>
      <c r="V4995">
        <f>SUM(POTABLE_NONPOTABLE_API[[#This Row],[RESIDENTIAL_SINGLEFAMILY_GAL]:[OTHER_GAL]])</f>
        <v>816282823.08000004</v>
      </c>
      <c r="W4995">
        <f>SUM(POTABLE_NONPOTABLE_API[[#This Row],[NONPOTABLE_DEMAND_RESIDENTIAL_RECYCLED_WATER_GAL]:[NONPOTABLE_DEMAND_NONRESIDENTIAL_METERED_IRRIGATION_GAL]])</f>
        <v>0</v>
      </c>
      <c r="X4995" t="str">
        <f>IFERROR(INDEX(Crosswalk_API!$H$2:$H$527, MATCH(POTABLE_NONPOTABLE_API[[#This Row],[PWSID]], CW_PWSID_LIST, 0)), "")</f>
        <v>No</v>
      </c>
    </row>
    <row r="4996" spans="1:24" x14ac:dyDescent="0.25">
      <c r="A4996" t="s">
        <v>2591</v>
      </c>
      <c r="B4996" t="s">
        <v>2592</v>
      </c>
      <c r="C4996" t="s">
        <v>2593</v>
      </c>
      <c r="D4996" t="s">
        <v>2594</v>
      </c>
      <c r="E4996" s="9">
        <v>45170</v>
      </c>
      <c r="F4996" s="9">
        <v>45199</v>
      </c>
      <c r="G4996">
        <v>435255473.25</v>
      </c>
      <c r="H4996">
        <v>87191210.579999998</v>
      </c>
      <c r="I4996">
        <v>53501475.689999998</v>
      </c>
      <c r="J4996">
        <v>177768013.04999998</v>
      </c>
      <c r="K4996">
        <v>7233892.2000000002</v>
      </c>
      <c r="L4996">
        <v>3219407.8800000004</v>
      </c>
      <c r="M4996">
        <v>0</v>
      </c>
      <c r="T4996" s="9">
        <v>45108</v>
      </c>
      <c r="U4996" s="9">
        <v>45473</v>
      </c>
      <c r="V4996">
        <f>SUM(POTABLE_NONPOTABLE_API[[#This Row],[RESIDENTIAL_SINGLEFAMILY_GAL]:[OTHER_GAL]])</f>
        <v>764169472.64999998</v>
      </c>
      <c r="W4996">
        <f>SUM(POTABLE_NONPOTABLE_API[[#This Row],[NONPOTABLE_DEMAND_RESIDENTIAL_RECYCLED_WATER_GAL]:[NONPOTABLE_DEMAND_NONRESIDENTIAL_METERED_IRRIGATION_GAL]])</f>
        <v>0</v>
      </c>
      <c r="X4996" t="str">
        <f>IFERROR(INDEX(Crosswalk_API!$H$2:$H$527, MATCH(POTABLE_NONPOTABLE_API[[#This Row],[PWSID]], CW_PWSID_LIST, 0)), "")</f>
        <v>No</v>
      </c>
    </row>
    <row r="4997" spans="1:24" x14ac:dyDescent="0.25">
      <c r="A4997" t="s">
        <v>2591</v>
      </c>
      <c r="B4997" t="s">
        <v>2592</v>
      </c>
      <c r="C4997" t="s">
        <v>2593</v>
      </c>
      <c r="D4997" t="s">
        <v>2594</v>
      </c>
      <c r="E4997" s="9">
        <v>45200</v>
      </c>
      <c r="F4997" s="9">
        <v>45230</v>
      </c>
      <c r="G4997">
        <v>410888335.47000003</v>
      </c>
      <c r="H4997">
        <v>98452621.140000001</v>
      </c>
      <c r="I4997">
        <v>52240432.32</v>
      </c>
      <c r="J4997">
        <v>152912098.76999998</v>
      </c>
      <c r="K4997">
        <v>2127807.0300000003</v>
      </c>
      <c r="L4997">
        <v>4858438.41</v>
      </c>
      <c r="M4997">
        <v>0</v>
      </c>
      <c r="T4997" s="9">
        <v>45108</v>
      </c>
      <c r="U4997" s="9">
        <v>45473</v>
      </c>
      <c r="V4997">
        <f>SUM(POTABLE_NONPOTABLE_API[[#This Row],[RESIDENTIAL_SINGLEFAMILY_GAL]:[OTHER_GAL]])</f>
        <v>721479733.13999999</v>
      </c>
      <c r="W4997">
        <f>SUM(POTABLE_NONPOTABLE_API[[#This Row],[NONPOTABLE_DEMAND_RESIDENTIAL_RECYCLED_WATER_GAL]:[NONPOTABLE_DEMAND_NONRESIDENTIAL_METERED_IRRIGATION_GAL]])</f>
        <v>0</v>
      </c>
      <c r="X4997" t="str">
        <f>IFERROR(INDEX(Crosswalk_API!$H$2:$H$527, MATCH(POTABLE_NONPOTABLE_API[[#This Row],[PWSID]], CW_PWSID_LIST, 0)), "")</f>
        <v>No</v>
      </c>
    </row>
    <row r="4998" spans="1:24" x14ac:dyDescent="0.25">
      <c r="A4998" t="s">
        <v>2591</v>
      </c>
      <c r="B4998" t="s">
        <v>2592</v>
      </c>
      <c r="C4998" t="s">
        <v>2593</v>
      </c>
      <c r="D4998" t="s">
        <v>2594</v>
      </c>
      <c r="E4998" s="9">
        <v>45231</v>
      </c>
      <c r="F4998" s="9">
        <v>45260</v>
      </c>
      <c r="G4998">
        <v>351840875.75999999</v>
      </c>
      <c r="H4998">
        <v>81368253.210000008</v>
      </c>
      <c r="I4998">
        <v>43256720.25</v>
      </c>
      <c r="J4998">
        <v>123513821.55</v>
      </c>
      <c r="K4998">
        <v>2124548.52</v>
      </c>
      <c r="L4998">
        <v>3056482.3800000004</v>
      </c>
      <c r="M4998">
        <v>0</v>
      </c>
      <c r="T4998" s="9">
        <v>45108</v>
      </c>
      <c r="U4998" s="9">
        <v>45473</v>
      </c>
      <c r="V4998">
        <f>SUM(POTABLE_NONPOTABLE_API[[#This Row],[RESIDENTIAL_SINGLEFAMILY_GAL]:[OTHER_GAL]])</f>
        <v>605160701.66999996</v>
      </c>
      <c r="W4998">
        <f>SUM(POTABLE_NONPOTABLE_API[[#This Row],[NONPOTABLE_DEMAND_RESIDENTIAL_RECYCLED_WATER_GAL]:[NONPOTABLE_DEMAND_NONRESIDENTIAL_METERED_IRRIGATION_GAL]])</f>
        <v>0</v>
      </c>
      <c r="X4998" t="str">
        <f>IFERROR(INDEX(Crosswalk_API!$H$2:$H$527, MATCH(POTABLE_NONPOTABLE_API[[#This Row],[PWSID]], CW_PWSID_LIST, 0)), "")</f>
        <v>No</v>
      </c>
    </row>
    <row r="4999" spans="1:24" x14ac:dyDescent="0.25">
      <c r="A4999" t="s">
        <v>2591</v>
      </c>
      <c r="B4999" t="s">
        <v>2592</v>
      </c>
      <c r="C4999" t="s">
        <v>2593</v>
      </c>
      <c r="D4999" t="s">
        <v>2594</v>
      </c>
      <c r="E4999" s="9">
        <v>45261</v>
      </c>
      <c r="F4999" s="9">
        <v>45291</v>
      </c>
      <c r="G4999">
        <v>362483169.42000002</v>
      </c>
      <c r="H4999">
        <v>95014893.089999989</v>
      </c>
      <c r="I4999">
        <v>43836735.030000001</v>
      </c>
      <c r="J4999">
        <v>121454443.23</v>
      </c>
      <c r="K4999">
        <v>2623100.5500000003</v>
      </c>
      <c r="L4999">
        <v>3265027.02</v>
      </c>
      <c r="M4999">
        <v>0</v>
      </c>
      <c r="T4999" s="9">
        <v>45108</v>
      </c>
      <c r="U4999" s="9">
        <v>45473</v>
      </c>
      <c r="V4999">
        <f>SUM(POTABLE_NONPOTABLE_API[[#This Row],[RESIDENTIAL_SINGLEFAMILY_GAL]:[OTHER_GAL]])</f>
        <v>628677368.33999991</v>
      </c>
      <c r="W4999">
        <f>SUM(POTABLE_NONPOTABLE_API[[#This Row],[NONPOTABLE_DEMAND_RESIDENTIAL_RECYCLED_WATER_GAL]:[NONPOTABLE_DEMAND_NONRESIDENTIAL_METERED_IRRIGATION_GAL]])</f>
        <v>0</v>
      </c>
      <c r="X4999" t="str">
        <f>IFERROR(INDEX(Crosswalk_API!$H$2:$H$527, MATCH(POTABLE_NONPOTABLE_API[[#This Row],[PWSID]], CW_PWSID_LIST, 0)), "")</f>
        <v>No</v>
      </c>
    </row>
    <row r="5000" spans="1:24" x14ac:dyDescent="0.25">
      <c r="A5000" t="s">
        <v>2591</v>
      </c>
      <c r="B5000" t="s">
        <v>2592</v>
      </c>
      <c r="C5000" t="s">
        <v>2593</v>
      </c>
      <c r="D5000" t="s">
        <v>2594</v>
      </c>
      <c r="E5000" s="9">
        <v>45292</v>
      </c>
      <c r="F5000" s="9">
        <v>45322</v>
      </c>
      <c r="G5000">
        <v>243136982.16</v>
      </c>
      <c r="H5000">
        <v>72479037.930000007</v>
      </c>
      <c r="I5000">
        <v>34963812.299999997</v>
      </c>
      <c r="J5000">
        <v>67643409.090000004</v>
      </c>
      <c r="K5000">
        <v>1883418.78</v>
      </c>
      <c r="L5000">
        <v>2639393.1</v>
      </c>
      <c r="M5000">
        <v>0</v>
      </c>
      <c r="T5000" s="9">
        <v>45108</v>
      </c>
      <c r="U5000" s="9">
        <v>45473</v>
      </c>
      <c r="V5000">
        <f>SUM(POTABLE_NONPOTABLE_API[[#This Row],[RESIDENTIAL_SINGLEFAMILY_GAL]:[OTHER_GAL]])</f>
        <v>422746053.36000001</v>
      </c>
      <c r="W5000">
        <f>SUM(POTABLE_NONPOTABLE_API[[#This Row],[NONPOTABLE_DEMAND_RESIDENTIAL_RECYCLED_WATER_GAL]:[NONPOTABLE_DEMAND_NONRESIDENTIAL_METERED_IRRIGATION_GAL]])</f>
        <v>0</v>
      </c>
      <c r="X5000" t="str">
        <f>IFERROR(INDEX(Crosswalk_API!$H$2:$H$527, MATCH(POTABLE_NONPOTABLE_API[[#This Row],[PWSID]], CW_PWSID_LIST, 0)), "")</f>
        <v>No</v>
      </c>
    </row>
    <row r="5001" spans="1:24" x14ac:dyDescent="0.25">
      <c r="A5001" t="s">
        <v>2591</v>
      </c>
      <c r="B5001" t="s">
        <v>2592</v>
      </c>
      <c r="C5001" t="s">
        <v>2593</v>
      </c>
      <c r="D5001" t="s">
        <v>2594</v>
      </c>
      <c r="E5001" s="9">
        <v>45323</v>
      </c>
      <c r="F5001" s="9">
        <v>45351</v>
      </c>
      <c r="G5001">
        <v>236140961.19000003</v>
      </c>
      <c r="H5001">
        <v>74486280.090000004</v>
      </c>
      <c r="I5001">
        <v>29655699.510000002</v>
      </c>
      <c r="J5001">
        <v>22936651.890000001</v>
      </c>
      <c r="K5001">
        <v>1971398.55</v>
      </c>
      <c r="L5001">
        <v>475742.45999999996</v>
      </c>
      <c r="M5001">
        <v>0</v>
      </c>
      <c r="T5001" s="9">
        <v>45108</v>
      </c>
      <c r="U5001" s="9">
        <v>45473</v>
      </c>
      <c r="V5001">
        <f>SUM(POTABLE_NONPOTABLE_API[[#This Row],[RESIDENTIAL_SINGLEFAMILY_GAL]:[OTHER_GAL]])</f>
        <v>365666733.69</v>
      </c>
      <c r="W5001">
        <f>SUM(POTABLE_NONPOTABLE_API[[#This Row],[NONPOTABLE_DEMAND_RESIDENTIAL_RECYCLED_WATER_GAL]:[NONPOTABLE_DEMAND_NONRESIDENTIAL_METERED_IRRIGATION_GAL]])</f>
        <v>0</v>
      </c>
      <c r="X5001" t="str">
        <f>IFERROR(INDEX(Crosswalk_API!$H$2:$H$527, MATCH(POTABLE_NONPOTABLE_API[[#This Row],[PWSID]], CW_PWSID_LIST, 0)), "")</f>
        <v>No</v>
      </c>
    </row>
    <row r="5002" spans="1:24" x14ac:dyDescent="0.25">
      <c r="A5002" t="s">
        <v>2591</v>
      </c>
      <c r="B5002" t="s">
        <v>2592</v>
      </c>
      <c r="C5002" t="s">
        <v>2593</v>
      </c>
      <c r="D5002" t="s">
        <v>2594</v>
      </c>
      <c r="E5002" s="9">
        <v>45352</v>
      </c>
      <c r="F5002" s="9">
        <v>45382</v>
      </c>
      <c r="G5002">
        <v>189837534.09</v>
      </c>
      <c r="H5002">
        <v>71217994.560000002</v>
      </c>
      <c r="I5002">
        <v>33041291.400000002</v>
      </c>
      <c r="J5002">
        <v>12845046.42</v>
      </c>
      <c r="K5002">
        <v>1801956.03</v>
      </c>
      <c r="L5002">
        <v>5252718.12</v>
      </c>
      <c r="M5002">
        <v>0</v>
      </c>
      <c r="T5002" s="9">
        <v>45108</v>
      </c>
      <c r="U5002" s="9">
        <v>45473</v>
      </c>
      <c r="V5002">
        <f>SUM(POTABLE_NONPOTABLE_API[[#This Row],[RESIDENTIAL_SINGLEFAMILY_GAL]:[OTHER_GAL]])</f>
        <v>313996540.62</v>
      </c>
      <c r="W5002">
        <f>SUM(POTABLE_NONPOTABLE_API[[#This Row],[NONPOTABLE_DEMAND_RESIDENTIAL_RECYCLED_WATER_GAL]:[NONPOTABLE_DEMAND_NONRESIDENTIAL_METERED_IRRIGATION_GAL]])</f>
        <v>0</v>
      </c>
      <c r="X5002" t="str">
        <f>IFERROR(INDEX(Crosswalk_API!$H$2:$H$527, MATCH(POTABLE_NONPOTABLE_API[[#This Row],[PWSID]], CW_PWSID_LIST, 0)), "")</f>
        <v>No</v>
      </c>
    </row>
    <row r="5003" spans="1:24" x14ac:dyDescent="0.25">
      <c r="A5003" t="s">
        <v>2591</v>
      </c>
      <c r="B5003" t="s">
        <v>2592</v>
      </c>
      <c r="C5003" t="s">
        <v>2593</v>
      </c>
      <c r="D5003" t="s">
        <v>2594</v>
      </c>
      <c r="E5003" s="9">
        <v>45383</v>
      </c>
      <c r="F5003" s="9">
        <v>45412</v>
      </c>
      <c r="G5003">
        <v>188693797.08000001</v>
      </c>
      <c r="H5003">
        <v>66252025.32</v>
      </c>
      <c r="I5003">
        <v>23487340.079999998</v>
      </c>
      <c r="J5003">
        <v>13721585.609999999</v>
      </c>
      <c r="K5003">
        <v>2267922.96</v>
      </c>
      <c r="L5003">
        <v>7758512.3099999996</v>
      </c>
      <c r="M5003">
        <v>0</v>
      </c>
      <c r="T5003" s="9">
        <v>45108</v>
      </c>
      <c r="U5003" s="9">
        <v>45473</v>
      </c>
      <c r="V5003">
        <f>SUM(POTABLE_NONPOTABLE_API[[#This Row],[RESIDENTIAL_SINGLEFAMILY_GAL]:[OTHER_GAL]])</f>
        <v>302181183.36000001</v>
      </c>
      <c r="W5003">
        <f>SUM(POTABLE_NONPOTABLE_API[[#This Row],[NONPOTABLE_DEMAND_RESIDENTIAL_RECYCLED_WATER_GAL]:[NONPOTABLE_DEMAND_NONRESIDENTIAL_METERED_IRRIGATION_GAL]])</f>
        <v>0</v>
      </c>
      <c r="X5003" t="str">
        <f>IFERROR(INDEX(Crosswalk_API!$H$2:$H$527, MATCH(POTABLE_NONPOTABLE_API[[#This Row],[PWSID]], CW_PWSID_LIST, 0)), "")</f>
        <v>No</v>
      </c>
    </row>
    <row r="5004" spans="1:24" x14ac:dyDescent="0.25">
      <c r="A5004" t="s">
        <v>2591</v>
      </c>
      <c r="B5004" t="s">
        <v>2592</v>
      </c>
      <c r="C5004" t="s">
        <v>2593</v>
      </c>
      <c r="D5004" t="s">
        <v>2594</v>
      </c>
      <c r="E5004" s="9">
        <v>45413</v>
      </c>
      <c r="F5004" s="9">
        <v>45443</v>
      </c>
      <c r="G5004">
        <v>234280351.98000002</v>
      </c>
      <c r="H5004">
        <v>72723426.180000007</v>
      </c>
      <c r="I5004">
        <v>30463809.989999998</v>
      </c>
      <c r="J5004">
        <v>42178153.439999998</v>
      </c>
      <c r="K5004">
        <v>2430848.46</v>
      </c>
      <c r="L5004">
        <v>19551.059999999998</v>
      </c>
      <c r="M5004">
        <v>0</v>
      </c>
      <c r="T5004" s="9">
        <v>45108</v>
      </c>
      <c r="U5004" s="9">
        <v>45473</v>
      </c>
      <c r="V5004">
        <f>SUM(POTABLE_NONPOTABLE_API[[#This Row],[RESIDENTIAL_SINGLEFAMILY_GAL]:[OTHER_GAL]])</f>
        <v>382096141.11000001</v>
      </c>
      <c r="W5004">
        <f>SUM(POTABLE_NONPOTABLE_API[[#This Row],[NONPOTABLE_DEMAND_RESIDENTIAL_RECYCLED_WATER_GAL]:[NONPOTABLE_DEMAND_NONRESIDENTIAL_METERED_IRRIGATION_GAL]])</f>
        <v>0</v>
      </c>
      <c r="X5004" t="str">
        <f>IFERROR(INDEX(Crosswalk_API!$H$2:$H$527, MATCH(POTABLE_NONPOTABLE_API[[#This Row],[PWSID]], CW_PWSID_LIST, 0)), "")</f>
        <v>No</v>
      </c>
    </row>
    <row r="5005" spans="1:24" x14ac:dyDescent="0.25">
      <c r="A5005" t="s">
        <v>2591</v>
      </c>
      <c r="B5005" t="s">
        <v>2592</v>
      </c>
      <c r="C5005" t="s">
        <v>2593</v>
      </c>
      <c r="D5005" t="s">
        <v>2594</v>
      </c>
      <c r="E5005" s="9">
        <v>45444</v>
      </c>
      <c r="F5005" s="9">
        <v>45473</v>
      </c>
      <c r="G5005">
        <v>308281114.08000004</v>
      </c>
      <c r="H5005">
        <v>77210394.450000003</v>
      </c>
      <c r="I5005">
        <v>38450418</v>
      </c>
      <c r="J5005">
        <v>93662611.439999998</v>
      </c>
      <c r="K5005">
        <v>2942434.53</v>
      </c>
      <c r="L5005">
        <v>3258510</v>
      </c>
      <c r="M5005">
        <v>0</v>
      </c>
      <c r="T5005" s="9">
        <v>45108</v>
      </c>
      <c r="U5005" s="9">
        <v>45473</v>
      </c>
      <c r="V5005">
        <f>SUM(POTABLE_NONPOTABLE_API[[#This Row],[RESIDENTIAL_SINGLEFAMILY_GAL]:[OTHER_GAL]])</f>
        <v>523805482.5</v>
      </c>
      <c r="W5005">
        <f>SUM(POTABLE_NONPOTABLE_API[[#This Row],[NONPOTABLE_DEMAND_RESIDENTIAL_RECYCLED_WATER_GAL]:[NONPOTABLE_DEMAND_NONRESIDENTIAL_METERED_IRRIGATION_GAL]])</f>
        <v>0</v>
      </c>
      <c r="X5005" t="str">
        <f>IFERROR(INDEX(Crosswalk_API!$H$2:$H$527, MATCH(POTABLE_NONPOTABLE_API[[#This Row],[PWSID]], CW_PWSID_LIST, 0)), "")</f>
        <v>No</v>
      </c>
    </row>
    <row r="5006" spans="1:24" x14ac:dyDescent="0.25">
      <c r="A5006" t="s">
        <v>2591</v>
      </c>
      <c r="B5006" t="s">
        <v>2592</v>
      </c>
      <c r="C5006" t="s">
        <v>2595</v>
      </c>
      <c r="D5006" t="s">
        <v>2596</v>
      </c>
      <c r="E5006" s="9">
        <v>45108</v>
      </c>
      <c r="F5006" s="9">
        <v>45138</v>
      </c>
      <c r="G5006">
        <v>56805604.830000006</v>
      </c>
      <c r="H5006">
        <v>27091252.140000001</v>
      </c>
      <c r="I5006">
        <v>29707835.670000002</v>
      </c>
      <c r="J5006">
        <v>13431578.219999999</v>
      </c>
      <c r="K5006">
        <v>84721.260000000009</v>
      </c>
      <c r="L5006">
        <v>1759595.4000000001</v>
      </c>
      <c r="M5006">
        <v>0</v>
      </c>
      <c r="T5006" s="9">
        <v>45108</v>
      </c>
      <c r="U5006" s="9">
        <v>45473</v>
      </c>
      <c r="V5006">
        <f>SUM(POTABLE_NONPOTABLE_API[[#This Row],[RESIDENTIAL_SINGLEFAMILY_GAL]:[OTHER_GAL]])</f>
        <v>128880587.52000001</v>
      </c>
      <c r="W5006">
        <f>SUM(POTABLE_NONPOTABLE_API[[#This Row],[NONPOTABLE_DEMAND_RESIDENTIAL_RECYCLED_WATER_GAL]:[NONPOTABLE_DEMAND_NONRESIDENTIAL_METERED_IRRIGATION_GAL]])</f>
        <v>0</v>
      </c>
      <c r="X5006" t="str">
        <f>IFERROR(INDEX(Crosswalk_API!$H$2:$H$527, MATCH(POTABLE_NONPOTABLE_API[[#This Row],[PWSID]], CW_PWSID_LIST, 0)), "")</f>
        <v>No</v>
      </c>
    </row>
    <row r="5007" spans="1:24" x14ac:dyDescent="0.25">
      <c r="A5007" t="s">
        <v>2591</v>
      </c>
      <c r="B5007" t="s">
        <v>2592</v>
      </c>
      <c r="C5007" t="s">
        <v>2595</v>
      </c>
      <c r="D5007" t="s">
        <v>2596</v>
      </c>
      <c r="E5007" s="9">
        <v>45139</v>
      </c>
      <c r="F5007" s="9">
        <v>45169</v>
      </c>
      <c r="G5007">
        <v>77754565.620000005</v>
      </c>
      <c r="H5007">
        <v>29509066.560000002</v>
      </c>
      <c r="I5007">
        <v>41363525.939999998</v>
      </c>
      <c r="J5007">
        <v>22698780.66</v>
      </c>
      <c r="K5007">
        <v>87979.77</v>
      </c>
      <c r="L5007">
        <v>3157496.19</v>
      </c>
      <c r="M5007">
        <v>0</v>
      </c>
      <c r="T5007" s="9">
        <v>45108</v>
      </c>
      <c r="U5007" s="9">
        <v>45473</v>
      </c>
      <c r="V5007">
        <f>SUM(POTABLE_NONPOTABLE_API[[#This Row],[RESIDENTIAL_SINGLEFAMILY_GAL]:[OTHER_GAL]])</f>
        <v>174571414.74000001</v>
      </c>
      <c r="W5007">
        <f>SUM(POTABLE_NONPOTABLE_API[[#This Row],[NONPOTABLE_DEMAND_RESIDENTIAL_RECYCLED_WATER_GAL]:[NONPOTABLE_DEMAND_NONRESIDENTIAL_METERED_IRRIGATION_GAL]])</f>
        <v>0</v>
      </c>
      <c r="X5007" t="str">
        <f>IFERROR(INDEX(Crosswalk_API!$H$2:$H$527, MATCH(POTABLE_NONPOTABLE_API[[#This Row],[PWSID]], CW_PWSID_LIST, 0)), "")</f>
        <v>No</v>
      </c>
    </row>
    <row r="5008" spans="1:24" x14ac:dyDescent="0.25">
      <c r="A5008" t="s">
        <v>2591</v>
      </c>
      <c r="B5008" t="s">
        <v>2592</v>
      </c>
      <c r="C5008" t="s">
        <v>2595</v>
      </c>
      <c r="D5008" t="s">
        <v>2596</v>
      </c>
      <c r="E5008" s="9">
        <v>45170</v>
      </c>
      <c r="F5008" s="9">
        <v>45199</v>
      </c>
      <c r="G5008">
        <v>57884171.639999993</v>
      </c>
      <c r="H5008">
        <v>24155334.629999999</v>
      </c>
      <c r="I5008">
        <v>33930864.629999995</v>
      </c>
      <c r="J5008">
        <v>16937734.98</v>
      </c>
      <c r="K5008">
        <v>159666.99</v>
      </c>
      <c r="L5008">
        <v>2867488.8000000003</v>
      </c>
      <c r="M5008">
        <v>0</v>
      </c>
      <c r="T5008" s="9">
        <v>45108</v>
      </c>
      <c r="U5008" s="9">
        <v>45473</v>
      </c>
      <c r="V5008">
        <f>SUM(POTABLE_NONPOTABLE_API[[#This Row],[RESIDENTIAL_SINGLEFAMILY_GAL]:[OTHER_GAL]])</f>
        <v>135935261.66999999</v>
      </c>
      <c r="W5008">
        <f>SUM(POTABLE_NONPOTABLE_API[[#This Row],[NONPOTABLE_DEMAND_RESIDENTIAL_RECYCLED_WATER_GAL]:[NONPOTABLE_DEMAND_NONRESIDENTIAL_METERED_IRRIGATION_GAL]])</f>
        <v>0</v>
      </c>
      <c r="X5008" t="str">
        <f>IFERROR(INDEX(Crosswalk_API!$H$2:$H$527, MATCH(POTABLE_NONPOTABLE_API[[#This Row],[PWSID]], CW_PWSID_LIST, 0)), "")</f>
        <v>No</v>
      </c>
    </row>
    <row r="5009" spans="1:24" x14ac:dyDescent="0.25">
      <c r="A5009" t="s">
        <v>2591</v>
      </c>
      <c r="B5009" t="s">
        <v>2592</v>
      </c>
      <c r="C5009" t="s">
        <v>2595</v>
      </c>
      <c r="D5009" t="s">
        <v>2596</v>
      </c>
      <c r="E5009" s="9">
        <v>45200</v>
      </c>
      <c r="F5009" s="9">
        <v>45230</v>
      </c>
      <c r="G5009">
        <v>52634712.030000001</v>
      </c>
      <c r="H5009">
        <v>23705660.25</v>
      </c>
      <c r="I5009">
        <v>33846143.370000005</v>
      </c>
      <c r="J5009">
        <v>13138312.32</v>
      </c>
      <c r="K5009">
        <v>120564.87</v>
      </c>
      <c r="L5009">
        <v>1691166.6900000002</v>
      </c>
      <c r="M5009">
        <v>0</v>
      </c>
      <c r="T5009" s="9">
        <v>45108</v>
      </c>
      <c r="U5009" s="9">
        <v>45473</v>
      </c>
      <c r="V5009">
        <f>SUM(POTABLE_NONPOTABLE_API[[#This Row],[RESIDENTIAL_SINGLEFAMILY_GAL]:[OTHER_GAL]])</f>
        <v>125136559.53</v>
      </c>
      <c r="W5009">
        <f>SUM(POTABLE_NONPOTABLE_API[[#This Row],[NONPOTABLE_DEMAND_RESIDENTIAL_RECYCLED_WATER_GAL]:[NONPOTABLE_DEMAND_NONRESIDENTIAL_METERED_IRRIGATION_GAL]])</f>
        <v>0</v>
      </c>
      <c r="X5009" t="str">
        <f>IFERROR(INDEX(Crosswalk_API!$H$2:$H$527, MATCH(POTABLE_NONPOTABLE_API[[#This Row],[PWSID]], CW_PWSID_LIST, 0)), "")</f>
        <v>No</v>
      </c>
    </row>
    <row r="5010" spans="1:24" x14ac:dyDescent="0.25">
      <c r="A5010" t="s">
        <v>2591</v>
      </c>
      <c r="B5010" t="s">
        <v>2592</v>
      </c>
      <c r="C5010" t="s">
        <v>2595</v>
      </c>
      <c r="D5010" t="s">
        <v>2596</v>
      </c>
      <c r="E5010" s="9">
        <v>45231</v>
      </c>
      <c r="F5010" s="9">
        <v>45260</v>
      </c>
      <c r="G5010">
        <v>62084391.030000001</v>
      </c>
      <c r="H5010">
        <v>27514858.439999998</v>
      </c>
      <c r="I5010">
        <v>37101394.859999999</v>
      </c>
      <c r="J5010">
        <v>15595228.859999999</v>
      </c>
      <c r="K5010">
        <v>218320.17</v>
      </c>
      <c r="L5010">
        <v>2916366.4499999997</v>
      </c>
      <c r="M5010">
        <v>0</v>
      </c>
      <c r="T5010" s="9">
        <v>45108</v>
      </c>
      <c r="U5010" s="9">
        <v>45473</v>
      </c>
      <c r="V5010">
        <f>SUM(POTABLE_NONPOTABLE_API[[#This Row],[RESIDENTIAL_SINGLEFAMILY_GAL]:[OTHER_GAL]])</f>
        <v>145430559.80999997</v>
      </c>
      <c r="W5010">
        <f>SUM(POTABLE_NONPOTABLE_API[[#This Row],[NONPOTABLE_DEMAND_RESIDENTIAL_RECYCLED_WATER_GAL]:[NONPOTABLE_DEMAND_NONRESIDENTIAL_METERED_IRRIGATION_GAL]])</f>
        <v>0</v>
      </c>
      <c r="X5010" t="str">
        <f>IFERROR(INDEX(Crosswalk_API!$H$2:$H$527, MATCH(POTABLE_NONPOTABLE_API[[#This Row],[PWSID]], CW_PWSID_LIST, 0)), "")</f>
        <v>No</v>
      </c>
    </row>
    <row r="5011" spans="1:24" x14ac:dyDescent="0.25">
      <c r="A5011" t="s">
        <v>2591</v>
      </c>
      <c r="B5011" t="s">
        <v>2592</v>
      </c>
      <c r="C5011" t="s">
        <v>2595</v>
      </c>
      <c r="D5011" t="s">
        <v>2596</v>
      </c>
      <c r="E5011" s="9">
        <v>45261</v>
      </c>
      <c r="F5011" s="9">
        <v>45291</v>
      </c>
      <c r="G5011">
        <v>41074730.389868997</v>
      </c>
      <c r="H5011">
        <v>22530546.991815332</v>
      </c>
      <c r="I5011">
        <v>27604576.680479672</v>
      </c>
      <c r="J5011">
        <v>9160632.1079586595</v>
      </c>
      <c r="K5011">
        <v>192249.09542930999</v>
      </c>
      <c r="L5011">
        <v>1862646.8996774401</v>
      </c>
      <c r="M5011">
        <v>0</v>
      </c>
      <c r="T5011" s="9">
        <v>45108</v>
      </c>
      <c r="U5011" s="9">
        <v>45473</v>
      </c>
      <c r="V5011">
        <f>SUM(POTABLE_NONPOTABLE_API[[#This Row],[RESIDENTIAL_SINGLEFAMILY_GAL]:[OTHER_GAL]])</f>
        <v>102425382.16522942</v>
      </c>
      <c r="W5011">
        <f>SUM(POTABLE_NONPOTABLE_API[[#This Row],[NONPOTABLE_DEMAND_RESIDENTIAL_RECYCLED_WATER_GAL]:[NONPOTABLE_DEMAND_NONRESIDENTIAL_METERED_IRRIGATION_GAL]])</f>
        <v>0</v>
      </c>
      <c r="X5011" t="str">
        <f>IFERROR(INDEX(Crosswalk_API!$H$2:$H$527, MATCH(POTABLE_NONPOTABLE_API[[#This Row],[PWSID]], CW_PWSID_LIST, 0)), "")</f>
        <v>No</v>
      </c>
    </row>
    <row r="5012" spans="1:24" x14ac:dyDescent="0.25">
      <c r="A5012" t="s">
        <v>2591</v>
      </c>
      <c r="B5012" t="s">
        <v>2592</v>
      </c>
      <c r="C5012" t="s">
        <v>2595</v>
      </c>
      <c r="D5012" t="s">
        <v>2596</v>
      </c>
      <c r="E5012" s="9">
        <v>45292</v>
      </c>
      <c r="F5012" s="9">
        <v>45322</v>
      </c>
      <c r="G5012">
        <v>32154976.680000003</v>
      </c>
      <c r="H5012">
        <v>21447512.819999997</v>
      </c>
      <c r="I5012">
        <v>29701318.650000002</v>
      </c>
      <c r="J5012">
        <v>6982986.9299999997</v>
      </c>
      <c r="K5012">
        <v>169442.52000000002</v>
      </c>
      <c r="L5012">
        <v>3216149.3699999996</v>
      </c>
      <c r="M5012">
        <v>0</v>
      </c>
      <c r="T5012" s="9">
        <v>45108</v>
      </c>
      <c r="U5012" s="9">
        <v>45473</v>
      </c>
      <c r="V5012">
        <f>SUM(POTABLE_NONPOTABLE_API[[#This Row],[RESIDENTIAL_SINGLEFAMILY_GAL]:[OTHER_GAL]])</f>
        <v>93672386.970000014</v>
      </c>
      <c r="W5012">
        <f>SUM(POTABLE_NONPOTABLE_API[[#This Row],[NONPOTABLE_DEMAND_RESIDENTIAL_RECYCLED_WATER_GAL]:[NONPOTABLE_DEMAND_NONRESIDENTIAL_METERED_IRRIGATION_GAL]])</f>
        <v>0</v>
      </c>
      <c r="X5012" t="str">
        <f>IFERROR(INDEX(Crosswalk_API!$H$2:$H$527, MATCH(POTABLE_NONPOTABLE_API[[#This Row],[PWSID]], CW_PWSID_LIST, 0)), "")</f>
        <v>No</v>
      </c>
    </row>
    <row r="5013" spans="1:24" x14ac:dyDescent="0.25">
      <c r="A5013" t="s">
        <v>2591</v>
      </c>
      <c r="B5013" t="s">
        <v>2592</v>
      </c>
      <c r="C5013" t="s">
        <v>2595</v>
      </c>
      <c r="D5013" t="s">
        <v>2596</v>
      </c>
      <c r="E5013" s="9">
        <v>45323</v>
      </c>
      <c r="F5013" s="9">
        <v>45351</v>
      </c>
      <c r="G5013">
        <v>31359900.239999998</v>
      </c>
      <c r="H5013">
        <v>23203849.709999997</v>
      </c>
      <c r="I5013">
        <v>26481910.77</v>
      </c>
      <c r="J5013">
        <v>2698046.28</v>
      </c>
      <c r="K5013">
        <v>254163.78</v>
      </c>
      <c r="L5013">
        <v>2245113.3899999997</v>
      </c>
      <c r="M5013">
        <v>0</v>
      </c>
      <c r="T5013" s="9">
        <v>45108</v>
      </c>
      <c r="U5013" s="9">
        <v>45473</v>
      </c>
      <c r="V5013">
        <f>SUM(POTABLE_NONPOTABLE_API[[#This Row],[RESIDENTIAL_SINGLEFAMILY_GAL]:[OTHER_GAL]])</f>
        <v>86242984.170000002</v>
      </c>
      <c r="W5013">
        <f>SUM(POTABLE_NONPOTABLE_API[[#This Row],[NONPOTABLE_DEMAND_RESIDENTIAL_RECYCLED_WATER_GAL]:[NONPOTABLE_DEMAND_NONRESIDENTIAL_METERED_IRRIGATION_GAL]])</f>
        <v>0</v>
      </c>
      <c r="X5013" t="str">
        <f>IFERROR(INDEX(Crosswalk_API!$H$2:$H$527, MATCH(POTABLE_NONPOTABLE_API[[#This Row],[PWSID]], CW_PWSID_LIST, 0)), "")</f>
        <v>No</v>
      </c>
    </row>
    <row r="5014" spans="1:24" x14ac:dyDescent="0.25">
      <c r="A5014" t="s">
        <v>2591</v>
      </c>
      <c r="B5014" t="s">
        <v>2592</v>
      </c>
      <c r="C5014" t="s">
        <v>2595</v>
      </c>
      <c r="D5014" t="s">
        <v>2596</v>
      </c>
      <c r="E5014" s="9">
        <v>45352</v>
      </c>
      <c r="F5014" s="9">
        <v>45382</v>
      </c>
      <c r="G5014">
        <v>21431220.27</v>
      </c>
      <c r="H5014">
        <v>18977562.240000002</v>
      </c>
      <c r="I5014">
        <v>23093060.370000001</v>
      </c>
      <c r="J5014">
        <v>1345764.63</v>
      </c>
      <c r="K5014">
        <v>156408.47999999998</v>
      </c>
      <c r="L5014">
        <v>1394642.28</v>
      </c>
      <c r="M5014">
        <v>0</v>
      </c>
      <c r="T5014" s="9">
        <v>45108</v>
      </c>
      <c r="U5014" s="9">
        <v>45473</v>
      </c>
      <c r="V5014">
        <f>SUM(POTABLE_NONPOTABLE_API[[#This Row],[RESIDENTIAL_SINGLEFAMILY_GAL]:[OTHER_GAL]])</f>
        <v>66398658.270000011</v>
      </c>
      <c r="W5014">
        <f>SUM(POTABLE_NONPOTABLE_API[[#This Row],[NONPOTABLE_DEMAND_RESIDENTIAL_RECYCLED_WATER_GAL]:[NONPOTABLE_DEMAND_NONRESIDENTIAL_METERED_IRRIGATION_GAL]])</f>
        <v>0</v>
      </c>
      <c r="X5014" t="str">
        <f>IFERROR(INDEX(Crosswalk_API!$H$2:$H$527, MATCH(POTABLE_NONPOTABLE_API[[#This Row],[PWSID]], CW_PWSID_LIST, 0)), "")</f>
        <v>No</v>
      </c>
    </row>
    <row r="5015" spans="1:24" x14ac:dyDescent="0.25">
      <c r="A5015" t="s">
        <v>2591</v>
      </c>
      <c r="B5015" t="s">
        <v>2592</v>
      </c>
      <c r="C5015" t="s">
        <v>2595</v>
      </c>
      <c r="D5015" t="s">
        <v>2596</v>
      </c>
      <c r="E5015" s="9">
        <v>45383</v>
      </c>
      <c r="F5015" s="9">
        <v>45412</v>
      </c>
      <c r="G5015">
        <v>26641577.760000002</v>
      </c>
      <c r="H5015">
        <v>19981183.32</v>
      </c>
      <c r="I5015">
        <v>24002184.66</v>
      </c>
      <c r="J5015">
        <v>3167271.72</v>
      </c>
      <c r="K5015">
        <v>153149.97</v>
      </c>
      <c r="L5015">
        <v>322592.49</v>
      </c>
      <c r="M5015">
        <v>0</v>
      </c>
      <c r="T5015" s="9">
        <v>45108</v>
      </c>
      <c r="U5015" s="9">
        <v>45473</v>
      </c>
      <c r="V5015">
        <f>SUM(POTABLE_NONPOTABLE_API[[#This Row],[RESIDENTIAL_SINGLEFAMILY_GAL]:[OTHER_GAL]])</f>
        <v>74267959.919999987</v>
      </c>
      <c r="W5015">
        <f>SUM(POTABLE_NONPOTABLE_API[[#This Row],[NONPOTABLE_DEMAND_RESIDENTIAL_RECYCLED_WATER_GAL]:[NONPOTABLE_DEMAND_NONRESIDENTIAL_METERED_IRRIGATION_GAL]])</f>
        <v>0</v>
      </c>
      <c r="X5015" t="str">
        <f>IFERROR(INDEX(Crosswalk_API!$H$2:$H$527, MATCH(POTABLE_NONPOTABLE_API[[#This Row],[PWSID]], CW_PWSID_LIST, 0)), "")</f>
        <v>No</v>
      </c>
    </row>
    <row r="5016" spans="1:24" x14ac:dyDescent="0.25">
      <c r="A5016" t="s">
        <v>2591</v>
      </c>
      <c r="B5016" t="s">
        <v>2592</v>
      </c>
      <c r="C5016" t="s">
        <v>2595</v>
      </c>
      <c r="D5016" t="s">
        <v>2596</v>
      </c>
      <c r="E5016" s="9">
        <v>45413</v>
      </c>
      <c r="F5016" s="9">
        <v>45443</v>
      </c>
      <c r="G5016">
        <v>32158235.189999998</v>
      </c>
      <c r="H5016">
        <v>20903341.650000002</v>
      </c>
      <c r="I5016">
        <v>31073151.359999999</v>
      </c>
      <c r="J5016">
        <v>5555759.5499999998</v>
      </c>
      <c r="K5016">
        <v>1137219.99</v>
      </c>
      <c r="L5016">
        <v>9775.5299999999988</v>
      </c>
      <c r="M5016">
        <v>0</v>
      </c>
      <c r="T5016" s="9">
        <v>45108</v>
      </c>
      <c r="U5016" s="9">
        <v>45473</v>
      </c>
      <c r="V5016">
        <f>SUM(POTABLE_NONPOTABLE_API[[#This Row],[RESIDENTIAL_SINGLEFAMILY_GAL]:[OTHER_GAL]])</f>
        <v>90837483.269999996</v>
      </c>
      <c r="W5016">
        <f>SUM(POTABLE_NONPOTABLE_API[[#This Row],[NONPOTABLE_DEMAND_RESIDENTIAL_RECYCLED_WATER_GAL]:[NONPOTABLE_DEMAND_NONRESIDENTIAL_METERED_IRRIGATION_GAL]])</f>
        <v>0</v>
      </c>
      <c r="X5016" t="str">
        <f>IFERROR(INDEX(Crosswalk_API!$H$2:$H$527, MATCH(POTABLE_NONPOTABLE_API[[#This Row],[PWSID]], CW_PWSID_LIST, 0)), "")</f>
        <v>No</v>
      </c>
    </row>
    <row r="5017" spans="1:24" x14ac:dyDescent="0.25">
      <c r="A5017" t="s">
        <v>2591</v>
      </c>
      <c r="B5017" t="s">
        <v>2592</v>
      </c>
      <c r="C5017" t="s">
        <v>2595</v>
      </c>
      <c r="D5017" t="s">
        <v>2596</v>
      </c>
      <c r="E5017" s="9">
        <v>45444</v>
      </c>
      <c r="F5017" s="9">
        <v>45473</v>
      </c>
      <c r="G5017">
        <v>49565195.610000007</v>
      </c>
      <c r="H5017">
        <v>21339981.989999998</v>
      </c>
      <c r="I5017">
        <v>30313918.530000001</v>
      </c>
      <c r="J5017">
        <v>11232083.969999999</v>
      </c>
      <c r="K5017">
        <v>1759595.4000000001</v>
      </c>
      <c r="L5017">
        <v>10339252.23</v>
      </c>
      <c r="M5017">
        <v>0</v>
      </c>
      <c r="T5017" s="9">
        <v>45108</v>
      </c>
      <c r="U5017" s="9">
        <v>45473</v>
      </c>
      <c r="V5017">
        <f>SUM(POTABLE_NONPOTABLE_API[[#This Row],[RESIDENTIAL_SINGLEFAMILY_GAL]:[OTHER_GAL]])</f>
        <v>124550027.73000002</v>
      </c>
      <c r="W5017">
        <f>SUM(POTABLE_NONPOTABLE_API[[#This Row],[NONPOTABLE_DEMAND_RESIDENTIAL_RECYCLED_WATER_GAL]:[NONPOTABLE_DEMAND_NONRESIDENTIAL_METERED_IRRIGATION_GAL]])</f>
        <v>0</v>
      </c>
      <c r="X5017" t="str">
        <f>IFERROR(INDEX(Crosswalk_API!$H$2:$H$527, MATCH(POTABLE_NONPOTABLE_API[[#This Row],[PWSID]], CW_PWSID_LIST, 0)), "")</f>
        <v>No</v>
      </c>
    </row>
    <row r="5018" spans="1:24" x14ac:dyDescent="0.25">
      <c r="A5018" t="s">
        <v>2591</v>
      </c>
      <c r="B5018" t="s">
        <v>2592</v>
      </c>
      <c r="C5018" t="s">
        <v>2597</v>
      </c>
      <c r="D5018" t="s">
        <v>2598</v>
      </c>
      <c r="E5018" s="9">
        <v>45108</v>
      </c>
      <c r="F5018" s="9">
        <v>45138</v>
      </c>
      <c r="G5018">
        <v>343241667.86999995</v>
      </c>
      <c r="H5018">
        <v>36120583.350000001</v>
      </c>
      <c r="I5018">
        <v>92460221.25</v>
      </c>
      <c r="J5018">
        <v>200636236.23000002</v>
      </c>
      <c r="K5018">
        <v>24223763.34</v>
      </c>
      <c r="L5018">
        <v>6451849.7999999998</v>
      </c>
      <c r="M5018">
        <v>0</v>
      </c>
      <c r="N5018">
        <v>0</v>
      </c>
      <c r="O5018">
        <v>0</v>
      </c>
      <c r="P5018">
        <v>0</v>
      </c>
      <c r="Q5018">
        <v>8908766.3399999999</v>
      </c>
      <c r="R5018">
        <v>0</v>
      </c>
      <c r="S5018">
        <v>4643376.75</v>
      </c>
      <c r="T5018" s="9">
        <v>45108</v>
      </c>
      <c r="U5018" s="9">
        <v>45473</v>
      </c>
      <c r="V5018">
        <f>SUM(POTABLE_NONPOTABLE_API[[#This Row],[RESIDENTIAL_SINGLEFAMILY_GAL]:[OTHER_GAL]])</f>
        <v>703134321.84000003</v>
      </c>
      <c r="W5018">
        <f>SUM(POTABLE_NONPOTABLE_API[[#This Row],[NONPOTABLE_DEMAND_RESIDENTIAL_RECYCLED_WATER_GAL]:[NONPOTABLE_DEMAND_NONRESIDENTIAL_METERED_IRRIGATION_GAL]])</f>
        <v>13552143.09</v>
      </c>
      <c r="X5018" t="str">
        <f>IFERROR(INDEX(Crosswalk_API!$H$2:$H$527, MATCH(POTABLE_NONPOTABLE_API[[#This Row],[PWSID]], CW_PWSID_LIST, 0)), "")</f>
        <v>No</v>
      </c>
    </row>
    <row r="5019" spans="1:24" x14ac:dyDescent="0.25">
      <c r="A5019" t="s">
        <v>2591</v>
      </c>
      <c r="B5019" t="s">
        <v>2592</v>
      </c>
      <c r="C5019" t="s">
        <v>2597</v>
      </c>
      <c r="D5019" t="s">
        <v>2598</v>
      </c>
      <c r="E5019" s="9">
        <v>45139</v>
      </c>
      <c r="F5019" s="9">
        <v>45169</v>
      </c>
      <c r="G5019">
        <v>389740605.56999999</v>
      </c>
      <c r="H5019">
        <v>38821888.140000001</v>
      </c>
      <c r="I5019">
        <v>109762909.35000001</v>
      </c>
      <c r="J5019">
        <v>236313662.22</v>
      </c>
      <c r="K5019">
        <v>27228109.560000002</v>
      </c>
      <c r="L5019">
        <v>7683566.5799999991</v>
      </c>
      <c r="M5019">
        <v>0</v>
      </c>
      <c r="N5019">
        <v>0</v>
      </c>
      <c r="O5019">
        <v>0</v>
      </c>
      <c r="P5019">
        <v>0</v>
      </c>
      <c r="Q5019">
        <v>18397547.460000001</v>
      </c>
      <c r="R5019">
        <v>0</v>
      </c>
      <c r="S5019">
        <v>3942797.1</v>
      </c>
      <c r="T5019" s="9">
        <v>45108</v>
      </c>
      <c r="U5019" s="9">
        <v>45473</v>
      </c>
      <c r="V5019">
        <f>SUM(POTABLE_NONPOTABLE_API[[#This Row],[RESIDENTIAL_SINGLEFAMILY_GAL]:[OTHER_GAL]])</f>
        <v>809550741.41999996</v>
      </c>
      <c r="W5019">
        <f>SUM(POTABLE_NONPOTABLE_API[[#This Row],[NONPOTABLE_DEMAND_RESIDENTIAL_RECYCLED_WATER_GAL]:[NONPOTABLE_DEMAND_NONRESIDENTIAL_METERED_IRRIGATION_GAL]])</f>
        <v>22340344.560000002</v>
      </c>
      <c r="X5019" t="str">
        <f>IFERROR(INDEX(Crosswalk_API!$H$2:$H$527, MATCH(POTABLE_NONPOTABLE_API[[#This Row],[PWSID]], CW_PWSID_LIST, 0)), "")</f>
        <v>No</v>
      </c>
    </row>
    <row r="5020" spans="1:24" x14ac:dyDescent="0.25">
      <c r="A5020" t="s">
        <v>2591</v>
      </c>
      <c r="B5020" t="s">
        <v>2592</v>
      </c>
      <c r="C5020" t="s">
        <v>2597</v>
      </c>
      <c r="D5020" t="s">
        <v>2598</v>
      </c>
      <c r="E5020" s="9">
        <v>45170</v>
      </c>
      <c r="F5020" s="9">
        <v>45199</v>
      </c>
      <c r="G5020">
        <v>402510706.25999999</v>
      </c>
      <c r="H5020">
        <v>49685760.479999997</v>
      </c>
      <c r="I5020">
        <v>125739383.88</v>
      </c>
      <c r="J5020">
        <v>237115255.67999998</v>
      </c>
      <c r="K5020">
        <v>33002189.280000001</v>
      </c>
      <c r="L5020">
        <v>6220495.5899999999</v>
      </c>
      <c r="M5020">
        <v>0</v>
      </c>
      <c r="N5020">
        <v>0</v>
      </c>
      <c r="O5020">
        <v>0</v>
      </c>
      <c r="P5020">
        <v>0</v>
      </c>
      <c r="Q5020">
        <v>19186106.880000003</v>
      </c>
      <c r="R5020">
        <v>0</v>
      </c>
      <c r="S5020">
        <v>2675236.7100000004</v>
      </c>
      <c r="T5020" s="9">
        <v>45108</v>
      </c>
      <c r="U5020" s="9">
        <v>45473</v>
      </c>
      <c r="V5020">
        <f>SUM(POTABLE_NONPOTABLE_API[[#This Row],[RESIDENTIAL_SINGLEFAMILY_GAL]:[OTHER_GAL]])</f>
        <v>854273791.16999996</v>
      </c>
      <c r="W5020">
        <f>SUM(POTABLE_NONPOTABLE_API[[#This Row],[NONPOTABLE_DEMAND_RESIDENTIAL_RECYCLED_WATER_GAL]:[NONPOTABLE_DEMAND_NONRESIDENTIAL_METERED_IRRIGATION_GAL]])</f>
        <v>21861343.590000004</v>
      </c>
      <c r="X5020" t="str">
        <f>IFERROR(INDEX(Crosswalk_API!$H$2:$H$527, MATCH(POTABLE_NONPOTABLE_API[[#This Row],[PWSID]], CW_PWSID_LIST, 0)), "")</f>
        <v>No</v>
      </c>
    </row>
    <row r="5021" spans="1:24" x14ac:dyDescent="0.25">
      <c r="A5021" t="s">
        <v>2591</v>
      </c>
      <c r="B5021" t="s">
        <v>2592</v>
      </c>
      <c r="C5021" t="s">
        <v>2597</v>
      </c>
      <c r="D5021" t="s">
        <v>2598</v>
      </c>
      <c r="E5021" s="9">
        <v>45200</v>
      </c>
      <c r="F5021" s="9">
        <v>45230</v>
      </c>
      <c r="G5021">
        <v>342270631.89000005</v>
      </c>
      <c r="H5021">
        <v>20786035.289999999</v>
      </c>
      <c r="I5021">
        <v>109085139.27</v>
      </c>
      <c r="J5021">
        <v>187429495.20000002</v>
      </c>
      <c r="K5021">
        <v>37182857.609999999</v>
      </c>
      <c r="L5021">
        <v>12382338</v>
      </c>
      <c r="M5021">
        <v>0</v>
      </c>
      <c r="N5021">
        <v>0</v>
      </c>
      <c r="O5021">
        <v>0</v>
      </c>
      <c r="P5021">
        <v>0</v>
      </c>
      <c r="Q5021">
        <v>7318613.46</v>
      </c>
      <c r="R5021">
        <v>0</v>
      </c>
      <c r="S5021">
        <v>2668719.69</v>
      </c>
      <c r="T5021" s="9">
        <v>45108</v>
      </c>
      <c r="U5021" s="9">
        <v>45473</v>
      </c>
      <c r="V5021">
        <f>SUM(POTABLE_NONPOTABLE_API[[#This Row],[RESIDENTIAL_SINGLEFAMILY_GAL]:[OTHER_GAL]])</f>
        <v>709136497.26000011</v>
      </c>
      <c r="W5021">
        <f>SUM(POTABLE_NONPOTABLE_API[[#This Row],[NONPOTABLE_DEMAND_RESIDENTIAL_RECYCLED_WATER_GAL]:[NONPOTABLE_DEMAND_NONRESIDENTIAL_METERED_IRRIGATION_GAL]])</f>
        <v>9987333.1500000004</v>
      </c>
      <c r="X5021" t="str">
        <f>IFERROR(INDEX(Crosswalk_API!$H$2:$H$527, MATCH(POTABLE_NONPOTABLE_API[[#This Row],[PWSID]], CW_PWSID_LIST, 0)), "")</f>
        <v>No</v>
      </c>
    </row>
    <row r="5022" spans="1:24" x14ac:dyDescent="0.25">
      <c r="A5022" t="s">
        <v>2591</v>
      </c>
      <c r="B5022" t="s">
        <v>2592</v>
      </c>
      <c r="C5022" t="s">
        <v>2597</v>
      </c>
      <c r="D5022" t="s">
        <v>2598</v>
      </c>
      <c r="E5022" s="9">
        <v>45231</v>
      </c>
      <c r="F5022" s="9">
        <v>45260</v>
      </c>
      <c r="G5022">
        <v>317997990.89999998</v>
      </c>
      <c r="H5022">
        <v>33875469.960000001</v>
      </c>
      <c r="I5022">
        <v>74483021.579999998</v>
      </c>
      <c r="J5022">
        <v>162316158.63</v>
      </c>
      <c r="K5022">
        <v>21499648.98</v>
      </c>
      <c r="L5022">
        <v>7035123.0899999999</v>
      </c>
      <c r="M5022">
        <v>0</v>
      </c>
      <c r="N5022">
        <v>0</v>
      </c>
      <c r="O5022">
        <v>0</v>
      </c>
      <c r="P5022">
        <v>0</v>
      </c>
      <c r="Q5022">
        <v>8100633.4512267299</v>
      </c>
      <c r="R5022">
        <v>0</v>
      </c>
      <c r="S5022">
        <v>2613325.02</v>
      </c>
      <c r="T5022" s="9">
        <v>45108</v>
      </c>
      <c r="U5022" s="9">
        <v>45473</v>
      </c>
      <c r="V5022">
        <f>SUM(POTABLE_NONPOTABLE_API[[#This Row],[RESIDENTIAL_SINGLEFAMILY_GAL]:[OTHER_GAL]])</f>
        <v>617207413.13999999</v>
      </c>
      <c r="W5022">
        <f>SUM(POTABLE_NONPOTABLE_API[[#This Row],[NONPOTABLE_DEMAND_RESIDENTIAL_RECYCLED_WATER_GAL]:[NONPOTABLE_DEMAND_NONRESIDENTIAL_METERED_IRRIGATION_GAL]])</f>
        <v>10713958.471226729</v>
      </c>
      <c r="X5022" t="str">
        <f>IFERROR(INDEX(Crosswalk_API!$H$2:$H$527, MATCH(POTABLE_NONPOTABLE_API[[#This Row],[PWSID]], CW_PWSID_LIST, 0)), "")</f>
        <v>No</v>
      </c>
    </row>
    <row r="5023" spans="1:24" x14ac:dyDescent="0.25">
      <c r="A5023" t="s">
        <v>2591</v>
      </c>
      <c r="B5023" t="s">
        <v>2592</v>
      </c>
      <c r="C5023" t="s">
        <v>2597</v>
      </c>
      <c r="D5023" t="s">
        <v>2598</v>
      </c>
      <c r="E5023" s="9">
        <v>45261</v>
      </c>
      <c r="F5023" s="9">
        <v>45291</v>
      </c>
      <c r="G5023">
        <v>307150411.11000001</v>
      </c>
      <c r="H5023">
        <v>34859539.980000004</v>
      </c>
      <c r="I5023">
        <v>77174550.840000004</v>
      </c>
      <c r="J5023">
        <v>155026871.75999999</v>
      </c>
      <c r="K5023">
        <v>24083647.41</v>
      </c>
      <c r="L5023">
        <v>6448591.29</v>
      </c>
      <c r="M5023">
        <v>0</v>
      </c>
      <c r="N5023">
        <v>0</v>
      </c>
      <c r="O5023">
        <v>0</v>
      </c>
      <c r="P5023">
        <v>0</v>
      </c>
      <c r="Q5023">
        <v>9254126.5509560686</v>
      </c>
      <c r="R5023">
        <v>0</v>
      </c>
      <c r="S5023">
        <v>0</v>
      </c>
      <c r="T5023" s="9">
        <v>45108</v>
      </c>
      <c r="U5023" s="9">
        <v>45473</v>
      </c>
      <c r="V5023">
        <f>SUM(POTABLE_NONPOTABLE_API[[#This Row],[RESIDENTIAL_SINGLEFAMILY_GAL]:[OTHER_GAL]])</f>
        <v>604743612.38999999</v>
      </c>
      <c r="W5023">
        <f>SUM(POTABLE_NONPOTABLE_API[[#This Row],[NONPOTABLE_DEMAND_RESIDENTIAL_RECYCLED_WATER_GAL]:[NONPOTABLE_DEMAND_NONRESIDENTIAL_METERED_IRRIGATION_GAL]])</f>
        <v>9254126.5509560686</v>
      </c>
      <c r="X5023" t="str">
        <f>IFERROR(INDEX(Crosswalk_API!$H$2:$H$527, MATCH(POTABLE_NONPOTABLE_API[[#This Row],[PWSID]], CW_PWSID_LIST, 0)), "")</f>
        <v>No</v>
      </c>
    </row>
    <row r="5024" spans="1:24" x14ac:dyDescent="0.25">
      <c r="A5024" t="s">
        <v>2591</v>
      </c>
      <c r="B5024" t="s">
        <v>2592</v>
      </c>
      <c r="C5024" t="s">
        <v>2597</v>
      </c>
      <c r="D5024" t="s">
        <v>2598</v>
      </c>
      <c r="E5024" s="9">
        <v>45292</v>
      </c>
      <c r="F5024" s="9">
        <v>45322</v>
      </c>
      <c r="G5024">
        <v>247144949.46000001</v>
      </c>
      <c r="H5024">
        <v>33872211.450000003</v>
      </c>
      <c r="I5024">
        <v>75994970.219999999</v>
      </c>
      <c r="J5024">
        <v>97690129.799999997</v>
      </c>
      <c r="K5024">
        <v>25080751.469999999</v>
      </c>
      <c r="L5024">
        <v>6011950.9500000002</v>
      </c>
      <c r="M5024">
        <v>0</v>
      </c>
      <c r="N5024">
        <v>0</v>
      </c>
      <c r="O5024">
        <v>0</v>
      </c>
      <c r="P5024">
        <v>0</v>
      </c>
      <c r="Q5024">
        <v>2792543.0700000003</v>
      </c>
      <c r="R5024">
        <v>0</v>
      </c>
      <c r="S5024">
        <v>0</v>
      </c>
      <c r="T5024" s="9">
        <v>45108</v>
      </c>
      <c r="U5024" s="9">
        <v>45473</v>
      </c>
      <c r="V5024">
        <f>SUM(POTABLE_NONPOTABLE_API[[#This Row],[RESIDENTIAL_SINGLEFAMILY_GAL]:[OTHER_GAL]])</f>
        <v>485794963.34999996</v>
      </c>
      <c r="W5024">
        <f>SUM(POTABLE_NONPOTABLE_API[[#This Row],[NONPOTABLE_DEMAND_RESIDENTIAL_RECYCLED_WATER_GAL]:[NONPOTABLE_DEMAND_NONRESIDENTIAL_METERED_IRRIGATION_GAL]])</f>
        <v>2792543.0700000003</v>
      </c>
      <c r="X5024" t="str">
        <f>IFERROR(INDEX(Crosswalk_API!$H$2:$H$527, MATCH(POTABLE_NONPOTABLE_API[[#This Row],[PWSID]], CW_PWSID_LIST, 0)), "")</f>
        <v>No</v>
      </c>
    </row>
    <row r="5025" spans="1:24" x14ac:dyDescent="0.25">
      <c r="A5025" t="s">
        <v>2591</v>
      </c>
      <c r="B5025" t="s">
        <v>2592</v>
      </c>
      <c r="C5025" t="s">
        <v>2597</v>
      </c>
      <c r="D5025" t="s">
        <v>2598</v>
      </c>
      <c r="E5025" s="9">
        <v>45323</v>
      </c>
      <c r="F5025" s="9">
        <v>45351</v>
      </c>
      <c r="G5025">
        <v>212151810.57000002</v>
      </c>
      <c r="H5025">
        <v>21480097.920000002</v>
      </c>
      <c r="I5025">
        <v>52084023.840000004</v>
      </c>
      <c r="J5025">
        <v>29473222.949999999</v>
      </c>
      <c r="K5025">
        <v>10212170.34</v>
      </c>
      <c r="L5025">
        <v>11408043.51</v>
      </c>
      <c r="M5025">
        <v>0</v>
      </c>
      <c r="N5025">
        <v>0</v>
      </c>
      <c r="O5025">
        <v>0</v>
      </c>
      <c r="P5025">
        <v>0</v>
      </c>
      <c r="Q5025">
        <v>1006879.59</v>
      </c>
      <c r="R5025">
        <v>0</v>
      </c>
      <c r="S5025">
        <v>0</v>
      </c>
      <c r="T5025" s="9">
        <v>45108</v>
      </c>
      <c r="U5025" s="9">
        <v>45473</v>
      </c>
      <c r="V5025">
        <f>SUM(POTABLE_NONPOTABLE_API[[#This Row],[RESIDENTIAL_SINGLEFAMILY_GAL]:[OTHER_GAL]])</f>
        <v>336809369.13</v>
      </c>
      <c r="W5025">
        <f>SUM(POTABLE_NONPOTABLE_API[[#This Row],[NONPOTABLE_DEMAND_RESIDENTIAL_RECYCLED_WATER_GAL]:[NONPOTABLE_DEMAND_NONRESIDENTIAL_METERED_IRRIGATION_GAL]])</f>
        <v>1006879.59</v>
      </c>
      <c r="X5025" t="str">
        <f>IFERROR(INDEX(Crosswalk_API!$H$2:$H$527, MATCH(POTABLE_NONPOTABLE_API[[#This Row],[PWSID]], CW_PWSID_LIST, 0)), "")</f>
        <v>No</v>
      </c>
    </row>
    <row r="5026" spans="1:24" x14ac:dyDescent="0.25">
      <c r="A5026" t="s">
        <v>2591</v>
      </c>
      <c r="B5026" t="s">
        <v>2592</v>
      </c>
      <c r="C5026" t="s">
        <v>2597</v>
      </c>
      <c r="D5026" t="s">
        <v>2598</v>
      </c>
      <c r="E5026" s="9">
        <v>45352</v>
      </c>
      <c r="F5026" s="9">
        <v>45382</v>
      </c>
      <c r="G5026">
        <v>173362507.53</v>
      </c>
      <c r="H5026">
        <v>28798711.379999999</v>
      </c>
      <c r="I5026">
        <v>36830938.530000001</v>
      </c>
      <c r="J5026">
        <v>18071696.460000001</v>
      </c>
      <c r="K5026">
        <v>14220137.640000001</v>
      </c>
      <c r="L5026">
        <v>1228458.27</v>
      </c>
      <c r="M5026">
        <v>0</v>
      </c>
      <c r="N5026">
        <v>0</v>
      </c>
      <c r="O5026">
        <v>0</v>
      </c>
      <c r="P5026">
        <v>0</v>
      </c>
      <c r="Q5026">
        <v>540912.65999999992</v>
      </c>
      <c r="R5026">
        <v>0</v>
      </c>
      <c r="S5026">
        <v>32585.100000000002</v>
      </c>
      <c r="T5026" s="9">
        <v>45108</v>
      </c>
      <c r="U5026" s="9">
        <v>45473</v>
      </c>
      <c r="V5026">
        <f>SUM(POTABLE_NONPOTABLE_API[[#This Row],[RESIDENTIAL_SINGLEFAMILY_GAL]:[OTHER_GAL]])</f>
        <v>272512449.81</v>
      </c>
      <c r="W5026">
        <f>SUM(POTABLE_NONPOTABLE_API[[#This Row],[NONPOTABLE_DEMAND_RESIDENTIAL_RECYCLED_WATER_GAL]:[NONPOTABLE_DEMAND_NONRESIDENTIAL_METERED_IRRIGATION_GAL]])</f>
        <v>573497.75999999989</v>
      </c>
      <c r="X5026" t="str">
        <f>IFERROR(INDEX(Crosswalk_API!$H$2:$H$527, MATCH(POTABLE_NONPOTABLE_API[[#This Row],[PWSID]], CW_PWSID_LIST, 0)), "")</f>
        <v>No</v>
      </c>
    </row>
    <row r="5027" spans="1:24" x14ac:dyDescent="0.25">
      <c r="A5027" t="s">
        <v>2591</v>
      </c>
      <c r="B5027" t="s">
        <v>2592</v>
      </c>
      <c r="C5027" t="s">
        <v>2597</v>
      </c>
      <c r="D5027" t="s">
        <v>2598</v>
      </c>
      <c r="E5027" s="9">
        <v>45383</v>
      </c>
      <c r="F5027" s="9">
        <v>45412</v>
      </c>
      <c r="G5027">
        <v>167999000.07000002</v>
      </c>
      <c r="H5027">
        <v>28466343.359999999</v>
      </c>
      <c r="I5027">
        <v>42552882.090000004</v>
      </c>
      <c r="J5027">
        <v>16207828.74</v>
      </c>
      <c r="K5027">
        <v>11847942.359999999</v>
      </c>
      <c r="L5027">
        <v>3421435.5</v>
      </c>
      <c r="M5027">
        <v>0</v>
      </c>
      <c r="N5027">
        <v>0</v>
      </c>
      <c r="O5027">
        <v>0</v>
      </c>
      <c r="P5027">
        <v>0</v>
      </c>
      <c r="Q5027">
        <v>198769.11</v>
      </c>
      <c r="R5027">
        <v>0</v>
      </c>
      <c r="S5027">
        <v>0</v>
      </c>
      <c r="T5027" s="9">
        <v>45108</v>
      </c>
      <c r="U5027" s="9">
        <v>45473</v>
      </c>
      <c r="V5027">
        <f>SUM(POTABLE_NONPOTABLE_API[[#This Row],[RESIDENTIAL_SINGLEFAMILY_GAL]:[OTHER_GAL]])</f>
        <v>270495432.12</v>
      </c>
      <c r="W5027">
        <f>SUM(POTABLE_NONPOTABLE_API[[#This Row],[NONPOTABLE_DEMAND_RESIDENTIAL_RECYCLED_WATER_GAL]:[NONPOTABLE_DEMAND_NONRESIDENTIAL_METERED_IRRIGATION_GAL]])</f>
        <v>198769.11</v>
      </c>
      <c r="X5027" t="str">
        <f>IFERROR(INDEX(Crosswalk_API!$H$2:$H$527, MATCH(POTABLE_NONPOTABLE_API[[#This Row],[PWSID]], CW_PWSID_LIST, 0)), "")</f>
        <v>No</v>
      </c>
    </row>
    <row r="5028" spans="1:24" x14ac:dyDescent="0.25">
      <c r="A5028" t="s">
        <v>2591</v>
      </c>
      <c r="B5028" t="s">
        <v>2592</v>
      </c>
      <c r="C5028" t="s">
        <v>2597</v>
      </c>
      <c r="D5028" t="s">
        <v>2598</v>
      </c>
      <c r="E5028" s="9">
        <v>45413</v>
      </c>
      <c r="F5028" s="9">
        <v>45443</v>
      </c>
      <c r="G5028">
        <v>191900170.91999999</v>
      </c>
      <c r="H5028">
        <v>31796540.579999998</v>
      </c>
      <c r="I5028">
        <v>63896122.590000004</v>
      </c>
      <c r="J5028">
        <v>33266128.59</v>
      </c>
      <c r="K5028">
        <v>14200586.58</v>
      </c>
      <c r="L5028">
        <v>3858075.84</v>
      </c>
      <c r="M5028">
        <v>0</v>
      </c>
      <c r="N5028">
        <v>0</v>
      </c>
      <c r="O5028">
        <v>0</v>
      </c>
      <c r="P5028">
        <v>0</v>
      </c>
      <c r="Q5028">
        <v>584227.04935998004</v>
      </c>
      <c r="R5028">
        <v>0</v>
      </c>
      <c r="S5028">
        <v>566980.74</v>
      </c>
      <c r="T5028" s="9">
        <v>45108</v>
      </c>
      <c r="U5028" s="9">
        <v>45473</v>
      </c>
      <c r="V5028">
        <f>SUM(POTABLE_NONPOTABLE_API[[#This Row],[RESIDENTIAL_SINGLEFAMILY_GAL]:[OTHER_GAL]])</f>
        <v>338917625.09999996</v>
      </c>
      <c r="W5028">
        <f>SUM(POTABLE_NONPOTABLE_API[[#This Row],[NONPOTABLE_DEMAND_RESIDENTIAL_RECYCLED_WATER_GAL]:[NONPOTABLE_DEMAND_NONRESIDENTIAL_METERED_IRRIGATION_GAL]])</f>
        <v>1151207.78935998</v>
      </c>
      <c r="X5028" t="str">
        <f>IFERROR(INDEX(Crosswalk_API!$H$2:$H$527, MATCH(POTABLE_NONPOTABLE_API[[#This Row],[PWSID]], CW_PWSID_LIST, 0)), "")</f>
        <v>No</v>
      </c>
    </row>
    <row r="5029" spans="1:24" x14ac:dyDescent="0.25">
      <c r="A5029" t="s">
        <v>2591</v>
      </c>
      <c r="B5029" t="s">
        <v>2592</v>
      </c>
      <c r="C5029" t="s">
        <v>2597</v>
      </c>
      <c r="D5029" t="s">
        <v>2598</v>
      </c>
      <c r="E5029" s="9">
        <v>45444</v>
      </c>
      <c r="F5029" s="9">
        <v>45473</v>
      </c>
      <c r="G5029">
        <v>256532716.76999998</v>
      </c>
      <c r="H5029">
        <v>32497120.23</v>
      </c>
      <c r="I5029">
        <v>60699524.280000001</v>
      </c>
      <c r="J5029">
        <v>117192312.14999999</v>
      </c>
      <c r="K5029">
        <v>16768292.460000001</v>
      </c>
      <c r="L5029">
        <v>7351198.5599999996</v>
      </c>
      <c r="M5029">
        <v>0</v>
      </c>
      <c r="N5029">
        <v>0</v>
      </c>
      <c r="O5029">
        <v>0</v>
      </c>
      <c r="P5029">
        <v>0</v>
      </c>
      <c r="Q5029">
        <v>4294716.18</v>
      </c>
      <c r="R5029">
        <v>0</v>
      </c>
      <c r="S5029">
        <v>1919262.39</v>
      </c>
      <c r="T5029" s="9">
        <v>45108</v>
      </c>
      <c r="U5029" s="9">
        <v>45473</v>
      </c>
      <c r="V5029">
        <f>SUM(POTABLE_NONPOTABLE_API[[#This Row],[RESIDENTIAL_SINGLEFAMILY_GAL]:[OTHER_GAL]])</f>
        <v>491041164.44999993</v>
      </c>
      <c r="W5029">
        <f>SUM(POTABLE_NONPOTABLE_API[[#This Row],[NONPOTABLE_DEMAND_RESIDENTIAL_RECYCLED_WATER_GAL]:[NONPOTABLE_DEMAND_NONRESIDENTIAL_METERED_IRRIGATION_GAL]])</f>
        <v>6213978.5699999994</v>
      </c>
      <c r="X5029" t="str">
        <f>IFERROR(INDEX(Crosswalk_API!$H$2:$H$527, MATCH(POTABLE_NONPOTABLE_API[[#This Row],[PWSID]], CW_PWSID_LIST, 0)), "")</f>
        <v>No</v>
      </c>
    </row>
    <row r="5030" spans="1:24" x14ac:dyDescent="0.25">
      <c r="A5030" t="s">
        <v>2591</v>
      </c>
      <c r="B5030" t="s">
        <v>2592</v>
      </c>
      <c r="C5030" t="s">
        <v>2599</v>
      </c>
      <c r="D5030" t="s">
        <v>2600</v>
      </c>
      <c r="E5030" s="9">
        <v>45108</v>
      </c>
      <c r="F5030" s="9">
        <v>45138</v>
      </c>
      <c r="G5030">
        <v>19479372.780000001</v>
      </c>
      <c r="H5030">
        <v>7866043.1400000006</v>
      </c>
      <c r="I5030">
        <v>5435194.6799999997</v>
      </c>
      <c r="J5030">
        <v>6829836.96</v>
      </c>
      <c r="K5030">
        <v>0</v>
      </c>
      <c r="L5030">
        <v>1244750.8199999998</v>
      </c>
      <c r="M5030">
        <v>0</v>
      </c>
      <c r="T5030" s="9">
        <v>45108</v>
      </c>
      <c r="U5030" s="9">
        <v>45473</v>
      </c>
      <c r="V5030">
        <f>SUM(POTABLE_NONPOTABLE_API[[#This Row],[RESIDENTIAL_SINGLEFAMILY_GAL]:[OTHER_GAL]])</f>
        <v>40855198.380000003</v>
      </c>
      <c r="W5030">
        <f>SUM(POTABLE_NONPOTABLE_API[[#This Row],[NONPOTABLE_DEMAND_RESIDENTIAL_RECYCLED_WATER_GAL]:[NONPOTABLE_DEMAND_NONRESIDENTIAL_METERED_IRRIGATION_GAL]])</f>
        <v>0</v>
      </c>
      <c r="X5030" t="str">
        <f>IFERROR(INDEX(Crosswalk_API!$H$2:$H$527, MATCH(POTABLE_NONPOTABLE_API[[#This Row],[PWSID]], CW_PWSID_LIST, 0)), "")</f>
        <v/>
      </c>
    </row>
    <row r="5031" spans="1:24" x14ac:dyDescent="0.25">
      <c r="A5031" t="s">
        <v>2591</v>
      </c>
      <c r="B5031" t="s">
        <v>2592</v>
      </c>
      <c r="C5031" t="s">
        <v>2599</v>
      </c>
      <c r="D5031" t="s">
        <v>2600</v>
      </c>
      <c r="E5031" s="9">
        <v>45139</v>
      </c>
      <c r="F5031" s="9">
        <v>45169</v>
      </c>
      <c r="G5031">
        <v>22956202.949999999</v>
      </c>
      <c r="H5031">
        <v>9071691.8399999999</v>
      </c>
      <c r="I5031">
        <v>6810285.8999999994</v>
      </c>
      <c r="J5031">
        <v>10003625.699999999</v>
      </c>
      <c r="K5031">
        <v>0</v>
      </c>
      <c r="L5031">
        <v>312816.95999999996</v>
      </c>
      <c r="M5031">
        <v>0</v>
      </c>
      <c r="T5031" s="9">
        <v>45108</v>
      </c>
      <c r="U5031" s="9">
        <v>45473</v>
      </c>
      <c r="V5031">
        <f>SUM(POTABLE_NONPOTABLE_API[[#This Row],[RESIDENTIAL_SINGLEFAMILY_GAL]:[OTHER_GAL]])</f>
        <v>49154623.350000001</v>
      </c>
      <c r="W5031">
        <f>SUM(POTABLE_NONPOTABLE_API[[#This Row],[NONPOTABLE_DEMAND_RESIDENTIAL_RECYCLED_WATER_GAL]:[NONPOTABLE_DEMAND_NONRESIDENTIAL_METERED_IRRIGATION_GAL]])</f>
        <v>0</v>
      </c>
      <c r="X5031" t="str">
        <f>IFERROR(INDEX(Crosswalk_API!$H$2:$H$527, MATCH(POTABLE_NONPOTABLE_API[[#This Row],[PWSID]], CW_PWSID_LIST, 0)), "")</f>
        <v/>
      </c>
    </row>
    <row r="5032" spans="1:24" x14ac:dyDescent="0.25">
      <c r="A5032" t="s">
        <v>2591</v>
      </c>
      <c r="B5032" t="s">
        <v>2592</v>
      </c>
      <c r="C5032" t="s">
        <v>2599</v>
      </c>
      <c r="D5032" t="s">
        <v>2600</v>
      </c>
      <c r="E5032" s="9">
        <v>45170</v>
      </c>
      <c r="F5032" s="9">
        <v>45199</v>
      </c>
      <c r="G5032">
        <v>32083289.459999997</v>
      </c>
      <c r="H5032">
        <v>11502540.299999999</v>
      </c>
      <c r="I5032">
        <v>9824407.6500000004</v>
      </c>
      <c r="J5032">
        <v>13584728.189999999</v>
      </c>
      <c r="K5032">
        <v>0</v>
      </c>
      <c r="L5032">
        <v>446415.87000000005</v>
      </c>
      <c r="M5032">
        <v>0</v>
      </c>
      <c r="T5032" s="9">
        <v>45108</v>
      </c>
      <c r="U5032" s="9">
        <v>45473</v>
      </c>
      <c r="V5032">
        <f>SUM(POTABLE_NONPOTABLE_API[[#This Row],[RESIDENTIAL_SINGLEFAMILY_GAL]:[OTHER_GAL]])</f>
        <v>67441381.469999999</v>
      </c>
      <c r="W5032">
        <f>SUM(POTABLE_NONPOTABLE_API[[#This Row],[NONPOTABLE_DEMAND_RESIDENTIAL_RECYCLED_WATER_GAL]:[NONPOTABLE_DEMAND_NONRESIDENTIAL_METERED_IRRIGATION_GAL]])</f>
        <v>0</v>
      </c>
      <c r="X5032" t="str">
        <f>IFERROR(INDEX(Crosswalk_API!$H$2:$H$527, MATCH(POTABLE_NONPOTABLE_API[[#This Row],[PWSID]], CW_PWSID_LIST, 0)), "")</f>
        <v/>
      </c>
    </row>
    <row r="5033" spans="1:24" x14ac:dyDescent="0.25">
      <c r="A5033" t="s">
        <v>2591</v>
      </c>
      <c r="B5033" t="s">
        <v>2592</v>
      </c>
      <c r="C5033" t="s">
        <v>2599</v>
      </c>
      <c r="D5033" t="s">
        <v>2600</v>
      </c>
      <c r="E5033" s="9">
        <v>45200</v>
      </c>
      <c r="F5033" s="9">
        <v>45230</v>
      </c>
      <c r="G5033">
        <v>22542372.180000003</v>
      </c>
      <c r="H5033">
        <v>8951126.9699999988</v>
      </c>
      <c r="I5033">
        <v>6526795.5300000003</v>
      </c>
      <c r="J5033">
        <v>8348302.6200000001</v>
      </c>
      <c r="K5033">
        <v>0</v>
      </c>
      <c r="L5033">
        <v>182476.56000000003</v>
      </c>
      <c r="M5033">
        <v>0</v>
      </c>
      <c r="T5033" s="9">
        <v>45108</v>
      </c>
      <c r="U5033" s="9">
        <v>45473</v>
      </c>
      <c r="V5033">
        <f>SUM(POTABLE_NONPOTABLE_API[[#This Row],[RESIDENTIAL_SINGLEFAMILY_GAL]:[OTHER_GAL]])</f>
        <v>46551073.859999999</v>
      </c>
      <c r="W5033">
        <f>SUM(POTABLE_NONPOTABLE_API[[#This Row],[NONPOTABLE_DEMAND_RESIDENTIAL_RECYCLED_WATER_GAL]:[NONPOTABLE_DEMAND_NONRESIDENTIAL_METERED_IRRIGATION_GAL]])</f>
        <v>0</v>
      </c>
      <c r="X5033" t="str">
        <f>IFERROR(INDEX(Crosswalk_API!$H$2:$H$527, MATCH(POTABLE_NONPOTABLE_API[[#This Row],[PWSID]], CW_PWSID_LIST, 0)), "")</f>
        <v/>
      </c>
    </row>
    <row r="5034" spans="1:24" x14ac:dyDescent="0.25">
      <c r="A5034" t="s">
        <v>2591</v>
      </c>
      <c r="B5034" t="s">
        <v>2592</v>
      </c>
      <c r="C5034" t="s">
        <v>2599</v>
      </c>
      <c r="D5034" t="s">
        <v>2600</v>
      </c>
      <c r="E5034" s="9">
        <v>45231</v>
      </c>
      <c r="F5034" s="9">
        <v>45260</v>
      </c>
      <c r="G5034">
        <v>24898274.91</v>
      </c>
      <c r="H5034">
        <v>10055761.859999999</v>
      </c>
      <c r="I5034">
        <v>8071329.2699999996</v>
      </c>
      <c r="J5034">
        <v>9254168.4000000004</v>
      </c>
      <c r="K5034">
        <v>0</v>
      </c>
      <c r="L5034">
        <v>1261043.3700000001</v>
      </c>
      <c r="M5034">
        <v>0</v>
      </c>
      <c r="T5034" s="9">
        <v>45108</v>
      </c>
      <c r="U5034" s="9">
        <v>45473</v>
      </c>
      <c r="V5034">
        <f>SUM(POTABLE_NONPOTABLE_API[[#This Row],[RESIDENTIAL_SINGLEFAMILY_GAL]:[OTHER_GAL]])</f>
        <v>53540577.809999987</v>
      </c>
      <c r="W5034">
        <f>SUM(POTABLE_NONPOTABLE_API[[#This Row],[NONPOTABLE_DEMAND_RESIDENTIAL_RECYCLED_WATER_GAL]:[NONPOTABLE_DEMAND_NONRESIDENTIAL_METERED_IRRIGATION_GAL]])</f>
        <v>0</v>
      </c>
      <c r="X5034" t="str">
        <f>IFERROR(INDEX(Crosswalk_API!$H$2:$H$527, MATCH(POTABLE_NONPOTABLE_API[[#This Row],[PWSID]], CW_PWSID_LIST, 0)), "")</f>
        <v/>
      </c>
    </row>
    <row r="5035" spans="1:24" x14ac:dyDescent="0.25">
      <c r="A5035" t="s">
        <v>2591</v>
      </c>
      <c r="B5035" t="s">
        <v>2592</v>
      </c>
      <c r="C5035" t="s">
        <v>2599</v>
      </c>
      <c r="D5035" t="s">
        <v>2600</v>
      </c>
      <c r="E5035" s="9">
        <v>45261</v>
      </c>
      <c r="F5035" s="9">
        <v>45291</v>
      </c>
      <c r="G5035">
        <v>20577490.649999999</v>
      </c>
      <c r="H5035">
        <v>9775530</v>
      </c>
      <c r="I5035">
        <v>6702755.0700000003</v>
      </c>
      <c r="J5035">
        <v>7299062.3999999994</v>
      </c>
      <c r="K5035">
        <v>0</v>
      </c>
      <c r="L5035">
        <v>218320.17</v>
      </c>
      <c r="M5035">
        <v>0</v>
      </c>
      <c r="T5035" s="9">
        <v>45108</v>
      </c>
      <c r="U5035" s="9">
        <v>45473</v>
      </c>
      <c r="V5035">
        <f>SUM(POTABLE_NONPOTABLE_API[[#This Row],[RESIDENTIAL_SINGLEFAMILY_GAL]:[OTHER_GAL]])</f>
        <v>44573158.289999999</v>
      </c>
      <c r="W5035">
        <f>SUM(POTABLE_NONPOTABLE_API[[#This Row],[NONPOTABLE_DEMAND_RESIDENTIAL_RECYCLED_WATER_GAL]:[NONPOTABLE_DEMAND_NONRESIDENTIAL_METERED_IRRIGATION_GAL]])</f>
        <v>0</v>
      </c>
      <c r="X5035" t="str">
        <f>IFERROR(INDEX(Crosswalk_API!$H$2:$H$527, MATCH(POTABLE_NONPOTABLE_API[[#This Row],[PWSID]], CW_PWSID_LIST, 0)), "")</f>
        <v/>
      </c>
    </row>
    <row r="5036" spans="1:24" x14ac:dyDescent="0.25">
      <c r="A5036" t="s">
        <v>2591</v>
      </c>
      <c r="B5036" t="s">
        <v>2592</v>
      </c>
      <c r="C5036" t="s">
        <v>2599</v>
      </c>
      <c r="D5036" t="s">
        <v>2600</v>
      </c>
      <c r="E5036" s="9">
        <v>45292</v>
      </c>
      <c r="F5036" s="9">
        <v>45322</v>
      </c>
      <c r="G5036">
        <v>17459096.579999998</v>
      </c>
      <c r="H5036">
        <v>6539829.5700000003</v>
      </c>
      <c r="I5036">
        <v>4434832.1099999994</v>
      </c>
      <c r="J5036">
        <v>5353731.93</v>
      </c>
      <c r="K5036">
        <v>0</v>
      </c>
      <c r="L5036">
        <v>162925.5</v>
      </c>
      <c r="M5036">
        <v>0</v>
      </c>
      <c r="T5036" s="9">
        <v>45108</v>
      </c>
      <c r="U5036" s="9">
        <v>45473</v>
      </c>
      <c r="V5036">
        <f>SUM(POTABLE_NONPOTABLE_API[[#This Row],[RESIDENTIAL_SINGLEFAMILY_GAL]:[OTHER_GAL]])</f>
        <v>33950415.689999998</v>
      </c>
      <c r="W5036">
        <f>SUM(POTABLE_NONPOTABLE_API[[#This Row],[NONPOTABLE_DEMAND_RESIDENTIAL_RECYCLED_WATER_GAL]:[NONPOTABLE_DEMAND_NONRESIDENTIAL_METERED_IRRIGATION_GAL]])</f>
        <v>0</v>
      </c>
      <c r="X5036" t="str">
        <f>IFERROR(INDEX(Crosswalk_API!$H$2:$H$527, MATCH(POTABLE_NONPOTABLE_API[[#This Row],[PWSID]], CW_PWSID_LIST, 0)), "")</f>
        <v/>
      </c>
    </row>
    <row r="5037" spans="1:24" x14ac:dyDescent="0.25">
      <c r="A5037" t="s">
        <v>2591</v>
      </c>
      <c r="B5037" t="s">
        <v>2592</v>
      </c>
      <c r="C5037" t="s">
        <v>2599</v>
      </c>
      <c r="D5037" t="s">
        <v>2600</v>
      </c>
      <c r="E5037" s="9">
        <v>45323</v>
      </c>
      <c r="F5037" s="9">
        <v>45351</v>
      </c>
      <c r="G5037">
        <v>11968507.229999999</v>
      </c>
      <c r="H5037">
        <v>6973211.3999999994</v>
      </c>
      <c r="I5037">
        <v>4089430.0500000003</v>
      </c>
      <c r="J5037">
        <v>2961985.59</v>
      </c>
      <c r="K5037">
        <v>0</v>
      </c>
      <c r="L5037">
        <v>110789.34000000001</v>
      </c>
      <c r="M5037">
        <v>0</v>
      </c>
      <c r="T5037" s="9">
        <v>45108</v>
      </c>
      <c r="U5037" s="9">
        <v>45473</v>
      </c>
      <c r="V5037">
        <f>SUM(POTABLE_NONPOTABLE_API[[#This Row],[RESIDENTIAL_SINGLEFAMILY_GAL]:[OTHER_GAL]])</f>
        <v>26103923.609999999</v>
      </c>
      <c r="W5037">
        <f>SUM(POTABLE_NONPOTABLE_API[[#This Row],[NONPOTABLE_DEMAND_RESIDENTIAL_RECYCLED_WATER_GAL]:[NONPOTABLE_DEMAND_NONRESIDENTIAL_METERED_IRRIGATION_GAL]])</f>
        <v>0</v>
      </c>
      <c r="X5037" t="str">
        <f>IFERROR(INDEX(Crosswalk_API!$H$2:$H$527, MATCH(POTABLE_NONPOTABLE_API[[#This Row],[PWSID]], CW_PWSID_LIST, 0)), "")</f>
        <v/>
      </c>
    </row>
    <row r="5038" spans="1:24" x14ac:dyDescent="0.25">
      <c r="A5038" t="s">
        <v>2591</v>
      </c>
      <c r="B5038" t="s">
        <v>2592</v>
      </c>
      <c r="C5038" t="s">
        <v>2599</v>
      </c>
      <c r="D5038" t="s">
        <v>2600</v>
      </c>
      <c r="E5038" s="9">
        <v>45352</v>
      </c>
      <c r="F5038" s="9">
        <v>45382</v>
      </c>
      <c r="G5038">
        <v>11948956.17</v>
      </c>
      <c r="H5038">
        <v>7061191.1700000009</v>
      </c>
      <c r="I5038">
        <v>4340335.32</v>
      </c>
      <c r="J5038">
        <v>1306662.51</v>
      </c>
      <c r="K5038">
        <v>0</v>
      </c>
      <c r="L5038">
        <v>74945.73000000001</v>
      </c>
      <c r="M5038">
        <v>0</v>
      </c>
      <c r="T5038" s="9">
        <v>45108</v>
      </c>
      <c r="U5038" s="9">
        <v>45473</v>
      </c>
      <c r="V5038">
        <f>SUM(POTABLE_NONPOTABLE_API[[#This Row],[RESIDENTIAL_SINGLEFAMILY_GAL]:[OTHER_GAL]])</f>
        <v>24732090.900000002</v>
      </c>
      <c r="W5038">
        <f>SUM(POTABLE_NONPOTABLE_API[[#This Row],[NONPOTABLE_DEMAND_RESIDENTIAL_RECYCLED_WATER_GAL]:[NONPOTABLE_DEMAND_NONRESIDENTIAL_METERED_IRRIGATION_GAL]])</f>
        <v>0</v>
      </c>
      <c r="X5038" t="str">
        <f>IFERROR(INDEX(Crosswalk_API!$H$2:$H$527, MATCH(POTABLE_NONPOTABLE_API[[#This Row],[PWSID]], CW_PWSID_LIST, 0)), "")</f>
        <v/>
      </c>
    </row>
    <row r="5039" spans="1:24" x14ac:dyDescent="0.25">
      <c r="A5039" t="s">
        <v>2591</v>
      </c>
      <c r="B5039" t="s">
        <v>2592</v>
      </c>
      <c r="C5039" t="s">
        <v>2599</v>
      </c>
      <c r="D5039" t="s">
        <v>2600</v>
      </c>
      <c r="E5039" s="9">
        <v>45383</v>
      </c>
      <c r="F5039" s="9">
        <v>45412</v>
      </c>
      <c r="G5039">
        <v>10678137.270000001</v>
      </c>
      <c r="H5039">
        <v>5660031.8700000001</v>
      </c>
      <c r="I5039">
        <v>3545258.8800000004</v>
      </c>
      <c r="J5039">
        <v>524620.11</v>
      </c>
      <c r="K5039">
        <v>0</v>
      </c>
      <c r="L5039">
        <v>0</v>
      </c>
      <c r="M5039">
        <v>0</v>
      </c>
      <c r="T5039" s="9">
        <v>45108</v>
      </c>
      <c r="U5039" s="9">
        <v>45473</v>
      </c>
      <c r="V5039">
        <f>SUM(POTABLE_NONPOTABLE_API[[#This Row],[RESIDENTIAL_SINGLEFAMILY_GAL]:[OTHER_GAL]])</f>
        <v>20408048.129999999</v>
      </c>
      <c r="W5039">
        <f>SUM(POTABLE_NONPOTABLE_API[[#This Row],[NONPOTABLE_DEMAND_RESIDENTIAL_RECYCLED_WATER_GAL]:[NONPOTABLE_DEMAND_NONRESIDENTIAL_METERED_IRRIGATION_GAL]])</f>
        <v>0</v>
      </c>
      <c r="X5039" t="str">
        <f>IFERROR(INDEX(Crosswalk_API!$H$2:$H$527, MATCH(POTABLE_NONPOTABLE_API[[#This Row],[PWSID]], CW_PWSID_LIST, 0)), "")</f>
        <v/>
      </c>
    </row>
    <row r="5040" spans="1:24" x14ac:dyDescent="0.25">
      <c r="A5040" t="s">
        <v>2591</v>
      </c>
      <c r="B5040" t="s">
        <v>2592</v>
      </c>
      <c r="C5040" t="s">
        <v>2599</v>
      </c>
      <c r="D5040" t="s">
        <v>2600</v>
      </c>
      <c r="E5040" s="9">
        <v>45413</v>
      </c>
      <c r="F5040" s="9">
        <v>45443</v>
      </c>
      <c r="G5040">
        <v>12164017.83</v>
      </c>
      <c r="H5040">
        <v>5158221.33</v>
      </c>
      <c r="I5040">
        <v>4923608.6099999994</v>
      </c>
      <c r="J5040">
        <v>2577481.41</v>
      </c>
      <c r="K5040">
        <v>0</v>
      </c>
      <c r="L5040">
        <v>0</v>
      </c>
      <c r="M5040">
        <v>0</v>
      </c>
      <c r="T5040" s="9">
        <v>45108</v>
      </c>
      <c r="U5040" s="9">
        <v>45473</v>
      </c>
      <c r="V5040">
        <f>SUM(POTABLE_NONPOTABLE_API[[#This Row],[RESIDENTIAL_SINGLEFAMILY_GAL]:[OTHER_GAL]])</f>
        <v>24823329.18</v>
      </c>
      <c r="W5040">
        <f>SUM(POTABLE_NONPOTABLE_API[[#This Row],[NONPOTABLE_DEMAND_RESIDENTIAL_RECYCLED_WATER_GAL]:[NONPOTABLE_DEMAND_NONRESIDENTIAL_METERED_IRRIGATION_GAL]])</f>
        <v>0</v>
      </c>
      <c r="X5040" t="str">
        <f>IFERROR(INDEX(Crosswalk_API!$H$2:$H$527, MATCH(POTABLE_NONPOTABLE_API[[#This Row],[PWSID]], CW_PWSID_LIST, 0)), "")</f>
        <v/>
      </c>
    </row>
    <row r="5041" spans="1:24" x14ac:dyDescent="0.25">
      <c r="A5041" t="s">
        <v>2591</v>
      </c>
      <c r="B5041" t="s">
        <v>2592</v>
      </c>
      <c r="C5041" t="s">
        <v>2599</v>
      </c>
      <c r="D5041" t="s">
        <v>2600</v>
      </c>
      <c r="E5041" s="9">
        <v>45444</v>
      </c>
      <c r="F5041" s="9">
        <v>45473</v>
      </c>
      <c r="G5041">
        <v>16383788.280000001</v>
      </c>
      <c r="H5041">
        <v>7269735.8099999996</v>
      </c>
      <c r="I5041">
        <v>6862422.0599999996</v>
      </c>
      <c r="J5041">
        <v>5259235.1400000006</v>
      </c>
      <c r="K5041">
        <v>0</v>
      </c>
      <c r="L5041">
        <v>410572.26</v>
      </c>
      <c r="M5041">
        <v>0</v>
      </c>
      <c r="T5041" s="9">
        <v>45108</v>
      </c>
      <c r="U5041" s="9">
        <v>45473</v>
      </c>
      <c r="V5041">
        <f>SUM(POTABLE_NONPOTABLE_API[[#This Row],[RESIDENTIAL_SINGLEFAMILY_GAL]:[OTHER_GAL]])</f>
        <v>36185753.549999997</v>
      </c>
      <c r="W5041">
        <f>SUM(POTABLE_NONPOTABLE_API[[#This Row],[NONPOTABLE_DEMAND_RESIDENTIAL_RECYCLED_WATER_GAL]:[NONPOTABLE_DEMAND_NONRESIDENTIAL_METERED_IRRIGATION_GAL]])</f>
        <v>0</v>
      </c>
      <c r="X5041" t="str">
        <f>IFERROR(INDEX(Crosswalk_API!$H$2:$H$527, MATCH(POTABLE_NONPOTABLE_API[[#This Row],[PWSID]], CW_PWSID_LIST, 0)), "")</f>
        <v/>
      </c>
    </row>
    <row r="5042" spans="1:24" x14ac:dyDescent="0.25">
      <c r="A5042" t="s">
        <v>2591</v>
      </c>
      <c r="B5042" t="s">
        <v>2592</v>
      </c>
      <c r="C5042" t="s">
        <v>2601</v>
      </c>
      <c r="D5042" t="s">
        <v>2602</v>
      </c>
      <c r="E5042" s="9">
        <v>45108</v>
      </c>
      <c r="F5042" s="9">
        <v>45138</v>
      </c>
      <c r="G5042">
        <v>33986259.299999997</v>
      </c>
      <c r="H5042">
        <v>0</v>
      </c>
      <c r="I5042">
        <v>873280.68</v>
      </c>
      <c r="J5042">
        <v>7898628.2399999993</v>
      </c>
      <c r="K5042">
        <v>0</v>
      </c>
      <c r="L5042">
        <v>74945.73000000001</v>
      </c>
      <c r="M5042">
        <v>0</v>
      </c>
      <c r="T5042" s="9">
        <v>45108</v>
      </c>
      <c r="U5042" s="9">
        <v>45473</v>
      </c>
      <c r="V5042">
        <f>SUM(POTABLE_NONPOTABLE_API[[#This Row],[RESIDENTIAL_SINGLEFAMILY_GAL]:[OTHER_GAL]])</f>
        <v>42833113.949999996</v>
      </c>
      <c r="W5042">
        <f>SUM(POTABLE_NONPOTABLE_API[[#This Row],[NONPOTABLE_DEMAND_RESIDENTIAL_RECYCLED_WATER_GAL]:[NONPOTABLE_DEMAND_NONRESIDENTIAL_METERED_IRRIGATION_GAL]])</f>
        <v>0</v>
      </c>
      <c r="X5042" t="str">
        <f>IFERROR(INDEX(Crosswalk_API!$H$2:$H$527, MATCH(POTABLE_NONPOTABLE_API[[#This Row],[PWSID]], CW_PWSID_LIST, 0)), "")</f>
        <v/>
      </c>
    </row>
    <row r="5043" spans="1:24" x14ac:dyDescent="0.25">
      <c r="A5043" t="s">
        <v>2591</v>
      </c>
      <c r="B5043" t="s">
        <v>2592</v>
      </c>
      <c r="C5043" t="s">
        <v>2601</v>
      </c>
      <c r="D5043" t="s">
        <v>2602</v>
      </c>
      <c r="E5043" s="9">
        <v>45139</v>
      </c>
      <c r="F5043" s="9">
        <v>45169</v>
      </c>
      <c r="G5043">
        <v>39102120</v>
      </c>
      <c r="H5043">
        <v>0</v>
      </c>
      <c r="I5043">
        <v>410572.26</v>
      </c>
      <c r="J5043">
        <v>9387767.3099999987</v>
      </c>
      <c r="K5043">
        <v>0</v>
      </c>
      <c r="L5043">
        <v>78204.239999999991</v>
      </c>
      <c r="M5043">
        <v>0</v>
      </c>
      <c r="T5043" s="9">
        <v>45108</v>
      </c>
      <c r="U5043" s="9">
        <v>45473</v>
      </c>
      <c r="V5043">
        <f>SUM(POTABLE_NONPOTABLE_API[[#This Row],[RESIDENTIAL_SINGLEFAMILY_GAL]:[OTHER_GAL]])</f>
        <v>48978663.809999995</v>
      </c>
      <c r="W5043">
        <f>SUM(POTABLE_NONPOTABLE_API[[#This Row],[NONPOTABLE_DEMAND_RESIDENTIAL_RECYCLED_WATER_GAL]:[NONPOTABLE_DEMAND_NONRESIDENTIAL_METERED_IRRIGATION_GAL]])</f>
        <v>0</v>
      </c>
      <c r="X5043" t="str">
        <f>IFERROR(INDEX(Crosswalk_API!$H$2:$H$527, MATCH(POTABLE_NONPOTABLE_API[[#This Row],[PWSID]], CW_PWSID_LIST, 0)), "")</f>
        <v/>
      </c>
    </row>
    <row r="5044" spans="1:24" x14ac:dyDescent="0.25">
      <c r="A5044" t="s">
        <v>2591</v>
      </c>
      <c r="B5044" t="s">
        <v>2592</v>
      </c>
      <c r="C5044" t="s">
        <v>2601</v>
      </c>
      <c r="D5044" t="s">
        <v>2602</v>
      </c>
      <c r="E5044" s="9">
        <v>45170</v>
      </c>
      <c r="F5044" s="9">
        <v>45199</v>
      </c>
      <c r="G5044">
        <v>52432684.409999996</v>
      </c>
      <c r="H5044">
        <v>0</v>
      </c>
      <c r="I5044">
        <v>1042723.2000000001</v>
      </c>
      <c r="J5044">
        <v>12506161.380000001</v>
      </c>
      <c r="K5044">
        <v>0</v>
      </c>
      <c r="L5044">
        <v>130340.40000000001</v>
      </c>
      <c r="M5044">
        <v>0</v>
      </c>
      <c r="T5044" s="9">
        <v>45108</v>
      </c>
      <c r="U5044" s="9">
        <v>45473</v>
      </c>
      <c r="V5044">
        <f>SUM(POTABLE_NONPOTABLE_API[[#This Row],[RESIDENTIAL_SINGLEFAMILY_GAL]:[OTHER_GAL]])</f>
        <v>66111909.390000001</v>
      </c>
      <c r="W5044">
        <f>SUM(POTABLE_NONPOTABLE_API[[#This Row],[NONPOTABLE_DEMAND_RESIDENTIAL_RECYCLED_WATER_GAL]:[NONPOTABLE_DEMAND_NONRESIDENTIAL_METERED_IRRIGATION_GAL]])</f>
        <v>0</v>
      </c>
      <c r="X5044" t="str">
        <f>IFERROR(INDEX(Crosswalk_API!$H$2:$H$527, MATCH(POTABLE_NONPOTABLE_API[[#This Row],[PWSID]], CW_PWSID_LIST, 0)), "")</f>
        <v/>
      </c>
    </row>
    <row r="5045" spans="1:24" x14ac:dyDescent="0.25">
      <c r="A5045" t="s">
        <v>2591</v>
      </c>
      <c r="B5045" t="s">
        <v>2592</v>
      </c>
      <c r="C5045" t="s">
        <v>2601</v>
      </c>
      <c r="D5045" t="s">
        <v>2602</v>
      </c>
      <c r="E5045" s="9">
        <v>45200</v>
      </c>
      <c r="F5045" s="9">
        <v>45230</v>
      </c>
      <c r="G5045">
        <v>37919280.870000005</v>
      </c>
      <c r="H5045">
        <v>0</v>
      </c>
      <c r="I5045">
        <v>925416.84</v>
      </c>
      <c r="J5045">
        <v>9175964.1600000001</v>
      </c>
      <c r="K5045">
        <v>0</v>
      </c>
      <c r="L5045">
        <v>61911.69</v>
      </c>
      <c r="M5045">
        <v>0</v>
      </c>
      <c r="T5045" s="9">
        <v>45108</v>
      </c>
      <c r="U5045" s="9">
        <v>45473</v>
      </c>
      <c r="V5045">
        <f>SUM(POTABLE_NONPOTABLE_API[[#This Row],[RESIDENTIAL_SINGLEFAMILY_GAL]:[OTHER_GAL]])</f>
        <v>48082573.560000002</v>
      </c>
      <c r="W5045">
        <f>SUM(POTABLE_NONPOTABLE_API[[#This Row],[NONPOTABLE_DEMAND_RESIDENTIAL_RECYCLED_WATER_GAL]:[NONPOTABLE_DEMAND_NONRESIDENTIAL_METERED_IRRIGATION_GAL]])</f>
        <v>0</v>
      </c>
      <c r="X5045" t="str">
        <f>IFERROR(INDEX(Crosswalk_API!$H$2:$H$527, MATCH(POTABLE_NONPOTABLE_API[[#This Row],[PWSID]], CW_PWSID_LIST, 0)), "")</f>
        <v/>
      </c>
    </row>
    <row r="5046" spans="1:24" x14ac:dyDescent="0.25">
      <c r="A5046" t="s">
        <v>2591</v>
      </c>
      <c r="B5046" t="s">
        <v>2592</v>
      </c>
      <c r="C5046" t="s">
        <v>2601</v>
      </c>
      <c r="D5046" t="s">
        <v>2602</v>
      </c>
      <c r="E5046" s="9">
        <v>45231</v>
      </c>
      <c r="F5046" s="9">
        <v>45260</v>
      </c>
      <c r="G5046">
        <v>43009073.490000002</v>
      </c>
      <c r="H5046">
        <v>0</v>
      </c>
      <c r="I5046">
        <v>795076.44</v>
      </c>
      <c r="J5046">
        <v>11241859.5</v>
      </c>
      <c r="K5046">
        <v>0</v>
      </c>
      <c r="L5046">
        <v>74945.73000000001</v>
      </c>
      <c r="M5046">
        <v>0</v>
      </c>
      <c r="T5046" s="9">
        <v>45108</v>
      </c>
      <c r="U5046" s="9">
        <v>45473</v>
      </c>
      <c r="V5046">
        <f>SUM(POTABLE_NONPOTABLE_API[[#This Row],[RESIDENTIAL_SINGLEFAMILY_GAL]:[OTHER_GAL]])</f>
        <v>55120955.159999996</v>
      </c>
      <c r="W5046">
        <f>SUM(POTABLE_NONPOTABLE_API[[#This Row],[NONPOTABLE_DEMAND_RESIDENTIAL_RECYCLED_WATER_GAL]:[NONPOTABLE_DEMAND_NONRESIDENTIAL_METERED_IRRIGATION_GAL]])</f>
        <v>0</v>
      </c>
      <c r="X5046" t="str">
        <f>IFERROR(INDEX(Crosswalk_API!$H$2:$H$527, MATCH(POTABLE_NONPOTABLE_API[[#This Row],[PWSID]], CW_PWSID_LIST, 0)), "")</f>
        <v/>
      </c>
    </row>
    <row r="5047" spans="1:24" x14ac:dyDescent="0.25">
      <c r="A5047" t="s">
        <v>2591</v>
      </c>
      <c r="B5047" t="s">
        <v>2592</v>
      </c>
      <c r="C5047" t="s">
        <v>2601</v>
      </c>
      <c r="D5047" t="s">
        <v>2602</v>
      </c>
      <c r="E5047" s="9">
        <v>45261</v>
      </c>
      <c r="F5047" s="9">
        <v>45291</v>
      </c>
      <c r="G5047">
        <v>36156426.960000001</v>
      </c>
      <c r="H5047">
        <v>0</v>
      </c>
      <c r="I5047">
        <v>593048.82000000007</v>
      </c>
      <c r="J5047">
        <v>10401163.92</v>
      </c>
      <c r="K5047">
        <v>0</v>
      </c>
      <c r="L5047">
        <v>52136.160000000003</v>
      </c>
      <c r="M5047">
        <v>0</v>
      </c>
      <c r="T5047" s="9">
        <v>45108</v>
      </c>
      <c r="U5047" s="9">
        <v>45473</v>
      </c>
      <c r="V5047">
        <f>SUM(POTABLE_NONPOTABLE_API[[#This Row],[RESIDENTIAL_SINGLEFAMILY_GAL]:[OTHER_GAL]])</f>
        <v>47202775.859999999</v>
      </c>
      <c r="W5047">
        <f>SUM(POTABLE_NONPOTABLE_API[[#This Row],[NONPOTABLE_DEMAND_RESIDENTIAL_RECYCLED_WATER_GAL]:[NONPOTABLE_DEMAND_NONRESIDENTIAL_METERED_IRRIGATION_GAL]])</f>
        <v>0</v>
      </c>
      <c r="X5047" t="str">
        <f>IFERROR(INDEX(Crosswalk_API!$H$2:$H$527, MATCH(POTABLE_NONPOTABLE_API[[#This Row],[PWSID]], CW_PWSID_LIST, 0)), "")</f>
        <v/>
      </c>
    </row>
    <row r="5048" spans="1:24" x14ac:dyDescent="0.25">
      <c r="A5048" t="s">
        <v>2591</v>
      </c>
      <c r="B5048" t="s">
        <v>2592</v>
      </c>
      <c r="C5048" t="s">
        <v>2601</v>
      </c>
      <c r="D5048" t="s">
        <v>2602</v>
      </c>
      <c r="E5048" s="9">
        <v>45292</v>
      </c>
      <c r="F5048" s="9">
        <v>45322</v>
      </c>
      <c r="G5048">
        <v>27648457.349999998</v>
      </c>
      <c r="H5048">
        <v>0</v>
      </c>
      <c r="I5048">
        <v>674511.57</v>
      </c>
      <c r="J5048">
        <v>5099568.1500000004</v>
      </c>
      <c r="K5048">
        <v>0</v>
      </c>
      <c r="L5048">
        <v>35843.61</v>
      </c>
      <c r="M5048">
        <v>0</v>
      </c>
      <c r="T5048" s="9">
        <v>45108</v>
      </c>
      <c r="U5048" s="9">
        <v>45473</v>
      </c>
      <c r="V5048">
        <f>SUM(POTABLE_NONPOTABLE_API[[#This Row],[RESIDENTIAL_SINGLEFAMILY_GAL]:[OTHER_GAL]])</f>
        <v>33458380.68</v>
      </c>
      <c r="W5048">
        <f>SUM(POTABLE_NONPOTABLE_API[[#This Row],[NONPOTABLE_DEMAND_RESIDENTIAL_RECYCLED_WATER_GAL]:[NONPOTABLE_DEMAND_NONRESIDENTIAL_METERED_IRRIGATION_GAL]])</f>
        <v>0</v>
      </c>
      <c r="X5048" t="str">
        <f>IFERROR(INDEX(Crosswalk_API!$H$2:$H$527, MATCH(POTABLE_NONPOTABLE_API[[#This Row],[PWSID]], CW_PWSID_LIST, 0)), "")</f>
        <v/>
      </c>
    </row>
    <row r="5049" spans="1:24" x14ac:dyDescent="0.25">
      <c r="A5049" t="s">
        <v>2591</v>
      </c>
      <c r="B5049" t="s">
        <v>2592</v>
      </c>
      <c r="C5049" t="s">
        <v>2601</v>
      </c>
      <c r="D5049" t="s">
        <v>2602</v>
      </c>
      <c r="E5049" s="9">
        <v>45323</v>
      </c>
      <c r="F5049" s="9">
        <v>45351</v>
      </c>
      <c r="G5049">
        <v>22558664.73</v>
      </c>
      <c r="H5049">
        <v>0</v>
      </c>
      <c r="I5049">
        <v>215061.66</v>
      </c>
      <c r="J5049">
        <v>2059378.32</v>
      </c>
      <c r="K5049">
        <v>0</v>
      </c>
      <c r="L5049">
        <v>22809.570000000003</v>
      </c>
      <c r="M5049">
        <v>0</v>
      </c>
      <c r="T5049" s="9">
        <v>45108</v>
      </c>
      <c r="U5049" s="9">
        <v>45473</v>
      </c>
      <c r="V5049">
        <f>SUM(POTABLE_NONPOTABLE_API[[#This Row],[RESIDENTIAL_SINGLEFAMILY_GAL]:[OTHER_GAL]])</f>
        <v>24855914.280000001</v>
      </c>
      <c r="W5049">
        <f>SUM(POTABLE_NONPOTABLE_API[[#This Row],[NONPOTABLE_DEMAND_RESIDENTIAL_RECYCLED_WATER_GAL]:[NONPOTABLE_DEMAND_NONRESIDENTIAL_METERED_IRRIGATION_GAL]])</f>
        <v>0</v>
      </c>
      <c r="X5049" t="str">
        <f>IFERROR(INDEX(Crosswalk_API!$H$2:$H$527, MATCH(POTABLE_NONPOTABLE_API[[#This Row],[PWSID]], CW_PWSID_LIST, 0)), "")</f>
        <v/>
      </c>
    </row>
    <row r="5050" spans="1:24" x14ac:dyDescent="0.25">
      <c r="A5050" t="s">
        <v>2591</v>
      </c>
      <c r="B5050" t="s">
        <v>2592</v>
      </c>
      <c r="C5050" t="s">
        <v>2601</v>
      </c>
      <c r="D5050" t="s">
        <v>2602</v>
      </c>
      <c r="E5050" s="9">
        <v>45352</v>
      </c>
      <c r="F5050" s="9">
        <v>45382</v>
      </c>
      <c r="G5050">
        <v>23497115.609999999</v>
      </c>
      <c r="H5050">
        <v>0</v>
      </c>
      <c r="I5050">
        <v>671253.06</v>
      </c>
      <c r="J5050">
        <v>1655323.08</v>
      </c>
      <c r="K5050">
        <v>0</v>
      </c>
      <c r="L5050">
        <v>6517.02</v>
      </c>
      <c r="M5050">
        <v>0</v>
      </c>
      <c r="T5050" s="9">
        <v>45108</v>
      </c>
      <c r="U5050" s="9">
        <v>45473</v>
      </c>
      <c r="V5050">
        <f>SUM(POTABLE_NONPOTABLE_API[[#This Row],[RESIDENTIAL_SINGLEFAMILY_GAL]:[OTHER_GAL]])</f>
        <v>25830208.77</v>
      </c>
      <c r="W5050">
        <f>SUM(POTABLE_NONPOTABLE_API[[#This Row],[NONPOTABLE_DEMAND_RESIDENTIAL_RECYCLED_WATER_GAL]:[NONPOTABLE_DEMAND_NONRESIDENTIAL_METERED_IRRIGATION_GAL]])</f>
        <v>0</v>
      </c>
      <c r="X5050" t="str">
        <f>IFERROR(INDEX(Crosswalk_API!$H$2:$H$527, MATCH(POTABLE_NONPOTABLE_API[[#This Row],[PWSID]], CW_PWSID_LIST, 0)), "")</f>
        <v/>
      </c>
    </row>
    <row r="5051" spans="1:24" x14ac:dyDescent="0.25">
      <c r="A5051" t="s">
        <v>2591</v>
      </c>
      <c r="B5051" t="s">
        <v>2592</v>
      </c>
      <c r="C5051" t="s">
        <v>2601</v>
      </c>
      <c r="D5051" t="s">
        <v>2602</v>
      </c>
      <c r="E5051" s="9">
        <v>45383</v>
      </c>
      <c r="F5051" s="9">
        <v>45412</v>
      </c>
      <c r="G5051">
        <v>17292912.57</v>
      </c>
      <c r="H5051">
        <v>0</v>
      </c>
      <c r="I5051">
        <v>263939.31</v>
      </c>
      <c r="J5051">
        <v>791817.93</v>
      </c>
      <c r="K5051">
        <v>0</v>
      </c>
      <c r="L5051">
        <v>0</v>
      </c>
      <c r="M5051">
        <v>0</v>
      </c>
      <c r="T5051" s="9">
        <v>45108</v>
      </c>
      <c r="U5051" s="9">
        <v>45473</v>
      </c>
      <c r="V5051">
        <f>SUM(POTABLE_NONPOTABLE_API[[#This Row],[RESIDENTIAL_SINGLEFAMILY_GAL]:[OTHER_GAL]])</f>
        <v>18348669.809999999</v>
      </c>
      <c r="W5051">
        <f>SUM(POTABLE_NONPOTABLE_API[[#This Row],[NONPOTABLE_DEMAND_RESIDENTIAL_RECYCLED_WATER_GAL]:[NONPOTABLE_DEMAND_NONRESIDENTIAL_METERED_IRRIGATION_GAL]])</f>
        <v>0</v>
      </c>
      <c r="X5051" t="str">
        <f>IFERROR(INDEX(Crosswalk_API!$H$2:$H$527, MATCH(POTABLE_NONPOTABLE_API[[#This Row],[PWSID]], CW_PWSID_LIST, 0)), "")</f>
        <v/>
      </c>
    </row>
    <row r="5052" spans="1:24" x14ac:dyDescent="0.25">
      <c r="A5052" t="s">
        <v>2591</v>
      </c>
      <c r="B5052" t="s">
        <v>2592</v>
      </c>
      <c r="C5052" t="s">
        <v>2601</v>
      </c>
      <c r="D5052" t="s">
        <v>2602</v>
      </c>
      <c r="E5052" s="9">
        <v>45413</v>
      </c>
      <c r="F5052" s="9">
        <v>45443</v>
      </c>
      <c r="G5052">
        <v>21620213.849999998</v>
      </c>
      <c r="H5052">
        <v>0</v>
      </c>
      <c r="I5052">
        <v>400796.73</v>
      </c>
      <c r="J5052">
        <v>2600290.98</v>
      </c>
      <c r="K5052">
        <v>0</v>
      </c>
      <c r="L5052">
        <v>0</v>
      </c>
      <c r="M5052">
        <v>0</v>
      </c>
      <c r="T5052" s="9">
        <v>45108</v>
      </c>
      <c r="U5052" s="9">
        <v>45473</v>
      </c>
      <c r="V5052">
        <f>SUM(POTABLE_NONPOTABLE_API[[#This Row],[RESIDENTIAL_SINGLEFAMILY_GAL]:[OTHER_GAL]])</f>
        <v>24621301.559999999</v>
      </c>
      <c r="W5052">
        <f>SUM(POTABLE_NONPOTABLE_API[[#This Row],[NONPOTABLE_DEMAND_RESIDENTIAL_RECYCLED_WATER_GAL]:[NONPOTABLE_DEMAND_NONRESIDENTIAL_METERED_IRRIGATION_GAL]])</f>
        <v>0</v>
      </c>
      <c r="X5052" t="str">
        <f>IFERROR(INDEX(Crosswalk_API!$H$2:$H$527, MATCH(POTABLE_NONPOTABLE_API[[#This Row],[PWSID]], CW_PWSID_LIST, 0)), "")</f>
        <v/>
      </c>
    </row>
    <row r="5053" spans="1:24" x14ac:dyDescent="0.25">
      <c r="A5053" t="s">
        <v>2591</v>
      </c>
      <c r="B5053" t="s">
        <v>2592</v>
      </c>
      <c r="C5053" t="s">
        <v>2601</v>
      </c>
      <c r="D5053" t="s">
        <v>2602</v>
      </c>
      <c r="E5053" s="9">
        <v>45444</v>
      </c>
      <c r="F5053" s="9">
        <v>45473</v>
      </c>
      <c r="G5053">
        <v>27433395.689999998</v>
      </c>
      <c r="H5053">
        <v>0</v>
      </c>
      <c r="I5053">
        <v>433381.83</v>
      </c>
      <c r="J5053">
        <v>4881247.9800000004</v>
      </c>
      <c r="K5053">
        <v>0</v>
      </c>
      <c r="L5053">
        <v>120564.87</v>
      </c>
      <c r="M5053">
        <v>0</v>
      </c>
      <c r="T5053" s="9">
        <v>45108</v>
      </c>
      <c r="U5053" s="9">
        <v>45473</v>
      </c>
      <c r="V5053">
        <f>SUM(POTABLE_NONPOTABLE_API[[#This Row],[RESIDENTIAL_SINGLEFAMILY_GAL]:[OTHER_GAL]])</f>
        <v>32868590.369999997</v>
      </c>
      <c r="W5053">
        <f>SUM(POTABLE_NONPOTABLE_API[[#This Row],[NONPOTABLE_DEMAND_RESIDENTIAL_RECYCLED_WATER_GAL]:[NONPOTABLE_DEMAND_NONRESIDENTIAL_METERED_IRRIGATION_GAL]])</f>
        <v>0</v>
      </c>
      <c r="X5053" t="str">
        <f>IFERROR(INDEX(Crosswalk_API!$H$2:$H$527, MATCH(POTABLE_NONPOTABLE_API[[#This Row],[PWSID]], CW_PWSID_LIST, 0)), "")</f>
        <v/>
      </c>
    </row>
    <row r="5054" spans="1:24" x14ac:dyDescent="0.25">
      <c r="A5054" t="s">
        <v>2591</v>
      </c>
      <c r="B5054" t="s">
        <v>2592</v>
      </c>
      <c r="C5054" t="s">
        <v>2603</v>
      </c>
      <c r="D5054" t="s">
        <v>2604</v>
      </c>
      <c r="E5054" s="9">
        <v>45108</v>
      </c>
      <c r="F5054" s="9">
        <v>45138</v>
      </c>
      <c r="G5054">
        <v>13705293.060000001</v>
      </c>
      <c r="H5054">
        <v>0</v>
      </c>
      <c r="I5054">
        <v>303041.43</v>
      </c>
      <c r="J5054">
        <v>16572781.859999999</v>
      </c>
      <c r="K5054">
        <v>0</v>
      </c>
      <c r="L5054">
        <v>667994.54999999993</v>
      </c>
      <c r="M5054">
        <v>0</v>
      </c>
      <c r="T5054" s="9">
        <v>45108</v>
      </c>
      <c r="U5054" s="9">
        <v>45473</v>
      </c>
      <c r="V5054">
        <f>SUM(POTABLE_NONPOTABLE_API[[#This Row],[RESIDENTIAL_SINGLEFAMILY_GAL]:[OTHER_GAL]])</f>
        <v>31249110.900000002</v>
      </c>
      <c r="W5054">
        <f>SUM(POTABLE_NONPOTABLE_API[[#This Row],[NONPOTABLE_DEMAND_RESIDENTIAL_RECYCLED_WATER_GAL]:[NONPOTABLE_DEMAND_NONRESIDENTIAL_METERED_IRRIGATION_GAL]])</f>
        <v>0</v>
      </c>
      <c r="X5054" t="str">
        <f>IFERROR(INDEX(Crosswalk_API!$H$2:$H$527, MATCH(POTABLE_NONPOTABLE_API[[#This Row],[PWSID]], CW_PWSID_LIST, 0)), "")</f>
        <v/>
      </c>
    </row>
    <row r="5055" spans="1:24" x14ac:dyDescent="0.25">
      <c r="A5055" t="s">
        <v>2591</v>
      </c>
      <c r="B5055" t="s">
        <v>2592</v>
      </c>
      <c r="C5055" t="s">
        <v>2603</v>
      </c>
      <c r="D5055" t="s">
        <v>2604</v>
      </c>
      <c r="E5055" s="9">
        <v>45139</v>
      </c>
      <c r="F5055" s="9">
        <v>45169</v>
      </c>
      <c r="G5055">
        <v>28169818.949999999</v>
      </c>
      <c r="H5055">
        <v>0</v>
      </c>
      <c r="I5055">
        <v>260680.80000000002</v>
      </c>
      <c r="J5055">
        <v>16549972.289999999</v>
      </c>
      <c r="K5055">
        <v>0</v>
      </c>
      <c r="L5055">
        <v>775525.38</v>
      </c>
      <c r="M5055">
        <v>0</v>
      </c>
      <c r="T5055" s="9">
        <v>45108</v>
      </c>
      <c r="U5055" s="9">
        <v>45473</v>
      </c>
      <c r="V5055">
        <f>SUM(POTABLE_NONPOTABLE_API[[#This Row],[RESIDENTIAL_SINGLEFAMILY_GAL]:[OTHER_GAL]])</f>
        <v>45755997.420000002</v>
      </c>
      <c r="W5055">
        <f>SUM(POTABLE_NONPOTABLE_API[[#This Row],[NONPOTABLE_DEMAND_RESIDENTIAL_RECYCLED_WATER_GAL]:[NONPOTABLE_DEMAND_NONRESIDENTIAL_METERED_IRRIGATION_GAL]])</f>
        <v>0</v>
      </c>
      <c r="X5055" t="str">
        <f>IFERROR(INDEX(Crosswalk_API!$H$2:$H$527, MATCH(POTABLE_NONPOTABLE_API[[#This Row],[PWSID]], CW_PWSID_LIST, 0)), "")</f>
        <v/>
      </c>
    </row>
    <row r="5056" spans="1:24" x14ac:dyDescent="0.25">
      <c r="A5056" t="s">
        <v>2591</v>
      </c>
      <c r="B5056" t="s">
        <v>2592</v>
      </c>
      <c r="C5056" t="s">
        <v>2603</v>
      </c>
      <c r="D5056" t="s">
        <v>2604</v>
      </c>
      <c r="E5056" s="9">
        <v>45170</v>
      </c>
      <c r="F5056" s="9">
        <v>45199</v>
      </c>
      <c r="G5056">
        <v>13864960.049999999</v>
      </c>
      <c r="H5056">
        <v>0</v>
      </c>
      <c r="I5056">
        <v>260680.80000000002</v>
      </c>
      <c r="J5056">
        <v>7996383.54</v>
      </c>
      <c r="K5056">
        <v>0</v>
      </c>
      <c r="L5056">
        <v>0</v>
      </c>
      <c r="M5056">
        <v>0</v>
      </c>
      <c r="T5056" s="9">
        <v>45108</v>
      </c>
      <c r="U5056" s="9">
        <v>45473</v>
      </c>
      <c r="V5056">
        <f>SUM(POTABLE_NONPOTABLE_API[[#This Row],[RESIDENTIAL_SINGLEFAMILY_GAL]:[OTHER_GAL]])</f>
        <v>22122024.390000001</v>
      </c>
      <c r="W5056">
        <f>SUM(POTABLE_NONPOTABLE_API[[#This Row],[NONPOTABLE_DEMAND_RESIDENTIAL_RECYCLED_WATER_GAL]:[NONPOTABLE_DEMAND_NONRESIDENTIAL_METERED_IRRIGATION_GAL]])</f>
        <v>0</v>
      </c>
      <c r="X5056" t="str">
        <f>IFERROR(INDEX(Crosswalk_API!$H$2:$H$527, MATCH(POTABLE_NONPOTABLE_API[[#This Row],[PWSID]], CW_PWSID_LIST, 0)), "")</f>
        <v/>
      </c>
    </row>
    <row r="5057" spans="1:24" x14ac:dyDescent="0.25">
      <c r="A5057" t="s">
        <v>2591</v>
      </c>
      <c r="B5057" t="s">
        <v>2592</v>
      </c>
      <c r="C5057" t="s">
        <v>2603</v>
      </c>
      <c r="D5057" t="s">
        <v>2604</v>
      </c>
      <c r="E5057" s="9">
        <v>45200</v>
      </c>
      <c r="F5057" s="9">
        <v>45230</v>
      </c>
      <c r="G5057">
        <v>12985162.35</v>
      </c>
      <c r="H5057">
        <v>0</v>
      </c>
      <c r="I5057">
        <v>218320.17</v>
      </c>
      <c r="J5057">
        <v>7543450.6499999994</v>
      </c>
      <c r="K5057">
        <v>0</v>
      </c>
      <c r="L5057">
        <v>1404417.8099999998</v>
      </c>
      <c r="M5057">
        <v>0</v>
      </c>
      <c r="T5057" s="9">
        <v>45108</v>
      </c>
      <c r="U5057" s="9">
        <v>45473</v>
      </c>
      <c r="V5057">
        <f>SUM(POTABLE_NONPOTABLE_API[[#This Row],[RESIDENTIAL_SINGLEFAMILY_GAL]:[OTHER_GAL]])</f>
        <v>22151350.979999997</v>
      </c>
      <c r="W5057">
        <f>SUM(POTABLE_NONPOTABLE_API[[#This Row],[NONPOTABLE_DEMAND_RESIDENTIAL_RECYCLED_WATER_GAL]:[NONPOTABLE_DEMAND_NONRESIDENTIAL_METERED_IRRIGATION_GAL]])</f>
        <v>0</v>
      </c>
      <c r="X5057" t="str">
        <f>IFERROR(INDEX(Crosswalk_API!$H$2:$H$527, MATCH(POTABLE_NONPOTABLE_API[[#This Row],[PWSID]], CW_PWSID_LIST, 0)), "")</f>
        <v/>
      </c>
    </row>
    <row r="5058" spans="1:24" x14ac:dyDescent="0.25">
      <c r="A5058" t="s">
        <v>2591</v>
      </c>
      <c r="B5058" t="s">
        <v>2592</v>
      </c>
      <c r="C5058" t="s">
        <v>2603</v>
      </c>
      <c r="D5058" t="s">
        <v>2604</v>
      </c>
      <c r="E5058" s="9">
        <v>45231</v>
      </c>
      <c r="F5058" s="9">
        <v>45260</v>
      </c>
      <c r="G5058">
        <v>18231363.449999999</v>
      </c>
      <c r="H5058">
        <v>0</v>
      </c>
      <c r="I5058">
        <v>293265.90000000002</v>
      </c>
      <c r="J5058">
        <v>11219049.93</v>
      </c>
      <c r="K5058">
        <v>0</v>
      </c>
      <c r="L5058">
        <v>0</v>
      </c>
      <c r="M5058">
        <v>0</v>
      </c>
      <c r="T5058" s="9">
        <v>45108</v>
      </c>
      <c r="U5058" s="9">
        <v>45473</v>
      </c>
      <c r="V5058">
        <f>SUM(POTABLE_NONPOTABLE_API[[#This Row],[RESIDENTIAL_SINGLEFAMILY_GAL]:[OTHER_GAL]])</f>
        <v>29743679.279999997</v>
      </c>
      <c r="W5058">
        <f>SUM(POTABLE_NONPOTABLE_API[[#This Row],[NONPOTABLE_DEMAND_RESIDENTIAL_RECYCLED_WATER_GAL]:[NONPOTABLE_DEMAND_NONRESIDENTIAL_METERED_IRRIGATION_GAL]])</f>
        <v>0</v>
      </c>
      <c r="X5058" t="str">
        <f>IFERROR(INDEX(Crosswalk_API!$H$2:$H$527, MATCH(POTABLE_NONPOTABLE_API[[#This Row],[PWSID]], CW_PWSID_LIST, 0)), "")</f>
        <v/>
      </c>
    </row>
    <row r="5059" spans="1:24" x14ac:dyDescent="0.25">
      <c r="A5059" t="s">
        <v>2591</v>
      </c>
      <c r="B5059" t="s">
        <v>2592</v>
      </c>
      <c r="C5059" t="s">
        <v>2603</v>
      </c>
      <c r="D5059" t="s">
        <v>2604</v>
      </c>
      <c r="E5059" s="9">
        <v>45261</v>
      </c>
      <c r="F5059" s="9">
        <v>45291</v>
      </c>
      <c r="G5059">
        <v>13333822.92</v>
      </c>
      <c r="H5059">
        <v>0</v>
      </c>
      <c r="I5059">
        <v>237871.22999999998</v>
      </c>
      <c r="J5059">
        <v>7501090.0199999996</v>
      </c>
      <c r="K5059">
        <v>0</v>
      </c>
      <c r="L5059">
        <v>0</v>
      </c>
      <c r="M5059">
        <v>0</v>
      </c>
      <c r="T5059" s="9">
        <v>45108</v>
      </c>
      <c r="U5059" s="9">
        <v>45473</v>
      </c>
      <c r="V5059">
        <f>SUM(POTABLE_NONPOTABLE_API[[#This Row],[RESIDENTIAL_SINGLEFAMILY_GAL]:[OTHER_GAL]])</f>
        <v>21072784.170000002</v>
      </c>
      <c r="W5059">
        <f>SUM(POTABLE_NONPOTABLE_API[[#This Row],[NONPOTABLE_DEMAND_RESIDENTIAL_RECYCLED_WATER_GAL]:[NONPOTABLE_DEMAND_NONRESIDENTIAL_METERED_IRRIGATION_GAL]])</f>
        <v>0</v>
      </c>
      <c r="X5059" t="str">
        <f>IFERROR(INDEX(Crosswalk_API!$H$2:$H$527, MATCH(POTABLE_NONPOTABLE_API[[#This Row],[PWSID]], CW_PWSID_LIST, 0)), "")</f>
        <v/>
      </c>
    </row>
    <row r="5060" spans="1:24" x14ac:dyDescent="0.25">
      <c r="A5060" t="s">
        <v>2591</v>
      </c>
      <c r="B5060" t="s">
        <v>2592</v>
      </c>
      <c r="C5060" t="s">
        <v>2603</v>
      </c>
      <c r="D5060" t="s">
        <v>2604</v>
      </c>
      <c r="E5060" s="9">
        <v>45292</v>
      </c>
      <c r="F5060" s="9">
        <v>45322</v>
      </c>
      <c r="G5060">
        <v>11326580.76</v>
      </c>
      <c r="H5060">
        <v>0</v>
      </c>
      <c r="I5060">
        <v>254163.78</v>
      </c>
      <c r="J5060">
        <v>3809198.19</v>
      </c>
      <c r="K5060">
        <v>0</v>
      </c>
      <c r="L5060">
        <v>4806302.25</v>
      </c>
      <c r="M5060">
        <v>0</v>
      </c>
      <c r="T5060" s="9">
        <v>45108</v>
      </c>
      <c r="U5060" s="9">
        <v>45473</v>
      </c>
      <c r="V5060">
        <f>SUM(POTABLE_NONPOTABLE_API[[#This Row],[RESIDENTIAL_SINGLEFAMILY_GAL]:[OTHER_GAL]])</f>
        <v>20196244.979999997</v>
      </c>
      <c r="W5060">
        <f>SUM(POTABLE_NONPOTABLE_API[[#This Row],[NONPOTABLE_DEMAND_RESIDENTIAL_RECYCLED_WATER_GAL]:[NONPOTABLE_DEMAND_NONRESIDENTIAL_METERED_IRRIGATION_GAL]])</f>
        <v>0</v>
      </c>
      <c r="X5060" t="str">
        <f>IFERROR(INDEX(Crosswalk_API!$H$2:$H$527, MATCH(POTABLE_NONPOTABLE_API[[#This Row],[PWSID]], CW_PWSID_LIST, 0)), "")</f>
        <v/>
      </c>
    </row>
    <row r="5061" spans="1:24" x14ac:dyDescent="0.25">
      <c r="A5061" t="s">
        <v>2591</v>
      </c>
      <c r="B5061" t="s">
        <v>2592</v>
      </c>
      <c r="C5061" t="s">
        <v>2603</v>
      </c>
      <c r="D5061" t="s">
        <v>2604</v>
      </c>
      <c r="E5061" s="9">
        <v>45323</v>
      </c>
      <c r="F5061" s="9">
        <v>45351</v>
      </c>
      <c r="G5061">
        <v>10994212.74</v>
      </c>
      <c r="H5061">
        <v>0</v>
      </c>
      <c r="I5061">
        <v>351919.08</v>
      </c>
      <c r="J5061">
        <v>1876901.76</v>
      </c>
      <c r="K5061">
        <v>0</v>
      </c>
      <c r="L5061">
        <v>13034.04</v>
      </c>
      <c r="M5061">
        <v>0</v>
      </c>
      <c r="T5061" s="9">
        <v>45108</v>
      </c>
      <c r="U5061" s="9">
        <v>45473</v>
      </c>
      <c r="V5061">
        <f>SUM(POTABLE_NONPOTABLE_API[[#This Row],[RESIDENTIAL_SINGLEFAMILY_GAL]:[OTHER_GAL]])</f>
        <v>13236067.619999999</v>
      </c>
      <c r="W5061">
        <f>SUM(POTABLE_NONPOTABLE_API[[#This Row],[NONPOTABLE_DEMAND_RESIDENTIAL_RECYCLED_WATER_GAL]:[NONPOTABLE_DEMAND_NONRESIDENTIAL_METERED_IRRIGATION_GAL]])</f>
        <v>0</v>
      </c>
      <c r="X5061" t="str">
        <f>IFERROR(INDEX(Crosswalk_API!$H$2:$H$527, MATCH(POTABLE_NONPOTABLE_API[[#This Row],[PWSID]], CW_PWSID_LIST, 0)), "")</f>
        <v/>
      </c>
    </row>
    <row r="5062" spans="1:24" x14ac:dyDescent="0.25">
      <c r="A5062" t="s">
        <v>2591</v>
      </c>
      <c r="B5062" t="s">
        <v>2592</v>
      </c>
      <c r="C5062" t="s">
        <v>2603</v>
      </c>
      <c r="D5062" t="s">
        <v>2604</v>
      </c>
      <c r="E5062" s="9">
        <v>45352</v>
      </c>
      <c r="F5062" s="9">
        <v>45382</v>
      </c>
      <c r="G5062">
        <v>7999642.0499999998</v>
      </c>
      <c r="H5062">
        <v>0</v>
      </c>
      <c r="I5062">
        <v>303041.43</v>
      </c>
      <c r="J5062">
        <v>430123.32</v>
      </c>
      <c r="K5062">
        <v>0</v>
      </c>
      <c r="L5062">
        <v>1792180.5</v>
      </c>
      <c r="M5062">
        <v>0</v>
      </c>
      <c r="T5062" s="9">
        <v>45108</v>
      </c>
      <c r="U5062" s="9">
        <v>45473</v>
      </c>
      <c r="V5062">
        <f>SUM(POTABLE_NONPOTABLE_API[[#This Row],[RESIDENTIAL_SINGLEFAMILY_GAL]:[OTHER_GAL]])</f>
        <v>10524987.299999999</v>
      </c>
      <c r="W5062">
        <f>SUM(POTABLE_NONPOTABLE_API[[#This Row],[NONPOTABLE_DEMAND_RESIDENTIAL_RECYCLED_WATER_GAL]:[NONPOTABLE_DEMAND_NONRESIDENTIAL_METERED_IRRIGATION_GAL]])</f>
        <v>0</v>
      </c>
      <c r="X5062" t="str">
        <f>IFERROR(INDEX(Crosswalk_API!$H$2:$H$527, MATCH(POTABLE_NONPOTABLE_API[[#This Row],[PWSID]], CW_PWSID_LIST, 0)), "")</f>
        <v/>
      </c>
    </row>
    <row r="5063" spans="1:24" x14ac:dyDescent="0.25">
      <c r="A5063" t="s">
        <v>2591</v>
      </c>
      <c r="B5063" t="s">
        <v>2592</v>
      </c>
      <c r="C5063" t="s">
        <v>2603</v>
      </c>
      <c r="D5063" t="s">
        <v>2604</v>
      </c>
      <c r="E5063" s="9">
        <v>45383</v>
      </c>
      <c r="F5063" s="9">
        <v>45412</v>
      </c>
      <c r="G5063">
        <v>11903337.030000001</v>
      </c>
      <c r="H5063">
        <v>0</v>
      </c>
      <c r="I5063">
        <v>342143.55</v>
      </c>
      <c r="J5063">
        <v>1482622.05</v>
      </c>
      <c r="K5063">
        <v>0</v>
      </c>
      <c r="L5063">
        <v>9775.5299999999988</v>
      </c>
      <c r="M5063">
        <v>0</v>
      </c>
      <c r="T5063" s="9">
        <v>45108</v>
      </c>
      <c r="U5063" s="9">
        <v>45473</v>
      </c>
      <c r="V5063">
        <f>SUM(POTABLE_NONPOTABLE_API[[#This Row],[RESIDENTIAL_SINGLEFAMILY_GAL]:[OTHER_GAL]])</f>
        <v>13737878.160000002</v>
      </c>
      <c r="W5063">
        <f>SUM(POTABLE_NONPOTABLE_API[[#This Row],[NONPOTABLE_DEMAND_RESIDENTIAL_RECYCLED_WATER_GAL]:[NONPOTABLE_DEMAND_NONRESIDENTIAL_METERED_IRRIGATION_GAL]])</f>
        <v>0</v>
      </c>
      <c r="X5063" t="str">
        <f>IFERROR(INDEX(Crosswalk_API!$H$2:$H$527, MATCH(POTABLE_NONPOTABLE_API[[#This Row],[PWSID]], CW_PWSID_LIST, 0)), "")</f>
        <v/>
      </c>
    </row>
    <row r="5064" spans="1:24" x14ac:dyDescent="0.25">
      <c r="A5064" t="s">
        <v>2591</v>
      </c>
      <c r="B5064" t="s">
        <v>2592</v>
      </c>
      <c r="C5064" t="s">
        <v>2603</v>
      </c>
      <c r="D5064" t="s">
        <v>2604</v>
      </c>
      <c r="E5064" s="9">
        <v>45413</v>
      </c>
      <c r="F5064" s="9">
        <v>45443</v>
      </c>
      <c r="G5064">
        <v>8944609.9499999993</v>
      </c>
      <c r="H5064">
        <v>0</v>
      </c>
      <c r="I5064">
        <v>247646.76</v>
      </c>
      <c r="J5064">
        <v>3502898.25</v>
      </c>
      <c r="K5064">
        <v>0</v>
      </c>
      <c r="L5064">
        <v>0</v>
      </c>
      <c r="M5064">
        <v>0</v>
      </c>
      <c r="T5064" s="9">
        <v>45108</v>
      </c>
      <c r="U5064" s="9">
        <v>45473</v>
      </c>
      <c r="V5064">
        <f>SUM(POTABLE_NONPOTABLE_API[[#This Row],[RESIDENTIAL_SINGLEFAMILY_GAL]:[OTHER_GAL]])</f>
        <v>12695154.959999999</v>
      </c>
      <c r="W5064">
        <f>SUM(POTABLE_NONPOTABLE_API[[#This Row],[NONPOTABLE_DEMAND_RESIDENTIAL_RECYCLED_WATER_GAL]:[NONPOTABLE_DEMAND_NONRESIDENTIAL_METERED_IRRIGATION_GAL]])</f>
        <v>0</v>
      </c>
      <c r="X5064" t="str">
        <f>IFERROR(INDEX(Crosswalk_API!$H$2:$H$527, MATCH(POTABLE_NONPOTABLE_API[[#This Row],[PWSID]], CW_PWSID_LIST, 0)), "")</f>
        <v/>
      </c>
    </row>
    <row r="5065" spans="1:24" x14ac:dyDescent="0.25">
      <c r="A5065" t="s">
        <v>2591</v>
      </c>
      <c r="B5065" t="s">
        <v>2592</v>
      </c>
      <c r="C5065" t="s">
        <v>2603</v>
      </c>
      <c r="D5065" t="s">
        <v>2604</v>
      </c>
      <c r="E5065" s="9">
        <v>45444</v>
      </c>
      <c r="F5065" s="9">
        <v>45473</v>
      </c>
      <c r="G5065">
        <v>15973216.020000001</v>
      </c>
      <c r="H5065">
        <v>0</v>
      </c>
      <c r="I5065">
        <v>319333.98</v>
      </c>
      <c r="J5065">
        <v>11818615.770000001</v>
      </c>
      <c r="K5065">
        <v>0</v>
      </c>
      <c r="L5065">
        <v>172701.03</v>
      </c>
      <c r="M5065">
        <v>0</v>
      </c>
      <c r="T5065" s="9">
        <v>45108</v>
      </c>
      <c r="U5065" s="9">
        <v>45473</v>
      </c>
      <c r="V5065">
        <f>SUM(POTABLE_NONPOTABLE_API[[#This Row],[RESIDENTIAL_SINGLEFAMILY_GAL]:[OTHER_GAL]])</f>
        <v>28283866.800000004</v>
      </c>
      <c r="W5065">
        <f>SUM(POTABLE_NONPOTABLE_API[[#This Row],[NONPOTABLE_DEMAND_RESIDENTIAL_RECYCLED_WATER_GAL]:[NONPOTABLE_DEMAND_NONRESIDENTIAL_METERED_IRRIGATION_GAL]])</f>
        <v>0</v>
      </c>
      <c r="X5065" t="str">
        <f>IFERROR(INDEX(Crosswalk_API!$H$2:$H$527, MATCH(POTABLE_NONPOTABLE_API[[#This Row],[PWSID]], CW_PWSID_LIST, 0)), "")</f>
        <v/>
      </c>
    </row>
    <row r="5066" spans="1:24" x14ac:dyDescent="0.25">
      <c r="A5066" t="s">
        <v>2215</v>
      </c>
      <c r="B5066" t="s">
        <v>2216</v>
      </c>
      <c r="C5066" t="s">
        <v>2217</v>
      </c>
      <c r="D5066" t="s">
        <v>2218</v>
      </c>
      <c r="E5066" s="9">
        <v>45108</v>
      </c>
      <c r="F5066" s="9">
        <v>45138</v>
      </c>
      <c r="G5066">
        <v>83740000</v>
      </c>
      <c r="H5066">
        <v>54150000</v>
      </c>
      <c r="I5066">
        <v>63970000</v>
      </c>
      <c r="J5066">
        <v>2730000</v>
      </c>
      <c r="K5066">
        <v>3050000</v>
      </c>
      <c r="L5066">
        <v>12370000</v>
      </c>
      <c r="M5066">
        <v>300000</v>
      </c>
      <c r="T5066" s="9">
        <v>45108</v>
      </c>
      <c r="U5066" s="9">
        <v>45473</v>
      </c>
      <c r="V5066">
        <f>SUM(POTABLE_NONPOTABLE_API[[#This Row],[RESIDENTIAL_SINGLEFAMILY_GAL]:[OTHER_GAL]])</f>
        <v>220010000</v>
      </c>
      <c r="W5066">
        <f>SUM(POTABLE_NONPOTABLE_API[[#This Row],[NONPOTABLE_DEMAND_RESIDENTIAL_RECYCLED_WATER_GAL]:[NONPOTABLE_DEMAND_NONRESIDENTIAL_METERED_IRRIGATION_GAL]])</f>
        <v>0</v>
      </c>
      <c r="X5066" t="str">
        <f>IFERROR(INDEX(Crosswalk_API!$H$2:$H$527, MATCH(POTABLE_NONPOTABLE_API[[#This Row],[PWSID]], CW_PWSID_LIST, 0)), "")</f>
        <v>No</v>
      </c>
    </row>
    <row r="5067" spans="1:24" x14ac:dyDescent="0.25">
      <c r="A5067" t="s">
        <v>2215</v>
      </c>
      <c r="B5067" t="s">
        <v>2216</v>
      </c>
      <c r="C5067" t="s">
        <v>2217</v>
      </c>
      <c r="D5067" t="s">
        <v>2218</v>
      </c>
      <c r="E5067" s="9">
        <v>45139</v>
      </c>
      <c r="F5067" s="9">
        <v>45169</v>
      </c>
      <c r="G5067">
        <v>86470000</v>
      </c>
      <c r="H5067">
        <v>54330000</v>
      </c>
      <c r="I5067">
        <v>68650000</v>
      </c>
      <c r="J5067">
        <v>3690000</v>
      </c>
      <c r="K5067">
        <v>3130000</v>
      </c>
      <c r="L5067">
        <v>13490000</v>
      </c>
      <c r="M5067">
        <v>400000</v>
      </c>
      <c r="T5067" s="9">
        <v>45108</v>
      </c>
      <c r="U5067" s="9">
        <v>45473</v>
      </c>
      <c r="V5067">
        <f>SUM(POTABLE_NONPOTABLE_API[[#This Row],[RESIDENTIAL_SINGLEFAMILY_GAL]:[OTHER_GAL]])</f>
        <v>229760000</v>
      </c>
      <c r="W5067">
        <f>SUM(POTABLE_NONPOTABLE_API[[#This Row],[NONPOTABLE_DEMAND_RESIDENTIAL_RECYCLED_WATER_GAL]:[NONPOTABLE_DEMAND_NONRESIDENTIAL_METERED_IRRIGATION_GAL]])</f>
        <v>0</v>
      </c>
      <c r="X5067" t="str">
        <f>IFERROR(INDEX(Crosswalk_API!$H$2:$H$527, MATCH(POTABLE_NONPOTABLE_API[[#This Row],[PWSID]], CW_PWSID_LIST, 0)), "")</f>
        <v>No</v>
      </c>
    </row>
    <row r="5068" spans="1:24" x14ac:dyDescent="0.25">
      <c r="A5068" t="s">
        <v>2215</v>
      </c>
      <c r="B5068" t="s">
        <v>2216</v>
      </c>
      <c r="C5068" t="s">
        <v>2217</v>
      </c>
      <c r="D5068" t="s">
        <v>2218</v>
      </c>
      <c r="E5068" s="9">
        <v>45170</v>
      </c>
      <c r="F5068" s="9">
        <v>45199</v>
      </c>
      <c r="G5068">
        <v>83570000</v>
      </c>
      <c r="H5068">
        <v>53700000</v>
      </c>
      <c r="I5068">
        <v>62290000</v>
      </c>
      <c r="J5068">
        <v>4420000</v>
      </c>
      <c r="K5068">
        <v>6360000</v>
      </c>
      <c r="L5068">
        <v>14530000</v>
      </c>
      <c r="M5068">
        <v>450000</v>
      </c>
      <c r="T5068" s="9">
        <v>45108</v>
      </c>
      <c r="U5068" s="9">
        <v>45473</v>
      </c>
      <c r="V5068">
        <f>SUM(POTABLE_NONPOTABLE_API[[#This Row],[RESIDENTIAL_SINGLEFAMILY_GAL]:[OTHER_GAL]])</f>
        <v>224870000</v>
      </c>
      <c r="W5068">
        <f>SUM(POTABLE_NONPOTABLE_API[[#This Row],[NONPOTABLE_DEMAND_RESIDENTIAL_RECYCLED_WATER_GAL]:[NONPOTABLE_DEMAND_NONRESIDENTIAL_METERED_IRRIGATION_GAL]])</f>
        <v>0</v>
      </c>
      <c r="X5068" t="str">
        <f>IFERROR(INDEX(Crosswalk_API!$H$2:$H$527, MATCH(POTABLE_NONPOTABLE_API[[#This Row],[PWSID]], CW_PWSID_LIST, 0)), "")</f>
        <v>No</v>
      </c>
    </row>
    <row r="5069" spans="1:24" x14ac:dyDescent="0.25">
      <c r="A5069" t="s">
        <v>2215</v>
      </c>
      <c r="B5069" t="s">
        <v>2216</v>
      </c>
      <c r="C5069" t="s">
        <v>2217</v>
      </c>
      <c r="D5069" t="s">
        <v>2218</v>
      </c>
      <c r="E5069" s="9">
        <v>45200</v>
      </c>
      <c r="F5069" s="9">
        <v>45230</v>
      </c>
      <c r="G5069">
        <v>78750000</v>
      </c>
      <c r="H5069">
        <v>53570000</v>
      </c>
      <c r="I5069">
        <v>59050000</v>
      </c>
      <c r="J5069">
        <v>3760000</v>
      </c>
      <c r="K5069">
        <v>2690000</v>
      </c>
      <c r="L5069">
        <v>17790000</v>
      </c>
      <c r="M5069">
        <v>370000</v>
      </c>
      <c r="T5069" s="9">
        <v>45108</v>
      </c>
      <c r="U5069" s="9">
        <v>45473</v>
      </c>
      <c r="V5069">
        <f>SUM(POTABLE_NONPOTABLE_API[[#This Row],[RESIDENTIAL_SINGLEFAMILY_GAL]:[OTHER_GAL]])</f>
        <v>215610000</v>
      </c>
      <c r="W5069">
        <f>SUM(POTABLE_NONPOTABLE_API[[#This Row],[NONPOTABLE_DEMAND_RESIDENTIAL_RECYCLED_WATER_GAL]:[NONPOTABLE_DEMAND_NONRESIDENTIAL_METERED_IRRIGATION_GAL]])</f>
        <v>0</v>
      </c>
      <c r="X5069" t="str">
        <f>IFERROR(INDEX(Crosswalk_API!$H$2:$H$527, MATCH(POTABLE_NONPOTABLE_API[[#This Row],[PWSID]], CW_PWSID_LIST, 0)), "")</f>
        <v>No</v>
      </c>
    </row>
    <row r="5070" spans="1:24" x14ac:dyDescent="0.25">
      <c r="A5070" t="s">
        <v>2215</v>
      </c>
      <c r="B5070" t="s">
        <v>2216</v>
      </c>
      <c r="C5070" t="s">
        <v>2217</v>
      </c>
      <c r="D5070" t="s">
        <v>2218</v>
      </c>
      <c r="E5070" s="9">
        <v>45231</v>
      </c>
      <c r="F5070" s="9">
        <v>45260</v>
      </c>
      <c r="G5070">
        <v>75160000</v>
      </c>
      <c r="H5070">
        <v>51400000</v>
      </c>
      <c r="I5070">
        <v>58430000</v>
      </c>
      <c r="J5070">
        <v>3380000</v>
      </c>
      <c r="K5070">
        <v>3010000</v>
      </c>
      <c r="L5070">
        <v>16930000</v>
      </c>
      <c r="M5070">
        <v>570000</v>
      </c>
      <c r="T5070" s="9">
        <v>45108</v>
      </c>
      <c r="U5070" s="9">
        <v>45473</v>
      </c>
      <c r="V5070">
        <f>SUM(POTABLE_NONPOTABLE_API[[#This Row],[RESIDENTIAL_SINGLEFAMILY_GAL]:[OTHER_GAL]])</f>
        <v>208310000</v>
      </c>
      <c r="W5070">
        <f>SUM(POTABLE_NONPOTABLE_API[[#This Row],[NONPOTABLE_DEMAND_RESIDENTIAL_RECYCLED_WATER_GAL]:[NONPOTABLE_DEMAND_NONRESIDENTIAL_METERED_IRRIGATION_GAL]])</f>
        <v>0</v>
      </c>
      <c r="X5070" t="str">
        <f>IFERROR(INDEX(Crosswalk_API!$H$2:$H$527, MATCH(POTABLE_NONPOTABLE_API[[#This Row],[PWSID]], CW_PWSID_LIST, 0)), "")</f>
        <v>No</v>
      </c>
    </row>
    <row r="5071" spans="1:24" x14ac:dyDescent="0.25">
      <c r="A5071" t="s">
        <v>2215</v>
      </c>
      <c r="B5071" t="s">
        <v>2216</v>
      </c>
      <c r="C5071" t="s">
        <v>2217</v>
      </c>
      <c r="D5071" t="s">
        <v>2218</v>
      </c>
      <c r="E5071" s="9">
        <v>45261</v>
      </c>
      <c r="F5071" s="9">
        <v>45291</v>
      </c>
      <c r="G5071">
        <v>62840000</v>
      </c>
      <c r="H5071">
        <v>46830000</v>
      </c>
      <c r="I5071">
        <v>47340000</v>
      </c>
      <c r="J5071">
        <v>1880000</v>
      </c>
      <c r="K5071">
        <v>2650000</v>
      </c>
      <c r="L5071">
        <v>13120000</v>
      </c>
      <c r="M5071">
        <v>310000</v>
      </c>
      <c r="T5071" s="9">
        <v>45108</v>
      </c>
      <c r="U5071" s="9">
        <v>45473</v>
      </c>
      <c r="V5071">
        <f>SUM(POTABLE_NONPOTABLE_API[[#This Row],[RESIDENTIAL_SINGLEFAMILY_GAL]:[OTHER_GAL]])</f>
        <v>174660000</v>
      </c>
      <c r="W5071">
        <f>SUM(POTABLE_NONPOTABLE_API[[#This Row],[NONPOTABLE_DEMAND_RESIDENTIAL_RECYCLED_WATER_GAL]:[NONPOTABLE_DEMAND_NONRESIDENTIAL_METERED_IRRIGATION_GAL]])</f>
        <v>0</v>
      </c>
      <c r="X5071" t="str">
        <f>IFERROR(INDEX(Crosswalk_API!$H$2:$H$527, MATCH(POTABLE_NONPOTABLE_API[[#This Row],[PWSID]], CW_PWSID_LIST, 0)), "")</f>
        <v>No</v>
      </c>
    </row>
    <row r="5072" spans="1:24" x14ac:dyDescent="0.25">
      <c r="A5072" t="s">
        <v>2215</v>
      </c>
      <c r="B5072" t="s">
        <v>2216</v>
      </c>
      <c r="C5072" t="s">
        <v>2217</v>
      </c>
      <c r="D5072" t="s">
        <v>2218</v>
      </c>
      <c r="E5072" s="9">
        <v>45292</v>
      </c>
      <c r="F5072" s="9">
        <v>45322</v>
      </c>
      <c r="G5072">
        <v>58520000</v>
      </c>
      <c r="H5072">
        <v>42640000</v>
      </c>
      <c r="I5072">
        <v>39590000</v>
      </c>
      <c r="J5072">
        <v>1170000</v>
      </c>
      <c r="K5072">
        <v>2310000</v>
      </c>
      <c r="L5072">
        <v>1350000</v>
      </c>
      <c r="M5072">
        <v>270000</v>
      </c>
      <c r="T5072" s="9">
        <v>45108</v>
      </c>
      <c r="U5072" s="9">
        <v>45473</v>
      </c>
      <c r="V5072">
        <f>SUM(POTABLE_NONPOTABLE_API[[#This Row],[RESIDENTIAL_SINGLEFAMILY_GAL]:[OTHER_GAL]])</f>
        <v>145580000</v>
      </c>
      <c r="W5072">
        <f>SUM(POTABLE_NONPOTABLE_API[[#This Row],[NONPOTABLE_DEMAND_RESIDENTIAL_RECYCLED_WATER_GAL]:[NONPOTABLE_DEMAND_NONRESIDENTIAL_METERED_IRRIGATION_GAL]])</f>
        <v>0</v>
      </c>
      <c r="X5072" t="str">
        <f>IFERROR(INDEX(Crosswalk_API!$H$2:$H$527, MATCH(POTABLE_NONPOTABLE_API[[#This Row],[PWSID]], CW_PWSID_LIST, 0)), "")</f>
        <v>No</v>
      </c>
    </row>
    <row r="5073" spans="1:24" x14ac:dyDescent="0.25">
      <c r="A5073" t="s">
        <v>2215</v>
      </c>
      <c r="B5073" t="s">
        <v>2216</v>
      </c>
      <c r="C5073" t="s">
        <v>2217</v>
      </c>
      <c r="D5073" t="s">
        <v>2218</v>
      </c>
      <c r="E5073" s="9">
        <v>45323</v>
      </c>
      <c r="F5073" s="9">
        <v>45351</v>
      </c>
      <c r="G5073">
        <v>60740000</v>
      </c>
      <c r="H5073">
        <v>44430000</v>
      </c>
      <c r="I5073">
        <v>43730000</v>
      </c>
      <c r="J5073">
        <v>730000</v>
      </c>
      <c r="K5073">
        <v>3070000</v>
      </c>
      <c r="L5073">
        <v>14510000</v>
      </c>
      <c r="M5073">
        <v>480000</v>
      </c>
      <c r="T5073" s="9">
        <v>45108</v>
      </c>
      <c r="U5073" s="9">
        <v>45473</v>
      </c>
      <c r="V5073">
        <f>SUM(POTABLE_NONPOTABLE_API[[#This Row],[RESIDENTIAL_SINGLEFAMILY_GAL]:[OTHER_GAL]])</f>
        <v>167210000</v>
      </c>
      <c r="W5073">
        <f>SUM(POTABLE_NONPOTABLE_API[[#This Row],[NONPOTABLE_DEMAND_RESIDENTIAL_RECYCLED_WATER_GAL]:[NONPOTABLE_DEMAND_NONRESIDENTIAL_METERED_IRRIGATION_GAL]])</f>
        <v>0</v>
      </c>
      <c r="X5073" t="str">
        <f>IFERROR(INDEX(Crosswalk_API!$H$2:$H$527, MATCH(POTABLE_NONPOTABLE_API[[#This Row],[PWSID]], CW_PWSID_LIST, 0)), "")</f>
        <v>No</v>
      </c>
    </row>
    <row r="5074" spans="1:24" x14ac:dyDescent="0.25">
      <c r="A5074" t="s">
        <v>2215</v>
      </c>
      <c r="B5074" t="s">
        <v>2216</v>
      </c>
      <c r="C5074" t="s">
        <v>2217</v>
      </c>
      <c r="D5074" t="s">
        <v>2218</v>
      </c>
      <c r="E5074" s="9">
        <v>45352</v>
      </c>
      <c r="F5074" s="9">
        <v>45382</v>
      </c>
      <c r="G5074">
        <v>56320000</v>
      </c>
      <c r="H5074">
        <v>42370000</v>
      </c>
      <c r="I5074">
        <v>44270000</v>
      </c>
      <c r="J5074">
        <v>460000</v>
      </c>
      <c r="K5074">
        <v>3090000</v>
      </c>
      <c r="L5074">
        <v>6910000</v>
      </c>
      <c r="M5074">
        <v>200000</v>
      </c>
      <c r="T5074" s="9">
        <v>45108</v>
      </c>
      <c r="U5074" s="9">
        <v>45473</v>
      </c>
      <c r="V5074">
        <f>SUM(POTABLE_NONPOTABLE_API[[#This Row],[RESIDENTIAL_SINGLEFAMILY_GAL]:[OTHER_GAL]])</f>
        <v>153420000</v>
      </c>
      <c r="W5074">
        <f>SUM(POTABLE_NONPOTABLE_API[[#This Row],[NONPOTABLE_DEMAND_RESIDENTIAL_RECYCLED_WATER_GAL]:[NONPOTABLE_DEMAND_NONRESIDENTIAL_METERED_IRRIGATION_GAL]])</f>
        <v>0</v>
      </c>
      <c r="X5074" t="str">
        <f>IFERROR(INDEX(Crosswalk_API!$H$2:$H$527, MATCH(POTABLE_NONPOTABLE_API[[#This Row],[PWSID]], CW_PWSID_LIST, 0)), "")</f>
        <v>No</v>
      </c>
    </row>
    <row r="5075" spans="1:24" x14ac:dyDescent="0.25">
      <c r="A5075" t="s">
        <v>2215</v>
      </c>
      <c r="B5075" t="s">
        <v>2216</v>
      </c>
      <c r="C5075" t="s">
        <v>2217</v>
      </c>
      <c r="D5075" t="s">
        <v>2218</v>
      </c>
      <c r="E5075" s="9">
        <v>45383</v>
      </c>
      <c r="F5075" s="9">
        <v>45412</v>
      </c>
      <c r="G5075">
        <v>60860000</v>
      </c>
      <c r="H5075">
        <v>45350000</v>
      </c>
      <c r="I5075">
        <v>50220000</v>
      </c>
      <c r="J5075">
        <v>580000</v>
      </c>
      <c r="K5075">
        <v>2990000</v>
      </c>
      <c r="L5075">
        <v>7730000</v>
      </c>
      <c r="M5075">
        <v>160000</v>
      </c>
      <c r="T5075" s="9">
        <v>45108</v>
      </c>
      <c r="U5075" s="9">
        <v>45473</v>
      </c>
      <c r="V5075">
        <f>SUM(POTABLE_NONPOTABLE_API[[#This Row],[RESIDENTIAL_SINGLEFAMILY_GAL]:[OTHER_GAL]])</f>
        <v>167730000</v>
      </c>
      <c r="W5075">
        <f>SUM(POTABLE_NONPOTABLE_API[[#This Row],[NONPOTABLE_DEMAND_RESIDENTIAL_RECYCLED_WATER_GAL]:[NONPOTABLE_DEMAND_NONRESIDENTIAL_METERED_IRRIGATION_GAL]])</f>
        <v>0</v>
      </c>
      <c r="X5075" t="str">
        <f>IFERROR(INDEX(Crosswalk_API!$H$2:$H$527, MATCH(POTABLE_NONPOTABLE_API[[#This Row],[PWSID]], CW_PWSID_LIST, 0)), "")</f>
        <v>No</v>
      </c>
    </row>
    <row r="5076" spans="1:24" x14ac:dyDescent="0.25">
      <c r="A5076" t="s">
        <v>2215</v>
      </c>
      <c r="B5076" t="s">
        <v>2216</v>
      </c>
      <c r="C5076" t="s">
        <v>2217</v>
      </c>
      <c r="D5076" t="s">
        <v>2218</v>
      </c>
      <c r="E5076" s="9">
        <v>45413</v>
      </c>
      <c r="F5076" s="9">
        <v>45443</v>
      </c>
      <c r="G5076">
        <v>67370000</v>
      </c>
      <c r="H5076">
        <v>46970000</v>
      </c>
      <c r="I5076">
        <v>51920000</v>
      </c>
      <c r="J5076">
        <v>1010000</v>
      </c>
      <c r="K5076">
        <v>4440000</v>
      </c>
      <c r="L5076">
        <v>8109999.9999999991</v>
      </c>
      <c r="M5076">
        <v>340000</v>
      </c>
      <c r="T5076" s="9">
        <v>45108</v>
      </c>
      <c r="U5076" s="9">
        <v>45473</v>
      </c>
      <c r="V5076">
        <f>SUM(POTABLE_NONPOTABLE_API[[#This Row],[RESIDENTIAL_SINGLEFAMILY_GAL]:[OTHER_GAL]])</f>
        <v>179820000</v>
      </c>
      <c r="W5076">
        <f>SUM(POTABLE_NONPOTABLE_API[[#This Row],[NONPOTABLE_DEMAND_RESIDENTIAL_RECYCLED_WATER_GAL]:[NONPOTABLE_DEMAND_NONRESIDENTIAL_METERED_IRRIGATION_GAL]])</f>
        <v>0</v>
      </c>
      <c r="X5076" t="str">
        <f>IFERROR(INDEX(Crosswalk_API!$H$2:$H$527, MATCH(POTABLE_NONPOTABLE_API[[#This Row],[PWSID]], CW_PWSID_LIST, 0)), "")</f>
        <v>No</v>
      </c>
    </row>
    <row r="5077" spans="1:24" x14ac:dyDescent="0.25">
      <c r="A5077" t="s">
        <v>2215</v>
      </c>
      <c r="B5077" t="s">
        <v>2216</v>
      </c>
      <c r="C5077" t="s">
        <v>2217</v>
      </c>
      <c r="D5077" t="s">
        <v>2218</v>
      </c>
      <c r="E5077" s="9">
        <v>45444</v>
      </c>
      <c r="F5077" s="9">
        <v>45473</v>
      </c>
      <c r="G5077">
        <v>79360000</v>
      </c>
      <c r="H5077">
        <v>52780000</v>
      </c>
      <c r="I5077">
        <v>65060000</v>
      </c>
      <c r="J5077">
        <v>2410000</v>
      </c>
      <c r="K5077">
        <v>3470000</v>
      </c>
      <c r="L5077">
        <v>6720000</v>
      </c>
      <c r="M5077">
        <v>220000</v>
      </c>
      <c r="T5077" s="9">
        <v>45108</v>
      </c>
      <c r="U5077" s="9">
        <v>45473</v>
      </c>
      <c r="V5077">
        <f>SUM(POTABLE_NONPOTABLE_API[[#This Row],[RESIDENTIAL_SINGLEFAMILY_GAL]:[OTHER_GAL]])</f>
        <v>209800000</v>
      </c>
      <c r="W5077">
        <f>SUM(POTABLE_NONPOTABLE_API[[#This Row],[NONPOTABLE_DEMAND_RESIDENTIAL_RECYCLED_WATER_GAL]:[NONPOTABLE_DEMAND_NONRESIDENTIAL_METERED_IRRIGATION_GAL]])</f>
        <v>0</v>
      </c>
      <c r="X5077" t="str">
        <f>IFERROR(INDEX(Crosswalk_API!$H$2:$H$527, MATCH(POTABLE_NONPOTABLE_API[[#This Row],[PWSID]], CW_PWSID_LIST, 0)), "")</f>
        <v>No</v>
      </c>
    </row>
    <row r="5078" spans="1:24" x14ac:dyDescent="0.25">
      <c r="A5078" t="s">
        <v>2219</v>
      </c>
      <c r="B5078" t="s">
        <v>2220</v>
      </c>
      <c r="C5078" t="s">
        <v>2221</v>
      </c>
      <c r="D5078" t="s">
        <v>2222</v>
      </c>
      <c r="E5078" s="9">
        <v>45108</v>
      </c>
      <c r="F5078" s="9">
        <v>45138</v>
      </c>
      <c r="G5078">
        <v>259703247</v>
      </c>
      <c r="H5078">
        <v>13034040</v>
      </c>
      <c r="I5078">
        <v>26393931</v>
      </c>
      <c r="J5078">
        <v>4887765</v>
      </c>
      <c r="K5078">
        <v>1303404</v>
      </c>
      <c r="L5078">
        <v>0</v>
      </c>
      <c r="M5078">
        <v>19551060</v>
      </c>
      <c r="N5078">
        <v>22809570</v>
      </c>
      <c r="O5078">
        <v>0</v>
      </c>
      <c r="P5078">
        <v>0</v>
      </c>
      <c r="Q5078">
        <v>5539467</v>
      </c>
      <c r="R5078">
        <v>0</v>
      </c>
      <c r="S5078">
        <v>0</v>
      </c>
      <c r="T5078" s="9">
        <v>45108</v>
      </c>
      <c r="U5078" s="9">
        <v>45473</v>
      </c>
      <c r="V5078">
        <f>SUM(POTABLE_NONPOTABLE_API[[#This Row],[RESIDENTIAL_SINGLEFAMILY_GAL]:[OTHER_GAL]])</f>
        <v>305322387</v>
      </c>
      <c r="W5078">
        <f>SUM(POTABLE_NONPOTABLE_API[[#This Row],[NONPOTABLE_DEMAND_RESIDENTIAL_RECYCLED_WATER_GAL]:[NONPOTABLE_DEMAND_NONRESIDENTIAL_METERED_IRRIGATION_GAL]])</f>
        <v>28349037</v>
      </c>
      <c r="X5078" t="str">
        <f>IFERROR(INDEX(Crosswalk_API!$H$2:$H$527, MATCH(POTABLE_NONPOTABLE_API[[#This Row],[PWSID]], CW_PWSID_LIST, 0)), "")</f>
        <v>No</v>
      </c>
    </row>
    <row r="5079" spans="1:24" x14ac:dyDescent="0.25">
      <c r="A5079" t="s">
        <v>2219</v>
      </c>
      <c r="B5079" t="s">
        <v>2220</v>
      </c>
      <c r="C5079" t="s">
        <v>2221</v>
      </c>
      <c r="D5079" t="s">
        <v>2222</v>
      </c>
      <c r="E5079" s="9">
        <v>45139</v>
      </c>
      <c r="F5079" s="9">
        <v>45169</v>
      </c>
      <c r="G5079">
        <v>226173179.09999999</v>
      </c>
      <c r="H5079">
        <v>12871114.5</v>
      </c>
      <c r="I5079">
        <v>22809570</v>
      </c>
      <c r="J5079">
        <v>3584361</v>
      </c>
      <c r="K5079">
        <v>4561914</v>
      </c>
      <c r="L5079">
        <v>0</v>
      </c>
      <c r="M5079">
        <v>16618401</v>
      </c>
      <c r="N5079">
        <v>16618401</v>
      </c>
      <c r="O5079">
        <v>0</v>
      </c>
      <c r="Q5079">
        <v>3584361</v>
      </c>
      <c r="R5079">
        <v>0</v>
      </c>
      <c r="S5079">
        <v>0</v>
      </c>
      <c r="T5079" s="9">
        <v>45108</v>
      </c>
      <c r="U5079" s="9">
        <v>45473</v>
      </c>
      <c r="V5079">
        <f>SUM(POTABLE_NONPOTABLE_API[[#This Row],[RESIDENTIAL_SINGLEFAMILY_GAL]:[OTHER_GAL]])</f>
        <v>270000138.60000002</v>
      </c>
      <c r="W5079">
        <f>SUM(POTABLE_NONPOTABLE_API[[#This Row],[NONPOTABLE_DEMAND_RESIDENTIAL_RECYCLED_WATER_GAL]:[NONPOTABLE_DEMAND_NONRESIDENTIAL_METERED_IRRIGATION_GAL]])</f>
        <v>20202762</v>
      </c>
      <c r="X5079" t="str">
        <f>IFERROR(INDEX(Crosswalk_API!$H$2:$H$527, MATCH(POTABLE_NONPOTABLE_API[[#This Row],[PWSID]], CW_PWSID_LIST, 0)), "")</f>
        <v>No</v>
      </c>
    </row>
    <row r="5080" spans="1:24" x14ac:dyDescent="0.25">
      <c r="A5080" t="s">
        <v>2219</v>
      </c>
      <c r="B5080" t="s">
        <v>2220</v>
      </c>
      <c r="C5080" t="s">
        <v>2221</v>
      </c>
      <c r="D5080" t="s">
        <v>2222</v>
      </c>
      <c r="E5080" s="9">
        <v>45170</v>
      </c>
      <c r="F5080" s="9">
        <v>45199</v>
      </c>
      <c r="G5080">
        <v>219362893.20000002</v>
      </c>
      <c r="H5080">
        <v>13881252.6</v>
      </c>
      <c r="I5080">
        <v>21180315</v>
      </c>
      <c r="J5080">
        <v>651702</v>
      </c>
      <c r="K5080">
        <v>5865318</v>
      </c>
      <c r="L5080">
        <v>0</v>
      </c>
      <c r="M5080">
        <v>16618401</v>
      </c>
      <c r="N5080">
        <v>14337444</v>
      </c>
      <c r="O5080">
        <v>0</v>
      </c>
      <c r="Q5080">
        <v>3584361</v>
      </c>
      <c r="R5080">
        <v>0</v>
      </c>
      <c r="S5080">
        <v>0</v>
      </c>
      <c r="T5080" s="9">
        <v>45108</v>
      </c>
      <c r="U5080" s="9">
        <v>45473</v>
      </c>
      <c r="V5080">
        <f>SUM(POTABLE_NONPOTABLE_API[[#This Row],[RESIDENTIAL_SINGLEFAMILY_GAL]:[OTHER_GAL]])</f>
        <v>260941480.80000001</v>
      </c>
      <c r="W5080">
        <f>SUM(POTABLE_NONPOTABLE_API[[#This Row],[NONPOTABLE_DEMAND_RESIDENTIAL_RECYCLED_WATER_GAL]:[NONPOTABLE_DEMAND_NONRESIDENTIAL_METERED_IRRIGATION_GAL]])</f>
        <v>17921805</v>
      </c>
      <c r="X5080" t="str">
        <f>IFERROR(INDEX(Crosswalk_API!$H$2:$H$527, MATCH(POTABLE_NONPOTABLE_API[[#This Row],[PWSID]], CW_PWSID_LIST, 0)), "")</f>
        <v>No</v>
      </c>
    </row>
    <row r="5081" spans="1:24" x14ac:dyDescent="0.25">
      <c r="A5081" t="s">
        <v>2219</v>
      </c>
      <c r="B5081" t="s">
        <v>2220</v>
      </c>
      <c r="C5081" t="s">
        <v>2221</v>
      </c>
      <c r="D5081" t="s">
        <v>2222</v>
      </c>
      <c r="E5081" s="9">
        <v>45200</v>
      </c>
      <c r="F5081" s="9">
        <v>45230</v>
      </c>
      <c r="G5081">
        <v>214540298.40000001</v>
      </c>
      <c r="H5081">
        <v>12219412.5</v>
      </c>
      <c r="I5081">
        <v>24406239.900000002</v>
      </c>
      <c r="J5081">
        <v>5428677.6600000001</v>
      </c>
      <c r="K5081">
        <v>0</v>
      </c>
      <c r="L5081">
        <v>0</v>
      </c>
      <c r="M5081">
        <v>13571694.15</v>
      </c>
      <c r="N5081">
        <v>14337444</v>
      </c>
      <c r="O5081">
        <v>0</v>
      </c>
      <c r="Q5081">
        <v>3584361</v>
      </c>
      <c r="R5081">
        <v>0</v>
      </c>
      <c r="T5081" s="9">
        <v>45108</v>
      </c>
      <c r="U5081" s="9">
        <v>45473</v>
      </c>
      <c r="V5081">
        <f>SUM(POTABLE_NONPOTABLE_API[[#This Row],[RESIDENTIAL_SINGLEFAMILY_GAL]:[OTHER_GAL]])</f>
        <v>256594628.46000001</v>
      </c>
      <c r="W5081">
        <f>SUM(POTABLE_NONPOTABLE_API[[#This Row],[NONPOTABLE_DEMAND_RESIDENTIAL_RECYCLED_WATER_GAL]:[NONPOTABLE_DEMAND_NONRESIDENTIAL_METERED_IRRIGATION_GAL]])</f>
        <v>17921805</v>
      </c>
      <c r="X5081" t="str">
        <f>IFERROR(INDEX(Crosswalk_API!$H$2:$H$527, MATCH(POTABLE_NONPOTABLE_API[[#This Row],[PWSID]], CW_PWSID_LIST, 0)), "")</f>
        <v>No</v>
      </c>
    </row>
    <row r="5082" spans="1:24" x14ac:dyDescent="0.25">
      <c r="A5082" t="s">
        <v>2219</v>
      </c>
      <c r="B5082" t="s">
        <v>2220</v>
      </c>
      <c r="C5082" t="s">
        <v>2221</v>
      </c>
      <c r="D5082" t="s">
        <v>2222</v>
      </c>
      <c r="E5082" s="9">
        <v>45231</v>
      </c>
      <c r="F5082" s="9">
        <v>45260</v>
      </c>
      <c r="G5082">
        <v>215387511</v>
      </c>
      <c r="H5082">
        <v>9123828</v>
      </c>
      <c r="I5082">
        <v>24438825</v>
      </c>
      <c r="J5082">
        <v>3258510</v>
      </c>
      <c r="K5082">
        <v>0</v>
      </c>
      <c r="L5082">
        <v>0</v>
      </c>
      <c r="M5082">
        <v>10101381</v>
      </c>
      <c r="N5082">
        <v>977553</v>
      </c>
      <c r="O5082">
        <v>0</v>
      </c>
      <c r="P5082">
        <v>0</v>
      </c>
      <c r="Q5082">
        <v>11730636</v>
      </c>
      <c r="R5082">
        <v>0</v>
      </c>
      <c r="T5082" s="9">
        <v>45108</v>
      </c>
      <c r="U5082" s="9">
        <v>45473</v>
      </c>
      <c r="V5082">
        <f>SUM(POTABLE_NONPOTABLE_API[[#This Row],[RESIDENTIAL_SINGLEFAMILY_GAL]:[OTHER_GAL]])</f>
        <v>252208674</v>
      </c>
      <c r="W5082">
        <f>SUM(POTABLE_NONPOTABLE_API[[#This Row],[NONPOTABLE_DEMAND_RESIDENTIAL_RECYCLED_WATER_GAL]:[NONPOTABLE_DEMAND_NONRESIDENTIAL_METERED_IRRIGATION_GAL]])</f>
        <v>12708189</v>
      </c>
      <c r="X5082" t="str">
        <f>IFERROR(INDEX(Crosswalk_API!$H$2:$H$527, MATCH(POTABLE_NONPOTABLE_API[[#This Row],[PWSID]], CW_PWSID_LIST, 0)), "")</f>
        <v>No</v>
      </c>
    </row>
    <row r="5083" spans="1:24" x14ac:dyDescent="0.25">
      <c r="A5083" t="s">
        <v>2219</v>
      </c>
      <c r="B5083" t="s">
        <v>2220</v>
      </c>
      <c r="C5083" t="s">
        <v>2221</v>
      </c>
      <c r="D5083" t="s">
        <v>2222</v>
      </c>
      <c r="E5083" s="9">
        <v>45261</v>
      </c>
      <c r="F5083" s="9">
        <v>45291</v>
      </c>
      <c r="G5083">
        <v>130992102</v>
      </c>
      <c r="H5083">
        <v>5865318</v>
      </c>
      <c r="I5083">
        <v>12382338</v>
      </c>
      <c r="J5083">
        <v>5213616</v>
      </c>
      <c r="K5083">
        <v>651702</v>
      </c>
      <c r="L5083">
        <v>0</v>
      </c>
      <c r="M5083">
        <v>8146275</v>
      </c>
      <c r="N5083">
        <v>5343956.3999999994</v>
      </c>
      <c r="O5083">
        <v>0</v>
      </c>
      <c r="P5083">
        <v>0</v>
      </c>
      <c r="Q5083">
        <v>977553</v>
      </c>
      <c r="R5083">
        <v>0</v>
      </c>
      <c r="S5083">
        <v>0</v>
      </c>
      <c r="T5083" s="9">
        <v>45108</v>
      </c>
      <c r="U5083" s="9">
        <v>45473</v>
      </c>
      <c r="V5083">
        <f>SUM(POTABLE_NONPOTABLE_API[[#This Row],[RESIDENTIAL_SINGLEFAMILY_GAL]:[OTHER_GAL]])</f>
        <v>155105076</v>
      </c>
      <c r="W5083">
        <f>SUM(POTABLE_NONPOTABLE_API[[#This Row],[NONPOTABLE_DEMAND_RESIDENTIAL_RECYCLED_WATER_GAL]:[NONPOTABLE_DEMAND_NONRESIDENTIAL_METERED_IRRIGATION_GAL]])</f>
        <v>6321509.3999999994</v>
      </c>
      <c r="X5083" t="str">
        <f>IFERROR(INDEX(Crosswalk_API!$H$2:$H$527, MATCH(POTABLE_NONPOTABLE_API[[#This Row],[PWSID]], CW_PWSID_LIST, 0)), "")</f>
        <v>No</v>
      </c>
    </row>
    <row r="5084" spans="1:24" x14ac:dyDescent="0.25">
      <c r="A5084" t="s">
        <v>2219</v>
      </c>
      <c r="B5084" t="s">
        <v>2220</v>
      </c>
      <c r="C5084" t="s">
        <v>2221</v>
      </c>
      <c r="D5084" t="s">
        <v>2222</v>
      </c>
      <c r="E5084" s="9">
        <v>45292</v>
      </c>
      <c r="F5084" s="9">
        <v>45322</v>
      </c>
      <c r="G5084">
        <v>92541684</v>
      </c>
      <c r="H5084">
        <v>4105722.6</v>
      </c>
      <c r="I5084">
        <v>9449679</v>
      </c>
      <c r="J5084">
        <v>1303404</v>
      </c>
      <c r="K5084">
        <v>2346127.2000000002</v>
      </c>
      <c r="L5084">
        <v>0</v>
      </c>
      <c r="M5084">
        <v>6191169</v>
      </c>
      <c r="N5084">
        <v>260680.80000000002</v>
      </c>
      <c r="O5084">
        <v>0</v>
      </c>
      <c r="P5084">
        <v>0</v>
      </c>
      <c r="Q5084">
        <v>586531.80000000005</v>
      </c>
      <c r="R5084">
        <v>0</v>
      </c>
      <c r="S5084">
        <v>1955106</v>
      </c>
      <c r="T5084" s="9">
        <v>45108</v>
      </c>
      <c r="U5084" s="9">
        <v>45473</v>
      </c>
      <c r="V5084">
        <f>SUM(POTABLE_NONPOTABLE_API[[#This Row],[RESIDENTIAL_SINGLEFAMILY_GAL]:[OTHER_GAL]])</f>
        <v>109746616.8</v>
      </c>
      <c r="W5084">
        <f>SUM(POTABLE_NONPOTABLE_API[[#This Row],[NONPOTABLE_DEMAND_RESIDENTIAL_RECYCLED_WATER_GAL]:[NONPOTABLE_DEMAND_NONRESIDENTIAL_METERED_IRRIGATION_GAL]])</f>
        <v>2802318.6</v>
      </c>
      <c r="X5084" t="str">
        <f>IFERROR(INDEX(Crosswalk_API!$H$2:$H$527, MATCH(POTABLE_NONPOTABLE_API[[#This Row],[PWSID]], CW_PWSID_LIST, 0)), "")</f>
        <v>No</v>
      </c>
    </row>
    <row r="5085" spans="1:24" x14ac:dyDescent="0.25">
      <c r="A5085" t="s">
        <v>2219</v>
      </c>
      <c r="B5085" t="s">
        <v>2220</v>
      </c>
      <c r="C5085" t="s">
        <v>2221</v>
      </c>
      <c r="D5085" t="s">
        <v>2222</v>
      </c>
      <c r="E5085" s="9">
        <v>45323</v>
      </c>
      <c r="F5085" s="9">
        <v>45351</v>
      </c>
      <c r="G5085">
        <v>57675627</v>
      </c>
      <c r="H5085">
        <v>2932659</v>
      </c>
      <c r="I5085">
        <v>5637222.2999999998</v>
      </c>
      <c r="J5085">
        <v>651702</v>
      </c>
      <c r="K5085">
        <v>1955106</v>
      </c>
      <c r="L5085">
        <v>0</v>
      </c>
      <c r="M5085">
        <v>3584361</v>
      </c>
      <c r="N5085">
        <v>162925.5</v>
      </c>
      <c r="O5085">
        <v>0</v>
      </c>
      <c r="P5085">
        <v>0</v>
      </c>
      <c r="Q5085">
        <v>130340.40000000001</v>
      </c>
      <c r="R5085">
        <v>0</v>
      </c>
      <c r="S5085">
        <v>1564084.8</v>
      </c>
      <c r="T5085" s="9">
        <v>45108</v>
      </c>
      <c r="U5085" s="9">
        <v>45473</v>
      </c>
      <c r="V5085">
        <f>SUM(POTABLE_NONPOTABLE_API[[#This Row],[RESIDENTIAL_SINGLEFAMILY_GAL]:[OTHER_GAL]])</f>
        <v>68852316.299999997</v>
      </c>
      <c r="W5085">
        <f>SUM(POTABLE_NONPOTABLE_API[[#This Row],[NONPOTABLE_DEMAND_RESIDENTIAL_RECYCLED_WATER_GAL]:[NONPOTABLE_DEMAND_NONRESIDENTIAL_METERED_IRRIGATION_GAL]])</f>
        <v>1857350.7000000002</v>
      </c>
      <c r="X5085" t="str">
        <f>IFERROR(INDEX(Crosswalk_API!$H$2:$H$527, MATCH(POTABLE_NONPOTABLE_API[[#This Row],[PWSID]], CW_PWSID_LIST, 0)), "")</f>
        <v>No</v>
      </c>
    </row>
    <row r="5086" spans="1:24" x14ac:dyDescent="0.25">
      <c r="A5086" t="s">
        <v>2219</v>
      </c>
      <c r="B5086" t="s">
        <v>2220</v>
      </c>
      <c r="C5086" t="s">
        <v>2221</v>
      </c>
      <c r="D5086" t="s">
        <v>2222</v>
      </c>
      <c r="E5086" s="9">
        <v>45352</v>
      </c>
      <c r="F5086" s="9">
        <v>45382</v>
      </c>
      <c r="G5086">
        <v>94170939</v>
      </c>
      <c r="H5086">
        <v>5213616</v>
      </c>
      <c r="I5086">
        <v>9449679</v>
      </c>
      <c r="J5086">
        <v>651702</v>
      </c>
      <c r="K5086">
        <v>1303404</v>
      </c>
      <c r="L5086">
        <v>0</v>
      </c>
      <c r="M5086">
        <v>5865318</v>
      </c>
      <c r="N5086">
        <v>391021.2</v>
      </c>
      <c r="O5086">
        <v>0</v>
      </c>
      <c r="Q5086">
        <v>782042.4</v>
      </c>
      <c r="R5086">
        <v>0</v>
      </c>
      <c r="S5086">
        <v>6777700.7999999998</v>
      </c>
      <c r="T5086" s="9">
        <v>45108</v>
      </c>
      <c r="U5086" s="9">
        <v>45473</v>
      </c>
      <c r="V5086">
        <f>SUM(POTABLE_NONPOTABLE_API[[#This Row],[RESIDENTIAL_SINGLEFAMILY_GAL]:[OTHER_GAL]])</f>
        <v>110789340</v>
      </c>
      <c r="W5086">
        <f>SUM(POTABLE_NONPOTABLE_API[[#This Row],[NONPOTABLE_DEMAND_RESIDENTIAL_RECYCLED_WATER_GAL]:[NONPOTABLE_DEMAND_NONRESIDENTIAL_METERED_IRRIGATION_GAL]])</f>
        <v>7950764.4000000004</v>
      </c>
      <c r="X5086" t="str">
        <f>IFERROR(INDEX(Crosswalk_API!$H$2:$H$527, MATCH(POTABLE_NONPOTABLE_API[[#This Row],[PWSID]], CW_PWSID_LIST, 0)), "")</f>
        <v>No</v>
      </c>
    </row>
    <row r="5087" spans="1:24" x14ac:dyDescent="0.25">
      <c r="A5087" t="s">
        <v>2219</v>
      </c>
      <c r="B5087" t="s">
        <v>2220</v>
      </c>
      <c r="C5087" t="s">
        <v>2221</v>
      </c>
      <c r="D5087" t="s">
        <v>2222</v>
      </c>
      <c r="E5087" s="9">
        <v>45383</v>
      </c>
      <c r="F5087" s="9">
        <v>45412</v>
      </c>
      <c r="G5087">
        <v>139790079</v>
      </c>
      <c r="H5087">
        <v>7129619.8799999999</v>
      </c>
      <c r="I5087">
        <v>14011593</v>
      </c>
      <c r="J5087">
        <v>2932659</v>
      </c>
      <c r="K5087">
        <v>2932659</v>
      </c>
      <c r="L5087">
        <v>0</v>
      </c>
      <c r="M5087">
        <v>9123828</v>
      </c>
      <c r="N5087">
        <v>651702</v>
      </c>
      <c r="O5087">
        <v>0</v>
      </c>
      <c r="P5087">
        <v>0</v>
      </c>
      <c r="Q5087">
        <v>325851</v>
      </c>
      <c r="R5087">
        <v>0</v>
      </c>
      <c r="S5087">
        <v>13359891</v>
      </c>
      <c r="T5087" s="9">
        <v>45108</v>
      </c>
      <c r="U5087" s="9">
        <v>45473</v>
      </c>
      <c r="V5087">
        <f>SUM(POTABLE_NONPOTABLE_API[[#This Row],[RESIDENTIAL_SINGLEFAMILY_GAL]:[OTHER_GAL]])</f>
        <v>166796609.88</v>
      </c>
      <c r="W5087">
        <f>SUM(POTABLE_NONPOTABLE_API[[#This Row],[NONPOTABLE_DEMAND_RESIDENTIAL_RECYCLED_WATER_GAL]:[NONPOTABLE_DEMAND_NONRESIDENTIAL_METERED_IRRIGATION_GAL]])</f>
        <v>14337444</v>
      </c>
      <c r="X5087" t="str">
        <f>IFERROR(INDEX(Crosswalk_API!$H$2:$H$527, MATCH(POTABLE_NONPOTABLE_API[[#This Row],[PWSID]], CW_PWSID_LIST, 0)), "")</f>
        <v>No</v>
      </c>
    </row>
    <row r="5088" spans="1:24" x14ac:dyDescent="0.25">
      <c r="A5088" t="s">
        <v>2219</v>
      </c>
      <c r="B5088" t="s">
        <v>2220</v>
      </c>
      <c r="C5088" t="s">
        <v>2221</v>
      </c>
      <c r="D5088" t="s">
        <v>2222</v>
      </c>
      <c r="E5088" s="9">
        <v>45413</v>
      </c>
      <c r="F5088" s="9">
        <v>45443</v>
      </c>
      <c r="G5088">
        <v>211151448</v>
      </c>
      <c r="H5088">
        <v>10687912.799999999</v>
      </c>
      <c r="I5088">
        <v>21180315</v>
      </c>
      <c r="J5088">
        <v>1466329.5</v>
      </c>
      <c r="K5088">
        <v>7820424</v>
      </c>
      <c r="L5088">
        <v>0</v>
      </c>
      <c r="M5088">
        <v>14011593</v>
      </c>
      <c r="N5088">
        <v>651702</v>
      </c>
      <c r="O5088">
        <v>0</v>
      </c>
      <c r="P5088">
        <v>0</v>
      </c>
      <c r="Q5088">
        <v>488776.5</v>
      </c>
      <c r="R5088">
        <v>0</v>
      </c>
      <c r="S5088">
        <v>18247656</v>
      </c>
      <c r="T5088" s="9">
        <v>45108</v>
      </c>
      <c r="U5088" s="9">
        <v>45473</v>
      </c>
      <c r="V5088">
        <f>SUM(POTABLE_NONPOTABLE_API[[#This Row],[RESIDENTIAL_SINGLEFAMILY_GAL]:[OTHER_GAL]])</f>
        <v>252306429.30000001</v>
      </c>
      <c r="W5088">
        <f>SUM(POTABLE_NONPOTABLE_API[[#This Row],[NONPOTABLE_DEMAND_RESIDENTIAL_RECYCLED_WATER_GAL]:[NONPOTABLE_DEMAND_NONRESIDENTIAL_METERED_IRRIGATION_GAL]])</f>
        <v>19388134.5</v>
      </c>
      <c r="X5088" t="str">
        <f>IFERROR(INDEX(Crosswalk_API!$H$2:$H$527, MATCH(POTABLE_NONPOTABLE_API[[#This Row],[PWSID]], CW_PWSID_LIST, 0)), "")</f>
        <v>No</v>
      </c>
    </row>
    <row r="5089" spans="1:24" x14ac:dyDescent="0.25">
      <c r="A5089" t="s">
        <v>2219</v>
      </c>
      <c r="B5089" t="s">
        <v>2220</v>
      </c>
      <c r="C5089" t="s">
        <v>2221</v>
      </c>
      <c r="D5089" t="s">
        <v>2222</v>
      </c>
      <c r="E5089" s="9">
        <v>45444</v>
      </c>
      <c r="F5089" s="9">
        <v>45473</v>
      </c>
      <c r="G5089">
        <v>231354210</v>
      </c>
      <c r="H5089">
        <v>11404785</v>
      </c>
      <c r="I5089">
        <v>23135421</v>
      </c>
      <c r="J5089">
        <v>2769733.5</v>
      </c>
      <c r="K5089">
        <v>7494573</v>
      </c>
      <c r="L5089">
        <v>0</v>
      </c>
      <c r="M5089">
        <v>15640848</v>
      </c>
      <c r="N5089">
        <v>651702</v>
      </c>
      <c r="O5089">
        <v>0</v>
      </c>
      <c r="P5089">
        <v>0</v>
      </c>
      <c r="Q5089">
        <v>651702</v>
      </c>
      <c r="R5089">
        <v>0</v>
      </c>
      <c r="S5089">
        <v>21180315</v>
      </c>
      <c r="T5089" s="9">
        <v>45108</v>
      </c>
      <c r="U5089" s="9">
        <v>45473</v>
      </c>
      <c r="V5089">
        <f>SUM(POTABLE_NONPOTABLE_API[[#This Row],[RESIDENTIAL_SINGLEFAMILY_GAL]:[OTHER_GAL]])</f>
        <v>276158722.5</v>
      </c>
      <c r="W5089">
        <f>SUM(POTABLE_NONPOTABLE_API[[#This Row],[NONPOTABLE_DEMAND_RESIDENTIAL_RECYCLED_WATER_GAL]:[NONPOTABLE_DEMAND_NONRESIDENTIAL_METERED_IRRIGATION_GAL]])</f>
        <v>22483719</v>
      </c>
      <c r="X5089" t="str">
        <f>IFERROR(INDEX(Crosswalk_API!$H$2:$H$527, MATCH(POTABLE_NONPOTABLE_API[[#This Row],[PWSID]], CW_PWSID_LIST, 0)), "")</f>
        <v>No</v>
      </c>
    </row>
    <row r="5090" spans="1:24" x14ac:dyDescent="0.25">
      <c r="A5090" t="s">
        <v>2223</v>
      </c>
      <c r="B5090" t="s">
        <v>2224</v>
      </c>
      <c r="C5090" t="s">
        <v>2225</v>
      </c>
      <c r="D5090" t="s">
        <v>2226</v>
      </c>
      <c r="E5090" s="9">
        <v>45108</v>
      </c>
      <c r="F5090" s="9">
        <v>45138</v>
      </c>
      <c r="G5090">
        <v>58517115.752000004</v>
      </c>
      <c r="H5090">
        <v>0</v>
      </c>
      <c r="I5090">
        <v>71395578.983999997</v>
      </c>
      <c r="J5090">
        <v>0</v>
      </c>
      <c r="K5090">
        <v>0</v>
      </c>
      <c r="L5090">
        <v>0</v>
      </c>
      <c r="M5090">
        <v>0</v>
      </c>
      <c r="N5090">
        <v>0</v>
      </c>
      <c r="O5090">
        <v>0</v>
      </c>
      <c r="P5090">
        <v>0</v>
      </c>
      <c r="Q5090">
        <v>34396179.012000002</v>
      </c>
      <c r="R5090">
        <v>0</v>
      </c>
      <c r="S5090">
        <v>0</v>
      </c>
      <c r="T5090" s="9">
        <v>45108</v>
      </c>
      <c r="U5090" s="9">
        <v>45473</v>
      </c>
      <c r="V5090">
        <f>SUM(POTABLE_NONPOTABLE_API[[#This Row],[RESIDENTIAL_SINGLEFAMILY_GAL]:[OTHER_GAL]])</f>
        <v>129912694.736</v>
      </c>
      <c r="W5090">
        <f>SUM(POTABLE_NONPOTABLE_API[[#This Row],[NONPOTABLE_DEMAND_RESIDENTIAL_RECYCLED_WATER_GAL]:[NONPOTABLE_DEMAND_NONRESIDENTIAL_METERED_IRRIGATION_GAL]])</f>
        <v>34396179.012000002</v>
      </c>
      <c r="X5090" t="str">
        <f>IFERROR(INDEX(Crosswalk_API!$H$2:$H$527, MATCH(POTABLE_NONPOTABLE_API[[#This Row],[PWSID]], CW_PWSID_LIST, 0)), "")</f>
        <v>No</v>
      </c>
    </row>
    <row r="5091" spans="1:24" x14ac:dyDescent="0.25">
      <c r="A5091" t="s">
        <v>2223</v>
      </c>
      <c r="B5091" t="s">
        <v>2224</v>
      </c>
      <c r="C5091" t="s">
        <v>2225</v>
      </c>
      <c r="D5091" t="s">
        <v>2226</v>
      </c>
      <c r="E5091" s="9">
        <v>45139</v>
      </c>
      <c r="F5091" s="9">
        <v>45169</v>
      </c>
      <c r="G5091">
        <v>31339638.539999999</v>
      </c>
      <c r="H5091">
        <v>0</v>
      </c>
      <c r="I5091">
        <v>91126946.588</v>
      </c>
      <c r="J5091">
        <v>0</v>
      </c>
      <c r="K5091">
        <v>0</v>
      </c>
      <c r="L5091">
        <v>0</v>
      </c>
      <c r="M5091">
        <v>0</v>
      </c>
      <c r="N5091">
        <v>0</v>
      </c>
      <c r="O5091">
        <v>0</v>
      </c>
      <c r="P5091">
        <v>0</v>
      </c>
      <c r="Q5091">
        <v>20399378.039999999</v>
      </c>
      <c r="R5091">
        <v>0</v>
      </c>
      <c r="S5091">
        <v>0</v>
      </c>
      <c r="T5091" s="9">
        <v>45108</v>
      </c>
      <c r="U5091" s="9">
        <v>45473</v>
      </c>
      <c r="V5091">
        <f>SUM(POTABLE_NONPOTABLE_API[[#This Row],[RESIDENTIAL_SINGLEFAMILY_GAL]:[OTHER_GAL]])</f>
        <v>122466585.12799999</v>
      </c>
      <c r="W5091">
        <f>SUM(POTABLE_NONPOTABLE_API[[#This Row],[NONPOTABLE_DEMAND_RESIDENTIAL_RECYCLED_WATER_GAL]:[NONPOTABLE_DEMAND_NONRESIDENTIAL_METERED_IRRIGATION_GAL]])</f>
        <v>20399378.039999999</v>
      </c>
      <c r="X5091" t="str">
        <f>IFERROR(INDEX(Crosswalk_API!$H$2:$H$527, MATCH(POTABLE_NONPOTABLE_API[[#This Row],[PWSID]], CW_PWSID_LIST, 0)), "")</f>
        <v>No</v>
      </c>
    </row>
    <row r="5092" spans="1:24" x14ac:dyDescent="0.25">
      <c r="A5092" t="s">
        <v>2223</v>
      </c>
      <c r="B5092" t="s">
        <v>2224</v>
      </c>
      <c r="C5092" t="s">
        <v>2225</v>
      </c>
      <c r="D5092" t="s">
        <v>2226</v>
      </c>
      <c r="E5092" s="9">
        <v>45170</v>
      </c>
      <c r="F5092" s="9">
        <v>45199</v>
      </c>
      <c r="G5092">
        <v>63888129.112000003</v>
      </c>
      <c r="H5092">
        <v>0</v>
      </c>
      <c r="I5092">
        <v>86158385.203999996</v>
      </c>
      <c r="J5092">
        <v>0</v>
      </c>
      <c r="K5092">
        <v>0</v>
      </c>
      <c r="L5092">
        <v>0</v>
      </c>
      <c r="M5092">
        <v>0</v>
      </c>
      <c r="N5092">
        <v>0</v>
      </c>
      <c r="O5092">
        <v>0</v>
      </c>
      <c r="P5092">
        <v>0</v>
      </c>
      <c r="Q5092">
        <v>34520355.644000001</v>
      </c>
      <c r="R5092">
        <v>0</v>
      </c>
      <c r="S5092">
        <v>0</v>
      </c>
      <c r="T5092" s="9">
        <v>45108</v>
      </c>
      <c r="U5092" s="9">
        <v>45473</v>
      </c>
      <c r="V5092">
        <f>SUM(POTABLE_NONPOTABLE_API[[#This Row],[RESIDENTIAL_SINGLEFAMILY_GAL]:[OTHER_GAL]])</f>
        <v>150046514.31599998</v>
      </c>
      <c r="W5092">
        <f>SUM(POTABLE_NONPOTABLE_API[[#This Row],[NONPOTABLE_DEMAND_RESIDENTIAL_RECYCLED_WATER_GAL]:[NONPOTABLE_DEMAND_NONRESIDENTIAL_METERED_IRRIGATION_GAL]])</f>
        <v>34520355.644000001</v>
      </c>
      <c r="X5092" t="str">
        <f>IFERROR(INDEX(Crosswalk_API!$H$2:$H$527, MATCH(POTABLE_NONPOTABLE_API[[#This Row],[PWSID]], CW_PWSID_LIST, 0)), "")</f>
        <v>No</v>
      </c>
    </row>
    <row r="5093" spans="1:24" x14ac:dyDescent="0.25">
      <c r="A5093" t="s">
        <v>2223</v>
      </c>
      <c r="B5093" t="s">
        <v>2224</v>
      </c>
      <c r="C5093" t="s">
        <v>2225</v>
      </c>
      <c r="D5093" t="s">
        <v>2226</v>
      </c>
      <c r="E5093" s="9">
        <v>45200</v>
      </c>
      <c r="F5093" s="9">
        <v>45230</v>
      </c>
      <c r="G5093">
        <v>28457394.184</v>
      </c>
      <c r="H5093">
        <v>0</v>
      </c>
      <c r="I5093">
        <v>99039840.644000009</v>
      </c>
      <c r="J5093">
        <v>0</v>
      </c>
      <c r="K5093">
        <v>0</v>
      </c>
      <c r="L5093">
        <v>0</v>
      </c>
      <c r="M5093">
        <v>0</v>
      </c>
      <c r="N5093">
        <v>0</v>
      </c>
      <c r="O5093">
        <v>0</v>
      </c>
      <c r="P5093">
        <v>0</v>
      </c>
      <c r="Q5093">
        <v>20354494.920000002</v>
      </c>
      <c r="R5093">
        <v>0</v>
      </c>
      <c r="S5093">
        <v>0</v>
      </c>
      <c r="T5093" s="9">
        <v>45108</v>
      </c>
      <c r="U5093" s="9">
        <v>45473</v>
      </c>
      <c r="V5093">
        <f>SUM(POTABLE_NONPOTABLE_API[[#This Row],[RESIDENTIAL_SINGLEFAMILY_GAL]:[OTHER_GAL]])</f>
        <v>127497234.82800001</v>
      </c>
      <c r="W5093">
        <f>SUM(POTABLE_NONPOTABLE_API[[#This Row],[NONPOTABLE_DEMAND_RESIDENTIAL_RECYCLED_WATER_GAL]:[NONPOTABLE_DEMAND_NONRESIDENTIAL_METERED_IRRIGATION_GAL]])</f>
        <v>20354494.920000002</v>
      </c>
      <c r="X5093" t="str">
        <f>IFERROR(INDEX(Crosswalk_API!$H$2:$H$527, MATCH(POTABLE_NONPOTABLE_API[[#This Row],[PWSID]], CW_PWSID_LIST, 0)), "")</f>
        <v>No</v>
      </c>
    </row>
    <row r="5094" spans="1:24" x14ac:dyDescent="0.25">
      <c r="A5094" t="s">
        <v>2223</v>
      </c>
      <c r="B5094" t="s">
        <v>2224</v>
      </c>
      <c r="C5094" t="s">
        <v>2225</v>
      </c>
      <c r="D5094" t="s">
        <v>2226</v>
      </c>
      <c r="E5094" s="9">
        <v>45231</v>
      </c>
      <c r="F5094" s="9">
        <v>45260</v>
      </c>
      <c r="G5094">
        <v>31339638.539999999</v>
      </c>
      <c r="H5094">
        <v>0</v>
      </c>
      <c r="I5094">
        <v>91126946.588</v>
      </c>
      <c r="J5094">
        <v>0</v>
      </c>
      <c r="K5094">
        <v>0</v>
      </c>
      <c r="L5094">
        <v>0</v>
      </c>
      <c r="M5094">
        <v>0</v>
      </c>
      <c r="N5094">
        <v>0</v>
      </c>
      <c r="O5094">
        <v>0</v>
      </c>
      <c r="P5094">
        <v>0</v>
      </c>
      <c r="Q5094">
        <v>22810349.636</v>
      </c>
      <c r="R5094">
        <v>0</v>
      </c>
      <c r="S5094">
        <v>0</v>
      </c>
      <c r="T5094" s="9">
        <v>45108</v>
      </c>
      <c r="U5094" s="9">
        <v>45473</v>
      </c>
      <c r="V5094">
        <f>SUM(POTABLE_NONPOTABLE_API[[#This Row],[RESIDENTIAL_SINGLEFAMILY_GAL]:[OTHER_GAL]])</f>
        <v>122466585.12799999</v>
      </c>
      <c r="W5094">
        <f>SUM(POTABLE_NONPOTABLE_API[[#This Row],[NONPOTABLE_DEMAND_RESIDENTIAL_RECYCLED_WATER_GAL]:[NONPOTABLE_DEMAND_NONRESIDENTIAL_METERED_IRRIGATION_GAL]])</f>
        <v>22810349.636</v>
      </c>
      <c r="X5094" t="str">
        <f>IFERROR(INDEX(Crosswalk_API!$H$2:$H$527, MATCH(POTABLE_NONPOTABLE_API[[#This Row],[PWSID]], CW_PWSID_LIST, 0)), "")</f>
        <v>No</v>
      </c>
    </row>
    <row r="5095" spans="1:24" x14ac:dyDescent="0.25">
      <c r="A5095" t="s">
        <v>2223</v>
      </c>
      <c r="B5095" t="s">
        <v>2224</v>
      </c>
      <c r="C5095" t="s">
        <v>2225</v>
      </c>
      <c r="D5095" t="s">
        <v>2226</v>
      </c>
      <c r="E5095" s="9">
        <v>45261</v>
      </c>
      <c r="F5095" s="9">
        <v>45291</v>
      </c>
      <c r="G5095">
        <v>29028905.912</v>
      </c>
      <c r="H5095">
        <v>0</v>
      </c>
      <c r="I5095">
        <v>92480172.656000003</v>
      </c>
      <c r="J5095">
        <v>0</v>
      </c>
      <c r="K5095">
        <v>0</v>
      </c>
      <c r="L5095">
        <v>0</v>
      </c>
      <c r="M5095">
        <v>0</v>
      </c>
      <c r="N5095">
        <v>0</v>
      </c>
      <c r="O5095">
        <v>0</v>
      </c>
      <c r="P5095">
        <v>0</v>
      </c>
      <c r="Q5095">
        <v>15656728.360000001</v>
      </c>
      <c r="R5095">
        <v>0</v>
      </c>
      <c r="S5095">
        <v>0</v>
      </c>
      <c r="T5095" s="9">
        <v>45108</v>
      </c>
      <c r="U5095" s="9">
        <v>45473</v>
      </c>
      <c r="V5095">
        <f>SUM(POTABLE_NONPOTABLE_API[[#This Row],[RESIDENTIAL_SINGLEFAMILY_GAL]:[OTHER_GAL]])</f>
        <v>121509078.568</v>
      </c>
      <c r="W5095">
        <f>SUM(POTABLE_NONPOTABLE_API[[#This Row],[NONPOTABLE_DEMAND_RESIDENTIAL_RECYCLED_WATER_GAL]:[NONPOTABLE_DEMAND_NONRESIDENTIAL_METERED_IRRIGATION_GAL]])</f>
        <v>15656728.360000001</v>
      </c>
      <c r="X5095" t="str">
        <f>IFERROR(INDEX(Crosswalk_API!$H$2:$H$527, MATCH(POTABLE_NONPOTABLE_API[[#This Row],[PWSID]], CW_PWSID_LIST, 0)), "")</f>
        <v>No</v>
      </c>
    </row>
    <row r="5096" spans="1:24" x14ac:dyDescent="0.25">
      <c r="A5096" t="s">
        <v>2223</v>
      </c>
      <c r="B5096" t="s">
        <v>2224</v>
      </c>
      <c r="C5096" t="s">
        <v>2225</v>
      </c>
      <c r="D5096" t="s">
        <v>2226</v>
      </c>
      <c r="E5096" s="9">
        <v>45292</v>
      </c>
      <c r="F5096" s="9">
        <v>45322</v>
      </c>
      <c r="G5096">
        <v>51327587.980000004</v>
      </c>
      <c r="H5096">
        <v>0</v>
      </c>
      <c r="I5096">
        <v>61648461.424000002</v>
      </c>
      <c r="J5096">
        <v>0</v>
      </c>
      <c r="K5096">
        <v>0</v>
      </c>
      <c r="L5096">
        <v>0</v>
      </c>
      <c r="M5096">
        <v>0</v>
      </c>
      <c r="N5096">
        <v>0</v>
      </c>
      <c r="O5096">
        <v>0</v>
      </c>
      <c r="P5096">
        <v>0</v>
      </c>
      <c r="Q5096">
        <v>38208252.004000001</v>
      </c>
      <c r="R5096">
        <v>0</v>
      </c>
      <c r="T5096" s="9">
        <v>45108</v>
      </c>
      <c r="U5096" s="9">
        <v>45473</v>
      </c>
      <c r="V5096">
        <f>SUM(POTABLE_NONPOTABLE_API[[#This Row],[RESIDENTIAL_SINGLEFAMILY_GAL]:[OTHER_GAL]])</f>
        <v>112976049.40400001</v>
      </c>
      <c r="W5096">
        <f>SUM(POTABLE_NONPOTABLE_API[[#This Row],[NONPOTABLE_DEMAND_RESIDENTIAL_RECYCLED_WATER_GAL]:[NONPOTABLE_DEMAND_NONRESIDENTIAL_METERED_IRRIGATION_GAL]])</f>
        <v>38208252.004000001</v>
      </c>
      <c r="X5096" t="str">
        <f>IFERROR(INDEX(Crosswalk_API!$H$2:$H$527, MATCH(POTABLE_NONPOTABLE_API[[#This Row],[PWSID]], CW_PWSID_LIST, 0)), "")</f>
        <v>No</v>
      </c>
    </row>
    <row r="5097" spans="1:24" x14ac:dyDescent="0.25">
      <c r="A5097" t="s">
        <v>2223</v>
      </c>
      <c r="B5097" t="s">
        <v>2224</v>
      </c>
      <c r="C5097" t="s">
        <v>2225</v>
      </c>
      <c r="D5097" t="s">
        <v>2226</v>
      </c>
      <c r="E5097" s="9">
        <v>45323</v>
      </c>
      <c r="F5097" s="9">
        <v>45351</v>
      </c>
      <c r="G5097">
        <v>24956510.824000001</v>
      </c>
      <c r="H5097">
        <v>0</v>
      </c>
      <c r="I5097">
        <v>84018956.483999997</v>
      </c>
      <c r="J5097">
        <v>0</v>
      </c>
      <c r="K5097">
        <v>0</v>
      </c>
      <c r="L5097">
        <v>0</v>
      </c>
      <c r="M5097">
        <v>0</v>
      </c>
      <c r="N5097">
        <v>0</v>
      </c>
      <c r="O5097">
        <v>0</v>
      </c>
      <c r="P5097">
        <v>0</v>
      </c>
      <c r="Q5097">
        <v>12676489.192</v>
      </c>
      <c r="R5097">
        <v>0</v>
      </c>
      <c r="S5097">
        <v>0</v>
      </c>
      <c r="T5097" s="9">
        <v>45108</v>
      </c>
      <c r="U5097" s="9">
        <v>45473</v>
      </c>
      <c r="V5097">
        <f>SUM(POTABLE_NONPOTABLE_API[[#This Row],[RESIDENTIAL_SINGLEFAMILY_GAL]:[OTHER_GAL]])</f>
        <v>108975467.308</v>
      </c>
      <c r="W5097">
        <f>SUM(POTABLE_NONPOTABLE_API[[#This Row],[NONPOTABLE_DEMAND_RESIDENTIAL_RECYCLED_WATER_GAL]:[NONPOTABLE_DEMAND_NONRESIDENTIAL_METERED_IRRIGATION_GAL]])</f>
        <v>12676489.192</v>
      </c>
      <c r="X5097" t="str">
        <f>IFERROR(INDEX(Crosswalk_API!$H$2:$H$527, MATCH(POTABLE_NONPOTABLE_API[[#This Row],[PWSID]], CW_PWSID_LIST, 0)), "")</f>
        <v>No</v>
      </c>
    </row>
    <row r="5098" spans="1:24" x14ac:dyDescent="0.25">
      <c r="A5098" t="s">
        <v>2223</v>
      </c>
      <c r="B5098" t="s">
        <v>2224</v>
      </c>
      <c r="C5098" t="s">
        <v>2225</v>
      </c>
      <c r="D5098" t="s">
        <v>2226</v>
      </c>
      <c r="E5098" s="9">
        <v>45352</v>
      </c>
      <c r="F5098" s="9">
        <v>45382</v>
      </c>
      <c r="G5098">
        <v>36442849.284000002</v>
      </c>
      <c r="H5098">
        <v>0</v>
      </c>
      <c r="I5098">
        <v>61896814.688000001</v>
      </c>
      <c r="J5098">
        <v>0</v>
      </c>
      <c r="K5098">
        <v>0</v>
      </c>
      <c r="L5098">
        <v>0</v>
      </c>
      <c r="M5098">
        <v>0</v>
      </c>
      <c r="N5098">
        <v>0</v>
      </c>
      <c r="O5098">
        <v>0</v>
      </c>
      <c r="P5098">
        <v>0</v>
      </c>
      <c r="Q5098">
        <v>13090910</v>
      </c>
      <c r="R5098">
        <v>0</v>
      </c>
      <c r="S5098">
        <v>0</v>
      </c>
      <c r="T5098" s="9">
        <v>45108</v>
      </c>
      <c r="U5098" s="9">
        <v>45473</v>
      </c>
      <c r="V5098">
        <f>SUM(POTABLE_NONPOTABLE_API[[#This Row],[RESIDENTIAL_SINGLEFAMILY_GAL]:[OTHER_GAL]])</f>
        <v>98339663.972000003</v>
      </c>
      <c r="W5098">
        <f>SUM(POTABLE_NONPOTABLE_API[[#This Row],[NONPOTABLE_DEMAND_RESIDENTIAL_RECYCLED_WATER_GAL]:[NONPOTABLE_DEMAND_NONRESIDENTIAL_METERED_IRRIGATION_GAL]])</f>
        <v>13090910</v>
      </c>
      <c r="X5098" t="str">
        <f>IFERROR(INDEX(Crosswalk_API!$H$2:$H$527, MATCH(POTABLE_NONPOTABLE_API[[#This Row],[PWSID]], CW_PWSID_LIST, 0)), "")</f>
        <v>No</v>
      </c>
    </row>
    <row r="5099" spans="1:24" x14ac:dyDescent="0.25">
      <c r="A5099" t="s">
        <v>2223</v>
      </c>
      <c r="B5099" t="s">
        <v>2224</v>
      </c>
      <c r="C5099" t="s">
        <v>2225</v>
      </c>
      <c r="D5099" t="s">
        <v>2226</v>
      </c>
      <c r="E5099" s="9">
        <v>45383</v>
      </c>
      <c r="F5099" s="9">
        <v>45412</v>
      </c>
      <c r="G5099">
        <v>19120209.120000001</v>
      </c>
      <c r="H5099">
        <v>0</v>
      </c>
      <c r="I5099">
        <v>131251707.816</v>
      </c>
      <c r="J5099">
        <v>0</v>
      </c>
      <c r="K5099">
        <v>0</v>
      </c>
      <c r="L5099">
        <v>0</v>
      </c>
      <c r="M5099">
        <v>0</v>
      </c>
      <c r="N5099">
        <v>0</v>
      </c>
      <c r="O5099">
        <v>0</v>
      </c>
      <c r="P5099">
        <v>0</v>
      </c>
      <c r="Q5099">
        <v>24137393.884</v>
      </c>
      <c r="R5099">
        <v>0</v>
      </c>
      <c r="S5099">
        <v>0</v>
      </c>
      <c r="T5099" s="9">
        <v>45108</v>
      </c>
      <c r="U5099" s="9">
        <v>45473</v>
      </c>
      <c r="V5099">
        <f>SUM(POTABLE_NONPOTABLE_API[[#This Row],[RESIDENTIAL_SINGLEFAMILY_GAL]:[OTHER_GAL]])</f>
        <v>150371916.93599999</v>
      </c>
      <c r="W5099">
        <f>SUM(POTABLE_NONPOTABLE_API[[#This Row],[NONPOTABLE_DEMAND_RESIDENTIAL_RECYCLED_WATER_GAL]:[NONPOTABLE_DEMAND_NONRESIDENTIAL_METERED_IRRIGATION_GAL]])</f>
        <v>24137393.884</v>
      </c>
      <c r="X5099" t="str">
        <f>IFERROR(INDEX(Crosswalk_API!$H$2:$H$527, MATCH(POTABLE_NONPOTABLE_API[[#This Row],[PWSID]], CW_PWSID_LIST, 0)), "")</f>
        <v>No</v>
      </c>
    </row>
    <row r="5100" spans="1:24" x14ac:dyDescent="0.25">
      <c r="A5100" t="s">
        <v>2223</v>
      </c>
      <c r="B5100" t="s">
        <v>2224</v>
      </c>
      <c r="C5100" t="s">
        <v>2225</v>
      </c>
      <c r="D5100" t="s">
        <v>2226</v>
      </c>
      <c r="E5100" s="9">
        <v>45413</v>
      </c>
      <c r="F5100" s="9">
        <v>45443</v>
      </c>
      <c r="G5100">
        <v>19120209.120000001</v>
      </c>
      <c r="H5100">
        <v>0</v>
      </c>
      <c r="I5100">
        <v>131251707.816</v>
      </c>
      <c r="J5100">
        <v>0</v>
      </c>
      <c r="K5100">
        <v>0</v>
      </c>
      <c r="L5100">
        <v>0</v>
      </c>
      <c r="M5100">
        <v>0</v>
      </c>
      <c r="N5100">
        <v>0</v>
      </c>
      <c r="O5100">
        <v>0</v>
      </c>
      <c r="P5100">
        <v>0</v>
      </c>
      <c r="Q5100">
        <v>24003492.576000001</v>
      </c>
      <c r="R5100">
        <v>0</v>
      </c>
      <c r="S5100">
        <v>0</v>
      </c>
      <c r="T5100" s="9">
        <v>45108</v>
      </c>
      <c r="U5100" s="9">
        <v>45473</v>
      </c>
      <c r="V5100">
        <f>SUM(POTABLE_NONPOTABLE_API[[#This Row],[RESIDENTIAL_SINGLEFAMILY_GAL]:[OTHER_GAL]])</f>
        <v>150371916.93599999</v>
      </c>
      <c r="W5100">
        <f>SUM(POTABLE_NONPOTABLE_API[[#This Row],[NONPOTABLE_DEMAND_RESIDENTIAL_RECYCLED_WATER_GAL]:[NONPOTABLE_DEMAND_NONRESIDENTIAL_METERED_IRRIGATION_GAL]])</f>
        <v>24003492.576000001</v>
      </c>
      <c r="X5100" t="str">
        <f>IFERROR(INDEX(Crosswalk_API!$H$2:$H$527, MATCH(POTABLE_NONPOTABLE_API[[#This Row],[PWSID]], CW_PWSID_LIST, 0)), "")</f>
        <v>No</v>
      </c>
    </row>
    <row r="5101" spans="1:24" x14ac:dyDescent="0.25">
      <c r="A5101" t="s">
        <v>2223</v>
      </c>
      <c r="B5101" t="s">
        <v>2224</v>
      </c>
      <c r="C5101" t="s">
        <v>2225</v>
      </c>
      <c r="D5101" t="s">
        <v>2226</v>
      </c>
      <c r="E5101" s="9">
        <v>45444</v>
      </c>
      <c r="F5101" s="9">
        <v>45473</v>
      </c>
      <c r="G5101">
        <v>27652490.232000001</v>
      </c>
      <c r="H5101">
        <v>0</v>
      </c>
      <c r="I5101">
        <v>124413764.484</v>
      </c>
      <c r="J5101">
        <v>0</v>
      </c>
      <c r="K5101">
        <v>0</v>
      </c>
      <c r="L5101">
        <v>0</v>
      </c>
      <c r="M5101">
        <v>0</v>
      </c>
      <c r="N5101">
        <v>0</v>
      </c>
      <c r="O5101">
        <v>0</v>
      </c>
      <c r="P5101">
        <v>0</v>
      </c>
      <c r="Q5101">
        <v>0</v>
      </c>
      <c r="R5101">
        <v>0</v>
      </c>
      <c r="S5101">
        <v>0</v>
      </c>
      <c r="T5101" s="9">
        <v>45108</v>
      </c>
      <c r="U5101" s="9">
        <v>45473</v>
      </c>
      <c r="V5101">
        <f>SUM(POTABLE_NONPOTABLE_API[[#This Row],[RESIDENTIAL_SINGLEFAMILY_GAL]:[OTHER_GAL]])</f>
        <v>152066254.71599999</v>
      </c>
      <c r="W5101">
        <f>SUM(POTABLE_NONPOTABLE_API[[#This Row],[NONPOTABLE_DEMAND_RESIDENTIAL_RECYCLED_WATER_GAL]:[NONPOTABLE_DEMAND_NONRESIDENTIAL_METERED_IRRIGATION_GAL]])</f>
        <v>0</v>
      </c>
      <c r="X5101" t="str">
        <f>IFERROR(INDEX(Crosswalk_API!$H$2:$H$527, MATCH(POTABLE_NONPOTABLE_API[[#This Row],[PWSID]], CW_PWSID_LIST, 0)), "")</f>
        <v>No</v>
      </c>
    </row>
    <row r="5102" spans="1:24" x14ac:dyDescent="0.25">
      <c r="A5102" t="s">
        <v>2227</v>
      </c>
      <c r="B5102" t="s">
        <v>2228</v>
      </c>
      <c r="C5102" t="s">
        <v>2231</v>
      </c>
      <c r="D5102" t="s">
        <v>2232</v>
      </c>
      <c r="E5102" s="9">
        <v>45108</v>
      </c>
      <c r="F5102" s="9">
        <v>45138</v>
      </c>
      <c r="G5102">
        <v>92267969.160000011</v>
      </c>
      <c r="H5102">
        <v>25523908.829999998</v>
      </c>
      <c r="I5102">
        <v>20199503.490000002</v>
      </c>
      <c r="J5102">
        <v>41992418.370000005</v>
      </c>
      <c r="K5102">
        <v>0</v>
      </c>
      <c r="L5102">
        <v>74945.73000000001</v>
      </c>
      <c r="M5102">
        <v>1997466.63</v>
      </c>
      <c r="N5102">
        <v>0</v>
      </c>
      <c r="O5102">
        <v>0</v>
      </c>
      <c r="P5102">
        <v>0</v>
      </c>
      <c r="Q5102">
        <v>6295441.3200000003</v>
      </c>
      <c r="R5102">
        <v>0</v>
      </c>
      <c r="S5102">
        <v>25253452.5</v>
      </c>
      <c r="T5102" s="9">
        <v>45108</v>
      </c>
      <c r="U5102" s="9">
        <v>45473</v>
      </c>
      <c r="V5102">
        <f>SUM(POTABLE_NONPOTABLE_API[[#This Row],[RESIDENTIAL_SINGLEFAMILY_GAL]:[OTHER_GAL]])</f>
        <v>180058745.58000001</v>
      </c>
      <c r="W5102">
        <f>SUM(POTABLE_NONPOTABLE_API[[#This Row],[NONPOTABLE_DEMAND_RESIDENTIAL_RECYCLED_WATER_GAL]:[NONPOTABLE_DEMAND_NONRESIDENTIAL_METERED_IRRIGATION_GAL]])</f>
        <v>31548893.82</v>
      </c>
      <c r="X5102" t="str">
        <f>IFERROR(INDEX(Crosswalk_API!$H$2:$H$527, MATCH(POTABLE_NONPOTABLE_API[[#This Row],[PWSID]], CW_PWSID_LIST, 0)), "")</f>
        <v>No</v>
      </c>
    </row>
    <row r="5103" spans="1:24" x14ac:dyDescent="0.25">
      <c r="A5103" t="s">
        <v>2227</v>
      </c>
      <c r="B5103" t="s">
        <v>2228</v>
      </c>
      <c r="C5103" t="s">
        <v>2231</v>
      </c>
      <c r="D5103" t="s">
        <v>2232</v>
      </c>
      <c r="E5103" s="9">
        <v>45139</v>
      </c>
      <c r="F5103" s="9">
        <v>45169</v>
      </c>
      <c r="G5103">
        <v>124233952.25999999</v>
      </c>
      <c r="H5103">
        <v>33122754.150000002</v>
      </c>
      <c r="I5103">
        <v>31776989.52</v>
      </c>
      <c r="J5103">
        <v>59614440.449999996</v>
      </c>
      <c r="K5103">
        <v>0</v>
      </c>
      <c r="L5103">
        <v>13034.04</v>
      </c>
      <c r="M5103">
        <v>1831282.62</v>
      </c>
      <c r="N5103">
        <v>0</v>
      </c>
      <c r="O5103">
        <v>0</v>
      </c>
      <c r="P5103">
        <v>0</v>
      </c>
      <c r="Q5103">
        <v>3326938.7100000004</v>
      </c>
      <c r="R5103">
        <v>0</v>
      </c>
      <c r="S5103">
        <v>30489878.069999997</v>
      </c>
      <c r="T5103" s="9">
        <v>45108</v>
      </c>
      <c r="U5103" s="9">
        <v>45473</v>
      </c>
      <c r="V5103">
        <f>SUM(POTABLE_NONPOTABLE_API[[#This Row],[RESIDENTIAL_SINGLEFAMILY_GAL]:[OTHER_GAL]])</f>
        <v>248761170.41999999</v>
      </c>
      <c r="W5103">
        <f>SUM(POTABLE_NONPOTABLE_API[[#This Row],[NONPOTABLE_DEMAND_RESIDENTIAL_RECYCLED_WATER_GAL]:[NONPOTABLE_DEMAND_NONRESIDENTIAL_METERED_IRRIGATION_GAL]])</f>
        <v>33816816.779999994</v>
      </c>
      <c r="X5103" t="str">
        <f>IFERROR(INDEX(Crosswalk_API!$H$2:$H$527, MATCH(POTABLE_NONPOTABLE_API[[#This Row],[PWSID]], CW_PWSID_LIST, 0)), "")</f>
        <v>No</v>
      </c>
    </row>
    <row r="5104" spans="1:24" x14ac:dyDescent="0.25">
      <c r="A5104" t="s">
        <v>2227</v>
      </c>
      <c r="B5104" t="s">
        <v>2228</v>
      </c>
      <c r="C5104" t="s">
        <v>2231</v>
      </c>
      <c r="D5104" t="s">
        <v>2232</v>
      </c>
      <c r="E5104" s="9">
        <v>45170</v>
      </c>
      <c r="F5104" s="9">
        <v>45199</v>
      </c>
      <c r="G5104">
        <v>84959131.230000004</v>
      </c>
      <c r="H5104">
        <v>23998926.150000002</v>
      </c>
      <c r="I5104">
        <v>20525354.490000002</v>
      </c>
      <c r="J5104">
        <v>38887058.340000004</v>
      </c>
      <c r="K5104">
        <v>0</v>
      </c>
      <c r="L5104">
        <v>6842.8710000000001</v>
      </c>
      <c r="M5104">
        <v>1397900.79</v>
      </c>
      <c r="N5104">
        <v>0</v>
      </c>
      <c r="O5104">
        <v>0</v>
      </c>
      <c r="P5104">
        <v>0</v>
      </c>
      <c r="Q5104">
        <v>2991312.1799999997</v>
      </c>
      <c r="R5104">
        <v>0</v>
      </c>
      <c r="S5104">
        <v>10661844.719999999</v>
      </c>
      <c r="T5104" s="9">
        <v>45108</v>
      </c>
      <c r="U5104" s="9">
        <v>45473</v>
      </c>
      <c r="V5104">
        <f>SUM(POTABLE_NONPOTABLE_API[[#This Row],[RESIDENTIAL_SINGLEFAMILY_GAL]:[OTHER_GAL]])</f>
        <v>168377313.081</v>
      </c>
      <c r="W5104">
        <f>SUM(POTABLE_NONPOTABLE_API[[#This Row],[NONPOTABLE_DEMAND_RESIDENTIAL_RECYCLED_WATER_GAL]:[NONPOTABLE_DEMAND_NONRESIDENTIAL_METERED_IRRIGATION_GAL]])</f>
        <v>13653156.899999999</v>
      </c>
      <c r="X5104" t="str">
        <f>IFERROR(INDEX(Crosswalk_API!$H$2:$H$527, MATCH(POTABLE_NONPOTABLE_API[[#This Row],[PWSID]], CW_PWSID_LIST, 0)), "")</f>
        <v>No</v>
      </c>
    </row>
    <row r="5105" spans="1:24" x14ac:dyDescent="0.25">
      <c r="A5105" t="s">
        <v>2227</v>
      </c>
      <c r="B5105" t="s">
        <v>2228</v>
      </c>
      <c r="C5105" t="s">
        <v>2231</v>
      </c>
      <c r="D5105" t="s">
        <v>2232</v>
      </c>
      <c r="E5105" s="9">
        <v>45200</v>
      </c>
      <c r="F5105" s="9">
        <v>45230</v>
      </c>
      <c r="G5105">
        <v>86575352.189999998</v>
      </c>
      <c r="H5105">
        <v>24738607.920000002</v>
      </c>
      <c r="I5105">
        <v>21564819.180000003</v>
      </c>
      <c r="J5105">
        <v>38215805.280000001</v>
      </c>
      <c r="K5105">
        <v>0</v>
      </c>
      <c r="L5105">
        <v>18573.507000000001</v>
      </c>
      <c r="M5105">
        <v>1736785.83</v>
      </c>
      <c r="N5105">
        <v>0</v>
      </c>
      <c r="O5105">
        <v>0</v>
      </c>
      <c r="P5105">
        <v>0</v>
      </c>
      <c r="Q5105">
        <v>1925779.4100000001</v>
      </c>
      <c r="R5105">
        <v>0</v>
      </c>
      <c r="S5105">
        <v>20323326.869999997</v>
      </c>
      <c r="T5105" s="9">
        <v>45108</v>
      </c>
      <c r="U5105" s="9">
        <v>45473</v>
      </c>
      <c r="V5105">
        <f>SUM(POTABLE_NONPOTABLE_API[[#This Row],[RESIDENTIAL_SINGLEFAMILY_GAL]:[OTHER_GAL]])</f>
        <v>171113158.07699999</v>
      </c>
      <c r="W5105">
        <f>SUM(POTABLE_NONPOTABLE_API[[#This Row],[NONPOTABLE_DEMAND_RESIDENTIAL_RECYCLED_WATER_GAL]:[NONPOTABLE_DEMAND_NONRESIDENTIAL_METERED_IRRIGATION_GAL]])</f>
        <v>22249106.279999997</v>
      </c>
      <c r="X5105" t="str">
        <f>IFERROR(INDEX(Crosswalk_API!$H$2:$H$527, MATCH(POTABLE_NONPOTABLE_API[[#This Row],[PWSID]], CW_PWSID_LIST, 0)), "")</f>
        <v>No</v>
      </c>
    </row>
    <row r="5106" spans="1:24" x14ac:dyDescent="0.25">
      <c r="A5106" t="s">
        <v>2227</v>
      </c>
      <c r="B5106" t="s">
        <v>2228</v>
      </c>
      <c r="C5106" t="s">
        <v>2231</v>
      </c>
      <c r="D5106" t="s">
        <v>2232</v>
      </c>
      <c r="E5106" s="9">
        <v>45231</v>
      </c>
      <c r="F5106" s="9">
        <v>45260</v>
      </c>
      <c r="G5106">
        <v>103174202.13</v>
      </c>
      <c r="H5106">
        <v>30845055.66</v>
      </c>
      <c r="I5106">
        <v>27381259.530000001</v>
      </c>
      <c r="J5106">
        <v>44465627.460000001</v>
      </c>
      <c r="K5106">
        <v>0</v>
      </c>
      <c r="L5106">
        <v>20202.761999999999</v>
      </c>
      <c r="M5106">
        <v>2033310.24</v>
      </c>
      <c r="N5106">
        <v>0</v>
      </c>
      <c r="O5106">
        <v>0</v>
      </c>
      <c r="P5106">
        <v>0</v>
      </c>
      <c r="Q5106">
        <v>1586894.37</v>
      </c>
      <c r="R5106">
        <v>0</v>
      </c>
      <c r="S5106">
        <v>19156780.289999999</v>
      </c>
      <c r="T5106" s="9">
        <v>45108</v>
      </c>
      <c r="U5106" s="9">
        <v>45473</v>
      </c>
      <c r="V5106">
        <f>SUM(POTABLE_NONPOTABLE_API[[#This Row],[RESIDENTIAL_SINGLEFAMILY_GAL]:[OTHER_GAL]])</f>
        <v>205886347.542</v>
      </c>
      <c r="W5106">
        <f>SUM(POTABLE_NONPOTABLE_API[[#This Row],[NONPOTABLE_DEMAND_RESIDENTIAL_RECYCLED_WATER_GAL]:[NONPOTABLE_DEMAND_NONRESIDENTIAL_METERED_IRRIGATION_GAL]])</f>
        <v>20743674.66</v>
      </c>
      <c r="X5106" t="str">
        <f>IFERROR(INDEX(Crosswalk_API!$H$2:$H$527, MATCH(POTABLE_NONPOTABLE_API[[#This Row],[PWSID]], CW_PWSID_LIST, 0)), "")</f>
        <v>No</v>
      </c>
    </row>
    <row r="5107" spans="1:24" x14ac:dyDescent="0.25">
      <c r="A5107" t="s">
        <v>2227</v>
      </c>
      <c r="B5107" t="s">
        <v>2228</v>
      </c>
      <c r="C5107" t="s">
        <v>2231</v>
      </c>
      <c r="D5107" t="s">
        <v>2232</v>
      </c>
      <c r="E5107" s="9">
        <v>45261</v>
      </c>
      <c r="F5107" s="9">
        <v>45291</v>
      </c>
      <c r="G5107">
        <v>71289681.780000001</v>
      </c>
      <c r="H5107">
        <v>24207470.790000003</v>
      </c>
      <c r="I5107">
        <v>18280241.100000001</v>
      </c>
      <c r="J5107">
        <v>26781693.689999998</v>
      </c>
      <c r="K5107">
        <v>0</v>
      </c>
      <c r="L5107">
        <v>9775.5299999999988</v>
      </c>
      <c r="M5107">
        <v>1326213.57</v>
      </c>
      <c r="N5107">
        <v>0</v>
      </c>
      <c r="O5107">
        <v>0</v>
      </c>
      <c r="P5107">
        <v>0</v>
      </c>
      <c r="Q5107">
        <v>303041.43</v>
      </c>
      <c r="R5107">
        <v>0</v>
      </c>
      <c r="S5107">
        <v>10208911.83</v>
      </c>
      <c r="T5107" s="9">
        <v>45108</v>
      </c>
      <c r="U5107" s="9">
        <v>45473</v>
      </c>
      <c r="V5107">
        <f>SUM(POTABLE_NONPOTABLE_API[[#This Row],[RESIDENTIAL_SINGLEFAMILY_GAL]:[OTHER_GAL]])</f>
        <v>140568862.89000002</v>
      </c>
      <c r="W5107">
        <f>SUM(POTABLE_NONPOTABLE_API[[#This Row],[NONPOTABLE_DEMAND_RESIDENTIAL_RECYCLED_WATER_GAL]:[NONPOTABLE_DEMAND_NONRESIDENTIAL_METERED_IRRIGATION_GAL]])</f>
        <v>10511953.26</v>
      </c>
      <c r="X5107" t="str">
        <f>IFERROR(INDEX(Crosswalk_API!$H$2:$H$527, MATCH(POTABLE_NONPOTABLE_API[[#This Row],[PWSID]], CW_PWSID_LIST, 0)), "")</f>
        <v>No</v>
      </c>
    </row>
    <row r="5108" spans="1:24" x14ac:dyDescent="0.25">
      <c r="A5108" t="s">
        <v>2227</v>
      </c>
      <c r="B5108" t="s">
        <v>2228</v>
      </c>
      <c r="C5108" t="s">
        <v>2231</v>
      </c>
      <c r="D5108" t="s">
        <v>2232</v>
      </c>
      <c r="E5108" s="9">
        <v>45292</v>
      </c>
      <c r="F5108" s="9">
        <v>45322</v>
      </c>
      <c r="G5108">
        <v>66740801.82</v>
      </c>
      <c r="H5108">
        <v>28515221.010000002</v>
      </c>
      <c r="I5108">
        <v>18423615.539999999</v>
      </c>
      <c r="J5108">
        <v>12033677.43</v>
      </c>
      <c r="K5108">
        <v>0</v>
      </c>
      <c r="L5108">
        <v>3258.51</v>
      </c>
      <c r="M5108">
        <v>537654.15</v>
      </c>
      <c r="N5108">
        <v>0</v>
      </c>
      <c r="O5108">
        <v>0</v>
      </c>
      <c r="P5108">
        <v>0</v>
      </c>
      <c r="Q5108">
        <v>338885.04000000004</v>
      </c>
      <c r="R5108">
        <v>0</v>
      </c>
      <c r="S5108">
        <v>6627809.3399999999</v>
      </c>
      <c r="T5108" s="9">
        <v>45108</v>
      </c>
      <c r="U5108" s="9">
        <v>45473</v>
      </c>
      <c r="V5108">
        <f>SUM(POTABLE_NONPOTABLE_API[[#This Row],[RESIDENTIAL_SINGLEFAMILY_GAL]:[OTHER_GAL]])</f>
        <v>125716574.31000002</v>
      </c>
      <c r="W5108">
        <f>SUM(POTABLE_NONPOTABLE_API[[#This Row],[NONPOTABLE_DEMAND_RESIDENTIAL_RECYCLED_WATER_GAL]:[NONPOTABLE_DEMAND_NONRESIDENTIAL_METERED_IRRIGATION_GAL]])</f>
        <v>6966694.3799999999</v>
      </c>
      <c r="X5108" t="str">
        <f>IFERROR(INDEX(Crosswalk_API!$H$2:$H$527, MATCH(POTABLE_NONPOTABLE_API[[#This Row],[PWSID]], CW_PWSID_LIST, 0)), "")</f>
        <v>No</v>
      </c>
    </row>
    <row r="5109" spans="1:24" x14ac:dyDescent="0.25">
      <c r="A5109" t="s">
        <v>2227</v>
      </c>
      <c r="B5109" t="s">
        <v>2228</v>
      </c>
      <c r="C5109" t="s">
        <v>2231</v>
      </c>
      <c r="D5109" t="s">
        <v>2232</v>
      </c>
      <c r="E5109" s="9">
        <v>45323</v>
      </c>
      <c r="F5109" s="9">
        <v>45351</v>
      </c>
      <c r="G5109">
        <v>42383439.57</v>
      </c>
      <c r="H5109">
        <v>22718331.719999999</v>
      </c>
      <c r="I5109">
        <v>13786755.810000001</v>
      </c>
      <c r="J5109">
        <v>4255614.0600000005</v>
      </c>
      <c r="K5109">
        <v>0</v>
      </c>
      <c r="L5109">
        <v>4561.9139999999998</v>
      </c>
      <c r="M5109">
        <v>78204.239999999991</v>
      </c>
      <c r="N5109">
        <v>0</v>
      </c>
      <c r="O5109">
        <v>0</v>
      </c>
      <c r="P5109">
        <v>0</v>
      </c>
      <c r="Q5109">
        <v>143374.44</v>
      </c>
      <c r="R5109">
        <v>0</v>
      </c>
      <c r="S5109">
        <v>1821507.0899999999</v>
      </c>
      <c r="T5109" s="9">
        <v>45108</v>
      </c>
      <c r="U5109" s="9">
        <v>45473</v>
      </c>
      <c r="V5109">
        <f>SUM(POTABLE_NONPOTABLE_API[[#This Row],[RESIDENTIAL_SINGLEFAMILY_GAL]:[OTHER_GAL]])</f>
        <v>83148703.074000001</v>
      </c>
      <c r="W5109">
        <f>SUM(POTABLE_NONPOTABLE_API[[#This Row],[NONPOTABLE_DEMAND_RESIDENTIAL_RECYCLED_WATER_GAL]:[NONPOTABLE_DEMAND_NONRESIDENTIAL_METERED_IRRIGATION_GAL]])</f>
        <v>1964881.5299999998</v>
      </c>
      <c r="X5109" t="str">
        <f>IFERROR(INDEX(Crosswalk_API!$H$2:$H$527, MATCH(POTABLE_NONPOTABLE_API[[#This Row],[PWSID]], CW_PWSID_LIST, 0)), "")</f>
        <v>No</v>
      </c>
    </row>
    <row r="5110" spans="1:24" x14ac:dyDescent="0.25">
      <c r="A5110" t="s">
        <v>2227</v>
      </c>
      <c r="B5110" t="s">
        <v>2228</v>
      </c>
      <c r="C5110" t="s">
        <v>2231</v>
      </c>
      <c r="D5110" t="s">
        <v>2232</v>
      </c>
      <c r="E5110" s="9">
        <v>45352</v>
      </c>
      <c r="F5110" s="9">
        <v>45382</v>
      </c>
      <c r="G5110">
        <v>41513417.399999999</v>
      </c>
      <c r="H5110">
        <v>23008339.109999999</v>
      </c>
      <c r="I5110">
        <v>14373287.609999999</v>
      </c>
      <c r="J5110">
        <v>5428677.6600000001</v>
      </c>
      <c r="K5110">
        <v>0</v>
      </c>
      <c r="L5110">
        <v>7494.5730000000003</v>
      </c>
      <c r="M5110">
        <v>834178.56000000006</v>
      </c>
      <c r="N5110">
        <v>0</v>
      </c>
      <c r="O5110">
        <v>0</v>
      </c>
      <c r="P5110">
        <v>0</v>
      </c>
      <c r="Q5110">
        <v>912382.79999999993</v>
      </c>
      <c r="R5110">
        <v>0</v>
      </c>
      <c r="S5110">
        <v>3427952.52</v>
      </c>
      <c r="T5110" s="9">
        <v>45108</v>
      </c>
      <c r="U5110" s="9">
        <v>45473</v>
      </c>
      <c r="V5110">
        <f>SUM(POTABLE_NONPOTABLE_API[[#This Row],[RESIDENTIAL_SINGLEFAMILY_GAL]:[OTHER_GAL]])</f>
        <v>84331216.353</v>
      </c>
      <c r="W5110">
        <f>SUM(POTABLE_NONPOTABLE_API[[#This Row],[NONPOTABLE_DEMAND_RESIDENTIAL_RECYCLED_WATER_GAL]:[NONPOTABLE_DEMAND_NONRESIDENTIAL_METERED_IRRIGATION_GAL]])</f>
        <v>4340335.32</v>
      </c>
      <c r="X5110" t="str">
        <f>IFERROR(INDEX(Crosswalk_API!$H$2:$H$527, MATCH(POTABLE_NONPOTABLE_API[[#This Row],[PWSID]], CW_PWSID_LIST, 0)), "")</f>
        <v>No</v>
      </c>
    </row>
    <row r="5111" spans="1:24" x14ac:dyDescent="0.25">
      <c r="A5111" t="s">
        <v>2227</v>
      </c>
      <c r="B5111" t="s">
        <v>2228</v>
      </c>
      <c r="C5111" t="s">
        <v>2231</v>
      </c>
      <c r="D5111" t="s">
        <v>2232</v>
      </c>
      <c r="E5111" s="9">
        <v>45383</v>
      </c>
      <c r="F5111" s="9">
        <v>45412</v>
      </c>
      <c r="G5111">
        <v>51178158.060000002</v>
      </c>
      <c r="H5111">
        <v>23141938.02</v>
      </c>
      <c r="I5111">
        <v>14865322.619999999</v>
      </c>
      <c r="J5111">
        <v>12056487</v>
      </c>
      <c r="K5111">
        <v>0</v>
      </c>
      <c r="L5111">
        <v>18573.507000000001</v>
      </c>
      <c r="M5111">
        <v>1169805.0899999999</v>
      </c>
      <c r="N5111">
        <v>0</v>
      </c>
      <c r="O5111">
        <v>0</v>
      </c>
      <c r="P5111">
        <v>0</v>
      </c>
      <c r="Q5111">
        <v>681028.59</v>
      </c>
      <c r="R5111">
        <v>0</v>
      </c>
      <c r="S5111">
        <v>6354094.5</v>
      </c>
      <c r="T5111" s="9">
        <v>45108</v>
      </c>
      <c r="U5111" s="9">
        <v>45473</v>
      </c>
      <c r="V5111">
        <f>SUM(POTABLE_NONPOTABLE_API[[#This Row],[RESIDENTIAL_SINGLEFAMILY_GAL]:[OTHER_GAL]])</f>
        <v>101260479.207</v>
      </c>
      <c r="W5111">
        <f>SUM(POTABLE_NONPOTABLE_API[[#This Row],[NONPOTABLE_DEMAND_RESIDENTIAL_RECYCLED_WATER_GAL]:[NONPOTABLE_DEMAND_NONRESIDENTIAL_METERED_IRRIGATION_GAL]])</f>
        <v>7035123.0899999999</v>
      </c>
      <c r="X5111" t="str">
        <f>IFERROR(INDEX(Crosswalk_API!$H$2:$H$527, MATCH(POTABLE_NONPOTABLE_API[[#This Row],[PWSID]], CW_PWSID_LIST, 0)), "")</f>
        <v>No</v>
      </c>
    </row>
    <row r="5112" spans="1:24" x14ac:dyDescent="0.25">
      <c r="A5112" t="s">
        <v>2227</v>
      </c>
      <c r="B5112" t="s">
        <v>2228</v>
      </c>
      <c r="C5112" t="s">
        <v>2231</v>
      </c>
      <c r="D5112" t="s">
        <v>2232</v>
      </c>
      <c r="E5112" s="9">
        <v>45413</v>
      </c>
      <c r="F5112" s="9">
        <v>45443</v>
      </c>
      <c r="G5112">
        <v>86806706.399999991</v>
      </c>
      <c r="H5112">
        <v>29616597.390000001</v>
      </c>
      <c r="I5112">
        <v>20307034.32</v>
      </c>
      <c r="J5112">
        <v>30848314.170000002</v>
      </c>
      <c r="K5112">
        <v>0</v>
      </c>
      <c r="L5112">
        <v>19551.059999999998</v>
      </c>
      <c r="M5112">
        <v>2007242.1600000001</v>
      </c>
      <c r="N5112">
        <v>0</v>
      </c>
      <c r="O5112">
        <v>0</v>
      </c>
      <c r="P5112">
        <v>0</v>
      </c>
      <c r="Q5112">
        <v>1397900.79</v>
      </c>
      <c r="R5112">
        <v>0</v>
      </c>
      <c r="S5112">
        <v>13662932.43</v>
      </c>
      <c r="T5112" s="9">
        <v>45108</v>
      </c>
      <c r="U5112" s="9">
        <v>45473</v>
      </c>
      <c r="V5112">
        <f>SUM(POTABLE_NONPOTABLE_API[[#This Row],[RESIDENTIAL_SINGLEFAMILY_GAL]:[OTHER_GAL]])</f>
        <v>167598203.33999997</v>
      </c>
      <c r="W5112">
        <f>SUM(POTABLE_NONPOTABLE_API[[#This Row],[NONPOTABLE_DEMAND_RESIDENTIAL_RECYCLED_WATER_GAL]:[NONPOTABLE_DEMAND_NONRESIDENTIAL_METERED_IRRIGATION_GAL]])</f>
        <v>15060833.219999999</v>
      </c>
      <c r="X5112" t="str">
        <f>IFERROR(INDEX(Crosswalk_API!$H$2:$H$527, MATCH(POTABLE_NONPOTABLE_API[[#This Row],[PWSID]], CW_PWSID_LIST, 0)), "")</f>
        <v>No</v>
      </c>
    </row>
    <row r="5113" spans="1:24" x14ac:dyDescent="0.25">
      <c r="A5113" t="s">
        <v>2227</v>
      </c>
      <c r="B5113" t="s">
        <v>2228</v>
      </c>
      <c r="C5113" t="s">
        <v>2231</v>
      </c>
      <c r="D5113" t="s">
        <v>2232</v>
      </c>
      <c r="E5113" s="9">
        <v>45444</v>
      </c>
      <c r="F5113" s="9">
        <v>45473</v>
      </c>
      <c r="G5113">
        <v>83538420.870000005</v>
      </c>
      <c r="H5113">
        <v>24432307.98</v>
      </c>
      <c r="I5113">
        <v>18615867.630000003</v>
      </c>
      <c r="J5113">
        <v>38828405.159999996</v>
      </c>
      <c r="K5113">
        <v>0</v>
      </c>
      <c r="L5113">
        <v>2932.6589999999997</v>
      </c>
      <c r="M5113">
        <v>2199494.25</v>
      </c>
      <c r="N5113">
        <v>0</v>
      </c>
      <c r="O5113">
        <v>0</v>
      </c>
      <c r="P5113">
        <v>0</v>
      </c>
      <c r="Q5113">
        <v>2235337.8600000003</v>
      </c>
      <c r="R5113">
        <v>0</v>
      </c>
      <c r="S5113">
        <v>17573144.43</v>
      </c>
      <c r="T5113" s="9">
        <v>45108</v>
      </c>
      <c r="U5113" s="9">
        <v>45473</v>
      </c>
      <c r="V5113">
        <f>SUM(POTABLE_NONPOTABLE_API[[#This Row],[RESIDENTIAL_SINGLEFAMILY_GAL]:[OTHER_GAL]])</f>
        <v>165417934.29900002</v>
      </c>
      <c r="W5113">
        <f>SUM(POTABLE_NONPOTABLE_API[[#This Row],[NONPOTABLE_DEMAND_RESIDENTIAL_RECYCLED_WATER_GAL]:[NONPOTABLE_DEMAND_NONRESIDENTIAL_METERED_IRRIGATION_GAL]])</f>
        <v>19808482.289999999</v>
      </c>
      <c r="X5113" t="str">
        <f>IFERROR(INDEX(Crosswalk_API!$H$2:$H$527, MATCH(POTABLE_NONPOTABLE_API[[#This Row],[PWSID]], CW_PWSID_LIST, 0)), "")</f>
        <v>No</v>
      </c>
    </row>
    <row r="5114" spans="1:24" x14ac:dyDescent="0.25">
      <c r="A5114" t="s">
        <v>2227</v>
      </c>
      <c r="B5114" t="s">
        <v>2228</v>
      </c>
      <c r="C5114" t="s">
        <v>2229</v>
      </c>
      <c r="D5114" t="s">
        <v>2230</v>
      </c>
      <c r="E5114" s="9">
        <v>45108</v>
      </c>
      <c r="F5114" s="9">
        <v>45138</v>
      </c>
      <c r="G5114">
        <v>414547642.19999999</v>
      </c>
      <c r="H5114">
        <v>71784975.299999997</v>
      </c>
      <c r="I5114">
        <v>33956932.710000001</v>
      </c>
      <c r="J5114">
        <v>163362140.34</v>
      </c>
      <c r="K5114">
        <v>0</v>
      </c>
      <c r="L5114">
        <v>22809.570000000003</v>
      </c>
      <c r="M5114">
        <v>0</v>
      </c>
      <c r="N5114">
        <v>0</v>
      </c>
      <c r="O5114">
        <v>0</v>
      </c>
      <c r="P5114">
        <v>0</v>
      </c>
      <c r="Q5114">
        <v>14223396.15</v>
      </c>
      <c r="R5114">
        <v>0</v>
      </c>
      <c r="S5114">
        <v>241690203.72</v>
      </c>
      <c r="T5114" s="9">
        <v>45108</v>
      </c>
      <c r="U5114" s="9">
        <v>45473</v>
      </c>
      <c r="V5114">
        <f>SUM(POTABLE_NONPOTABLE_API[[#This Row],[RESIDENTIAL_SINGLEFAMILY_GAL]:[OTHER_GAL]])</f>
        <v>683674500.12</v>
      </c>
      <c r="W5114">
        <f>SUM(POTABLE_NONPOTABLE_API[[#This Row],[NONPOTABLE_DEMAND_RESIDENTIAL_RECYCLED_WATER_GAL]:[NONPOTABLE_DEMAND_NONRESIDENTIAL_METERED_IRRIGATION_GAL]])</f>
        <v>255913599.87</v>
      </c>
      <c r="X5114" t="str">
        <f>IFERROR(INDEX(Crosswalk_API!$H$2:$H$527, MATCH(POTABLE_NONPOTABLE_API[[#This Row],[PWSID]], CW_PWSID_LIST, 0)), "")</f>
        <v>No</v>
      </c>
    </row>
    <row r="5115" spans="1:24" x14ac:dyDescent="0.25">
      <c r="A5115" t="s">
        <v>2227</v>
      </c>
      <c r="B5115" t="s">
        <v>2228</v>
      </c>
      <c r="C5115" t="s">
        <v>2229</v>
      </c>
      <c r="D5115" t="s">
        <v>2230</v>
      </c>
      <c r="E5115" s="9">
        <v>45139</v>
      </c>
      <c r="F5115" s="9">
        <v>45169</v>
      </c>
      <c r="G5115">
        <v>437142150.53999996</v>
      </c>
      <c r="H5115">
        <v>69549637.439999998</v>
      </c>
      <c r="I5115">
        <v>40871490.93</v>
      </c>
      <c r="J5115">
        <v>187810740.87</v>
      </c>
      <c r="K5115">
        <v>0</v>
      </c>
      <c r="L5115">
        <v>26068.080000000002</v>
      </c>
      <c r="M5115">
        <v>0</v>
      </c>
      <c r="N5115">
        <v>0</v>
      </c>
      <c r="O5115">
        <v>0</v>
      </c>
      <c r="P5115">
        <v>0</v>
      </c>
      <c r="Q5115">
        <v>16139400.030000001</v>
      </c>
      <c r="R5115">
        <v>0</v>
      </c>
      <c r="S5115">
        <v>298401311.75999999</v>
      </c>
      <c r="T5115" s="9">
        <v>45108</v>
      </c>
      <c r="U5115" s="9">
        <v>45473</v>
      </c>
      <c r="V5115">
        <f>SUM(POTABLE_NONPOTABLE_API[[#This Row],[RESIDENTIAL_SINGLEFAMILY_GAL]:[OTHER_GAL]])</f>
        <v>735400087.86000001</v>
      </c>
      <c r="W5115">
        <f>SUM(POTABLE_NONPOTABLE_API[[#This Row],[NONPOTABLE_DEMAND_RESIDENTIAL_RECYCLED_WATER_GAL]:[NONPOTABLE_DEMAND_NONRESIDENTIAL_METERED_IRRIGATION_GAL]])</f>
        <v>314540711.78999996</v>
      </c>
      <c r="X5115" t="str">
        <f>IFERROR(INDEX(Crosswalk_API!$H$2:$H$527, MATCH(POTABLE_NONPOTABLE_API[[#This Row],[PWSID]], CW_PWSID_LIST, 0)), "")</f>
        <v>No</v>
      </c>
    </row>
    <row r="5116" spans="1:24" x14ac:dyDescent="0.25">
      <c r="A5116" t="s">
        <v>2227</v>
      </c>
      <c r="B5116" t="s">
        <v>2228</v>
      </c>
      <c r="C5116" t="s">
        <v>2229</v>
      </c>
      <c r="D5116" t="s">
        <v>2230</v>
      </c>
      <c r="E5116" s="9">
        <v>45170</v>
      </c>
      <c r="F5116" s="9">
        <v>45199</v>
      </c>
      <c r="G5116">
        <v>425704780.44</v>
      </c>
      <c r="H5116">
        <v>71371144.530000001</v>
      </c>
      <c r="I5116">
        <v>36772285.350000001</v>
      </c>
      <c r="J5116">
        <v>153844032.63</v>
      </c>
      <c r="K5116">
        <v>0</v>
      </c>
      <c r="L5116">
        <v>27045.633000000002</v>
      </c>
      <c r="M5116">
        <v>0</v>
      </c>
      <c r="N5116">
        <v>0</v>
      </c>
      <c r="O5116">
        <v>0</v>
      </c>
      <c r="Q5116">
        <v>16468509.539999999</v>
      </c>
      <c r="R5116">
        <v>0</v>
      </c>
      <c r="S5116">
        <v>202777077.29999998</v>
      </c>
      <c r="T5116" s="9">
        <v>45108</v>
      </c>
      <c r="U5116" s="9">
        <v>45473</v>
      </c>
      <c r="V5116">
        <f>SUM(POTABLE_NONPOTABLE_API[[#This Row],[RESIDENTIAL_SINGLEFAMILY_GAL]:[OTHER_GAL]])</f>
        <v>687719288.58300006</v>
      </c>
      <c r="W5116">
        <f>SUM(POTABLE_NONPOTABLE_API[[#This Row],[NONPOTABLE_DEMAND_RESIDENTIAL_RECYCLED_WATER_GAL]:[NONPOTABLE_DEMAND_NONRESIDENTIAL_METERED_IRRIGATION_GAL]])</f>
        <v>219245586.83999997</v>
      </c>
      <c r="X5116" t="str">
        <f>IFERROR(INDEX(Crosswalk_API!$H$2:$H$527, MATCH(POTABLE_NONPOTABLE_API[[#This Row],[PWSID]], CW_PWSID_LIST, 0)), "")</f>
        <v>No</v>
      </c>
    </row>
    <row r="5117" spans="1:24" x14ac:dyDescent="0.25">
      <c r="A5117" t="s">
        <v>2227</v>
      </c>
      <c r="B5117" t="s">
        <v>2228</v>
      </c>
      <c r="C5117" t="s">
        <v>2229</v>
      </c>
      <c r="D5117" t="s">
        <v>2230</v>
      </c>
      <c r="E5117" s="9">
        <v>45200</v>
      </c>
      <c r="F5117" s="9">
        <v>45230</v>
      </c>
      <c r="G5117">
        <v>386152986.06</v>
      </c>
      <c r="H5117">
        <v>69249854.520000011</v>
      </c>
      <c r="I5117">
        <v>33666925.32</v>
      </c>
      <c r="J5117">
        <v>136955175.30000001</v>
      </c>
      <c r="K5117">
        <v>0</v>
      </c>
      <c r="L5117">
        <v>39753.822</v>
      </c>
      <c r="M5117">
        <v>0</v>
      </c>
      <c r="N5117">
        <v>0</v>
      </c>
      <c r="O5117">
        <v>0</v>
      </c>
      <c r="P5117">
        <v>0</v>
      </c>
      <c r="Q5117">
        <v>14969594.939999999</v>
      </c>
      <c r="R5117">
        <v>0</v>
      </c>
      <c r="S5117">
        <v>187351290.96000001</v>
      </c>
      <c r="T5117" s="9">
        <v>45108</v>
      </c>
      <c r="U5117" s="9">
        <v>45473</v>
      </c>
      <c r="V5117">
        <f>SUM(POTABLE_NONPOTABLE_API[[#This Row],[RESIDENTIAL_SINGLEFAMILY_GAL]:[OTHER_GAL]])</f>
        <v>626064695.02200007</v>
      </c>
      <c r="W5117">
        <f>SUM(POTABLE_NONPOTABLE_API[[#This Row],[NONPOTABLE_DEMAND_RESIDENTIAL_RECYCLED_WATER_GAL]:[NONPOTABLE_DEMAND_NONRESIDENTIAL_METERED_IRRIGATION_GAL]])</f>
        <v>202320885.90000001</v>
      </c>
      <c r="X5117" t="str">
        <f>IFERROR(INDEX(Crosswalk_API!$H$2:$H$527, MATCH(POTABLE_NONPOTABLE_API[[#This Row],[PWSID]], CW_PWSID_LIST, 0)), "")</f>
        <v>No</v>
      </c>
    </row>
    <row r="5118" spans="1:24" x14ac:dyDescent="0.25">
      <c r="A5118" t="s">
        <v>2227</v>
      </c>
      <c r="B5118" t="s">
        <v>2228</v>
      </c>
      <c r="C5118" t="s">
        <v>2229</v>
      </c>
      <c r="D5118" t="s">
        <v>2230</v>
      </c>
      <c r="E5118" s="9">
        <v>45231</v>
      </c>
      <c r="F5118" s="9">
        <v>45260</v>
      </c>
      <c r="G5118">
        <v>367120029.15000004</v>
      </c>
      <c r="H5118">
        <v>68881642.890000001</v>
      </c>
      <c r="I5118">
        <v>31343607.689999998</v>
      </c>
      <c r="J5118">
        <v>124501150.08</v>
      </c>
      <c r="K5118">
        <v>0</v>
      </c>
      <c r="L5118">
        <v>19551.059999999998</v>
      </c>
      <c r="M5118">
        <v>0</v>
      </c>
      <c r="N5118">
        <v>0</v>
      </c>
      <c r="O5118">
        <v>0</v>
      </c>
      <c r="P5118">
        <v>0</v>
      </c>
      <c r="Q5118">
        <v>10085088.449999999</v>
      </c>
      <c r="R5118">
        <v>0</v>
      </c>
      <c r="S5118">
        <v>174063087.17999998</v>
      </c>
      <c r="T5118" s="9">
        <v>45108</v>
      </c>
      <c r="U5118" s="9">
        <v>45473</v>
      </c>
      <c r="V5118">
        <f>SUM(POTABLE_NONPOTABLE_API[[#This Row],[RESIDENTIAL_SINGLEFAMILY_GAL]:[OTHER_GAL]])</f>
        <v>591865980.87</v>
      </c>
      <c r="W5118">
        <f>SUM(POTABLE_NONPOTABLE_API[[#This Row],[NONPOTABLE_DEMAND_RESIDENTIAL_RECYCLED_WATER_GAL]:[NONPOTABLE_DEMAND_NONRESIDENTIAL_METERED_IRRIGATION_GAL]])</f>
        <v>184148175.62999997</v>
      </c>
      <c r="X5118" t="str">
        <f>IFERROR(INDEX(Crosswalk_API!$H$2:$H$527, MATCH(POTABLE_NONPOTABLE_API[[#This Row],[PWSID]], CW_PWSID_LIST, 0)), "")</f>
        <v>No</v>
      </c>
    </row>
    <row r="5119" spans="1:24" x14ac:dyDescent="0.25">
      <c r="A5119" t="s">
        <v>2227</v>
      </c>
      <c r="B5119" t="s">
        <v>2228</v>
      </c>
      <c r="C5119" t="s">
        <v>2229</v>
      </c>
      <c r="D5119" t="s">
        <v>2230</v>
      </c>
      <c r="E5119" s="9">
        <v>45261</v>
      </c>
      <c r="F5119" s="9">
        <v>45291</v>
      </c>
      <c r="G5119">
        <v>339852817.47000003</v>
      </c>
      <c r="H5119">
        <v>70442469.180000007</v>
      </c>
      <c r="I5119">
        <v>29662216.530000001</v>
      </c>
      <c r="J5119">
        <v>93300916.829999998</v>
      </c>
      <c r="K5119">
        <v>0</v>
      </c>
      <c r="L5119">
        <v>24764.675999999999</v>
      </c>
      <c r="M5119">
        <v>0</v>
      </c>
      <c r="N5119">
        <v>0</v>
      </c>
      <c r="O5119">
        <v>0</v>
      </c>
      <c r="P5119">
        <v>0</v>
      </c>
      <c r="Q5119">
        <v>9645189.5999999996</v>
      </c>
      <c r="R5119">
        <v>0</v>
      </c>
      <c r="S5119">
        <v>116918597.31</v>
      </c>
      <c r="T5119" s="9">
        <v>45108</v>
      </c>
      <c r="U5119" s="9">
        <v>45473</v>
      </c>
      <c r="V5119">
        <f>SUM(POTABLE_NONPOTABLE_API[[#This Row],[RESIDENTIAL_SINGLEFAMILY_GAL]:[OTHER_GAL]])</f>
        <v>533283184.68600005</v>
      </c>
      <c r="W5119">
        <f>SUM(POTABLE_NONPOTABLE_API[[#This Row],[NONPOTABLE_DEMAND_RESIDENTIAL_RECYCLED_WATER_GAL]:[NONPOTABLE_DEMAND_NONRESIDENTIAL_METERED_IRRIGATION_GAL]])</f>
        <v>126563786.91</v>
      </c>
      <c r="X5119" t="str">
        <f>IFERROR(INDEX(Crosswalk_API!$H$2:$H$527, MATCH(POTABLE_NONPOTABLE_API[[#This Row],[PWSID]], CW_PWSID_LIST, 0)), "")</f>
        <v>No</v>
      </c>
    </row>
    <row r="5120" spans="1:24" x14ac:dyDescent="0.25">
      <c r="A5120" t="s">
        <v>2227</v>
      </c>
      <c r="B5120" t="s">
        <v>2228</v>
      </c>
      <c r="C5120" t="s">
        <v>2229</v>
      </c>
      <c r="D5120" t="s">
        <v>2230</v>
      </c>
      <c r="E5120" s="9">
        <v>45292</v>
      </c>
      <c r="F5120" s="9">
        <v>45322</v>
      </c>
      <c r="G5120">
        <v>280880303.49000001</v>
      </c>
      <c r="H5120">
        <v>70259992.620000005</v>
      </c>
      <c r="I5120">
        <v>27071701.079999998</v>
      </c>
      <c r="J5120">
        <v>31079668.379999999</v>
      </c>
      <c r="K5120">
        <v>0</v>
      </c>
      <c r="L5120">
        <v>122519.976</v>
      </c>
      <c r="M5120">
        <v>0</v>
      </c>
      <c r="N5120">
        <v>0</v>
      </c>
      <c r="O5120">
        <v>0</v>
      </c>
      <c r="P5120">
        <v>0</v>
      </c>
      <c r="Q5120">
        <v>15432303.359999999</v>
      </c>
      <c r="R5120">
        <v>0</v>
      </c>
      <c r="S5120">
        <v>40662946.289999999</v>
      </c>
      <c r="T5120" s="9">
        <v>45108</v>
      </c>
      <c r="U5120" s="9">
        <v>45473</v>
      </c>
      <c r="V5120">
        <f>SUM(POTABLE_NONPOTABLE_API[[#This Row],[RESIDENTIAL_SINGLEFAMILY_GAL]:[OTHER_GAL]])</f>
        <v>409414185.546</v>
      </c>
      <c r="W5120">
        <f>SUM(POTABLE_NONPOTABLE_API[[#This Row],[NONPOTABLE_DEMAND_RESIDENTIAL_RECYCLED_WATER_GAL]:[NONPOTABLE_DEMAND_NONRESIDENTIAL_METERED_IRRIGATION_GAL]])</f>
        <v>56095249.649999999</v>
      </c>
      <c r="X5120" t="str">
        <f>IFERROR(INDEX(Crosswalk_API!$H$2:$H$527, MATCH(POTABLE_NONPOTABLE_API[[#This Row],[PWSID]], CW_PWSID_LIST, 0)), "")</f>
        <v>No</v>
      </c>
    </row>
    <row r="5121" spans="1:24" x14ac:dyDescent="0.25">
      <c r="A5121" t="s">
        <v>2227</v>
      </c>
      <c r="B5121" t="s">
        <v>2228</v>
      </c>
      <c r="C5121" t="s">
        <v>2229</v>
      </c>
      <c r="D5121" t="s">
        <v>2230</v>
      </c>
      <c r="E5121" s="9">
        <v>45323</v>
      </c>
      <c r="F5121" s="9">
        <v>45351</v>
      </c>
      <c r="G5121">
        <v>241194910.20000002</v>
      </c>
      <c r="H5121">
        <v>72267234.780000001</v>
      </c>
      <c r="I5121">
        <v>26009426.819999997</v>
      </c>
      <c r="J5121">
        <v>15689725.65</v>
      </c>
      <c r="K5121">
        <v>0</v>
      </c>
      <c r="L5121">
        <v>89609.025000000009</v>
      </c>
      <c r="M5121">
        <v>0</v>
      </c>
      <c r="N5121">
        <v>0</v>
      </c>
      <c r="O5121">
        <v>0</v>
      </c>
      <c r="P5121">
        <v>0</v>
      </c>
      <c r="Q5121">
        <v>211803.15</v>
      </c>
      <c r="R5121">
        <v>0</v>
      </c>
      <c r="S5121">
        <v>13718327.1</v>
      </c>
      <c r="T5121" s="9">
        <v>45108</v>
      </c>
      <c r="U5121" s="9">
        <v>45473</v>
      </c>
      <c r="V5121">
        <f>SUM(POTABLE_NONPOTABLE_API[[#This Row],[RESIDENTIAL_SINGLEFAMILY_GAL]:[OTHER_GAL]])</f>
        <v>355250906.47499996</v>
      </c>
      <c r="W5121">
        <f>SUM(POTABLE_NONPOTABLE_API[[#This Row],[NONPOTABLE_DEMAND_RESIDENTIAL_RECYCLED_WATER_GAL]:[NONPOTABLE_DEMAND_NONRESIDENTIAL_METERED_IRRIGATION_GAL]])</f>
        <v>13930130.25</v>
      </c>
      <c r="X5121" t="str">
        <f>IFERROR(INDEX(Crosswalk_API!$H$2:$H$527, MATCH(POTABLE_NONPOTABLE_API[[#This Row],[PWSID]], CW_PWSID_LIST, 0)), "")</f>
        <v>No</v>
      </c>
    </row>
    <row r="5122" spans="1:24" x14ac:dyDescent="0.25">
      <c r="A5122" t="s">
        <v>2227</v>
      </c>
      <c r="B5122" t="s">
        <v>2228</v>
      </c>
      <c r="C5122" t="s">
        <v>2229</v>
      </c>
      <c r="D5122" t="s">
        <v>2230</v>
      </c>
      <c r="E5122" s="9">
        <v>45352</v>
      </c>
      <c r="F5122" s="9">
        <v>45382</v>
      </c>
      <c r="G5122">
        <v>215335374.84</v>
      </c>
      <c r="H5122">
        <v>68555791.890000001</v>
      </c>
      <c r="I5122">
        <v>23780605.98</v>
      </c>
      <c r="J5122">
        <v>7295803.8900000006</v>
      </c>
      <c r="K5122">
        <v>0</v>
      </c>
      <c r="L5122">
        <v>62889.243000000002</v>
      </c>
      <c r="M5122">
        <v>0</v>
      </c>
      <c r="N5122">
        <v>0</v>
      </c>
      <c r="O5122">
        <v>0</v>
      </c>
      <c r="P5122">
        <v>0</v>
      </c>
      <c r="Q5122">
        <v>153149.97</v>
      </c>
      <c r="R5122">
        <v>0</v>
      </c>
      <c r="S5122">
        <v>4874730.96</v>
      </c>
      <c r="T5122" s="9">
        <v>45108</v>
      </c>
      <c r="U5122" s="9">
        <v>45473</v>
      </c>
      <c r="V5122">
        <f>SUM(POTABLE_NONPOTABLE_API[[#This Row],[RESIDENTIAL_SINGLEFAMILY_GAL]:[OTHER_GAL]])</f>
        <v>315030465.84299999</v>
      </c>
      <c r="W5122">
        <f>SUM(POTABLE_NONPOTABLE_API[[#This Row],[NONPOTABLE_DEMAND_RESIDENTIAL_RECYCLED_WATER_GAL]:[NONPOTABLE_DEMAND_NONRESIDENTIAL_METERED_IRRIGATION_GAL]])</f>
        <v>5027880.93</v>
      </c>
      <c r="X5122" t="str">
        <f>IFERROR(INDEX(Crosswalk_API!$H$2:$H$527, MATCH(POTABLE_NONPOTABLE_API[[#This Row],[PWSID]], CW_PWSID_LIST, 0)), "")</f>
        <v>No</v>
      </c>
    </row>
    <row r="5123" spans="1:24" x14ac:dyDescent="0.25">
      <c r="A5123" t="s">
        <v>2227</v>
      </c>
      <c r="B5123" t="s">
        <v>2228</v>
      </c>
      <c r="C5123" t="s">
        <v>2229</v>
      </c>
      <c r="D5123" t="s">
        <v>2230</v>
      </c>
      <c r="E5123" s="9">
        <v>45383</v>
      </c>
      <c r="F5123" s="9">
        <v>45412</v>
      </c>
      <c r="G5123">
        <v>244560951.03</v>
      </c>
      <c r="H5123">
        <v>69637617.210000008</v>
      </c>
      <c r="I5123">
        <v>25546718.400000002</v>
      </c>
      <c r="J5123">
        <v>22904066.790000003</v>
      </c>
      <c r="K5123">
        <v>0</v>
      </c>
      <c r="L5123">
        <v>58327.328999999998</v>
      </c>
      <c r="M5123">
        <v>0</v>
      </c>
      <c r="N5123">
        <v>0</v>
      </c>
      <c r="O5123">
        <v>0</v>
      </c>
      <c r="P5123">
        <v>0</v>
      </c>
      <c r="Q5123">
        <v>319333.98</v>
      </c>
      <c r="R5123">
        <v>0</v>
      </c>
      <c r="S5123">
        <v>23027890.170000002</v>
      </c>
      <c r="T5123" s="9">
        <v>45108</v>
      </c>
      <c r="U5123" s="9">
        <v>45473</v>
      </c>
      <c r="V5123">
        <f>SUM(POTABLE_NONPOTABLE_API[[#This Row],[RESIDENTIAL_SINGLEFAMILY_GAL]:[OTHER_GAL]])</f>
        <v>362707680.759</v>
      </c>
      <c r="W5123">
        <f>SUM(POTABLE_NONPOTABLE_API[[#This Row],[NONPOTABLE_DEMAND_RESIDENTIAL_RECYCLED_WATER_GAL]:[NONPOTABLE_DEMAND_NONRESIDENTIAL_METERED_IRRIGATION_GAL]])</f>
        <v>23347224.150000002</v>
      </c>
      <c r="X5123" t="str">
        <f>IFERROR(INDEX(Crosswalk_API!$H$2:$H$527, MATCH(POTABLE_NONPOTABLE_API[[#This Row],[PWSID]], CW_PWSID_LIST, 0)), "")</f>
        <v>No</v>
      </c>
    </row>
    <row r="5124" spans="1:24" x14ac:dyDescent="0.25">
      <c r="A5124" t="s">
        <v>2227</v>
      </c>
      <c r="B5124" t="s">
        <v>2228</v>
      </c>
      <c r="C5124" t="s">
        <v>2229</v>
      </c>
      <c r="D5124" t="s">
        <v>2230</v>
      </c>
      <c r="E5124" s="9">
        <v>45413</v>
      </c>
      <c r="F5124" s="9">
        <v>45443</v>
      </c>
      <c r="G5124">
        <v>305025862.59000003</v>
      </c>
      <c r="H5124">
        <v>69715821.450000003</v>
      </c>
      <c r="I5124">
        <v>30489878.069999997</v>
      </c>
      <c r="J5124">
        <v>78262893.180000007</v>
      </c>
      <c r="K5124">
        <v>0</v>
      </c>
      <c r="L5124">
        <v>49529.351999999999</v>
      </c>
      <c r="M5124">
        <v>0</v>
      </c>
      <c r="N5124">
        <v>0</v>
      </c>
      <c r="O5124">
        <v>0</v>
      </c>
      <c r="P5124">
        <v>0</v>
      </c>
      <c r="Q5124">
        <v>782042.4</v>
      </c>
      <c r="R5124">
        <v>0</v>
      </c>
      <c r="S5124">
        <v>120620264.67</v>
      </c>
      <c r="T5124" s="9">
        <v>45108</v>
      </c>
      <c r="U5124" s="9">
        <v>45473</v>
      </c>
      <c r="V5124">
        <f>SUM(POTABLE_NONPOTABLE_API[[#This Row],[RESIDENTIAL_SINGLEFAMILY_GAL]:[OTHER_GAL]])</f>
        <v>483543984.64200002</v>
      </c>
      <c r="W5124">
        <f>SUM(POTABLE_NONPOTABLE_API[[#This Row],[NONPOTABLE_DEMAND_RESIDENTIAL_RECYCLED_WATER_GAL]:[NONPOTABLE_DEMAND_NONRESIDENTIAL_METERED_IRRIGATION_GAL]])</f>
        <v>121402307.07000001</v>
      </c>
      <c r="X5124" t="str">
        <f>IFERROR(INDEX(Crosswalk_API!$H$2:$H$527, MATCH(POTABLE_NONPOTABLE_API[[#This Row],[PWSID]], CW_PWSID_LIST, 0)), "")</f>
        <v>No</v>
      </c>
    </row>
    <row r="5125" spans="1:24" x14ac:dyDescent="0.25">
      <c r="A5125" t="s">
        <v>2227</v>
      </c>
      <c r="B5125" t="s">
        <v>2228</v>
      </c>
      <c r="C5125" t="s">
        <v>2229</v>
      </c>
      <c r="D5125" t="s">
        <v>2230</v>
      </c>
      <c r="E5125" s="9">
        <v>45444</v>
      </c>
      <c r="F5125" s="9">
        <v>45473</v>
      </c>
      <c r="G5125">
        <v>375259787.13000005</v>
      </c>
      <c r="H5125">
        <v>72459486.870000005</v>
      </c>
      <c r="I5125">
        <v>32236439.430000003</v>
      </c>
      <c r="J5125">
        <v>124621714.95</v>
      </c>
      <c r="K5125">
        <v>0</v>
      </c>
      <c r="L5125">
        <v>42360.630000000005</v>
      </c>
      <c r="M5125">
        <v>0</v>
      </c>
      <c r="N5125">
        <v>0</v>
      </c>
      <c r="O5125">
        <v>0</v>
      </c>
      <c r="P5125">
        <v>0</v>
      </c>
      <c r="Q5125">
        <v>14070246.18</v>
      </c>
      <c r="R5125">
        <v>0</v>
      </c>
      <c r="S5125">
        <v>187605454.74000001</v>
      </c>
      <c r="T5125" s="9">
        <v>45108</v>
      </c>
      <c r="U5125" s="9">
        <v>45473</v>
      </c>
      <c r="V5125">
        <f>SUM(POTABLE_NONPOTABLE_API[[#This Row],[RESIDENTIAL_SINGLEFAMILY_GAL]:[OTHER_GAL]])</f>
        <v>604619789.01000011</v>
      </c>
      <c r="W5125">
        <f>SUM(POTABLE_NONPOTABLE_API[[#This Row],[NONPOTABLE_DEMAND_RESIDENTIAL_RECYCLED_WATER_GAL]:[NONPOTABLE_DEMAND_NONRESIDENTIAL_METERED_IRRIGATION_GAL]])</f>
        <v>201675700.92000002</v>
      </c>
      <c r="X5125" t="str">
        <f>IFERROR(INDEX(Crosswalk_API!$H$2:$H$527, MATCH(POTABLE_NONPOTABLE_API[[#This Row],[PWSID]], CW_PWSID_LIST, 0)), "")</f>
        <v>No</v>
      </c>
    </row>
    <row r="5126" spans="1:24" x14ac:dyDescent="0.25">
      <c r="A5126" t="s">
        <v>2233</v>
      </c>
      <c r="B5126" t="s">
        <v>2234</v>
      </c>
      <c r="C5126" t="s">
        <v>2235</v>
      </c>
      <c r="D5126" t="s">
        <v>2236</v>
      </c>
      <c r="E5126" s="9">
        <v>45108</v>
      </c>
      <c r="F5126" s="9">
        <v>45138</v>
      </c>
      <c r="G5126">
        <v>160810727.00999999</v>
      </c>
      <c r="H5126">
        <v>56665488.899999999</v>
      </c>
      <c r="I5126">
        <v>68050722.840000004</v>
      </c>
      <c r="J5126">
        <v>52885617.300000004</v>
      </c>
      <c r="K5126">
        <v>24996030.209999997</v>
      </c>
      <c r="L5126">
        <v>7761770.8200000003</v>
      </c>
      <c r="M5126">
        <v>0</v>
      </c>
      <c r="T5126" s="9">
        <v>45108</v>
      </c>
      <c r="U5126" s="9">
        <v>45473</v>
      </c>
      <c r="V5126">
        <f>SUM(POTABLE_NONPOTABLE_API[[#This Row],[RESIDENTIAL_SINGLEFAMILY_GAL]:[OTHER_GAL]])</f>
        <v>371170357.07999998</v>
      </c>
      <c r="W5126">
        <f>SUM(POTABLE_NONPOTABLE_API[[#This Row],[NONPOTABLE_DEMAND_RESIDENTIAL_RECYCLED_WATER_GAL]:[NONPOTABLE_DEMAND_NONRESIDENTIAL_METERED_IRRIGATION_GAL]])</f>
        <v>0</v>
      </c>
      <c r="X5126" t="str">
        <f>IFERROR(INDEX(Crosswalk_API!$H$2:$H$527, MATCH(POTABLE_NONPOTABLE_API[[#This Row],[PWSID]], CW_PWSID_LIST, 0)), "")</f>
        <v>No</v>
      </c>
    </row>
    <row r="5127" spans="1:24" x14ac:dyDescent="0.25">
      <c r="A5127" t="s">
        <v>2233</v>
      </c>
      <c r="B5127" t="s">
        <v>2234</v>
      </c>
      <c r="C5127" t="s">
        <v>2235</v>
      </c>
      <c r="D5127" t="s">
        <v>2236</v>
      </c>
      <c r="E5127" s="9">
        <v>45139</v>
      </c>
      <c r="F5127" s="9">
        <v>45169</v>
      </c>
      <c r="G5127">
        <v>158643817.86000001</v>
      </c>
      <c r="H5127">
        <v>57333483.449999996</v>
      </c>
      <c r="I5127">
        <v>70683598.920000002</v>
      </c>
      <c r="J5127">
        <v>48454043.699999996</v>
      </c>
      <c r="K5127">
        <v>21545268.120000001</v>
      </c>
      <c r="L5127">
        <v>7813906.9800000004</v>
      </c>
      <c r="M5127">
        <v>0</v>
      </c>
      <c r="T5127" s="9">
        <v>45108</v>
      </c>
      <c r="U5127" s="9">
        <v>45473</v>
      </c>
      <c r="V5127">
        <f>SUM(POTABLE_NONPOTABLE_API[[#This Row],[RESIDENTIAL_SINGLEFAMILY_GAL]:[OTHER_GAL]])</f>
        <v>364474119.03000003</v>
      </c>
      <c r="W5127">
        <f>SUM(POTABLE_NONPOTABLE_API[[#This Row],[NONPOTABLE_DEMAND_RESIDENTIAL_RECYCLED_WATER_GAL]:[NONPOTABLE_DEMAND_NONRESIDENTIAL_METERED_IRRIGATION_GAL]])</f>
        <v>0</v>
      </c>
      <c r="X5127" t="str">
        <f>IFERROR(INDEX(Crosswalk_API!$H$2:$H$527, MATCH(POTABLE_NONPOTABLE_API[[#This Row],[PWSID]], CW_PWSID_LIST, 0)), "")</f>
        <v>No</v>
      </c>
    </row>
    <row r="5128" spans="1:24" x14ac:dyDescent="0.25">
      <c r="A5128" t="s">
        <v>2233</v>
      </c>
      <c r="B5128" t="s">
        <v>2234</v>
      </c>
      <c r="C5128" t="s">
        <v>2235</v>
      </c>
      <c r="D5128" t="s">
        <v>2236</v>
      </c>
      <c r="E5128" s="9">
        <v>45170</v>
      </c>
      <c r="F5128" s="9">
        <v>45199</v>
      </c>
      <c r="G5128">
        <v>150269447.16</v>
      </c>
      <c r="H5128">
        <v>54625661.639999993</v>
      </c>
      <c r="I5128">
        <v>66854849.669999994</v>
      </c>
      <c r="J5128">
        <v>46052521.830000006</v>
      </c>
      <c r="K5128">
        <v>18140125.170000002</v>
      </c>
      <c r="L5128">
        <v>7628171.9100000001</v>
      </c>
      <c r="M5128">
        <v>0</v>
      </c>
      <c r="T5128" s="9">
        <v>45108</v>
      </c>
      <c r="U5128" s="9">
        <v>45473</v>
      </c>
      <c r="V5128">
        <f>SUM(POTABLE_NONPOTABLE_API[[#This Row],[RESIDENTIAL_SINGLEFAMILY_GAL]:[OTHER_GAL]])</f>
        <v>343570777.38</v>
      </c>
      <c r="W5128">
        <f>SUM(POTABLE_NONPOTABLE_API[[#This Row],[NONPOTABLE_DEMAND_RESIDENTIAL_RECYCLED_WATER_GAL]:[NONPOTABLE_DEMAND_NONRESIDENTIAL_METERED_IRRIGATION_GAL]])</f>
        <v>0</v>
      </c>
      <c r="X5128" t="str">
        <f>IFERROR(INDEX(Crosswalk_API!$H$2:$H$527, MATCH(POTABLE_NONPOTABLE_API[[#This Row],[PWSID]], CW_PWSID_LIST, 0)), "")</f>
        <v>No</v>
      </c>
    </row>
    <row r="5129" spans="1:24" x14ac:dyDescent="0.25">
      <c r="A5129" t="s">
        <v>2233</v>
      </c>
      <c r="B5129" t="s">
        <v>2234</v>
      </c>
      <c r="C5129" t="s">
        <v>2235</v>
      </c>
      <c r="D5129" t="s">
        <v>2236</v>
      </c>
      <c r="E5129" s="9">
        <v>45200</v>
      </c>
      <c r="F5129" s="9">
        <v>45230</v>
      </c>
      <c r="G5129">
        <v>148288273.07999998</v>
      </c>
      <c r="H5129">
        <v>55531527.419999994</v>
      </c>
      <c r="I5129">
        <v>67702062.270000011</v>
      </c>
      <c r="J5129">
        <v>45127104.990000002</v>
      </c>
      <c r="K5129">
        <v>18475751.699999999</v>
      </c>
      <c r="L5129">
        <v>8348302.6200000001</v>
      </c>
      <c r="M5129">
        <v>0</v>
      </c>
      <c r="T5129" s="9">
        <v>45108</v>
      </c>
      <c r="U5129" s="9">
        <v>45473</v>
      </c>
      <c r="V5129">
        <f>SUM(POTABLE_NONPOTABLE_API[[#This Row],[RESIDENTIAL_SINGLEFAMILY_GAL]:[OTHER_GAL]])</f>
        <v>343473022.07999998</v>
      </c>
      <c r="W5129">
        <f>SUM(POTABLE_NONPOTABLE_API[[#This Row],[NONPOTABLE_DEMAND_RESIDENTIAL_RECYCLED_WATER_GAL]:[NONPOTABLE_DEMAND_NONRESIDENTIAL_METERED_IRRIGATION_GAL]])</f>
        <v>0</v>
      </c>
      <c r="X5129" t="str">
        <f>IFERROR(INDEX(Crosswalk_API!$H$2:$H$527, MATCH(POTABLE_NONPOTABLE_API[[#This Row],[PWSID]], CW_PWSID_LIST, 0)), "")</f>
        <v>No</v>
      </c>
    </row>
    <row r="5130" spans="1:24" x14ac:dyDescent="0.25">
      <c r="A5130" t="s">
        <v>2233</v>
      </c>
      <c r="B5130" t="s">
        <v>2234</v>
      </c>
      <c r="C5130" t="s">
        <v>2235</v>
      </c>
      <c r="D5130" t="s">
        <v>2236</v>
      </c>
      <c r="E5130" s="9">
        <v>45231</v>
      </c>
      <c r="F5130" s="9">
        <v>45260</v>
      </c>
      <c r="G5130">
        <v>132764731.44</v>
      </c>
      <c r="H5130">
        <v>51220518.689999998</v>
      </c>
      <c r="I5130">
        <v>58757452.32</v>
      </c>
      <c r="J5130">
        <v>28313193.390000001</v>
      </c>
      <c r="K5130">
        <v>11919629.58</v>
      </c>
      <c r="L5130">
        <v>10251272.460000001</v>
      </c>
      <c r="M5130">
        <v>0</v>
      </c>
      <c r="T5130" s="9">
        <v>45108</v>
      </c>
      <c r="U5130" s="9">
        <v>45473</v>
      </c>
      <c r="V5130">
        <f>SUM(POTABLE_NONPOTABLE_API[[#This Row],[RESIDENTIAL_SINGLEFAMILY_GAL]:[OTHER_GAL]])</f>
        <v>293226797.87999994</v>
      </c>
      <c r="W5130">
        <f>SUM(POTABLE_NONPOTABLE_API[[#This Row],[NONPOTABLE_DEMAND_RESIDENTIAL_RECYCLED_WATER_GAL]:[NONPOTABLE_DEMAND_NONRESIDENTIAL_METERED_IRRIGATION_GAL]])</f>
        <v>0</v>
      </c>
      <c r="X5130" t="str">
        <f>IFERROR(INDEX(Crosswalk_API!$H$2:$H$527, MATCH(POTABLE_NONPOTABLE_API[[#This Row],[PWSID]], CW_PWSID_LIST, 0)), "")</f>
        <v>No</v>
      </c>
    </row>
    <row r="5131" spans="1:24" x14ac:dyDescent="0.25">
      <c r="A5131" t="s">
        <v>2233</v>
      </c>
      <c r="B5131" t="s">
        <v>2234</v>
      </c>
      <c r="C5131" t="s">
        <v>2235</v>
      </c>
      <c r="D5131" t="s">
        <v>2236</v>
      </c>
      <c r="E5131" s="9">
        <v>45261</v>
      </c>
      <c r="F5131" s="9">
        <v>45291</v>
      </c>
      <c r="G5131">
        <v>127958429.19</v>
      </c>
      <c r="H5131">
        <v>49920373.199999996</v>
      </c>
      <c r="I5131">
        <v>54061939.409999996</v>
      </c>
      <c r="J5131">
        <v>24315001.620000001</v>
      </c>
      <c r="K5131">
        <v>11140845.689999999</v>
      </c>
      <c r="L5131">
        <v>8123465.4299999997</v>
      </c>
      <c r="M5131">
        <v>0</v>
      </c>
      <c r="T5131" s="9">
        <v>45108</v>
      </c>
      <c r="U5131" s="9">
        <v>45473</v>
      </c>
      <c r="V5131">
        <f>SUM(POTABLE_NONPOTABLE_API[[#This Row],[RESIDENTIAL_SINGLEFAMILY_GAL]:[OTHER_GAL]])</f>
        <v>275520054.53999996</v>
      </c>
      <c r="W5131">
        <f>SUM(POTABLE_NONPOTABLE_API[[#This Row],[NONPOTABLE_DEMAND_RESIDENTIAL_RECYCLED_WATER_GAL]:[NONPOTABLE_DEMAND_NONRESIDENTIAL_METERED_IRRIGATION_GAL]])</f>
        <v>0</v>
      </c>
      <c r="X5131" t="str">
        <f>IFERROR(INDEX(Crosswalk_API!$H$2:$H$527, MATCH(POTABLE_NONPOTABLE_API[[#This Row],[PWSID]], CW_PWSID_LIST, 0)), "")</f>
        <v>No</v>
      </c>
    </row>
    <row r="5132" spans="1:24" x14ac:dyDescent="0.25">
      <c r="A5132" t="s">
        <v>2233</v>
      </c>
      <c r="B5132" t="s">
        <v>2234</v>
      </c>
      <c r="C5132" t="s">
        <v>2235</v>
      </c>
      <c r="D5132" t="s">
        <v>2236</v>
      </c>
      <c r="E5132" s="9">
        <v>45292</v>
      </c>
      <c r="F5132" s="9">
        <v>45322</v>
      </c>
      <c r="G5132">
        <v>115523955.02999999</v>
      </c>
      <c r="H5132">
        <v>47030074.830000006</v>
      </c>
      <c r="I5132">
        <v>45110812.439999998</v>
      </c>
      <c r="J5132">
        <v>7826941.0199999996</v>
      </c>
      <c r="K5132">
        <v>10140483.120000001</v>
      </c>
      <c r="L5132">
        <v>8521003.6500000004</v>
      </c>
      <c r="M5132">
        <v>0</v>
      </c>
      <c r="T5132" s="9">
        <v>45108</v>
      </c>
      <c r="U5132" s="9">
        <v>45473</v>
      </c>
      <c r="V5132">
        <f>SUM(POTABLE_NONPOTABLE_API[[#This Row],[RESIDENTIAL_SINGLEFAMILY_GAL]:[OTHER_GAL]])</f>
        <v>234153270.09</v>
      </c>
      <c r="W5132">
        <f>SUM(POTABLE_NONPOTABLE_API[[#This Row],[NONPOTABLE_DEMAND_RESIDENTIAL_RECYCLED_WATER_GAL]:[NONPOTABLE_DEMAND_NONRESIDENTIAL_METERED_IRRIGATION_GAL]])</f>
        <v>0</v>
      </c>
      <c r="X5132" t="str">
        <f>IFERROR(INDEX(Crosswalk_API!$H$2:$H$527, MATCH(POTABLE_NONPOTABLE_API[[#This Row],[PWSID]], CW_PWSID_LIST, 0)), "")</f>
        <v>No</v>
      </c>
    </row>
    <row r="5133" spans="1:24" x14ac:dyDescent="0.25">
      <c r="A5133" t="s">
        <v>2233</v>
      </c>
      <c r="B5133" t="s">
        <v>2234</v>
      </c>
      <c r="C5133" t="s">
        <v>2235</v>
      </c>
      <c r="D5133" t="s">
        <v>2236</v>
      </c>
      <c r="E5133" s="9">
        <v>45323</v>
      </c>
      <c r="F5133" s="9">
        <v>45351</v>
      </c>
      <c r="G5133">
        <v>100378400.55</v>
      </c>
      <c r="H5133">
        <v>42337820.43</v>
      </c>
      <c r="I5133">
        <v>39636515.640000001</v>
      </c>
      <c r="J5133">
        <v>5513398.9200000009</v>
      </c>
      <c r="K5133">
        <v>9918904.4400000013</v>
      </c>
      <c r="L5133">
        <v>8446057.9199999999</v>
      </c>
      <c r="M5133">
        <v>0</v>
      </c>
      <c r="T5133" s="9">
        <v>45108</v>
      </c>
      <c r="U5133" s="9">
        <v>45473</v>
      </c>
      <c r="V5133">
        <f>SUM(POTABLE_NONPOTABLE_API[[#This Row],[RESIDENTIAL_SINGLEFAMILY_GAL]:[OTHER_GAL]])</f>
        <v>206231097.89999998</v>
      </c>
      <c r="W5133">
        <f>SUM(POTABLE_NONPOTABLE_API[[#This Row],[NONPOTABLE_DEMAND_RESIDENTIAL_RECYCLED_WATER_GAL]:[NONPOTABLE_DEMAND_NONRESIDENTIAL_METERED_IRRIGATION_GAL]])</f>
        <v>0</v>
      </c>
      <c r="X5133" t="str">
        <f>IFERROR(INDEX(Crosswalk_API!$H$2:$H$527, MATCH(POTABLE_NONPOTABLE_API[[#This Row],[PWSID]], CW_PWSID_LIST, 0)), "")</f>
        <v>No</v>
      </c>
    </row>
    <row r="5134" spans="1:24" x14ac:dyDescent="0.25">
      <c r="A5134" t="s">
        <v>2233</v>
      </c>
      <c r="B5134" t="s">
        <v>2234</v>
      </c>
      <c r="C5134" t="s">
        <v>2235</v>
      </c>
      <c r="D5134" t="s">
        <v>2236</v>
      </c>
      <c r="E5134" s="9">
        <v>45352</v>
      </c>
      <c r="F5134" s="9">
        <v>45382</v>
      </c>
      <c r="G5134">
        <v>112001505.72000001</v>
      </c>
      <c r="H5134">
        <v>46127467.560000002</v>
      </c>
      <c r="I5134">
        <v>44182137.090000004</v>
      </c>
      <c r="J5134">
        <v>7901886.75</v>
      </c>
      <c r="K5134">
        <v>10916008.5</v>
      </c>
      <c r="L5134">
        <v>8413472.8200000003</v>
      </c>
      <c r="M5134">
        <v>0</v>
      </c>
      <c r="T5134" s="9">
        <v>45108</v>
      </c>
      <c r="U5134" s="9">
        <v>45473</v>
      </c>
      <c r="V5134">
        <f>SUM(POTABLE_NONPOTABLE_API[[#This Row],[RESIDENTIAL_SINGLEFAMILY_GAL]:[OTHER_GAL]])</f>
        <v>229542478.44000003</v>
      </c>
      <c r="W5134">
        <f>SUM(POTABLE_NONPOTABLE_API[[#This Row],[NONPOTABLE_DEMAND_RESIDENTIAL_RECYCLED_WATER_GAL]:[NONPOTABLE_DEMAND_NONRESIDENTIAL_METERED_IRRIGATION_GAL]])</f>
        <v>0</v>
      </c>
      <c r="X5134" t="str">
        <f>IFERROR(INDEX(Crosswalk_API!$H$2:$H$527, MATCH(POTABLE_NONPOTABLE_API[[#This Row],[PWSID]], CW_PWSID_LIST, 0)), "")</f>
        <v>No</v>
      </c>
    </row>
    <row r="5135" spans="1:24" x14ac:dyDescent="0.25">
      <c r="A5135" t="s">
        <v>2233</v>
      </c>
      <c r="B5135" t="s">
        <v>2234</v>
      </c>
      <c r="C5135" t="s">
        <v>2235</v>
      </c>
      <c r="D5135" t="s">
        <v>2236</v>
      </c>
      <c r="E5135" s="9">
        <v>45383</v>
      </c>
      <c r="F5135" s="9">
        <v>45412</v>
      </c>
      <c r="G5135">
        <v>119127867.08999999</v>
      </c>
      <c r="H5135">
        <v>48669105.360000007</v>
      </c>
      <c r="I5135">
        <v>48779894.699999996</v>
      </c>
      <c r="J5135">
        <v>13620571.799999999</v>
      </c>
      <c r="K5135">
        <v>11668724.310000001</v>
      </c>
      <c r="L5135">
        <v>8556847.2599999998</v>
      </c>
      <c r="M5135">
        <v>0</v>
      </c>
      <c r="T5135" s="9">
        <v>45108</v>
      </c>
      <c r="U5135" s="9">
        <v>45473</v>
      </c>
      <c r="V5135">
        <f>SUM(POTABLE_NONPOTABLE_API[[#This Row],[RESIDENTIAL_SINGLEFAMILY_GAL]:[OTHER_GAL]])</f>
        <v>250423010.51999998</v>
      </c>
      <c r="W5135">
        <f>SUM(POTABLE_NONPOTABLE_API[[#This Row],[NONPOTABLE_DEMAND_RESIDENTIAL_RECYCLED_WATER_GAL]:[NONPOTABLE_DEMAND_NONRESIDENTIAL_METERED_IRRIGATION_GAL]])</f>
        <v>0</v>
      </c>
      <c r="X5135" t="str">
        <f>IFERROR(INDEX(Crosswalk_API!$H$2:$H$527, MATCH(POTABLE_NONPOTABLE_API[[#This Row],[PWSID]], CW_PWSID_LIST, 0)), "")</f>
        <v>No</v>
      </c>
    </row>
    <row r="5136" spans="1:24" x14ac:dyDescent="0.25">
      <c r="A5136" t="s">
        <v>2233</v>
      </c>
      <c r="B5136" t="s">
        <v>2234</v>
      </c>
      <c r="C5136" t="s">
        <v>2235</v>
      </c>
      <c r="D5136" t="s">
        <v>2236</v>
      </c>
      <c r="E5136" s="9">
        <v>45413</v>
      </c>
      <c r="F5136" s="9">
        <v>45443</v>
      </c>
      <c r="G5136">
        <v>139359955.68000001</v>
      </c>
      <c r="H5136">
        <v>52214364.240000002</v>
      </c>
      <c r="I5136">
        <v>59519943.659999996</v>
      </c>
      <c r="J5136">
        <v>43165481.969999999</v>
      </c>
      <c r="K5136">
        <v>13030781.49</v>
      </c>
      <c r="L5136">
        <v>8077846.29</v>
      </c>
      <c r="M5136">
        <v>0</v>
      </c>
      <c r="T5136" s="9">
        <v>45108</v>
      </c>
      <c r="U5136" s="9">
        <v>45473</v>
      </c>
      <c r="V5136">
        <f>SUM(POTABLE_NONPOTABLE_API[[#This Row],[RESIDENTIAL_SINGLEFAMILY_GAL]:[OTHER_GAL]])</f>
        <v>315368373.33000004</v>
      </c>
      <c r="W5136">
        <f>SUM(POTABLE_NONPOTABLE_API[[#This Row],[NONPOTABLE_DEMAND_RESIDENTIAL_RECYCLED_WATER_GAL]:[NONPOTABLE_DEMAND_NONRESIDENTIAL_METERED_IRRIGATION_GAL]])</f>
        <v>0</v>
      </c>
      <c r="X5136" t="str">
        <f>IFERROR(INDEX(Crosswalk_API!$H$2:$H$527, MATCH(POTABLE_NONPOTABLE_API[[#This Row],[PWSID]], CW_PWSID_LIST, 0)), "")</f>
        <v>No</v>
      </c>
    </row>
    <row r="5137" spans="1:24" x14ac:dyDescent="0.25">
      <c r="A5137" t="s">
        <v>2233</v>
      </c>
      <c r="B5137" t="s">
        <v>2234</v>
      </c>
      <c r="C5137" t="s">
        <v>2235</v>
      </c>
      <c r="D5137" t="s">
        <v>2236</v>
      </c>
      <c r="E5137" s="9">
        <v>45444</v>
      </c>
      <c r="F5137" s="9">
        <v>45473</v>
      </c>
      <c r="G5137">
        <v>151530490.53</v>
      </c>
      <c r="H5137">
        <v>54488804.219999999</v>
      </c>
      <c r="I5137">
        <v>61543478.370000005</v>
      </c>
      <c r="J5137">
        <v>47509075.800000004</v>
      </c>
      <c r="K5137">
        <v>12209636.969999999</v>
      </c>
      <c r="L5137">
        <v>8455833.4499999993</v>
      </c>
      <c r="M5137">
        <v>0</v>
      </c>
      <c r="T5137" s="9">
        <v>45108</v>
      </c>
      <c r="U5137" s="9">
        <v>45473</v>
      </c>
      <c r="V5137">
        <f>SUM(POTABLE_NONPOTABLE_API[[#This Row],[RESIDENTIAL_SINGLEFAMILY_GAL]:[OTHER_GAL]])</f>
        <v>335737319.33999997</v>
      </c>
      <c r="W5137">
        <f>SUM(POTABLE_NONPOTABLE_API[[#This Row],[NONPOTABLE_DEMAND_RESIDENTIAL_RECYCLED_WATER_GAL]:[NONPOTABLE_DEMAND_NONRESIDENTIAL_METERED_IRRIGATION_GAL]])</f>
        <v>0</v>
      </c>
      <c r="X5137" t="str">
        <f>IFERROR(INDEX(Crosswalk_API!$H$2:$H$527, MATCH(POTABLE_NONPOTABLE_API[[#This Row],[PWSID]], CW_PWSID_LIST, 0)), "")</f>
        <v>No</v>
      </c>
    </row>
    <row r="5138" spans="1:24" x14ac:dyDescent="0.25">
      <c r="A5138" t="s">
        <v>2237</v>
      </c>
      <c r="B5138" t="s">
        <v>2238</v>
      </c>
      <c r="C5138" t="s">
        <v>2239</v>
      </c>
      <c r="D5138" t="s">
        <v>2240</v>
      </c>
      <c r="E5138" s="9">
        <v>45108</v>
      </c>
      <c r="F5138" s="9">
        <v>45138</v>
      </c>
      <c r="G5138">
        <v>64726695.403999999</v>
      </c>
      <c r="H5138">
        <v>117224984.764</v>
      </c>
      <c r="I5138">
        <v>72318675.151999995</v>
      </c>
      <c r="J5138">
        <v>7898681.068</v>
      </c>
      <c r="K5138">
        <v>0</v>
      </c>
      <c r="L5138">
        <v>4494296.4160000002</v>
      </c>
      <c r="M5138">
        <v>0</v>
      </c>
      <c r="T5138" s="9">
        <v>45108</v>
      </c>
      <c r="U5138" s="9">
        <v>45473</v>
      </c>
      <c r="V5138">
        <f>SUM(POTABLE_NONPOTABLE_API[[#This Row],[RESIDENTIAL_SINGLEFAMILY_GAL]:[OTHER_GAL]])</f>
        <v>266663332.80399999</v>
      </c>
      <c r="W5138">
        <f>SUM(POTABLE_NONPOTABLE_API[[#This Row],[NONPOTABLE_DEMAND_RESIDENTIAL_RECYCLED_WATER_GAL]:[NONPOTABLE_DEMAND_NONRESIDENTIAL_METERED_IRRIGATION_GAL]])</f>
        <v>0</v>
      </c>
      <c r="X5138" t="str">
        <f>IFERROR(INDEX(Crosswalk_API!$H$2:$H$527, MATCH(POTABLE_NONPOTABLE_API[[#This Row],[PWSID]], CW_PWSID_LIST, 0)), "")</f>
        <v>No</v>
      </c>
    </row>
    <row r="5139" spans="1:24" x14ac:dyDescent="0.25">
      <c r="A5139" t="s">
        <v>2237</v>
      </c>
      <c r="B5139" t="s">
        <v>2238</v>
      </c>
      <c r="C5139" t="s">
        <v>2239</v>
      </c>
      <c r="D5139" t="s">
        <v>2240</v>
      </c>
      <c r="E5139" s="9">
        <v>45139</v>
      </c>
      <c r="F5139" s="9">
        <v>45169</v>
      </c>
      <c r="G5139">
        <v>79030945.747999996</v>
      </c>
      <c r="H5139">
        <v>112622220.808</v>
      </c>
      <c r="I5139">
        <v>84336878.584000006</v>
      </c>
      <c r="J5139">
        <v>18548697.392000001</v>
      </c>
      <c r="K5139">
        <v>0</v>
      </c>
      <c r="L5139">
        <v>10708364.380000001</v>
      </c>
      <c r="M5139">
        <v>0</v>
      </c>
      <c r="T5139" s="9">
        <v>45108</v>
      </c>
      <c r="U5139" s="9">
        <v>45473</v>
      </c>
      <c r="V5139">
        <f>SUM(POTABLE_NONPOTABLE_API[[#This Row],[RESIDENTIAL_SINGLEFAMILY_GAL]:[OTHER_GAL]])</f>
        <v>305247106.912</v>
      </c>
      <c r="W5139">
        <f>SUM(POTABLE_NONPOTABLE_API[[#This Row],[NONPOTABLE_DEMAND_RESIDENTIAL_RECYCLED_WATER_GAL]:[NONPOTABLE_DEMAND_NONRESIDENTIAL_METERED_IRRIGATION_GAL]])</f>
        <v>0</v>
      </c>
      <c r="X5139" t="str">
        <f>IFERROR(INDEX(Crosswalk_API!$H$2:$H$527, MATCH(POTABLE_NONPOTABLE_API[[#This Row],[PWSID]], CW_PWSID_LIST, 0)), "")</f>
        <v>No</v>
      </c>
    </row>
    <row r="5140" spans="1:24" x14ac:dyDescent="0.25">
      <c r="A5140" t="s">
        <v>2237</v>
      </c>
      <c r="B5140" t="s">
        <v>2238</v>
      </c>
      <c r="C5140" t="s">
        <v>2239</v>
      </c>
      <c r="D5140" t="s">
        <v>2240</v>
      </c>
      <c r="E5140" s="9">
        <v>45170</v>
      </c>
      <c r="F5140" s="9">
        <v>45199</v>
      </c>
      <c r="G5140">
        <v>70131371.104000002</v>
      </c>
      <c r="H5140">
        <v>121028829.184</v>
      </c>
      <c r="I5140">
        <v>73919506.431999996</v>
      </c>
      <c r="J5140">
        <v>10440561.764</v>
      </c>
      <c r="K5140">
        <v>0</v>
      </c>
      <c r="L5140">
        <v>5361288.6840000004</v>
      </c>
      <c r="M5140">
        <v>0</v>
      </c>
      <c r="T5140" s="9">
        <v>45108</v>
      </c>
      <c r="U5140" s="9">
        <v>45473</v>
      </c>
      <c r="V5140">
        <f>SUM(POTABLE_NONPOTABLE_API[[#This Row],[RESIDENTIAL_SINGLEFAMILY_GAL]:[OTHER_GAL]])</f>
        <v>280881557.16799998</v>
      </c>
      <c r="W5140">
        <f>SUM(POTABLE_NONPOTABLE_API[[#This Row],[NONPOTABLE_DEMAND_RESIDENTIAL_RECYCLED_WATER_GAL]:[NONPOTABLE_DEMAND_NONRESIDENTIAL_METERED_IRRIGATION_GAL]])</f>
        <v>0</v>
      </c>
      <c r="X5140" t="str">
        <f>IFERROR(INDEX(Crosswalk_API!$H$2:$H$527, MATCH(POTABLE_NONPOTABLE_API[[#This Row],[PWSID]], CW_PWSID_LIST, 0)), "")</f>
        <v>No</v>
      </c>
    </row>
    <row r="5141" spans="1:24" x14ac:dyDescent="0.25">
      <c r="A5141" t="s">
        <v>2237</v>
      </c>
      <c r="B5141" t="s">
        <v>2238</v>
      </c>
      <c r="C5141" t="s">
        <v>2239</v>
      </c>
      <c r="D5141" t="s">
        <v>2240</v>
      </c>
      <c r="E5141" s="9">
        <v>45200</v>
      </c>
      <c r="F5141" s="9">
        <v>45230</v>
      </c>
      <c r="G5141">
        <v>72481002.436000004</v>
      </c>
      <c r="H5141">
        <v>94760983.203999996</v>
      </c>
      <c r="I5141">
        <v>67685241.063999996</v>
      </c>
      <c r="J5141">
        <v>14287045.148</v>
      </c>
      <c r="K5141">
        <v>0</v>
      </c>
      <c r="L5141">
        <v>7505205.716</v>
      </c>
      <c r="M5141">
        <v>0</v>
      </c>
      <c r="T5141" s="9">
        <v>45108</v>
      </c>
      <c r="U5141" s="9">
        <v>45473</v>
      </c>
      <c r="V5141">
        <f>SUM(POTABLE_NONPOTABLE_API[[#This Row],[RESIDENTIAL_SINGLEFAMILY_GAL]:[OTHER_GAL]])</f>
        <v>256719477.56799999</v>
      </c>
      <c r="W5141">
        <f>SUM(POTABLE_NONPOTABLE_API[[#This Row],[NONPOTABLE_DEMAND_RESIDENTIAL_RECYCLED_WATER_GAL]:[NONPOTABLE_DEMAND_NONRESIDENTIAL_METERED_IRRIGATION_GAL]])</f>
        <v>0</v>
      </c>
      <c r="X5141" t="str">
        <f>IFERROR(INDEX(Crosswalk_API!$H$2:$H$527, MATCH(POTABLE_NONPOTABLE_API[[#This Row],[PWSID]], CW_PWSID_LIST, 0)), "")</f>
        <v>No</v>
      </c>
    </row>
    <row r="5142" spans="1:24" x14ac:dyDescent="0.25">
      <c r="A5142" t="s">
        <v>2237</v>
      </c>
      <c r="B5142" t="s">
        <v>2238</v>
      </c>
      <c r="C5142" t="s">
        <v>2239</v>
      </c>
      <c r="D5142" t="s">
        <v>2240</v>
      </c>
      <c r="E5142" s="9">
        <v>45231</v>
      </c>
      <c r="F5142" s="9">
        <v>45260</v>
      </c>
      <c r="G5142">
        <v>69297293.123999998</v>
      </c>
      <c r="H5142">
        <v>141636913.73199999</v>
      </c>
      <c r="I5142">
        <v>82664982.364000008</v>
      </c>
      <c r="J5142">
        <v>10952977.384</v>
      </c>
      <c r="K5142">
        <v>0</v>
      </c>
      <c r="L5142">
        <v>6842431.6440000003</v>
      </c>
      <c r="M5142">
        <v>0</v>
      </c>
      <c r="T5142" s="9">
        <v>45108</v>
      </c>
      <c r="U5142" s="9">
        <v>45473</v>
      </c>
      <c r="V5142">
        <f>SUM(POTABLE_NONPOTABLE_API[[#This Row],[RESIDENTIAL_SINGLEFAMILY_GAL]:[OTHER_GAL]])</f>
        <v>311394598.24800003</v>
      </c>
      <c r="W5142">
        <f>SUM(POTABLE_NONPOTABLE_API[[#This Row],[NONPOTABLE_DEMAND_RESIDENTIAL_RECYCLED_WATER_GAL]:[NONPOTABLE_DEMAND_NONRESIDENTIAL_METERED_IRRIGATION_GAL]])</f>
        <v>0</v>
      </c>
      <c r="X5142" t="str">
        <f>IFERROR(INDEX(Crosswalk_API!$H$2:$H$527, MATCH(POTABLE_NONPOTABLE_API[[#This Row],[PWSID]], CW_PWSID_LIST, 0)), "")</f>
        <v>No</v>
      </c>
    </row>
    <row r="5143" spans="1:24" x14ac:dyDescent="0.25">
      <c r="A5143" t="s">
        <v>2237</v>
      </c>
      <c r="B5143" t="s">
        <v>2238</v>
      </c>
      <c r="C5143" t="s">
        <v>2239</v>
      </c>
      <c r="D5143" t="s">
        <v>2240</v>
      </c>
      <c r="E5143" s="9">
        <v>45261</v>
      </c>
      <c r="F5143" s="9">
        <v>45291</v>
      </c>
      <c r="G5143">
        <v>69963059.403999999</v>
      </c>
      <c r="H5143">
        <v>94616609.167999998</v>
      </c>
      <c r="I5143">
        <v>64969812.304000005</v>
      </c>
      <c r="J5143">
        <v>12345102.155999999</v>
      </c>
      <c r="K5143">
        <v>0</v>
      </c>
      <c r="L5143">
        <v>7354847.2640000004</v>
      </c>
      <c r="M5143">
        <v>0</v>
      </c>
      <c r="T5143" s="9">
        <v>45108</v>
      </c>
      <c r="U5143" s="9">
        <v>45473</v>
      </c>
      <c r="V5143">
        <f>SUM(POTABLE_NONPOTABLE_API[[#This Row],[RESIDENTIAL_SINGLEFAMILY_GAL]:[OTHER_GAL]])</f>
        <v>249249430.29599997</v>
      </c>
      <c r="W5143">
        <f>SUM(POTABLE_NONPOTABLE_API[[#This Row],[NONPOTABLE_DEMAND_RESIDENTIAL_RECYCLED_WATER_GAL]:[NONPOTABLE_DEMAND_NONRESIDENTIAL_METERED_IRRIGATION_GAL]])</f>
        <v>0</v>
      </c>
      <c r="X5143" t="str">
        <f>IFERROR(INDEX(Crosswalk_API!$H$2:$H$527, MATCH(POTABLE_NONPOTABLE_API[[#This Row],[PWSID]], CW_PWSID_LIST, 0)), "")</f>
        <v>No</v>
      </c>
    </row>
    <row r="5144" spans="1:24" x14ac:dyDescent="0.25">
      <c r="A5144" t="s">
        <v>2237</v>
      </c>
      <c r="B5144" t="s">
        <v>2238</v>
      </c>
      <c r="C5144" t="s">
        <v>2239</v>
      </c>
      <c r="D5144" t="s">
        <v>2240</v>
      </c>
      <c r="E5144" s="9">
        <v>45292</v>
      </c>
      <c r="F5144" s="9">
        <v>45322</v>
      </c>
      <c r="G5144">
        <v>55195764.872000001</v>
      </c>
      <c r="H5144">
        <v>133557952.132</v>
      </c>
      <c r="I5144">
        <v>69038467.131999999</v>
      </c>
      <c r="J5144">
        <v>7049642.0480000004</v>
      </c>
      <c r="K5144">
        <v>0</v>
      </c>
      <c r="L5144">
        <v>5716613.3840000005</v>
      </c>
      <c r="M5144">
        <v>0</v>
      </c>
      <c r="T5144" s="9">
        <v>45108</v>
      </c>
      <c r="U5144" s="9">
        <v>45473</v>
      </c>
      <c r="V5144">
        <f>SUM(POTABLE_NONPOTABLE_API[[#This Row],[RESIDENTIAL_SINGLEFAMILY_GAL]:[OTHER_GAL]])</f>
        <v>270558439.56800002</v>
      </c>
      <c r="W5144">
        <f>SUM(POTABLE_NONPOTABLE_API[[#This Row],[NONPOTABLE_DEMAND_RESIDENTIAL_RECYCLED_WATER_GAL]:[NONPOTABLE_DEMAND_NONRESIDENTIAL_METERED_IRRIGATION_GAL]])</f>
        <v>0</v>
      </c>
      <c r="X5144" t="str">
        <f>IFERROR(INDEX(Crosswalk_API!$H$2:$H$527, MATCH(POTABLE_NONPOTABLE_API[[#This Row],[PWSID]], CW_PWSID_LIST, 0)), "")</f>
        <v>No</v>
      </c>
    </row>
    <row r="5145" spans="1:24" x14ac:dyDescent="0.25">
      <c r="A5145" t="s">
        <v>2237</v>
      </c>
      <c r="B5145" t="s">
        <v>2238</v>
      </c>
      <c r="C5145" t="s">
        <v>2239</v>
      </c>
      <c r="D5145" t="s">
        <v>2240</v>
      </c>
      <c r="E5145" s="9">
        <v>45323</v>
      </c>
      <c r="F5145" s="9">
        <v>45351</v>
      </c>
      <c r="G5145">
        <v>51486175.004000001</v>
      </c>
      <c r="H5145">
        <v>91563808.956</v>
      </c>
      <c r="I5145">
        <v>46349301.920000002</v>
      </c>
      <c r="J5145">
        <v>6132530.2960000001</v>
      </c>
      <c r="K5145">
        <v>0</v>
      </c>
      <c r="L5145">
        <v>4756862.6680000005</v>
      </c>
      <c r="M5145">
        <v>0</v>
      </c>
      <c r="T5145" s="9">
        <v>45108</v>
      </c>
      <c r="U5145" s="9">
        <v>45473</v>
      </c>
      <c r="V5145">
        <f>SUM(POTABLE_NONPOTABLE_API[[#This Row],[RESIDENTIAL_SINGLEFAMILY_GAL]:[OTHER_GAL]])</f>
        <v>200288678.84400001</v>
      </c>
      <c r="W5145">
        <f>SUM(POTABLE_NONPOTABLE_API[[#This Row],[NONPOTABLE_DEMAND_RESIDENTIAL_RECYCLED_WATER_GAL]:[NONPOTABLE_DEMAND_NONRESIDENTIAL_METERED_IRRIGATION_GAL]])</f>
        <v>0</v>
      </c>
      <c r="X5145" t="str">
        <f>IFERROR(INDEX(Crosswalk_API!$H$2:$H$527, MATCH(POTABLE_NONPOTABLE_API[[#This Row],[PWSID]], CW_PWSID_LIST, 0)), "")</f>
        <v>No</v>
      </c>
    </row>
    <row r="5146" spans="1:24" x14ac:dyDescent="0.25">
      <c r="A5146" t="s">
        <v>2237</v>
      </c>
      <c r="B5146" t="s">
        <v>2238</v>
      </c>
      <c r="C5146" t="s">
        <v>2239</v>
      </c>
      <c r="D5146" t="s">
        <v>2240</v>
      </c>
      <c r="E5146" s="9">
        <v>45352</v>
      </c>
      <c r="F5146" s="9">
        <v>45382</v>
      </c>
      <c r="G5146">
        <v>39248792.336000003</v>
      </c>
      <c r="H5146">
        <v>132156102.684</v>
      </c>
      <c r="I5146">
        <v>64444679.800000004</v>
      </c>
      <c r="J5146">
        <v>2966774.2320000003</v>
      </c>
      <c r="K5146">
        <v>0</v>
      </c>
      <c r="L5146">
        <v>5452551.0279999999</v>
      </c>
      <c r="M5146">
        <v>0</v>
      </c>
      <c r="T5146" s="9">
        <v>45108</v>
      </c>
      <c r="U5146" s="9">
        <v>45473</v>
      </c>
      <c r="V5146">
        <f>SUM(POTABLE_NONPOTABLE_API[[#This Row],[RESIDENTIAL_SINGLEFAMILY_GAL]:[OTHER_GAL]])</f>
        <v>244268900.08000001</v>
      </c>
      <c r="W5146">
        <f>SUM(POTABLE_NONPOTABLE_API[[#This Row],[NONPOTABLE_DEMAND_RESIDENTIAL_RECYCLED_WATER_GAL]:[NONPOTABLE_DEMAND_NONRESIDENTIAL_METERED_IRRIGATION_GAL]])</f>
        <v>0</v>
      </c>
      <c r="X5146" t="str">
        <f>IFERROR(INDEX(Crosswalk_API!$H$2:$H$527, MATCH(POTABLE_NONPOTABLE_API[[#This Row],[PWSID]], CW_PWSID_LIST, 0)), "")</f>
        <v>No</v>
      </c>
    </row>
    <row r="5147" spans="1:24" x14ac:dyDescent="0.25">
      <c r="A5147" t="s">
        <v>2237</v>
      </c>
      <c r="B5147" t="s">
        <v>2238</v>
      </c>
      <c r="C5147" t="s">
        <v>2239</v>
      </c>
      <c r="D5147" t="s">
        <v>2240</v>
      </c>
      <c r="E5147" s="9">
        <v>45383</v>
      </c>
      <c r="F5147" s="9">
        <v>45412</v>
      </c>
      <c r="G5147">
        <v>45233208.336000003</v>
      </c>
      <c r="H5147">
        <v>87762956.744000003</v>
      </c>
      <c r="I5147">
        <v>53681707.623999998</v>
      </c>
      <c r="J5147">
        <v>5084509.4440000001</v>
      </c>
      <c r="K5147">
        <v>0</v>
      </c>
      <c r="L5147">
        <v>4889267.8720000004</v>
      </c>
      <c r="M5147">
        <v>0</v>
      </c>
      <c r="T5147" s="9">
        <v>45108</v>
      </c>
      <c r="U5147" s="9">
        <v>45473</v>
      </c>
      <c r="V5147">
        <f>SUM(POTABLE_NONPOTABLE_API[[#This Row],[RESIDENTIAL_SINGLEFAMILY_GAL]:[OTHER_GAL]])</f>
        <v>196651650.02000001</v>
      </c>
      <c r="W5147">
        <f>SUM(POTABLE_NONPOTABLE_API[[#This Row],[NONPOTABLE_DEMAND_RESIDENTIAL_RECYCLED_WATER_GAL]:[NONPOTABLE_DEMAND_NONRESIDENTIAL_METERED_IRRIGATION_GAL]])</f>
        <v>0</v>
      </c>
      <c r="X5147" t="str">
        <f>IFERROR(INDEX(Crosswalk_API!$H$2:$H$527, MATCH(POTABLE_NONPOTABLE_API[[#This Row],[PWSID]], CW_PWSID_LIST, 0)), "")</f>
        <v>No</v>
      </c>
    </row>
    <row r="5148" spans="1:24" x14ac:dyDescent="0.25">
      <c r="A5148" t="s">
        <v>2237</v>
      </c>
      <c r="B5148" t="s">
        <v>2238</v>
      </c>
      <c r="C5148" t="s">
        <v>2239</v>
      </c>
      <c r="D5148" t="s">
        <v>2240</v>
      </c>
      <c r="E5148" s="9">
        <v>45413</v>
      </c>
      <c r="F5148" s="9">
        <v>45443</v>
      </c>
      <c r="G5148">
        <v>50704460.664000005</v>
      </c>
      <c r="H5148">
        <v>131296590.936</v>
      </c>
      <c r="I5148">
        <v>68594124.244000003</v>
      </c>
      <c r="J5148">
        <v>5675470.5240000002</v>
      </c>
      <c r="K5148">
        <v>0</v>
      </c>
      <c r="L5148">
        <v>5834805.6000000006</v>
      </c>
      <c r="M5148">
        <v>0</v>
      </c>
      <c r="T5148" s="9">
        <v>45108</v>
      </c>
      <c r="U5148" s="9">
        <v>45473</v>
      </c>
      <c r="V5148">
        <f>SUM(POTABLE_NONPOTABLE_API[[#This Row],[RESIDENTIAL_SINGLEFAMILY_GAL]:[OTHER_GAL]])</f>
        <v>262105451.96800002</v>
      </c>
      <c r="W5148">
        <f>SUM(POTABLE_NONPOTABLE_API[[#This Row],[NONPOTABLE_DEMAND_RESIDENTIAL_RECYCLED_WATER_GAL]:[NONPOTABLE_DEMAND_NONRESIDENTIAL_METERED_IRRIGATION_GAL]])</f>
        <v>0</v>
      </c>
      <c r="X5148" t="str">
        <f>IFERROR(INDEX(Crosswalk_API!$H$2:$H$527, MATCH(POTABLE_NONPOTABLE_API[[#This Row],[PWSID]], CW_PWSID_LIST, 0)), "")</f>
        <v>No</v>
      </c>
    </row>
    <row r="5149" spans="1:24" x14ac:dyDescent="0.25">
      <c r="A5149" t="s">
        <v>2237</v>
      </c>
      <c r="B5149" t="s">
        <v>2238</v>
      </c>
      <c r="C5149" t="s">
        <v>2239</v>
      </c>
      <c r="D5149" t="s">
        <v>2240</v>
      </c>
      <c r="E5149" s="9">
        <v>45444</v>
      </c>
      <c r="F5149" s="9">
        <v>45473</v>
      </c>
      <c r="G5149">
        <v>67649334.568000004</v>
      </c>
      <c r="H5149">
        <v>98779518.548000008</v>
      </c>
      <c r="I5149">
        <v>63283703.096000001</v>
      </c>
      <c r="J5149">
        <v>17307679.124000002</v>
      </c>
      <c r="K5149">
        <v>0</v>
      </c>
      <c r="L5149">
        <v>5697912.0839999998</v>
      </c>
      <c r="M5149">
        <v>0</v>
      </c>
      <c r="T5149" s="9">
        <v>45108</v>
      </c>
      <c r="U5149" s="9">
        <v>45473</v>
      </c>
      <c r="V5149">
        <f>SUM(POTABLE_NONPOTABLE_API[[#This Row],[RESIDENTIAL_SINGLEFAMILY_GAL]:[OTHER_GAL]])</f>
        <v>252718147.42000002</v>
      </c>
      <c r="W5149">
        <f>SUM(POTABLE_NONPOTABLE_API[[#This Row],[NONPOTABLE_DEMAND_RESIDENTIAL_RECYCLED_WATER_GAL]:[NONPOTABLE_DEMAND_NONRESIDENTIAL_METERED_IRRIGATION_GAL]])</f>
        <v>0</v>
      </c>
      <c r="X5149" t="str">
        <f>IFERROR(INDEX(Crosswalk_API!$H$2:$H$527, MATCH(POTABLE_NONPOTABLE_API[[#This Row],[PWSID]], CW_PWSID_LIST, 0)), "")</f>
        <v>No</v>
      </c>
    </row>
    <row r="5150" spans="1:24" x14ac:dyDescent="0.25">
      <c r="A5150" t="s">
        <v>2241</v>
      </c>
      <c r="B5150" t="s">
        <v>2242</v>
      </c>
      <c r="C5150" t="s">
        <v>2243</v>
      </c>
      <c r="D5150" t="s">
        <v>2244</v>
      </c>
      <c r="E5150" s="9">
        <v>45108</v>
      </c>
      <c r="F5150" s="9">
        <v>45138</v>
      </c>
      <c r="G5150">
        <v>55339390.855999999</v>
      </c>
      <c r="H5150">
        <v>20732261.18</v>
      </c>
      <c r="I5150">
        <v>12357070.988</v>
      </c>
      <c r="J5150">
        <v>4260156.1399999997</v>
      </c>
      <c r="K5150">
        <v>149610.4</v>
      </c>
      <c r="L5150">
        <v>1295626.064</v>
      </c>
      <c r="M5150">
        <v>0</v>
      </c>
      <c r="T5150" s="9">
        <v>45108</v>
      </c>
      <c r="U5150" s="9">
        <v>45473</v>
      </c>
      <c r="V5150">
        <f>SUM(POTABLE_NONPOTABLE_API[[#This Row],[RESIDENTIAL_SINGLEFAMILY_GAL]:[OTHER_GAL]])</f>
        <v>94134115.628000006</v>
      </c>
      <c r="W5150">
        <f>SUM(POTABLE_NONPOTABLE_API[[#This Row],[NONPOTABLE_DEMAND_RESIDENTIAL_RECYCLED_WATER_GAL]:[NONPOTABLE_DEMAND_NONRESIDENTIAL_METERED_IRRIGATION_GAL]])</f>
        <v>0</v>
      </c>
      <c r="X5150" t="str">
        <f>IFERROR(INDEX(Crosswalk_API!$H$2:$H$527, MATCH(POTABLE_NONPOTABLE_API[[#This Row],[PWSID]], CW_PWSID_LIST, 0)), "")</f>
        <v>No</v>
      </c>
    </row>
    <row r="5151" spans="1:24" x14ac:dyDescent="0.25">
      <c r="A5151" t="s">
        <v>2241</v>
      </c>
      <c r="B5151" t="s">
        <v>2242</v>
      </c>
      <c r="C5151" t="s">
        <v>2243</v>
      </c>
      <c r="D5151" t="s">
        <v>2244</v>
      </c>
      <c r="E5151" s="9">
        <v>45139</v>
      </c>
      <c r="F5151" s="9">
        <v>45169</v>
      </c>
      <c r="G5151">
        <v>63221614.780000001</v>
      </c>
      <c r="H5151">
        <v>24637840.672000002</v>
      </c>
      <c r="I5151">
        <v>13850930.832</v>
      </c>
      <c r="J5151">
        <v>166815.59599999999</v>
      </c>
      <c r="K5151">
        <v>786950.70400000003</v>
      </c>
      <c r="L5151">
        <v>1340509.1840000001</v>
      </c>
      <c r="M5151">
        <v>0</v>
      </c>
      <c r="T5151" s="9">
        <v>45108</v>
      </c>
      <c r="U5151" s="9">
        <v>45473</v>
      </c>
      <c r="V5151">
        <f>SUM(POTABLE_NONPOTABLE_API[[#This Row],[RESIDENTIAL_SINGLEFAMILY_GAL]:[OTHER_GAL]])</f>
        <v>104004661.76800001</v>
      </c>
      <c r="W5151">
        <f>SUM(POTABLE_NONPOTABLE_API[[#This Row],[NONPOTABLE_DEMAND_RESIDENTIAL_RECYCLED_WATER_GAL]:[NONPOTABLE_DEMAND_NONRESIDENTIAL_METERED_IRRIGATION_GAL]])</f>
        <v>0</v>
      </c>
      <c r="X5151" t="str">
        <f>IFERROR(INDEX(Crosswalk_API!$H$2:$H$527, MATCH(POTABLE_NONPOTABLE_API[[#This Row],[PWSID]], CW_PWSID_LIST, 0)), "")</f>
        <v>No</v>
      </c>
    </row>
    <row r="5152" spans="1:24" x14ac:dyDescent="0.25">
      <c r="A5152" t="s">
        <v>2241</v>
      </c>
      <c r="B5152" t="s">
        <v>2242</v>
      </c>
      <c r="C5152" t="s">
        <v>2243</v>
      </c>
      <c r="D5152" t="s">
        <v>2244</v>
      </c>
      <c r="E5152" s="9">
        <v>45170</v>
      </c>
      <c r="F5152" s="9">
        <v>45199</v>
      </c>
      <c r="G5152">
        <v>57581302.700000003</v>
      </c>
      <c r="H5152">
        <v>21420469.02</v>
      </c>
      <c r="I5152">
        <v>16135481.640000001</v>
      </c>
      <c r="J5152">
        <v>4946867.8760000002</v>
      </c>
      <c r="K5152">
        <v>173548.06400000001</v>
      </c>
      <c r="L5152">
        <v>1631501.412</v>
      </c>
      <c r="M5152">
        <v>0</v>
      </c>
      <c r="T5152" s="9">
        <v>45108</v>
      </c>
      <c r="U5152" s="9">
        <v>45473</v>
      </c>
      <c r="V5152">
        <f>SUM(POTABLE_NONPOTABLE_API[[#This Row],[RESIDENTIAL_SINGLEFAMILY_GAL]:[OTHER_GAL]])</f>
        <v>101889170.712</v>
      </c>
      <c r="W5152">
        <f>SUM(POTABLE_NONPOTABLE_API[[#This Row],[NONPOTABLE_DEMAND_RESIDENTIAL_RECYCLED_WATER_GAL]:[NONPOTABLE_DEMAND_NONRESIDENTIAL_METERED_IRRIGATION_GAL]])</f>
        <v>0</v>
      </c>
      <c r="X5152" t="str">
        <f>IFERROR(INDEX(Crosswalk_API!$H$2:$H$527, MATCH(POTABLE_NONPOTABLE_API[[#This Row],[PWSID]], CW_PWSID_LIST, 0)), "")</f>
        <v>No</v>
      </c>
    </row>
    <row r="5153" spans="1:24" x14ac:dyDescent="0.25">
      <c r="A5153" t="s">
        <v>2241</v>
      </c>
      <c r="B5153" t="s">
        <v>2242</v>
      </c>
      <c r="C5153" t="s">
        <v>2243</v>
      </c>
      <c r="D5153" t="s">
        <v>2244</v>
      </c>
      <c r="E5153" s="9">
        <v>45200</v>
      </c>
      <c r="F5153" s="9">
        <v>45230</v>
      </c>
      <c r="G5153">
        <v>60468783.420000002</v>
      </c>
      <c r="H5153">
        <v>19604.946816</v>
      </c>
      <c r="I5153">
        <v>15085216.632000001</v>
      </c>
      <c r="J5153">
        <v>2926379.4240000001</v>
      </c>
      <c r="K5153">
        <v>146618.19200000001</v>
      </c>
      <c r="L5153">
        <v>1919501.432</v>
      </c>
      <c r="M5153">
        <v>0</v>
      </c>
      <c r="T5153" s="9">
        <v>45108</v>
      </c>
      <c r="U5153" s="9">
        <v>45473</v>
      </c>
      <c r="V5153">
        <f>SUM(POTABLE_NONPOTABLE_API[[#This Row],[RESIDENTIAL_SINGLEFAMILY_GAL]:[OTHER_GAL]])</f>
        <v>80566104.046815991</v>
      </c>
      <c r="W5153">
        <f>SUM(POTABLE_NONPOTABLE_API[[#This Row],[NONPOTABLE_DEMAND_RESIDENTIAL_RECYCLED_WATER_GAL]:[NONPOTABLE_DEMAND_NONRESIDENTIAL_METERED_IRRIGATION_GAL]])</f>
        <v>0</v>
      </c>
      <c r="X5153" t="str">
        <f>IFERROR(INDEX(Crosswalk_API!$H$2:$H$527, MATCH(POTABLE_NONPOTABLE_API[[#This Row],[PWSID]], CW_PWSID_LIST, 0)), "")</f>
        <v>No</v>
      </c>
    </row>
    <row r="5154" spans="1:24" x14ac:dyDescent="0.25">
      <c r="A5154" t="s">
        <v>2241</v>
      </c>
      <c r="B5154" t="s">
        <v>2242</v>
      </c>
      <c r="C5154" t="s">
        <v>2243</v>
      </c>
      <c r="D5154" t="s">
        <v>2244</v>
      </c>
      <c r="E5154" s="9">
        <v>45231</v>
      </c>
      <c r="F5154" s="9">
        <v>45260</v>
      </c>
      <c r="G5154">
        <v>52281354.280000001</v>
      </c>
      <c r="H5154">
        <v>17668988.240000002</v>
      </c>
      <c r="I5154">
        <v>11654650.16</v>
      </c>
      <c r="J5154">
        <v>99490.915999999997</v>
      </c>
      <c r="K5154">
        <v>2411719.648</v>
      </c>
      <c r="L5154">
        <v>1084675.4000000001</v>
      </c>
      <c r="M5154">
        <v>203470.144</v>
      </c>
      <c r="T5154" s="9">
        <v>45108</v>
      </c>
      <c r="U5154" s="9">
        <v>45473</v>
      </c>
      <c r="V5154">
        <f>SUM(POTABLE_NONPOTABLE_API[[#This Row],[RESIDENTIAL_SINGLEFAMILY_GAL]:[OTHER_GAL]])</f>
        <v>85200878.644000009</v>
      </c>
      <c r="W5154">
        <f>SUM(POTABLE_NONPOTABLE_API[[#This Row],[NONPOTABLE_DEMAND_RESIDENTIAL_RECYCLED_WATER_GAL]:[NONPOTABLE_DEMAND_NONRESIDENTIAL_METERED_IRRIGATION_GAL]])</f>
        <v>0</v>
      </c>
      <c r="X5154" t="str">
        <f>IFERROR(INDEX(Crosswalk_API!$H$2:$H$527, MATCH(POTABLE_NONPOTABLE_API[[#This Row],[PWSID]], CW_PWSID_LIST, 0)), "")</f>
        <v>No</v>
      </c>
    </row>
    <row r="5155" spans="1:24" x14ac:dyDescent="0.25">
      <c r="A5155" t="s">
        <v>2241</v>
      </c>
      <c r="B5155" t="s">
        <v>2242</v>
      </c>
      <c r="C5155" t="s">
        <v>2243</v>
      </c>
      <c r="D5155" t="s">
        <v>2244</v>
      </c>
      <c r="E5155" s="9">
        <v>45261</v>
      </c>
      <c r="F5155" s="9">
        <v>45291</v>
      </c>
      <c r="G5155">
        <v>61590113.368000001</v>
      </c>
      <c r="H5155">
        <v>19344624.719999999</v>
      </c>
      <c r="I5155">
        <v>13673642.508000001</v>
      </c>
      <c r="J5155">
        <v>5548301.6840000004</v>
      </c>
      <c r="K5155">
        <v>103231.17600000001</v>
      </c>
      <c r="L5155">
        <v>1239522.1640000001</v>
      </c>
      <c r="M5155">
        <v>0</v>
      </c>
      <c r="T5155" s="9">
        <v>45108</v>
      </c>
      <c r="U5155" s="9">
        <v>45473</v>
      </c>
      <c r="V5155">
        <f>SUM(POTABLE_NONPOTABLE_API[[#This Row],[RESIDENTIAL_SINGLEFAMILY_GAL]:[OTHER_GAL]])</f>
        <v>101499435.62</v>
      </c>
      <c r="W5155">
        <f>SUM(POTABLE_NONPOTABLE_API[[#This Row],[NONPOTABLE_DEMAND_RESIDENTIAL_RECYCLED_WATER_GAL]:[NONPOTABLE_DEMAND_NONRESIDENTIAL_METERED_IRRIGATION_GAL]])</f>
        <v>0</v>
      </c>
      <c r="X5155" t="str">
        <f>IFERROR(INDEX(Crosswalk_API!$H$2:$H$527, MATCH(POTABLE_NONPOTABLE_API[[#This Row],[PWSID]], CW_PWSID_LIST, 0)), "")</f>
        <v>No</v>
      </c>
    </row>
    <row r="5156" spans="1:24" x14ac:dyDescent="0.25">
      <c r="A5156" t="s">
        <v>2241</v>
      </c>
      <c r="B5156" t="s">
        <v>2242</v>
      </c>
      <c r="C5156" t="s">
        <v>2243</v>
      </c>
      <c r="D5156" t="s">
        <v>2244</v>
      </c>
      <c r="E5156" s="9">
        <v>45292</v>
      </c>
      <c r="F5156" s="9">
        <v>45322</v>
      </c>
      <c r="G5156">
        <v>47797530.592</v>
      </c>
      <c r="H5156">
        <v>14580281.532</v>
      </c>
      <c r="I5156">
        <v>9617704.5640000012</v>
      </c>
      <c r="J5156">
        <v>3358005.4280000003</v>
      </c>
      <c r="K5156">
        <v>102483.124</v>
      </c>
      <c r="L5156">
        <v>6285132.9040000001</v>
      </c>
      <c r="M5156">
        <v>0</v>
      </c>
      <c r="T5156" s="9">
        <v>45108</v>
      </c>
      <c r="U5156" s="9">
        <v>45473</v>
      </c>
      <c r="V5156">
        <f>SUM(POTABLE_NONPOTABLE_API[[#This Row],[RESIDENTIAL_SINGLEFAMILY_GAL]:[OTHER_GAL]])</f>
        <v>81741138.143999994</v>
      </c>
      <c r="W5156">
        <f>SUM(POTABLE_NONPOTABLE_API[[#This Row],[NONPOTABLE_DEMAND_RESIDENTIAL_RECYCLED_WATER_GAL]:[NONPOTABLE_DEMAND_NONRESIDENTIAL_METERED_IRRIGATION_GAL]])</f>
        <v>0</v>
      </c>
      <c r="X5156" t="str">
        <f>IFERROR(INDEX(Crosswalk_API!$H$2:$H$527, MATCH(POTABLE_NONPOTABLE_API[[#This Row],[PWSID]], CW_PWSID_LIST, 0)), "")</f>
        <v>No</v>
      </c>
    </row>
    <row r="5157" spans="1:24" x14ac:dyDescent="0.25">
      <c r="A5157" t="s">
        <v>2241</v>
      </c>
      <c r="B5157" t="s">
        <v>2242</v>
      </c>
      <c r="C5157" t="s">
        <v>2243</v>
      </c>
      <c r="D5157" t="s">
        <v>2244</v>
      </c>
      <c r="E5157" s="9">
        <v>45323</v>
      </c>
      <c r="F5157" s="9">
        <v>45351</v>
      </c>
      <c r="G5157">
        <v>42614278.284000002</v>
      </c>
      <c r="H5157">
        <v>14131450.332</v>
      </c>
      <c r="I5157">
        <v>7660800.5320000006</v>
      </c>
      <c r="J5157">
        <v>2086317.0280000002</v>
      </c>
      <c r="K5157">
        <v>96498.707999999999</v>
      </c>
      <c r="L5157">
        <v>2859054.7439999999</v>
      </c>
      <c r="M5157">
        <v>0</v>
      </c>
      <c r="T5157" s="9">
        <v>45108</v>
      </c>
      <c r="U5157" s="9">
        <v>45473</v>
      </c>
      <c r="V5157">
        <f>SUM(POTABLE_NONPOTABLE_API[[#This Row],[RESIDENTIAL_SINGLEFAMILY_GAL]:[OTHER_GAL]])</f>
        <v>69448399.627999991</v>
      </c>
      <c r="W5157">
        <f>SUM(POTABLE_NONPOTABLE_API[[#This Row],[NONPOTABLE_DEMAND_RESIDENTIAL_RECYCLED_WATER_GAL]:[NONPOTABLE_DEMAND_NONRESIDENTIAL_METERED_IRRIGATION_GAL]])</f>
        <v>0</v>
      </c>
      <c r="X5157" t="str">
        <f>IFERROR(INDEX(Crosswalk_API!$H$2:$H$527, MATCH(POTABLE_NONPOTABLE_API[[#This Row],[PWSID]], CW_PWSID_LIST, 0)), "")</f>
        <v>No</v>
      </c>
    </row>
    <row r="5158" spans="1:24" x14ac:dyDescent="0.25">
      <c r="A5158" t="s">
        <v>2241</v>
      </c>
      <c r="B5158" t="s">
        <v>2242</v>
      </c>
      <c r="C5158" t="s">
        <v>2243</v>
      </c>
      <c r="D5158" t="s">
        <v>2244</v>
      </c>
      <c r="E5158" s="9">
        <v>45352</v>
      </c>
      <c r="F5158" s="9">
        <v>45382</v>
      </c>
      <c r="G5158">
        <v>43468553.667999998</v>
      </c>
      <c r="H5158">
        <v>5484717.2640000004</v>
      </c>
      <c r="I5158">
        <v>8826265.5480000004</v>
      </c>
      <c r="J5158">
        <v>7001766.7199999997</v>
      </c>
      <c r="K5158">
        <v>117444.164</v>
      </c>
      <c r="L5158">
        <v>2396758.608</v>
      </c>
      <c r="M5158">
        <v>0</v>
      </c>
      <c r="T5158" s="9">
        <v>45108</v>
      </c>
      <c r="U5158" s="9">
        <v>45473</v>
      </c>
      <c r="V5158">
        <f>SUM(POTABLE_NONPOTABLE_API[[#This Row],[RESIDENTIAL_SINGLEFAMILY_GAL]:[OTHER_GAL]])</f>
        <v>67295505.971999988</v>
      </c>
      <c r="W5158">
        <f>SUM(POTABLE_NONPOTABLE_API[[#This Row],[NONPOTABLE_DEMAND_RESIDENTIAL_RECYCLED_WATER_GAL]:[NONPOTABLE_DEMAND_NONRESIDENTIAL_METERED_IRRIGATION_GAL]])</f>
        <v>0</v>
      </c>
      <c r="X5158" t="str">
        <f>IFERROR(INDEX(Crosswalk_API!$H$2:$H$527, MATCH(POTABLE_NONPOTABLE_API[[#This Row],[PWSID]], CW_PWSID_LIST, 0)), "")</f>
        <v>No</v>
      </c>
    </row>
    <row r="5159" spans="1:24" x14ac:dyDescent="0.25">
      <c r="A5159" t="s">
        <v>2241</v>
      </c>
      <c r="B5159" t="s">
        <v>2242</v>
      </c>
      <c r="C5159" t="s">
        <v>2243</v>
      </c>
      <c r="D5159" t="s">
        <v>2244</v>
      </c>
      <c r="E5159" s="9">
        <v>45383</v>
      </c>
      <c r="F5159" s="9">
        <v>45412</v>
      </c>
      <c r="G5159">
        <v>39717072.888000004</v>
      </c>
      <c r="H5159">
        <v>17597923.300000001</v>
      </c>
      <c r="I5159">
        <v>11242473.507999999</v>
      </c>
      <c r="J5159">
        <v>1754181.94</v>
      </c>
      <c r="K5159">
        <v>136145.46400000001</v>
      </c>
      <c r="L5159">
        <v>4460634.0760000004</v>
      </c>
      <c r="M5159">
        <v>0</v>
      </c>
      <c r="T5159" s="9">
        <v>45108</v>
      </c>
      <c r="U5159" s="9">
        <v>45473</v>
      </c>
      <c r="V5159">
        <f>SUM(POTABLE_NONPOTABLE_API[[#This Row],[RESIDENTIAL_SINGLEFAMILY_GAL]:[OTHER_GAL]])</f>
        <v>74908431.176000014</v>
      </c>
      <c r="W5159">
        <f>SUM(POTABLE_NONPOTABLE_API[[#This Row],[NONPOTABLE_DEMAND_RESIDENTIAL_RECYCLED_WATER_GAL]:[NONPOTABLE_DEMAND_NONRESIDENTIAL_METERED_IRRIGATION_GAL]])</f>
        <v>0</v>
      </c>
      <c r="X5159" t="str">
        <f>IFERROR(INDEX(Crosswalk_API!$H$2:$H$527, MATCH(POTABLE_NONPOTABLE_API[[#This Row],[PWSID]], CW_PWSID_LIST, 0)), "")</f>
        <v>No</v>
      </c>
    </row>
    <row r="5160" spans="1:24" x14ac:dyDescent="0.25">
      <c r="A5160" t="s">
        <v>2241</v>
      </c>
      <c r="B5160" t="s">
        <v>2242</v>
      </c>
      <c r="C5160" t="s">
        <v>2243</v>
      </c>
      <c r="D5160" t="s">
        <v>2244</v>
      </c>
      <c r="E5160" s="9">
        <v>45413</v>
      </c>
      <c r="F5160" s="9">
        <v>45443</v>
      </c>
      <c r="G5160">
        <v>51884138.667999998</v>
      </c>
      <c r="H5160">
        <v>18803035.072000001</v>
      </c>
      <c r="I5160">
        <v>11479605.992000001</v>
      </c>
      <c r="J5160">
        <v>2362348.216</v>
      </c>
      <c r="K5160">
        <v>183272.74</v>
      </c>
      <c r="L5160">
        <v>6603055.0039999997</v>
      </c>
      <c r="M5160">
        <v>0</v>
      </c>
      <c r="T5160" s="9">
        <v>45108</v>
      </c>
      <c r="U5160" s="9">
        <v>45473</v>
      </c>
      <c r="V5160">
        <f>SUM(POTABLE_NONPOTABLE_API[[#This Row],[RESIDENTIAL_SINGLEFAMILY_GAL]:[OTHER_GAL]])</f>
        <v>91315455.691999987</v>
      </c>
      <c r="W5160">
        <f>SUM(POTABLE_NONPOTABLE_API[[#This Row],[NONPOTABLE_DEMAND_RESIDENTIAL_RECYCLED_WATER_GAL]:[NONPOTABLE_DEMAND_NONRESIDENTIAL_METERED_IRRIGATION_GAL]])</f>
        <v>0</v>
      </c>
      <c r="X5160" t="str">
        <f>IFERROR(INDEX(Crosswalk_API!$H$2:$H$527, MATCH(POTABLE_NONPOTABLE_API[[#This Row],[PWSID]], CW_PWSID_LIST, 0)), "")</f>
        <v>No</v>
      </c>
    </row>
    <row r="5161" spans="1:24" x14ac:dyDescent="0.25">
      <c r="A5161" t="s">
        <v>2241</v>
      </c>
      <c r="B5161" t="s">
        <v>2242</v>
      </c>
      <c r="C5161" t="s">
        <v>2243</v>
      </c>
      <c r="D5161" t="s">
        <v>2244</v>
      </c>
      <c r="E5161" s="9">
        <v>45444</v>
      </c>
      <c r="F5161" s="9">
        <v>45473</v>
      </c>
      <c r="G5161">
        <v>50750091.836000003</v>
      </c>
      <c r="H5161">
        <v>17381736.272</v>
      </c>
      <c r="I5161">
        <v>10822068.284</v>
      </c>
      <c r="J5161">
        <v>4396301.6040000003</v>
      </c>
      <c r="K5161">
        <v>136893.516</v>
      </c>
      <c r="L5161">
        <v>1112353.324</v>
      </c>
      <c r="M5161">
        <v>0</v>
      </c>
      <c r="T5161" s="9">
        <v>45108</v>
      </c>
      <c r="U5161" s="9">
        <v>45473</v>
      </c>
      <c r="V5161">
        <f>SUM(POTABLE_NONPOTABLE_API[[#This Row],[RESIDENTIAL_SINGLEFAMILY_GAL]:[OTHER_GAL]])</f>
        <v>84599444.83600001</v>
      </c>
      <c r="W5161">
        <f>SUM(POTABLE_NONPOTABLE_API[[#This Row],[NONPOTABLE_DEMAND_RESIDENTIAL_RECYCLED_WATER_GAL]:[NONPOTABLE_DEMAND_NONRESIDENTIAL_METERED_IRRIGATION_GAL]])</f>
        <v>0</v>
      </c>
      <c r="X5161" t="str">
        <f>IFERROR(INDEX(Crosswalk_API!$H$2:$H$527, MATCH(POTABLE_NONPOTABLE_API[[#This Row],[PWSID]], CW_PWSID_LIST, 0)), "")</f>
        <v>No</v>
      </c>
    </row>
    <row r="5162" spans="1:24" x14ac:dyDescent="0.25">
      <c r="A5162" t="s">
        <v>2245</v>
      </c>
      <c r="B5162" t="s">
        <v>2246</v>
      </c>
      <c r="C5162" t="s">
        <v>2247</v>
      </c>
      <c r="D5162" t="s">
        <v>2248</v>
      </c>
      <c r="E5162" s="9">
        <v>45108</v>
      </c>
      <c r="F5162" s="9">
        <v>45138</v>
      </c>
      <c r="G5162">
        <v>277955000</v>
      </c>
      <c r="H5162">
        <v>98285000</v>
      </c>
      <c r="I5162">
        <v>68290000</v>
      </c>
      <c r="J5162">
        <v>62792000</v>
      </c>
      <c r="K5162">
        <v>9146000</v>
      </c>
      <c r="L5162">
        <v>25000</v>
      </c>
      <c r="M5162">
        <v>0</v>
      </c>
      <c r="N5162">
        <v>451000</v>
      </c>
      <c r="O5162">
        <v>0</v>
      </c>
      <c r="P5162">
        <v>0</v>
      </c>
      <c r="Q5162">
        <v>0</v>
      </c>
      <c r="R5162">
        <v>0</v>
      </c>
      <c r="S5162">
        <v>5449000</v>
      </c>
      <c r="T5162" s="9">
        <v>45108</v>
      </c>
      <c r="U5162" s="9">
        <v>45473</v>
      </c>
      <c r="V5162">
        <f>SUM(POTABLE_NONPOTABLE_API[[#This Row],[RESIDENTIAL_SINGLEFAMILY_GAL]:[OTHER_GAL]])</f>
        <v>516493000</v>
      </c>
      <c r="W5162">
        <f>SUM(POTABLE_NONPOTABLE_API[[#This Row],[NONPOTABLE_DEMAND_RESIDENTIAL_RECYCLED_WATER_GAL]:[NONPOTABLE_DEMAND_NONRESIDENTIAL_METERED_IRRIGATION_GAL]])</f>
        <v>5900000</v>
      </c>
      <c r="X5162" t="str">
        <f>IFERROR(INDEX(Crosswalk_API!$H$2:$H$527, MATCH(POTABLE_NONPOTABLE_API[[#This Row],[PWSID]], CW_PWSID_LIST, 0)), "")</f>
        <v>No</v>
      </c>
    </row>
    <row r="5163" spans="1:24" x14ac:dyDescent="0.25">
      <c r="A5163" t="s">
        <v>2245</v>
      </c>
      <c r="B5163" t="s">
        <v>2246</v>
      </c>
      <c r="C5163" t="s">
        <v>2247</v>
      </c>
      <c r="D5163" t="s">
        <v>2248</v>
      </c>
      <c r="E5163" s="9">
        <v>45139</v>
      </c>
      <c r="F5163" s="9">
        <v>45169</v>
      </c>
      <c r="G5163">
        <v>305214000</v>
      </c>
      <c r="H5163">
        <v>101828000</v>
      </c>
      <c r="I5163">
        <v>75963000</v>
      </c>
      <c r="J5163">
        <v>76642000</v>
      </c>
      <c r="K5163">
        <v>10172000</v>
      </c>
      <c r="L5163">
        <v>31000</v>
      </c>
      <c r="M5163">
        <v>0</v>
      </c>
      <c r="N5163">
        <v>560000</v>
      </c>
      <c r="O5163">
        <v>0</v>
      </c>
      <c r="P5163">
        <v>0</v>
      </c>
      <c r="Q5163">
        <v>0</v>
      </c>
      <c r="R5163">
        <v>0</v>
      </c>
      <c r="S5163">
        <v>6143000</v>
      </c>
      <c r="T5163" s="9">
        <v>45108</v>
      </c>
      <c r="U5163" s="9">
        <v>45473</v>
      </c>
      <c r="V5163">
        <f>SUM(POTABLE_NONPOTABLE_API[[#This Row],[RESIDENTIAL_SINGLEFAMILY_GAL]:[OTHER_GAL]])</f>
        <v>569850000</v>
      </c>
      <c r="W5163">
        <f>SUM(POTABLE_NONPOTABLE_API[[#This Row],[NONPOTABLE_DEMAND_RESIDENTIAL_RECYCLED_WATER_GAL]:[NONPOTABLE_DEMAND_NONRESIDENTIAL_METERED_IRRIGATION_GAL]])</f>
        <v>6703000</v>
      </c>
      <c r="X5163" t="str">
        <f>IFERROR(INDEX(Crosswalk_API!$H$2:$H$527, MATCH(POTABLE_NONPOTABLE_API[[#This Row],[PWSID]], CW_PWSID_LIST, 0)), "")</f>
        <v>No</v>
      </c>
    </row>
    <row r="5164" spans="1:24" x14ac:dyDescent="0.25">
      <c r="A5164" t="s">
        <v>2245</v>
      </c>
      <c r="B5164" t="s">
        <v>2246</v>
      </c>
      <c r="C5164" t="s">
        <v>2247</v>
      </c>
      <c r="D5164" t="s">
        <v>2248</v>
      </c>
      <c r="E5164" s="9">
        <v>45170</v>
      </c>
      <c r="F5164" s="9">
        <v>45199</v>
      </c>
      <c r="G5164">
        <v>300758000</v>
      </c>
      <c r="H5164">
        <v>103008000</v>
      </c>
      <c r="I5164">
        <v>77458000</v>
      </c>
      <c r="J5164">
        <v>79005000</v>
      </c>
      <c r="K5164">
        <v>9899000</v>
      </c>
      <c r="L5164">
        <v>28000</v>
      </c>
      <c r="M5164">
        <v>0</v>
      </c>
      <c r="N5164">
        <v>550000</v>
      </c>
      <c r="O5164">
        <v>0</v>
      </c>
      <c r="P5164">
        <v>0</v>
      </c>
      <c r="Q5164">
        <v>0</v>
      </c>
      <c r="R5164">
        <v>0</v>
      </c>
      <c r="S5164">
        <v>5951000</v>
      </c>
      <c r="T5164" s="9">
        <v>45108</v>
      </c>
      <c r="U5164" s="9">
        <v>45473</v>
      </c>
      <c r="V5164">
        <f>SUM(POTABLE_NONPOTABLE_API[[#This Row],[RESIDENTIAL_SINGLEFAMILY_GAL]:[OTHER_GAL]])</f>
        <v>570156000</v>
      </c>
      <c r="W5164">
        <f>SUM(POTABLE_NONPOTABLE_API[[#This Row],[NONPOTABLE_DEMAND_RESIDENTIAL_RECYCLED_WATER_GAL]:[NONPOTABLE_DEMAND_NONRESIDENTIAL_METERED_IRRIGATION_GAL]])</f>
        <v>6501000</v>
      </c>
      <c r="X5164" t="str">
        <f>IFERROR(INDEX(Crosswalk_API!$H$2:$H$527, MATCH(POTABLE_NONPOTABLE_API[[#This Row],[PWSID]], CW_PWSID_LIST, 0)), "")</f>
        <v>No</v>
      </c>
    </row>
    <row r="5165" spans="1:24" x14ac:dyDescent="0.25">
      <c r="A5165" t="s">
        <v>2245</v>
      </c>
      <c r="B5165" t="s">
        <v>2246</v>
      </c>
      <c r="C5165" t="s">
        <v>2247</v>
      </c>
      <c r="D5165" t="s">
        <v>2248</v>
      </c>
      <c r="E5165" s="9">
        <v>45200</v>
      </c>
      <c r="F5165" s="9">
        <v>45230</v>
      </c>
      <c r="G5165">
        <v>269590000</v>
      </c>
      <c r="H5165">
        <v>100299000</v>
      </c>
      <c r="I5165">
        <v>72052000</v>
      </c>
      <c r="J5165">
        <v>64719000</v>
      </c>
      <c r="K5165">
        <v>9715000</v>
      </c>
      <c r="L5165">
        <v>32000</v>
      </c>
      <c r="M5165">
        <v>0</v>
      </c>
      <c r="N5165">
        <v>474000</v>
      </c>
      <c r="O5165">
        <v>0</v>
      </c>
      <c r="P5165">
        <v>0</v>
      </c>
      <c r="Q5165">
        <v>0</v>
      </c>
      <c r="R5165">
        <v>0</v>
      </c>
      <c r="S5165">
        <v>4627000</v>
      </c>
      <c r="T5165" s="9">
        <v>45108</v>
      </c>
      <c r="U5165" s="9">
        <v>45473</v>
      </c>
      <c r="V5165">
        <f>SUM(POTABLE_NONPOTABLE_API[[#This Row],[RESIDENTIAL_SINGLEFAMILY_GAL]:[OTHER_GAL]])</f>
        <v>516407000</v>
      </c>
      <c r="W5165">
        <f>SUM(POTABLE_NONPOTABLE_API[[#This Row],[NONPOTABLE_DEMAND_RESIDENTIAL_RECYCLED_WATER_GAL]:[NONPOTABLE_DEMAND_NONRESIDENTIAL_METERED_IRRIGATION_GAL]])</f>
        <v>5101000</v>
      </c>
      <c r="X5165" t="str">
        <f>IFERROR(INDEX(Crosswalk_API!$H$2:$H$527, MATCH(POTABLE_NONPOTABLE_API[[#This Row],[PWSID]], CW_PWSID_LIST, 0)), "")</f>
        <v>No</v>
      </c>
    </row>
    <row r="5166" spans="1:24" x14ac:dyDescent="0.25">
      <c r="A5166" t="s">
        <v>2245</v>
      </c>
      <c r="B5166" t="s">
        <v>2246</v>
      </c>
      <c r="C5166" t="s">
        <v>2247</v>
      </c>
      <c r="D5166" t="s">
        <v>2248</v>
      </c>
      <c r="E5166" s="9">
        <v>45231</v>
      </c>
      <c r="F5166" s="9">
        <v>45260</v>
      </c>
      <c r="G5166">
        <v>224073000</v>
      </c>
      <c r="H5166">
        <v>92324000</v>
      </c>
      <c r="I5166">
        <v>64537000</v>
      </c>
      <c r="J5166">
        <v>43662000</v>
      </c>
      <c r="K5166">
        <v>9390000</v>
      </c>
      <c r="L5166">
        <v>33000</v>
      </c>
      <c r="M5166">
        <v>0</v>
      </c>
      <c r="N5166">
        <v>229000</v>
      </c>
      <c r="O5166">
        <v>0</v>
      </c>
      <c r="P5166">
        <v>0</v>
      </c>
      <c r="Q5166">
        <v>0</v>
      </c>
      <c r="R5166">
        <v>0</v>
      </c>
      <c r="S5166">
        <v>2352000</v>
      </c>
      <c r="T5166" s="9">
        <v>45108</v>
      </c>
      <c r="U5166" s="9">
        <v>45473</v>
      </c>
      <c r="V5166">
        <f>SUM(POTABLE_NONPOTABLE_API[[#This Row],[RESIDENTIAL_SINGLEFAMILY_GAL]:[OTHER_GAL]])</f>
        <v>434019000</v>
      </c>
      <c r="W5166">
        <f>SUM(POTABLE_NONPOTABLE_API[[#This Row],[NONPOTABLE_DEMAND_RESIDENTIAL_RECYCLED_WATER_GAL]:[NONPOTABLE_DEMAND_NONRESIDENTIAL_METERED_IRRIGATION_GAL]])</f>
        <v>2581000</v>
      </c>
      <c r="X5166" t="str">
        <f>IFERROR(INDEX(Crosswalk_API!$H$2:$H$527, MATCH(POTABLE_NONPOTABLE_API[[#This Row],[PWSID]], CW_PWSID_LIST, 0)), "")</f>
        <v>No</v>
      </c>
    </row>
    <row r="5167" spans="1:24" x14ac:dyDescent="0.25">
      <c r="A5167" t="s">
        <v>2245</v>
      </c>
      <c r="B5167" t="s">
        <v>2246</v>
      </c>
      <c r="C5167" t="s">
        <v>2247</v>
      </c>
      <c r="D5167" t="s">
        <v>2248</v>
      </c>
      <c r="E5167" s="9">
        <v>45261</v>
      </c>
      <c r="F5167" s="9">
        <v>45291</v>
      </c>
      <c r="G5167">
        <v>173914000</v>
      </c>
      <c r="H5167">
        <v>81804000</v>
      </c>
      <c r="I5167">
        <v>55890000</v>
      </c>
      <c r="J5167">
        <v>12597000</v>
      </c>
      <c r="K5167">
        <v>7874000</v>
      </c>
      <c r="L5167">
        <v>32000</v>
      </c>
      <c r="M5167">
        <v>0</v>
      </c>
      <c r="N5167">
        <v>29000</v>
      </c>
      <c r="O5167">
        <v>0</v>
      </c>
      <c r="P5167">
        <v>0</v>
      </c>
      <c r="Q5167">
        <v>0</v>
      </c>
      <c r="R5167">
        <v>0</v>
      </c>
      <c r="S5167">
        <v>378000</v>
      </c>
      <c r="T5167" s="9">
        <v>45108</v>
      </c>
      <c r="U5167" s="9">
        <v>45473</v>
      </c>
      <c r="V5167">
        <f>SUM(POTABLE_NONPOTABLE_API[[#This Row],[RESIDENTIAL_SINGLEFAMILY_GAL]:[OTHER_GAL]])</f>
        <v>332111000</v>
      </c>
      <c r="W5167">
        <f>SUM(POTABLE_NONPOTABLE_API[[#This Row],[NONPOTABLE_DEMAND_RESIDENTIAL_RECYCLED_WATER_GAL]:[NONPOTABLE_DEMAND_NONRESIDENTIAL_METERED_IRRIGATION_GAL]])</f>
        <v>407000</v>
      </c>
      <c r="X5167" t="str">
        <f>IFERROR(INDEX(Crosswalk_API!$H$2:$H$527, MATCH(POTABLE_NONPOTABLE_API[[#This Row],[PWSID]], CW_PWSID_LIST, 0)), "")</f>
        <v>No</v>
      </c>
    </row>
    <row r="5168" spans="1:24" x14ac:dyDescent="0.25">
      <c r="A5168" t="s">
        <v>2245</v>
      </c>
      <c r="B5168" t="s">
        <v>2246</v>
      </c>
      <c r="C5168" t="s">
        <v>2247</v>
      </c>
      <c r="D5168" t="s">
        <v>2248</v>
      </c>
      <c r="E5168" s="9">
        <v>45292</v>
      </c>
      <c r="F5168" s="9">
        <v>45322</v>
      </c>
      <c r="G5168">
        <v>156503000</v>
      </c>
      <c r="H5168">
        <v>77418000</v>
      </c>
      <c r="I5168">
        <v>51090000</v>
      </c>
      <c r="J5168">
        <v>6141000</v>
      </c>
      <c r="K5168">
        <v>6507000</v>
      </c>
      <c r="L5168">
        <v>132000</v>
      </c>
      <c r="M5168">
        <v>0</v>
      </c>
      <c r="N5168">
        <v>13000</v>
      </c>
      <c r="O5168">
        <v>0</v>
      </c>
      <c r="P5168">
        <v>0</v>
      </c>
      <c r="Q5168">
        <v>0</v>
      </c>
      <c r="R5168">
        <v>0</v>
      </c>
      <c r="S5168">
        <v>96000</v>
      </c>
      <c r="T5168" s="9">
        <v>45108</v>
      </c>
      <c r="U5168" s="9">
        <v>45473</v>
      </c>
      <c r="V5168">
        <f>SUM(POTABLE_NONPOTABLE_API[[#This Row],[RESIDENTIAL_SINGLEFAMILY_GAL]:[OTHER_GAL]])</f>
        <v>297791000</v>
      </c>
      <c r="W5168">
        <f>SUM(POTABLE_NONPOTABLE_API[[#This Row],[NONPOTABLE_DEMAND_RESIDENTIAL_RECYCLED_WATER_GAL]:[NONPOTABLE_DEMAND_NONRESIDENTIAL_METERED_IRRIGATION_GAL]])</f>
        <v>109000</v>
      </c>
      <c r="X5168" t="str">
        <f>IFERROR(INDEX(Crosswalk_API!$H$2:$H$527, MATCH(POTABLE_NONPOTABLE_API[[#This Row],[PWSID]], CW_PWSID_LIST, 0)), "")</f>
        <v>No</v>
      </c>
    </row>
    <row r="5169" spans="1:24" x14ac:dyDescent="0.25">
      <c r="A5169" t="s">
        <v>2245</v>
      </c>
      <c r="B5169" t="s">
        <v>2246</v>
      </c>
      <c r="C5169" t="s">
        <v>2247</v>
      </c>
      <c r="D5169" t="s">
        <v>2248</v>
      </c>
      <c r="E5169" s="9">
        <v>45323</v>
      </c>
      <c r="F5169" s="9">
        <v>45351</v>
      </c>
      <c r="G5169">
        <v>150067000</v>
      </c>
      <c r="H5169">
        <v>76858000</v>
      </c>
      <c r="I5169">
        <v>52352000</v>
      </c>
      <c r="J5169">
        <v>5447000</v>
      </c>
      <c r="K5169">
        <v>7489000</v>
      </c>
      <c r="L5169">
        <v>26000</v>
      </c>
      <c r="M5169">
        <v>0</v>
      </c>
      <c r="N5169">
        <v>1000</v>
      </c>
      <c r="O5169">
        <v>0</v>
      </c>
      <c r="P5169">
        <v>0</v>
      </c>
      <c r="Q5169">
        <v>0</v>
      </c>
      <c r="R5169">
        <v>0</v>
      </c>
      <c r="S5169">
        <v>51000</v>
      </c>
      <c r="T5169" s="9">
        <v>45108</v>
      </c>
      <c r="U5169" s="9">
        <v>45473</v>
      </c>
      <c r="V5169">
        <f>SUM(POTABLE_NONPOTABLE_API[[#This Row],[RESIDENTIAL_SINGLEFAMILY_GAL]:[OTHER_GAL]])</f>
        <v>292239000</v>
      </c>
      <c r="W5169">
        <f>SUM(POTABLE_NONPOTABLE_API[[#This Row],[NONPOTABLE_DEMAND_RESIDENTIAL_RECYCLED_WATER_GAL]:[NONPOTABLE_DEMAND_NONRESIDENTIAL_METERED_IRRIGATION_GAL]])</f>
        <v>52000</v>
      </c>
      <c r="X5169" t="str">
        <f>IFERROR(INDEX(Crosswalk_API!$H$2:$H$527, MATCH(POTABLE_NONPOTABLE_API[[#This Row],[PWSID]], CW_PWSID_LIST, 0)), "")</f>
        <v>No</v>
      </c>
    </row>
    <row r="5170" spans="1:24" x14ac:dyDescent="0.25">
      <c r="A5170" t="s">
        <v>2245</v>
      </c>
      <c r="B5170" t="s">
        <v>2246</v>
      </c>
      <c r="C5170" t="s">
        <v>2247</v>
      </c>
      <c r="D5170" t="s">
        <v>2248</v>
      </c>
      <c r="E5170" s="9">
        <v>45352</v>
      </c>
      <c r="F5170" s="9">
        <v>45382</v>
      </c>
      <c r="G5170">
        <v>152668000</v>
      </c>
      <c r="H5170">
        <v>77939000</v>
      </c>
      <c r="I5170">
        <v>56224000</v>
      </c>
      <c r="J5170">
        <v>4493000</v>
      </c>
      <c r="K5170">
        <v>7288000</v>
      </c>
      <c r="L5170">
        <v>106000</v>
      </c>
      <c r="M5170">
        <v>0</v>
      </c>
      <c r="N5170">
        <v>1000</v>
      </c>
      <c r="O5170">
        <v>0</v>
      </c>
      <c r="P5170">
        <v>0</v>
      </c>
      <c r="Q5170">
        <v>0</v>
      </c>
      <c r="R5170">
        <v>0</v>
      </c>
      <c r="S5170">
        <v>48000</v>
      </c>
      <c r="T5170" s="9">
        <v>45108</v>
      </c>
      <c r="U5170" s="9">
        <v>45473</v>
      </c>
      <c r="V5170">
        <f>SUM(POTABLE_NONPOTABLE_API[[#This Row],[RESIDENTIAL_SINGLEFAMILY_GAL]:[OTHER_GAL]])</f>
        <v>298718000</v>
      </c>
      <c r="W5170">
        <f>SUM(POTABLE_NONPOTABLE_API[[#This Row],[NONPOTABLE_DEMAND_RESIDENTIAL_RECYCLED_WATER_GAL]:[NONPOTABLE_DEMAND_NONRESIDENTIAL_METERED_IRRIGATION_GAL]])</f>
        <v>49000</v>
      </c>
      <c r="X5170" t="str">
        <f>IFERROR(INDEX(Crosswalk_API!$H$2:$H$527, MATCH(POTABLE_NONPOTABLE_API[[#This Row],[PWSID]], CW_PWSID_LIST, 0)), "")</f>
        <v>No</v>
      </c>
    </row>
    <row r="5171" spans="1:24" x14ac:dyDescent="0.25">
      <c r="A5171" t="s">
        <v>2245</v>
      </c>
      <c r="B5171" t="s">
        <v>2246</v>
      </c>
      <c r="C5171" t="s">
        <v>2247</v>
      </c>
      <c r="D5171" t="s">
        <v>2248</v>
      </c>
      <c r="E5171" s="9">
        <v>45383</v>
      </c>
      <c r="F5171" s="9">
        <v>45412</v>
      </c>
      <c r="G5171">
        <v>159828000</v>
      </c>
      <c r="H5171">
        <v>78616000</v>
      </c>
      <c r="I5171">
        <v>56953000</v>
      </c>
      <c r="J5171">
        <v>4918000</v>
      </c>
      <c r="K5171">
        <v>7474000</v>
      </c>
      <c r="L5171">
        <v>170000</v>
      </c>
      <c r="M5171">
        <v>0</v>
      </c>
      <c r="N5171">
        <v>2000</v>
      </c>
      <c r="O5171">
        <v>0</v>
      </c>
      <c r="P5171">
        <v>0</v>
      </c>
      <c r="Q5171">
        <v>0</v>
      </c>
      <c r="R5171">
        <v>0</v>
      </c>
      <c r="S5171">
        <v>127000</v>
      </c>
      <c r="T5171" s="9">
        <v>45108</v>
      </c>
      <c r="U5171" s="9">
        <v>45473</v>
      </c>
      <c r="V5171">
        <f>SUM(POTABLE_NONPOTABLE_API[[#This Row],[RESIDENTIAL_SINGLEFAMILY_GAL]:[OTHER_GAL]])</f>
        <v>307959000</v>
      </c>
      <c r="W5171">
        <f>SUM(POTABLE_NONPOTABLE_API[[#This Row],[NONPOTABLE_DEMAND_RESIDENTIAL_RECYCLED_WATER_GAL]:[NONPOTABLE_DEMAND_NONRESIDENTIAL_METERED_IRRIGATION_GAL]])</f>
        <v>129000</v>
      </c>
      <c r="X5171" t="str">
        <f>IFERROR(INDEX(Crosswalk_API!$H$2:$H$527, MATCH(POTABLE_NONPOTABLE_API[[#This Row],[PWSID]], CW_PWSID_LIST, 0)), "")</f>
        <v>No</v>
      </c>
    </row>
    <row r="5172" spans="1:24" x14ac:dyDescent="0.25">
      <c r="A5172" t="s">
        <v>2245</v>
      </c>
      <c r="B5172" t="s">
        <v>2246</v>
      </c>
      <c r="C5172" t="s">
        <v>2247</v>
      </c>
      <c r="D5172" t="s">
        <v>2248</v>
      </c>
      <c r="E5172" s="9">
        <v>45413</v>
      </c>
      <c r="F5172" s="9">
        <v>45443</v>
      </c>
      <c r="G5172">
        <v>206248000</v>
      </c>
      <c r="H5172">
        <v>85120000</v>
      </c>
      <c r="I5172">
        <v>60757000</v>
      </c>
      <c r="J5172">
        <v>19908000</v>
      </c>
      <c r="K5172">
        <v>8453000</v>
      </c>
      <c r="L5172">
        <v>104000</v>
      </c>
      <c r="M5172">
        <v>0</v>
      </c>
      <c r="N5172">
        <v>60000</v>
      </c>
      <c r="O5172">
        <v>0</v>
      </c>
      <c r="P5172">
        <v>0</v>
      </c>
      <c r="Q5172">
        <v>0</v>
      </c>
      <c r="R5172">
        <v>0</v>
      </c>
      <c r="S5172">
        <v>1266000</v>
      </c>
      <c r="T5172" s="9">
        <v>45108</v>
      </c>
      <c r="U5172" s="9">
        <v>45473</v>
      </c>
      <c r="V5172">
        <f>SUM(POTABLE_NONPOTABLE_API[[#This Row],[RESIDENTIAL_SINGLEFAMILY_GAL]:[OTHER_GAL]])</f>
        <v>380590000</v>
      </c>
      <c r="W5172">
        <f>SUM(POTABLE_NONPOTABLE_API[[#This Row],[NONPOTABLE_DEMAND_RESIDENTIAL_RECYCLED_WATER_GAL]:[NONPOTABLE_DEMAND_NONRESIDENTIAL_METERED_IRRIGATION_GAL]])</f>
        <v>1326000</v>
      </c>
      <c r="X5172" t="str">
        <f>IFERROR(INDEX(Crosswalk_API!$H$2:$H$527, MATCH(POTABLE_NONPOTABLE_API[[#This Row],[PWSID]], CW_PWSID_LIST, 0)), "")</f>
        <v>No</v>
      </c>
    </row>
    <row r="5173" spans="1:24" x14ac:dyDescent="0.25">
      <c r="A5173" t="s">
        <v>2245</v>
      </c>
      <c r="B5173" t="s">
        <v>2246</v>
      </c>
      <c r="C5173" t="s">
        <v>2247</v>
      </c>
      <c r="D5173" t="s">
        <v>2248</v>
      </c>
      <c r="E5173" s="9">
        <v>45444</v>
      </c>
      <c r="F5173" s="9">
        <v>45473</v>
      </c>
      <c r="G5173">
        <v>276170000</v>
      </c>
      <c r="H5173">
        <v>99869000</v>
      </c>
      <c r="I5173">
        <v>67516000</v>
      </c>
      <c r="J5173">
        <v>60205000</v>
      </c>
      <c r="K5173">
        <v>10110000</v>
      </c>
      <c r="L5173">
        <v>33000</v>
      </c>
      <c r="M5173">
        <v>0</v>
      </c>
      <c r="N5173">
        <v>459000</v>
      </c>
      <c r="O5173">
        <v>0</v>
      </c>
      <c r="P5173">
        <v>0</v>
      </c>
      <c r="Q5173">
        <v>0</v>
      </c>
      <c r="R5173">
        <v>1996600</v>
      </c>
      <c r="S5173">
        <v>2583000</v>
      </c>
      <c r="T5173" s="9">
        <v>45108</v>
      </c>
      <c r="U5173" s="9">
        <v>45473</v>
      </c>
      <c r="V5173">
        <f>SUM(POTABLE_NONPOTABLE_API[[#This Row],[RESIDENTIAL_SINGLEFAMILY_GAL]:[OTHER_GAL]])</f>
        <v>513903000</v>
      </c>
      <c r="W5173">
        <f>SUM(POTABLE_NONPOTABLE_API[[#This Row],[NONPOTABLE_DEMAND_RESIDENTIAL_RECYCLED_WATER_GAL]:[NONPOTABLE_DEMAND_NONRESIDENTIAL_METERED_IRRIGATION_GAL]])</f>
        <v>5038600</v>
      </c>
      <c r="X5173" t="str">
        <f>IFERROR(INDEX(Crosswalk_API!$H$2:$H$527, MATCH(POTABLE_NONPOTABLE_API[[#This Row],[PWSID]], CW_PWSID_LIST, 0)), "")</f>
        <v>No</v>
      </c>
    </row>
    <row r="5174" spans="1:24" x14ac:dyDescent="0.25">
      <c r="A5174" t="s">
        <v>2249</v>
      </c>
      <c r="B5174" t="s">
        <v>2250</v>
      </c>
      <c r="C5174" t="s">
        <v>2251</v>
      </c>
      <c r="D5174" t="s">
        <v>2252</v>
      </c>
      <c r="E5174" s="9">
        <v>45108</v>
      </c>
      <c r="F5174" s="9">
        <v>45138</v>
      </c>
      <c r="G5174">
        <v>19411268</v>
      </c>
      <c r="H5174">
        <v>1714139</v>
      </c>
      <c r="I5174">
        <v>7339244</v>
      </c>
      <c r="J5174">
        <v>2303213</v>
      </c>
      <c r="K5174">
        <v>0</v>
      </c>
      <c r="L5174">
        <v>1138932</v>
      </c>
      <c r="M5174">
        <v>0</v>
      </c>
      <c r="N5174">
        <v>1925822</v>
      </c>
      <c r="O5174">
        <v>0</v>
      </c>
      <c r="P5174">
        <v>0</v>
      </c>
      <c r="Q5174">
        <v>6499468</v>
      </c>
      <c r="R5174">
        <v>0</v>
      </c>
      <c r="S5174">
        <v>0</v>
      </c>
      <c r="T5174" s="9">
        <v>45108</v>
      </c>
      <c r="U5174" s="9">
        <v>45473</v>
      </c>
      <c r="V5174">
        <f>SUM(POTABLE_NONPOTABLE_API[[#This Row],[RESIDENTIAL_SINGLEFAMILY_GAL]:[OTHER_GAL]])</f>
        <v>31906796</v>
      </c>
      <c r="W5174">
        <f>SUM(POTABLE_NONPOTABLE_API[[#This Row],[NONPOTABLE_DEMAND_RESIDENTIAL_RECYCLED_WATER_GAL]:[NONPOTABLE_DEMAND_NONRESIDENTIAL_METERED_IRRIGATION_GAL]])</f>
        <v>8425290</v>
      </c>
      <c r="X5174" t="str">
        <f>IFERROR(INDEX(Crosswalk_API!$H$2:$H$527, MATCH(POTABLE_NONPOTABLE_API[[#This Row],[PWSID]], CW_PWSID_LIST, 0)), "")</f>
        <v>No</v>
      </c>
    </row>
    <row r="5175" spans="1:24" x14ac:dyDescent="0.25">
      <c r="A5175" t="s">
        <v>2249</v>
      </c>
      <c r="B5175" t="s">
        <v>2250</v>
      </c>
      <c r="C5175" t="s">
        <v>2251</v>
      </c>
      <c r="D5175" t="s">
        <v>2252</v>
      </c>
      <c r="E5175" s="9">
        <v>45139</v>
      </c>
      <c r="F5175" s="9">
        <v>45169</v>
      </c>
      <c r="G5175">
        <v>19180507</v>
      </c>
      <c r="H5175">
        <v>1738749</v>
      </c>
      <c r="I5175">
        <v>7302632</v>
      </c>
      <c r="J5175">
        <v>2132548</v>
      </c>
      <c r="K5175">
        <v>0</v>
      </c>
      <c r="L5175">
        <v>95604</v>
      </c>
      <c r="M5175">
        <v>0</v>
      </c>
      <c r="N5175">
        <v>1501532</v>
      </c>
      <c r="O5175">
        <v>0</v>
      </c>
      <c r="P5175">
        <v>0</v>
      </c>
      <c r="Q5175">
        <v>6308130</v>
      </c>
      <c r="R5175">
        <v>0</v>
      </c>
      <c r="S5175">
        <v>0</v>
      </c>
      <c r="T5175" s="9">
        <v>45108</v>
      </c>
      <c r="U5175" s="9">
        <v>45473</v>
      </c>
      <c r="V5175">
        <f>SUM(POTABLE_NONPOTABLE_API[[#This Row],[RESIDENTIAL_SINGLEFAMILY_GAL]:[OTHER_GAL]])</f>
        <v>30450040</v>
      </c>
      <c r="W5175">
        <f>SUM(POTABLE_NONPOTABLE_API[[#This Row],[NONPOTABLE_DEMAND_RESIDENTIAL_RECYCLED_WATER_GAL]:[NONPOTABLE_DEMAND_NONRESIDENTIAL_METERED_IRRIGATION_GAL]])</f>
        <v>7809662</v>
      </c>
      <c r="X5175" t="str">
        <f>IFERROR(INDEX(Crosswalk_API!$H$2:$H$527, MATCH(POTABLE_NONPOTABLE_API[[#This Row],[PWSID]], CW_PWSID_LIST, 0)), "")</f>
        <v>No</v>
      </c>
    </row>
    <row r="5176" spans="1:24" x14ac:dyDescent="0.25">
      <c r="A5176" t="s">
        <v>2249</v>
      </c>
      <c r="B5176" t="s">
        <v>2250</v>
      </c>
      <c r="C5176" t="s">
        <v>2251</v>
      </c>
      <c r="D5176" t="s">
        <v>2252</v>
      </c>
      <c r="E5176" s="9">
        <v>45170</v>
      </c>
      <c r="F5176" s="9">
        <v>45199</v>
      </c>
      <c r="G5176">
        <v>17644116</v>
      </c>
      <c r="H5176">
        <v>1656716</v>
      </c>
      <c r="I5176">
        <v>6632586</v>
      </c>
      <c r="J5176">
        <v>2332914</v>
      </c>
      <c r="K5176">
        <v>0</v>
      </c>
      <c r="L5176">
        <v>843463</v>
      </c>
      <c r="M5176">
        <v>0</v>
      </c>
      <c r="N5176">
        <v>1338904</v>
      </c>
      <c r="O5176">
        <v>0</v>
      </c>
      <c r="P5176">
        <v>0</v>
      </c>
      <c r="Q5176">
        <v>5477659</v>
      </c>
      <c r="R5176">
        <v>0</v>
      </c>
      <c r="S5176">
        <v>0</v>
      </c>
      <c r="T5176" s="9">
        <v>45108</v>
      </c>
      <c r="U5176" s="9">
        <v>45473</v>
      </c>
      <c r="V5176">
        <f>SUM(POTABLE_NONPOTABLE_API[[#This Row],[RESIDENTIAL_SINGLEFAMILY_GAL]:[OTHER_GAL]])</f>
        <v>29109795</v>
      </c>
      <c r="W5176">
        <f>SUM(POTABLE_NONPOTABLE_API[[#This Row],[NONPOTABLE_DEMAND_RESIDENTIAL_RECYCLED_WATER_GAL]:[NONPOTABLE_DEMAND_NONRESIDENTIAL_METERED_IRRIGATION_GAL]])</f>
        <v>6816563</v>
      </c>
      <c r="X5176" t="str">
        <f>IFERROR(INDEX(Crosswalk_API!$H$2:$H$527, MATCH(POTABLE_NONPOTABLE_API[[#This Row],[PWSID]], CW_PWSID_LIST, 0)), "")</f>
        <v>No</v>
      </c>
    </row>
    <row r="5177" spans="1:24" x14ac:dyDescent="0.25">
      <c r="A5177" t="s">
        <v>2249</v>
      </c>
      <c r="B5177" t="s">
        <v>2250</v>
      </c>
      <c r="C5177" t="s">
        <v>2251</v>
      </c>
      <c r="D5177" t="s">
        <v>2252</v>
      </c>
      <c r="E5177" s="9">
        <v>45200</v>
      </c>
      <c r="F5177" s="9">
        <v>45230</v>
      </c>
      <c r="G5177">
        <v>17206497</v>
      </c>
      <c r="H5177">
        <v>1714787</v>
      </c>
      <c r="I5177">
        <v>6730276</v>
      </c>
      <c r="J5177">
        <v>2250715</v>
      </c>
      <c r="K5177">
        <v>0</v>
      </c>
      <c r="L5177">
        <v>477026</v>
      </c>
      <c r="M5177">
        <v>0</v>
      </c>
      <c r="N5177">
        <v>1291287</v>
      </c>
      <c r="O5177">
        <v>0</v>
      </c>
      <c r="P5177">
        <v>0</v>
      </c>
      <c r="Q5177">
        <v>4458097</v>
      </c>
      <c r="R5177">
        <v>0</v>
      </c>
      <c r="S5177">
        <v>0</v>
      </c>
      <c r="T5177" s="9">
        <v>45108</v>
      </c>
      <c r="U5177" s="9">
        <v>45473</v>
      </c>
      <c r="V5177">
        <f>SUM(POTABLE_NONPOTABLE_API[[#This Row],[RESIDENTIAL_SINGLEFAMILY_GAL]:[OTHER_GAL]])</f>
        <v>28379301</v>
      </c>
      <c r="W5177">
        <f>SUM(POTABLE_NONPOTABLE_API[[#This Row],[NONPOTABLE_DEMAND_RESIDENTIAL_RECYCLED_WATER_GAL]:[NONPOTABLE_DEMAND_NONRESIDENTIAL_METERED_IRRIGATION_GAL]])</f>
        <v>5749384</v>
      </c>
      <c r="X5177" t="str">
        <f>IFERROR(INDEX(Crosswalk_API!$H$2:$H$527, MATCH(POTABLE_NONPOTABLE_API[[#This Row],[PWSID]], CW_PWSID_LIST, 0)), "")</f>
        <v>No</v>
      </c>
    </row>
    <row r="5178" spans="1:24" x14ac:dyDescent="0.25">
      <c r="A5178" t="s">
        <v>2249</v>
      </c>
      <c r="B5178" t="s">
        <v>2250</v>
      </c>
      <c r="C5178" t="s">
        <v>2251</v>
      </c>
      <c r="D5178" t="s">
        <v>2252</v>
      </c>
      <c r="E5178" s="9">
        <v>45231</v>
      </c>
      <c r="F5178" s="9">
        <v>45260</v>
      </c>
      <c r="G5178">
        <v>14260497</v>
      </c>
      <c r="H5178">
        <v>1607641</v>
      </c>
      <c r="I5178">
        <v>5476371</v>
      </c>
      <c r="J5178">
        <v>1399821</v>
      </c>
      <c r="K5178">
        <v>0</v>
      </c>
      <c r="L5178">
        <v>121290</v>
      </c>
      <c r="M5178">
        <v>0</v>
      </c>
      <c r="N5178">
        <v>294592</v>
      </c>
      <c r="O5178">
        <v>0</v>
      </c>
      <c r="P5178">
        <v>0</v>
      </c>
      <c r="Q5178">
        <v>2067156</v>
      </c>
      <c r="R5178">
        <v>0</v>
      </c>
      <c r="S5178">
        <v>0</v>
      </c>
      <c r="T5178" s="9">
        <v>45108</v>
      </c>
      <c r="U5178" s="9">
        <v>45473</v>
      </c>
      <c r="V5178">
        <f>SUM(POTABLE_NONPOTABLE_API[[#This Row],[RESIDENTIAL_SINGLEFAMILY_GAL]:[OTHER_GAL]])</f>
        <v>22865620</v>
      </c>
      <c r="W5178">
        <f>SUM(POTABLE_NONPOTABLE_API[[#This Row],[NONPOTABLE_DEMAND_RESIDENTIAL_RECYCLED_WATER_GAL]:[NONPOTABLE_DEMAND_NONRESIDENTIAL_METERED_IRRIGATION_GAL]])</f>
        <v>2361748</v>
      </c>
      <c r="X5178" t="str">
        <f>IFERROR(INDEX(Crosswalk_API!$H$2:$H$527, MATCH(POTABLE_NONPOTABLE_API[[#This Row],[PWSID]], CW_PWSID_LIST, 0)), "")</f>
        <v>No</v>
      </c>
    </row>
    <row r="5179" spans="1:24" x14ac:dyDescent="0.25">
      <c r="A5179" t="s">
        <v>2249</v>
      </c>
      <c r="B5179" t="s">
        <v>2250</v>
      </c>
      <c r="C5179" t="s">
        <v>2251</v>
      </c>
      <c r="D5179" t="s">
        <v>2252</v>
      </c>
      <c r="E5179" s="9">
        <v>45261</v>
      </c>
      <c r="F5179" s="9">
        <v>45291</v>
      </c>
      <c r="G5179">
        <v>13397430</v>
      </c>
      <c r="H5179">
        <v>1516050</v>
      </c>
      <c r="I5179">
        <v>5012546</v>
      </c>
      <c r="J5179">
        <v>491434</v>
      </c>
      <c r="K5179">
        <v>0</v>
      </c>
      <c r="L5179">
        <v>30853</v>
      </c>
      <c r="M5179">
        <v>0</v>
      </c>
      <c r="N5179">
        <v>109149</v>
      </c>
      <c r="O5179">
        <v>0</v>
      </c>
      <c r="P5179">
        <v>0</v>
      </c>
      <c r="Q5179">
        <v>1233453</v>
      </c>
      <c r="R5179">
        <v>0</v>
      </c>
      <c r="S5179">
        <v>0</v>
      </c>
      <c r="T5179" s="9">
        <v>45108</v>
      </c>
      <c r="U5179" s="9">
        <v>45473</v>
      </c>
      <c r="V5179">
        <f>SUM(POTABLE_NONPOTABLE_API[[#This Row],[RESIDENTIAL_SINGLEFAMILY_GAL]:[OTHER_GAL]])</f>
        <v>20448313</v>
      </c>
      <c r="W5179">
        <f>SUM(POTABLE_NONPOTABLE_API[[#This Row],[NONPOTABLE_DEMAND_RESIDENTIAL_RECYCLED_WATER_GAL]:[NONPOTABLE_DEMAND_NONRESIDENTIAL_METERED_IRRIGATION_GAL]])</f>
        <v>1342602</v>
      </c>
      <c r="X5179" t="str">
        <f>IFERROR(INDEX(Crosswalk_API!$H$2:$H$527, MATCH(POTABLE_NONPOTABLE_API[[#This Row],[PWSID]], CW_PWSID_LIST, 0)), "")</f>
        <v>No</v>
      </c>
    </row>
    <row r="5180" spans="1:24" x14ac:dyDescent="0.25">
      <c r="A5180" t="s">
        <v>2249</v>
      </c>
      <c r="B5180" t="s">
        <v>2250</v>
      </c>
      <c r="C5180" t="s">
        <v>2251</v>
      </c>
      <c r="D5180" t="s">
        <v>2252</v>
      </c>
      <c r="E5180" s="9">
        <v>45292</v>
      </c>
      <c r="F5180" s="9">
        <v>45322</v>
      </c>
      <c r="G5180">
        <v>12424209</v>
      </c>
      <c r="H5180">
        <v>1514334</v>
      </c>
      <c r="I5180">
        <v>5935631</v>
      </c>
      <c r="J5180">
        <v>569285</v>
      </c>
      <c r="K5180">
        <v>0</v>
      </c>
      <c r="L5180">
        <v>100525</v>
      </c>
      <c r="M5180">
        <v>0</v>
      </c>
      <c r="N5180">
        <v>27139</v>
      </c>
      <c r="O5180">
        <v>0</v>
      </c>
      <c r="P5180">
        <v>0</v>
      </c>
      <c r="Q5180">
        <v>168922</v>
      </c>
      <c r="R5180">
        <v>0</v>
      </c>
      <c r="S5180">
        <v>0</v>
      </c>
      <c r="T5180" s="9">
        <v>45108</v>
      </c>
      <c r="U5180" s="9">
        <v>45473</v>
      </c>
      <c r="V5180">
        <f>SUM(POTABLE_NONPOTABLE_API[[#This Row],[RESIDENTIAL_SINGLEFAMILY_GAL]:[OTHER_GAL]])</f>
        <v>20543984</v>
      </c>
      <c r="W5180">
        <f>SUM(POTABLE_NONPOTABLE_API[[#This Row],[NONPOTABLE_DEMAND_RESIDENTIAL_RECYCLED_WATER_GAL]:[NONPOTABLE_DEMAND_NONRESIDENTIAL_METERED_IRRIGATION_GAL]])</f>
        <v>196061</v>
      </c>
      <c r="X5180" t="str">
        <f>IFERROR(INDEX(Crosswalk_API!$H$2:$H$527, MATCH(POTABLE_NONPOTABLE_API[[#This Row],[PWSID]], CW_PWSID_LIST, 0)), "")</f>
        <v>No</v>
      </c>
    </row>
    <row r="5181" spans="1:24" x14ac:dyDescent="0.25">
      <c r="A5181" t="s">
        <v>2249</v>
      </c>
      <c r="B5181" t="s">
        <v>2250</v>
      </c>
      <c r="C5181" t="s">
        <v>2251</v>
      </c>
      <c r="D5181" t="s">
        <v>2252</v>
      </c>
      <c r="E5181" s="9">
        <v>45323</v>
      </c>
      <c r="F5181" s="9">
        <v>45351</v>
      </c>
      <c r="G5181">
        <v>11432027</v>
      </c>
      <c r="H5181">
        <v>1438816</v>
      </c>
      <c r="I5181">
        <v>5527428</v>
      </c>
      <c r="J5181">
        <v>418280</v>
      </c>
      <c r="K5181">
        <v>0</v>
      </c>
      <c r="L5181">
        <v>78011</v>
      </c>
      <c r="M5181">
        <v>0</v>
      </c>
      <c r="N5181">
        <v>9036</v>
      </c>
      <c r="O5181">
        <v>0</v>
      </c>
      <c r="P5181">
        <v>0</v>
      </c>
      <c r="Q5181">
        <v>191767</v>
      </c>
      <c r="R5181">
        <v>0</v>
      </c>
      <c r="S5181">
        <v>0</v>
      </c>
      <c r="T5181" s="9">
        <v>45108</v>
      </c>
      <c r="U5181" s="9">
        <v>45473</v>
      </c>
      <c r="V5181">
        <f>SUM(POTABLE_NONPOTABLE_API[[#This Row],[RESIDENTIAL_SINGLEFAMILY_GAL]:[OTHER_GAL]])</f>
        <v>18894562</v>
      </c>
      <c r="W5181">
        <f>SUM(POTABLE_NONPOTABLE_API[[#This Row],[NONPOTABLE_DEMAND_RESIDENTIAL_RECYCLED_WATER_GAL]:[NONPOTABLE_DEMAND_NONRESIDENTIAL_METERED_IRRIGATION_GAL]])</f>
        <v>200803</v>
      </c>
      <c r="X5181" t="str">
        <f>IFERROR(INDEX(Crosswalk_API!$H$2:$H$527, MATCH(POTABLE_NONPOTABLE_API[[#This Row],[PWSID]], CW_PWSID_LIST, 0)), "")</f>
        <v>No</v>
      </c>
    </row>
    <row r="5182" spans="1:24" x14ac:dyDescent="0.25">
      <c r="A5182" t="s">
        <v>2249</v>
      </c>
      <c r="B5182" t="s">
        <v>2250</v>
      </c>
      <c r="C5182" t="s">
        <v>2251</v>
      </c>
      <c r="D5182" t="s">
        <v>2252</v>
      </c>
      <c r="E5182" s="9">
        <v>45352</v>
      </c>
      <c r="F5182" s="9">
        <v>45382</v>
      </c>
      <c r="G5182">
        <v>12631687</v>
      </c>
      <c r="H5182">
        <v>1556518</v>
      </c>
      <c r="I5182">
        <v>5926086</v>
      </c>
      <c r="J5182">
        <v>397610</v>
      </c>
      <c r="K5182">
        <v>0</v>
      </c>
      <c r="L5182">
        <v>191858</v>
      </c>
      <c r="M5182">
        <v>0</v>
      </c>
      <c r="N5182">
        <v>17234</v>
      </c>
      <c r="O5182">
        <v>0</v>
      </c>
      <c r="P5182">
        <v>0</v>
      </c>
      <c r="Q5182">
        <v>477000</v>
      </c>
      <c r="R5182">
        <v>0</v>
      </c>
      <c r="S5182">
        <v>0</v>
      </c>
      <c r="T5182" s="9">
        <v>45108</v>
      </c>
      <c r="U5182" s="9">
        <v>45473</v>
      </c>
      <c r="V5182">
        <f>SUM(POTABLE_NONPOTABLE_API[[#This Row],[RESIDENTIAL_SINGLEFAMILY_GAL]:[OTHER_GAL]])</f>
        <v>20703759</v>
      </c>
      <c r="W5182">
        <f>SUM(POTABLE_NONPOTABLE_API[[#This Row],[NONPOTABLE_DEMAND_RESIDENTIAL_RECYCLED_WATER_GAL]:[NONPOTABLE_DEMAND_NONRESIDENTIAL_METERED_IRRIGATION_GAL]])</f>
        <v>494234</v>
      </c>
      <c r="X5182" t="str">
        <f>IFERROR(INDEX(Crosswalk_API!$H$2:$H$527, MATCH(POTABLE_NONPOTABLE_API[[#This Row],[PWSID]], CW_PWSID_LIST, 0)), "")</f>
        <v>No</v>
      </c>
    </row>
    <row r="5183" spans="1:24" x14ac:dyDescent="0.25">
      <c r="A5183" t="s">
        <v>2249</v>
      </c>
      <c r="B5183" t="s">
        <v>2250</v>
      </c>
      <c r="C5183" t="s">
        <v>2251</v>
      </c>
      <c r="D5183" t="s">
        <v>2252</v>
      </c>
      <c r="E5183" s="9">
        <v>45383</v>
      </c>
      <c r="F5183" s="9">
        <v>45412</v>
      </c>
      <c r="G5183">
        <v>12886418</v>
      </c>
      <c r="H5183">
        <v>1466456</v>
      </c>
      <c r="I5183">
        <v>6092919</v>
      </c>
      <c r="J5183">
        <v>689134</v>
      </c>
      <c r="K5183">
        <v>0</v>
      </c>
      <c r="L5183">
        <v>68464</v>
      </c>
      <c r="M5183">
        <v>0</v>
      </c>
      <c r="N5183">
        <v>85051</v>
      </c>
      <c r="O5183">
        <v>0</v>
      </c>
      <c r="P5183">
        <v>0</v>
      </c>
      <c r="Q5183">
        <v>1138867</v>
      </c>
      <c r="R5183">
        <v>0</v>
      </c>
      <c r="S5183">
        <v>0</v>
      </c>
      <c r="T5183" s="9">
        <v>45108</v>
      </c>
      <c r="U5183" s="9">
        <v>45473</v>
      </c>
      <c r="V5183">
        <f>SUM(POTABLE_NONPOTABLE_API[[#This Row],[RESIDENTIAL_SINGLEFAMILY_GAL]:[OTHER_GAL]])</f>
        <v>21203391</v>
      </c>
      <c r="W5183">
        <f>SUM(POTABLE_NONPOTABLE_API[[#This Row],[NONPOTABLE_DEMAND_RESIDENTIAL_RECYCLED_WATER_GAL]:[NONPOTABLE_DEMAND_NONRESIDENTIAL_METERED_IRRIGATION_GAL]])</f>
        <v>1223918</v>
      </c>
      <c r="X5183" t="str">
        <f>IFERROR(INDEX(Crosswalk_API!$H$2:$H$527, MATCH(POTABLE_NONPOTABLE_API[[#This Row],[PWSID]], CW_PWSID_LIST, 0)), "")</f>
        <v>No</v>
      </c>
    </row>
    <row r="5184" spans="1:24" x14ac:dyDescent="0.25">
      <c r="A5184" t="s">
        <v>2249</v>
      </c>
      <c r="B5184" t="s">
        <v>2250</v>
      </c>
      <c r="C5184" t="s">
        <v>2251</v>
      </c>
      <c r="D5184" t="s">
        <v>2252</v>
      </c>
      <c r="E5184" s="9">
        <v>45413</v>
      </c>
      <c r="F5184" s="9">
        <v>45443</v>
      </c>
      <c r="G5184">
        <v>16370803</v>
      </c>
      <c r="H5184">
        <v>1614132</v>
      </c>
      <c r="I5184">
        <v>7318801</v>
      </c>
      <c r="J5184">
        <v>1935682</v>
      </c>
      <c r="K5184">
        <v>0</v>
      </c>
      <c r="L5184">
        <v>163254</v>
      </c>
      <c r="M5184">
        <v>0</v>
      </c>
      <c r="N5184">
        <v>1165251</v>
      </c>
      <c r="O5184">
        <v>0</v>
      </c>
      <c r="P5184">
        <v>0</v>
      </c>
      <c r="Q5184">
        <v>3755539</v>
      </c>
      <c r="R5184">
        <v>0</v>
      </c>
      <c r="S5184">
        <v>0</v>
      </c>
      <c r="T5184" s="9">
        <v>45108</v>
      </c>
      <c r="U5184" s="9">
        <v>45473</v>
      </c>
      <c r="V5184">
        <f>SUM(POTABLE_NONPOTABLE_API[[#This Row],[RESIDENTIAL_SINGLEFAMILY_GAL]:[OTHER_GAL]])</f>
        <v>27402672</v>
      </c>
      <c r="W5184">
        <f>SUM(POTABLE_NONPOTABLE_API[[#This Row],[NONPOTABLE_DEMAND_RESIDENTIAL_RECYCLED_WATER_GAL]:[NONPOTABLE_DEMAND_NONRESIDENTIAL_METERED_IRRIGATION_GAL]])</f>
        <v>4920790</v>
      </c>
      <c r="X5184" t="str">
        <f>IFERROR(INDEX(Crosswalk_API!$H$2:$H$527, MATCH(POTABLE_NONPOTABLE_API[[#This Row],[PWSID]], CW_PWSID_LIST, 0)), "")</f>
        <v>No</v>
      </c>
    </row>
    <row r="5185" spans="1:24" x14ac:dyDescent="0.25">
      <c r="A5185" t="s">
        <v>2249</v>
      </c>
      <c r="B5185" t="s">
        <v>2250</v>
      </c>
      <c r="C5185" t="s">
        <v>2251</v>
      </c>
      <c r="D5185" t="s">
        <v>2252</v>
      </c>
      <c r="E5185" s="9">
        <v>45444</v>
      </c>
      <c r="F5185" s="9">
        <v>45473</v>
      </c>
      <c r="G5185">
        <v>18431271</v>
      </c>
      <c r="H5185">
        <v>1585530</v>
      </c>
      <c r="I5185">
        <v>7372882</v>
      </c>
      <c r="J5185">
        <v>2298569</v>
      </c>
      <c r="K5185">
        <v>0</v>
      </c>
      <c r="L5185">
        <v>419568</v>
      </c>
      <c r="M5185">
        <v>0</v>
      </c>
      <c r="N5185">
        <v>1545119</v>
      </c>
      <c r="O5185">
        <v>0</v>
      </c>
      <c r="P5185">
        <v>0</v>
      </c>
      <c r="Q5185">
        <v>5076365</v>
      </c>
      <c r="R5185">
        <v>0</v>
      </c>
      <c r="S5185">
        <v>0</v>
      </c>
      <c r="T5185" s="9">
        <v>45108</v>
      </c>
      <c r="U5185" s="9">
        <v>45473</v>
      </c>
      <c r="V5185">
        <f>SUM(POTABLE_NONPOTABLE_API[[#This Row],[RESIDENTIAL_SINGLEFAMILY_GAL]:[OTHER_GAL]])</f>
        <v>30107820</v>
      </c>
      <c r="W5185">
        <f>SUM(POTABLE_NONPOTABLE_API[[#This Row],[NONPOTABLE_DEMAND_RESIDENTIAL_RECYCLED_WATER_GAL]:[NONPOTABLE_DEMAND_NONRESIDENTIAL_METERED_IRRIGATION_GAL]])</f>
        <v>6621484</v>
      </c>
      <c r="X5185" t="str">
        <f>IFERROR(INDEX(Crosswalk_API!$H$2:$H$527, MATCH(POTABLE_NONPOTABLE_API[[#This Row],[PWSID]], CW_PWSID_LIST, 0)), "")</f>
        <v>No</v>
      </c>
    </row>
    <row r="5186" spans="1:24" x14ac:dyDescent="0.25">
      <c r="A5186" t="s">
        <v>2253</v>
      </c>
      <c r="B5186" t="s">
        <v>2254</v>
      </c>
      <c r="C5186" t="s">
        <v>2255</v>
      </c>
      <c r="D5186" t="s">
        <v>2256</v>
      </c>
      <c r="E5186" s="9">
        <v>45108</v>
      </c>
      <c r="F5186" s="9">
        <v>45138</v>
      </c>
      <c r="G5186">
        <v>29193103.326000001</v>
      </c>
      <c r="H5186">
        <v>8425683.7019999996</v>
      </c>
      <c r="I5186">
        <v>39321353.380000003</v>
      </c>
      <c r="J5186">
        <v>4156550.9380000001</v>
      </c>
      <c r="K5186">
        <v>0</v>
      </c>
      <c r="L5186">
        <v>0</v>
      </c>
      <c r="M5186">
        <v>0</v>
      </c>
      <c r="T5186" s="9">
        <v>45108</v>
      </c>
      <c r="U5186" s="9">
        <v>45473</v>
      </c>
      <c r="V5186">
        <f>SUM(POTABLE_NONPOTABLE_API[[#This Row],[RESIDENTIAL_SINGLEFAMILY_GAL]:[OTHER_GAL]])</f>
        <v>81096691.345999986</v>
      </c>
      <c r="W5186">
        <f>SUM(POTABLE_NONPOTABLE_API[[#This Row],[NONPOTABLE_DEMAND_RESIDENTIAL_RECYCLED_WATER_GAL]:[NONPOTABLE_DEMAND_NONRESIDENTIAL_METERED_IRRIGATION_GAL]])</f>
        <v>0</v>
      </c>
      <c r="X5186" t="str">
        <f>IFERROR(INDEX(Crosswalk_API!$H$2:$H$527, MATCH(POTABLE_NONPOTABLE_API[[#This Row],[PWSID]], CW_PWSID_LIST, 0)), "")</f>
        <v>No</v>
      </c>
    </row>
    <row r="5187" spans="1:24" x14ac:dyDescent="0.25">
      <c r="A5187" t="s">
        <v>2253</v>
      </c>
      <c r="B5187" t="s">
        <v>2254</v>
      </c>
      <c r="C5187" t="s">
        <v>2255</v>
      </c>
      <c r="D5187" t="s">
        <v>2256</v>
      </c>
      <c r="E5187" s="9">
        <v>45139</v>
      </c>
      <c r="F5187" s="9">
        <v>45169</v>
      </c>
      <c r="G5187">
        <v>29193103.326000001</v>
      </c>
      <c r="H5187">
        <v>8425683.7019999996</v>
      </c>
      <c r="I5187">
        <v>43733364.075999998</v>
      </c>
      <c r="J5187">
        <v>4156550.9380000001</v>
      </c>
      <c r="K5187">
        <v>0</v>
      </c>
      <c r="L5187">
        <v>0</v>
      </c>
      <c r="M5187">
        <v>0</v>
      </c>
      <c r="T5187" s="9">
        <v>45108</v>
      </c>
      <c r="U5187" s="9">
        <v>45473</v>
      </c>
      <c r="V5187">
        <f>SUM(POTABLE_NONPOTABLE_API[[#This Row],[RESIDENTIAL_SINGLEFAMILY_GAL]:[OTHER_GAL]])</f>
        <v>85508702.041999996</v>
      </c>
      <c r="W5187">
        <f>SUM(POTABLE_NONPOTABLE_API[[#This Row],[NONPOTABLE_DEMAND_RESIDENTIAL_RECYCLED_WATER_GAL]:[NONPOTABLE_DEMAND_NONRESIDENTIAL_METERED_IRRIGATION_GAL]])</f>
        <v>0</v>
      </c>
      <c r="X5187" t="str">
        <f>IFERROR(INDEX(Crosswalk_API!$H$2:$H$527, MATCH(POTABLE_NONPOTABLE_API[[#This Row],[PWSID]], CW_PWSID_LIST, 0)), "")</f>
        <v>No</v>
      </c>
    </row>
    <row r="5188" spans="1:24" x14ac:dyDescent="0.25">
      <c r="A5188" t="s">
        <v>2253</v>
      </c>
      <c r="B5188" t="s">
        <v>2254</v>
      </c>
      <c r="C5188" t="s">
        <v>2255</v>
      </c>
      <c r="D5188" t="s">
        <v>2256</v>
      </c>
      <c r="E5188" s="9">
        <v>45170</v>
      </c>
      <c r="F5188" s="9">
        <v>45199</v>
      </c>
      <c r="G5188">
        <v>28622339.650000002</v>
      </c>
      <c r="H5188">
        <v>7985081.074</v>
      </c>
      <c r="I5188">
        <v>53850019.324000001</v>
      </c>
      <c r="J5188">
        <v>5703522.4740000004</v>
      </c>
      <c r="K5188">
        <v>0</v>
      </c>
      <c r="L5188">
        <v>0</v>
      </c>
      <c r="M5188">
        <v>0</v>
      </c>
      <c r="T5188" s="9">
        <v>45108</v>
      </c>
      <c r="U5188" s="9">
        <v>45473</v>
      </c>
      <c r="V5188">
        <f>SUM(POTABLE_NONPOTABLE_API[[#This Row],[RESIDENTIAL_SINGLEFAMILY_GAL]:[OTHER_GAL]])</f>
        <v>96160962.522000015</v>
      </c>
      <c r="W5188">
        <f>SUM(POTABLE_NONPOTABLE_API[[#This Row],[NONPOTABLE_DEMAND_RESIDENTIAL_RECYCLED_WATER_GAL]:[NONPOTABLE_DEMAND_NONRESIDENTIAL_METERED_IRRIGATION_GAL]])</f>
        <v>0</v>
      </c>
      <c r="X5188" t="str">
        <f>IFERROR(INDEX(Crosswalk_API!$H$2:$H$527, MATCH(POTABLE_NONPOTABLE_API[[#This Row],[PWSID]], CW_PWSID_LIST, 0)), "")</f>
        <v>No</v>
      </c>
    </row>
    <row r="5189" spans="1:24" x14ac:dyDescent="0.25">
      <c r="A5189" t="s">
        <v>2253</v>
      </c>
      <c r="B5189" t="s">
        <v>2254</v>
      </c>
      <c r="C5189" t="s">
        <v>2255</v>
      </c>
      <c r="D5189" t="s">
        <v>2256</v>
      </c>
      <c r="E5189" s="9">
        <v>45200</v>
      </c>
      <c r="F5189" s="9">
        <v>45230</v>
      </c>
      <c r="G5189">
        <v>28622339.650000002</v>
      </c>
      <c r="H5189">
        <v>7985081.074</v>
      </c>
      <c r="I5189">
        <v>43102008.188000001</v>
      </c>
      <c r="J5189">
        <v>5703522.4740000004</v>
      </c>
      <c r="K5189">
        <v>0</v>
      </c>
      <c r="L5189">
        <v>0</v>
      </c>
      <c r="M5189">
        <v>0</v>
      </c>
      <c r="T5189" s="9">
        <v>45108</v>
      </c>
      <c r="U5189" s="9">
        <v>45473</v>
      </c>
      <c r="V5189">
        <f>SUM(POTABLE_NONPOTABLE_API[[#This Row],[RESIDENTIAL_SINGLEFAMILY_GAL]:[OTHER_GAL]])</f>
        <v>85412951.386000007</v>
      </c>
      <c r="W5189">
        <f>SUM(POTABLE_NONPOTABLE_API[[#This Row],[NONPOTABLE_DEMAND_RESIDENTIAL_RECYCLED_WATER_GAL]:[NONPOTABLE_DEMAND_NONRESIDENTIAL_METERED_IRRIGATION_GAL]])</f>
        <v>0</v>
      </c>
      <c r="X5189" t="str">
        <f>IFERROR(INDEX(Crosswalk_API!$H$2:$H$527, MATCH(POTABLE_NONPOTABLE_API[[#This Row],[PWSID]], CW_PWSID_LIST, 0)), "")</f>
        <v>No</v>
      </c>
    </row>
    <row r="5190" spans="1:24" x14ac:dyDescent="0.25">
      <c r="A5190" t="s">
        <v>2253</v>
      </c>
      <c r="B5190" t="s">
        <v>2254</v>
      </c>
      <c r="C5190" t="s">
        <v>2255</v>
      </c>
      <c r="D5190" t="s">
        <v>2256</v>
      </c>
      <c r="E5190" s="9">
        <v>45231</v>
      </c>
      <c r="F5190" s="9">
        <v>45260</v>
      </c>
      <c r="G5190">
        <v>27408251.254000001</v>
      </c>
      <c r="H5190">
        <v>7968249.9040000001</v>
      </c>
      <c r="I5190">
        <v>35640189.487999998</v>
      </c>
      <c r="J5190">
        <v>3904831.44</v>
      </c>
      <c r="K5190">
        <v>0</v>
      </c>
      <c r="L5190">
        <v>0</v>
      </c>
      <c r="M5190">
        <v>0</v>
      </c>
      <c r="T5190" s="9">
        <v>45108</v>
      </c>
      <c r="U5190" s="9">
        <v>45473</v>
      </c>
      <c r="V5190">
        <f>SUM(POTABLE_NONPOTABLE_API[[#This Row],[RESIDENTIAL_SINGLEFAMILY_GAL]:[OTHER_GAL]])</f>
        <v>74921522.085999995</v>
      </c>
      <c r="W5190">
        <f>SUM(POTABLE_NONPOTABLE_API[[#This Row],[NONPOTABLE_DEMAND_RESIDENTIAL_RECYCLED_WATER_GAL]:[NONPOTABLE_DEMAND_NONRESIDENTIAL_METERED_IRRIGATION_GAL]])</f>
        <v>0</v>
      </c>
      <c r="X5190" t="str">
        <f>IFERROR(INDEX(Crosswalk_API!$H$2:$H$527, MATCH(POTABLE_NONPOTABLE_API[[#This Row],[PWSID]], CW_PWSID_LIST, 0)), "")</f>
        <v>No</v>
      </c>
    </row>
    <row r="5191" spans="1:24" x14ac:dyDescent="0.25">
      <c r="A5191" t="s">
        <v>2253</v>
      </c>
      <c r="B5191" t="s">
        <v>2254</v>
      </c>
      <c r="C5191" t="s">
        <v>2255</v>
      </c>
      <c r="D5191" t="s">
        <v>2256</v>
      </c>
      <c r="E5191" s="9">
        <v>45261</v>
      </c>
      <c r="F5191" s="9">
        <v>45291</v>
      </c>
      <c r="G5191">
        <v>27408251.254000001</v>
      </c>
      <c r="H5191">
        <v>7968249.9040000001</v>
      </c>
      <c r="I5191">
        <v>32510339.920000002</v>
      </c>
      <c r="J5191">
        <v>3904831.44</v>
      </c>
      <c r="K5191">
        <v>0</v>
      </c>
      <c r="L5191">
        <v>0</v>
      </c>
      <c r="M5191">
        <v>0</v>
      </c>
      <c r="T5191" s="9">
        <v>45108</v>
      </c>
      <c r="U5191" s="9">
        <v>45473</v>
      </c>
      <c r="V5191">
        <f>SUM(POTABLE_NONPOTABLE_API[[#This Row],[RESIDENTIAL_SINGLEFAMILY_GAL]:[OTHER_GAL]])</f>
        <v>71791672.518000007</v>
      </c>
      <c r="W5191">
        <f>SUM(POTABLE_NONPOTABLE_API[[#This Row],[NONPOTABLE_DEMAND_RESIDENTIAL_RECYCLED_WATER_GAL]:[NONPOTABLE_DEMAND_NONRESIDENTIAL_METERED_IRRIGATION_GAL]])</f>
        <v>0</v>
      </c>
      <c r="X5191" t="str">
        <f>IFERROR(INDEX(Crosswalk_API!$H$2:$H$527, MATCH(POTABLE_NONPOTABLE_API[[#This Row],[PWSID]], CW_PWSID_LIST, 0)), "")</f>
        <v>No</v>
      </c>
    </row>
    <row r="5192" spans="1:24" x14ac:dyDescent="0.25">
      <c r="A5192" t="s">
        <v>2253</v>
      </c>
      <c r="B5192" t="s">
        <v>2254</v>
      </c>
      <c r="C5192" t="s">
        <v>2255</v>
      </c>
      <c r="D5192" t="s">
        <v>2256</v>
      </c>
      <c r="E5192" s="9">
        <v>45292</v>
      </c>
      <c r="F5192" s="9">
        <v>45322</v>
      </c>
      <c r="G5192">
        <v>16961331.048</v>
      </c>
      <c r="H5192">
        <v>6463917.3320000004</v>
      </c>
      <c r="I5192">
        <v>19659554.612</v>
      </c>
      <c r="J5192">
        <v>2164862.4879999999</v>
      </c>
      <c r="K5192">
        <v>0</v>
      </c>
      <c r="L5192">
        <v>0</v>
      </c>
      <c r="M5192">
        <v>0</v>
      </c>
      <c r="T5192" s="9">
        <v>45108</v>
      </c>
      <c r="U5192" s="9">
        <v>45473</v>
      </c>
      <c r="V5192">
        <f>SUM(POTABLE_NONPOTABLE_API[[#This Row],[RESIDENTIAL_SINGLEFAMILY_GAL]:[OTHER_GAL]])</f>
        <v>45249665.479999997</v>
      </c>
      <c r="W5192">
        <f>SUM(POTABLE_NONPOTABLE_API[[#This Row],[NONPOTABLE_DEMAND_RESIDENTIAL_RECYCLED_WATER_GAL]:[NONPOTABLE_DEMAND_NONRESIDENTIAL_METERED_IRRIGATION_GAL]])</f>
        <v>0</v>
      </c>
      <c r="X5192" t="str">
        <f>IFERROR(INDEX(Crosswalk_API!$H$2:$H$527, MATCH(POTABLE_NONPOTABLE_API[[#This Row],[PWSID]], CW_PWSID_LIST, 0)), "")</f>
        <v>No</v>
      </c>
    </row>
    <row r="5193" spans="1:24" x14ac:dyDescent="0.25">
      <c r="A5193" t="s">
        <v>2253</v>
      </c>
      <c r="B5193" t="s">
        <v>2254</v>
      </c>
      <c r="C5193" t="s">
        <v>2255</v>
      </c>
      <c r="D5193" t="s">
        <v>2256</v>
      </c>
      <c r="E5193" s="9">
        <v>45323</v>
      </c>
      <c r="F5193" s="9">
        <v>45351</v>
      </c>
      <c r="G5193">
        <v>16961331.048</v>
      </c>
      <c r="H5193">
        <v>6463917.3320000004</v>
      </c>
      <c r="I5193">
        <v>22352541.811999999</v>
      </c>
      <c r="J5193">
        <v>2164862.4879999999</v>
      </c>
      <c r="K5193">
        <v>0</v>
      </c>
      <c r="L5193">
        <v>0</v>
      </c>
      <c r="M5193">
        <v>0</v>
      </c>
      <c r="T5193" s="9">
        <v>45108</v>
      </c>
      <c r="U5193" s="9">
        <v>45473</v>
      </c>
      <c r="V5193">
        <f>SUM(POTABLE_NONPOTABLE_API[[#This Row],[RESIDENTIAL_SINGLEFAMILY_GAL]:[OTHER_GAL]])</f>
        <v>47942652.68</v>
      </c>
      <c r="W5193">
        <f>SUM(POTABLE_NONPOTABLE_API[[#This Row],[NONPOTABLE_DEMAND_RESIDENTIAL_RECYCLED_WATER_GAL]:[NONPOTABLE_DEMAND_NONRESIDENTIAL_METERED_IRRIGATION_GAL]])</f>
        <v>0</v>
      </c>
      <c r="X5193" t="str">
        <f>IFERROR(INDEX(Crosswalk_API!$H$2:$H$527, MATCH(POTABLE_NONPOTABLE_API[[#This Row],[PWSID]], CW_PWSID_LIST, 0)), "")</f>
        <v>No</v>
      </c>
    </row>
    <row r="5194" spans="1:24" x14ac:dyDescent="0.25">
      <c r="A5194" t="s">
        <v>2253</v>
      </c>
      <c r="B5194" t="s">
        <v>2254</v>
      </c>
      <c r="C5194" t="s">
        <v>2255</v>
      </c>
      <c r="D5194" t="s">
        <v>2256</v>
      </c>
      <c r="E5194" s="9">
        <v>45352</v>
      </c>
      <c r="F5194" s="9">
        <v>45382</v>
      </c>
      <c r="G5194">
        <v>10995242.322000001</v>
      </c>
      <c r="H5194">
        <v>7038795.2939999998</v>
      </c>
      <c r="I5194">
        <v>24693570.546</v>
      </c>
      <c r="J5194">
        <v>1382774.122</v>
      </c>
      <c r="K5194">
        <v>0</v>
      </c>
      <c r="L5194">
        <v>0</v>
      </c>
      <c r="M5194">
        <v>0</v>
      </c>
      <c r="T5194" s="9">
        <v>45108</v>
      </c>
      <c r="U5194" s="9">
        <v>45473</v>
      </c>
      <c r="V5194">
        <f>SUM(POTABLE_NONPOTABLE_API[[#This Row],[RESIDENTIAL_SINGLEFAMILY_GAL]:[OTHER_GAL]])</f>
        <v>44110382.284000002</v>
      </c>
      <c r="W5194">
        <f>SUM(POTABLE_NONPOTABLE_API[[#This Row],[NONPOTABLE_DEMAND_RESIDENTIAL_RECYCLED_WATER_GAL]:[NONPOTABLE_DEMAND_NONRESIDENTIAL_METERED_IRRIGATION_GAL]])</f>
        <v>0</v>
      </c>
      <c r="X5194" t="str">
        <f>IFERROR(INDEX(Crosswalk_API!$H$2:$H$527, MATCH(POTABLE_NONPOTABLE_API[[#This Row],[PWSID]], CW_PWSID_LIST, 0)), "")</f>
        <v>No</v>
      </c>
    </row>
    <row r="5195" spans="1:24" x14ac:dyDescent="0.25">
      <c r="A5195" t="s">
        <v>2253</v>
      </c>
      <c r="B5195" t="s">
        <v>2254</v>
      </c>
      <c r="C5195" t="s">
        <v>2255</v>
      </c>
      <c r="D5195" t="s">
        <v>2256</v>
      </c>
      <c r="E5195" s="9">
        <v>45383</v>
      </c>
      <c r="F5195" s="9">
        <v>45412</v>
      </c>
      <c r="G5195">
        <v>10995242.322000001</v>
      </c>
      <c r="H5195">
        <v>7038795.2939999998</v>
      </c>
      <c r="I5195">
        <v>15869549.154000001</v>
      </c>
      <c r="J5195">
        <v>1382774.122</v>
      </c>
      <c r="K5195">
        <v>0</v>
      </c>
      <c r="L5195">
        <v>0</v>
      </c>
      <c r="M5195">
        <v>0</v>
      </c>
      <c r="T5195" s="9">
        <v>45108</v>
      </c>
      <c r="U5195" s="9">
        <v>45473</v>
      </c>
      <c r="V5195">
        <f>SUM(POTABLE_NONPOTABLE_API[[#This Row],[RESIDENTIAL_SINGLEFAMILY_GAL]:[OTHER_GAL]])</f>
        <v>35286360.892000005</v>
      </c>
      <c r="W5195">
        <f>SUM(POTABLE_NONPOTABLE_API[[#This Row],[NONPOTABLE_DEMAND_RESIDENTIAL_RECYCLED_WATER_GAL]:[NONPOTABLE_DEMAND_NONRESIDENTIAL_METERED_IRRIGATION_GAL]])</f>
        <v>0</v>
      </c>
      <c r="X5195" t="str">
        <f>IFERROR(INDEX(Crosswalk_API!$H$2:$H$527, MATCH(POTABLE_NONPOTABLE_API[[#This Row],[PWSID]], CW_PWSID_LIST, 0)), "")</f>
        <v>No</v>
      </c>
    </row>
    <row r="5196" spans="1:24" x14ac:dyDescent="0.25">
      <c r="A5196" t="s">
        <v>2253</v>
      </c>
      <c r="B5196" t="s">
        <v>2254</v>
      </c>
      <c r="C5196" t="s">
        <v>2255</v>
      </c>
      <c r="D5196" t="s">
        <v>2256</v>
      </c>
      <c r="E5196" s="9">
        <v>45413</v>
      </c>
      <c r="F5196" s="9">
        <v>45443</v>
      </c>
      <c r="G5196">
        <v>26290287.539999999</v>
      </c>
      <c r="H5196">
        <v>7576644.682</v>
      </c>
      <c r="I5196">
        <v>35351067.390000001</v>
      </c>
      <c r="J5196">
        <v>3164259.96</v>
      </c>
      <c r="K5196">
        <v>0</v>
      </c>
      <c r="L5196">
        <v>0</v>
      </c>
      <c r="M5196">
        <v>0</v>
      </c>
      <c r="T5196" s="9">
        <v>45108</v>
      </c>
      <c r="U5196" s="9">
        <v>45473</v>
      </c>
      <c r="V5196">
        <f>SUM(POTABLE_NONPOTABLE_API[[#This Row],[RESIDENTIAL_SINGLEFAMILY_GAL]:[OTHER_GAL]])</f>
        <v>72382259.571999997</v>
      </c>
      <c r="W5196">
        <f>SUM(POTABLE_NONPOTABLE_API[[#This Row],[NONPOTABLE_DEMAND_RESIDENTIAL_RECYCLED_WATER_GAL]:[NONPOTABLE_DEMAND_NONRESIDENTIAL_METERED_IRRIGATION_GAL]])</f>
        <v>0</v>
      </c>
      <c r="X5196" t="str">
        <f>IFERROR(INDEX(Crosswalk_API!$H$2:$H$527, MATCH(POTABLE_NONPOTABLE_API[[#This Row],[PWSID]], CW_PWSID_LIST, 0)), "")</f>
        <v>No</v>
      </c>
    </row>
    <row r="5197" spans="1:24" x14ac:dyDescent="0.25">
      <c r="A5197" t="s">
        <v>2253</v>
      </c>
      <c r="B5197" t="s">
        <v>2254</v>
      </c>
      <c r="C5197" t="s">
        <v>2255</v>
      </c>
      <c r="D5197" t="s">
        <v>2256</v>
      </c>
      <c r="E5197" s="9">
        <v>45444</v>
      </c>
      <c r="F5197" s="9">
        <v>45473</v>
      </c>
      <c r="G5197">
        <v>26290287.539999999</v>
      </c>
      <c r="H5197">
        <v>7576644.682</v>
      </c>
      <c r="I5197">
        <v>38817540.358000003</v>
      </c>
      <c r="J5197">
        <v>3164259.96</v>
      </c>
      <c r="K5197">
        <v>0</v>
      </c>
      <c r="L5197">
        <v>0</v>
      </c>
      <c r="M5197">
        <v>0</v>
      </c>
      <c r="T5197" s="9">
        <v>45108</v>
      </c>
      <c r="U5197" s="9">
        <v>45473</v>
      </c>
      <c r="V5197">
        <f>SUM(POTABLE_NONPOTABLE_API[[#This Row],[RESIDENTIAL_SINGLEFAMILY_GAL]:[OTHER_GAL]])</f>
        <v>75848732.540000007</v>
      </c>
      <c r="W5197">
        <f>SUM(POTABLE_NONPOTABLE_API[[#This Row],[NONPOTABLE_DEMAND_RESIDENTIAL_RECYCLED_WATER_GAL]:[NONPOTABLE_DEMAND_NONRESIDENTIAL_METERED_IRRIGATION_GAL]])</f>
        <v>0</v>
      </c>
      <c r="X5197" t="str">
        <f>IFERROR(INDEX(Crosswalk_API!$H$2:$H$527, MATCH(POTABLE_NONPOTABLE_API[[#This Row],[PWSID]], CW_PWSID_LIST, 0)), "")</f>
        <v>No</v>
      </c>
    </row>
    <row r="5198" spans="1:24" x14ac:dyDescent="0.25">
      <c r="A5198" t="s">
        <v>2257</v>
      </c>
      <c r="B5198" t="s">
        <v>2258</v>
      </c>
      <c r="C5198" t="s">
        <v>2259</v>
      </c>
      <c r="D5198" t="s">
        <v>2260</v>
      </c>
      <c r="E5198" s="9">
        <v>45108</v>
      </c>
      <c r="F5198" s="9">
        <v>45138</v>
      </c>
      <c r="G5198">
        <v>71967884</v>
      </c>
      <c r="H5198">
        <v>8349315</v>
      </c>
      <c r="I5198">
        <v>36375718</v>
      </c>
      <c r="J5198">
        <v>0</v>
      </c>
      <c r="K5198">
        <v>6473195</v>
      </c>
      <c r="L5198">
        <v>0</v>
      </c>
      <c r="M5198">
        <v>0</v>
      </c>
      <c r="N5198">
        <v>0</v>
      </c>
      <c r="O5198">
        <v>0</v>
      </c>
      <c r="P5198">
        <v>0</v>
      </c>
      <c r="Q5198">
        <v>0</v>
      </c>
      <c r="R5198">
        <v>0</v>
      </c>
      <c r="S5198">
        <v>3968000</v>
      </c>
      <c r="T5198" s="9">
        <v>45108</v>
      </c>
      <c r="U5198" s="9">
        <v>45473</v>
      </c>
      <c r="V5198">
        <f>SUM(POTABLE_NONPOTABLE_API[[#This Row],[RESIDENTIAL_SINGLEFAMILY_GAL]:[OTHER_GAL]])</f>
        <v>123166112</v>
      </c>
      <c r="W5198">
        <f>SUM(POTABLE_NONPOTABLE_API[[#This Row],[NONPOTABLE_DEMAND_RESIDENTIAL_RECYCLED_WATER_GAL]:[NONPOTABLE_DEMAND_NONRESIDENTIAL_METERED_IRRIGATION_GAL]])</f>
        <v>3968000</v>
      </c>
      <c r="X5198" t="str">
        <f>IFERROR(INDEX(Crosswalk_API!$H$2:$H$527, MATCH(POTABLE_NONPOTABLE_API[[#This Row],[PWSID]], CW_PWSID_LIST, 0)), "")</f>
        <v>No</v>
      </c>
    </row>
    <row r="5199" spans="1:24" x14ac:dyDescent="0.25">
      <c r="A5199" t="s">
        <v>2257</v>
      </c>
      <c r="B5199" t="s">
        <v>2258</v>
      </c>
      <c r="C5199" t="s">
        <v>2259</v>
      </c>
      <c r="D5199" t="s">
        <v>2260</v>
      </c>
      <c r="E5199" s="9">
        <v>45139</v>
      </c>
      <c r="F5199" s="9">
        <v>45169</v>
      </c>
      <c r="G5199">
        <v>68876018</v>
      </c>
      <c r="H5199">
        <v>7587655</v>
      </c>
      <c r="I5199">
        <v>34600033</v>
      </c>
      <c r="J5199">
        <v>0</v>
      </c>
      <c r="K5199">
        <v>5963667</v>
      </c>
      <c r="L5199">
        <v>89120</v>
      </c>
      <c r="M5199">
        <v>0</v>
      </c>
      <c r="N5199">
        <v>0</v>
      </c>
      <c r="O5199">
        <v>0</v>
      </c>
      <c r="P5199">
        <v>0</v>
      </c>
      <c r="Q5199">
        <v>0</v>
      </c>
      <c r="R5199">
        <v>0</v>
      </c>
      <c r="S5199">
        <v>3584400</v>
      </c>
      <c r="T5199" s="9">
        <v>45108</v>
      </c>
      <c r="U5199" s="9">
        <v>45473</v>
      </c>
      <c r="V5199">
        <f>SUM(POTABLE_NONPOTABLE_API[[#This Row],[RESIDENTIAL_SINGLEFAMILY_GAL]:[OTHER_GAL]])</f>
        <v>117116493</v>
      </c>
      <c r="W5199">
        <f>SUM(POTABLE_NONPOTABLE_API[[#This Row],[NONPOTABLE_DEMAND_RESIDENTIAL_RECYCLED_WATER_GAL]:[NONPOTABLE_DEMAND_NONRESIDENTIAL_METERED_IRRIGATION_GAL]])</f>
        <v>3584400</v>
      </c>
      <c r="X5199" t="str">
        <f>IFERROR(INDEX(Crosswalk_API!$H$2:$H$527, MATCH(POTABLE_NONPOTABLE_API[[#This Row],[PWSID]], CW_PWSID_LIST, 0)), "")</f>
        <v>No</v>
      </c>
    </row>
    <row r="5200" spans="1:24" x14ac:dyDescent="0.25">
      <c r="A5200" t="s">
        <v>2257</v>
      </c>
      <c r="B5200" t="s">
        <v>2258</v>
      </c>
      <c r="C5200" t="s">
        <v>2259</v>
      </c>
      <c r="D5200" t="s">
        <v>2260</v>
      </c>
      <c r="E5200" s="9">
        <v>45170</v>
      </c>
      <c r="F5200" s="9">
        <v>45199</v>
      </c>
      <c r="G5200">
        <v>68294909</v>
      </c>
      <c r="H5200">
        <v>6849498</v>
      </c>
      <c r="I5200">
        <v>39042123</v>
      </c>
      <c r="J5200">
        <v>0</v>
      </c>
      <c r="K5200">
        <v>6864194</v>
      </c>
      <c r="L5200">
        <v>2411728</v>
      </c>
      <c r="M5200">
        <v>0</v>
      </c>
      <c r="N5200">
        <v>0</v>
      </c>
      <c r="O5200">
        <v>0</v>
      </c>
      <c r="P5200">
        <v>0</v>
      </c>
      <c r="Q5200">
        <v>0</v>
      </c>
      <c r="R5200">
        <v>0</v>
      </c>
      <c r="S5200">
        <v>1747000</v>
      </c>
      <c r="T5200" s="9">
        <v>45108</v>
      </c>
      <c r="U5200" s="9">
        <v>45473</v>
      </c>
      <c r="V5200">
        <f>SUM(POTABLE_NONPOTABLE_API[[#This Row],[RESIDENTIAL_SINGLEFAMILY_GAL]:[OTHER_GAL]])</f>
        <v>123462452</v>
      </c>
      <c r="W5200">
        <f>SUM(POTABLE_NONPOTABLE_API[[#This Row],[NONPOTABLE_DEMAND_RESIDENTIAL_RECYCLED_WATER_GAL]:[NONPOTABLE_DEMAND_NONRESIDENTIAL_METERED_IRRIGATION_GAL]])</f>
        <v>1747000</v>
      </c>
      <c r="X5200" t="str">
        <f>IFERROR(INDEX(Crosswalk_API!$H$2:$H$527, MATCH(POTABLE_NONPOTABLE_API[[#This Row],[PWSID]], CW_PWSID_LIST, 0)), "")</f>
        <v>No</v>
      </c>
    </row>
    <row r="5201" spans="1:24" x14ac:dyDescent="0.25">
      <c r="A5201" t="s">
        <v>2257</v>
      </c>
      <c r="B5201" t="s">
        <v>2258</v>
      </c>
      <c r="C5201" t="s">
        <v>2259</v>
      </c>
      <c r="D5201" t="s">
        <v>2260</v>
      </c>
      <c r="E5201" s="9">
        <v>45200</v>
      </c>
      <c r="F5201" s="9">
        <v>45230</v>
      </c>
      <c r="G5201">
        <v>55231731</v>
      </c>
      <c r="H5201">
        <v>7084429</v>
      </c>
      <c r="I5201">
        <v>27715285</v>
      </c>
      <c r="J5201">
        <v>0</v>
      </c>
      <c r="K5201">
        <v>4593272</v>
      </c>
      <c r="L5201">
        <v>0</v>
      </c>
      <c r="M5201">
        <v>0</v>
      </c>
      <c r="N5201">
        <v>0</v>
      </c>
      <c r="O5201">
        <v>0</v>
      </c>
      <c r="P5201">
        <v>0</v>
      </c>
      <c r="Q5201">
        <v>0</v>
      </c>
      <c r="R5201">
        <v>0</v>
      </c>
      <c r="S5201">
        <v>4723160</v>
      </c>
      <c r="T5201" s="9">
        <v>45108</v>
      </c>
      <c r="U5201" s="9">
        <v>45473</v>
      </c>
      <c r="V5201">
        <f>SUM(POTABLE_NONPOTABLE_API[[#This Row],[RESIDENTIAL_SINGLEFAMILY_GAL]:[OTHER_GAL]])</f>
        <v>94624717</v>
      </c>
      <c r="W5201">
        <f>SUM(POTABLE_NONPOTABLE_API[[#This Row],[NONPOTABLE_DEMAND_RESIDENTIAL_RECYCLED_WATER_GAL]:[NONPOTABLE_DEMAND_NONRESIDENTIAL_METERED_IRRIGATION_GAL]])</f>
        <v>4723160</v>
      </c>
      <c r="X5201" t="str">
        <f>IFERROR(INDEX(Crosswalk_API!$H$2:$H$527, MATCH(POTABLE_NONPOTABLE_API[[#This Row],[PWSID]], CW_PWSID_LIST, 0)), "")</f>
        <v>No</v>
      </c>
    </row>
    <row r="5202" spans="1:24" x14ac:dyDescent="0.25">
      <c r="A5202" t="s">
        <v>2257</v>
      </c>
      <c r="B5202" t="s">
        <v>2258</v>
      </c>
      <c r="C5202" t="s">
        <v>2259</v>
      </c>
      <c r="D5202" t="s">
        <v>2260</v>
      </c>
      <c r="E5202" s="9">
        <v>45231</v>
      </c>
      <c r="F5202" s="9">
        <v>45260</v>
      </c>
      <c r="G5202">
        <v>43356725</v>
      </c>
      <c r="H5202">
        <v>4891170</v>
      </c>
      <c r="I5202">
        <v>21367316</v>
      </c>
      <c r="J5202">
        <v>0</v>
      </c>
      <c r="K5202">
        <v>4534155</v>
      </c>
      <c r="L5202">
        <v>68088</v>
      </c>
      <c r="M5202">
        <v>0</v>
      </c>
      <c r="N5202">
        <v>0</v>
      </c>
      <c r="O5202">
        <v>0</v>
      </c>
      <c r="P5202">
        <v>0</v>
      </c>
      <c r="Q5202">
        <v>0</v>
      </c>
      <c r="R5202">
        <v>0</v>
      </c>
      <c r="S5202">
        <v>1475200</v>
      </c>
      <c r="T5202" s="9">
        <v>45108</v>
      </c>
      <c r="U5202" s="9">
        <v>45473</v>
      </c>
      <c r="V5202">
        <f>SUM(POTABLE_NONPOTABLE_API[[#This Row],[RESIDENTIAL_SINGLEFAMILY_GAL]:[OTHER_GAL]])</f>
        <v>74217454</v>
      </c>
      <c r="W5202">
        <f>SUM(POTABLE_NONPOTABLE_API[[#This Row],[NONPOTABLE_DEMAND_RESIDENTIAL_RECYCLED_WATER_GAL]:[NONPOTABLE_DEMAND_NONRESIDENTIAL_METERED_IRRIGATION_GAL]])</f>
        <v>1475200</v>
      </c>
      <c r="X5202" t="str">
        <f>IFERROR(INDEX(Crosswalk_API!$H$2:$H$527, MATCH(POTABLE_NONPOTABLE_API[[#This Row],[PWSID]], CW_PWSID_LIST, 0)), "")</f>
        <v>No</v>
      </c>
    </row>
    <row r="5203" spans="1:24" x14ac:dyDescent="0.25">
      <c r="A5203" t="s">
        <v>2257</v>
      </c>
      <c r="B5203" t="s">
        <v>2258</v>
      </c>
      <c r="C5203" t="s">
        <v>2259</v>
      </c>
      <c r="D5203" t="s">
        <v>2260</v>
      </c>
      <c r="E5203" s="9">
        <v>45261</v>
      </c>
      <c r="F5203" s="9">
        <v>45291</v>
      </c>
      <c r="G5203">
        <v>42414724</v>
      </c>
      <c r="H5203">
        <v>5018191</v>
      </c>
      <c r="I5203">
        <v>15638939</v>
      </c>
      <c r="J5203">
        <v>0</v>
      </c>
      <c r="K5203">
        <v>3481311</v>
      </c>
      <c r="L5203">
        <v>0</v>
      </c>
      <c r="M5203">
        <v>0</v>
      </c>
      <c r="N5203">
        <v>0</v>
      </c>
      <c r="O5203">
        <v>0</v>
      </c>
      <c r="P5203">
        <v>0</v>
      </c>
      <c r="Q5203">
        <v>0</v>
      </c>
      <c r="R5203">
        <v>0</v>
      </c>
      <c r="S5203">
        <v>947000</v>
      </c>
      <c r="T5203" s="9">
        <v>45108</v>
      </c>
      <c r="U5203" s="9">
        <v>45473</v>
      </c>
      <c r="V5203">
        <f>SUM(POTABLE_NONPOTABLE_API[[#This Row],[RESIDENTIAL_SINGLEFAMILY_GAL]:[OTHER_GAL]])</f>
        <v>66553165</v>
      </c>
      <c r="W5203">
        <f>SUM(POTABLE_NONPOTABLE_API[[#This Row],[NONPOTABLE_DEMAND_RESIDENTIAL_RECYCLED_WATER_GAL]:[NONPOTABLE_DEMAND_NONRESIDENTIAL_METERED_IRRIGATION_GAL]])</f>
        <v>947000</v>
      </c>
      <c r="X5203" t="str">
        <f>IFERROR(INDEX(Crosswalk_API!$H$2:$H$527, MATCH(POTABLE_NONPOTABLE_API[[#This Row],[PWSID]], CW_PWSID_LIST, 0)), "")</f>
        <v>No</v>
      </c>
    </row>
    <row r="5204" spans="1:24" x14ac:dyDescent="0.25">
      <c r="A5204" t="s">
        <v>2257</v>
      </c>
      <c r="B5204" t="s">
        <v>2258</v>
      </c>
      <c r="C5204" t="s">
        <v>2259</v>
      </c>
      <c r="D5204" t="s">
        <v>2260</v>
      </c>
      <c r="E5204" s="9">
        <v>45292</v>
      </c>
      <c r="F5204" s="9">
        <v>45322</v>
      </c>
      <c r="G5204">
        <v>32635800</v>
      </c>
      <c r="H5204">
        <v>4390133</v>
      </c>
      <c r="I5204">
        <v>11848275</v>
      </c>
      <c r="J5204">
        <v>0</v>
      </c>
      <c r="K5204">
        <v>1736228</v>
      </c>
      <c r="L5204">
        <v>49866</v>
      </c>
      <c r="M5204">
        <v>0</v>
      </c>
      <c r="N5204">
        <v>0</v>
      </c>
      <c r="O5204">
        <v>0</v>
      </c>
      <c r="P5204">
        <v>0</v>
      </c>
      <c r="Q5204">
        <v>0</v>
      </c>
      <c r="R5204">
        <v>0</v>
      </c>
      <c r="S5204">
        <v>1419000</v>
      </c>
      <c r="T5204" s="9">
        <v>45108</v>
      </c>
      <c r="U5204" s="9">
        <v>45473</v>
      </c>
      <c r="V5204">
        <f>SUM(POTABLE_NONPOTABLE_API[[#This Row],[RESIDENTIAL_SINGLEFAMILY_GAL]:[OTHER_GAL]])</f>
        <v>50660302</v>
      </c>
      <c r="W5204">
        <f>SUM(POTABLE_NONPOTABLE_API[[#This Row],[NONPOTABLE_DEMAND_RESIDENTIAL_RECYCLED_WATER_GAL]:[NONPOTABLE_DEMAND_NONRESIDENTIAL_METERED_IRRIGATION_GAL]])</f>
        <v>1419000</v>
      </c>
      <c r="X5204" t="str">
        <f>IFERROR(INDEX(Crosswalk_API!$H$2:$H$527, MATCH(POTABLE_NONPOTABLE_API[[#This Row],[PWSID]], CW_PWSID_LIST, 0)), "")</f>
        <v>No</v>
      </c>
    </row>
    <row r="5205" spans="1:24" x14ac:dyDescent="0.25">
      <c r="A5205" t="s">
        <v>2257</v>
      </c>
      <c r="B5205" t="s">
        <v>2258</v>
      </c>
      <c r="C5205" t="s">
        <v>2259</v>
      </c>
      <c r="D5205" t="s">
        <v>2260</v>
      </c>
      <c r="E5205" s="9">
        <v>45323</v>
      </c>
      <c r="F5205" s="9">
        <v>45351</v>
      </c>
      <c r="G5205">
        <v>28517463</v>
      </c>
      <c r="H5205">
        <v>4173888</v>
      </c>
      <c r="I5205">
        <v>10531792</v>
      </c>
      <c r="J5205">
        <v>0</v>
      </c>
      <c r="K5205">
        <v>2530956</v>
      </c>
      <c r="L5205">
        <v>37791</v>
      </c>
      <c r="M5205">
        <v>0</v>
      </c>
      <c r="N5205">
        <v>0</v>
      </c>
      <c r="O5205">
        <v>0</v>
      </c>
      <c r="P5205">
        <v>0</v>
      </c>
      <c r="Q5205">
        <v>0</v>
      </c>
      <c r="R5205">
        <v>0</v>
      </c>
      <c r="S5205">
        <v>617000</v>
      </c>
      <c r="T5205" s="9">
        <v>45108</v>
      </c>
      <c r="U5205" s="9">
        <v>45473</v>
      </c>
      <c r="V5205">
        <f>SUM(POTABLE_NONPOTABLE_API[[#This Row],[RESIDENTIAL_SINGLEFAMILY_GAL]:[OTHER_GAL]])</f>
        <v>45791890</v>
      </c>
      <c r="W5205">
        <f>SUM(POTABLE_NONPOTABLE_API[[#This Row],[NONPOTABLE_DEMAND_RESIDENTIAL_RECYCLED_WATER_GAL]:[NONPOTABLE_DEMAND_NONRESIDENTIAL_METERED_IRRIGATION_GAL]])</f>
        <v>617000</v>
      </c>
      <c r="X5205" t="str">
        <f>IFERROR(INDEX(Crosswalk_API!$H$2:$H$527, MATCH(POTABLE_NONPOTABLE_API[[#This Row],[PWSID]], CW_PWSID_LIST, 0)), "")</f>
        <v>No</v>
      </c>
    </row>
    <row r="5206" spans="1:24" x14ac:dyDescent="0.25">
      <c r="A5206" t="s">
        <v>2257</v>
      </c>
      <c r="B5206" t="s">
        <v>2258</v>
      </c>
      <c r="C5206" t="s">
        <v>2259</v>
      </c>
      <c r="D5206" t="s">
        <v>2260</v>
      </c>
      <c r="E5206" s="9">
        <v>45352</v>
      </c>
      <c r="F5206" s="9">
        <v>45382</v>
      </c>
      <c r="G5206">
        <v>31894860</v>
      </c>
      <c r="H5206">
        <v>3722677</v>
      </c>
      <c r="I5206">
        <v>10995063</v>
      </c>
      <c r="J5206">
        <v>0</v>
      </c>
      <c r="K5206">
        <v>1754477</v>
      </c>
      <c r="L5206">
        <v>287582</v>
      </c>
      <c r="M5206">
        <v>0</v>
      </c>
      <c r="N5206">
        <v>0</v>
      </c>
      <c r="O5206">
        <v>0</v>
      </c>
      <c r="P5206">
        <v>0</v>
      </c>
      <c r="Q5206">
        <v>0</v>
      </c>
      <c r="R5206">
        <v>0</v>
      </c>
      <c r="S5206">
        <v>3615000</v>
      </c>
      <c r="T5206" s="9">
        <v>45108</v>
      </c>
      <c r="U5206" s="9">
        <v>45473</v>
      </c>
      <c r="V5206">
        <f>SUM(POTABLE_NONPOTABLE_API[[#This Row],[RESIDENTIAL_SINGLEFAMILY_GAL]:[OTHER_GAL]])</f>
        <v>48654659</v>
      </c>
      <c r="W5206">
        <f>SUM(POTABLE_NONPOTABLE_API[[#This Row],[NONPOTABLE_DEMAND_RESIDENTIAL_RECYCLED_WATER_GAL]:[NONPOTABLE_DEMAND_NONRESIDENTIAL_METERED_IRRIGATION_GAL]])</f>
        <v>3615000</v>
      </c>
      <c r="X5206" t="str">
        <f>IFERROR(INDEX(Crosswalk_API!$H$2:$H$527, MATCH(POTABLE_NONPOTABLE_API[[#This Row],[PWSID]], CW_PWSID_LIST, 0)), "")</f>
        <v>No</v>
      </c>
    </row>
    <row r="5207" spans="1:24" x14ac:dyDescent="0.25">
      <c r="A5207" t="s">
        <v>2257</v>
      </c>
      <c r="B5207" t="s">
        <v>2258</v>
      </c>
      <c r="C5207" t="s">
        <v>2259</v>
      </c>
      <c r="D5207" t="s">
        <v>2260</v>
      </c>
      <c r="E5207" s="9">
        <v>45383</v>
      </c>
      <c r="F5207" s="9">
        <v>45412</v>
      </c>
      <c r="G5207">
        <v>36960263</v>
      </c>
      <c r="H5207">
        <v>4940172</v>
      </c>
      <c r="I5207">
        <v>16147120</v>
      </c>
      <c r="J5207">
        <v>0</v>
      </c>
      <c r="K5207">
        <v>1905308</v>
      </c>
      <c r="L5207">
        <v>259062</v>
      </c>
      <c r="M5207">
        <v>0</v>
      </c>
      <c r="N5207">
        <v>0</v>
      </c>
      <c r="O5207">
        <v>0</v>
      </c>
      <c r="P5207">
        <v>0</v>
      </c>
      <c r="Q5207">
        <v>0</v>
      </c>
      <c r="R5207">
        <v>0</v>
      </c>
      <c r="S5207">
        <v>6332000</v>
      </c>
      <c r="T5207" s="9">
        <v>45108</v>
      </c>
      <c r="U5207" s="9">
        <v>45473</v>
      </c>
      <c r="V5207">
        <f>SUM(POTABLE_NONPOTABLE_API[[#This Row],[RESIDENTIAL_SINGLEFAMILY_GAL]:[OTHER_GAL]])</f>
        <v>60211925</v>
      </c>
      <c r="W5207">
        <f>SUM(POTABLE_NONPOTABLE_API[[#This Row],[NONPOTABLE_DEMAND_RESIDENTIAL_RECYCLED_WATER_GAL]:[NONPOTABLE_DEMAND_NONRESIDENTIAL_METERED_IRRIGATION_GAL]])</f>
        <v>6332000</v>
      </c>
      <c r="X5207" t="str">
        <f>IFERROR(INDEX(Crosswalk_API!$H$2:$H$527, MATCH(POTABLE_NONPOTABLE_API[[#This Row],[PWSID]], CW_PWSID_LIST, 0)), "")</f>
        <v>No</v>
      </c>
    </row>
    <row r="5208" spans="1:24" x14ac:dyDescent="0.25">
      <c r="A5208" t="s">
        <v>2257</v>
      </c>
      <c r="B5208" t="s">
        <v>2258</v>
      </c>
      <c r="C5208" t="s">
        <v>2259</v>
      </c>
      <c r="D5208" t="s">
        <v>2260</v>
      </c>
      <c r="E5208" s="9">
        <v>45413</v>
      </c>
      <c r="F5208" s="9">
        <v>45443</v>
      </c>
      <c r="G5208">
        <v>56473108</v>
      </c>
      <c r="H5208">
        <v>6059121</v>
      </c>
      <c r="I5208">
        <v>20282373</v>
      </c>
      <c r="J5208">
        <v>0</v>
      </c>
      <c r="K5208">
        <v>2997182</v>
      </c>
      <c r="L5208">
        <v>281135</v>
      </c>
      <c r="M5208">
        <v>0</v>
      </c>
      <c r="N5208">
        <v>0</v>
      </c>
      <c r="O5208">
        <v>0</v>
      </c>
      <c r="P5208">
        <v>0</v>
      </c>
      <c r="Q5208">
        <v>0</v>
      </c>
      <c r="R5208">
        <v>0</v>
      </c>
      <c r="S5208">
        <v>12446000</v>
      </c>
      <c r="T5208" s="9">
        <v>45108</v>
      </c>
      <c r="U5208" s="9">
        <v>45473</v>
      </c>
      <c r="V5208">
        <f>SUM(POTABLE_NONPOTABLE_API[[#This Row],[RESIDENTIAL_SINGLEFAMILY_GAL]:[OTHER_GAL]])</f>
        <v>86092919</v>
      </c>
      <c r="W5208">
        <f>SUM(POTABLE_NONPOTABLE_API[[#This Row],[NONPOTABLE_DEMAND_RESIDENTIAL_RECYCLED_WATER_GAL]:[NONPOTABLE_DEMAND_NONRESIDENTIAL_METERED_IRRIGATION_GAL]])</f>
        <v>12446000</v>
      </c>
      <c r="X5208" t="str">
        <f>IFERROR(INDEX(Crosswalk_API!$H$2:$H$527, MATCH(POTABLE_NONPOTABLE_API[[#This Row],[PWSID]], CW_PWSID_LIST, 0)), "")</f>
        <v>No</v>
      </c>
    </row>
    <row r="5209" spans="1:24" x14ac:dyDescent="0.25">
      <c r="A5209" t="s">
        <v>2257</v>
      </c>
      <c r="B5209" t="s">
        <v>2258</v>
      </c>
      <c r="C5209" t="s">
        <v>2259</v>
      </c>
      <c r="D5209" t="s">
        <v>2260</v>
      </c>
      <c r="E5209" s="9">
        <v>45444</v>
      </c>
      <c r="F5209" s="9">
        <v>45473</v>
      </c>
      <c r="G5209">
        <v>81466824</v>
      </c>
      <c r="H5209">
        <v>7928141</v>
      </c>
      <c r="I5209">
        <v>39213498</v>
      </c>
      <c r="J5209">
        <v>0</v>
      </c>
      <c r="K5209">
        <v>4911325</v>
      </c>
      <c r="L5209">
        <v>361955</v>
      </c>
      <c r="M5209">
        <v>0</v>
      </c>
      <c r="N5209">
        <v>0</v>
      </c>
      <c r="O5209">
        <v>0</v>
      </c>
      <c r="P5209">
        <v>0</v>
      </c>
      <c r="Q5209">
        <v>0</v>
      </c>
      <c r="R5209">
        <v>0</v>
      </c>
      <c r="S5209">
        <v>11540000</v>
      </c>
      <c r="T5209" s="9">
        <v>45108</v>
      </c>
      <c r="U5209" s="9">
        <v>45473</v>
      </c>
      <c r="V5209">
        <f>SUM(POTABLE_NONPOTABLE_API[[#This Row],[RESIDENTIAL_SINGLEFAMILY_GAL]:[OTHER_GAL]])</f>
        <v>133881743</v>
      </c>
      <c r="W5209">
        <f>SUM(POTABLE_NONPOTABLE_API[[#This Row],[NONPOTABLE_DEMAND_RESIDENTIAL_RECYCLED_WATER_GAL]:[NONPOTABLE_DEMAND_NONRESIDENTIAL_METERED_IRRIGATION_GAL]])</f>
        <v>11540000</v>
      </c>
      <c r="X5209" t="str">
        <f>IFERROR(INDEX(Crosswalk_API!$H$2:$H$527, MATCH(POTABLE_NONPOTABLE_API[[#This Row],[PWSID]], CW_PWSID_LIST, 0)), "")</f>
        <v>No</v>
      </c>
    </row>
    <row r="5210" spans="1:24" x14ac:dyDescent="0.25">
      <c r="A5210" t="s">
        <v>2261</v>
      </c>
      <c r="B5210" t="s">
        <v>2262</v>
      </c>
      <c r="C5210" t="s">
        <v>2263</v>
      </c>
      <c r="D5210" t="s">
        <v>2264</v>
      </c>
      <c r="E5210" s="9">
        <v>45108</v>
      </c>
      <c r="F5210" s="9">
        <v>45138</v>
      </c>
      <c r="G5210">
        <v>46298133</v>
      </c>
      <c r="H5210">
        <v>4532880</v>
      </c>
      <c r="I5210">
        <v>6658943</v>
      </c>
      <c r="J5210">
        <v>2797079</v>
      </c>
      <c r="K5210">
        <v>9464743</v>
      </c>
      <c r="L5210">
        <v>814001</v>
      </c>
      <c r="M5210">
        <v>0</v>
      </c>
      <c r="N5210">
        <v>0</v>
      </c>
      <c r="O5210">
        <v>0</v>
      </c>
      <c r="P5210">
        <v>0</v>
      </c>
      <c r="Q5210">
        <v>0</v>
      </c>
      <c r="R5210">
        <v>0</v>
      </c>
      <c r="S5210">
        <v>1195792</v>
      </c>
      <c r="T5210" s="9">
        <v>45108</v>
      </c>
      <c r="U5210" s="9">
        <v>45473</v>
      </c>
      <c r="V5210">
        <f>SUM(POTABLE_NONPOTABLE_API[[#This Row],[RESIDENTIAL_SINGLEFAMILY_GAL]:[OTHER_GAL]])</f>
        <v>70565779</v>
      </c>
      <c r="W5210">
        <f>SUM(POTABLE_NONPOTABLE_API[[#This Row],[NONPOTABLE_DEMAND_RESIDENTIAL_RECYCLED_WATER_GAL]:[NONPOTABLE_DEMAND_NONRESIDENTIAL_METERED_IRRIGATION_GAL]])</f>
        <v>1195792</v>
      </c>
      <c r="X5210" t="str">
        <f>IFERROR(INDEX(Crosswalk_API!$H$2:$H$527, MATCH(POTABLE_NONPOTABLE_API[[#This Row],[PWSID]], CW_PWSID_LIST, 0)), "")</f>
        <v>No</v>
      </c>
    </row>
    <row r="5211" spans="1:24" x14ac:dyDescent="0.25">
      <c r="A5211" t="s">
        <v>2261</v>
      </c>
      <c r="B5211" t="s">
        <v>2262</v>
      </c>
      <c r="C5211" t="s">
        <v>2263</v>
      </c>
      <c r="D5211" t="s">
        <v>2264</v>
      </c>
      <c r="E5211" s="9">
        <v>45139</v>
      </c>
      <c r="F5211" s="9">
        <v>45169</v>
      </c>
      <c r="G5211">
        <v>51106434</v>
      </c>
      <c r="H5211">
        <v>4256427</v>
      </c>
      <c r="I5211">
        <v>8019480</v>
      </c>
      <c r="J5211">
        <v>2905786</v>
      </c>
      <c r="K5211">
        <v>10077452</v>
      </c>
      <c r="L5211">
        <v>989673</v>
      </c>
      <c r="M5211">
        <v>0</v>
      </c>
      <c r="N5211">
        <v>0</v>
      </c>
      <c r="O5211">
        <v>0</v>
      </c>
      <c r="P5211">
        <v>0</v>
      </c>
      <c r="Q5211">
        <v>0</v>
      </c>
      <c r="R5211">
        <v>0</v>
      </c>
      <c r="S5211">
        <v>1189276</v>
      </c>
      <c r="T5211" s="9">
        <v>45108</v>
      </c>
      <c r="U5211" s="9">
        <v>45473</v>
      </c>
      <c r="V5211">
        <f>SUM(POTABLE_NONPOTABLE_API[[#This Row],[RESIDENTIAL_SINGLEFAMILY_GAL]:[OTHER_GAL]])</f>
        <v>77355252</v>
      </c>
      <c r="W5211">
        <f>SUM(POTABLE_NONPOTABLE_API[[#This Row],[NONPOTABLE_DEMAND_RESIDENTIAL_RECYCLED_WATER_GAL]:[NONPOTABLE_DEMAND_NONRESIDENTIAL_METERED_IRRIGATION_GAL]])</f>
        <v>1189276</v>
      </c>
      <c r="X5211" t="str">
        <f>IFERROR(INDEX(Crosswalk_API!$H$2:$H$527, MATCH(POTABLE_NONPOTABLE_API[[#This Row],[PWSID]], CW_PWSID_LIST, 0)), "")</f>
        <v>No</v>
      </c>
    </row>
    <row r="5212" spans="1:24" x14ac:dyDescent="0.25">
      <c r="A5212" t="s">
        <v>2261</v>
      </c>
      <c r="B5212" t="s">
        <v>2262</v>
      </c>
      <c r="C5212" t="s">
        <v>2263</v>
      </c>
      <c r="D5212" t="s">
        <v>2264</v>
      </c>
      <c r="E5212" s="9">
        <v>45170</v>
      </c>
      <c r="F5212" s="9">
        <v>45199</v>
      </c>
      <c r="G5212">
        <v>40459780</v>
      </c>
      <c r="H5212">
        <v>4114412</v>
      </c>
      <c r="I5212">
        <v>7104130</v>
      </c>
      <c r="J5212">
        <v>2399913</v>
      </c>
      <c r="K5212">
        <v>9240910</v>
      </c>
      <c r="L5212">
        <v>870230</v>
      </c>
      <c r="M5212">
        <v>0</v>
      </c>
      <c r="N5212">
        <v>0</v>
      </c>
      <c r="O5212">
        <v>0</v>
      </c>
      <c r="P5212">
        <v>0</v>
      </c>
      <c r="Q5212">
        <v>0</v>
      </c>
      <c r="R5212">
        <v>0</v>
      </c>
      <c r="S5212">
        <v>319312</v>
      </c>
      <c r="T5212" s="9">
        <v>45108</v>
      </c>
      <c r="U5212" s="9">
        <v>45473</v>
      </c>
      <c r="V5212">
        <f>SUM(POTABLE_NONPOTABLE_API[[#This Row],[RESIDENTIAL_SINGLEFAMILY_GAL]:[OTHER_GAL]])</f>
        <v>64189375</v>
      </c>
      <c r="W5212">
        <f>SUM(POTABLE_NONPOTABLE_API[[#This Row],[NONPOTABLE_DEMAND_RESIDENTIAL_RECYCLED_WATER_GAL]:[NONPOTABLE_DEMAND_NONRESIDENTIAL_METERED_IRRIGATION_GAL]])</f>
        <v>319312</v>
      </c>
      <c r="X5212" t="str">
        <f>IFERROR(INDEX(Crosswalk_API!$H$2:$H$527, MATCH(POTABLE_NONPOTABLE_API[[#This Row],[PWSID]], CW_PWSID_LIST, 0)), "")</f>
        <v>No</v>
      </c>
    </row>
    <row r="5213" spans="1:24" x14ac:dyDescent="0.25">
      <c r="A5213" t="s">
        <v>2261</v>
      </c>
      <c r="B5213" t="s">
        <v>2262</v>
      </c>
      <c r="C5213" t="s">
        <v>2263</v>
      </c>
      <c r="D5213" t="s">
        <v>2264</v>
      </c>
      <c r="E5213" s="9">
        <v>45200</v>
      </c>
      <c r="F5213" s="9">
        <v>45230</v>
      </c>
      <c r="G5213">
        <v>31658225</v>
      </c>
      <c r="H5213">
        <v>3397536</v>
      </c>
      <c r="I5213">
        <v>4982421</v>
      </c>
      <c r="J5213">
        <v>1014281</v>
      </c>
      <c r="K5213">
        <v>8442601</v>
      </c>
      <c r="L5213">
        <v>801534</v>
      </c>
      <c r="M5213">
        <v>0</v>
      </c>
      <c r="N5213">
        <v>0</v>
      </c>
      <c r="O5213">
        <v>0</v>
      </c>
      <c r="P5213">
        <v>0</v>
      </c>
      <c r="Q5213">
        <v>0</v>
      </c>
      <c r="R5213">
        <v>0</v>
      </c>
      <c r="S5213">
        <v>933848</v>
      </c>
      <c r="T5213" s="9">
        <v>45108</v>
      </c>
      <c r="U5213" s="9">
        <v>45473</v>
      </c>
      <c r="V5213">
        <f>SUM(POTABLE_NONPOTABLE_API[[#This Row],[RESIDENTIAL_SINGLEFAMILY_GAL]:[OTHER_GAL]])</f>
        <v>50296598</v>
      </c>
      <c r="W5213">
        <f>SUM(POTABLE_NONPOTABLE_API[[#This Row],[NONPOTABLE_DEMAND_RESIDENTIAL_RECYCLED_WATER_GAL]:[NONPOTABLE_DEMAND_NONRESIDENTIAL_METERED_IRRIGATION_GAL]])</f>
        <v>933848</v>
      </c>
      <c r="X5213" t="str">
        <f>IFERROR(INDEX(Crosswalk_API!$H$2:$H$527, MATCH(POTABLE_NONPOTABLE_API[[#This Row],[PWSID]], CW_PWSID_LIST, 0)), "")</f>
        <v>No</v>
      </c>
    </row>
    <row r="5214" spans="1:24" x14ac:dyDescent="0.25">
      <c r="A5214" t="s">
        <v>2261</v>
      </c>
      <c r="B5214" t="s">
        <v>2262</v>
      </c>
      <c r="C5214" t="s">
        <v>2263</v>
      </c>
      <c r="D5214" t="s">
        <v>2264</v>
      </c>
      <c r="E5214" s="9">
        <v>45231</v>
      </c>
      <c r="F5214" s="9">
        <v>45260</v>
      </c>
      <c r="G5214">
        <v>24349120</v>
      </c>
      <c r="H5214">
        <v>3563098</v>
      </c>
      <c r="I5214">
        <v>3774562</v>
      </c>
      <c r="J5214">
        <v>745793</v>
      </c>
      <c r="K5214">
        <v>8200451</v>
      </c>
      <c r="L5214">
        <v>789639</v>
      </c>
      <c r="M5214">
        <v>0</v>
      </c>
      <c r="N5214">
        <v>0</v>
      </c>
      <c r="O5214">
        <v>0</v>
      </c>
      <c r="P5214">
        <v>0</v>
      </c>
      <c r="Q5214">
        <v>0</v>
      </c>
      <c r="R5214">
        <v>0</v>
      </c>
      <c r="S5214">
        <v>513277</v>
      </c>
      <c r="T5214" s="9">
        <v>45108</v>
      </c>
      <c r="U5214" s="9">
        <v>45473</v>
      </c>
      <c r="V5214">
        <f>SUM(POTABLE_NONPOTABLE_API[[#This Row],[RESIDENTIAL_SINGLEFAMILY_GAL]:[OTHER_GAL]])</f>
        <v>41422663</v>
      </c>
      <c r="W5214">
        <f>SUM(POTABLE_NONPOTABLE_API[[#This Row],[NONPOTABLE_DEMAND_RESIDENTIAL_RECYCLED_WATER_GAL]:[NONPOTABLE_DEMAND_NONRESIDENTIAL_METERED_IRRIGATION_GAL]])</f>
        <v>513277</v>
      </c>
      <c r="X5214" t="str">
        <f>IFERROR(INDEX(Crosswalk_API!$H$2:$H$527, MATCH(POTABLE_NONPOTABLE_API[[#This Row],[PWSID]], CW_PWSID_LIST, 0)), "")</f>
        <v>No</v>
      </c>
    </row>
    <row r="5215" spans="1:24" x14ac:dyDescent="0.25">
      <c r="A5215" t="s">
        <v>2261</v>
      </c>
      <c r="B5215" t="s">
        <v>2262</v>
      </c>
      <c r="C5215" t="s">
        <v>2263</v>
      </c>
      <c r="D5215" t="s">
        <v>2264</v>
      </c>
      <c r="E5215" s="9">
        <v>45261</v>
      </c>
      <c r="F5215" s="9">
        <v>45291</v>
      </c>
      <c r="G5215">
        <v>19935336.960000001</v>
      </c>
      <c r="H5215">
        <v>1415619.92</v>
      </c>
      <c r="I5215">
        <v>2075647.64</v>
      </c>
      <c r="J5215">
        <v>177672.44</v>
      </c>
      <c r="K5215">
        <v>7302903.5199999996</v>
      </c>
      <c r="L5215">
        <v>736435.89</v>
      </c>
      <c r="M5215">
        <v>0</v>
      </c>
      <c r="N5215">
        <v>0</v>
      </c>
      <c r="O5215">
        <v>0</v>
      </c>
      <c r="P5215">
        <v>0</v>
      </c>
      <c r="Q5215">
        <v>0</v>
      </c>
      <c r="R5215">
        <v>0</v>
      </c>
      <c r="S5215">
        <v>130189.4</v>
      </c>
      <c r="T5215" s="9">
        <v>45108</v>
      </c>
      <c r="U5215" s="9">
        <v>45473</v>
      </c>
      <c r="V5215">
        <f>SUM(POTABLE_NONPOTABLE_API[[#This Row],[RESIDENTIAL_SINGLEFAMILY_GAL]:[OTHER_GAL]])</f>
        <v>31643616.370000005</v>
      </c>
      <c r="W5215">
        <f>SUM(POTABLE_NONPOTABLE_API[[#This Row],[NONPOTABLE_DEMAND_RESIDENTIAL_RECYCLED_WATER_GAL]:[NONPOTABLE_DEMAND_NONRESIDENTIAL_METERED_IRRIGATION_GAL]])</f>
        <v>130189.4</v>
      </c>
      <c r="X5215" t="str">
        <f>IFERROR(INDEX(Crosswalk_API!$H$2:$H$527, MATCH(POTABLE_NONPOTABLE_API[[#This Row],[PWSID]], CW_PWSID_LIST, 0)), "")</f>
        <v>No</v>
      </c>
    </row>
    <row r="5216" spans="1:24" x14ac:dyDescent="0.25">
      <c r="A5216" t="s">
        <v>2261</v>
      </c>
      <c r="B5216" t="s">
        <v>2262</v>
      </c>
      <c r="C5216" t="s">
        <v>2263</v>
      </c>
      <c r="D5216" t="s">
        <v>2264</v>
      </c>
      <c r="E5216" s="9">
        <v>45292</v>
      </c>
      <c r="F5216" s="9">
        <v>45322</v>
      </c>
      <c r="G5216">
        <v>17825019.52</v>
      </c>
      <c r="H5216">
        <v>2670427.3199999998</v>
      </c>
      <c r="I5216">
        <v>3245287.76</v>
      </c>
      <c r="J5216">
        <v>34467.839999999997</v>
      </c>
      <c r="K5216">
        <v>6957327.5199999996</v>
      </c>
      <c r="L5216">
        <v>726500.92</v>
      </c>
      <c r="M5216">
        <v>0</v>
      </c>
      <c r="N5216">
        <v>0</v>
      </c>
      <c r="O5216">
        <v>0</v>
      </c>
      <c r="P5216">
        <v>0</v>
      </c>
      <c r="Q5216">
        <v>0</v>
      </c>
      <c r="R5216">
        <v>0</v>
      </c>
      <c r="S5216">
        <v>7.48</v>
      </c>
      <c r="T5216" s="9">
        <v>45108</v>
      </c>
      <c r="U5216" s="9">
        <v>45473</v>
      </c>
      <c r="V5216">
        <f>SUM(POTABLE_NONPOTABLE_API[[#This Row],[RESIDENTIAL_SINGLEFAMILY_GAL]:[OTHER_GAL]])</f>
        <v>31459030.880000003</v>
      </c>
      <c r="W5216">
        <f>SUM(POTABLE_NONPOTABLE_API[[#This Row],[NONPOTABLE_DEMAND_RESIDENTIAL_RECYCLED_WATER_GAL]:[NONPOTABLE_DEMAND_NONRESIDENTIAL_METERED_IRRIGATION_GAL]])</f>
        <v>7.48</v>
      </c>
      <c r="X5216" t="str">
        <f>IFERROR(INDEX(Crosswalk_API!$H$2:$H$527, MATCH(POTABLE_NONPOTABLE_API[[#This Row],[PWSID]], CW_PWSID_LIST, 0)), "")</f>
        <v>No</v>
      </c>
    </row>
    <row r="5217" spans="1:24" x14ac:dyDescent="0.25">
      <c r="A5217" t="s">
        <v>2261</v>
      </c>
      <c r="B5217" t="s">
        <v>2262</v>
      </c>
      <c r="C5217" t="s">
        <v>2263</v>
      </c>
      <c r="D5217" t="s">
        <v>2264</v>
      </c>
      <c r="E5217" s="9">
        <v>45323</v>
      </c>
      <c r="F5217" s="9">
        <v>45351</v>
      </c>
      <c r="G5217">
        <v>18611960.399999999</v>
      </c>
      <c r="H5217">
        <v>1665571.6</v>
      </c>
      <c r="I5217">
        <v>1769663.28</v>
      </c>
      <c r="J5217">
        <v>36988.6</v>
      </c>
      <c r="K5217">
        <v>4550360.76</v>
      </c>
      <c r="L5217">
        <v>708547.74</v>
      </c>
      <c r="M5217">
        <v>0</v>
      </c>
      <c r="N5217">
        <v>0</v>
      </c>
      <c r="O5217">
        <v>0</v>
      </c>
      <c r="P5217">
        <v>0</v>
      </c>
      <c r="Q5217">
        <v>0</v>
      </c>
      <c r="R5217">
        <v>0</v>
      </c>
      <c r="S5217">
        <v>14.96</v>
      </c>
      <c r="T5217" s="9">
        <v>45108</v>
      </c>
      <c r="U5217" s="9">
        <v>45473</v>
      </c>
      <c r="V5217">
        <f>SUM(POTABLE_NONPOTABLE_API[[#This Row],[RESIDENTIAL_SINGLEFAMILY_GAL]:[OTHER_GAL]])</f>
        <v>27343092.379999999</v>
      </c>
      <c r="W5217">
        <f>SUM(POTABLE_NONPOTABLE_API[[#This Row],[NONPOTABLE_DEMAND_RESIDENTIAL_RECYCLED_WATER_GAL]:[NONPOTABLE_DEMAND_NONRESIDENTIAL_METERED_IRRIGATION_GAL]])</f>
        <v>14.96</v>
      </c>
      <c r="X5217" t="str">
        <f>IFERROR(INDEX(Crosswalk_API!$H$2:$H$527, MATCH(POTABLE_NONPOTABLE_API[[#This Row],[PWSID]], CW_PWSID_LIST, 0)), "")</f>
        <v>No</v>
      </c>
    </row>
    <row r="5218" spans="1:24" x14ac:dyDescent="0.25">
      <c r="A5218" t="s">
        <v>2261</v>
      </c>
      <c r="B5218" t="s">
        <v>2262</v>
      </c>
      <c r="C5218" t="s">
        <v>2263</v>
      </c>
      <c r="D5218" t="s">
        <v>2264</v>
      </c>
      <c r="E5218" s="9">
        <v>45352</v>
      </c>
      <c r="F5218" s="9">
        <v>45382</v>
      </c>
      <c r="G5218">
        <v>16792166.16</v>
      </c>
      <c r="H5218">
        <v>1309905.08</v>
      </c>
      <c r="I5218">
        <v>1752698.64</v>
      </c>
      <c r="J5218">
        <v>31730.16</v>
      </c>
      <c r="K5218">
        <v>4425175.4800000004</v>
      </c>
      <c r="L5218">
        <v>802983.39540000004</v>
      </c>
      <c r="M5218">
        <v>0</v>
      </c>
      <c r="N5218">
        <v>0</v>
      </c>
      <c r="O5218">
        <v>0</v>
      </c>
      <c r="P5218">
        <v>0</v>
      </c>
      <c r="Q5218">
        <v>0</v>
      </c>
      <c r="R5218">
        <v>0</v>
      </c>
      <c r="S5218">
        <v>418.88</v>
      </c>
      <c r="T5218" s="9">
        <v>45108</v>
      </c>
      <c r="U5218" s="9">
        <v>45473</v>
      </c>
      <c r="V5218">
        <f>SUM(POTABLE_NONPOTABLE_API[[#This Row],[RESIDENTIAL_SINGLEFAMILY_GAL]:[OTHER_GAL]])</f>
        <v>25114658.915400002</v>
      </c>
      <c r="W5218">
        <f>SUM(POTABLE_NONPOTABLE_API[[#This Row],[NONPOTABLE_DEMAND_RESIDENTIAL_RECYCLED_WATER_GAL]:[NONPOTABLE_DEMAND_NONRESIDENTIAL_METERED_IRRIGATION_GAL]])</f>
        <v>418.88</v>
      </c>
      <c r="X5218" t="str">
        <f>IFERROR(INDEX(Crosswalk_API!$H$2:$H$527, MATCH(POTABLE_NONPOTABLE_API[[#This Row],[PWSID]], CW_PWSID_LIST, 0)), "")</f>
        <v>No</v>
      </c>
    </row>
    <row r="5219" spans="1:24" x14ac:dyDescent="0.25">
      <c r="A5219" t="s">
        <v>2261</v>
      </c>
      <c r="B5219" t="s">
        <v>2262</v>
      </c>
      <c r="C5219" t="s">
        <v>2263</v>
      </c>
      <c r="D5219" t="s">
        <v>2264</v>
      </c>
      <c r="E5219" s="9">
        <v>45383</v>
      </c>
      <c r="F5219" s="9">
        <v>45412</v>
      </c>
      <c r="G5219">
        <v>18726187.48</v>
      </c>
      <c r="H5219">
        <v>2803466.6</v>
      </c>
      <c r="I5219">
        <v>2407318.3199999998</v>
      </c>
      <c r="J5219">
        <v>121669.68</v>
      </c>
      <c r="K5219">
        <v>7594945.1600000001</v>
      </c>
      <c r="L5219">
        <v>964214.29339999997</v>
      </c>
      <c r="M5219">
        <v>0</v>
      </c>
      <c r="N5219">
        <v>0</v>
      </c>
      <c r="O5219">
        <v>0</v>
      </c>
      <c r="P5219">
        <v>0</v>
      </c>
      <c r="Q5219">
        <v>0</v>
      </c>
      <c r="R5219">
        <v>0</v>
      </c>
      <c r="S5219">
        <v>315749</v>
      </c>
      <c r="T5219" s="9">
        <v>45108</v>
      </c>
      <c r="U5219" s="9">
        <v>45473</v>
      </c>
      <c r="V5219">
        <f>SUM(POTABLE_NONPOTABLE_API[[#This Row],[RESIDENTIAL_SINGLEFAMILY_GAL]:[OTHER_GAL]])</f>
        <v>32617801.533400003</v>
      </c>
      <c r="W5219">
        <f>SUM(POTABLE_NONPOTABLE_API[[#This Row],[NONPOTABLE_DEMAND_RESIDENTIAL_RECYCLED_WATER_GAL]:[NONPOTABLE_DEMAND_NONRESIDENTIAL_METERED_IRRIGATION_GAL]])</f>
        <v>315749</v>
      </c>
      <c r="X5219" t="str">
        <f>IFERROR(INDEX(Crosswalk_API!$H$2:$H$527, MATCH(POTABLE_NONPOTABLE_API[[#This Row],[PWSID]], CW_PWSID_LIST, 0)), "")</f>
        <v>No</v>
      </c>
    </row>
    <row r="5220" spans="1:24" x14ac:dyDescent="0.25">
      <c r="A5220" t="s">
        <v>2261</v>
      </c>
      <c r="B5220" t="s">
        <v>2262</v>
      </c>
      <c r="C5220" t="s">
        <v>2263</v>
      </c>
      <c r="D5220" t="s">
        <v>2264</v>
      </c>
      <c r="E5220" s="9">
        <v>45413</v>
      </c>
      <c r="F5220" s="9">
        <v>45443</v>
      </c>
      <c r="G5220">
        <v>28284281.079999998</v>
      </c>
      <c r="H5220">
        <v>3044584.4</v>
      </c>
      <c r="I5220">
        <v>3993055.88</v>
      </c>
      <c r="J5220">
        <v>1684795.2</v>
      </c>
      <c r="K5220">
        <v>9942894.7200000007</v>
      </c>
      <c r="L5220">
        <v>1065662.7180000001</v>
      </c>
      <c r="M5220">
        <v>0</v>
      </c>
      <c r="N5220">
        <v>0</v>
      </c>
      <c r="O5220">
        <v>0</v>
      </c>
      <c r="P5220">
        <v>0</v>
      </c>
      <c r="Q5220">
        <v>1216524</v>
      </c>
      <c r="R5220">
        <v>0</v>
      </c>
      <c r="S5220">
        <v>0</v>
      </c>
      <c r="T5220" s="9">
        <v>45108</v>
      </c>
      <c r="U5220" s="9">
        <v>45473</v>
      </c>
      <c r="V5220">
        <f>SUM(POTABLE_NONPOTABLE_API[[#This Row],[RESIDENTIAL_SINGLEFAMILY_GAL]:[OTHER_GAL]])</f>
        <v>48015273.998000003</v>
      </c>
      <c r="W5220">
        <f>SUM(POTABLE_NONPOTABLE_API[[#This Row],[NONPOTABLE_DEMAND_RESIDENTIAL_RECYCLED_WATER_GAL]:[NONPOTABLE_DEMAND_NONRESIDENTIAL_METERED_IRRIGATION_GAL]])</f>
        <v>1216524</v>
      </c>
      <c r="X5220" t="str">
        <f>IFERROR(INDEX(Crosswalk_API!$H$2:$H$527, MATCH(POTABLE_NONPOTABLE_API[[#This Row],[PWSID]], CW_PWSID_LIST, 0)), "")</f>
        <v>No</v>
      </c>
    </row>
    <row r="5221" spans="1:24" x14ac:dyDescent="0.25">
      <c r="A5221" t="s">
        <v>2261</v>
      </c>
      <c r="B5221" t="s">
        <v>2262</v>
      </c>
      <c r="C5221" t="s">
        <v>2263</v>
      </c>
      <c r="D5221" t="s">
        <v>2264</v>
      </c>
      <c r="E5221" s="9">
        <v>45444</v>
      </c>
      <c r="F5221" s="9">
        <v>45473</v>
      </c>
      <c r="G5221">
        <v>44946459.799999997</v>
      </c>
      <c r="H5221">
        <v>3830395.8</v>
      </c>
      <c r="I5221">
        <v>5909858.2400000002</v>
      </c>
      <c r="J5221">
        <v>2585903.3199999998</v>
      </c>
      <c r="K5221">
        <v>10389637.720000001</v>
      </c>
      <c r="L5221">
        <v>1047585.43</v>
      </c>
      <c r="M5221">
        <v>0</v>
      </c>
      <c r="N5221">
        <v>0</v>
      </c>
      <c r="O5221">
        <v>0</v>
      </c>
      <c r="P5221">
        <v>0</v>
      </c>
      <c r="Q5221">
        <v>0</v>
      </c>
      <c r="R5221">
        <v>0</v>
      </c>
      <c r="S5221">
        <v>2954562.6</v>
      </c>
      <c r="T5221" s="9">
        <v>45108</v>
      </c>
      <c r="U5221" s="9">
        <v>45473</v>
      </c>
      <c r="V5221">
        <f>SUM(POTABLE_NONPOTABLE_API[[#This Row],[RESIDENTIAL_SINGLEFAMILY_GAL]:[OTHER_GAL]])</f>
        <v>68709840.310000002</v>
      </c>
      <c r="W5221">
        <f>SUM(POTABLE_NONPOTABLE_API[[#This Row],[NONPOTABLE_DEMAND_RESIDENTIAL_RECYCLED_WATER_GAL]:[NONPOTABLE_DEMAND_NONRESIDENTIAL_METERED_IRRIGATION_GAL]])</f>
        <v>2954562.6</v>
      </c>
      <c r="X5221" t="str">
        <f>IFERROR(INDEX(Crosswalk_API!$H$2:$H$527, MATCH(POTABLE_NONPOTABLE_API[[#This Row],[PWSID]], CW_PWSID_LIST, 0)), "")</f>
        <v>No</v>
      </c>
    </row>
    <row r="5222" spans="1:24" x14ac:dyDescent="0.25">
      <c r="A5222" t="s">
        <v>2265</v>
      </c>
      <c r="B5222" t="s">
        <v>2266</v>
      </c>
      <c r="C5222" t="s">
        <v>2267</v>
      </c>
      <c r="D5222" t="s">
        <v>2268</v>
      </c>
      <c r="E5222" s="9">
        <v>45108</v>
      </c>
      <c r="F5222" s="9">
        <v>45138</v>
      </c>
      <c r="G5222">
        <v>50747847.68</v>
      </c>
      <c r="H5222">
        <v>6039771.8480000002</v>
      </c>
      <c r="I5222">
        <v>5950753.6600000001</v>
      </c>
      <c r="J5222">
        <v>1426535.1640000001</v>
      </c>
      <c r="K5222">
        <v>0</v>
      </c>
      <c r="L5222">
        <v>748.05200000000002</v>
      </c>
      <c r="M5222">
        <v>0</v>
      </c>
      <c r="T5222" s="9">
        <v>45108</v>
      </c>
      <c r="U5222" s="9">
        <v>45473</v>
      </c>
      <c r="V5222">
        <f>SUM(POTABLE_NONPOTABLE_API[[#This Row],[RESIDENTIAL_SINGLEFAMILY_GAL]:[OTHER_GAL]])</f>
        <v>64165656.403999992</v>
      </c>
      <c r="W5222">
        <f>SUM(POTABLE_NONPOTABLE_API[[#This Row],[NONPOTABLE_DEMAND_RESIDENTIAL_RECYCLED_WATER_GAL]:[NONPOTABLE_DEMAND_NONRESIDENTIAL_METERED_IRRIGATION_GAL]])</f>
        <v>0</v>
      </c>
      <c r="X5222" t="str">
        <f>IFERROR(INDEX(Crosswalk_API!$H$2:$H$527, MATCH(POTABLE_NONPOTABLE_API[[#This Row],[PWSID]], CW_PWSID_LIST, 0)), "")</f>
        <v>No</v>
      </c>
    </row>
    <row r="5223" spans="1:24" x14ac:dyDescent="0.25">
      <c r="A5223" t="s">
        <v>2265</v>
      </c>
      <c r="B5223" t="s">
        <v>2266</v>
      </c>
      <c r="C5223" t="s">
        <v>2267</v>
      </c>
      <c r="D5223" t="s">
        <v>2268</v>
      </c>
      <c r="E5223" s="9">
        <v>45139</v>
      </c>
      <c r="F5223" s="9">
        <v>45169</v>
      </c>
      <c r="G5223">
        <v>42873104.276000001</v>
      </c>
      <c r="H5223">
        <v>5569995.1919999998</v>
      </c>
      <c r="I5223">
        <v>5086005.5480000004</v>
      </c>
      <c r="J5223">
        <v>1772883.24</v>
      </c>
      <c r="K5223">
        <v>0</v>
      </c>
      <c r="L5223">
        <v>1496.104</v>
      </c>
      <c r="M5223">
        <v>0</v>
      </c>
      <c r="T5223" s="9">
        <v>45108</v>
      </c>
      <c r="U5223" s="9">
        <v>45473</v>
      </c>
      <c r="V5223">
        <f>SUM(POTABLE_NONPOTABLE_API[[#This Row],[RESIDENTIAL_SINGLEFAMILY_GAL]:[OTHER_GAL]])</f>
        <v>55303484.360000007</v>
      </c>
      <c r="W5223">
        <f>SUM(POTABLE_NONPOTABLE_API[[#This Row],[NONPOTABLE_DEMAND_RESIDENTIAL_RECYCLED_WATER_GAL]:[NONPOTABLE_DEMAND_NONRESIDENTIAL_METERED_IRRIGATION_GAL]])</f>
        <v>0</v>
      </c>
      <c r="X5223" t="str">
        <f>IFERROR(INDEX(Crosswalk_API!$H$2:$H$527, MATCH(POTABLE_NONPOTABLE_API[[#This Row],[PWSID]], CW_PWSID_LIST, 0)), "")</f>
        <v>No</v>
      </c>
    </row>
    <row r="5224" spans="1:24" x14ac:dyDescent="0.25">
      <c r="A5224" t="s">
        <v>2265</v>
      </c>
      <c r="B5224" t="s">
        <v>2266</v>
      </c>
      <c r="C5224" t="s">
        <v>2267</v>
      </c>
      <c r="D5224" t="s">
        <v>2268</v>
      </c>
      <c r="E5224" s="9">
        <v>45170</v>
      </c>
      <c r="F5224" s="9">
        <v>45199</v>
      </c>
      <c r="G5224">
        <v>41131639.219999999</v>
      </c>
      <c r="H5224">
        <v>5857995.2120000003</v>
      </c>
      <c r="I5224">
        <v>5095730.2240000004</v>
      </c>
      <c r="J5224">
        <v>1696581.936</v>
      </c>
      <c r="K5224">
        <v>0</v>
      </c>
      <c r="L5224">
        <v>1496.104</v>
      </c>
      <c r="M5224">
        <v>0</v>
      </c>
      <c r="T5224" s="9">
        <v>45108</v>
      </c>
      <c r="U5224" s="9">
        <v>45473</v>
      </c>
      <c r="V5224">
        <f>SUM(POTABLE_NONPOTABLE_API[[#This Row],[RESIDENTIAL_SINGLEFAMILY_GAL]:[OTHER_GAL]])</f>
        <v>53783442.695999995</v>
      </c>
      <c r="W5224">
        <f>SUM(POTABLE_NONPOTABLE_API[[#This Row],[NONPOTABLE_DEMAND_RESIDENTIAL_RECYCLED_WATER_GAL]:[NONPOTABLE_DEMAND_NONRESIDENTIAL_METERED_IRRIGATION_GAL]])</f>
        <v>0</v>
      </c>
      <c r="X5224" t="str">
        <f>IFERROR(INDEX(Crosswalk_API!$H$2:$H$527, MATCH(POTABLE_NONPOTABLE_API[[#This Row],[PWSID]], CW_PWSID_LIST, 0)), "")</f>
        <v>No</v>
      </c>
    </row>
    <row r="5225" spans="1:24" x14ac:dyDescent="0.25">
      <c r="A5225" t="s">
        <v>2265</v>
      </c>
      <c r="B5225" t="s">
        <v>2266</v>
      </c>
      <c r="C5225" t="s">
        <v>2267</v>
      </c>
      <c r="D5225" t="s">
        <v>2268</v>
      </c>
      <c r="E5225" s="9">
        <v>45200</v>
      </c>
      <c r="F5225" s="9">
        <v>45230</v>
      </c>
      <c r="G5225">
        <v>41899888.623999998</v>
      </c>
      <c r="H5225">
        <v>5877444.5640000002</v>
      </c>
      <c r="I5225">
        <v>5529600.3840000005</v>
      </c>
      <c r="J5225">
        <v>1279168.92</v>
      </c>
      <c r="K5225">
        <v>0</v>
      </c>
      <c r="L5225">
        <v>748.05200000000002</v>
      </c>
      <c r="M5225">
        <v>0</v>
      </c>
      <c r="T5225" s="9">
        <v>45108</v>
      </c>
      <c r="U5225" s="9">
        <v>45473</v>
      </c>
      <c r="V5225">
        <f>SUM(POTABLE_NONPOTABLE_API[[#This Row],[RESIDENTIAL_SINGLEFAMILY_GAL]:[OTHER_GAL]])</f>
        <v>54586850.544000007</v>
      </c>
      <c r="W5225">
        <f>SUM(POTABLE_NONPOTABLE_API[[#This Row],[NONPOTABLE_DEMAND_RESIDENTIAL_RECYCLED_WATER_GAL]:[NONPOTABLE_DEMAND_NONRESIDENTIAL_METERED_IRRIGATION_GAL]])</f>
        <v>0</v>
      </c>
      <c r="X5225" t="str">
        <f>IFERROR(INDEX(Crosswalk_API!$H$2:$H$527, MATCH(POTABLE_NONPOTABLE_API[[#This Row],[PWSID]], CW_PWSID_LIST, 0)), "")</f>
        <v>No</v>
      </c>
    </row>
    <row r="5226" spans="1:24" x14ac:dyDescent="0.25">
      <c r="A5226" t="s">
        <v>2265</v>
      </c>
      <c r="B5226" t="s">
        <v>2266</v>
      </c>
      <c r="C5226" t="s">
        <v>2267</v>
      </c>
      <c r="D5226" t="s">
        <v>2268</v>
      </c>
      <c r="E5226" s="9">
        <v>45231</v>
      </c>
      <c r="F5226" s="9">
        <v>45260</v>
      </c>
      <c r="G5226">
        <v>35011825.807999998</v>
      </c>
      <c r="H5226">
        <v>5387470.5039999997</v>
      </c>
      <c r="I5226">
        <v>4750878.2520000003</v>
      </c>
      <c r="J5226">
        <v>1210348.1359999999</v>
      </c>
      <c r="K5226">
        <v>0</v>
      </c>
      <c r="L5226">
        <v>748.05200000000002</v>
      </c>
      <c r="M5226">
        <v>0</v>
      </c>
      <c r="T5226" s="9">
        <v>45108</v>
      </c>
      <c r="U5226" s="9">
        <v>45473</v>
      </c>
      <c r="V5226">
        <f>SUM(POTABLE_NONPOTABLE_API[[#This Row],[RESIDENTIAL_SINGLEFAMILY_GAL]:[OTHER_GAL]])</f>
        <v>46361270.751999997</v>
      </c>
      <c r="W5226">
        <f>SUM(POTABLE_NONPOTABLE_API[[#This Row],[NONPOTABLE_DEMAND_RESIDENTIAL_RECYCLED_WATER_GAL]:[NONPOTABLE_DEMAND_NONRESIDENTIAL_METERED_IRRIGATION_GAL]])</f>
        <v>0</v>
      </c>
      <c r="X5226" t="str">
        <f>IFERROR(INDEX(Crosswalk_API!$H$2:$H$527, MATCH(POTABLE_NONPOTABLE_API[[#This Row],[PWSID]], CW_PWSID_LIST, 0)), "")</f>
        <v>No</v>
      </c>
    </row>
    <row r="5227" spans="1:24" x14ac:dyDescent="0.25">
      <c r="A5227" t="s">
        <v>2265</v>
      </c>
      <c r="B5227" t="s">
        <v>2266</v>
      </c>
      <c r="C5227" t="s">
        <v>2267</v>
      </c>
      <c r="D5227" t="s">
        <v>2268</v>
      </c>
      <c r="E5227" s="9">
        <v>45261</v>
      </c>
      <c r="F5227" s="9">
        <v>45291</v>
      </c>
      <c r="G5227">
        <v>35703025.855999999</v>
      </c>
      <c r="H5227">
        <v>6053984.8360000001</v>
      </c>
      <c r="I5227">
        <v>5088997.7560000001</v>
      </c>
      <c r="J5227">
        <v>1440000.1</v>
      </c>
      <c r="K5227">
        <v>0</v>
      </c>
      <c r="L5227">
        <v>748.05200000000002</v>
      </c>
      <c r="M5227">
        <v>0</v>
      </c>
      <c r="T5227" s="9">
        <v>45108</v>
      </c>
      <c r="U5227" s="9">
        <v>45473</v>
      </c>
      <c r="V5227">
        <f>SUM(POTABLE_NONPOTABLE_API[[#This Row],[RESIDENTIAL_SINGLEFAMILY_GAL]:[OTHER_GAL]])</f>
        <v>48286756.600000001</v>
      </c>
      <c r="W5227">
        <f>SUM(POTABLE_NONPOTABLE_API[[#This Row],[NONPOTABLE_DEMAND_RESIDENTIAL_RECYCLED_WATER_GAL]:[NONPOTABLE_DEMAND_NONRESIDENTIAL_METERED_IRRIGATION_GAL]])</f>
        <v>0</v>
      </c>
      <c r="X5227" t="str">
        <f>IFERROR(INDEX(Crosswalk_API!$H$2:$H$527, MATCH(POTABLE_NONPOTABLE_API[[#This Row],[PWSID]], CW_PWSID_LIST, 0)), "")</f>
        <v>No</v>
      </c>
    </row>
    <row r="5228" spans="1:24" x14ac:dyDescent="0.25">
      <c r="A5228" t="s">
        <v>2265</v>
      </c>
      <c r="B5228" t="s">
        <v>2266</v>
      </c>
      <c r="C5228" t="s">
        <v>2267</v>
      </c>
      <c r="D5228" t="s">
        <v>2268</v>
      </c>
      <c r="E5228" s="9">
        <v>45292</v>
      </c>
      <c r="F5228" s="9">
        <v>45322</v>
      </c>
      <c r="G5228">
        <v>21377830.056000002</v>
      </c>
      <c r="H5228">
        <v>4214524.9680000003</v>
      </c>
      <c r="I5228">
        <v>3408872.9640000002</v>
      </c>
      <c r="J5228">
        <v>687459.78800000006</v>
      </c>
      <c r="K5228">
        <v>0</v>
      </c>
      <c r="L5228">
        <v>0</v>
      </c>
      <c r="M5228">
        <v>0</v>
      </c>
      <c r="T5228" s="9">
        <v>45108</v>
      </c>
      <c r="U5228" s="9">
        <v>45473</v>
      </c>
      <c r="V5228">
        <f>SUM(POTABLE_NONPOTABLE_API[[#This Row],[RESIDENTIAL_SINGLEFAMILY_GAL]:[OTHER_GAL]])</f>
        <v>29688687.776000004</v>
      </c>
      <c r="W5228">
        <f>SUM(POTABLE_NONPOTABLE_API[[#This Row],[NONPOTABLE_DEMAND_RESIDENTIAL_RECYCLED_WATER_GAL]:[NONPOTABLE_DEMAND_NONRESIDENTIAL_METERED_IRRIGATION_GAL]])</f>
        <v>0</v>
      </c>
      <c r="X5228" t="str">
        <f>IFERROR(INDEX(Crosswalk_API!$H$2:$H$527, MATCH(POTABLE_NONPOTABLE_API[[#This Row],[PWSID]], CW_PWSID_LIST, 0)), "")</f>
        <v>No</v>
      </c>
    </row>
    <row r="5229" spans="1:24" x14ac:dyDescent="0.25">
      <c r="A5229" t="s">
        <v>2265</v>
      </c>
      <c r="B5229" t="s">
        <v>2266</v>
      </c>
      <c r="C5229" t="s">
        <v>2267</v>
      </c>
      <c r="D5229" t="s">
        <v>2268</v>
      </c>
      <c r="E5229" s="9">
        <v>45323</v>
      </c>
      <c r="F5229" s="9">
        <v>45351</v>
      </c>
      <c r="G5229">
        <v>19433642.908</v>
      </c>
      <c r="H5229">
        <v>4655127.5959999999</v>
      </c>
      <c r="I5229">
        <v>3739511.9480000003</v>
      </c>
      <c r="J5229">
        <v>526628.60800000001</v>
      </c>
      <c r="K5229">
        <v>0</v>
      </c>
      <c r="L5229">
        <v>748.05200000000002</v>
      </c>
      <c r="M5229">
        <v>0</v>
      </c>
      <c r="T5229" s="9">
        <v>45108</v>
      </c>
      <c r="U5229" s="9">
        <v>45473</v>
      </c>
      <c r="V5229">
        <f>SUM(POTABLE_NONPOTABLE_API[[#This Row],[RESIDENTIAL_SINGLEFAMILY_GAL]:[OTHER_GAL]])</f>
        <v>28355659.112</v>
      </c>
      <c r="W5229">
        <f>SUM(POTABLE_NONPOTABLE_API[[#This Row],[NONPOTABLE_DEMAND_RESIDENTIAL_RECYCLED_WATER_GAL]:[NONPOTABLE_DEMAND_NONRESIDENTIAL_METERED_IRRIGATION_GAL]])</f>
        <v>0</v>
      </c>
      <c r="X5229" t="str">
        <f>IFERROR(INDEX(Crosswalk_API!$H$2:$H$527, MATCH(POTABLE_NONPOTABLE_API[[#This Row],[PWSID]], CW_PWSID_LIST, 0)), "")</f>
        <v>No</v>
      </c>
    </row>
    <row r="5230" spans="1:24" x14ac:dyDescent="0.25">
      <c r="A5230" t="s">
        <v>2265</v>
      </c>
      <c r="B5230" t="s">
        <v>2266</v>
      </c>
      <c r="C5230" t="s">
        <v>2267</v>
      </c>
      <c r="D5230" t="s">
        <v>2268</v>
      </c>
      <c r="E5230" s="9">
        <v>45352</v>
      </c>
      <c r="F5230" s="9">
        <v>45382</v>
      </c>
      <c r="G5230">
        <v>20711315.723999999</v>
      </c>
      <c r="H5230">
        <v>4426223.6840000004</v>
      </c>
      <c r="I5230">
        <v>3858452.216</v>
      </c>
      <c r="J5230">
        <v>240124.69200000001</v>
      </c>
      <c r="K5230">
        <v>0</v>
      </c>
      <c r="L5230">
        <v>0</v>
      </c>
      <c r="M5230">
        <v>0</v>
      </c>
      <c r="T5230" s="9">
        <v>45108</v>
      </c>
      <c r="U5230" s="9">
        <v>45473</v>
      </c>
      <c r="V5230">
        <f>SUM(POTABLE_NONPOTABLE_API[[#This Row],[RESIDENTIAL_SINGLEFAMILY_GAL]:[OTHER_GAL]])</f>
        <v>29236116.316</v>
      </c>
      <c r="W5230">
        <f>SUM(POTABLE_NONPOTABLE_API[[#This Row],[NONPOTABLE_DEMAND_RESIDENTIAL_RECYCLED_WATER_GAL]:[NONPOTABLE_DEMAND_NONRESIDENTIAL_METERED_IRRIGATION_GAL]])</f>
        <v>0</v>
      </c>
      <c r="X5230" t="str">
        <f>IFERROR(INDEX(Crosswalk_API!$H$2:$H$527, MATCH(POTABLE_NONPOTABLE_API[[#This Row],[PWSID]], CW_PWSID_LIST, 0)), "")</f>
        <v>No</v>
      </c>
    </row>
    <row r="5231" spans="1:24" x14ac:dyDescent="0.25">
      <c r="A5231" t="s">
        <v>2265</v>
      </c>
      <c r="B5231" t="s">
        <v>2266</v>
      </c>
      <c r="C5231" t="s">
        <v>2267</v>
      </c>
      <c r="D5231" t="s">
        <v>2268</v>
      </c>
      <c r="E5231" s="9">
        <v>45383</v>
      </c>
      <c r="F5231" s="9">
        <v>45412</v>
      </c>
      <c r="G5231">
        <v>27639025.296</v>
      </c>
      <c r="H5231">
        <v>5091989.9639999997</v>
      </c>
      <c r="I5231">
        <v>4467366.5439999998</v>
      </c>
      <c r="J5231">
        <v>555054.58400000003</v>
      </c>
      <c r="K5231">
        <v>0</v>
      </c>
      <c r="L5231">
        <v>1496.104</v>
      </c>
      <c r="M5231">
        <v>0</v>
      </c>
      <c r="T5231" s="9">
        <v>45108</v>
      </c>
      <c r="U5231" s="9">
        <v>45473</v>
      </c>
      <c r="V5231">
        <f>SUM(POTABLE_NONPOTABLE_API[[#This Row],[RESIDENTIAL_SINGLEFAMILY_GAL]:[OTHER_GAL]])</f>
        <v>37754932.491999999</v>
      </c>
      <c r="W5231">
        <f>SUM(POTABLE_NONPOTABLE_API[[#This Row],[NONPOTABLE_DEMAND_RESIDENTIAL_RECYCLED_WATER_GAL]:[NONPOTABLE_DEMAND_NONRESIDENTIAL_METERED_IRRIGATION_GAL]])</f>
        <v>0</v>
      </c>
      <c r="X5231" t="str">
        <f>IFERROR(INDEX(Crosswalk_API!$H$2:$H$527, MATCH(POTABLE_NONPOTABLE_API[[#This Row],[PWSID]], CW_PWSID_LIST, 0)), "")</f>
        <v>No</v>
      </c>
    </row>
    <row r="5232" spans="1:24" x14ac:dyDescent="0.25">
      <c r="A5232" t="s">
        <v>2265</v>
      </c>
      <c r="B5232" t="s">
        <v>2266</v>
      </c>
      <c r="C5232" t="s">
        <v>2267</v>
      </c>
      <c r="D5232" t="s">
        <v>2268</v>
      </c>
      <c r="E5232" s="9">
        <v>45413</v>
      </c>
      <c r="F5232" s="9">
        <v>45443</v>
      </c>
      <c r="G5232">
        <v>33265872.440000001</v>
      </c>
      <c r="H5232">
        <v>4858597.74</v>
      </c>
      <c r="I5232">
        <v>4892260.08</v>
      </c>
      <c r="J5232">
        <v>1132550.7280000001</v>
      </c>
      <c r="K5232">
        <v>0</v>
      </c>
      <c r="L5232">
        <v>0</v>
      </c>
      <c r="M5232">
        <v>0</v>
      </c>
      <c r="T5232" s="9">
        <v>45108</v>
      </c>
      <c r="U5232" s="9">
        <v>45473</v>
      </c>
      <c r="V5232">
        <f>SUM(POTABLE_NONPOTABLE_API[[#This Row],[RESIDENTIAL_SINGLEFAMILY_GAL]:[OTHER_GAL]])</f>
        <v>44149280.987999998</v>
      </c>
      <c r="W5232">
        <f>SUM(POTABLE_NONPOTABLE_API[[#This Row],[NONPOTABLE_DEMAND_RESIDENTIAL_RECYCLED_WATER_GAL]:[NONPOTABLE_DEMAND_NONRESIDENTIAL_METERED_IRRIGATION_GAL]])</f>
        <v>0</v>
      </c>
      <c r="X5232" t="str">
        <f>IFERROR(INDEX(Crosswalk_API!$H$2:$H$527, MATCH(POTABLE_NONPOTABLE_API[[#This Row],[PWSID]], CW_PWSID_LIST, 0)), "")</f>
        <v>No</v>
      </c>
    </row>
    <row r="5233" spans="1:24" x14ac:dyDescent="0.25">
      <c r="A5233" t="s">
        <v>2265</v>
      </c>
      <c r="B5233" t="s">
        <v>2266</v>
      </c>
      <c r="C5233" t="s">
        <v>2267</v>
      </c>
      <c r="D5233" t="s">
        <v>2268</v>
      </c>
      <c r="E5233" s="9">
        <v>45444</v>
      </c>
      <c r="F5233" s="9">
        <v>45473</v>
      </c>
      <c r="G5233">
        <v>46416626.600000001</v>
      </c>
      <c r="H5233">
        <v>5991148.4680000003</v>
      </c>
      <c r="I5233">
        <v>6077922.5</v>
      </c>
      <c r="J5233">
        <v>1428779.32</v>
      </c>
      <c r="K5233">
        <v>0</v>
      </c>
      <c r="L5233">
        <v>748.05200000000002</v>
      </c>
      <c r="M5233">
        <v>0</v>
      </c>
      <c r="T5233" s="9">
        <v>45108</v>
      </c>
      <c r="U5233" s="9">
        <v>45473</v>
      </c>
      <c r="V5233">
        <f>SUM(POTABLE_NONPOTABLE_API[[#This Row],[RESIDENTIAL_SINGLEFAMILY_GAL]:[OTHER_GAL]])</f>
        <v>59915224.940000005</v>
      </c>
      <c r="W5233">
        <f>SUM(POTABLE_NONPOTABLE_API[[#This Row],[NONPOTABLE_DEMAND_RESIDENTIAL_RECYCLED_WATER_GAL]:[NONPOTABLE_DEMAND_NONRESIDENTIAL_METERED_IRRIGATION_GAL]])</f>
        <v>0</v>
      </c>
      <c r="X5233" t="str">
        <f>IFERROR(INDEX(Crosswalk_API!$H$2:$H$527, MATCH(POTABLE_NONPOTABLE_API[[#This Row],[PWSID]], CW_PWSID_LIST, 0)), "")</f>
        <v>No</v>
      </c>
    </row>
    <row r="5234" spans="1:24" x14ac:dyDescent="0.25">
      <c r="A5234" t="s">
        <v>2269</v>
      </c>
      <c r="B5234" t="s">
        <v>2270</v>
      </c>
      <c r="C5234" t="s">
        <v>2271</v>
      </c>
      <c r="D5234" t="s">
        <v>2272</v>
      </c>
      <c r="E5234" s="9">
        <v>45108</v>
      </c>
      <c r="F5234" s="9">
        <v>45138</v>
      </c>
      <c r="G5234">
        <v>10499676</v>
      </c>
      <c r="H5234">
        <v>13279244</v>
      </c>
      <c r="I5234">
        <v>12903748</v>
      </c>
      <c r="J5234">
        <v>7726840</v>
      </c>
      <c r="K5234">
        <v>3523080</v>
      </c>
      <c r="L5234">
        <v>0</v>
      </c>
      <c r="M5234">
        <v>0</v>
      </c>
      <c r="T5234" s="9">
        <v>45108</v>
      </c>
      <c r="U5234" s="9">
        <v>45473</v>
      </c>
      <c r="V5234">
        <f>SUM(POTABLE_NONPOTABLE_API[[#This Row],[RESIDENTIAL_SINGLEFAMILY_GAL]:[OTHER_GAL]])</f>
        <v>47932588</v>
      </c>
      <c r="W5234">
        <f>SUM(POTABLE_NONPOTABLE_API[[#This Row],[NONPOTABLE_DEMAND_RESIDENTIAL_RECYCLED_WATER_GAL]:[NONPOTABLE_DEMAND_NONRESIDENTIAL_METERED_IRRIGATION_GAL]])</f>
        <v>0</v>
      </c>
      <c r="X5234" t="str">
        <f>IFERROR(INDEX(Crosswalk_API!$H$2:$H$527, MATCH(POTABLE_NONPOTABLE_API[[#This Row],[PWSID]], CW_PWSID_LIST, 0)), "")</f>
        <v>No</v>
      </c>
    </row>
    <row r="5235" spans="1:24" x14ac:dyDescent="0.25">
      <c r="A5235" t="s">
        <v>2269</v>
      </c>
      <c r="B5235" t="s">
        <v>2270</v>
      </c>
      <c r="C5235" t="s">
        <v>2271</v>
      </c>
      <c r="D5235" t="s">
        <v>2272</v>
      </c>
      <c r="E5235" s="9">
        <v>45139</v>
      </c>
      <c r="F5235" s="9">
        <v>45169</v>
      </c>
      <c r="G5235">
        <v>10051624</v>
      </c>
      <c r="H5235">
        <v>12914220</v>
      </c>
      <c r="I5235">
        <v>13437072</v>
      </c>
      <c r="J5235">
        <v>7683456</v>
      </c>
      <c r="K5235">
        <v>3563472</v>
      </c>
      <c r="L5235">
        <v>0</v>
      </c>
      <c r="M5235">
        <v>0</v>
      </c>
      <c r="T5235" s="9">
        <v>45108</v>
      </c>
      <c r="U5235" s="9">
        <v>45473</v>
      </c>
      <c r="V5235">
        <f>SUM(POTABLE_NONPOTABLE_API[[#This Row],[RESIDENTIAL_SINGLEFAMILY_GAL]:[OTHER_GAL]])</f>
        <v>47649844</v>
      </c>
      <c r="W5235">
        <f>SUM(POTABLE_NONPOTABLE_API[[#This Row],[NONPOTABLE_DEMAND_RESIDENTIAL_RECYCLED_WATER_GAL]:[NONPOTABLE_DEMAND_NONRESIDENTIAL_METERED_IRRIGATION_GAL]])</f>
        <v>0</v>
      </c>
      <c r="X5235" t="str">
        <f>IFERROR(INDEX(Crosswalk_API!$H$2:$H$527, MATCH(POTABLE_NONPOTABLE_API[[#This Row],[PWSID]], CW_PWSID_LIST, 0)), "")</f>
        <v>No</v>
      </c>
    </row>
    <row r="5236" spans="1:24" x14ac:dyDescent="0.25">
      <c r="A5236" t="s">
        <v>2269</v>
      </c>
      <c r="B5236" t="s">
        <v>2270</v>
      </c>
      <c r="C5236" t="s">
        <v>2271</v>
      </c>
      <c r="D5236" t="s">
        <v>2272</v>
      </c>
      <c r="E5236" s="9">
        <v>45170</v>
      </c>
      <c r="F5236" s="9">
        <v>45199</v>
      </c>
      <c r="G5236">
        <v>10433104</v>
      </c>
      <c r="H5236">
        <v>13553760</v>
      </c>
      <c r="I5236">
        <v>13661472</v>
      </c>
      <c r="J5236">
        <v>7467284</v>
      </c>
      <c r="K5236">
        <v>3743740</v>
      </c>
      <c r="L5236">
        <v>0</v>
      </c>
      <c r="M5236">
        <v>0</v>
      </c>
      <c r="T5236" s="9">
        <v>45108</v>
      </c>
      <c r="U5236" s="9">
        <v>45473</v>
      </c>
      <c r="V5236">
        <f>SUM(POTABLE_NONPOTABLE_API[[#This Row],[RESIDENTIAL_SINGLEFAMILY_GAL]:[OTHER_GAL]])</f>
        <v>48859360</v>
      </c>
      <c r="W5236">
        <f>SUM(POTABLE_NONPOTABLE_API[[#This Row],[NONPOTABLE_DEMAND_RESIDENTIAL_RECYCLED_WATER_GAL]:[NONPOTABLE_DEMAND_NONRESIDENTIAL_METERED_IRRIGATION_GAL]])</f>
        <v>0</v>
      </c>
      <c r="X5236" t="str">
        <f>IFERROR(INDEX(Crosswalk_API!$H$2:$H$527, MATCH(POTABLE_NONPOTABLE_API[[#This Row],[PWSID]], CW_PWSID_LIST, 0)), "")</f>
        <v>No</v>
      </c>
    </row>
    <row r="5237" spans="1:24" x14ac:dyDescent="0.25">
      <c r="A5237" t="s">
        <v>2269</v>
      </c>
      <c r="B5237" t="s">
        <v>2270</v>
      </c>
      <c r="C5237" t="s">
        <v>2271</v>
      </c>
      <c r="D5237" t="s">
        <v>2272</v>
      </c>
      <c r="E5237" s="9">
        <v>45200</v>
      </c>
      <c r="F5237" s="9">
        <v>45230</v>
      </c>
      <c r="G5237">
        <v>9285672</v>
      </c>
      <c r="H5237">
        <v>11628408</v>
      </c>
      <c r="I5237">
        <v>10920052</v>
      </c>
      <c r="J5237">
        <v>6221864</v>
      </c>
      <c r="K5237">
        <v>3211912</v>
      </c>
      <c r="L5237">
        <v>0</v>
      </c>
      <c r="M5237">
        <v>0</v>
      </c>
      <c r="T5237" s="9">
        <v>45108</v>
      </c>
      <c r="U5237" s="9">
        <v>45473</v>
      </c>
      <c r="V5237">
        <f>SUM(POTABLE_NONPOTABLE_API[[#This Row],[RESIDENTIAL_SINGLEFAMILY_GAL]:[OTHER_GAL]])</f>
        <v>41267908</v>
      </c>
      <c r="W5237">
        <f>SUM(POTABLE_NONPOTABLE_API[[#This Row],[NONPOTABLE_DEMAND_RESIDENTIAL_RECYCLED_WATER_GAL]:[NONPOTABLE_DEMAND_NONRESIDENTIAL_METERED_IRRIGATION_GAL]])</f>
        <v>0</v>
      </c>
      <c r="X5237" t="str">
        <f>IFERROR(INDEX(Crosswalk_API!$H$2:$H$527, MATCH(POTABLE_NONPOTABLE_API[[#This Row],[PWSID]], CW_PWSID_LIST, 0)), "")</f>
        <v>No</v>
      </c>
    </row>
    <row r="5238" spans="1:24" x14ac:dyDescent="0.25">
      <c r="A5238" t="s">
        <v>2269</v>
      </c>
      <c r="B5238" t="s">
        <v>2270</v>
      </c>
      <c r="C5238" t="s">
        <v>2271</v>
      </c>
      <c r="D5238" t="s">
        <v>2272</v>
      </c>
      <c r="E5238" s="9">
        <v>45231</v>
      </c>
      <c r="F5238" s="9">
        <v>45260</v>
      </c>
      <c r="G5238">
        <v>10109968</v>
      </c>
      <c r="H5238">
        <v>13009216</v>
      </c>
      <c r="I5238">
        <v>14114012</v>
      </c>
      <c r="J5238">
        <v>6060272</v>
      </c>
      <c r="K5238">
        <v>3927000</v>
      </c>
      <c r="L5238">
        <v>0</v>
      </c>
      <c r="M5238">
        <v>0</v>
      </c>
      <c r="T5238" s="9">
        <v>45108</v>
      </c>
      <c r="U5238" s="9">
        <v>45473</v>
      </c>
      <c r="V5238">
        <f>SUM(POTABLE_NONPOTABLE_API[[#This Row],[RESIDENTIAL_SINGLEFAMILY_GAL]:[OTHER_GAL]])</f>
        <v>47220468</v>
      </c>
      <c r="W5238">
        <f>SUM(POTABLE_NONPOTABLE_API[[#This Row],[NONPOTABLE_DEMAND_RESIDENTIAL_RECYCLED_WATER_GAL]:[NONPOTABLE_DEMAND_NONRESIDENTIAL_METERED_IRRIGATION_GAL]])</f>
        <v>0</v>
      </c>
      <c r="X5238" t="str">
        <f>IFERROR(INDEX(Crosswalk_API!$H$2:$H$527, MATCH(POTABLE_NONPOTABLE_API[[#This Row],[PWSID]], CW_PWSID_LIST, 0)), "")</f>
        <v>No</v>
      </c>
    </row>
    <row r="5239" spans="1:24" x14ac:dyDescent="0.25">
      <c r="A5239" t="s">
        <v>2269</v>
      </c>
      <c r="B5239" t="s">
        <v>2270</v>
      </c>
      <c r="C5239" t="s">
        <v>2271</v>
      </c>
      <c r="D5239" t="s">
        <v>2272</v>
      </c>
      <c r="E5239" s="9">
        <v>45261</v>
      </c>
      <c r="F5239" s="9">
        <v>45291</v>
      </c>
      <c r="G5239">
        <v>9510072</v>
      </c>
      <c r="H5239">
        <v>12275428</v>
      </c>
      <c r="I5239">
        <v>10822064</v>
      </c>
      <c r="J5239">
        <v>5147736</v>
      </c>
      <c r="K5239">
        <v>3342064</v>
      </c>
      <c r="L5239">
        <v>0</v>
      </c>
      <c r="M5239">
        <v>0</v>
      </c>
      <c r="T5239" s="9">
        <v>45108</v>
      </c>
      <c r="U5239" s="9">
        <v>45473</v>
      </c>
      <c r="V5239">
        <f>SUM(POTABLE_NONPOTABLE_API[[#This Row],[RESIDENTIAL_SINGLEFAMILY_GAL]:[OTHER_GAL]])</f>
        <v>41097364</v>
      </c>
      <c r="W5239">
        <f>SUM(POTABLE_NONPOTABLE_API[[#This Row],[NONPOTABLE_DEMAND_RESIDENTIAL_RECYCLED_WATER_GAL]:[NONPOTABLE_DEMAND_NONRESIDENTIAL_METERED_IRRIGATION_GAL]])</f>
        <v>0</v>
      </c>
      <c r="X5239" t="str">
        <f>IFERROR(INDEX(Crosswalk_API!$H$2:$H$527, MATCH(POTABLE_NONPOTABLE_API[[#This Row],[PWSID]], CW_PWSID_LIST, 0)), "")</f>
        <v>No</v>
      </c>
    </row>
    <row r="5240" spans="1:24" x14ac:dyDescent="0.25">
      <c r="A5240" t="s">
        <v>2269</v>
      </c>
      <c r="B5240" t="s">
        <v>2270</v>
      </c>
      <c r="C5240" t="s">
        <v>2271</v>
      </c>
      <c r="D5240" t="s">
        <v>2272</v>
      </c>
      <c r="E5240" s="9">
        <v>45292</v>
      </c>
      <c r="F5240" s="9">
        <v>45322</v>
      </c>
      <c r="G5240">
        <v>12552936</v>
      </c>
      <c r="H5240">
        <v>9146544</v>
      </c>
      <c r="I5240">
        <v>10623096</v>
      </c>
      <c r="J5240">
        <v>3701852</v>
      </c>
      <c r="K5240">
        <v>3042296</v>
      </c>
      <c r="L5240">
        <v>0</v>
      </c>
      <c r="M5240">
        <v>0</v>
      </c>
      <c r="T5240" s="9">
        <v>45108</v>
      </c>
      <c r="U5240" s="9">
        <v>45473</v>
      </c>
      <c r="V5240">
        <f>SUM(POTABLE_NONPOTABLE_API[[#This Row],[RESIDENTIAL_SINGLEFAMILY_GAL]:[OTHER_GAL]])</f>
        <v>39066724</v>
      </c>
      <c r="W5240">
        <f>SUM(POTABLE_NONPOTABLE_API[[#This Row],[NONPOTABLE_DEMAND_RESIDENTIAL_RECYCLED_WATER_GAL]:[NONPOTABLE_DEMAND_NONRESIDENTIAL_METERED_IRRIGATION_GAL]])</f>
        <v>0</v>
      </c>
      <c r="X5240" t="str">
        <f>IFERROR(INDEX(Crosswalk_API!$H$2:$H$527, MATCH(POTABLE_NONPOTABLE_API[[#This Row],[PWSID]], CW_PWSID_LIST, 0)), "")</f>
        <v>No</v>
      </c>
    </row>
    <row r="5241" spans="1:24" x14ac:dyDescent="0.25">
      <c r="A5241" t="s">
        <v>2269</v>
      </c>
      <c r="B5241" t="s">
        <v>2270</v>
      </c>
      <c r="C5241" t="s">
        <v>2271</v>
      </c>
      <c r="D5241" t="s">
        <v>2272</v>
      </c>
      <c r="E5241" s="9">
        <v>45323</v>
      </c>
      <c r="F5241" s="9">
        <v>45351</v>
      </c>
      <c r="G5241">
        <v>7953484</v>
      </c>
      <c r="H5241">
        <v>11576048</v>
      </c>
      <c r="I5241">
        <v>9037336</v>
      </c>
      <c r="J5241">
        <v>2371908</v>
      </c>
      <c r="K5241">
        <v>3042864</v>
      </c>
      <c r="L5241">
        <v>0</v>
      </c>
      <c r="M5241">
        <v>0</v>
      </c>
      <c r="T5241" s="9">
        <v>45108</v>
      </c>
      <c r="U5241" s="9">
        <v>45473</v>
      </c>
      <c r="V5241">
        <f>SUM(POTABLE_NONPOTABLE_API[[#This Row],[RESIDENTIAL_SINGLEFAMILY_GAL]:[OTHER_GAL]])</f>
        <v>33981640</v>
      </c>
      <c r="W5241">
        <f>SUM(POTABLE_NONPOTABLE_API[[#This Row],[NONPOTABLE_DEMAND_RESIDENTIAL_RECYCLED_WATER_GAL]:[NONPOTABLE_DEMAND_NONRESIDENTIAL_METERED_IRRIGATION_GAL]])</f>
        <v>0</v>
      </c>
      <c r="X5241" t="str">
        <f>IFERROR(INDEX(Crosswalk_API!$H$2:$H$527, MATCH(POTABLE_NONPOTABLE_API[[#This Row],[PWSID]], CW_PWSID_LIST, 0)), "")</f>
        <v>No</v>
      </c>
    </row>
    <row r="5242" spans="1:24" x14ac:dyDescent="0.25">
      <c r="A5242" t="s">
        <v>2269</v>
      </c>
      <c r="B5242" t="s">
        <v>2270</v>
      </c>
      <c r="C5242" t="s">
        <v>2271</v>
      </c>
      <c r="D5242" t="s">
        <v>2272</v>
      </c>
      <c r="E5242" s="9">
        <v>45352</v>
      </c>
      <c r="F5242" s="9">
        <v>45382</v>
      </c>
      <c r="G5242">
        <v>7562280</v>
      </c>
      <c r="H5242">
        <v>10593924</v>
      </c>
      <c r="I5242">
        <v>9284924</v>
      </c>
      <c r="J5242">
        <v>1460844</v>
      </c>
      <c r="K5242">
        <v>3066052</v>
      </c>
      <c r="L5242">
        <v>0</v>
      </c>
      <c r="M5242">
        <v>0</v>
      </c>
      <c r="T5242" s="9">
        <v>45108</v>
      </c>
      <c r="U5242" s="9">
        <v>45473</v>
      </c>
      <c r="V5242">
        <f>SUM(POTABLE_NONPOTABLE_API[[#This Row],[RESIDENTIAL_SINGLEFAMILY_GAL]:[OTHER_GAL]])</f>
        <v>31968024</v>
      </c>
      <c r="W5242">
        <f>SUM(POTABLE_NONPOTABLE_API[[#This Row],[NONPOTABLE_DEMAND_RESIDENTIAL_RECYCLED_WATER_GAL]:[NONPOTABLE_DEMAND_NONRESIDENTIAL_METERED_IRRIGATION_GAL]])</f>
        <v>0</v>
      </c>
      <c r="X5242" t="str">
        <f>IFERROR(INDEX(Crosswalk_API!$H$2:$H$527, MATCH(POTABLE_NONPOTABLE_API[[#This Row],[PWSID]], CW_PWSID_LIST, 0)), "")</f>
        <v>No</v>
      </c>
    </row>
    <row r="5243" spans="1:24" x14ac:dyDescent="0.25">
      <c r="A5243" t="s">
        <v>2269</v>
      </c>
      <c r="B5243" t="s">
        <v>2270</v>
      </c>
      <c r="C5243" t="s">
        <v>2271</v>
      </c>
      <c r="D5243" t="s">
        <v>2272</v>
      </c>
      <c r="E5243" s="9">
        <v>45383</v>
      </c>
      <c r="F5243" s="9">
        <v>45412</v>
      </c>
      <c r="G5243">
        <v>10595000</v>
      </c>
      <c r="H5243">
        <v>14947000</v>
      </c>
      <c r="I5243">
        <v>12919000</v>
      </c>
      <c r="J5243">
        <v>4133000</v>
      </c>
      <c r="K5243">
        <v>4307000</v>
      </c>
      <c r="L5243">
        <v>0</v>
      </c>
      <c r="M5243">
        <v>0</v>
      </c>
      <c r="T5243" s="9">
        <v>45108</v>
      </c>
      <c r="U5243" s="9">
        <v>45473</v>
      </c>
      <c r="V5243">
        <f>SUM(POTABLE_NONPOTABLE_API[[#This Row],[RESIDENTIAL_SINGLEFAMILY_GAL]:[OTHER_GAL]])</f>
        <v>46901000</v>
      </c>
      <c r="W5243">
        <f>SUM(POTABLE_NONPOTABLE_API[[#This Row],[NONPOTABLE_DEMAND_RESIDENTIAL_RECYCLED_WATER_GAL]:[NONPOTABLE_DEMAND_NONRESIDENTIAL_METERED_IRRIGATION_GAL]])</f>
        <v>0</v>
      </c>
      <c r="X5243" t="str">
        <f>IFERROR(INDEX(Crosswalk_API!$H$2:$H$527, MATCH(POTABLE_NONPOTABLE_API[[#This Row],[PWSID]], CW_PWSID_LIST, 0)), "")</f>
        <v>No</v>
      </c>
    </row>
    <row r="5244" spans="1:24" x14ac:dyDescent="0.25">
      <c r="A5244" t="s">
        <v>2269</v>
      </c>
      <c r="B5244" t="s">
        <v>2270</v>
      </c>
      <c r="C5244" t="s">
        <v>2271</v>
      </c>
      <c r="D5244" t="s">
        <v>2272</v>
      </c>
      <c r="E5244" s="9">
        <v>45413</v>
      </c>
      <c r="F5244" s="9">
        <v>45443</v>
      </c>
      <c r="G5244">
        <v>4841300</v>
      </c>
      <c r="H5244">
        <v>8678634</v>
      </c>
      <c r="I5244">
        <v>8266953</v>
      </c>
      <c r="J5244">
        <v>2467578</v>
      </c>
      <c r="K5244">
        <v>3944808</v>
      </c>
      <c r="L5244">
        <v>0</v>
      </c>
      <c r="M5244">
        <v>0</v>
      </c>
      <c r="T5244" s="9">
        <v>45108</v>
      </c>
      <c r="U5244" s="9">
        <v>45473</v>
      </c>
      <c r="V5244">
        <f>SUM(POTABLE_NONPOTABLE_API[[#This Row],[RESIDENTIAL_SINGLEFAMILY_GAL]:[OTHER_GAL]])</f>
        <v>28199273</v>
      </c>
      <c r="W5244">
        <f>SUM(POTABLE_NONPOTABLE_API[[#This Row],[NONPOTABLE_DEMAND_RESIDENTIAL_RECYCLED_WATER_GAL]:[NONPOTABLE_DEMAND_NONRESIDENTIAL_METERED_IRRIGATION_GAL]])</f>
        <v>0</v>
      </c>
      <c r="X5244" t="str">
        <f>IFERROR(INDEX(Crosswalk_API!$H$2:$H$527, MATCH(POTABLE_NONPOTABLE_API[[#This Row],[PWSID]], CW_PWSID_LIST, 0)), "")</f>
        <v>No</v>
      </c>
    </row>
    <row r="5245" spans="1:24" x14ac:dyDescent="0.25">
      <c r="A5245" t="s">
        <v>2269</v>
      </c>
      <c r="B5245" t="s">
        <v>2270</v>
      </c>
      <c r="C5245" t="s">
        <v>2271</v>
      </c>
      <c r="D5245" t="s">
        <v>2272</v>
      </c>
      <c r="E5245" s="9">
        <v>45444</v>
      </c>
      <c r="F5245" s="9">
        <v>45473</v>
      </c>
      <c r="G5245">
        <v>10062844</v>
      </c>
      <c r="H5245">
        <v>12867844</v>
      </c>
      <c r="I5245">
        <v>11166892</v>
      </c>
      <c r="J5245">
        <v>4589728</v>
      </c>
      <c r="K5245">
        <v>3225376</v>
      </c>
      <c r="L5245">
        <v>0</v>
      </c>
      <c r="M5245">
        <v>0</v>
      </c>
      <c r="T5245" s="9">
        <v>45108</v>
      </c>
      <c r="U5245" s="9">
        <v>45473</v>
      </c>
      <c r="V5245">
        <f>SUM(POTABLE_NONPOTABLE_API[[#This Row],[RESIDENTIAL_SINGLEFAMILY_GAL]:[OTHER_GAL]])</f>
        <v>41912684</v>
      </c>
      <c r="W5245">
        <f>SUM(POTABLE_NONPOTABLE_API[[#This Row],[NONPOTABLE_DEMAND_RESIDENTIAL_RECYCLED_WATER_GAL]:[NONPOTABLE_DEMAND_NONRESIDENTIAL_METERED_IRRIGATION_GAL]])</f>
        <v>0</v>
      </c>
      <c r="X5245" t="str">
        <f>IFERROR(INDEX(Crosswalk_API!$H$2:$H$527, MATCH(POTABLE_NONPOTABLE_API[[#This Row],[PWSID]], CW_PWSID_LIST, 0)), "")</f>
        <v>No</v>
      </c>
    </row>
    <row r="5246" spans="1:24" x14ac:dyDescent="0.25">
      <c r="A5246" t="s">
        <v>2273</v>
      </c>
      <c r="B5246" t="s">
        <v>2274</v>
      </c>
      <c r="C5246" t="s">
        <v>2275</v>
      </c>
      <c r="D5246" t="s">
        <v>2276</v>
      </c>
      <c r="E5246" s="9">
        <v>45108</v>
      </c>
      <c r="F5246" s="9">
        <v>45138</v>
      </c>
      <c r="G5246">
        <v>39974616</v>
      </c>
      <c r="H5246">
        <v>7419412</v>
      </c>
      <c r="I5246">
        <v>0</v>
      </c>
      <c r="J5246">
        <v>14818628</v>
      </c>
      <c r="K5246">
        <v>0</v>
      </c>
      <c r="L5246">
        <v>0</v>
      </c>
      <c r="M5246">
        <v>0</v>
      </c>
      <c r="T5246" s="9">
        <v>45108</v>
      </c>
      <c r="U5246" s="9">
        <v>45473</v>
      </c>
      <c r="V5246">
        <f>SUM(POTABLE_NONPOTABLE_API[[#This Row],[RESIDENTIAL_SINGLEFAMILY_GAL]:[OTHER_GAL]])</f>
        <v>62212656</v>
      </c>
      <c r="W5246">
        <f>SUM(POTABLE_NONPOTABLE_API[[#This Row],[NONPOTABLE_DEMAND_RESIDENTIAL_RECYCLED_WATER_GAL]:[NONPOTABLE_DEMAND_NONRESIDENTIAL_METERED_IRRIGATION_GAL]])</f>
        <v>0</v>
      </c>
      <c r="X5246" t="str">
        <f>IFERROR(INDEX(Crosswalk_API!$H$2:$H$527, MATCH(POTABLE_NONPOTABLE_API[[#This Row],[PWSID]], CW_PWSID_LIST, 0)), "")</f>
        <v>No</v>
      </c>
    </row>
    <row r="5247" spans="1:24" x14ac:dyDescent="0.25">
      <c r="A5247" t="s">
        <v>2273</v>
      </c>
      <c r="B5247" t="s">
        <v>2274</v>
      </c>
      <c r="C5247" t="s">
        <v>2275</v>
      </c>
      <c r="D5247" t="s">
        <v>2276</v>
      </c>
      <c r="E5247" s="9">
        <v>45139</v>
      </c>
      <c r="F5247" s="9">
        <v>45169</v>
      </c>
      <c r="G5247">
        <v>43805872</v>
      </c>
      <c r="H5247">
        <v>8199576</v>
      </c>
      <c r="I5247">
        <v>0</v>
      </c>
      <c r="J5247">
        <v>18130024</v>
      </c>
      <c r="K5247">
        <v>0</v>
      </c>
      <c r="L5247">
        <v>0</v>
      </c>
      <c r="M5247">
        <v>0</v>
      </c>
      <c r="T5247" s="9">
        <v>45108</v>
      </c>
      <c r="U5247" s="9">
        <v>45473</v>
      </c>
      <c r="V5247">
        <f>SUM(POTABLE_NONPOTABLE_API[[#This Row],[RESIDENTIAL_SINGLEFAMILY_GAL]:[OTHER_GAL]])</f>
        <v>70135472</v>
      </c>
      <c r="W5247">
        <f>SUM(POTABLE_NONPOTABLE_API[[#This Row],[NONPOTABLE_DEMAND_RESIDENTIAL_RECYCLED_WATER_GAL]:[NONPOTABLE_DEMAND_NONRESIDENTIAL_METERED_IRRIGATION_GAL]])</f>
        <v>0</v>
      </c>
      <c r="X5247" t="str">
        <f>IFERROR(INDEX(Crosswalk_API!$H$2:$H$527, MATCH(POTABLE_NONPOTABLE_API[[#This Row],[PWSID]], CW_PWSID_LIST, 0)), "")</f>
        <v>No</v>
      </c>
    </row>
    <row r="5248" spans="1:24" x14ac:dyDescent="0.25">
      <c r="A5248" t="s">
        <v>2273</v>
      </c>
      <c r="B5248" t="s">
        <v>2274</v>
      </c>
      <c r="C5248" t="s">
        <v>2275</v>
      </c>
      <c r="D5248" t="s">
        <v>2276</v>
      </c>
      <c r="E5248" s="9">
        <v>45170</v>
      </c>
      <c r="F5248" s="9">
        <v>45199</v>
      </c>
      <c r="G5248">
        <v>40926820</v>
      </c>
      <c r="H5248">
        <v>8001356</v>
      </c>
      <c r="I5248">
        <v>0</v>
      </c>
      <c r="J5248">
        <v>16862164</v>
      </c>
      <c r="K5248">
        <v>0</v>
      </c>
      <c r="L5248">
        <v>0</v>
      </c>
      <c r="M5248">
        <v>0</v>
      </c>
      <c r="T5248" s="9">
        <v>45108</v>
      </c>
      <c r="U5248" s="9">
        <v>45473</v>
      </c>
      <c r="V5248">
        <f>SUM(POTABLE_NONPOTABLE_API[[#This Row],[RESIDENTIAL_SINGLEFAMILY_GAL]:[OTHER_GAL]])</f>
        <v>65790340</v>
      </c>
      <c r="W5248">
        <f>SUM(POTABLE_NONPOTABLE_API[[#This Row],[NONPOTABLE_DEMAND_RESIDENTIAL_RECYCLED_WATER_GAL]:[NONPOTABLE_DEMAND_NONRESIDENTIAL_METERED_IRRIGATION_GAL]])</f>
        <v>0</v>
      </c>
      <c r="X5248" t="str">
        <f>IFERROR(INDEX(Crosswalk_API!$H$2:$H$527, MATCH(POTABLE_NONPOTABLE_API[[#This Row],[PWSID]], CW_PWSID_LIST, 0)), "")</f>
        <v>No</v>
      </c>
    </row>
    <row r="5249" spans="1:24" x14ac:dyDescent="0.25">
      <c r="A5249" t="s">
        <v>2273</v>
      </c>
      <c r="B5249" t="s">
        <v>2274</v>
      </c>
      <c r="C5249" t="s">
        <v>2275</v>
      </c>
      <c r="D5249" t="s">
        <v>2276</v>
      </c>
      <c r="E5249" s="9">
        <v>45200</v>
      </c>
      <c r="F5249" s="9">
        <v>45230</v>
      </c>
      <c r="G5249">
        <v>34624172</v>
      </c>
      <c r="H5249">
        <v>7098520</v>
      </c>
      <c r="I5249">
        <v>0</v>
      </c>
      <c r="J5249">
        <v>14051180</v>
      </c>
      <c r="K5249">
        <v>0</v>
      </c>
      <c r="L5249">
        <v>0</v>
      </c>
      <c r="M5249">
        <v>0</v>
      </c>
      <c r="T5249" s="9">
        <v>45108</v>
      </c>
      <c r="U5249" s="9">
        <v>45473</v>
      </c>
      <c r="V5249">
        <f>SUM(POTABLE_NONPOTABLE_API[[#This Row],[RESIDENTIAL_SINGLEFAMILY_GAL]:[OTHER_GAL]])</f>
        <v>55773872</v>
      </c>
      <c r="W5249">
        <f>SUM(POTABLE_NONPOTABLE_API[[#This Row],[NONPOTABLE_DEMAND_RESIDENTIAL_RECYCLED_WATER_GAL]:[NONPOTABLE_DEMAND_NONRESIDENTIAL_METERED_IRRIGATION_GAL]])</f>
        <v>0</v>
      </c>
      <c r="X5249" t="str">
        <f>IFERROR(INDEX(Crosswalk_API!$H$2:$H$527, MATCH(POTABLE_NONPOTABLE_API[[#This Row],[PWSID]], CW_PWSID_LIST, 0)), "")</f>
        <v>No</v>
      </c>
    </row>
    <row r="5250" spans="1:24" x14ac:dyDescent="0.25">
      <c r="A5250" t="s">
        <v>2273</v>
      </c>
      <c r="B5250" t="s">
        <v>2274</v>
      </c>
      <c r="C5250" t="s">
        <v>2275</v>
      </c>
      <c r="D5250" t="s">
        <v>2276</v>
      </c>
      <c r="E5250" s="9">
        <v>45231</v>
      </c>
      <c r="F5250" s="9">
        <v>45260</v>
      </c>
      <c r="G5250">
        <v>35368432</v>
      </c>
      <c r="H5250">
        <v>7652040</v>
      </c>
      <c r="I5250">
        <v>0</v>
      </c>
      <c r="J5250">
        <v>12763872</v>
      </c>
      <c r="K5250">
        <v>0</v>
      </c>
      <c r="L5250">
        <v>0</v>
      </c>
      <c r="M5250">
        <v>0</v>
      </c>
      <c r="T5250" s="9">
        <v>45108</v>
      </c>
      <c r="U5250" s="9">
        <v>45473</v>
      </c>
      <c r="V5250">
        <f>SUM(POTABLE_NONPOTABLE_API[[#This Row],[RESIDENTIAL_SINGLEFAMILY_GAL]:[OTHER_GAL]])</f>
        <v>55784344</v>
      </c>
      <c r="W5250">
        <f>SUM(POTABLE_NONPOTABLE_API[[#This Row],[NONPOTABLE_DEMAND_RESIDENTIAL_RECYCLED_WATER_GAL]:[NONPOTABLE_DEMAND_NONRESIDENTIAL_METERED_IRRIGATION_GAL]])</f>
        <v>0</v>
      </c>
      <c r="X5250" t="str">
        <f>IFERROR(INDEX(Crosswalk_API!$H$2:$H$527, MATCH(POTABLE_NONPOTABLE_API[[#This Row],[PWSID]], CW_PWSID_LIST, 0)), "")</f>
        <v>No</v>
      </c>
    </row>
    <row r="5251" spans="1:24" x14ac:dyDescent="0.25">
      <c r="A5251" t="s">
        <v>2273</v>
      </c>
      <c r="B5251" t="s">
        <v>2274</v>
      </c>
      <c r="C5251" t="s">
        <v>2275</v>
      </c>
      <c r="D5251" t="s">
        <v>2276</v>
      </c>
      <c r="E5251" s="9">
        <v>45261</v>
      </c>
      <c r="F5251" s="9">
        <v>45291</v>
      </c>
      <c r="G5251">
        <v>27949020</v>
      </c>
      <c r="H5251">
        <v>6488152</v>
      </c>
      <c r="I5251">
        <v>0</v>
      </c>
      <c r="J5251">
        <v>8550388</v>
      </c>
      <c r="K5251">
        <v>0</v>
      </c>
      <c r="L5251">
        <v>0</v>
      </c>
      <c r="M5251">
        <v>0</v>
      </c>
      <c r="T5251" s="9">
        <v>45108</v>
      </c>
      <c r="U5251" s="9">
        <v>45473</v>
      </c>
      <c r="V5251">
        <f>SUM(POTABLE_NONPOTABLE_API[[#This Row],[RESIDENTIAL_SINGLEFAMILY_GAL]:[OTHER_GAL]])</f>
        <v>42987560</v>
      </c>
      <c r="W5251">
        <f>SUM(POTABLE_NONPOTABLE_API[[#This Row],[NONPOTABLE_DEMAND_RESIDENTIAL_RECYCLED_WATER_GAL]:[NONPOTABLE_DEMAND_NONRESIDENTIAL_METERED_IRRIGATION_GAL]])</f>
        <v>0</v>
      </c>
      <c r="X5251" t="str">
        <f>IFERROR(INDEX(Crosswalk_API!$H$2:$H$527, MATCH(POTABLE_NONPOTABLE_API[[#This Row],[PWSID]], CW_PWSID_LIST, 0)), "")</f>
        <v>No</v>
      </c>
    </row>
    <row r="5252" spans="1:24" x14ac:dyDescent="0.25">
      <c r="A5252" t="s">
        <v>2273</v>
      </c>
      <c r="B5252" t="s">
        <v>2274</v>
      </c>
      <c r="C5252" t="s">
        <v>2275</v>
      </c>
      <c r="D5252" t="s">
        <v>2276</v>
      </c>
      <c r="E5252" s="9">
        <v>45292</v>
      </c>
      <c r="F5252" s="9">
        <v>45322</v>
      </c>
      <c r="G5252">
        <v>24989184</v>
      </c>
      <c r="H5252">
        <v>6357252</v>
      </c>
      <c r="I5252">
        <v>0</v>
      </c>
      <c r="J5252">
        <v>6401384</v>
      </c>
      <c r="K5252">
        <v>0</v>
      </c>
      <c r="L5252">
        <v>0</v>
      </c>
      <c r="M5252">
        <v>0</v>
      </c>
      <c r="T5252" s="9">
        <v>45108</v>
      </c>
      <c r="U5252" s="9">
        <v>45473</v>
      </c>
      <c r="V5252">
        <f>SUM(POTABLE_NONPOTABLE_API[[#This Row],[RESIDENTIAL_SINGLEFAMILY_GAL]:[OTHER_GAL]])</f>
        <v>37747820</v>
      </c>
      <c r="W5252">
        <f>SUM(POTABLE_NONPOTABLE_API[[#This Row],[NONPOTABLE_DEMAND_RESIDENTIAL_RECYCLED_WATER_GAL]:[NONPOTABLE_DEMAND_NONRESIDENTIAL_METERED_IRRIGATION_GAL]])</f>
        <v>0</v>
      </c>
      <c r="X5252" t="str">
        <f>IFERROR(INDEX(Crosswalk_API!$H$2:$H$527, MATCH(POTABLE_NONPOTABLE_API[[#This Row],[PWSID]], CW_PWSID_LIST, 0)), "")</f>
        <v>No</v>
      </c>
    </row>
    <row r="5253" spans="1:24" x14ac:dyDescent="0.25">
      <c r="A5253" t="s">
        <v>2273</v>
      </c>
      <c r="B5253" t="s">
        <v>2274</v>
      </c>
      <c r="C5253" t="s">
        <v>2275</v>
      </c>
      <c r="D5253" t="s">
        <v>2276</v>
      </c>
      <c r="E5253" s="9">
        <v>45323</v>
      </c>
      <c r="F5253" s="9">
        <v>45351</v>
      </c>
      <c r="G5253">
        <v>22680108</v>
      </c>
      <c r="H5253">
        <v>6134348</v>
      </c>
      <c r="I5253">
        <v>0</v>
      </c>
      <c r="J5253">
        <v>4894164</v>
      </c>
      <c r="K5253">
        <v>0</v>
      </c>
      <c r="L5253">
        <v>0</v>
      </c>
      <c r="M5253">
        <v>0</v>
      </c>
      <c r="T5253" s="9">
        <v>45108</v>
      </c>
      <c r="U5253" s="9">
        <v>45473</v>
      </c>
      <c r="V5253">
        <f>SUM(POTABLE_NONPOTABLE_API[[#This Row],[RESIDENTIAL_SINGLEFAMILY_GAL]:[OTHER_GAL]])</f>
        <v>33708620</v>
      </c>
      <c r="W5253">
        <f>SUM(POTABLE_NONPOTABLE_API[[#This Row],[NONPOTABLE_DEMAND_RESIDENTIAL_RECYCLED_WATER_GAL]:[NONPOTABLE_DEMAND_NONRESIDENTIAL_METERED_IRRIGATION_GAL]])</f>
        <v>0</v>
      </c>
      <c r="X5253" t="str">
        <f>IFERROR(INDEX(Crosswalk_API!$H$2:$H$527, MATCH(POTABLE_NONPOTABLE_API[[#This Row],[PWSID]], CW_PWSID_LIST, 0)), "")</f>
        <v>No</v>
      </c>
    </row>
    <row r="5254" spans="1:24" x14ac:dyDescent="0.25">
      <c r="A5254" t="s">
        <v>2273</v>
      </c>
      <c r="B5254" t="s">
        <v>2274</v>
      </c>
      <c r="C5254" t="s">
        <v>2275</v>
      </c>
      <c r="D5254" t="s">
        <v>2276</v>
      </c>
      <c r="E5254" s="9">
        <v>45352</v>
      </c>
      <c r="F5254" s="9">
        <v>45382</v>
      </c>
      <c r="G5254">
        <v>23226896</v>
      </c>
      <c r="H5254">
        <v>6117144</v>
      </c>
      <c r="I5254">
        <v>0</v>
      </c>
      <c r="J5254">
        <v>4812632</v>
      </c>
      <c r="K5254">
        <v>0</v>
      </c>
      <c r="L5254">
        <v>0</v>
      </c>
      <c r="M5254">
        <v>0</v>
      </c>
      <c r="T5254" s="9">
        <v>45108</v>
      </c>
      <c r="U5254" s="9">
        <v>45473</v>
      </c>
      <c r="V5254">
        <f>SUM(POTABLE_NONPOTABLE_API[[#This Row],[RESIDENTIAL_SINGLEFAMILY_GAL]:[OTHER_GAL]])</f>
        <v>34156672</v>
      </c>
      <c r="W5254">
        <f>SUM(POTABLE_NONPOTABLE_API[[#This Row],[NONPOTABLE_DEMAND_RESIDENTIAL_RECYCLED_WATER_GAL]:[NONPOTABLE_DEMAND_NONRESIDENTIAL_METERED_IRRIGATION_GAL]])</f>
        <v>0</v>
      </c>
      <c r="X5254" t="str">
        <f>IFERROR(INDEX(Crosswalk_API!$H$2:$H$527, MATCH(POTABLE_NONPOTABLE_API[[#This Row],[PWSID]], CW_PWSID_LIST, 0)), "")</f>
        <v>No</v>
      </c>
    </row>
    <row r="5255" spans="1:24" x14ac:dyDescent="0.25">
      <c r="A5255" t="s">
        <v>2273</v>
      </c>
      <c r="B5255" t="s">
        <v>2274</v>
      </c>
      <c r="C5255" t="s">
        <v>2275</v>
      </c>
      <c r="D5255" t="s">
        <v>2276</v>
      </c>
      <c r="E5255" s="9">
        <v>45383</v>
      </c>
      <c r="F5255" s="9">
        <v>45412</v>
      </c>
      <c r="G5255">
        <v>28438212</v>
      </c>
      <c r="H5255">
        <v>6718536</v>
      </c>
      <c r="I5255">
        <v>0</v>
      </c>
      <c r="J5255">
        <v>8615464</v>
      </c>
      <c r="K5255">
        <v>0</v>
      </c>
      <c r="L5255">
        <v>0</v>
      </c>
      <c r="M5255">
        <v>0</v>
      </c>
      <c r="T5255" s="9">
        <v>45108</v>
      </c>
      <c r="U5255" s="9">
        <v>45473</v>
      </c>
      <c r="V5255">
        <f>SUM(POTABLE_NONPOTABLE_API[[#This Row],[RESIDENTIAL_SINGLEFAMILY_GAL]:[OTHER_GAL]])</f>
        <v>43772212</v>
      </c>
      <c r="W5255">
        <f>SUM(POTABLE_NONPOTABLE_API[[#This Row],[NONPOTABLE_DEMAND_RESIDENTIAL_RECYCLED_WATER_GAL]:[NONPOTABLE_DEMAND_NONRESIDENTIAL_METERED_IRRIGATION_GAL]])</f>
        <v>0</v>
      </c>
      <c r="X5255" t="str">
        <f>IFERROR(INDEX(Crosswalk_API!$H$2:$H$527, MATCH(POTABLE_NONPOTABLE_API[[#This Row],[PWSID]], CW_PWSID_LIST, 0)), "")</f>
        <v>No</v>
      </c>
    </row>
    <row r="5256" spans="1:24" x14ac:dyDescent="0.25">
      <c r="A5256" t="s">
        <v>2273</v>
      </c>
      <c r="B5256" t="s">
        <v>2274</v>
      </c>
      <c r="C5256" t="s">
        <v>2275</v>
      </c>
      <c r="D5256" t="s">
        <v>2276</v>
      </c>
      <c r="E5256" s="9">
        <v>45413</v>
      </c>
      <c r="F5256" s="9">
        <v>45443</v>
      </c>
      <c r="G5256">
        <v>34704208</v>
      </c>
      <c r="H5256">
        <v>6916008</v>
      </c>
      <c r="I5256">
        <v>0</v>
      </c>
      <c r="J5256">
        <v>12462428</v>
      </c>
      <c r="K5256">
        <v>0</v>
      </c>
      <c r="L5256">
        <v>0</v>
      </c>
      <c r="M5256">
        <v>0</v>
      </c>
      <c r="T5256" s="9">
        <v>45108</v>
      </c>
      <c r="U5256" s="9">
        <v>45473</v>
      </c>
      <c r="V5256">
        <f>SUM(POTABLE_NONPOTABLE_API[[#This Row],[RESIDENTIAL_SINGLEFAMILY_GAL]:[OTHER_GAL]])</f>
        <v>54082644</v>
      </c>
      <c r="W5256">
        <f>SUM(POTABLE_NONPOTABLE_API[[#This Row],[NONPOTABLE_DEMAND_RESIDENTIAL_RECYCLED_WATER_GAL]:[NONPOTABLE_DEMAND_NONRESIDENTIAL_METERED_IRRIGATION_GAL]])</f>
        <v>0</v>
      </c>
      <c r="X5256" t="str">
        <f>IFERROR(INDEX(Crosswalk_API!$H$2:$H$527, MATCH(POTABLE_NONPOTABLE_API[[#This Row],[PWSID]], CW_PWSID_LIST, 0)), "")</f>
        <v>No</v>
      </c>
    </row>
    <row r="5257" spans="1:24" x14ac:dyDescent="0.25">
      <c r="A5257" t="s">
        <v>2273</v>
      </c>
      <c r="B5257" t="s">
        <v>2274</v>
      </c>
      <c r="C5257" t="s">
        <v>2275</v>
      </c>
      <c r="D5257" t="s">
        <v>2276</v>
      </c>
      <c r="E5257" s="9">
        <v>45444</v>
      </c>
      <c r="F5257" s="9">
        <v>45473</v>
      </c>
      <c r="G5257">
        <v>41306056</v>
      </c>
      <c r="H5257">
        <v>7675228</v>
      </c>
      <c r="I5257">
        <v>0</v>
      </c>
      <c r="J5257">
        <v>18110576</v>
      </c>
      <c r="K5257">
        <v>0</v>
      </c>
      <c r="L5257">
        <v>0</v>
      </c>
      <c r="M5257">
        <v>0</v>
      </c>
      <c r="T5257" s="9">
        <v>45108</v>
      </c>
      <c r="U5257" s="9">
        <v>45473</v>
      </c>
      <c r="V5257">
        <f>SUM(POTABLE_NONPOTABLE_API[[#This Row],[RESIDENTIAL_SINGLEFAMILY_GAL]:[OTHER_GAL]])</f>
        <v>67091860</v>
      </c>
      <c r="W5257">
        <f>SUM(POTABLE_NONPOTABLE_API[[#This Row],[NONPOTABLE_DEMAND_RESIDENTIAL_RECYCLED_WATER_GAL]:[NONPOTABLE_DEMAND_NONRESIDENTIAL_METERED_IRRIGATION_GAL]])</f>
        <v>0</v>
      </c>
      <c r="X5257" t="str">
        <f>IFERROR(INDEX(Crosswalk_API!$H$2:$H$527, MATCH(POTABLE_NONPOTABLE_API[[#This Row],[PWSID]], CW_PWSID_LIST, 0)), "")</f>
        <v>No</v>
      </c>
    </row>
    <row r="5258" spans="1:24" x14ac:dyDescent="0.25">
      <c r="A5258" t="s">
        <v>2277</v>
      </c>
      <c r="B5258" t="s">
        <v>2278</v>
      </c>
      <c r="C5258" t="s">
        <v>2279</v>
      </c>
      <c r="D5258" t="s">
        <v>2280</v>
      </c>
      <c r="E5258" s="9">
        <v>45108</v>
      </c>
      <c r="F5258" s="9">
        <v>45138</v>
      </c>
      <c r="G5258">
        <v>36625978.251000002</v>
      </c>
      <c r="H5258">
        <v>8008993.9737</v>
      </c>
      <c r="I5258">
        <v>12111979.425299998</v>
      </c>
      <c r="J5258">
        <v>5748989.193</v>
      </c>
      <c r="K5258">
        <v>0</v>
      </c>
      <c r="L5258">
        <v>55981.201800000003</v>
      </c>
      <c r="M5258">
        <v>0</v>
      </c>
      <c r="T5258" s="9">
        <v>45108</v>
      </c>
      <c r="U5258" s="9">
        <v>45473</v>
      </c>
      <c r="V5258">
        <f>SUM(POTABLE_NONPOTABLE_API[[#This Row],[RESIDENTIAL_SINGLEFAMILY_GAL]:[OTHER_GAL]])</f>
        <v>62551922.044800013</v>
      </c>
      <c r="W5258">
        <f>SUM(POTABLE_NONPOTABLE_API[[#This Row],[NONPOTABLE_DEMAND_RESIDENTIAL_RECYCLED_WATER_GAL]:[NONPOTABLE_DEMAND_NONRESIDENTIAL_METERED_IRRIGATION_GAL]])</f>
        <v>0</v>
      </c>
      <c r="X5258" t="str">
        <f>IFERROR(INDEX(Crosswalk_API!$H$2:$H$527, MATCH(POTABLE_NONPOTABLE_API[[#This Row],[PWSID]], CW_PWSID_LIST, 0)), "")</f>
        <v>No</v>
      </c>
    </row>
    <row r="5259" spans="1:24" x14ac:dyDescent="0.25">
      <c r="A5259" t="s">
        <v>2277</v>
      </c>
      <c r="B5259" t="s">
        <v>2278</v>
      </c>
      <c r="C5259" t="s">
        <v>2279</v>
      </c>
      <c r="D5259" t="s">
        <v>2280</v>
      </c>
      <c r="E5259" s="9">
        <v>45139</v>
      </c>
      <c r="F5259" s="9">
        <v>45169</v>
      </c>
      <c r="G5259">
        <v>41116987.073399998</v>
      </c>
      <c r="H5259">
        <v>8822969.7717000004</v>
      </c>
      <c r="I5259">
        <v>16058980.0032</v>
      </c>
      <c r="J5259">
        <v>6958971.7113000005</v>
      </c>
      <c r="K5259">
        <v>0</v>
      </c>
      <c r="L5259">
        <v>46987.714199999995</v>
      </c>
      <c r="M5259">
        <v>0</v>
      </c>
      <c r="T5259" s="9">
        <v>45108</v>
      </c>
      <c r="U5259" s="9">
        <v>45473</v>
      </c>
      <c r="V5259">
        <f>SUM(POTABLE_NONPOTABLE_API[[#This Row],[RESIDENTIAL_SINGLEFAMILY_GAL]:[OTHER_GAL]])</f>
        <v>73004896.273800001</v>
      </c>
      <c r="W5259">
        <f>SUM(POTABLE_NONPOTABLE_API[[#This Row],[NONPOTABLE_DEMAND_RESIDENTIAL_RECYCLED_WATER_GAL]:[NONPOTABLE_DEMAND_NONRESIDENTIAL_METERED_IRRIGATION_GAL]])</f>
        <v>0</v>
      </c>
      <c r="X5259" t="str">
        <f>IFERROR(INDEX(Crosswalk_API!$H$2:$H$527, MATCH(POTABLE_NONPOTABLE_API[[#This Row],[PWSID]], CW_PWSID_LIST, 0)), "")</f>
        <v>No</v>
      </c>
    </row>
    <row r="5260" spans="1:24" x14ac:dyDescent="0.25">
      <c r="A5260" t="s">
        <v>2277</v>
      </c>
      <c r="B5260" t="s">
        <v>2278</v>
      </c>
      <c r="C5260" t="s">
        <v>2279</v>
      </c>
      <c r="D5260" t="s">
        <v>2280</v>
      </c>
      <c r="E5260" s="9">
        <v>45170</v>
      </c>
      <c r="F5260" s="9">
        <v>45199</v>
      </c>
      <c r="G5260">
        <v>33996979.797899999</v>
      </c>
      <c r="H5260">
        <v>8555967.4623000007</v>
      </c>
      <c r="I5260">
        <v>11110997.738399999</v>
      </c>
      <c r="J5260">
        <v>5873985.6365999999</v>
      </c>
      <c r="K5260">
        <v>0</v>
      </c>
      <c r="L5260">
        <v>35973.950400000002</v>
      </c>
      <c r="M5260">
        <v>0</v>
      </c>
      <c r="T5260" s="9">
        <v>45108</v>
      </c>
      <c r="U5260" s="9">
        <v>45473</v>
      </c>
      <c r="V5260">
        <f>SUM(POTABLE_NONPOTABLE_API[[#This Row],[RESIDENTIAL_SINGLEFAMILY_GAL]:[OTHER_GAL]])</f>
        <v>59573904.585600004</v>
      </c>
      <c r="W5260">
        <f>SUM(POTABLE_NONPOTABLE_API[[#This Row],[NONPOTABLE_DEMAND_RESIDENTIAL_RECYCLED_WATER_GAL]:[NONPOTABLE_DEMAND_NONRESIDENTIAL_METERED_IRRIGATION_GAL]])</f>
        <v>0</v>
      </c>
      <c r="X5260" t="str">
        <f>IFERROR(INDEX(Crosswalk_API!$H$2:$H$527, MATCH(POTABLE_NONPOTABLE_API[[#This Row],[PWSID]], CW_PWSID_LIST, 0)), "")</f>
        <v>No</v>
      </c>
    </row>
    <row r="5261" spans="1:24" x14ac:dyDescent="0.25">
      <c r="A5261" t="s">
        <v>2277</v>
      </c>
      <c r="B5261" t="s">
        <v>2278</v>
      </c>
      <c r="C5261" t="s">
        <v>2279</v>
      </c>
      <c r="D5261" t="s">
        <v>2280</v>
      </c>
      <c r="E5261" s="9">
        <v>45200</v>
      </c>
      <c r="F5261" s="9">
        <v>45230</v>
      </c>
      <c r="G5261">
        <v>29766977.626499999</v>
      </c>
      <c r="H5261">
        <v>7634982.1959000006</v>
      </c>
      <c r="I5261">
        <v>10303995.151800001</v>
      </c>
      <c r="J5261">
        <v>3926993.3265000004</v>
      </c>
      <c r="K5261">
        <v>0</v>
      </c>
      <c r="L5261">
        <v>38971.779600000002</v>
      </c>
      <c r="M5261">
        <v>0</v>
      </c>
      <c r="T5261" s="9">
        <v>45108</v>
      </c>
      <c r="U5261" s="9">
        <v>45473</v>
      </c>
      <c r="V5261">
        <f>SUM(POTABLE_NONPOTABLE_API[[#This Row],[RESIDENTIAL_SINGLEFAMILY_GAL]:[OTHER_GAL]])</f>
        <v>51671920.080300003</v>
      </c>
      <c r="W5261">
        <f>SUM(POTABLE_NONPOTABLE_API[[#This Row],[NONPOTABLE_DEMAND_RESIDENTIAL_RECYCLED_WATER_GAL]:[NONPOTABLE_DEMAND_NONRESIDENTIAL_METERED_IRRIGATION_GAL]])</f>
        <v>0</v>
      </c>
      <c r="X5261" t="str">
        <f>IFERROR(INDEX(Crosswalk_API!$H$2:$H$527, MATCH(POTABLE_NONPOTABLE_API[[#This Row],[PWSID]], CW_PWSID_LIST, 0)), "")</f>
        <v>No</v>
      </c>
    </row>
    <row r="5262" spans="1:24" x14ac:dyDescent="0.25">
      <c r="A5262" t="s">
        <v>2277</v>
      </c>
      <c r="B5262" t="s">
        <v>2278</v>
      </c>
      <c r="C5262" t="s">
        <v>2279</v>
      </c>
      <c r="D5262" t="s">
        <v>2280</v>
      </c>
      <c r="E5262" s="9">
        <v>45231</v>
      </c>
      <c r="F5262" s="9">
        <v>45260</v>
      </c>
      <c r="G5262">
        <v>20772968.664899997</v>
      </c>
      <c r="H5262">
        <v>6064999.4928000001</v>
      </c>
      <c r="I5262">
        <v>7669978.5932999998</v>
      </c>
      <c r="J5262">
        <v>1846988.6381999999</v>
      </c>
      <c r="K5262">
        <v>0</v>
      </c>
      <c r="L5262">
        <v>55981.201800000003</v>
      </c>
      <c r="M5262">
        <v>0</v>
      </c>
      <c r="T5262" s="9">
        <v>45108</v>
      </c>
      <c r="U5262" s="9">
        <v>45473</v>
      </c>
      <c r="V5262">
        <f>SUM(POTABLE_NONPOTABLE_API[[#This Row],[RESIDENTIAL_SINGLEFAMILY_GAL]:[OTHER_GAL]])</f>
        <v>36410916.591000006</v>
      </c>
      <c r="W5262">
        <f>SUM(POTABLE_NONPOTABLE_API[[#This Row],[NONPOTABLE_DEMAND_RESIDENTIAL_RECYCLED_WATER_GAL]:[NONPOTABLE_DEMAND_NONRESIDENTIAL_METERED_IRRIGATION_GAL]])</f>
        <v>0</v>
      </c>
      <c r="X5262" t="str">
        <f>IFERROR(INDEX(Crosswalk_API!$H$2:$H$527, MATCH(POTABLE_NONPOTABLE_API[[#This Row],[PWSID]], CW_PWSID_LIST, 0)), "")</f>
        <v>No</v>
      </c>
    </row>
    <row r="5263" spans="1:24" x14ac:dyDescent="0.25">
      <c r="A5263" t="s">
        <v>2277</v>
      </c>
      <c r="B5263" t="s">
        <v>2278</v>
      </c>
      <c r="C5263" t="s">
        <v>2279</v>
      </c>
      <c r="D5263" t="s">
        <v>2280</v>
      </c>
      <c r="E5263" s="9">
        <v>45261</v>
      </c>
      <c r="F5263" s="9">
        <v>45291</v>
      </c>
      <c r="G5263">
        <v>15709993.5822</v>
      </c>
      <c r="H5263">
        <v>5646997.8299999991</v>
      </c>
      <c r="I5263">
        <v>6868939.0799999991</v>
      </c>
      <c r="J5263">
        <v>614978.59230000002</v>
      </c>
      <c r="K5263">
        <v>0</v>
      </c>
      <c r="L5263">
        <v>45977.576099999998</v>
      </c>
      <c r="M5263">
        <v>0</v>
      </c>
      <c r="T5263" s="9">
        <v>45108</v>
      </c>
      <c r="U5263" s="9">
        <v>45473</v>
      </c>
      <c r="V5263">
        <f>SUM(POTABLE_NONPOTABLE_API[[#This Row],[RESIDENTIAL_SINGLEFAMILY_GAL]:[OTHER_GAL]])</f>
        <v>28886886.660599999</v>
      </c>
      <c r="W5263">
        <f>SUM(POTABLE_NONPOTABLE_API[[#This Row],[NONPOTABLE_DEMAND_RESIDENTIAL_RECYCLED_WATER_GAL]:[NONPOTABLE_DEMAND_NONRESIDENTIAL_METERED_IRRIGATION_GAL]])</f>
        <v>0</v>
      </c>
      <c r="X5263" t="str">
        <f>IFERROR(INDEX(Crosswalk_API!$H$2:$H$527, MATCH(POTABLE_NONPOTABLE_API[[#This Row],[PWSID]], CW_PWSID_LIST, 0)), "")</f>
        <v>No</v>
      </c>
    </row>
    <row r="5264" spans="1:24" x14ac:dyDescent="0.25">
      <c r="A5264" t="s">
        <v>2277</v>
      </c>
      <c r="B5264" t="s">
        <v>2278</v>
      </c>
      <c r="C5264" t="s">
        <v>2279</v>
      </c>
      <c r="D5264" t="s">
        <v>2280</v>
      </c>
      <c r="E5264" s="9">
        <v>45292</v>
      </c>
      <c r="F5264" s="9">
        <v>45322</v>
      </c>
      <c r="G5264">
        <v>12259980.9495</v>
      </c>
      <c r="H5264">
        <v>4555983.5117999995</v>
      </c>
      <c r="I5264">
        <v>5653971.0414000005</v>
      </c>
      <c r="J5264">
        <v>316987.85279999999</v>
      </c>
      <c r="K5264">
        <v>0</v>
      </c>
      <c r="L5264">
        <v>37994.226600000002</v>
      </c>
      <c r="M5264">
        <v>0</v>
      </c>
      <c r="T5264" s="9">
        <v>45108</v>
      </c>
      <c r="U5264" s="9">
        <v>45473</v>
      </c>
      <c r="V5264">
        <f>SUM(POTABLE_NONPOTABLE_API[[#This Row],[RESIDENTIAL_SINGLEFAMILY_GAL]:[OTHER_GAL]])</f>
        <v>22824917.5821</v>
      </c>
      <c r="W5264">
        <f>SUM(POTABLE_NONPOTABLE_API[[#This Row],[NONPOTABLE_DEMAND_RESIDENTIAL_RECYCLED_WATER_GAL]:[NONPOTABLE_DEMAND_NONRESIDENTIAL_METERED_IRRIGATION_GAL]])</f>
        <v>0</v>
      </c>
      <c r="X5264" t="str">
        <f>IFERROR(INDEX(Crosswalk_API!$H$2:$H$527, MATCH(POTABLE_NONPOTABLE_API[[#This Row],[PWSID]], CW_PWSID_LIST, 0)), "")</f>
        <v>No</v>
      </c>
    </row>
    <row r="5265" spans="1:24" x14ac:dyDescent="0.25">
      <c r="A5265" t="s">
        <v>2277</v>
      </c>
      <c r="B5265" t="s">
        <v>2278</v>
      </c>
      <c r="C5265" t="s">
        <v>2279</v>
      </c>
      <c r="D5265" t="s">
        <v>2280</v>
      </c>
      <c r="E5265" s="9">
        <v>45323</v>
      </c>
      <c r="F5265" s="9">
        <v>45351</v>
      </c>
      <c r="G5265">
        <v>11564973.351599999</v>
      </c>
      <c r="H5265">
        <v>4368977.6228999998</v>
      </c>
      <c r="I5265">
        <v>6084974.1590999998</v>
      </c>
      <c r="J5265">
        <v>334974.82799999998</v>
      </c>
      <c r="K5265">
        <v>0</v>
      </c>
      <c r="L5265">
        <v>44967.438000000002</v>
      </c>
      <c r="M5265">
        <v>0</v>
      </c>
      <c r="T5265" s="9">
        <v>45108</v>
      </c>
      <c r="U5265" s="9">
        <v>45473</v>
      </c>
      <c r="V5265">
        <f>SUM(POTABLE_NONPOTABLE_API[[#This Row],[RESIDENTIAL_SINGLEFAMILY_GAL]:[OTHER_GAL]])</f>
        <v>22398867.399599999</v>
      </c>
      <c r="W5265">
        <f>SUM(POTABLE_NONPOTABLE_API[[#This Row],[NONPOTABLE_DEMAND_RESIDENTIAL_RECYCLED_WATER_GAL]:[NONPOTABLE_DEMAND_NONRESIDENTIAL_METERED_IRRIGATION_GAL]])</f>
        <v>0</v>
      </c>
      <c r="X5265" t="str">
        <f>IFERROR(INDEX(Crosswalk_API!$H$2:$H$527, MATCH(POTABLE_NONPOTABLE_API[[#This Row],[PWSID]], CW_PWSID_LIST, 0)), "")</f>
        <v>No</v>
      </c>
    </row>
    <row r="5266" spans="1:24" x14ac:dyDescent="0.25">
      <c r="A5266" t="s">
        <v>2277</v>
      </c>
      <c r="B5266" t="s">
        <v>2278</v>
      </c>
      <c r="C5266" t="s">
        <v>2279</v>
      </c>
      <c r="D5266" t="s">
        <v>2280</v>
      </c>
      <c r="E5266" s="9">
        <v>45352</v>
      </c>
      <c r="F5266" s="9">
        <v>45382</v>
      </c>
      <c r="G5266">
        <v>13115991.5265</v>
      </c>
      <c r="H5266">
        <v>4849998.8690999998</v>
      </c>
      <c r="I5266">
        <v>6982986.9299999997</v>
      </c>
      <c r="J5266">
        <v>416991.52470000001</v>
      </c>
      <c r="K5266">
        <v>0</v>
      </c>
      <c r="L5266">
        <v>43989.885000000002</v>
      </c>
      <c r="M5266">
        <v>0</v>
      </c>
      <c r="T5266" s="9">
        <v>45108</v>
      </c>
      <c r="U5266" s="9">
        <v>45473</v>
      </c>
      <c r="V5266">
        <f>SUM(POTABLE_NONPOTABLE_API[[#This Row],[RESIDENTIAL_SINGLEFAMILY_GAL]:[OTHER_GAL]])</f>
        <v>25409958.735300001</v>
      </c>
      <c r="W5266">
        <f>SUM(POTABLE_NONPOTABLE_API[[#This Row],[NONPOTABLE_DEMAND_RESIDENTIAL_RECYCLED_WATER_GAL]:[NONPOTABLE_DEMAND_NONRESIDENTIAL_METERED_IRRIGATION_GAL]])</f>
        <v>0</v>
      </c>
      <c r="X5266" t="str">
        <f>IFERROR(INDEX(Crosswalk_API!$H$2:$H$527, MATCH(POTABLE_NONPOTABLE_API[[#This Row],[PWSID]], CW_PWSID_LIST, 0)), "")</f>
        <v>No</v>
      </c>
    </row>
    <row r="5267" spans="1:24" x14ac:dyDescent="0.25">
      <c r="A5267" t="s">
        <v>2277</v>
      </c>
      <c r="B5267" t="s">
        <v>2278</v>
      </c>
      <c r="C5267" t="s">
        <v>2279</v>
      </c>
      <c r="D5267" t="s">
        <v>2280</v>
      </c>
      <c r="E5267" s="9">
        <v>45383</v>
      </c>
      <c r="F5267" s="9">
        <v>45412</v>
      </c>
      <c r="G5267">
        <v>19660969.542300001</v>
      </c>
      <c r="H5267">
        <v>5546994.1580999997</v>
      </c>
      <c r="I5267">
        <v>7673986.5605999995</v>
      </c>
      <c r="J5267">
        <v>1659982.7492999998</v>
      </c>
      <c r="K5267">
        <v>0</v>
      </c>
      <c r="L5267">
        <v>64974.689399999996</v>
      </c>
      <c r="M5267">
        <v>0</v>
      </c>
      <c r="T5267" s="9">
        <v>45108</v>
      </c>
      <c r="U5267" s="9">
        <v>45473</v>
      </c>
      <c r="V5267">
        <f>SUM(POTABLE_NONPOTABLE_API[[#This Row],[RESIDENTIAL_SINGLEFAMILY_GAL]:[OTHER_GAL]])</f>
        <v>34606907.699700005</v>
      </c>
      <c r="W5267">
        <f>SUM(POTABLE_NONPOTABLE_API[[#This Row],[NONPOTABLE_DEMAND_RESIDENTIAL_RECYCLED_WATER_GAL]:[NONPOTABLE_DEMAND_NONRESIDENTIAL_METERED_IRRIGATION_GAL]])</f>
        <v>0</v>
      </c>
      <c r="X5267" t="str">
        <f>IFERROR(INDEX(Crosswalk_API!$H$2:$H$527, MATCH(POTABLE_NONPOTABLE_API[[#This Row],[PWSID]], CW_PWSID_LIST, 0)), "")</f>
        <v>No</v>
      </c>
    </row>
    <row r="5268" spans="1:24" x14ac:dyDescent="0.25">
      <c r="A5268" t="s">
        <v>2277</v>
      </c>
      <c r="B5268" t="s">
        <v>2278</v>
      </c>
      <c r="C5268" t="s">
        <v>2279</v>
      </c>
      <c r="D5268" t="s">
        <v>2280</v>
      </c>
      <c r="E5268" s="9">
        <v>45413</v>
      </c>
      <c r="F5268" s="9">
        <v>45443</v>
      </c>
      <c r="G5268">
        <v>34598989.520400003</v>
      </c>
      <c r="H5268">
        <v>8281991.9414999997</v>
      </c>
      <c r="I5268">
        <v>10922981.7114</v>
      </c>
      <c r="J5268">
        <v>4808974.2281999998</v>
      </c>
      <c r="K5268">
        <v>0</v>
      </c>
      <c r="L5268">
        <v>61976.860200000003</v>
      </c>
      <c r="M5268">
        <v>0</v>
      </c>
      <c r="T5268" s="9">
        <v>45108</v>
      </c>
      <c r="U5268" s="9">
        <v>45473</v>
      </c>
      <c r="V5268">
        <f>SUM(POTABLE_NONPOTABLE_API[[#This Row],[RESIDENTIAL_SINGLEFAMILY_GAL]:[OTHER_GAL]])</f>
        <v>58674914.261700004</v>
      </c>
      <c r="W5268">
        <f>SUM(POTABLE_NONPOTABLE_API[[#This Row],[NONPOTABLE_DEMAND_RESIDENTIAL_RECYCLED_WATER_GAL]:[NONPOTABLE_DEMAND_NONRESIDENTIAL_METERED_IRRIGATION_GAL]])</f>
        <v>0</v>
      </c>
      <c r="X5268" t="str">
        <f>IFERROR(INDEX(Crosswalk_API!$H$2:$H$527, MATCH(POTABLE_NONPOTABLE_API[[#This Row],[PWSID]], CW_PWSID_LIST, 0)), "")</f>
        <v>No</v>
      </c>
    </row>
    <row r="5269" spans="1:24" x14ac:dyDescent="0.25">
      <c r="A5269" t="s">
        <v>2277</v>
      </c>
      <c r="B5269" t="s">
        <v>2278</v>
      </c>
      <c r="C5269" t="s">
        <v>2279</v>
      </c>
      <c r="D5269" t="s">
        <v>2280</v>
      </c>
      <c r="E5269" s="9">
        <v>45444</v>
      </c>
      <c r="F5269" s="9">
        <v>45473</v>
      </c>
      <c r="G5269">
        <v>36156980.9067</v>
      </c>
      <c r="H5269">
        <v>8460981.8958000001</v>
      </c>
      <c r="I5269">
        <v>11340983.374200001</v>
      </c>
      <c r="J5269">
        <v>5805980.5329000009</v>
      </c>
      <c r="K5269">
        <v>0</v>
      </c>
      <c r="L5269">
        <v>50995.681499999999</v>
      </c>
      <c r="M5269">
        <v>0</v>
      </c>
      <c r="T5269" s="9">
        <v>45108</v>
      </c>
      <c r="U5269" s="9">
        <v>45473</v>
      </c>
      <c r="V5269">
        <f>SUM(POTABLE_NONPOTABLE_API[[#This Row],[RESIDENTIAL_SINGLEFAMILY_GAL]:[OTHER_GAL]])</f>
        <v>61815922.391100004</v>
      </c>
      <c r="W5269">
        <f>SUM(POTABLE_NONPOTABLE_API[[#This Row],[NONPOTABLE_DEMAND_RESIDENTIAL_RECYCLED_WATER_GAL]:[NONPOTABLE_DEMAND_NONRESIDENTIAL_METERED_IRRIGATION_GAL]])</f>
        <v>0</v>
      </c>
      <c r="X5269" t="str">
        <f>IFERROR(INDEX(Crosswalk_API!$H$2:$H$527, MATCH(POTABLE_NONPOTABLE_API[[#This Row],[PWSID]], CW_PWSID_LIST, 0)), "")</f>
        <v>No</v>
      </c>
    </row>
    <row r="5270" spans="1:24" x14ac:dyDescent="0.25">
      <c r="A5270" t="s">
        <v>2281</v>
      </c>
      <c r="B5270" t="s">
        <v>2282</v>
      </c>
      <c r="C5270" t="s">
        <v>2283</v>
      </c>
      <c r="D5270" t="s">
        <v>2284</v>
      </c>
      <c r="E5270" s="9">
        <v>45108</v>
      </c>
      <c r="F5270" s="9">
        <v>45138</v>
      </c>
      <c r="G5270">
        <v>51730000</v>
      </c>
      <c r="H5270">
        <v>19390000</v>
      </c>
      <c r="I5270">
        <v>12280000</v>
      </c>
      <c r="J5270">
        <v>4710000</v>
      </c>
      <c r="K5270">
        <v>0</v>
      </c>
      <c r="L5270">
        <v>10000</v>
      </c>
      <c r="M5270">
        <v>0</v>
      </c>
      <c r="T5270" s="9">
        <v>45108</v>
      </c>
      <c r="U5270" s="9">
        <v>45473</v>
      </c>
      <c r="V5270">
        <f>SUM(POTABLE_NONPOTABLE_API[[#This Row],[RESIDENTIAL_SINGLEFAMILY_GAL]:[OTHER_GAL]])</f>
        <v>88120000</v>
      </c>
      <c r="W5270">
        <f>SUM(POTABLE_NONPOTABLE_API[[#This Row],[NONPOTABLE_DEMAND_RESIDENTIAL_RECYCLED_WATER_GAL]:[NONPOTABLE_DEMAND_NONRESIDENTIAL_METERED_IRRIGATION_GAL]])</f>
        <v>0</v>
      </c>
      <c r="X5270" t="str">
        <f>IFERROR(INDEX(Crosswalk_API!$H$2:$H$527, MATCH(POTABLE_NONPOTABLE_API[[#This Row],[PWSID]], CW_PWSID_LIST, 0)), "")</f>
        <v>No</v>
      </c>
    </row>
    <row r="5271" spans="1:24" x14ac:dyDescent="0.25">
      <c r="A5271" t="s">
        <v>2281</v>
      </c>
      <c r="B5271" t="s">
        <v>2282</v>
      </c>
      <c r="C5271" t="s">
        <v>2283</v>
      </c>
      <c r="D5271" t="s">
        <v>2284</v>
      </c>
      <c r="E5271" s="9">
        <v>45139</v>
      </c>
      <c r="F5271" s="9">
        <v>45169</v>
      </c>
      <c r="G5271">
        <v>52940000</v>
      </c>
      <c r="H5271">
        <v>20040000</v>
      </c>
      <c r="I5271">
        <v>13520000</v>
      </c>
      <c r="J5271">
        <v>5040000</v>
      </c>
      <c r="K5271">
        <v>0</v>
      </c>
      <c r="L5271">
        <v>20000</v>
      </c>
      <c r="M5271">
        <v>0</v>
      </c>
      <c r="T5271" s="9">
        <v>45108</v>
      </c>
      <c r="U5271" s="9">
        <v>45473</v>
      </c>
      <c r="V5271">
        <f>SUM(POTABLE_NONPOTABLE_API[[#This Row],[RESIDENTIAL_SINGLEFAMILY_GAL]:[OTHER_GAL]])</f>
        <v>91560000</v>
      </c>
      <c r="W5271">
        <f>SUM(POTABLE_NONPOTABLE_API[[#This Row],[NONPOTABLE_DEMAND_RESIDENTIAL_RECYCLED_WATER_GAL]:[NONPOTABLE_DEMAND_NONRESIDENTIAL_METERED_IRRIGATION_GAL]])</f>
        <v>0</v>
      </c>
      <c r="X5271" t="str">
        <f>IFERROR(INDEX(Crosswalk_API!$H$2:$H$527, MATCH(POTABLE_NONPOTABLE_API[[#This Row],[PWSID]], CW_PWSID_LIST, 0)), "")</f>
        <v>No</v>
      </c>
    </row>
    <row r="5272" spans="1:24" x14ac:dyDescent="0.25">
      <c r="A5272" t="s">
        <v>2281</v>
      </c>
      <c r="B5272" t="s">
        <v>2282</v>
      </c>
      <c r="C5272" t="s">
        <v>2283</v>
      </c>
      <c r="D5272" t="s">
        <v>2284</v>
      </c>
      <c r="E5272" s="9">
        <v>45170</v>
      </c>
      <c r="F5272" s="9">
        <v>45199</v>
      </c>
      <c r="G5272">
        <v>50620000</v>
      </c>
      <c r="H5272">
        <v>19660000</v>
      </c>
      <c r="I5272">
        <v>12170000</v>
      </c>
      <c r="J5272">
        <v>4590000</v>
      </c>
      <c r="K5272">
        <v>0</v>
      </c>
      <c r="L5272">
        <v>30000</v>
      </c>
      <c r="M5272">
        <v>0</v>
      </c>
      <c r="T5272" s="9">
        <v>45108</v>
      </c>
      <c r="U5272" s="9">
        <v>45473</v>
      </c>
      <c r="V5272">
        <f>SUM(POTABLE_NONPOTABLE_API[[#This Row],[RESIDENTIAL_SINGLEFAMILY_GAL]:[OTHER_GAL]])</f>
        <v>87070000</v>
      </c>
      <c r="W5272">
        <f>SUM(POTABLE_NONPOTABLE_API[[#This Row],[NONPOTABLE_DEMAND_RESIDENTIAL_RECYCLED_WATER_GAL]:[NONPOTABLE_DEMAND_NONRESIDENTIAL_METERED_IRRIGATION_GAL]])</f>
        <v>0</v>
      </c>
      <c r="X5272" t="str">
        <f>IFERROR(INDEX(Crosswalk_API!$H$2:$H$527, MATCH(POTABLE_NONPOTABLE_API[[#This Row],[PWSID]], CW_PWSID_LIST, 0)), "")</f>
        <v>No</v>
      </c>
    </row>
    <row r="5273" spans="1:24" x14ac:dyDescent="0.25">
      <c r="A5273" t="s">
        <v>2281</v>
      </c>
      <c r="B5273" t="s">
        <v>2282</v>
      </c>
      <c r="C5273" t="s">
        <v>2283</v>
      </c>
      <c r="D5273" t="s">
        <v>2284</v>
      </c>
      <c r="E5273" s="9">
        <v>45200</v>
      </c>
      <c r="F5273" s="9">
        <v>45230</v>
      </c>
      <c r="G5273">
        <v>47910000</v>
      </c>
      <c r="H5273">
        <v>18630000</v>
      </c>
      <c r="I5273">
        <v>11270000</v>
      </c>
      <c r="J5273">
        <v>4200000</v>
      </c>
      <c r="K5273">
        <v>0</v>
      </c>
      <c r="L5273">
        <v>10000</v>
      </c>
      <c r="M5273">
        <v>0</v>
      </c>
      <c r="T5273" s="9">
        <v>45108</v>
      </c>
      <c r="U5273" s="9">
        <v>45473</v>
      </c>
      <c r="V5273">
        <f>SUM(POTABLE_NONPOTABLE_API[[#This Row],[RESIDENTIAL_SINGLEFAMILY_GAL]:[OTHER_GAL]])</f>
        <v>82020000</v>
      </c>
      <c r="W5273">
        <f>SUM(POTABLE_NONPOTABLE_API[[#This Row],[NONPOTABLE_DEMAND_RESIDENTIAL_RECYCLED_WATER_GAL]:[NONPOTABLE_DEMAND_NONRESIDENTIAL_METERED_IRRIGATION_GAL]])</f>
        <v>0</v>
      </c>
      <c r="X5273" t="str">
        <f>IFERROR(INDEX(Crosswalk_API!$H$2:$H$527, MATCH(POTABLE_NONPOTABLE_API[[#This Row],[PWSID]], CW_PWSID_LIST, 0)), "")</f>
        <v>No</v>
      </c>
    </row>
    <row r="5274" spans="1:24" x14ac:dyDescent="0.25">
      <c r="A5274" t="s">
        <v>2281</v>
      </c>
      <c r="B5274" t="s">
        <v>2282</v>
      </c>
      <c r="C5274" t="s">
        <v>2283</v>
      </c>
      <c r="D5274" t="s">
        <v>2284</v>
      </c>
      <c r="E5274" s="9">
        <v>45231</v>
      </c>
      <c r="F5274" s="9">
        <v>45260</v>
      </c>
      <c r="G5274">
        <v>43230000</v>
      </c>
      <c r="H5274">
        <v>16660000</v>
      </c>
      <c r="I5274">
        <v>10370000</v>
      </c>
      <c r="J5274">
        <v>2140000</v>
      </c>
      <c r="K5274">
        <v>0</v>
      </c>
      <c r="L5274">
        <v>20000</v>
      </c>
      <c r="M5274">
        <v>0</v>
      </c>
      <c r="T5274" s="9">
        <v>45108</v>
      </c>
      <c r="U5274" s="9">
        <v>45473</v>
      </c>
      <c r="V5274">
        <f>SUM(POTABLE_NONPOTABLE_API[[#This Row],[RESIDENTIAL_SINGLEFAMILY_GAL]:[OTHER_GAL]])</f>
        <v>72420000</v>
      </c>
      <c r="W5274">
        <f>SUM(POTABLE_NONPOTABLE_API[[#This Row],[NONPOTABLE_DEMAND_RESIDENTIAL_RECYCLED_WATER_GAL]:[NONPOTABLE_DEMAND_NONRESIDENTIAL_METERED_IRRIGATION_GAL]])</f>
        <v>0</v>
      </c>
      <c r="X5274" t="str">
        <f>IFERROR(INDEX(Crosswalk_API!$H$2:$H$527, MATCH(POTABLE_NONPOTABLE_API[[#This Row],[PWSID]], CW_PWSID_LIST, 0)), "")</f>
        <v>No</v>
      </c>
    </row>
    <row r="5275" spans="1:24" x14ac:dyDescent="0.25">
      <c r="A5275" t="s">
        <v>2281</v>
      </c>
      <c r="B5275" t="s">
        <v>2282</v>
      </c>
      <c r="C5275" t="s">
        <v>2283</v>
      </c>
      <c r="D5275" t="s">
        <v>2284</v>
      </c>
      <c r="E5275" s="9">
        <v>45261</v>
      </c>
      <c r="F5275" s="9">
        <v>45291</v>
      </c>
      <c r="G5275">
        <v>37600000</v>
      </c>
      <c r="H5275">
        <v>14090000</v>
      </c>
      <c r="I5275">
        <v>8690000</v>
      </c>
      <c r="J5275">
        <v>1210000</v>
      </c>
      <c r="K5275">
        <v>0</v>
      </c>
      <c r="L5275">
        <v>30000</v>
      </c>
      <c r="M5275">
        <v>0</v>
      </c>
      <c r="T5275" s="9">
        <v>45108</v>
      </c>
      <c r="U5275" s="9">
        <v>45473</v>
      </c>
      <c r="V5275">
        <f>SUM(POTABLE_NONPOTABLE_API[[#This Row],[RESIDENTIAL_SINGLEFAMILY_GAL]:[OTHER_GAL]])</f>
        <v>61620000</v>
      </c>
      <c r="W5275">
        <f>SUM(POTABLE_NONPOTABLE_API[[#This Row],[NONPOTABLE_DEMAND_RESIDENTIAL_RECYCLED_WATER_GAL]:[NONPOTABLE_DEMAND_NONRESIDENTIAL_METERED_IRRIGATION_GAL]])</f>
        <v>0</v>
      </c>
      <c r="X5275" t="str">
        <f>IFERROR(INDEX(Crosswalk_API!$H$2:$H$527, MATCH(POTABLE_NONPOTABLE_API[[#This Row],[PWSID]], CW_PWSID_LIST, 0)), "")</f>
        <v>No</v>
      </c>
    </row>
    <row r="5276" spans="1:24" x14ac:dyDescent="0.25">
      <c r="A5276" t="s">
        <v>2281</v>
      </c>
      <c r="B5276" t="s">
        <v>2282</v>
      </c>
      <c r="C5276" t="s">
        <v>2283</v>
      </c>
      <c r="D5276" t="s">
        <v>2284</v>
      </c>
      <c r="E5276" s="9">
        <v>45292</v>
      </c>
      <c r="F5276" s="9">
        <v>45322</v>
      </c>
      <c r="G5276">
        <v>36530000</v>
      </c>
      <c r="H5276">
        <v>13770000</v>
      </c>
      <c r="I5276">
        <v>8199999.9999999991</v>
      </c>
      <c r="J5276">
        <v>770000</v>
      </c>
      <c r="K5276">
        <v>0</v>
      </c>
      <c r="L5276">
        <v>38000</v>
      </c>
      <c r="M5276">
        <v>0</v>
      </c>
      <c r="T5276" s="9">
        <v>45108</v>
      </c>
      <c r="U5276" s="9">
        <v>45473</v>
      </c>
      <c r="V5276">
        <f>SUM(POTABLE_NONPOTABLE_API[[#This Row],[RESIDENTIAL_SINGLEFAMILY_GAL]:[OTHER_GAL]])</f>
        <v>59308000</v>
      </c>
      <c r="W5276">
        <f>SUM(POTABLE_NONPOTABLE_API[[#This Row],[NONPOTABLE_DEMAND_RESIDENTIAL_RECYCLED_WATER_GAL]:[NONPOTABLE_DEMAND_NONRESIDENTIAL_METERED_IRRIGATION_GAL]])</f>
        <v>0</v>
      </c>
      <c r="X5276" t="str">
        <f>IFERROR(INDEX(Crosswalk_API!$H$2:$H$527, MATCH(POTABLE_NONPOTABLE_API[[#This Row],[PWSID]], CW_PWSID_LIST, 0)), "")</f>
        <v>No</v>
      </c>
    </row>
    <row r="5277" spans="1:24" x14ac:dyDescent="0.25">
      <c r="A5277" t="s">
        <v>2281</v>
      </c>
      <c r="B5277" t="s">
        <v>2282</v>
      </c>
      <c r="C5277" t="s">
        <v>2283</v>
      </c>
      <c r="D5277" t="s">
        <v>2284</v>
      </c>
      <c r="E5277" s="9">
        <v>45323</v>
      </c>
      <c r="F5277" s="9">
        <v>45351</v>
      </c>
      <c r="G5277">
        <v>33910000</v>
      </c>
      <c r="H5277">
        <v>12960000</v>
      </c>
      <c r="I5277">
        <v>8350000</v>
      </c>
      <c r="J5277">
        <v>1000000</v>
      </c>
      <c r="K5277">
        <v>0</v>
      </c>
      <c r="L5277">
        <v>20000</v>
      </c>
      <c r="M5277">
        <v>0</v>
      </c>
      <c r="T5277" s="9">
        <v>45108</v>
      </c>
      <c r="U5277" s="9">
        <v>45473</v>
      </c>
      <c r="V5277">
        <f>SUM(POTABLE_NONPOTABLE_API[[#This Row],[RESIDENTIAL_SINGLEFAMILY_GAL]:[OTHER_GAL]])</f>
        <v>56240000</v>
      </c>
      <c r="W5277">
        <f>SUM(POTABLE_NONPOTABLE_API[[#This Row],[NONPOTABLE_DEMAND_RESIDENTIAL_RECYCLED_WATER_GAL]:[NONPOTABLE_DEMAND_NONRESIDENTIAL_METERED_IRRIGATION_GAL]])</f>
        <v>0</v>
      </c>
      <c r="X5277" t="str">
        <f>IFERROR(INDEX(Crosswalk_API!$H$2:$H$527, MATCH(POTABLE_NONPOTABLE_API[[#This Row],[PWSID]], CW_PWSID_LIST, 0)), "")</f>
        <v>No</v>
      </c>
    </row>
    <row r="5278" spans="1:24" x14ac:dyDescent="0.25">
      <c r="A5278" t="s">
        <v>2281</v>
      </c>
      <c r="B5278" t="s">
        <v>2282</v>
      </c>
      <c r="C5278" t="s">
        <v>2283</v>
      </c>
      <c r="D5278" t="s">
        <v>2284</v>
      </c>
      <c r="E5278" s="9">
        <v>45352</v>
      </c>
      <c r="F5278" s="9">
        <v>45382</v>
      </c>
      <c r="G5278">
        <v>33280000</v>
      </c>
      <c r="H5278">
        <v>12900000</v>
      </c>
      <c r="I5278">
        <v>8470000</v>
      </c>
      <c r="J5278">
        <v>1220000</v>
      </c>
      <c r="K5278">
        <v>0</v>
      </c>
      <c r="L5278">
        <v>20000</v>
      </c>
      <c r="M5278">
        <v>0</v>
      </c>
      <c r="T5278" s="9">
        <v>45108</v>
      </c>
      <c r="U5278" s="9">
        <v>45473</v>
      </c>
      <c r="V5278">
        <f>SUM(POTABLE_NONPOTABLE_API[[#This Row],[RESIDENTIAL_SINGLEFAMILY_GAL]:[OTHER_GAL]])</f>
        <v>55890000</v>
      </c>
      <c r="W5278">
        <f>SUM(POTABLE_NONPOTABLE_API[[#This Row],[NONPOTABLE_DEMAND_RESIDENTIAL_RECYCLED_WATER_GAL]:[NONPOTABLE_DEMAND_NONRESIDENTIAL_METERED_IRRIGATION_GAL]])</f>
        <v>0</v>
      </c>
      <c r="X5278" t="str">
        <f>IFERROR(INDEX(Crosswalk_API!$H$2:$H$527, MATCH(POTABLE_NONPOTABLE_API[[#This Row],[PWSID]], CW_PWSID_LIST, 0)), "")</f>
        <v>No</v>
      </c>
    </row>
    <row r="5279" spans="1:24" x14ac:dyDescent="0.25">
      <c r="A5279" t="s">
        <v>2281</v>
      </c>
      <c r="B5279" t="s">
        <v>2282</v>
      </c>
      <c r="C5279" t="s">
        <v>2283</v>
      </c>
      <c r="D5279" t="s">
        <v>2284</v>
      </c>
      <c r="E5279" s="9">
        <v>45383</v>
      </c>
      <c r="F5279" s="9">
        <v>45412</v>
      </c>
      <c r="G5279">
        <v>35500000</v>
      </c>
      <c r="H5279">
        <v>13260000</v>
      </c>
      <c r="I5279">
        <v>8970000</v>
      </c>
      <c r="J5279">
        <v>2370000</v>
      </c>
      <c r="K5279">
        <v>0</v>
      </c>
      <c r="L5279">
        <v>20000</v>
      </c>
      <c r="M5279">
        <v>0</v>
      </c>
      <c r="T5279" s="9">
        <v>45108</v>
      </c>
      <c r="U5279" s="9">
        <v>45473</v>
      </c>
      <c r="V5279">
        <f>SUM(POTABLE_NONPOTABLE_API[[#This Row],[RESIDENTIAL_SINGLEFAMILY_GAL]:[OTHER_GAL]])</f>
        <v>60120000</v>
      </c>
      <c r="W5279">
        <f>SUM(POTABLE_NONPOTABLE_API[[#This Row],[NONPOTABLE_DEMAND_RESIDENTIAL_RECYCLED_WATER_GAL]:[NONPOTABLE_DEMAND_NONRESIDENTIAL_METERED_IRRIGATION_GAL]])</f>
        <v>0</v>
      </c>
      <c r="X5279" t="str">
        <f>IFERROR(INDEX(Crosswalk_API!$H$2:$H$527, MATCH(POTABLE_NONPOTABLE_API[[#This Row],[PWSID]], CW_PWSID_LIST, 0)), "")</f>
        <v>No</v>
      </c>
    </row>
    <row r="5280" spans="1:24" x14ac:dyDescent="0.25">
      <c r="A5280" t="s">
        <v>2281</v>
      </c>
      <c r="B5280" t="s">
        <v>2282</v>
      </c>
      <c r="C5280" t="s">
        <v>2283</v>
      </c>
      <c r="D5280" t="s">
        <v>2284</v>
      </c>
      <c r="E5280" s="9">
        <v>45413</v>
      </c>
      <c r="F5280" s="9">
        <v>45443</v>
      </c>
      <c r="G5280">
        <v>39620000</v>
      </c>
      <c r="H5280">
        <v>16140000</v>
      </c>
      <c r="I5280">
        <v>9350000</v>
      </c>
      <c r="J5280">
        <v>3570000</v>
      </c>
      <c r="K5280">
        <v>0</v>
      </c>
      <c r="L5280">
        <v>10000</v>
      </c>
      <c r="M5280">
        <v>0</v>
      </c>
      <c r="T5280" s="9">
        <v>45108</v>
      </c>
      <c r="U5280" s="9">
        <v>45473</v>
      </c>
      <c r="V5280">
        <f>SUM(POTABLE_NONPOTABLE_API[[#This Row],[RESIDENTIAL_SINGLEFAMILY_GAL]:[OTHER_GAL]])</f>
        <v>68690000</v>
      </c>
      <c r="W5280">
        <f>SUM(POTABLE_NONPOTABLE_API[[#This Row],[NONPOTABLE_DEMAND_RESIDENTIAL_RECYCLED_WATER_GAL]:[NONPOTABLE_DEMAND_NONRESIDENTIAL_METERED_IRRIGATION_GAL]])</f>
        <v>0</v>
      </c>
      <c r="X5280" t="str">
        <f>IFERROR(INDEX(Crosswalk_API!$H$2:$H$527, MATCH(POTABLE_NONPOTABLE_API[[#This Row],[PWSID]], CW_PWSID_LIST, 0)), "")</f>
        <v>No</v>
      </c>
    </row>
    <row r="5281" spans="1:24" x14ac:dyDescent="0.25">
      <c r="A5281" t="s">
        <v>2281</v>
      </c>
      <c r="B5281" t="s">
        <v>2282</v>
      </c>
      <c r="C5281" t="s">
        <v>2283</v>
      </c>
      <c r="D5281" t="s">
        <v>2284</v>
      </c>
      <c r="E5281" s="9">
        <v>45444</v>
      </c>
      <c r="F5281" s="9">
        <v>45473</v>
      </c>
      <c r="G5281">
        <v>48550000</v>
      </c>
      <c r="H5281">
        <v>19390000</v>
      </c>
      <c r="I5281">
        <v>11080000</v>
      </c>
      <c r="J5281">
        <v>5170000</v>
      </c>
      <c r="K5281">
        <v>0</v>
      </c>
      <c r="L5281">
        <v>10000</v>
      </c>
      <c r="M5281">
        <v>0</v>
      </c>
      <c r="T5281" s="9">
        <v>45108</v>
      </c>
      <c r="U5281" s="9">
        <v>45473</v>
      </c>
      <c r="V5281">
        <f>SUM(POTABLE_NONPOTABLE_API[[#This Row],[RESIDENTIAL_SINGLEFAMILY_GAL]:[OTHER_GAL]])</f>
        <v>84200000</v>
      </c>
      <c r="W5281">
        <f>SUM(POTABLE_NONPOTABLE_API[[#This Row],[NONPOTABLE_DEMAND_RESIDENTIAL_RECYCLED_WATER_GAL]:[NONPOTABLE_DEMAND_NONRESIDENTIAL_METERED_IRRIGATION_GAL]])</f>
        <v>0</v>
      </c>
      <c r="X5281" t="str">
        <f>IFERROR(INDEX(Crosswalk_API!$H$2:$H$527, MATCH(POTABLE_NONPOTABLE_API[[#This Row],[PWSID]], CW_PWSID_LIST, 0)), "")</f>
        <v>No</v>
      </c>
    </row>
    <row r="5282" spans="1:24" x14ac:dyDescent="0.25">
      <c r="A5282" t="s">
        <v>2285</v>
      </c>
      <c r="B5282" t="s">
        <v>2286</v>
      </c>
      <c r="C5282" t="s">
        <v>2287</v>
      </c>
      <c r="D5282" t="s">
        <v>2288</v>
      </c>
      <c r="E5282" s="9">
        <v>45108</v>
      </c>
      <c r="F5282" s="9">
        <v>45138</v>
      </c>
      <c r="G5282">
        <v>88187850.280000001</v>
      </c>
      <c r="H5282">
        <v>25135295.252</v>
      </c>
      <c r="I5282">
        <v>25729996.592</v>
      </c>
      <c r="J5282">
        <v>15786889.408</v>
      </c>
      <c r="K5282">
        <v>0</v>
      </c>
      <c r="L5282">
        <v>5395693.8815269126</v>
      </c>
      <c r="M5282">
        <v>0</v>
      </c>
      <c r="N5282">
        <v>0</v>
      </c>
      <c r="O5282">
        <v>0</v>
      </c>
      <c r="P5282">
        <v>0</v>
      </c>
      <c r="Q5282">
        <v>33910693.263999999</v>
      </c>
      <c r="R5282">
        <v>0</v>
      </c>
      <c r="S5282">
        <v>0</v>
      </c>
      <c r="T5282" s="9">
        <v>45108</v>
      </c>
      <c r="U5282" s="9">
        <v>45473</v>
      </c>
      <c r="V5282">
        <f>SUM(POTABLE_NONPOTABLE_API[[#This Row],[RESIDENTIAL_SINGLEFAMILY_GAL]:[OTHER_GAL]])</f>
        <v>160235725.41352692</v>
      </c>
      <c r="W5282">
        <f>SUM(POTABLE_NONPOTABLE_API[[#This Row],[NONPOTABLE_DEMAND_RESIDENTIAL_RECYCLED_WATER_GAL]:[NONPOTABLE_DEMAND_NONRESIDENTIAL_METERED_IRRIGATION_GAL]])</f>
        <v>33910693.263999999</v>
      </c>
      <c r="X5282" t="str">
        <f>IFERROR(INDEX(Crosswalk_API!$H$2:$H$527, MATCH(POTABLE_NONPOTABLE_API[[#This Row],[PWSID]], CW_PWSID_LIST, 0)), "")</f>
        <v>No</v>
      </c>
    </row>
    <row r="5283" spans="1:24" x14ac:dyDescent="0.25">
      <c r="A5283" t="s">
        <v>2285</v>
      </c>
      <c r="B5283" t="s">
        <v>2286</v>
      </c>
      <c r="C5283" t="s">
        <v>2287</v>
      </c>
      <c r="D5283" t="s">
        <v>2288</v>
      </c>
      <c r="E5283" s="9">
        <v>45139</v>
      </c>
      <c r="F5283" s="9">
        <v>45169</v>
      </c>
      <c r="G5283">
        <v>93699497.416000009</v>
      </c>
      <c r="H5283">
        <v>24773986.136</v>
      </c>
      <c r="I5283">
        <v>29515887.764000002</v>
      </c>
      <c r="J5283">
        <v>20973881.976</v>
      </c>
      <c r="K5283">
        <v>0</v>
      </c>
      <c r="L5283">
        <v>906639.02399999998</v>
      </c>
      <c r="M5283">
        <v>0</v>
      </c>
      <c r="N5283">
        <v>0</v>
      </c>
      <c r="O5283">
        <v>0</v>
      </c>
      <c r="P5283">
        <v>0</v>
      </c>
      <c r="Q5283">
        <v>40090350.836000003</v>
      </c>
      <c r="R5283">
        <v>0</v>
      </c>
      <c r="S5283">
        <v>0</v>
      </c>
      <c r="T5283" s="9">
        <v>45108</v>
      </c>
      <c r="U5283" s="9">
        <v>45473</v>
      </c>
      <c r="V5283">
        <f>SUM(POTABLE_NONPOTABLE_API[[#This Row],[RESIDENTIAL_SINGLEFAMILY_GAL]:[OTHER_GAL]])</f>
        <v>169869892.31600001</v>
      </c>
      <c r="W5283">
        <f>SUM(POTABLE_NONPOTABLE_API[[#This Row],[NONPOTABLE_DEMAND_RESIDENTIAL_RECYCLED_WATER_GAL]:[NONPOTABLE_DEMAND_NONRESIDENTIAL_METERED_IRRIGATION_GAL]])</f>
        <v>40090350.836000003</v>
      </c>
      <c r="X5283" t="str">
        <f>IFERROR(INDEX(Crosswalk_API!$H$2:$H$527, MATCH(POTABLE_NONPOTABLE_API[[#This Row],[PWSID]], CW_PWSID_LIST, 0)), "")</f>
        <v>No</v>
      </c>
    </row>
    <row r="5284" spans="1:24" x14ac:dyDescent="0.25">
      <c r="A5284" t="s">
        <v>2285</v>
      </c>
      <c r="B5284" t="s">
        <v>2286</v>
      </c>
      <c r="C5284" t="s">
        <v>2287</v>
      </c>
      <c r="D5284" t="s">
        <v>2288</v>
      </c>
      <c r="E5284" s="9">
        <v>45170</v>
      </c>
      <c r="F5284" s="9">
        <v>45199</v>
      </c>
      <c r="G5284">
        <v>78473647.008000001</v>
      </c>
      <c r="H5284">
        <v>22820074.311999999</v>
      </c>
      <c r="I5284">
        <v>23458162.668000001</v>
      </c>
      <c r="J5284">
        <v>15335814.052000001</v>
      </c>
      <c r="K5284">
        <v>0</v>
      </c>
      <c r="L5284">
        <v>463792.24</v>
      </c>
      <c r="M5284">
        <v>0</v>
      </c>
      <c r="N5284">
        <v>0</v>
      </c>
      <c r="O5284">
        <v>0</v>
      </c>
      <c r="P5284">
        <v>0</v>
      </c>
      <c r="Q5284">
        <v>25633497.884</v>
      </c>
      <c r="R5284">
        <v>0</v>
      </c>
      <c r="S5284">
        <v>0</v>
      </c>
      <c r="T5284" s="9">
        <v>45108</v>
      </c>
      <c r="U5284" s="9">
        <v>45473</v>
      </c>
      <c r="V5284">
        <f>SUM(POTABLE_NONPOTABLE_API[[#This Row],[RESIDENTIAL_SINGLEFAMILY_GAL]:[OTHER_GAL]])</f>
        <v>140551490.28</v>
      </c>
      <c r="W5284">
        <f>SUM(POTABLE_NONPOTABLE_API[[#This Row],[NONPOTABLE_DEMAND_RESIDENTIAL_RECYCLED_WATER_GAL]:[NONPOTABLE_DEMAND_NONRESIDENTIAL_METERED_IRRIGATION_GAL]])</f>
        <v>25633497.884</v>
      </c>
      <c r="X5284" t="str">
        <f>IFERROR(INDEX(Crosswalk_API!$H$2:$H$527, MATCH(POTABLE_NONPOTABLE_API[[#This Row],[PWSID]], CW_PWSID_LIST, 0)), "")</f>
        <v>No</v>
      </c>
    </row>
    <row r="5285" spans="1:24" x14ac:dyDescent="0.25">
      <c r="A5285" t="s">
        <v>2285</v>
      </c>
      <c r="B5285" t="s">
        <v>2286</v>
      </c>
      <c r="C5285" t="s">
        <v>2287</v>
      </c>
      <c r="D5285" t="s">
        <v>2288</v>
      </c>
      <c r="E5285" s="9">
        <v>45200</v>
      </c>
      <c r="F5285" s="9">
        <v>45230</v>
      </c>
      <c r="G5285">
        <v>83934426.607999995</v>
      </c>
      <c r="H5285">
        <v>23877819.84</v>
      </c>
      <c r="I5285">
        <v>22496167.796</v>
      </c>
      <c r="J5285">
        <v>15577434.848000001</v>
      </c>
      <c r="K5285">
        <v>0</v>
      </c>
      <c r="L5285">
        <v>8598718.7534345035</v>
      </c>
      <c r="M5285">
        <v>0</v>
      </c>
      <c r="N5285">
        <v>0</v>
      </c>
      <c r="O5285">
        <v>0</v>
      </c>
      <c r="P5285">
        <v>0</v>
      </c>
      <c r="Q5285">
        <v>28342194.175999999</v>
      </c>
      <c r="R5285">
        <v>0</v>
      </c>
      <c r="S5285">
        <v>0</v>
      </c>
      <c r="T5285" s="9">
        <v>45108</v>
      </c>
      <c r="U5285" s="9">
        <v>45473</v>
      </c>
      <c r="V5285">
        <f>SUM(POTABLE_NONPOTABLE_API[[#This Row],[RESIDENTIAL_SINGLEFAMILY_GAL]:[OTHER_GAL]])</f>
        <v>154484567.84543452</v>
      </c>
      <c r="W5285">
        <f>SUM(POTABLE_NONPOTABLE_API[[#This Row],[NONPOTABLE_DEMAND_RESIDENTIAL_RECYCLED_WATER_GAL]:[NONPOTABLE_DEMAND_NONRESIDENTIAL_METERED_IRRIGATION_GAL]])</f>
        <v>28342194.175999999</v>
      </c>
      <c r="X5285" t="str">
        <f>IFERROR(INDEX(Crosswalk_API!$H$2:$H$527, MATCH(POTABLE_NONPOTABLE_API[[#This Row],[PWSID]], CW_PWSID_LIST, 0)), "")</f>
        <v>No</v>
      </c>
    </row>
    <row r="5286" spans="1:24" x14ac:dyDescent="0.25">
      <c r="A5286" t="s">
        <v>2285</v>
      </c>
      <c r="B5286" t="s">
        <v>2286</v>
      </c>
      <c r="C5286" t="s">
        <v>2287</v>
      </c>
      <c r="D5286" t="s">
        <v>2288</v>
      </c>
      <c r="E5286" s="9">
        <v>45231</v>
      </c>
      <c r="F5286" s="9">
        <v>45260</v>
      </c>
      <c r="G5286">
        <v>79786478.268000007</v>
      </c>
      <c r="H5286">
        <v>23757383.468000002</v>
      </c>
      <c r="I5286">
        <v>22651762.612</v>
      </c>
      <c r="J5286">
        <v>14268343.848000001</v>
      </c>
      <c r="K5286">
        <v>0</v>
      </c>
      <c r="L5286">
        <v>7088920.7781250924</v>
      </c>
      <c r="M5286">
        <v>0</v>
      </c>
      <c r="N5286">
        <v>0</v>
      </c>
      <c r="O5286">
        <v>0</v>
      </c>
      <c r="P5286">
        <v>0</v>
      </c>
      <c r="Q5286">
        <v>20721040.400000002</v>
      </c>
      <c r="R5286">
        <v>0</v>
      </c>
      <c r="S5286">
        <v>0</v>
      </c>
      <c r="T5286" s="9">
        <v>45108</v>
      </c>
      <c r="U5286" s="9">
        <v>45473</v>
      </c>
      <c r="V5286">
        <f>SUM(POTABLE_NONPOTABLE_API[[#This Row],[RESIDENTIAL_SINGLEFAMILY_GAL]:[OTHER_GAL]])</f>
        <v>147552888.97412509</v>
      </c>
      <c r="W5286">
        <f>SUM(POTABLE_NONPOTABLE_API[[#This Row],[NONPOTABLE_DEMAND_RESIDENTIAL_RECYCLED_WATER_GAL]:[NONPOTABLE_DEMAND_NONRESIDENTIAL_METERED_IRRIGATION_GAL]])</f>
        <v>20721040.400000002</v>
      </c>
      <c r="X5286" t="str">
        <f>IFERROR(INDEX(Crosswalk_API!$H$2:$H$527, MATCH(POTABLE_NONPOTABLE_API[[#This Row],[PWSID]], CW_PWSID_LIST, 0)), "")</f>
        <v>No</v>
      </c>
    </row>
    <row r="5287" spans="1:24" x14ac:dyDescent="0.25">
      <c r="A5287" t="s">
        <v>2285</v>
      </c>
      <c r="B5287" t="s">
        <v>2286</v>
      </c>
      <c r="C5287" t="s">
        <v>2287</v>
      </c>
      <c r="D5287" t="s">
        <v>2288</v>
      </c>
      <c r="E5287" s="9">
        <v>45261</v>
      </c>
      <c r="F5287" s="9">
        <v>45291</v>
      </c>
      <c r="G5287">
        <v>73771392.136000007</v>
      </c>
      <c r="H5287">
        <v>22324863.888</v>
      </c>
      <c r="I5287">
        <v>20813798.848000001</v>
      </c>
      <c r="J5287">
        <v>11562639.764</v>
      </c>
      <c r="K5287">
        <v>0</v>
      </c>
      <c r="L5287">
        <v>6835757.7739053676</v>
      </c>
      <c r="M5287">
        <v>0</v>
      </c>
      <c r="N5287">
        <v>0</v>
      </c>
      <c r="O5287">
        <v>0</v>
      </c>
      <c r="P5287">
        <v>0</v>
      </c>
      <c r="Q5287">
        <v>14023730.844000001</v>
      </c>
      <c r="R5287">
        <v>0</v>
      </c>
      <c r="S5287">
        <v>0</v>
      </c>
      <c r="T5287" s="9">
        <v>45108</v>
      </c>
      <c r="U5287" s="9">
        <v>45473</v>
      </c>
      <c r="V5287">
        <f>SUM(POTABLE_NONPOTABLE_API[[#This Row],[RESIDENTIAL_SINGLEFAMILY_GAL]:[OTHER_GAL]])</f>
        <v>135308452.40990537</v>
      </c>
      <c r="W5287">
        <f>SUM(POTABLE_NONPOTABLE_API[[#This Row],[NONPOTABLE_DEMAND_RESIDENTIAL_RECYCLED_WATER_GAL]:[NONPOTABLE_DEMAND_NONRESIDENTIAL_METERED_IRRIGATION_GAL]])</f>
        <v>14023730.844000001</v>
      </c>
      <c r="X5287" t="str">
        <f>IFERROR(INDEX(Crosswalk_API!$H$2:$H$527, MATCH(POTABLE_NONPOTABLE_API[[#This Row],[PWSID]], CW_PWSID_LIST, 0)), "")</f>
        <v>No</v>
      </c>
    </row>
    <row r="5288" spans="1:24" x14ac:dyDescent="0.25">
      <c r="A5288" t="s">
        <v>2285</v>
      </c>
      <c r="B5288" t="s">
        <v>2286</v>
      </c>
      <c r="C5288" t="s">
        <v>2287</v>
      </c>
      <c r="D5288" t="s">
        <v>2288</v>
      </c>
      <c r="E5288" s="9">
        <v>45292</v>
      </c>
      <c r="F5288" s="9">
        <v>45322</v>
      </c>
      <c r="G5288">
        <v>66281895.512000002</v>
      </c>
      <c r="H5288">
        <v>22453528.832000002</v>
      </c>
      <c r="I5288">
        <v>20062754.640000001</v>
      </c>
      <c r="J5288">
        <v>4485319.7920000004</v>
      </c>
      <c r="K5288">
        <v>0</v>
      </c>
      <c r="L5288">
        <v>9846137.2032400016</v>
      </c>
      <c r="M5288">
        <v>0</v>
      </c>
      <c r="N5288">
        <v>0</v>
      </c>
      <c r="O5288">
        <v>0</v>
      </c>
      <c r="P5288">
        <v>0</v>
      </c>
      <c r="Q5288">
        <v>4646899.0240000002</v>
      </c>
      <c r="R5288">
        <v>0</v>
      </c>
      <c r="S5288">
        <v>0</v>
      </c>
      <c r="T5288" s="9">
        <v>45108</v>
      </c>
      <c r="U5288" s="9">
        <v>45473</v>
      </c>
      <c r="V5288">
        <f>SUM(POTABLE_NONPOTABLE_API[[#This Row],[RESIDENTIAL_SINGLEFAMILY_GAL]:[OTHER_GAL]])</f>
        <v>123129635.97924002</v>
      </c>
      <c r="W5288">
        <f>SUM(POTABLE_NONPOTABLE_API[[#This Row],[NONPOTABLE_DEMAND_RESIDENTIAL_RECYCLED_WATER_GAL]:[NONPOTABLE_DEMAND_NONRESIDENTIAL_METERED_IRRIGATION_GAL]])</f>
        <v>4646899.0240000002</v>
      </c>
      <c r="X5288" t="str">
        <f>IFERROR(INDEX(Crosswalk_API!$H$2:$H$527, MATCH(POTABLE_NONPOTABLE_API[[#This Row],[PWSID]], CW_PWSID_LIST, 0)), "")</f>
        <v>No</v>
      </c>
    </row>
    <row r="5289" spans="1:24" x14ac:dyDescent="0.25">
      <c r="A5289" t="s">
        <v>2285</v>
      </c>
      <c r="B5289" t="s">
        <v>2286</v>
      </c>
      <c r="C5289" t="s">
        <v>2287</v>
      </c>
      <c r="D5289" t="s">
        <v>2288</v>
      </c>
      <c r="E5289" s="9">
        <v>45323</v>
      </c>
      <c r="F5289" s="9">
        <v>45351</v>
      </c>
      <c r="G5289">
        <v>56793603.943999998</v>
      </c>
      <c r="H5289">
        <v>21169871.600000001</v>
      </c>
      <c r="I5289">
        <v>16421985.556</v>
      </c>
      <c r="J5289">
        <v>1429527.372</v>
      </c>
      <c r="K5289">
        <v>0</v>
      </c>
      <c r="L5289">
        <v>6060480.0054484569</v>
      </c>
      <c r="M5289">
        <v>0</v>
      </c>
      <c r="N5289">
        <v>0</v>
      </c>
      <c r="O5289">
        <v>0</v>
      </c>
      <c r="P5289">
        <v>0</v>
      </c>
      <c r="Q5289">
        <v>1371179.3160000001</v>
      </c>
      <c r="R5289">
        <v>0</v>
      </c>
      <c r="S5289">
        <v>0</v>
      </c>
      <c r="T5289" s="9">
        <v>45108</v>
      </c>
      <c r="U5289" s="9">
        <v>45473</v>
      </c>
      <c r="V5289">
        <f>SUM(POTABLE_NONPOTABLE_API[[#This Row],[RESIDENTIAL_SINGLEFAMILY_GAL]:[OTHER_GAL]])</f>
        <v>101875468.47744845</v>
      </c>
      <c r="W5289">
        <f>SUM(POTABLE_NONPOTABLE_API[[#This Row],[NONPOTABLE_DEMAND_RESIDENTIAL_RECYCLED_WATER_GAL]:[NONPOTABLE_DEMAND_NONRESIDENTIAL_METERED_IRRIGATION_GAL]])</f>
        <v>1371179.3160000001</v>
      </c>
      <c r="X5289" t="str">
        <f>IFERROR(INDEX(Crosswalk_API!$H$2:$H$527, MATCH(POTABLE_NONPOTABLE_API[[#This Row],[PWSID]], CW_PWSID_LIST, 0)), "")</f>
        <v>No</v>
      </c>
    </row>
    <row r="5290" spans="1:24" x14ac:dyDescent="0.25">
      <c r="A5290" t="s">
        <v>2285</v>
      </c>
      <c r="B5290" t="s">
        <v>2286</v>
      </c>
      <c r="C5290" t="s">
        <v>2287</v>
      </c>
      <c r="D5290" t="s">
        <v>2288</v>
      </c>
      <c r="E5290" s="9">
        <v>45352</v>
      </c>
      <c r="F5290" s="9">
        <v>45382</v>
      </c>
      <c r="G5290">
        <v>53337603.704000004</v>
      </c>
      <c r="H5290">
        <v>21915679.444000002</v>
      </c>
      <c r="I5290">
        <v>19396240.308000002</v>
      </c>
      <c r="J5290">
        <v>2946576.8280000002</v>
      </c>
      <c r="K5290">
        <v>0</v>
      </c>
      <c r="L5290">
        <v>7193133.3826400004</v>
      </c>
      <c r="M5290">
        <v>0</v>
      </c>
      <c r="N5290">
        <v>0</v>
      </c>
      <c r="O5290">
        <v>0</v>
      </c>
      <c r="P5290">
        <v>0</v>
      </c>
      <c r="Q5290">
        <v>4598275.6440000003</v>
      </c>
      <c r="R5290">
        <v>0</v>
      </c>
      <c r="S5290">
        <v>0</v>
      </c>
      <c r="T5290" s="9">
        <v>45108</v>
      </c>
      <c r="U5290" s="9">
        <v>45473</v>
      </c>
      <c r="V5290">
        <f>SUM(POTABLE_NONPOTABLE_API[[#This Row],[RESIDENTIAL_SINGLEFAMILY_GAL]:[OTHER_GAL]])</f>
        <v>104789233.66664</v>
      </c>
      <c r="W5290">
        <f>SUM(POTABLE_NONPOTABLE_API[[#This Row],[NONPOTABLE_DEMAND_RESIDENTIAL_RECYCLED_WATER_GAL]:[NONPOTABLE_DEMAND_NONRESIDENTIAL_METERED_IRRIGATION_GAL]])</f>
        <v>4598275.6440000003</v>
      </c>
      <c r="X5290" t="str">
        <f>IFERROR(INDEX(Crosswalk_API!$H$2:$H$527, MATCH(POTABLE_NONPOTABLE_API[[#This Row],[PWSID]], CW_PWSID_LIST, 0)), "")</f>
        <v>No</v>
      </c>
    </row>
    <row r="5291" spans="1:24" x14ac:dyDescent="0.25">
      <c r="A5291" t="s">
        <v>2285</v>
      </c>
      <c r="B5291" t="s">
        <v>2286</v>
      </c>
      <c r="C5291" t="s">
        <v>2287</v>
      </c>
      <c r="D5291" t="s">
        <v>2288</v>
      </c>
      <c r="E5291" s="9">
        <v>45383</v>
      </c>
      <c r="F5291" s="9">
        <v>45412</v>
      </c>
      <c r="G5291">
        <v>62727900.460000001</v>
      </c>
      <c r="H5291">
        <v>22322619.732000001</v>
      </c>
      <c r="I5291">
        <v>20787617.028000001</v>
      </c>
      <c r="J5291">
        <v>5762992.608</v>
      </c>
      <c r="K5291">
        <v>0</v>
      </c>
      <c r="L5291">
        <v>7042580.4371199999</v>
      </c>
      <c r="M5291">
        <v>0</v>
      </c>
      <c r="N5291">
        <v>0</v>
      </c>
      <c r="O5291">
        <v>0</v>
      </c>
      <c r="P5291">
        <v>0</v>
      </c>
      <c r="Q5291">
        <v>9495024.0360000003</v>
      </c>
      <c r="R5291">
        <v>0</v>
      </c>
      <c r="S5291">
        <v>0</v>
      </c>
      <c r="T5291" s="9">
        <v>45108</v>
      </c>
      <c r="U5291" s="9">
        <v>45473</v>
      </c>
      <c r="V5291">
        <f>SUM(POTABLE_NONPOTABLE_API[[#This Row],[RESIDENTIAL_SINGLEFAMILY_GAL]:[OTHER_GAL]])</f>
        <v>118643710.26512</v>
      </c>
      <c r="W5291">
        <f>SUM(POTABLE_NONPOTABLE_API[[#This Row],[NONPOTABLE_DEMAND_RESIDENTIAL_RECYCLED_WATER_GAL]:[NONPOTABLE_DEMAND_NONRESIDENTIAL_METERED_IRRIGATION_GAL]])</f>
        <v>9495024.0360000003</v>
      </c>
      <c r="X5291" t="str">
        <f>IFERROR(INDEX(Crosswalk_API!$H$2:$H$527, MATCH(POTABLE_NONPOTABLE_API[[#This Row],[PWSID]], CW_PWSID_LIST, 0)), "")</f>
        <v>No</v>
      </c>
    </row>
    <row r="5292" spans="1:24" x14ac:dyDescent="0.25">
      <c r="A5292" t="s">
        <v>2285</v>
      </c>
      <c r="B5292" t="s">
        <v>2286</v>
      </c>
      <c r="C5292" t="s">
        <v>2287</v>
      </c>
      <c r="D5292" t="s">
        <v>2288</v>
      </c>
      <c r="E5292" s="9">
        <v>45413</v>
      </c>
      <c r="F5292" s="9">
        <v>45443</v>
      </c>
      <c r="G5292">
        <v>71345459.5</v>
      </c>
      <c r="H5292">
        <v>22611367.804000001</v>
      </c>
      <c r="I5292">
        <v>21024749.512000002</v>
      </c>
      <c r="J5292">
        <v>11551418.984000001</v>
      </c>
      <c r="K5292">
        <v>0</v>
      </c>
      <c r="L5292">
        <v>7051661.7884000009</v>
      </c>
      <c r="M5292">
        <v>0</v>
      </c>
      <c r="N5292">
        <v>0</v>
      </c>
      <c r="O5292">
        <v>0</v>
      </c>
      <c r="P5292">
        <v>0</v>
      </c>
      <c r="Q5292">
        <v>23496313.32</v>
      </c>
      <c r="R5292">
        <v>0</v>
      </c>
      <c r="S5292">
        <v>0</v>
      </c>
      <c r="T5292" s="9">
        <v>45108</v>
      </c>
      <c r="U5292" s="9">
        <v>45473</v>
      </c>
      <c r="V5292">
        <f>SUM(POTABLE_NONPOTABLE_API[[#This Row],[RESIDENTIAL_SINGLEFAMILY_GAL]:[OTHER_GAL]])</f>
        <v>133584657.58840001</v>
      </c>
      <c r="W5292">
        <f>SUM(POTABLE_NONPOTABLE_API[[#This Row],[NONPOTABLE_DEMAND_RESIDENTIAL_RECYCLED_WATER_GAL]:[NONPOTABLE_DEMAND_NONRESIDENTIAL_METERED_IRRIGATION_GAL]])</f>
        <v>23496313.32</v>
      </c>
      <c r="X5292" t="str">
        <f>IFERROR(INDEX(Crosswalk_API!$H$2:$H$527, MATCH(POTABLE_NONPOTABLE_API[[#This Row],[PWSID]], CW_PWSID_LIST, 0)), "")</f>
        <v>No</v>
      </c>
    </row>
    <row r="5293" spans="1:24" x14ac:dyDescent="0.25">
      <c r="A5293" t="s">
        <v>2285</v>
      </c>
      <c r="B5293" t="s">
        <v>2286</v>
      </c>
      <c r="C5293" t="s">
        <v>2287</v>
      </c>
      <c r="D5293" t="s">
        <v>2288</v>
      </c>
      <c r="E5293" s="9">
        <v>45444</v>
      </c>
      <c r="F5293" s="9">
        <v>45473</v>
      </c>
      <c r="G5293">
        <v>82710613.535999998</v>
      </c>
      <c r="H5293">
        <v>23454422.408</v>
      </c>
      <c r="I5293">
        <v>22714598.98</v>
      </c>
      <c r="J5293">
        <v>14305746.448000001</v>
      </c>
      <c r="K5293">
        <v>0</v>
      </c>
      <c r="L5293">
        <v>6709712.2581599997</v>
      </c>
      <c r="M5293">
        <v>0</v>
      </c>
      <c r="N5293">
        <v>0</v>
      </c>
      <c r="O5293">
        <v>0</v>
      </c>
      <c r="P5293">
        <v>0</v>
      </c>
      <c r="Q5293">
        <v>26066619.992000002</v>
      </c>
      <c r="R5293">
        <v>0</v>
      </c>
      <c r="S5293">
        <v>0</v>
      </c>
      <c r="T5293" s="9">
        <v>45108</v>
      </c>
      <c r="U5293" s="9">
        <v>45473</v>
      </c>
      <c r="V5293">
        <f>SUM(POTABLE_NONPOTABLE_API[[#This Row],[RESIDENTIAL_SINGLEFAMILY_GAL]:[OTHER_GAL]])</f>
        <v>149895093.63016</v>
      </c>
      <c r="W5293">
        <f>SUM(POTABLE_NONPOTABLE_API[[#This Row],[NONPOTABLE_DEMAND_RESIDENTIAL_RECYCLED_WATER_GAL]:[NONPOTABLE_DEMAND_NONRESIDENTIAL_METERED_IRRIGATION_GAL]])</f>
        <v>26066619.992000002</v>
      </c>
      <c r="X5293" t="str">
        <f>IFERROR(INDEX(Crosswalk_API!$H$2:$H$527, MATCH(POTABLE_NONPOTABLE_API[[#This Row],[PWSID]], CW_PWSID_LIST, 0)), "")</f>
        <v>No</v>
      </c>
    </row>
    <row r="5294" spans="1:24" x14ac:dyDescent="0.25">
      <c r="A5294" t="s">
        <v>2289</v>
      </c>
      <c r="B5294" t="s">
        <v>2290</v>
      </c>
      <c r="C5294" t="s">
        <v>2291</v>
      </c>
      <c r="D5294" t="s">
        <v>2292</v>
      </c>
      <c r="E5294" s="9">
        <v>45108</v>
      </c>
      <c r="F5294" s="9">
        <v>45138</v>
      </c>
      <c r="G5294">
        <v>144850000</v>
      </c>
      <c r="H5294">
        <v>9680000</v>
      </c>
      <c r="I5294">
        <v>26700000</v>
      </c>
      <c r="J5294">
        <v>2110000</v>
      </c>
      <c r="K5294">
        <v>30000</v>
      </c>
      <c r="L5294">
        <v>253840.99999999997</v>
      </c>
      <c r="M5294">
        <v>13740000</v>
      </c>
      <c r="N5294">
        <v>0</v>
      </c>
      <c r="O5294">
        <v>0</v>
      </c>
      <c r="P5294">
        <v>0</v>
      </c>
      <c r="Q5294">
        <v>0</v>
      </c>
      <c r="R5294">
        <v>0</v>
      </c>
      <c r="S5294">
        <v>0</v>
      </c>
      <c r="T5294" s="9">
        <v>45108</v>
      </c>
      <c r="U5294" s="9">
        <v>45473</v>
      </c>
      <c r="V5294">
        <f>SUM(POTABLE_NONPOTABLE_API[[#This Row],[RESIDENTIAL_SINGLEFAMILY_GAL]:[OTHER_GAL]])</f>
        <v>183623841</v>
      </c>
      <c r="W5294">
        <f>SUM(POTABLE_NONPOTABLE_API[[#This Row],[NONPOTABLE_DEMAND_RESIDENTIAL_RECYCLED_WATER_GAL]:[NONPOTABLE_DEMAND_NONRESIDENTIAL_METERED_IRRIGATION_GAL]])</f>
        <v>0</v>
      </c>
      <c r="X5294" t="str">
        <f>IFERROR(INDEX(Crosswalk_API!$H$2:$H$527, MATCH(POTABLE_NONPOTABLE_API[[#This Row],[PWSID]], CW_PWSID_LIST, 0)), "")</f>
        <v>No</v>
      </c>
    </row>
    <row r="5295" spans="1:24" x14ac:dyDescent="0.25">
      <c r="A5295" t="s">
        <v>2289</v>
      </c>
      <c r="B5295" t="s">
        <v>2290</v>
      </c>
      <c r="C5295" t="s">
        <v>2291</v>
      </c>
      <c r="D5295" t="s">
        <v>2292</v>
      </c>
      <c r="E5295" s="9">
        <v>45139</v>
      </c>
      <c r="F5295" s="9">
        <v>45169</v>
      </c>
      <c r="G5295">
        <v>173400000</v>
      </c>
      <c r="H5295">
        <v>11920000</v>
      </c>
      <c r="I5295">
        <v>32990000.000000004</v>
      </c>
      <c r="J5295">
        <v>2560000</v>
      </c>
      <c r="K5295">
        <v>50000</v>
      </c>
      <c r="L5295">
        <v>142000</v>
      </c>
      <c r="M5295">
        <v>18500000</v>
      </c>
      <c r="N5295">
        <v>0</v>
      </c>
      <c r="O5295">
        <v>0</v>
      </c>
      <c r="P5295">
        <v>0</v>
      </c>
      <c r="Q5295">
        <v>0</v>
      </c>
      <c r="R5295">
        <v>0</v>
      </c>
      <c r="S5295">
        <v>0</v>
      </c>
      <c r="T5295" s="9">
        <v>45108</v>
      </c>
      <c r="U5295" s="9">
        <v>45473</v>
      </c>
      <c r="V5295">
        <f>SUM(POTABLE_NONPOTABLE_API[[#This Row],[RESIDENTIAL_SINGLEFAMILY_GAL]:[OTHER_GAL]])</f>
        <v>221062000</v>
      </c>
      <c r="W5295">
        <f>SUM(POTABLE_NONPOTABLE_API[[#This Row],[NONPOTABLE_DEMAND_RESIDENTIAL_RECYCLED_WATER_GAL]:[NONPOTABLE_DEMAND_NONRESIDENTIAL_METERED_IRRIGATION_GAL]])</f>
        <v>0</v>
      </c>
      <c r="X5295" t="str">
        <f>IFERROR(INDEX(Crosswalk_API!$H$2:$H$527, MATCH(POTABLE_NONPOTABLE_API[[#This Row],[PWSID]], CW_PWSID_LIST, 0)), "")</f>
        <v>No</v>
      </c>
    </row>
    <row r="5296" spans="1:24" x14ac:dyDescent="0.25">
      <c r="A5296" t="s">
        <v>2289</v>
      </c>
      <c r="B5296" t="s">
        <v>2290</v>
      </c>
      <c r="C5296" t="s">
        <v>2291</v>
      </c>
      <c r="D5296" t="s">
        <v>2292</v>
      </c>
      <c r="E5296" s="9">
        <v>45170</v>
      </c>
      <c r="F5296" s="9">
        <v>45199</v>
      </c>
      <c r="G5296">
        <v>153790000</v>
      </c>
      <c r="H5296">
        <v>12100000</v>
      </c>
      <c r="I5296">
        <v>29360000</v>
      </c>
      <c r="J5296">
        <v>2020000</v>
      </c>
      <c r="K5296">
        <v>40000</v>
      </c>
      <c r="L5296">
        <v>332236</v>
      </c>
      <c r="M5296">
        <v>15390000</v>
      </c>
      <c r="N5296">
        <v>0</v>
      </c>
      <c r="O5296">
        <v>0</v>
      </c>
      <c r="P5296">
        <v>0</v>
      </c>
      <c r="Q5296">
        <v>0</v>
      </c>
      <c r="R5296">
        <v>0</v>
      </c>
      <c r="S5296">
        <v>0</v>
      </c>
      <c r="T5296" s="9">
        <v>45108</v>
      </c>
      <c r="U5296" s="9">
        <v>45473</v>
      </c>
      <c r="V5296">
        <f>SUM(POTABLE_NONPOTABLE_API[[#This Row],[RESIDENTIAL_SINGLEFAMILY_GAL]:[OTHER_GAL]])</f>
        <v>197642236</v>
      </c>
      <c r="W5296">
        <f>SUM(POTABLE_NONPOTABLE_API[[#This Row],[NONPOTABLE_DEMAND_RESIDENTIAL_RECYCLED_WATER_GAL]:[NONPOTABLE_DEMAND_NONRESIDENTIAL_METERED_IRRIGATION_GAL]])</f>
        <v>0</v>
      </c>
      <c r="X5296" t="str">
        <f>IFERROR(INDEX(Crosswalk_API!$H$2:$H$527, MATCH(POTABLE_NONPOTABLE_API[[#This Row],[PWSID]], CW_PWSID_LIST, 0)), "")</f>
        <v>No</v>
      </c>
    </row>
    <row r="5297" spans="1:24" x14ac:dyDescent="0.25">
      <c r="A5297" t="s">
        <v>2289</v>
      </c>
      <c r="B5297" t="s">
        <v>2290</v>
      </c>
      <c r="C5297" t="s">
        <v>2291</v>
      </c>
      <c r="D5297" t="s">
        <v>2292</v>
      </c>
      <c r="E5297" s="9">
        <v>45200</v>
      </c>
      <c r="F5297" s="9">
        <v>45230</v>
      </c>
      <c r="G5297">
        <v>110860000</v>
      </c>
      <c r="H5297">
        <v>8189999.9999999991</v>
      </c>
      <c r="I5297">
        <v>21230000</v>
      </c>
      <c r="J5297">
        <v>1570000</v>
      </c>
      <c r="K5297">
        <v>20000</v>
      </c>
      <c r="L5297">
        <v>112210</v>
      </c>
      <c r="M5297">
        <v>11170000</v>
      </c>
      <c r="N5297">
        <v>0</v>
      </c>
      <c r="O5297">
        <v>0</v>
      </c>
      <c r="P5297">
        <v>0</v>
      </c>
      <c r="Q5297">
        <v>0</v>
      </c>
      <c r="R5297">
        <v>0</v>
      </c>
      <c r="S5297">
        <v>0</v>
      </c>
      <c r="T5297" s="9">
        <v>45108</v>
      </c>
      <c r="U5297" s="9">
        <v>45473</v>
      </c>
      <c r="V5297">
        <f>SUM(POTABLE_NONPOTABLE_API[[#This Row],[RESIDENTIAL_SINGLEFAMILY_GAL]:[OTHER_GAL]])</f>
        <v>141982210</v>
      </c>
      <c r="W5297">
        <f>SUM(POTABLE_NONPOTABLE_API[[#This Row],[NONPOTABLE_DEMAND_RESIDENTIAL_RECYCLED_WATER_GAL]:[NONPOTABLE_DEMAND_NONRESIDENTIAL_METERED_IRRIGATION_GAL]])</f>
        <v>0</v>
      </c>
      <c r="X5297" t="str">
        <f>IFERROR(INDEX(Crosswalk_API!$H$2:$H$527, MATCH(POTABLE_NONPOTABLE_API[[#This Row],[PWSID]], CW_PWSID_LIST, 0)), "")</f>
        <v>No</v>
      </c>
    </row>
    <row r="5298" spans="1:24" x14ac:dyDescent="0.25">
      <c r="A5298" t="s">
        <v>2289</v>
      </c>
      <c r="B5298" t="s">
        <v>2290</v>
      </c>
      <c r="C5298" t="s">
        <v>2291</v>
      </c>
      <c r="D5298" t="s">
        <v>2292</v>
      </c>
      <c r="E5298" s="9">
        <v>45231</v>
      </c>
      <c r="F5298" s="9">
        <v>45260</v>
      </c>
      <c r="G5298">
        <v>79570000</v>
      </c>
      <c r="H5298">
        <v>6920000</v>
      </c>
      <c r="I5298">
        <v>15520000</v>
      </c>
      <c r="J5298">
        <v>750000</v>
      </c>
      <c r="K5298">
        <v>10000</v>
      </c>
      <c r="L5298">
        <v>40000</v>
      </c>
      <c r="M5298">
        <v>7270000</v>
      </c>
      <c r="N5298">
        <v>0</v>
      </c>
      <c r="O5298">
        <v>0</v>
      </c>
      <c r="P5298">
        <v>0</v>
      </c>
      <c r="Q5298">
        <v>0</v>
      </c>
      <c r="R5298">
        <v>0</v>
      </c>
      <c r="S5298">
        <v>0</v>
      </c>
      <c r="T5298" s="9">
        <v>45108</v>
      </c>
      <c r="U5298" s="9">
        <v>45473</v>
      </c>
      <c r="V5298">
        <f>SUM(POTABLE_NONPOTABLE_API[[#This Row],[RESIDENTIAL_SINGLEFAMILY_GAL]:[OTHER_GAL]])</f>
        <v>102810000</v>
      </c>
      <c r="W5298">
        <f>SUM(POTABLE_NONPOTABLE_API[[#This Row],[NONPOTABLE_DEMAND_RESIDENTIAL_RECYCLED_WATER_GAL]:[NONPOTABLE_DEMAND_NONRESIDENTIAL_METERED_IRRIGATION_GAL]])</f>
        <v>0</v>
      </c>
      <c r="X5298" t="str">
        <f>IFERROR(INDEX(Crosswalk_API!$H$2:$H$527, MATCH(POTABLE_NONPOTABLE_API[[#This Row],[PWSID]], CW_PWSID_LIST, 0)), "")</f>
        <v>No</v>
      </c>
    </row>
    <row r="5299" spans="1:24" x14ac:dyDescent="0.25">
      <c r="A5299" t="s">
        <v>2289</v>
      </c>
      <c r="B5299" t="s">
        <v>2290</v>
      </c>
      <c r="C5299" t="s">
        <v>2291</v>
      </c>
      <c r="D5299" t="s">
        <v>2292</v>
      </c>
      <c r="E5299" s="9">
        <v>45261</v>
      </c>
      <c r="F5299" s="9">
        <v>45291</v>
      </c>
      <c r="G5299">
        <v>60700000</v>
      </c>
      <c r="H5299">
        <v>5810000</v>
      </c>
      <c r="I5299">
        <v>11140000</v>
      </c>
      <c r="J5299">
        <v>250000</v>
      </c>
      <c r="K5299">
        <v>10000</v>
      </c>
      <c r="L5299">
        <v>241517</v>
      </c>
      <c r="M5299">
        <v>3470000</v>
      </c>
      <c r="N5299">
        <v>0</v>
      </c>
      <c r="O5299">
        <v>0</v>
      </c>
      <c r="P5299">
        <v>0</v>
      </c>
      <c r="Q5299">
        <v>0</v>
      </c>
      <c r="R5299">
        <v>0</v>
      </c>
      <c r="S5299">
        <v>0</v>
      </c>
      <c r="T5299" s="9">
        <v>45108</v>
      </c>
      <c r="U5299" s="9">
        <v>45473</v>
      </c>
      <c r="V5299">
        <f>SUM(POTABLE_NONPOTABLE_API[[#This Row],[RESIDENTIAL_SINGLEFAMILY_GAL]:[OTHER_GAL]])</f>
        <v>78151517</v>
      </c>
      <c r="W5299">
        <f>SUM(POTABLE_NONPOTABLE_API[[#This Row],[NONPOTABLE_DEMAND_RESIDENTIAL_RECYCLED_WATER_GAL]:[NONPOTABLE_DEMAND_NONRESIDENTIAL_METERED_IRRIGATION_GAL]])</f>
        <v>0</v>
      </c>
      <c r="X5299" t="str">
        <f>IFERROR(INDEX(Crosswalk_API!$H$2:$H$527, MATCH(POTABLE_NONPOTABLE_API[[#This Row],[PWSID]], CW_PWSID_LIST, 0)), "")</f>
        <v>No</v>
      </c>
    </row>
    <row r="5300" spans="1:24" x14ac:dyDescent="0.25">
      <c r="A5300" t="s">
        <v>2289</v>
      </c>
      <c r="B5300" t="s">
        <v>2290</v>
      </c>
      <c r="C5300" t="s">
        <v>2291</v>
      </c>
      <c r="D5300" t="s">
        <v>2292</v>
      </c>
      <c r="E5300" s="9">
        <v>45292</v>
      </c>
      <c r="F5300" s="9">
        <v>45322</v>
      </c>
      <c r="G5300">
        <v>52850000</v>
      </c>
      <c r="H5300">
        <v>5780000</v>
      </c>
      <c r="I5300">
        <v>9910000</v>
      </c>
      <c r="J5300">
        <v>150000</v>
      </c>
      <c r="K5300">
        <v>10000</v>
      </c>
      <c r="L5300">
        <v>300000</v>
      </c>
      <c r="M5300">
        <v>1810000</v>
      </c>
      <c r="N5300">
        <v>0</v>
      </c>
      <c r="O5300">
        <v>0</v>
      </c>
      <c r="P5300">
        <v>0</v>
      </c>
      <c r="Q5300">
        <v>0</v>
      </c>
      <c r="R5300">
        <v>0</v>
      </c>
      <c r="S5300">
        <v>0</v>
      </c>
      <c r="T5300" s="9">
        <v>45108</v>
      </c>
      <c r="U5300" s="9">
        <v>45473</v>
      </c>
      <c r="V5300">
        <f>SUM(POTABLE_NONPOTABLE_API[[#This Row],[RESIDENTIAL_SINGLEFAMILY_GAL]:[OTHER_GAL]])</f>
        <v>69000000</v>
      </c>
      <c r="W5300">
        <f>SUM(POTABLE_NONPOTABLE_API[[#This Row],[NONPOTABLE_DEMAND_RESIDENTIAL_RECYCLED_WATER_GAL]:[NONPOTABLE_DEMAND_NONRESIDENTIAL_METERED_IRRIGATION_GAL]])</f>
        <v>0</v>
      </c>
      <c r="X5300" t="str">
        <f>IFERROR(INDEX(Crosswalk_API!$H$2:$H$527, MATCH(POTABLE_NONPOTABLE_API[[#This Row],[PWSID]], CW_PWSID_LIST, 0)), "")</f>
        <v>No</v>
      </c>
    </row>
    <row r="5301" spans="1:24" x14ac:dyDescent="0.25">
      <c r="A5301" t="s">
        <v>2289</v>
      </c>
      <c r="B5301" t="s">
        <v>2290</v>
      </c>
      <c r="C5301" t="s">
        <v>2291</v>
      </c>
      <c r="D5301" t="s">
        <v>2292</v>
      </c>
      <c r="E5301" s="9">
        <v>45323</v>
      </c>
      <c r="F5301" s="9">
        <v>45351</v>
      </c>
      <c r="G5301">
        <v>41420000</v>
      </c>
      <c r="H5301">
        <v>5530000</v>
      </c>
      <c r="I5301">
        <v>8780000</v>
      </c>
      <c r="J5301">
        <v>20000</v>
      </c>
      <c r="K5301">
        <v>10000</v>
      </c>
      <c r="L5301">
        <v>40000</v>
      </c>
      <c r="M5301">
        <v>1240000</v>
      </c>
      <c r="N5301">
        <v>0</v>
      </c>
      <c r="O5301">
        <v>0</v>
      </c>
      <c r="P5301">
        <v>0</v>
      </c>
      <c r="Q5301">
        <v>0</v>
      </c>
      <c r="R5301">
        <v>0</v>
      </c>
      <c r="S5301">
        <v>0</v>
      </c>
      <c r="T5301" s="9">
        <v>45108</v>
      </c>
      <c r="U5301" s="9">
        <v>45473</v>
      </c>
      <c r="V5301">
        <f>SUM(POTABLE_NONPOTABLE_API[[#This Row],[RESIDENTIAL_SINGLEFAMILY_GAL]:[OTHER_GAL]])</f>
        <v>55800000</v>
      </c>
      <c r="W5301">
        <f>SUM(POTABLE_NONPOTABLE_API[[#This Row],[NONPOTABLE_DEMAND_RESIDENTIAL_RECYCLED_WATER_GAL]:[NONPOTABLE_DEMAND_NONRESIDENTIAL_METERED_IRRIGATION_GAL]])</f>
        <v>0</v>
      </c>
      <c r="X5301" t="str">
        <f>IFERROR(INDEX(Crosswalk_API!$H$2:$H$527, MATCH(POTABLE_NONPOTABLE_API[[#This Row],[PWSID]], CW_PWSID_LIST, 0)), "")</f>
        <v>No</v>
      </c>
    </row>
    <row r="5302" spans="1:24" x14ac:dyDescent="0.25">
      <c r="A5302" t="s">
        <v>2289</v>
      </c>
      <c r="B5302" t="s">
        <v>2290</v>
      </c>
      <c r="C5302" t="s">
        <v>2291</v>
      </c>
      <c r="D5302" t="s">
        <v>2292</v>
      </c>
      <c r="E5302" s="9">
        <v>45352</v>
      </c>
      <c r="F5302" s="9">
        <v>45382</v>
      </c>
      <c r="G5302">
        <v>40160000</v>
      </c>
      <c r="H5302">
        <v>5480000</v>
      </c>
      <c r="I5302">
        <v>9850000</v>
      </c>
      <c r="J5302">
        <v>60000</v>
      </c>
      <c r="K5302">
        <v>10000</v>
      </c>
      <c r="L5302">
        <v>200000</v>
      </c>
      <c r="M5302">
        <v>1550000</v>
      </c>
      <c r="N5302">
        <v>0</v>
      </c>
      <c r="O5302">
        <v>0</v>
      </c>
      <c r="P5302">
        <v>0</v>
      </c>
      <c r="Q5302">
        <v>0</v>
      </c>
      <c r="R5302">
        <v>0</v>
      </c>
      <c r="S5302">
        <v>0</v>
      </c>
      <c r="T5302" s="9">
        <v>45108</v>
      </c>
      <c r="U5302" s="9">
        <v>45473</v>
      </c>
      <c r="V5302">
        <f>SUM(POTABLE_NONPOTABLE_API[[#This Row],[RESIDENTIAL_SINGLEFAMILY_GAL]:[OTHER_GAL]])</f>
        <v>55760000</v>
      </c>
      <c r="W5302">
        <f>SUM(POTABLE_NONPOTABLE_API[[#This Row],[NONPOTABLE_DEMAND_RESIDENTIAL_RECYCLED_WATER_GAL]:[NONPOTABLE_DEMAND_NONRESIDENTIAL_METERED_IRRIGATION_GAL]])</f>
        <v>0</v>
      </c>
      <c r="X5302" t="str">
        <f>IFERROR(INDEX(Crosswalk_API!$H$2:$H$527, MATCH(POTABLE_NONPOTABLE_API[[#This Row],[PWSID]], CW_PWSID_LIST, 0)), "")</f>
        <v>No</v>
      </c>
    </row>
    <row r="5303" spans="1:24" x14ac:dyDescent="0.25">
      <c r="A5303" t="s">
        <v>2289</v>
      </c>
      <c r="B5303" t="s">
        <v>2290</v>
      </c>
      <c r="C5303" t="s">
        <v>2291</v>
      </c>
      <c r="D5303" t="s">
        <v>2292</v>
      </c>
      <c r="E5303" s="9">
        <v>45383</v>
      </c>
      <c r="F5303" s="9">
        <v>45412</v>
      </c>
      <c r="G5303">
        <v>43540000</v>
      </c>
      <c r="H5303">
        <v>5970000</v>
      </c>
      <c r="I5303">
        <v>9490000</v>
      </c>
      <c r="J5303">
        <v>140000</v>
      </c>
      <c r="K5303">
        <v>10000</v>
      </c>
      <c r="L5303">
        <v>100000</v>
      </c>
      <c r="M5303">
        <v>2230000</v>
      </c>
      <c r="N5303">
        <v>0</v>
      </c>
      <c r="O5303">
        <v>0</v>
      </c>
      <c r="P5303">
        <v>0</v>
      </c>
      <c r="Q5303">
        <v>0</v>
      </c>
      <c r="R5303">
        <v>0</v>
      </c>
      <c r="S5303">
        <v>0</v>
      </c>
      <c r="T5303" s="9">
        <v>45108</v>
      </c>
      <c r="U5303" s="9">
        <v>45473</v>
      </c>
      <c r="V5303">
        <f>SUM(POTABLE_NONPOTABLE_API[[#This Row],[RESIDENTIAL_SINGLEFAMILY_GAL]:[OTHER_GAL]])</f>
        <v>59250000</v>
      </c>
      <c r="W5303">
        <f>SUM(POTABLE_NONPOTABLE_API[[#This Row],[NONPOTABLE_DEMAND_RESIDENTIAL_RECYCLED_WATER_GAL]:[NONPOTABLE_DEMAND_NONRESIDENTIAL_METERED_IRRIGATION_GAL]])</f>
        <v>0</v>
      </c>
      <c r="X5303" t="str">
        <f>IFERROR(INDEX(Crosswalk_API!$H$2:$H$527, MATCH(POTABLE_NONPOTABLE_API[[#This Row],[PWSID]], CW_PWSID_LIST, 0)), "")</f>
        <v>No</v>
      </c>
    </row>
    <row r="5304" spans="1:24" x14ac:dyDescent="0.25">
      <c r="A5304" t="s">
        <v>2289</v>
      </c>
      <c r="B5304" t="s">
        <v>2290</v>
      </c>
      <c r="C5304" t="s">
        <v>2291</v>
      </c>
      <c r="D5304" t="s">
        <v>2292</v>
      </c>
      <c r="E5304" s="9">
        <v>45413</v>
      </c>
      <c r="F5304" s="9">
        <v>45443</v>
      </c>
      <c r="G5304">
        <v>74320000</v>
      </c>
      <c r="H5304">
        <v>6800000</v>
      </c>
      <c r="I5304">
        <v>14090000</v>
      </c>
      <c r="J5304">
        <v>360000</v>
      </c>
      <c r="K5304">
        <v>20000</v>
      </c>
      <c r="L5304">
        <v>80000</v>
      </c>
      <c r="M5304">
        <v>7130000</v>
      </c>
      <c r="N5304">
        <v>0</v>
      </c>
      <c r="O5304">
        <v>0</v>
      </c>
      <c r="P5304">
        <v>0</v>
      </c>
      <c r="Q5304">
        <v>0</v>
      </c>
      <c r="R5304">
        <v>0</v>
      </c>
      <c r="S5304">
        <v>0</v>
      </c>
      <c r="T5304" s="9">
        <v>45108</v>
      </c>
      <c r="U5304" s="9">
        <v>45473</v>
      </c>
      <c r="V5304">
        <f>SUM(POTABLE_NONPOTABLE_API[[#This Row],[RESIDENTIAL_SINGLEFAMILY_GAL]:[OTHER_GAL]])</f>
        <v>95670000</v>
      </c>
      <c r="W5304">
        <f>SUM(POTABLE_NONPOTABLE_API[[#This Row],[NONPOTABLE_DEMAND_RESIDENTIAL_RECYCLED_WATER_GAL]:[NONPOTABLE_DEMAND_NONRESIDENTIAL_METERED_IRRIGATION_GAL]])</f>
        <v>0</v>
      </c>
      <c r="X5304" t="str">
        <f>IFERROR(INDEX(Crosswalk_API!$H$2:$H$527, MATCH(POTABLE_NONPOTABLE_API[[#This Row],[PWSID]], CW_PWSID_LIST, 0)), "")</f>
        <v>No</v>
      </c>
    </row>
    <row r="5305" spans="1:24" x14ac:dyDescent="0.25">
      <c r="A5305" t="s">
        <v>2289</v>
      </c>
      <c r="B5305" t="s">
        <v>2290</v>
      </c>
      <c r="C5305" t="s">
        <v>2291</v>
      </c>
      <c r="D5305" t="s">
        <v>2292</v>
      </c>
      <c r="E5305" s="9">
        <v>45444</v>
      </c>
      <c r="F5305" s="9">
        <v>45473</v>
      </c>
      <c r="G5305">
        <v>139070000</v>
      </c>
      <c r="H5305">
        <v>10030000</v>
      </c>
      <c r="I5305">
        <v>25940000</v>
      </c>
      <c r="J5305">
        <v>1450000</v>
      </c>
      <c r="K5305">
        <v>30000</v>
      </c>
      <c r="L5305">
        <v>550000</v>
      </c>
      <c r="M5305">
        <v>13760000</v>
      </c>
      <c r="N5305">
        <v>0</v>
      </c>
      <c r="O5305">
        <v>0</v>
      </c>
      <c r="P5305">
        <v>0</v>
      </c>
      <c r="Q5305">
        <v>0</v>
      </c>
      <c r="R5305">
        <v>0</v>
      </c>
      <c r="S5305">
        <v>0</v>
      </c>
      <c r="T5305" s="9">
        <v>45108</v>
      </c>
      <c r="U5305" s="9">
        <v>45473</v>
      </c>
      <c r="V5305">
        <f>SUM(POTABLE_NONPOTABLE_API[[#This Row],[RESIDENTIAL_SINGLEFAMILY_GAL]:[OTHER_GAL]])</f>
        <v>177070000</v>
      </c>
      <c r="W5305">
        <f>SUM(POTABLE_NONPOTABLE_API[[#This Row],[NONPOTABLE_DEMAND_RESIDENTIAL_RECYCLED_WATER_GAL]:[NONPOTABLE_DEMAND_NONRESIDENTIAL_METERED_IRRIGATION_GAL]])</f>
        <v>0</v>
      </c>
      <c r="X5305" t="str">
        <f>IFERROR(INDEX(Crosswalk_API!$H$2:$H$527, MATCH(POTABLE_NONPOTABLE_API[[#This Row],[PWSID]], CW_PWSID_LIST, 0)), "")</f>
        <v>No</v>
      </c>
    </row>
    <row r="5306" spans="1:24" x14ac:dyDescent="0.25">
      <c r="A5306" t="s">
        <v>2289</v>
      </c>
      <c r="B5306" t="s">
        <v>2290</v>
      </c>
      <c r="C5306" t="s">
        <v>2293</v>
      </c>
      <c r="D5306" t="s">
        <v>2294</v>
      </c>
      <c r="E5306" s="9">
        <v>45108</v>
      </c>
      <c r="F5306" s="9">
        <v>45138</v>
      </c>
      <c r="G5306">
        <v>990000</v>
      </c>
      <c r="H5306">
        <v>0</v>
      </c>
      <c r="I5306">
        <v>230000</v>
      </c>
      <c r="J5306">
        <v>0</v>
      </c>
      <c r="K5306">
        <v>0</v>
      </c>
      <c r="L5306">
        <v>20000</v>
      </c>
      <c r="M5306">
        <v>0</v>
      </c>
      <c r="N5306">
        <v>0</v>
      </c>
      <c r="O5306">
        <v>0</v>
      </c>
      <c r="P5306">
        <v>1466319</v>
      </c>
      <c r="Q5306">
        <v>0</v>
      </c>
      <c r="R5306">
        <v>0</v>
      </c>
      <c r="S5306">
        <v>604638</v>
      </c>
      <c r="T5306" s="9">
        <v>45108</v>
      </c>
      <c r="U5306" s="9">
        <v>45473</v>
      </c>
      <c r="V5306">
        <f>SUM(POTABLE_NONPOTABLE_API[[#This Row],[RESIDENTIAL_SINGLEFAMILY_GAL]:[OTHER_GAL]])</f>
        <v>1240000</v>
      </c>
      <c r="W5306">
        <f>SUM(POTABLE_NONPOTABLE_API[[#This Row],[NONPOTABLE_DEMAND_RESIDENTIAL_RECYCLED_WATER_GAL]:[NONPOTABLE_DEMAND_NONRESIDENTIAL_METERED_IRRIGATION_GAL]])</f>
        <v>2070957</v>
      </c>
      <c r="X5306" t="str">
        <f>IFERROR(INDEX(Crosswalk_API!$H$2:$H$527, MATCH(POTABLE_NONPOTABLE_API[[#This Row],[PWSID]], CW_PWSID_LIST, 0)), "")</f>
        <v>No</v>
      </c>
    </row>
    <row r="5307" spans="1:24" x14ac:dyDescent="0.25">
      <c r="A5307" t="s">
        <v>2289</v>
      </c>
      <c r="B5307" t="s">
        <v>2290</v>
      </c>
      <c r="C5307" t="s">
        <v>2293</v>
      </c>
      <c r="D5307" t="s">
        <v>2294</v>
      </c>
      <c r="E5307" s="9">
        <v>45139</v>
      </c>
      <c r="F5307" s="9">
        <v>45169</v>
      </c>
      <c r="G5307">
        <v>1160000</v>
      </c>
      <c r="H5307">
        <v>0</v>
      </c>
      <c r="I5307">
        <v>150000</v>
      </c>
      <c r="J5307">
        <v>0</v>
      </c>
      <c r="K5307">
        <v>0</v>
      </c>
      <c r="L5307">
        <v>20000</v>
      </c>
      <c r="M5307">
        <v>0</v>
      </c>
      <c r="N5307">
        <v>0</v>
      </c>
      <c r="O5307">
        <v>0</v>
      </c>
      <c r="P5307">
        <v>1805238</v>
      </c>
      <c r="Q5307">
        <v>0</v>
      </c>
      <c r="R5307">
        <v>0</v>
      </c>
      <c r="S5307">
        <v>577449</v>
      </c>
      <c r="T5307" s="9">
        <v>45108</v>
      </c>
      <c r="U5307" s="9">
        <v>45473</v>
      </c>
      <c r="V5307">
        <f>SUM(POTABLE_NONPOTABLE_API[[#This Row],[RESIDENTIAL_SINGLEFAMILY_GAL]:[OTHER_GAL]])</f>
        <v>1330000</v>
      </c>
      <c r="W5307">
        <f>SUM(POTABLE_NONPOTABLE_API[[#This Row],[NONPOTABLE_DEMAND_RESIDENTIAL_RECYCLED_WATER_GAL]:[NONPOTABLE_DEMAND_NONRESIDENTIAL_METERED_IRRIGATION_GAL]])</f>
        <v>2382687</v>
      </c>
      <c r="X5307" t="str">
        <f>IFERROR(INDEX(Crosswalk_API!$H$2:$H$527, MATCH(POTABLE_NONPOTABLE_API[[#This Row],[PWSID]], CW_PWSID_LIST, 0)), "")</f>
        <v>No</v>
      </c>
    </row>
    <row r="5308" spans="1:24" x14ac:dyDescent="0.25">
      <c r="A5308" t="s">
        <v>2289</v>
      </c>
      <c r="B5308" t="s">
        <v>2290</v>
      </c>
      <c r="C5308" t="s">
        <v>2293</v>
      </c>
      <c r="D5308" t="s">
        <v>2294</v>
      </c>
      <c r="E5308" s="9">
        <v>45170</v>
      </c>
      <c r="F5308" s="9">
        <v>45199</v>
      </c>
      <c r="G5308">
        <v>930000</v>
      </c>
      <c r="H5308">
        <v>0</v>
      </c>
      <c r="I5308">
        <v>140000</v>
      </c>
      <c r="J5308">
        <v>0</v>
      </c>
      <c r="K5308">
        <v>0</v>
      </c>
      <c r="L5308">
        <v>20000</v>
      </c>
      <c r="M5308">
        <v>0</v>
      </c>
      <c r="N5308">
        <v>0</v>
      </c>
      <c r="O5308">
        <v>0</v>
      </c>
      <c r="P5308">
        <v>1528122</v>
      </c>
      <c r="Q5308">
        <v>0</v>
      </c>
      <c r="R5308">
        <v>876340</v>
      </c>
      <c r="S5308">
        <v>0</v>
      </c>
      <c r="T5308" s="9">
        <v>45108</v>
      </c>
      <c r="U5308" s="9">
        <v>45473</v>
      </c>
      <c r="V5308">
        <f>SUM(POTABLE_NONPOTABLE_API[[#This Row],[RESIDENTIAL_SINGLEFAMILY_GAL]:[OTHER_GAL]])</f>
        <v>1090000</v>
      </c>
      <c r="W5308">
        <f>SUM(POTABLE_NONPOTABLE_API[[#This Row],[NONPOTABLE_DEMAND_RESIDENTIAL_RECYCLED_WATER_GAL]:[NONPOTABLE_DEMAND_NONRESIDENTIAL_METERED_IRRIGATION_GAL]])</f>
        <v>2404462</v>
      </c>
      <c r="X5308" t="str">
        <f>IFERROR(INDEX(Crosswalk_API!$H$2:$H$527, MATCH(POTABLE_NONPOTABLE_API[[#This Row],[PWSID]], CW_PWSID_LIST, 0)), "")</f>
        <v>No</v>
      </c>
    </row>
    <row r="5309" spans="1:24" x14ac:dyDescent="0.25">
      <c r="A5309" t="s">
        <v>2289</v>
      </c>
      <c r="B5309" t="s">
        <v>2290</v>
      </c>
      <c r="C5309" t="s">
        <v>2293</v>
      </c>
      <c r="D5309" t="s">
        <v>2294</v>
      </c>
      <c r="E5309" s="9">
        <v>45200</v>
      </c>
      <c r="F5309" s="9">
        <v>45230</v>
      </c>
      <c r="G5309">
        <v>750000</v>
      </c>
      <c r="H5309">
        <v>0</v>
      </c>
      <c r="I5309">
        <v>120000</v>
      </c>
      <c r="J5309">
        <v>0</v>
      </c>
      <c r="K5309">
        <v>0</v>
      </c>
      <c r="L5309">
        <v>51950</v>
      </c>
      <c r="M5309">
        <v>0</v>
      </c>
      <c r="N5309">
        <v>0</v>
      </c>
      <c r="O5309">
        <v>0</v>
      </c>
      <c r="P5309">
        <v>861440</v>
      </c>
      <c r="Q5309">
        <v>0</v>
      </c>
      <c r="R5309">
        <v>445730</v>
      </c>
      <c r="S5309">
        <v>0</v>
      </c>
      <c r="T5309" s="9">
        <v>45108</v>
      </c>
      <c r="U5309" s="9">
        <v>45473</v>
      </c>
      <c r="V5309">
        <f>SUM(POTABLE_NONPOTABLE_API[[#This Row],[RESIDENTIAL_SINGLEFAMILY_GAL]:[OTHER_GAL]])</f>
        <v>921950</v>
      </c>
      <c r="W5309">
        <f>SUM(POTABLE_NONPOTABLE_API[[#This Row],[NONPOTABLE_DEMAND_RESIDENTIAL_RECYCLED_WATER_GAL]:[NONPOTABLE_DEMAND_NONRESIDENTIAL_METERED_IRRIGATION_GAL]])</f>
        <v>1307170</v>
      </c>
      <c r="X5309" t="str">
        <f>IFERROR(INDEX(Crosswalk_API!$H$2:$H$527, MATCH(POTABLE_NONPOTABLE_API[[#This Row],[PWSID]], CW_PWSID_LIST, 0)), "")</f>
        <v>No</v>
      </c>
    </row>
    <row r="5310" spans="1:24" x14ac:dyDescent="0.25">
      <c r="A5310" t="s">
        <v>2289</v>
      </c>
      <c r="B5310" t="s">
        <v>2290</v>
      </c>
      <c r="C5310" t="s">
        <v>2293</v>
      </c>
      <c r="D5310" t="s">
        <v>2294</v>
      </c>
      <c r="E5310" s="9">
        <v>45231</v>
      </c>
      <c r="F5310" s="9">
        <v>45260</v>
      </c>
      <c r="G5310">
        <v>490000</v>
      </c>
      <c r="H5310">
        <v>0</v>
      </c>
      <c r="I5310">
        <v>80000</v>
      </c>
      <c r="J5310">
        <v>0</v>
      </c>
      <c r="K5310">
        <v>0</v>
      </c>
      <c r="L5310">
        <v>10000</v>
      </c>
      <c r="M5310">
        <v>0</v>
      </c>
      <c r="N5310">
        <v>0</v>
      </c>
      <c r="O5310">
        <v>0</v>
      </c>
      <c r="P5310">
        <v>543934</v>
      </c>
      <c r="Q5310">
        <v>0</v>
      </c>
      <c r="R5310">
        <v>544266</v>
      </c>
      <c r="S5310">
        <v>0</v>
      </c>
      <c r="T5310" s="9">
        <v>45108</v>
      </c>
      <c r="U5310" s="9">
        <v>45473</v>
      </c>
      <c r="V5310">
        <f>SUM(POTABLE_NONPOTABLE_API[[#This Row],[RESIDENTIAL_SINGLEFAMILY_GAL]:[OTHER_GAL]])</f>
        <v>580000</v>
      </c>
      <c r="W5310">
        <f>SUM(POTABLE_NONPOTABLE_API[[#This Row],[NONPOTABLE_DEMAND_RESIDENTIAL_RECYCLED_WATER_GAL]:[NONPOTABLE_DEMAND_NONRESIDENTIAL_METERED_IRRIGATION_GAL]])</f>
        <v>1088200</v>
      </c>
      <c r="X5310" t="str">
        <f>IFERROR(INDEX(Crosswalk_API!$H$2:$H$527, MATCH(POTABLE_NONPOTABLE_API[[#This Row],[PWSID]], CW_PWSID_LIST, 0)), "")</f>
        <v>No</v>
      </c>
    </row>
    <row r="5311" spans="1:24" x14ac:dyDescent="0.25">
      <c r="A5311" t="s">
        <v>2289</v>
      </c>
      <c r="B5311" t="s">
        <v>2290</v>
      </c>
      <c r="C5311" t="s">
        <v>2293</v>
      </c>
      <c r="D5311" t="s">
        <v>2294</v>
      </c>
      <c r="E5311" s="9">
        <v>45261</v>
      </c>
      <c r="F5311" s="9">
        <v>45291</v>
      </c>
      <c r="G5311">
        <v>310000</v>
      </c>
      <c r="H5311">
        <v>0</v>
      </c>
      <c r="I5311">
        <v>70000</v>
      </c>
      <c r="J5311">
        <v>0</v>
      </c>
      <c r="K5311">
        <v>0</v>
      </c>
      <c r="L5311">
        <v>36410</v>
      </c>
      <c r="M5311">
        <v>0</v>
      </c>
      <c r="N5311">
        <v>0</v>
      </c>
      <c r="O5311">
        <v>0</v>
      </c>
      <c r="P5311">
        <v>471933</v>
      </c>
      <c r="Q5311">
        <v>0</v>
      </c>
      <c r="R5311">
        <v>103445</v>
      </c>
      <c r="S5311">
        <v>0</v>
      </c>
      <c r="T5311" s="9">
        <v>45108</v>
      </c>
      <c r="U5311" s="9">
        <v>45473</v>
      </c>
      <c r="V5311">
        <f>SUM(POTABLE_NONPOTABLE_API[[#This Row],[RESIDENTIAL_SINGLEFAMILY_GAL]:[OTHER_GAL]])</f>
        <v>416410</v>
      </c>
      <c r="W5311">
        <f>SUM(POTABLE_NONPOTABLE_API[[#This Row],[NONPOTABLE_DEMAND_RESIDENTIAL_RECYCLED_WATER_GAL]:[NONPOTABLE_DEMAND_NONRESIDENTIAL_METERED_IRRIGATION_GAL]])</f>
        <v>575378</v>
      </c>
      <c r="X5311" t="str">
        <f>IFERROR(INDEX(Crosswalk_API!$H$2:$H$527, MATCH(POTABLE_NONPOTABLE_API[[#This Row],[PWSID]], CW_PWSID_LIST, 0)), "")</f>
        <v>No</v>
      </c>
    </row>
    <row r="5312" spans="1:24" x14ac:dyDescent="0.25">
      <c r="A5312" t="s">
        <v>2289</v>
      </c>
      <c r="B5312" t="s">
        <v>2290</v>
      </c>
      <c r="C5312" t="s">
        <v>2293</v>
      </c>
      <c r="D5312" t="s">
        <v>2294</v>
      </c>
      <c r="E5312" s="9">
        <v>45292</v>
      </c>
      <c r="F5312" s="9">
        <v>45322</v>
      </c>
      <c r="G5312">
        <v>180000</v>
      </c>
      <c r="H5312">
        <v>0</v>
      </c>
      <c r="I5312">
        <v>60000</v>
      </c>
      <c r="J5312">
        <v>0</v>
      </c>
      <c r="K5312">
        <v>0</v>
      </c>
      <c r="L5312">
        <v>20000</v>
      </c>
      <c r="M5312">
        <v>0</v>
      </c>
      <c r="N5312">
        <v>0</v>
      </c>
      <c r="O5312">
        <v>0</v>
      </c>
      <c r="P5312">
        <v>254691.61</v>
      </c>
      <c r="Q5312">
        <v>0</v>
      </c>
      <c r="R5312">
        <v>0</v>
      </c>
      <c r="S5312">
        <v>40248.61</v>
      </c>
      <c r="T5312" s="9">
        <v>45108</v>
      </c>
      <c r="U5312" s="9">
        <v>45473</v>
      </c>
      <c r="V5312">
        <f>SUM(POTABLE_NONPOTABLE_API[[#This Row],[RESIDENTIAL_SINGLEFAMILY_GAL]:[OTHER_GAL]])</f>
        <v>260000</v>
      </c>
      <c r="W5312">
        <f>SUM(POTABLE_NONPOTABLE_API[[#This Row],[NONPOTABLE_DEMAND_RESIDENTIAL_RECYCLED_WATER_GAL]:[NONPOTABLE_DEMAND_NONRESIDENTIAL_METERED_IRRIGATION_GAL]])</f>
        <v>294940.21999999997</v>
      </c>
      <c r="X5312" t="str">
        <f>IFERROR(INDEX(Crosswalk_API!$H$2:$H$527, MATCH(POTABLE_NONPOTABLE_API[[#This Row],[PWSID]], CW_PWSID_LIST, 0)), "")</f>
        <v>No</v>
      </c>
    </row>
    <row r="5313" spans="1:24" x14ac:dyDescent="0.25">
      <c r="A5313" t="s">
        <v>2289</v>
      </c>
      <c r="B5313" t="s">
        <v>2290</v>
      </c>
      <c r="C5313" t="s">
        <v>2293</v>
      </c>
      <c r="D5313" t="s">
        <v>2294</v>
      </c>
      <c r="E5313" s="9">
        <v>45323</v>
      </c>
      <c r="F5313" s="9">
        <v>45351</v>
      </c>
      <c r="G5313">
        <v>150000</v>
      </c>
      <c r="H5313">
        <v>0</v>
      </c>
      <c r="I5313">
        <v>40000</v>
      </c>
      <c r="J5313">
        <v>0</v>
      </c>
      <c r="K5313">
        <v>0</v>
      </c>
      <c r="L5313">
        <v>30000</v>
      </c>
      <c r="M5313">
        <v>0</v>
      </c>
      <c r="N5313">
        <v>0</v>
      </c>
      <c r="O5313">
        <v>0</v>
      </c>
      <c r="P5313">
        <v>83283.89</v>
      </c>
      <c r="Q5313">
        <v>0</v>
      </c>
      <c r="R5313">
        <v>0</v>
      </c>
      <c r="S5313">
        <v>13.16</v>
      </c>
      <c r="T5313" s="9">
        <v>45108</v>
      </c>
      <c r="U5313" s="9">
        <v>45473</v>
      </c>
      <c r="V5313">
        <f>SUM(POTABLE_NONPOTABLE_API[[#This Row],[RESIDENTIAL_SINGLEFAMILY_GAL]:[OTHER_GAL]])</f>
        <v>220000</v>
      </c>
      <c r="W5313">
        <f>SUM(POTABLE_NONPOTABLE_API[[#This Row],[NONPOTABLE_DEMAND_RESIDENTIAL_RECYCLED_WATER_GAL]:[NONPOTABLE_DEMAND_NONRESIDENTIAL_METERED_IRRIGATION_GAL]])</f>
        <v>83297.05</v>
      </c>
      <c r="X5313" t="str">
        <f>IFERROR(INDEX(Crosswalk_API!$H$2:$H$527, MATCH(POTABLE_NONPOTABLE_API[[#This Row],[PWSID]], CW_PWSID_LIST, 0)), "")</f>
        <v>No</v>
      </c>
    </row>
    <row r="5314" spans="1:24" x14ac:dyDescent="0.25">
      <c r="A5314" t="s">
        <v>2289</v>
      </c>
      <c r="B5314" t="s">
        <v>2290</v>
      </c>
      <c r="C5314" t="s">
        <v>2293</v>
      </c>
      <c r="D5314" t="s">
        <v>2294</v>
      </c>
      <c r="E5314" s="9">
        <v>45352</v>
      </c>
      <c r="F5314" s="9">
        <v>45382</v>
      </c>
      <c r="G5314">
        <v>110000</v>
      </c>
      <c r="H5314">
        <v>0</v>
      </c>
      <c r="I5314">
        <v>50000</v>
      </c>
      <c r="J5314">
        <v>0</v>
      </c>
      <c r="K5314">
        <v>0</v>
      </c>
      <c r="L5314">
        <v>20000</v>
      </c>
      <c r="M5314">
        <v>0</v>
      </c>
      <c r="N5314">
        <v>0</v>
      </c>
      <c r="O5314">
        <v>0</v>
      </c>
      <c r="P5314">
        <v>13806.36</v>
      </c>
      <c r="Q5314">
        <v>0</v>
      </c>
      <c r="R5314">
        <v>0</v>
      </c>
      <c r="S5314">
        <v>670193.93999999994</v>
      </c>
      <c r="T5314" s="9">
        <v>45108</v>
      </c>
      <c r="U5314" s="9">
        <v>45473</v>
      </c>
      <c r="V5314">
        <f>SUM(POTABLE_NONPOTABLE_API[[#This Row],[RESIDENTIAL_SINGLEFAMILY_GAL]:[OTHER_GAL]])</f>
        <v>180000</v>
      </c>
      <c r="W5314">
        <f>SUM(POTABLE_NONPOTABLE_API[[#This Row],[NONPOTABLE_DEMAND_RESIDENTIAL_RECYCLED_WATER_GAL]:[NONPOTABLE_DEMAND_NONRESIDENTIAL_METERED_IRRIGATION_GAL]])</f>
        <v>684000.29999999993</v>
      </c>
      <c r="X5314" t="str">
        <f>IFERROR(INDEX(Crosswalk_API!$H$2:$H$527, MATCH(POTABLE_NONPOTABLE_API[[#This Row],[PWSID]], CW_PWSID_LIST, 0)), "")</f>
        <v>No</v>
      </c>
    </row>
    <row r="5315" spans="1:24" x14ac:dyDescent="0.25">
      <c r="A5315" t="s">
        <v>2289</v>
      </c>
      <c r="B5315" t="s">
        <v>2290</v>
      </c>
      <c r="C5315" t="s">
        <v>2293</v>
      </c>
      <c r="D5315" t="s">
        <v>2294</v>
      </c>
      <c r="E5315" s="9">
        <v>45383</v>
      </c>
      <c r="F5315" s="9">
        <v>45412</v>
      </c>
      <c r="G5315">
        <v>140000</v>
      </c>
      <c r="H5315">
        <v>0</v>
      </c>
      <c r="I5315">
        <v>60000</v>
      </c>
      <c r="J5315">
        <v>0</v>
      </c>
      <c r="K5315">
        <v>0</v>
      </c>
      <c r="L5315">
        <v>10000</v>
      </c>
      <c r="M5315">
        <v>0</v>
      </c>
      <c r="N5315">
        <v>0</v>
      </c>
      <c r="O5315">
        <v>0</v>
      </c>
      <c r="P5315">
        <v>158779.82999999999</v>
      </c>
      <c r="Q5315">
        <v>0</v>
      </c>
      <c r="R5315">
        <v>0</v>
      </c>
      <c r="S5315">
        <v>1060490.46</v>
      </c>
      <c r="T5315" s="9">
        <v>45108</v>
      </c>
      <c r="U5315" s="9">
        <v>45473</v>
      </c>
      <c r="V5315">
        <f>SUM(POTABLE_NONPOTABLE_API[[#This Row],[RESIDENTIAL_SINGLEFAMILY_GAL]:[OTHER_GAL]])</f>
        <v>210000</v>
      </c>
      <c r="W5315">
        <f>SUM(POTABLE_NONPOTABLE_API[[#This Row],[NONPOTABLE_DEMAND_RESIDENTIAL_RECYCLED_WATER_GAL]:[NONPOTABLE_DEMAND_NONRESIDENTIAL_METERED_IRRIGATION_GAL]])</f>
        <v>1219270.29</v>
      </c>
      <c r="X5315" t="str">
        <f>IFERROR(INDEX(Crosswalk_API!$H$2:$H$527, MATCH(POTABLE_NONPOTABLE_API[[#This Row],[PWSID]], CW_PWSID_LIST, 0)), "")</f>
        <v>No</v>
      </c>
    </row>
    <row r="5316" spans="1:24" x14ac:dyDescent="0.25">
      <c r="A5316" t="s">
        <v>2289</v>
      </c>
      <c r="B5316" t="s">
        <v>2290</v>
      </c>
      <c r="C5316" t="s">
        <v>2293</v>
      </c>
      <c r="D5316" t="s">
        <v>2294</v>
      </c>
      <c r="E5316" s="9">
        <v>45413</v>
      </c>
      <c r="F5316" s="9">
        <v>45443</v>
      </c>
      <c r="G5316">
        <v>350000</v>
      </c>
      <c r="H5316">
        <v>0</v>
      </c>
      <c r="I5316">
        <v>110000</v>
      </c>
      <c r="J5316">
        <v>0</v>
      </c>
      <c r="K5316">
        <v>0</v>
      </c>
      <c r="L5316">
        <v>10000</v>
      </c>
      <c r="M5316">
        <v>0</v>
      </c>
      <c r="N5316">
        <v>0</v>
      </c>
      <c r="O5316">
        <v>0</v>
      </c>
      <c r="P5316">
        <v>331901.51</v>
      </c>
      <c r="Q5316">
        <v>0</v>
      </c>
      <c r="R5316">
        <v>0</v>
      </c>
      <c r="S5316">
        <v>873825.34</v>
      </c>
      <c r="T5316" s="9">
        <v>45108</v>
      </c>
      <c r="U5316" s="9">
        <v>45473</v>
      </c>
      <c r="V5316">
        <f>SUM(POTABLE_NONPOTABLE_API[[#This Row],[RESIDENTIAL_SINGLEFAMILY_GAL]:[OTHER_GAL]])</f>
        <v>470000</v>
      </c>
      <c r="W5316">
        <f>SUM(POTABLE_NONPOTABLE_API[[#This Row],[NONPOTABLE_DEMAND_RESIDENTIAL_RECYCLED_WATER_GAL]:[NONPOTABLE_DEMAND_NONRESIDENTIAL_METERED_IRRIGATION_GAL]])</f>
        <v>1205726.8500000001</v>
      </c>
      <c r="X5316" t="str">
        <f>IFERROR(INDEX(Crosswalk_API!$H$2:$H$527, MATCH(POTABLE_NONPOTABLE_API[[#This Row],[PWSID]], CW_PWSID_LIST, 0)), "")</f>
        <v>No</v>
      </c>
    </row>
    <row r="5317" spans="1:24" x14ac:dyDescent="0.25">
      <c r="A5317" t="s">
        <v>2289</v>
      </c>
      <c r="B5317" t="s">
        <v>2290</v>
      </c>
      <c r="C5317" t="s">
        <v>2293</v>
      </c>
      <c r="D5317" t="s">
        <v>2294</v>
      </c>
      <c r="E5317" s="9">
        <v>45444</v>
      </c>
      <c r="F5317" s="9">
        <v>45473</v>
      </c>
      <c r="G5317">
        <v>650000</v>
      </c>
      <c r="H5317">
        <v>0</v>
      </c>
      <c r="I5317">
        <v>160000</v>
      </c>
      <c r="J5317">
        <v>0</v>
      </c>
      <c r="K5317">
        <v>0</v>
      </c>
      <c r="L5317">
        <v>10000</v>
      </c>
      <c r="M5317">
        <v>0</v>
      </c>
      <c r="N5317">
        <v>0</v>
      </c>
      <c r="O5317">
        <v>0</v>
      </c>
      <c r="P5317">
        <v>732584.77</v>
      </c>
      <c r="Q5317">
        <v>0</v>
      </c>
      <c r="R5317">
        <v>0</v>
      </c>
      <c r="S5317">
        <v>392103.84</v>
      </c>
      <c r="T5317" s="9">
        <v>45108</v>
      </c>
      <c r="U5317" s="9">
        <v>45473</v>
      </c>
      <c r="V5317">
        <f>SUM(POTABLE_NONPOTABLE_API[[#This Row],[RESIDENTIAL_SINGLEFAMILY_GAL]:[OTHER_GAL]])</f>
        <v>820000</v>
      </c>
      <c r="W5317">
        <f>SUM(POTABLE_NONPOTABLE_API[[#This Row],[NONPOTABLE_DEMAND_RESIDENTIAL_RECYCLED_WATER_GAL]:[NONPOTABLE_DEMAND_NONRESIDENTIAL_METERED_IRRIGATION_GAL]])</f>
        <v>1124688.6100000001</v>
      </c>
      <c r="X5317" t="str">
        <f>IFERROR(INDEX(Crosswalk_API!$H$2:$H$527, MATCH(POTABLE_NONPOTABLE_API[[#This Row],[PWSID]], CW_PWSID_LIST, 0)), "")</f>
        <v>No</v>
      </c>
    </row>
    <row r="5318" spans="1:24" x14ac:dyDescent="0.25">
      <c r="A5318" t="s">
        <v>2295</v>
      </c>
      <c r="B5318" t="s">
        <v>2296</v>
      </c>
      <c r="C5318" t="s">
        <v>2297</v>
      </c>
      <c r="D5318" t="s">
        <v>2298</v>
      </c>
      <c r="E5318" s="9">
        <v>45108</v>
      </c>
      <c r="F5318" s="9">
        <v>45138</v>
      </c>
      <c r="G5318">
        <v>65327381.160000004</v>
      </c>
      <c r="H5318">
        <v>52941136.144000001</v>
      </c>
      <c r="I5318">
        <v>41676221.075999998</v>
      </c>
      <c r="J5318">
        <v>0</v>
      </c>
      <c r="K5318">
        <v>9564592.8719999995</v>
      </c>
      <c r="L5318">
        <v>0</v>
      </c>
      <c r="M5318">
        <v>0</v>
      </c>
      <c r="N5318">
        <v>0</v>
      </c>
      <c r="O5318">
        <v>0</v>
      </c>
      <c r="P5318">
        <v>0</v>
      </c>
      <c r="Q5318">
        <v>122672</v>
      </c>
      <c r="R5318">
        <v>0</v>
      </c>
      <c r="S5318">
        <v>4504086</v>
      </c>
      <c r="T5318" s="9">
        <v>45108</v>
      </c>
      <c r="U5318" s="9">
        <v>45473</v>
      </c>
      <c r="V5318">
        <f>SUM(POTABLE_NONPOTABLE_API[[#This Row],[RESIDENTIAL_SINGLEFAMILY_GAL]:[OTHER_GAL]])</f>
        <v>169509331.252</v>
      </c>
      <c r="W5318">
        <f>SUM(POTABLE_NONPOTABLE_API[[#This Row],[NONPOTABLE_DEMAND_RESIDENTIAL_RECYCLED_WATER_GAL]:[NONPOTABLE_DEMAND_NONRESIDENTIAL_METERED_IRRIGATION_GAL]])</f>
        <v>4626758</v>
      </c>
      <c r="X5318" t="str">
        <f>IFERROR(INDEX(Crosswalk_API!$H$2:$H$527, MATCH(POTABLE_NONPOTABLE_API[[#This Row],[PWSID]], CW_PWSID_LIST, 0)), "")</f>
        <v>No</v>
      </c>
    </row>
    <row r="5319" spans="1:24" x14ac:dyDescent="0.25">
      <c r="A5319" t="s">
        <v>2295</v>
      </c>
      <c r="B5319" t="s">
        <v>2296</v>
      </c>
      <c r="C5319" t="s">
        <v>2297</v>
      </c>
      <c r="D5319" t="s">
        <v>2298</v>
      </c>
      <c r="E5319" s="9">
        <v>45139</v>
      </c>
      <c r="F5319" s="9">
        <v>45169</v>
      </c>
      <c r="G5319">
        <v>98591757.496000007</v>
      </c>
      <c r="H5319">
        <v>79868015.936000004</v>
      </c>
      <c r="I5319">
        <v>51835515.288000003</v>
      </c>
      <c r="J5319">
        <v>0</v>
      </c>
      <c r="K5319">
        <v>6543210.8440000005</v>
      </c>
      <c r="L5319">
        <v>0</v>
      </c>
      <c r="M5319">
        <v>0</v>
      </c>
      <c r="N5319">
        <v>0</v>
      </c>
      <c r="O5319">
        <v>0</v>
      </c>
      <c r="P5319">
        <v>0</v>
      </c>
      <c r="Q5319">
        <v>2941136</v>
      </c>
      <c r="R5319">
        <v>0</v>
      </c>
      <c r="S5319">
        <v>0</v>
      </c>
      <c r="T5319" s="9">
        <v>45108</v>
      </c>
      <c r="U5319" s="9">
        <v>45473</v>
      </c>
      <c r="V5319">
        <f>SUM(POTABLE_NONPOTABLE_API[[#This Row],[RESIDENTIAL_SINGLEFAMILY_GAL]:[OTHER_GAL]])</f>
        <v>236838499.56400004</v>
      </c>
      <c r="W5319">
        <f>SUM(POTABLE_NONPOTABLE_API[[#This Row],[NONPOTABLE_DEMAND_RESIDENTIAL_RECYCLED_WATER_GAL]:[NONPOTABLE_DEMAND_NONRESIDENTIAL_METERED_IRRIGATION_GAL]])</f>
        <v>2941136</v>
      </c>
      <c r="X5319" t="str">
        <f>IFERROR(INDEX(Crosswalk_API!$H$2:$H$527, MATCH(POTABLE_NONPOTABLE_API[[#This Row],[PWSID]], CW_PWSID_LIST, 0)), "")</f>
        <v>No</v>
      </c>
    </row>
    <row r="5320" spans="1:24" x14ac:dyDescent="0.25">
      <c r="A5320" t="s">
        <v>2295</v>
      </c>
      <c r="B5320" t="s">
        <v>2296</v>
      </c>
      <c r="C5320" t="s">
        <v>2297</v>
      </c>
      <c r="D5320" t="s">
        <v>2298</v>
      </c>
      <c r="E5320" s="9">
        <v>45170</v>
      </c>
      <c r="F5320" s="9">
        <v>45199</v>
      </c>
      <c r="G5320">
        <v>84448338.332000002</v>
      </c>
      <c r="H5320">
        <v>77896898.916000009</v>
      </c>
      <c r="I5320">
        <v>57326965.020000003</v>
      </c>
      <c r="J5320">
        <v>0</v>
      </c>
      <c r="K5320">
        <v>13324302.223999999</v>
      </c>
      <c r="L5320">
        <v>0</v>
      </c>
      <c r="M5320">
        <v>0</v>
      </c>
      <c r="N5320">
        <v>0</v>
      </c>
      <c r="O5320">
        <v>0</v>
      </c>
      <c r="P5320">
        <v>0</v>
      </c>
      <c r="Q5320">
        <v>2968812</v>
      </c>
      <c r="R5320">
        <v>0</v>
      </c>
      <c r="T5320" s="9">
        <v>45108</v>
      </c>
      <c r="U5320" s="9">
        <v>45473</v>
      </c>
      <c r="V5320">
        <f>SUM(POTABLE_NONPOTABLE_API[[#This Row],[RESIDENTIAL_SINGLEFAMILY_GAL]:[OTHER_GAL]])</f>
        <v>232996504.49200004</v>
      </c>
      <c r="W5320">
        <f>SUM(POTABLE_NONPOTABLE_API[[#This Row],[NONPOTABLE_DEMAND_RESIDENTIAL_RECYCLED_WATER_GAL]:[NONPOTABLE_DEMAND_NONRESIDENTIAL_METERED_IRRIGATION_GAL]])</f>
        <v>2968812</v>
      </c>
      <c r="X5320" t="str">
        <f>IFERROR(INDEX(Crosswalk_API!$H$2:$H$527, MATCH(POTABLE_NONPOTABLE_API[[#This Row],[PWSID]], CW_PWSID_LIST, 0)), "")</f>
        <v>No</v>
      </c>
    </row>
    <row r="5321" spans="1:24" x14ac:dyDescent="0.25">
      <c r="A5321" t="s">
        <v>2295</v>
      </c>
      <c r="B5321" t="s">
        <v>2296</v>
      </c>
      <c r="C5321" t="s">
        <v>2297</v>
      </c>
      <c r="D5321" t="s">
        <v>2298</v>
      </c>
      <c r="E5321" s="9">
        <v>45200</v>
      </c>
      <c r="F5321" s="9">
        <v>45230</v>
      </c>
      <c r="G5321">
        <v>83355434.359999999</v>
      </c>
      <c r="H5321">
        <v>75429075.368000001</v>
      </c>
      <c r="I5321">
        <v>55566798.664000005</v>
      </c>
      <c r="J5321">
        <v>0</v>
      </c>
      <c r="K5321">
        <v>15531803.676000001</v>
      </c>
      <c r="L5321">
        <v>5231127.6359999999</v>
      </c>
      <c r="M5321">
        <v>0</v>
      </c>
      <c r="N5321">
        <v>0</v>
      </c>
      <c r="O5321">
        <v>0</v>
      </c>
      <c r="P5321">
        <v>0</v>
      </c>
      <c r="Q5321">
        <v>4251052</v>
      </c>
      <c r="R5321">
        <v>0</v>
      </c>
      <c r="S5321">
        <v>0</v>
      </c>
      <c r="T5321" s="9">
        <v>45108</v>
      </c>
      <c r="U5321" s="9">
        <v>45473</v>
      </c>
      <c r="V5321">
        <f>SUM(POTABLE_NONPOTABLE_API[[#This Row],[RESIDENTIAL_SINGLEFAMILY_GAL]:[OTHER_GAL]])</f>
        <v>235114239.704</v>
      </c>
      <c r="W5321">
        <f>SUM(POTABLE_NONPOTABLE_API[[#This Row],[NONPOTABLE_DEMAND_RESIDENTIAL_RECYCLED_WATER_GAL]:[NONPOTABLE_DEMAND_NONRESIDENTIAL_METERED_IRRIGATION_GAL]])</f>
        <v>4251052</v>
      </c>
      <c r="X5321" t="str">
        <f>IFERROR(INDEX(Crosswalk_API!$H$2:$H$527, MATCH(POTABLE_NONPOTABLE_API[[#This Row],[PWSID]], CW_PWSID_LIST, 0)), "")</f>
        <v>No</v>
      </c>
    </row>
    <row r="5322" spans="1:24" x14ac:dyDescent="0.25">
      <c r="A5322" t="s">
        <v>2295</v>
      </c>
      <c r="B5322" t="s">
        <v>2296</v>
      </c>
      <c r="C5322" t="s">
        <v>2297</v>
      </c>
      <c r="D5322" t="s">
        <v>2298</v>
      </c>
      <c r="E5322" s="9">
        <v>45231</v>
      </c>
      <c r="F5322" s="9">
        <v>45260</v>
      </c>
      <c r="G5322">
        <v>48002496.840000004</v>
      </c>
      <c r="H5322">
        <v>58272502.748000003</v>
      </c>
      <c r="I5322">
        <v>45599005.763999999</v>
      </c>
      <c r="J5322">
        <v>0</v>
      </c>
      <c r="K5322">
        <v>14971512.728</v>
      </c>
      <c r="L5322">
        <v>0</v>
      </c>
      <c r="M5322">
        <v>0</v>
      </c>
      <c r="N5322">
        <v>0</v>
      </c>
      <c r="O5322">
        <v>0</v>
      </c>
      <c r="P5322">
        <v>0</v>
      </c>
      <c r="Q5322">
        <v>5053091.26</v>
      </c>
      <c r="R5322">
        <v>0</v>
      </c>
      <c r="S5322">
        <v>0</v>
      </c>
      <c r="T5322" s="9">
        <v>45108</v>
      </c>
      <c r="U5322" s="9">
        <v>45473</v>
      </c>
      <c r="V5322">
        <f>SUM(POTABLE_NONPOTABLE_API[[#This Row],[RESIDENTIAL_SINGLEFAMILY_GAL]:[OTHER_GAL]])</f>
        <v>166845518.07999998</v>
      </c>
      <c r="W5322">
        <f>SUM(POTABLE_NONPOTABLE_API[[#This Row],[NONPOTABLE_DEMAND_RESIDENTIAL_RECYCLED_WATER_GAL]:[NONPOTABLE_DEMAND_NONRESIDENTIAL_METERED_IRRIGATION_GAL]])</f>
        <v>5053091.26</v>
      </c>
      <c r="X5322" t="str">
        <f>IFERROR(INDEX(Crosswalk_API!$H$2:$H$527, MATCH(POTABLE_NONPOTABLE_API[[#This Row],[PWSID]], CW_PWSID_LIST, 0)), "")</f>
        <v>No</v>
      </c>
    </row>
    <row r="5323" spans="1:24" x14ac:dyDescent="0.25">
      <c r="A5323" t="s">
        <v>2295</v>
      </c>
      <c r="B5323" t="s">
        <v>2296</v>
      </c>
      <c r="C5323" t="s">
        <v>2297</v>
      </c>
      <c r="D5323" t="s">
        <v>2298</v>
      </c>
      <c r="E5323" s="9">
        <v>45261</v>
      </c>
      <c r="F5323" s="9">
        <v>45291</v>
      </c>
      <c r="G5323">
        <v>68114622.912</v>
      </c>
      <c r="H5323">
        <v>63095193.991999999</v>
      </c>
      <c r="I5323">
        <v>52663608.851999998</v>
      </c>
      <c r="J5323">
        <v>0</v>
      </c>
      <c r="K5323">
        <v>10362764.356000001</v>
      </c>
      <c r="L5323">
        <v>0</v>
      </c>
      <c r="M5323">
        <v>0</v>
      </c>
      <c r="N5323">
        <v>0</v>
      </c>
      <c r="O5323">
        <v>0</v>
      </c>
      <c r="P5323">
        <v>0</v>
      </c>
      <c r="Q5323">
        <v>1508690.13</v>
      </c>
      <c r="R5323">
        <v>0</v>
      </c>
      <c r="T5323" s="9">
        <v>45108</v>
      </c>
      <c r="U5323" s="9">
        <v>45473</v>
      </c>
      <c r="V5323">
        <f>SUM(POTABLE_NONPOTABLE_API[[#This Row],[RESIDENTIAL_SINGLEFAMILY_GAL]:[OTHER_GAL]])</f>
        <v>194236190.11199999</v>
      </c>
      <c r="W5323">
        <f>SUM(POTABLE_NONPOTABLE_API[[#This Row],[NONPOTABLE_DEMAND_RESIDENTIAL_RECYCLED_WATER_GAL]:[NONPOTABLE_DEMAND_NONRESIDENTIAL_METERED_IRRIGATION_GAL]])</f>
        <v>1508690.13</v>
      </c>
      <c r="X5323" t="str">
        <f>IFERROR(INDEX(Crosswalk_API!$H$2:$H$527, MATCH(POTABLE_NONPOTABLE_API[[#This Row],[PWSID]], CW_PWSID_LIST, 0)), "")</f>
        <v>No</v>
      </c>
    </row>
    <row r="5324" spans="1:24" x14ac:dyDescent="0.25">
      <c r="A5324" t="s">
        <v>2295</v>
      </c>
      <c r="B5324" t="s">
        <v>2296</v>
      </c>
      <c r="C5324" t="s">
        <v>2297</v>
      </c>
      <c r="D5324" t="s">
        <v>2298</v>
      </c>
      <c r="E5324" s="9">
        <v>45292</v>
      </c>
      <c r="F5324" s="9">
        <v>45322</v>
      </c>
      <c r="G5324">
        <v>59859869.092</v>
      </c>
      <c r="H5324">
        <v>50302008.688000001</v>
      </c>
      <c r="I5324">
        <v>32131077.556000002</v>
      </c>
      <c r="J5324">
        <v>0</v>
      </c>
      <c r="K5324">
        <v>9743377.3000000007</v>
      </c>
      <c r="L5324">
        <v>0</v>
      </c>
      <c r="M5324">
        <v>0</v>
      </c>
      <c r="N5324">
        <v>0</v>
      </c>
      <c r="O5324">
        <v>0</v>
      </c>
      <c r="P5324">
        <v>0</v>
      </c>
      <c r="Q5324">
        <v>1723751.79</v>
      </c>
      <c r="R5324">
        <v>0</v>
      </c>
      <c r="S5324">
        <v>0</v>
      </c>
      <c r="T5324" s="9">
        <v>45108</v>
      </c>
      <c r="U5324" s="9">
        <v>45473</v>
      </c>
      <c r="V5324">
        <f>SUM(POTABLE_NONPOTABLE_API[[#This Row],[RESIDENTIAL_SINGLEFAMILY_GAL]:[OTHER_GAL]])</f>
        <v>152036332.63600001</v>
      </c>
      <c r="W5324">
        <f>SUM(POTABLE_NONPOTABLE_API[[#This Row],[NONPOTABLE_DEMAND_RESIDENTIAL_RECYCLED_WATER_GAL]:[NONPOTABLE_DEMAND_NONRESIDENTIAL_METERED_IRRIGATION_GAL]])</f>
        <v>1723751.79</v>
      </c>
      <c r="X5324" t="str">
        <f>IFERROR(INDEX(Crosswalk_API!$H$2:$H$527, MATCH(POTABLE_NONPOTABLE_API[[#This Row],[PWSID]], CW_PWSID_LIST, 0)), "")</f>
        <v>No</v>
      </c>
    </row>
    <row r="5325" spans="1:24" x14ac:dyDescent="0.25">
      <c r="A5325" t="s">
        <v>2295</v>
      </c>
      <c r="B5325" t="s">
        <v>2296</v>
      </c>
      <c r="C5325" t="s">
        <v>2297</v>
      </c>
      <c r="D5325" t="s">
        <v>2298</v>
      </c>
      <c r="E5325" s="9">
        <v>45323</v>
      </c>
      <c r="F5325" s="9">
        <v>45351</v>
      </c>
      <c r="G5325">
        <v>69257646.368000001</v>
      </c>
      <c r="H5325">
        <v>68890352.835999995</v>
      </c>
      <c r="I5325">
        <v>52361395.844000004</v>
      </c>
      <c r="J5325">
        <v>406192.23600000003</v>
      </c>
      <c r="K5325">
        <v>12459554.112</v>
      </c>
      <c r="L5325">
        <v>0</v>
      </c>
      <c r="M5325">
        <v>0</v>
      </c>
      <c r="N5325">
        <v>0</v>
      </c>
      <c r="O5325">
        <v>0</v>
      </c>
      <c r="P5325">
        <v>0</v>
      </c>
      <c r="Q5325">
        <v>1098064</v>
      </c>
      <c r="R5325">
        <v>0</v>
      </c>
      <c r="S5325">
        <v>0</v>
      </c>
      <c r="T5325" s="9">
        <v>45108</v>
      </c>
      <c r="U5325" s="9">
        <v>45473</v>
      </c>
      <c r="V5325">
        <f>SUM(POTABLE_NONPOTABLE_API[[#This Row],[RESIDENTIAL_SINGLEFAMILY_GAL]:[OTHER_GAL]])</f>
        <v>203375141.396</v>
      </c>
      <c r="W5325">
        <f>SUM(POTABLE_NONPOTABLE_API[[#This Row],[NONPOTABLE_DEMAND_RESIDENTIAL_RECYCLED_WATER_GAL]:[NONPOTABLE_DEMAND_NONRESIDENTIAL_METERED_IRRIGATION_GAL]])</f>
        <v>1098064</v>
      </c>
      <c r="X5325" t="str">
        <f>IFERROR(INDEX(Crosswalk_API!$H$2:$H$527, MATCH(POTABLE_NONPOTABLE_API[[#This Row],[PWSID]], CW_PWSID_LIST, 0)), "")</f>
        <v>No</v>
      </c>
    </row>
    <row r="5326" spans="1:24" x14ac:dyDescent="0.25">
      <c r="A5326" t="s">
        <v>2295</v>
      </c>
      <c r="B5326" t="s">
        <v>2296</v>
      </c>
      <c r="C5326" t="s">
        <v>2297</v>
      </c>
      <c r="D5326" t="s">
        <v>2298</v>
      </c>
      <c r="E5326" s="9">
        <v>45352</v>
      </c>
      <c r="F5326" s="9">
        <v>45382</v>
      </c>
      <c r="G5326">
        <v>58718000</v>
      </c>
      <c r="H5326">
        <v>55969848</v>
      </c>
      <c r="I5326">
        <v>42131100</v>
      </c>
      <c r="J5326">
        <v>0</v>
      </c>
      <c r="K5326">
        <v>9634240</v>
      </c>
      <c r="L5326">
        <v>0</v>
      </c>
      <c r="M5326">
        <v>0</v>
      </c>
      <c r="N5326">
        <v>0</v>
      </c>
      <c r="O5326">
        <v>0</v>
      </c>
      <c r="P5326">
        <v>0</v>
      </c>
      <c r="Q5326">
        <v>2941884</v>
      </c>
      <c r="R5326">
        <v>0</v>
      </c>
      <c r="S5326">
        <v>0</v>
      </c>
      <c r="T5326" s="9">
        <v>45108</v>
      </c>
      <c r="U5326" s="9">
        <v>45473</v>
      </c>
      <c r="V5326">
        <f>SUM(POTABLE_NONPOTABLE_API[[#This Row],[RESIDENTIAL_SINGLEFAMILY_GAL]:[OTHER_GAL]])</f>
        <v>166453188</v>
      </c>
      <c r="W5326">
        <f>SUM(POTABLE_NONPOTABLE_API[[#This Row],[NONPOTABLE_DEMAND_RESIDENTIAL_RECYCLED_WATER_GAL]:[NONPOTABLE_DEMAND_NONRESIDENTIAL_METERED_IRRIGATION_GAL]])</f>
        <v>2941884</v>
      </c>
      <c r="X5326" t="str">
        <f>IFERROR(INDEX(Crosswalk_API!$H$2:$H$527, MATCH(POTABLE_NONPOTABLE_API[[#This Row],[PWSID]], CW_PWSID_LIST, 0)), "")</f>
        <v>No</v>
      </c>
    </row>
    <row r="5327" spans="1:24" x14ac:dyDescent="0.25">
      <c r="A5327" t="s">
        <v>2295</v>
      </c>
      <c r="B5327" t="s">
        <v>2296</v>
      </c>
      <c r="C5327" t="s">
        <v>2297</v>
      </c>
      <c r="D5327" t="s">
        <v>2298</v>
      </c>
      <c r="E5327" s="9">
        <v>45383</v>
      </c>
      <c r="F5327" s="9">
        <v>45412</v>
      </c>
      <c r="G5327">
        <v>55916887</v>
      </c>
      <c r="H5327">
        <v>52252928.304000005</v>
      </c>
      <c r="I5327">
        <v>35513768.700000003</v>
      </c>
      <c r="J5327">
        <v>4748634.0959999999</v>
      </c>
      <c r="K5327">
        <v>13556946.396</v>
      </c>
      <c r="L5327">
        <v>0</v>
      </c>
      <c r="M5327">
        <v>0</v>
      </c>
      <c r="N5327">
        <v>0</v>
      </c>
      <c r="O5327">
        <v>0</v>
      </c>
      <c r="P5327">
        <v>0</v>
      </c>
      <c r="Q5327">
        <v>0</v>
      </c>
      <c r="R5327">
        <v>0</v>
      </c>
      <c r="S5327">
        <v>139137.67199999999</v>
      </c>
      <c r="T5327" s="9">
        <v>45108</v>
      </c>
      <c r="U5327" s="9">
        <v>45473</v>
      </c>
      <c r="V5327">
        <f>SUM(POTABLE_NONPOTABLE_API[[#This Row],[RESIDENTIAL_SINGLEFAMILY_GAL]:[OTHER_GAL]])</f>
        <v>161989164.49599999</v>
      </c>
      <c r="W5327">
        <f>SUM(POTABLE_NONPOTABLE_API[[#This Row],[NONPOTABLE_DEMAND_RESIDENTIAL_RECYCLED_WATER_GAL]:[NONPOTABLE_DEMAND_NONRESIDENTIAL_METERED_IRRIGATION_GAL]])</f>
        <v>139137.67199999999</v>
      </c>
      <c r="X5327" t="str">
        <f>IFERROR(INDEX(Crosswalk_API!$H$2:$H$527, MATCH(POTABLE_NONPOTABLE_API[[#This Row],[PWSID]], CW_PWSID_LIST, 0)), "")</f>
        <v>No</v>
      </c>
    </row>
    <row r="5328" spans="1:24" x14ac:dyDescent="0.25">
      <c r="A5328" t="s">
        <v>2295</v>
      </c>
      <c r="B5328" t="s">
        <v>2296</v>
      </c>
      <c r="C5328" t="s">
        <v>2297</v>
      </c>
      <c r="D5328" t="s">
        <v>2298</v>
      </c>
      <c r="E5328" s="9">
        <v>45413</v>
      </c>
      <c r="F5328" s="9">
        <v>45443</v>
      </c>
      <c r="G5328">
        <v>62511713.432000004</v>
      </c>
      <c r="H5328">
        <v>54362434.943999998</v>
      </c>
      <c r="I5328">
        <v>36116698.612000003</v>
      </c>
      <c r="J5328">
        <v>5888665.3440000005</v>
      </c>
      <c r="K5328">
        <v>10783169.58</v>
      </c>
      <c r="L5328">
        <v>0</v>
      </c>
      <c r="M5328">
        <v>0</v>
      </c>
      <c r="N5328">
        <v>0</v>
      </c>
      <c r="O5328">
        <v>0</v>
      </c>
      <c r="P5328">
        <v>0</v>
      </c>
      <c r="Q5328">
        <v>6562639.1400000006</v>
      </c>
      <c r="R5328">
        <v>0</v>
      </c>
      <c r="S5328">
        <v>0</v>
      </c>
      <c r="T5328" s="9">
        <v>45108</v>
      </c>
      <c r="U5328" s="9">
        <v>45473</v>
      </c>
      <c r="V5328">
        <f>SUM(POTABLE_NONPOTABLE_API[[#This Row],[RESIDENTIAL_SINGLEFAMILY_GAL]:[OTHER_GAL]])</f>
        <v>169662681.91200003</v>
      </c>
      <c r="W5328">
        <f>SUM(POTABLE_NONPOTABLE_API[[#This Row],[NONPOTABLE_DEMAND_RESIDENTIAL_RECYCLED_WATER_GAL]:[NONPOTABLE_DEMAND_NONRESIDENTIAL_METERED_IRRIGATION_GAL]])</f>
        <v>6562639.1400000006</v>
      </c>
      <c r="X5328" t="str">
        <f>IFERROR(INDEX(Crosswalk_API!$H$2:$H$527, MATCH(POTABLE_NONPOTABLE_API[[#This Row],[PWSID]], CW_PWSID_LIST, 0)), "")</f>
        <v>No</v>
      </c>
    </row>
    <row r="5329" spans="1:24" x14ac:dyDescent="0.25">
      <c r="A5329" t="s">
        <v>2295</v>
      </c>
      <c r="B5329" t="s">
        <v>2296</v>
      </c>
      <c r="C5329" t="s">
        <v>2297</v>
      </c>
      <c r="D5329" t="s">
        <v>2298</v>
      </c>
      <c r="E5329" s="9">
        <v>45444</v>
      </c>
      <c r="F5329" s="9">
        <v>45473</v>
      </c>
      <c r="G5329">
        <v>73749698.628000006</v>
      </c>
      <c r="H5329">
        <v>62612700.452</v>
      </c>
      <c r="I5329">
        <v>40260158.640000001</v>
      </c>
      <c r="J5329">
        <v>6528249.8040000005</v>
      </c>
      <c r="K5329">
        <v>12013715.120000001</v>
      </c>
      <c r="L5329">
        <v>0</v>
      </c>
      <c r="M5329">
        <v>0</v>
      </c>
      <c r="N5329">
        <v>0</v>
      </c>
      <c r="O5329">
        <v>0</v>
      </c>
      <c r="P5329">
        <v>0</v>
      </c>
      <c r="Q5329">
        <v>5522119.8640000001</v>
      </c>
      <c r="R5329">
        <v>0</v>
      </c>
      <c r="S5329">
        <v>0</v>
      </c>
      <c r="T5329" s="9">
        <v>45108</v>
      </c>
      <c r="U5329" s="9">
        <v>45473</v>
      </c>
      <c r="V5329">
        <f>SUM(POTABLE_NONPOTABLE_API[[#This Row],[RESIDENTIAL_SINGLEFAMILY_GAL]:[OTHER_GAL]])</f>
        <v>195164522.64400002</v>
      </c>
      <c r="W5329">
        <f>SUM(POTABLE_NONPOTABLE_API[[#This Row],[NONPOTABLE_DEMAND_RESIDENTIAL_RECYCLED_WATER_GAL]:[NONPOTABLE_DEMAND_NONRESIDENTIAL_METERED_IRRIGATION_GAL]])</f>
        <v>5522119.8640000001</v>
      </c>
      <c r="X5329" t="str">
        <f>IFERROR(INDEX(Crosswalk_API!$H$2:$H$527, MATCH(POTABLE_NONPOTABLE_API[[#This Row],[PWSID]], CW_PWSID_LIST, 0)), "")</f>
        <v>No</v>
      </c>
    </row>
    <row r="5330" spans="1:24" x14ac:dyDescent="0.25">
      <c r="A5330" t="s">
        <v>2299</v>
      </c>
      <c r="B5330" t="s">
        <v>2300</v>
      </c>
      <c r="C5330" t="s">
        <v>2301</v>
      </c>
      <c r="D5330" t="s">
        <v>2302</v>
      </c>
      <c r="E5330" s="9">
        <v>45108</v>
      </c>
      <c r="F5330" s="9">
        <v>45138</v>
      </c>
      <c r="G5330">
        <v>57053926.039999999</v>
      </c>
      <c r="H5330">
        <v>21790006.708000001</v>
      </c>
      <c r="I5330">
        <v>8347512.2680000002</v>
      </c>
      <c r="J5330">
        <v>0</v>
      </c>
      <c r="K5330">
        <v>0</v>
      </c>
      <c r="L5330">
        <v>14985725.716</v>
      </c>
      <c r="M5330">
        <v>0</v>
      </c>
      <c r="T5330" s="9">
        <v>45108</v>
      </c>
      <c r="U5330" s="9">
        <v>45473</v>
      </c>
      <c r="V5330">
        <f>SUM(POTABLE_NONPOTABLE_API[[#This Row],[RESIDENTIAL_SINGLEFAMILY_GAL]:[OTHER_GAL]])</f>
        <v>102177170.73200001</v>
      </c>
      <c r="W5330">
        <f>SUM(POTABLE_NONPOTABLE_API[[#This Row],[NONPOTABLE_DEMAND_RESIDENTIAL_RECYCLED_WATER_GAL]:[NONPOTABLE_DEMAND_NONRESIDENTIAL_METERED_IRRIGATION_GAL]])</f>
        <v>0</v>
      </c>
      <c r="X5330" t="str">
        <f>IFERROR(INDEX(Crosswalk_API!$H$2:$H$527, MATCH(POTABLE_NONPOTABLE_API[[#This Row],[PWSID]], CW_PWSID_LIST, 0)), "")</f>
        <v>No</v>
      </c>
    </row>
    <row r="5331" spans="1:24" x14ac:dyDescent="0.25">
      <c r="A5331" t="s">
        <v>2299</v>
      </c>
      <c r="B5331" t="s">
        <v>2300</v>
      </c>
      <c r="C5331" t="s">
        <v>2301</v>
      </c>
      <c r="D5331" t="s">
        <v>2302</v>
      </c>
      <c r="E5331" s="9">
        <v>45139</v>
      </c>
      <c r="F5331" s="9">
        <v>45169</v>
      </c>
      <c r="G5331">
        <v>50296772.324000001</v>
      </c>
      <c r="H5331">
        <v>28429716.260000002</v>
      </c>
      <c r="I5331">
        <v>18009351.900000002</v>
      </c>
      <c r="J5331">
        <v>38150.652000000002</v>
      </c>
      <c r="K5331">
        <v>0</v>
      </c>
      <c r="L5331">
        <v>35906.495999999999</v>
      </c>
      <c r="M5331">
        <v>0</v>
      </c>
      <c r="T5331" s="9">
        <v>45108</v>
      </c>
      <c r="U5331" s="9">
        <v>45473</v>
      </c>
      <c r="V5331">
        <f>SUM(POTABLE_NONPOTABLE_API[[#This Row],[RESIDENTIAL_SINGLEFAMILY_GAL]:[OTHER_GAL]])</f>
        <v>96809897.632000014</v>
      </c>
      <c r="W5331">
        <f>SUM(POTABLE_NONPOTABLE_API[[#This Row],[NONPOTABLE_DEMAND_RESIDENTIAL_RECYCLED_WATER_GAL]:[NONPOTABLE_DEMAND_NONRESIDENTIAL_METERED_IRRIGATION_GAL]])</f>
        <v>0</v>
      </c>
      <c r="X5331" t="str">
        <f>IFERROR(INDEX(Crosswalk_API!$H$2:$H$527, MATCH(POTABLE_NONPOTABLE_API[[#This Row],[PWSID]], CW_PWSID_LIST, 0)), "")</f>
        <v>No</v>
      </c>
    </row>
    <row r="5332" spans="1:24" x14ac:dyDescent="0.25">
      <c r="A5332" t="s">
        <v>2299</v>
      </c>
      <c r="B5332" t="s">
        <v>2300</v>
      </c>
      <c r="C5332" t="s">
        <v>2301</v>
      </c>
      <c r="D5332" t="s">
        <v>2302</v>
      </c>
      <c r="E5332" s="9">
        <v>45170</v>
      </c>
      <c r="F5332" s="9">
        <v>45199</v>
      </c>
      <c r="G5332">
        <v>50759816.512000002</v>
      </c>
      <c r="H5332">
        <v>20263980.628000002</v>
      </c>
      <c r="I5332">
        <v>6615771.8880000003</v>
      </c>
      <c r="J5332">
        <v>29174.028000000002</v>
      </c>
      <c r="K5332">
        <v>0</v>
      </c>
      <c r="L5332">
        <v>406192.23600000003</v>
      </c>
      <c r="M5332">
        <v>0</v>
      </c>
      <c r="T5332" s="9">
        <v>45108</v>
      </c>
      <c r="U5332" s="9">
        <v>45473</v>
      </c>
      <c r="V5332">
        <f>SUM(POTABLE_NONPOTABLE_API[[#This Row],[RESIDENTIAL_SINGLEFAMILY_GAL]:[OTHER_GAL]])</f>
        <v>78074935.291999996</v>
      </c>
      <c r="W5332">
        <f>SUM(POTABLE_NONPOTABLE_API[[#This Row],[NONPOTABLE_DEMAND_RESIDENTIAL_RECYCLED_WATER_GAL]:[NONPOTABLE_DEMAND_NONRESIDENTIAL_METERED_IRRIGATION_GAL]])</f>
        <v>0</v>
      </c>
      <c r="X5332" t="str">
        <f>IFERROR(INDEX(Crosswalk_API!$H$2:$H$527, MATCH(POTABLE_NONPOTABLE_API[[#This Row],[PWSID]], CW_PWSID_LIST, 0)), "")</f>
        <v>No</v>
      </c>
    </row>
    <row r="5333" spans="1:24" x14ac:dyDescent="0.25">
      <c r="A5333" t="s">
        <v>2299</v>
      </c>
      <c r="B5333" t="s">
        <v>2300</v>
      </c>
      <c r="C5333" t="s">
        <v>2301</v>
      </c>
      <c r="D5333" t="s">
        <v>2302</v>
      </c>
      <c r="E5333" s="9">
        <v>45200</v>
      </c>
      <c r="F5333" s="9">
        <v>45230</v>
      </c>
      <c r="G5333">
        <v>56135318.184</v>
      </c>
      <c r="H5333">
        <v>29848022.852000002</v>
      </c>
      <c r="I5333">
        <v>15593143.940000001</v>
      </c>
      <c r="J5333">
        <v>56851.952000000005</v>
      </c>
      <c r="K5333">
        <v>0</v>
      </c>
      <c r="L5333">
        <v>389735.092</v>
      </c>
      <c r="M5333">
        <v>0</v>
      </c>
      <c r="T5333" s="9">
        <v>45108</v>
      </c>
      <c r="U5333" s="9">
        <v>45473</v>
      </c>
      <c r="V5333">
        <f>SUM(POTABLE_NONPOTABLE_API[[#This Row],[RESIDENTIAL_SINGLEFAMILY_GAL]:[OTHER_GAL]])</f>
        <v>102023072.02</v>
      </c>
      <c r="W5333">
        <f>SUM(POTABLE_NONPOTABLE_API[[#This Row],[NONPOTABLE_DEMAND_RESIDENTIAL_RECYCLED_WATER_GAL]:[NONPOTABLE_DEMAND_NONRESIDENTIAL_METERED_IRRIGATION_GAL]])</f>
        <v>0</v>
      </c>
      <c r="X5333" t="str">
        <f>IFERROR(INDEX(Crosswalk_API!$H$2:$H$527, MATCH(POTABLE_NONPOTABLE_API[[#This Row],[PWSID]], CW_PWSID_LIST, 0)), "")</f>
        <v>No</v>
      </c>
    </row>
    <row r="5334" spans="1:24" x14ac:dyDescent="0.25">
      <c r="A5334" t="s">
        <v>2299</v>
      </c>
      <c r="B5334" t="s">
        <v>2300</v>
      </c>
      <c r="C5334" t="s">
        <v>2301</v>
      </c>
      <c r="D5334" t="s">
        <v>2302</v>
      </c>
      <c r="E5334" s="9">
        <v>45231</v>
      </c>
      <c r="F5334" s="9">
        <v>45260</v>
      </c>
      <c r="G5334">
        <v>51683660.732000001</v>
      </c>
      <c r="H5334">
        <v>16135481.640000001</v>
      </c>
      <c r="I5334">
        <v>5997880.9359999998</v>
      </c>
      <c r="J5334">
        <v>6732.4679999999998</v>
      </c>
      <c r="K5334">
        <v>0</v>
      </c>
      <c r="L5334">
        <v>19449.351999999999</v>
      </c>
      <c r="M5334">
        <v>0</v>
      </c>
      <c r="T5334" s="9">
        <v>45108</v>
      </c>
      <c r="U5334" s="9">
        <v>45473</v>
      </c>
      <c r="V5334">
        <f>SUM(POTABLE_NONPOTABLE_API[[#This Row],[RESIDENTIAL_SINGLEFAMILY_GAL]:[OTHER_GAL]])</f>
        <v>73843205.128000006</v>
      </c>
      <c r="W5334">
        <f>SUM(POTABLE_NONPOTABLE_API[[#This Row],[NONPOTABLE_DEMAND_RESIDENTIAL_RECYCLED_WATER_GAL]:[NONPOTABLE_DEMAND_NONRESIDENTIAL_METERED_IRRIGATION_GAL]])</f>
        <v>0</v>
      </c>
      <c r="X5334" t="str">
        <f>IFERROR(INDEX(Crosswalk_API!$H$2:$H$527, MATCH(POTABLE_NONPOTABLE_API[[#This Row],[PWSID]], CW_PWSID_LIST, 0)), "")</f>
        <v>No</v>
      </c>
    </row>
    <row r="5335" spans="1:24" x14ac:dyDescent="0.25">
      <c r="A5335" t="s">
        <v>2299</v>
      </c>
      <c r="B5335" t="s">
        <v>2300</v>
      </c>
      <c r="C5335" t="s">
        <v>2301</v>
      </c>
      <c r="D5335" t="s">
        <v>2302</v>
      </c>
      <c r="E5335" s="9">
        <v>45261</v>
      </c>
      <c r="F5335" s="9">
        <v>45291</v>
      </c>
      <c r="G5335">
        <v>25869882.316</v>
      </c>
      <c r="H5335">
        <v>24221923.760000002</v>
      </c>
      <c r="I5335">
        <v>12789445.044</v>
      </c>
      <c r="J5335">
        <v>17953.248</v>
      </c>
      <c r="K5335">
        <v>0</v>
      </c>
      <c r="L5335">
        <v>13464.936</v>
      </c>
      <c r="M5335">
        <v>0</v>
      </c>
      <c r="T5335" s="9">
        <v>45108</v>
      </c>
      <c r="U5335" s="9">
        <v>45473</v>
      </c>
      <c r="V5335">
        <f>SUM(POTABLE_NONPOTABLE_API[[#This Row],[RESIDENTIAL_SINGLEFAMILY_GAL]:[OTHER_GAL]])</f>
        <v>62912669.304000005</v>
      </c>
      <c r="W5335">
        <f>SUM(POTABLE_NONPOTABLE_API[[#This Row],[NONPOTABLE_DEMAND_RESIDENTIAL_RECYCLED_WATER_GAL]:[NONPOTABLE_DEMAND_NONRESIDENTIAL_METERED_IRRIGATION_GAL]])</f>
        <v>0</v>
      </c>
      <c r="X5335" t="str">
        <f>IFERROR(INDEX(Crosswalk_API!$H$2:$H$527, MATCH(POTABLE_NONPOTABLE_API[[#This Row],[PWSID]], CW_PWSID_LIST, 0)), "")</f>
        <v>No</v>
      </c>
    </row>
    <row r="5336" spans="1:24" x14ac:dyDescent="0.25">
      <c r="A5336" t="s">
        <v>2299</v>
      </c>
      <c r="B5336" t="s">
        <v>2300</v>
      </c>
      <c r="C5336" t="s">
        <v>2301</v>
      </c>
      <c r="D5336" t="s">
        <v>2302</v>
      </c>
      <c r="E5336" s="9">
        <v>45292</v>
      </c>
      <c r="F5336" s="9">
        <v>45322</v>
      </c>
      <c r="G5336">
        <v>57942611.816</v>
      </c>
      <c r="H5336">
        <v>26781009.652000003</v>
      </c>
      <c r="I5336">
        <v>6519273.1800000006</v>
      </c>
      <c r="J5336">
        <v>24685.716</v>
      </c>
      <c r="K5336">
        <v>0</v>
      </c>
      <c r="L5336">
        <v>387490.93599999999</v>
      </c>
      <c r="M5336">
        <v>0</v>
      </c>
      <c r="T5336" s="9">
        <v>45108</v>
      </c>
      <c r="U5336" s="9">
        <v>45473</v>
      </c>
      <c r="V5336">
        <f>SUM(POTABLE_NONPOTABLE_API[[#This Row],[RESIDENTIAL_SINGLEFAMILY_GAL]:[OTHER_GAL]])</f>
        <v>91655071.300000012</v>
      </c>
      <c r="W5336">
        <f>SUM(POTABLE_NONPOTABLE_API[[#This Row],[NONPOTABLE_DEMAND_RESIDENTIAL_RECYCLED_WATER_GAL]:[NONPOTABLE_DEMAND_NONRESIDENTIAL_METERED_IRRIGATION_GAL]])</f>
        <v>0</v>
      </c>
      <c r="X5336" t="str">
        <f>IFERROR(INDEX(Crosswalk_API!$H$2:$H$527, MATCH(POTABLE_NONPOTABLE_API[[#This Row],[PWSID]], CW_PWSID_LIST, 0)), "")</f>
        <v>No</v>
      </c>
    </row>
    <row r="5337" spans="1:24" x14ac:dyDescent="0.25">
      <c r="A5337" t="s">
        <v>2299</v>
      </c>
      <c r="B5337" t="s">
        <v>2300</v>
      </c>
      <c r="C5337" t="s">
        <v>2301</v>
      </c>
      <c r="D5337" t="s">
        <v>2302</v>
      </c>
      <c r="E5337" s="9">
        <v>45323</v>
      </c>
      <c r="F5337" s="9">
        <v>45351</v>
      </c>
      <c r="G5337">
        <v>26206505.716000002</v>
      </c>
      <c r="H5337">
        <v>20879627.424000002</v>
      </c>
      <c r="I5337">
        <v>8619055.1439999994</v>
      </c>
      <c r="J5337">
        <v>19449.351999999999</v>
      </c>
      <c r="K5337">
        <v>0</v>
      </c>
      <c r="L5337">
        <v>253589.628</v>
      </c>
      <c r="M5337">
        <v>0</v>
      </c>
      <c r="T5337" s="9">
        <v>45108</v>
      </c>
      <c r="U5337" s="9">
        <v>45473</v>
      </c>
      <c r="V5337">
        <f>SUM(POTABLE_NONPOTABLE_API[[#This Row],[RESIDENTIAL_SINGLEFAMILY_GAL]:[OTHER_GAL]])</f>
        <v>55978227.263999999</v>
      </c>
      <c r="W5337">
        <f>SUM(POTABLE_NONPOTABLE_API[[#This Row],[NONPOTABLE_DEMAND_RESIDENTIAL_RECYCLED_WATER_GAL]:[NONPOTABLE_DEMAND_NONRESIDENTIAL_METERED_IRRIGATION_GAL]])</f>
        <v>0</v>
      </c>
      <c r="X5337" t="str">
        <f>IFERROR(INDEX(Crosswalk_API!$H$2:$H$527, MATCH(POTABLE_NONPOTABLE_API[[#This Row],[PWSID]], CW_PWSID_LIST, 0)), "")</f>
        <v>No</v>
      </c>
    </row>
    <row r="5338" spans="1:24" x14ac:dyDescent="0.25">
      <c r="A5338" t="s">
        <v>2299</v>
      </c>
      <c r="B5338" t="s">
        <v>2300</v>
      </c>
      <c r="C5338" t="s">
        <v>2301</v>
      </c>
      <c r="D5338" t="s">
        <v>2302</v>
      </c>
      <c r="E5338" s="9">
        <v>45352</v>
      </c>
      <c r="F5338" s="9">
        <v>45382</v>
      </c>
      <c r="G5338">
        <v>26025477.131999999</v>
      </c>
      <c r="H5338">
        <v>17640562.264000002</v>
      </c>
      <c r="I5338">
        <v>5033641.9079999998</v>
      </c>
      <c r="J5338">
        <v>4488.3119999999999</v>
      </c>
      <c r="K5338">
        <v>0</v>
      </c>
      <c r="L5338">
        <v>23937.664000000001</v>
      </c>
      <c r="M5338">
        <v>0</v>
      </c>
      <c r="T5338" s="9">
        <v>45108</v>
      </c>
      <c r="U5338" s="9">
        <v>45473</v>
      </c>
      <c r="V5338">
        <f>SUM(POTABLE_NONPOTABLE_API[[#This Row],[RESIDENTIAL_SINGLEFAMILY_GAL]:[OTHER_GAL]])</f>
        <v>48728107.279999994</v>
      </c>
      <c r="W5338">
        <f>SUM(POTABLE_NONPOTABLE_API[[#This Row],[NONPOTABLE_DEMAND_RESIDENTIAL_RECYCLED_WATER_GAL]:[NONPOTABLE_DEMAND_NONRESIDENTIAL_METERED_IRRIGATION_GAL]])</f>
        <v>0</v>
      </c>
      <c r="X5338" t="str">
        <f>IFERROR(INDEX(Crosswalk_API!$H$2:$H$527, MATCH(POTABLE_NONPOTABLE_API[[#This Row],[PWSID]], CW_PWSID_LIST, 0)), "")</f>
        <v>No</v>
      </c>
    </row>
    <row r="5339" spans="1:24" x14ac:dyDescent="0.25">
      <c r="A5339" t="s">
        <v>2299</v>
      </c>
      <c r="B5339" t="s">
        <v>2300</v>
      </c>
      <c r="C5339" t="s">
        <v>2301</v>
      </c>
      <c r="D5339" t="s">
        <v>2302</v>
      </c>
      <c r="E5339" s="9">
        <v>45383</v>
      </c>
      <c r="F5339" s="9">
        <v>45412</v>
      </c>
      <c r="G5339">
        <v>32865664.620000001</v>
      </c>
      <c r="H5339">
        <v>24785206.916000001</v>
      </c>
      <c r="I5339">
        <v>9636405.8640000001</v>
      </c>
      <c r="J5339">
        <v>32166.236000000001</v>
      </c>
      <c r="K5339">
        <v>0</v>
      </c>
      <c r="L5339">
        <v>263314.304</v>
      </c>
      <c r="M5339">
        <v>0</v>
      </c>
      <c r="T5339" s="9">
        <v>45108</v>
      </c>
      <c r="U5339" s="9">
        <v>45473</v>
      </c>
      <c r="V5339">
        <f>SUM(POTABLE_NONPOTABLE_API[[#This Row],[RESIDENTIAL_SINGLEFAMILY_GAL]:[OTHER_GAL]])</f>
        <v>67582757.940000013</v>
      </c>
      <c r="W5339">
        <f>SUM(POTABLE_NONPOTABLE_API[[#This Row],[NONPOTABLE_DEMAND_RESIDENTIAL_RECYCLED_WATER_GAL]:[NONPOTABLE_DEMAND_NONRESIDENTIAL_METERED_IRRIGATION_GAL]])</f>
        <v>0</v>
      </c>
      <c r="X5339" t="str">
        <f>IFERROR(INDEX(Crosswalk_API!$H$2:$H$527, MATCH(POTABLE_NONPOTABLE_API[[#This Row],[PWSID]], CW_PWSID_LIST, 0)), "")</f>
        <v>No</v>
      </c>
    </row>
    <row r="5340" spans="1:24" x14ac:dyDescent="0.25">
      <c r="A5340" t="s">
        <v>2299</v>
      </c>
      <c r="B5340" t="s">
        <v>2300</v>
      </c>
      <c r="C5340" t="s">
        <v>2301</v>
      </c>
      <c r="D5340" t="s">
        <v>2302</v>
      </c>
      <c r="E5340" s="9">
        <v>45413</v>
      </c>
      <c r="F5340" s="9">
        <v>45443</v>
      </c>
      <c r="G5340">
        <v>28483576.004000001</v>
      </c>
      <c r="H5340">
        <v>23529227.607999999</v>
      </c>
      <c r="I5340">
        <v>11969580.052000001</v>
      </c>
      <c r="J5340">
        <v>3740.26</v>
      </c>
      <c r="K5340">
        <v>0</v>
      </c>
      <c r="L5340">
        <v>20945.456000000002</v>
      </c>
      <c r="M5340">
        <v>0</v>
      </c>
      <c r="T5340" s="9">
        <v>45108</v>
      </c>
      <c r="U5340" s="9">
        <v>45473</v>
      </c>
      <c r="V5340">
        <f>SUM(POTABLE_NONPOTABLE_API[[#This Row],[RESIDENTIAL_SINGLEFAMILY_GAL]:[OTHER_GAL]])</f>
        <v>64007069.380000003</v>
      </c>
      <c r="W5340">
        <f>SUM(POTABLE_NONPOTABLE_API[[#This Row],[NONPOTABLE_DEMAND_RESIDENTIAL_RECYCLED_WATER_GAL]:[NONPOTABLE_DEMAND_NONRESIDENTIAL_METERED_IRRIGATION_GAL]])</f>
        <v>0</v>
      </c>
      <c r="X5340" t="str">
        <f>IFERROR(INDEX(Crosswalk_API!$H$2:$H$527, MATCH(POTABLE_NONPOTABLE_API[[#This Row],[PWSID]], CW_PWSID_LIST, 0)), "")</f>
        <v>No</v>
      </c>
    </row>
    <row r="5341" spans="1:24" x14ac:dyDescent="0.25">
      <c r="A5341" t="s">
        <v>2299</v>
      </c>
      <c r="B5341" t="s">
        <v>2300</v>
      </c>
      <c r="C5341" t="s">
        <v>2301</v>
      </c>
      <c r="D5341" t="s">
        <v>2302</v>
      </c>
      <c r="E5341" s="9">
        <v>45444</v>
      </c>
      <c r="F5341" s="9">
        <v>45473</v>
      </c>
      <c r="G5341">
        <v>47397322.772</v>
      </c>
      <c r="H5341">
        <v>17737060.971999999</v>
      </c>
      <c r="I5341">
        <v>5905870.54</v>
      </c>
      <c r="J5341">
        <v>109215.592</v>
      </c>
      <c r="K5341">
        <v>0</v>
      </c>
      <c r="L5341">
        <v>388987.04000000004</v>
      </c>
      <c r="M5341">
        <v>0</v>
      </c>
      <c r="T5341" s="9">
        <v>45108</v>
      </c>
      <c r="U5341" s="9">
        <v>45473</v>
      </c>
      <c r="V5341">
        <f>SUM(POTABLE_NONPOTABLE_API[[#This Row],[RESIDENTIAL_SINGLEFAMILY_GAL]:[OTHER_GAL]])</f>
        <v>71538456.916000009</v>
      </c>
      <c r="W5341">
        <f>SUM(POTABLE_NONPOTABLE_API[[#This Row],[NONPOTABLE_DEMAND_RESIDENTIAL_RECYCLED_WATER_GAL]:[NONPOTABLE_DEMAND_NONRESIDENTIAL_METERED_IRRIGATION_GAL]])</f>
        <v>0</v>
      </c>
      <c r="X5341" t="str">
        <f>IFERROR(INDEX(Crosswalk_API!$H$2:$H$527, MATCH(POTABLE_NONPOTABLE_API[[#This Row],[PWSID]], CW_PWSID_LIST, 0)), "")</f>
        <v>No</v>
      </c>
    </row>
    <row r="5342" spans="1:24" x14ac:dyDescent="0.25">
      <c r="A5342" t="s">
        <v>2303</v>
      </c>
      <c r="B5342" t="s">
        <v>2304</v>
      </c>
      <c r="C5342" t="s">
        <v>2305</v>
      </c>
      <c r="D5342" t="s">
        <v>2306</v>
      </c>
      <c r="E5342" s="9">
        <v>45108</v>
      </c>
      <c r="F5342" s="9">
        <v>45138</v>
      </c>
      <c r="G5342">
        <v>87000000</v>
      </c>
      <c r="H5342">
        <v>21000000</v>
      </c>
      <c r="I5342">
        <v>45250000</v>
      </c>
      <c r="J5342">
        <v>0</v>
      </c>
      <c r="K5342">
        <v>0</v>
      </c>
      <c r="L5342">
        <v>0</v>
      </c>
      <c r="M5342">
        <v>0</v>
      </c>
      <c r="T5342" s="9">
        <v>45108</v>
      </c>
      <c r="U5342" s="9">
        <v>45473</v>
      </c>
      <c r="V5342">
        <f>SUM(POTABLE_NONPOTABLE_API[[#This Row],[RESIDENTIAL_SINGLEFAMILY_GAL]:[OTHER_GAL]])</f>
        <v>153250000</v>
      </c>
      <c r="W5342">
        <f>SUM(POTABLE_NONPOTABLE_API[[#This Row],[NONPOTABLE_DEMAND_RESIDENTIAL_RECYCLED_WATER_GAL]:[NONPOTABLE_DEMAND_NONRESIDENTIAL_METERED_IRRIGATION_GAL]])</f>
        <v>0</v>
      </c>
      <c r="X5342" t="str">
        <f>IFERROR(INDEX(Crosswalk_API!$H$2:$H$527, MATCH(POTABLE_NONPOTABLE_API[[#This Row],[PWSID]], CW_PWSID_LIST, 0)), "")</f>
        <v>No</v>
      </c>
    </row>
    <row r="5343" spans="1:24" x14ac:dyDescent="0.25">
      <c r="A5343" t="s">
        <v>2303</v>
      </c>
      <c r="B5343" t="s">
        <v>2304</v>
      </c>
      <c r="C5343" t="s">
        <v>2305</v>
      </c>
      <c r="D5343" t="s">
        <v>2306</v>
      </c>
      <c r="E5343" s="9">
        <v>45139</v>
      </c>
      <c r="F5343" s="9">
        <v>45169</v>
      </c>
      <c r="G5343">
        <v>123813620</v>
      </c>
      <c r="H5343">
        <v>27775700.919999998</v>
      </c>
      <c r="I5343">
        <v>65633978.080000006</v>
      </c>
      <c r="J5343">
        <v>0</v>
      </c>
      <c r="K5343">
        <v>0</v>
      </c>
      <c r="L5343">
        <v>0</v>
      </c>
      <c r="M5343">
        <v>0</v>
      </c>
      <c r="T5343" s="9">
        <v>45108</v>
      </c>
      <c r="U5343" s="9">
        <v>45473</v>
      </c>
      <c r="V5343">
        <f>SUM(POTABLE_NONPOTABLE_API[[#This Row],[RESIDENTIAL_SINGLEFAMILY_GAL]:[OTHER_GAL]])</f>
        <v>217223299</v>
      </c>
      <c r="W5343">
        <f>SUM(POTABLE_NONPOTABLE_API[[#This Row],[NONPOTABLE_DEMAND_RESIDENTIAL_RECYCLED_WATER_GAL]:[NONPOTABLE_DEMAND_NONRESIDENTIAL_METERED_IRRIGATION_GAL]])</f>
        <v>0</v>
      </c>
      <c r="X5343" t="str">
        <f>IFERROR(INDEX(Crosswalk_API!$H$2:$H$527, MATCH(POTABLE_NONPOTABLE_API[[#This Row],[PWSID]], CW_PWSID_LIST, 0)), "")</f>
        <v>No</v>
      </c>
    </row>
    <row r="5344" spans="1:24" x14ac:dyDescent="0.25">
      <c r="A5344" t="s">
        <v>2303</v>
      </c>
      <c r="B5344" t="s">
        <v>2304</v>
      </c>
      <c r="C5344" t="s">
        <v>2305</v>
      </c>
      <c r="D5344" t="s">
        <v>2306</v>
      </c>
      <c r="E5344" s="9">
        <v>45170</v>
      </c>
      <c r="F5344" s="9">
        <v>45199</v>
      </c>
      <c r="G5344">
        <v>75515476.959999993</v>
      </c>
      <c r="H5344">
        <v>19240684.32</v>
      </c>
      <c r="I5344">
        <v>45008715.840000004</v>
      </c>
      <c r="J5344">
        <v>0</v>
      </c>
      <c r="K5344">
        <v>0</v>
      </c>
      <c r="L5344">
        <v>0</v>
      </c>
      <c r="M5344">
        <v>0</v>
      </c>
      <c r="N5344">
        <v>0</v>
      </c>
      <c r="O5344">
        <v>0</v>
      </c>
      <c r="P5344">
        <v>0</v>
      </c>
      <c r="Q5344">
        <v>104341510.5</v>
      </c>
      <c r="R5344">
        <v>0</v>
      </c>
      <c r="S5344">
        <v>0</v>
      </c>
      <c r="T5344" s="9">
        <v>45108</v>
      </c>
      <c r="U5344" s="9">
        <v>45473</v>
      </c>
      <c r="V5344">
        <f>SUM(POTABLE_NONPOTABLE_API[[#This Row],[RESIDENTIAL_SINGLEFAMILY_GAL]:[OTHER_GAL]])</f>
        <v>139764877.12</v>
      </c>
      <c r="W5344">
        <f>SUM(POTABLE_NONPOTABLE_API[[#This Row],[NONPOTABLE_DEMAND_RESIDENTIAL_RECYCLED_WATER_GAL]:[NONPOTABLE_DEMAND_NONRESIDENTIAL_METERED_IRRIGATION_GAL]])</f>
        <v>104341510.5</v>
      </c>
      <c r="X5344" t="str">
        <f>IFERROR(INDEX(Crosswalk_API!$H$2:$H$527, MATCH(POTABLE_NONPOTABLE_API[[#This Row],[PWSID]], CW_PWSID_LIST, 0)), "")</f>
        <v>No</v>
      </c>
    </row>
    <row r="5345" spans="1:24" x14ac:dyDescent="0.25">
      <c r="A5345" t="s">
        <v>2303</v>
      </c>
      <c r="B5345" t="s">
        <v>2304</v>
      </c>
      <c r="C5345" t="s">
        <v>2305</v>
      </c>
      <c r="D5345" t="s">
        <v>2306</v>
      </c>
      <c r="E5345" s="9">
        <v>45200</v>
      </c>
      <c r="F5345" s="9">
        <v>45230</v>
      </c>
      <c r="G5345">
        <v>74463699.199999988</v>
      </c>
      <c r="H5345">
        <v>20616121.68</v>
      </c>
      <c r="I5345">
        <v>46426000</v>
      </c>
      <c r="J5345">
        <v>0</v>
      </c>
      <c r="K5345">
        <v>0</v>
      </c>
      <c r="L5345">
        <v>0</v>
      </c>
      <c r="M5345">
        <v>0</v>
      </c>
      <c r="N5345">
        <v>0</v>
      </c>
      <c r="O5345">
        <v>0</v>
      </c>
      <c r="P5345">
        <v>0</v>
      </c>
      <c r="Q5345">
        <v>107936988.8</v>
      </c>
      <c r="R5345">
        <v>0</v>
      </c>
      <c r="S5345">
        <v>0</v>
      </c>
      <c r="T5345" s="9">
        <v>45108</v>
      </c>
      <c r="U5345" s="9">
        <v>45473</v>
      </c>
      <c r="V5345">
        <f>SUM(POTABLE_NONPOTABLE_API[[#This Row],[RESIDENTIAL_SINGLEFAMILY_GAL]:[OTHER_GAL]])</f>
        <v>141505820.88</v>
      </c>
      <c r="W5345">
        <f>SUM(POTABLE_NONPOTABLE_API[[#This Row],[NONPOTABLE_DEMAND_RESIDENTIAL_RECYCLED_WATER_GAL]:[NONPOTABLE_DEMAND_NONRESIDENTIAL_METERED_IRRIGATION_GAL]])</f>
        <v>107936988.8</v>
      </c>
      <c r="X5345" t="str">
        <f>IFERROR(INDEX(Crosswalk_API!$H$2:$H$527, MATCH(POTABLE_NONPOTABLE_API[[#This Row],[PWSID]], CW_PWSID_LIST, 0)), "")</f>
        <v>No</v>
      </c>
    </row>
    <row r="5346" spans="1:24" x14ac:dyDescent="0.25">
      <c r="A5346" t="s">
        <v>2303</v>
      </c>
      <c r="B5346" t="s">
        <v>2304</v>
      </c>
      <c r="C5346" t="s">
        <v>2305</v>
      </c>
      <c r="D5346" t="s">
        <v>2306</v>
      </c>
      <c r="E5346" s="9">
        <v>45231</v>
      </c>
      <c r="F5346" s="9">
        <v>45260</v>
      </c>
      <c r="G5346">
        <v>30557505.440000001</v>
      </c>
      <c r="H5346">
        <v>14737238.120000001</v>
      </c>
      <c r="I5346">
        <v>22596504.039999999</v>
      </c>
      <c r="J5346">
        <v>0</v>
      </c>
      <c r="K5346">
        <v>0</v>
      </c>
      <c r="L5346">
        <v>4592630.24</v>
      </c>
      <c r="M5346">
        <v>0</v>
      </c>
      <c r="T5346" s="9">
        <v>45108</v>
      </c>
      <c r="U5346" s="9">
        <v>45473</v>
      </c>
      <c r="V5346">
        <f>SUM(POTABLE_NONPOTABLE_API[[#This Row],[RESIDENTIAL_SINGLEFAMILY_GAL]:[OTHER_GAL]])</f>
        <v>72483877.839999989</v>
      </c>
      <c r="W5346">
        <f>SUM(POTABLE_NONPOTABLE_API[[#This Row],[NONPOTABLE_DEMAND_RESIDENTIAL_RECYCLED_WATER_GAL]:[NONPOTABLE_DEMAND_NONRESIDENTIAL_METERED_IRRIGATION_GAL]])</f>
        <v>0</v>
      </c>
      <c r="X5346" t="str">
        <f>IFERROR(INDEX(Crosswalk_API!$H$2:$H$527, MATCH(POTABLE_NONPOTABLE_API[[#This Row],[PWSID]], CW_PWSID_LIST, 0)), "")</f>
        <v>No</v>
      </c>
    </row>
    <row r="5347" spans="1:24" x14ac:dyDescent="0.25">
      <c r="A5347" t="s">
        <v>2303</v>
      </c>
      <c r="B5347" t="s">
        <v>2304</v>
      </c>
      <c r="C5347" t="s">
        <v>2305</v>
      </c>
      <c r="D5347" t="s">
        <v>2306</v>
      </c>
      <c r="E5347" s="9">
        <v>45261</v>
      </c>
      <c r="F5347" s="9">
        <v>45291</v>
      </c>
      <c r="G5347">
        <v>25100495.872960005</v>
      </c>
      <c r="H5347">
        <v>13563110.344480002</v>
      </c>
      <c r="I5347">
        <v>33501127.313480001</v>
      </c>
      <c r="J5347">
        <v>0</v>
      </c>
      <c r="K5347">
        <v>0</v>
      </c>
      <c r="L5347">
        <v>0</v>
      </c>
      <c r="M5347">
        <v>0</v>
      </c>
      <c r="T5347" s="9">
        <v>45108</v>
      </c>
      <c r="U5347" s="9">
        <v>45473</v>
      </c>
      <c r="V5347">
        <f>SUM(POTABLE_NONPOTABLE_API[[#This Row],[RESIDENTIAL_SINGLEFAMILY_GAL]:[OTHER_GAL]])</f>
        <v>72164733.530920014</v>
      </c>
      <c r="W5347">
        <f>SUM(POTABLE_NONPOTABLE_API[[#This Row],[NONPOTABLE_DEMAND_RESIDENTIAL_RECYCLED_WATER_GAL]:[NONPOTABLE_DEMAND_NONRESIDENTIAL_METERED_IRRIGATION_GAL]])</f>
        <v>0</v>
      </c>
      <c r="X5347" t="str">
        <f>IFERROR(INDEX(Crosswalk_API!$H$2:$H$527, MATCH(POTABLE_NONPOTABLE_API[[#This Row],[PWSID]], CW_PWSID_LIST, 0)), "")</f>
        <v>No</v>
      </c>
    </row>
    <row r="5348" spans="1:24" x14ac:dyDescent="0.25">
      <c r="A5348" t="s">
        <v>2303</v>
      </c>
      <c r="B5348" t="s">
        <v>2304</v>
      </c>
      <c r="C5348" t="s">
        <v>2305</v>
      </c>
      <c r="D5348" t="s">
        <v>2306</v>
      </c>
      <c r="E5348" s="9">
        <v>45292</v>
      </c>
      <c r="F5348" s="9">
        <v>45322</v>
      </c>
      <c r="G5348">
        <v>39584122.600000001</v>
      </c>
      <c r="H5348">
        <v>18163893.439999998</v>
      </c>
      <c r="I5348">
        <v>46739542.960000001</v>
      </c>
      <c r="J5348">
        <v>0</v>
      </c>
      <c r="K5348">
        <v>0</v>
      </c>
      <c r="L5348">
        <v>0</v>
      </c>
      <c r="M5348">
        <v>0</v>
      </c>
      <c r="T5348" s="9">
        <v>45108</v>
      </c>
      <c r="U5348" s="9">
        <v>45473</v>
      </c>
      <c r="V5348">
        <f>SUM(POTABLE_NONPOTABLE_API[[#This Row],[RESIDENTIAL_SINGLEFAMILY_GAL]:[OTHER_GAL]])</f>
        <v>104487559</v>
      </c>
      <c r="W5348">
        <f>SUM(POTABLE_NONPOTABLE_API[[#This Row],[NONPOTABLE_DEMAND_RESIDENTIAL_RECYCLED_WATER_GAL]:[NONPOTABLE_DEMAND_NONRESIDENTIAL_METERED_IRRIGATION_GAL]])</f>
        <v>0</v>
      </c>
      <c r="X5348" t="str">
        <f>IFERROR(INDEX(Crosswalk_API!$H$2:$H$527, MATCH(POTABLE_NONPOTABLE_API[[#This Row],[PWSID]], CW_PWSID_LIST, 0)), "")</f>
        <v>No</v>
      </c>
    </row>
    <row r="5349" spans="1:24" x14ac:dyDescent="0.25">
      <c r="A5349" t="s">
        <v>2303</v>
      </c>
      <c r="B5349" t="s">
        <v>2304</v>
      </c>
      <c r="C5349" t="s">
        <v>2305</v>
      </c>
      <c r="D5349" t="s">
        <v>2306</v>
      </c>
      <c r="E5349" s="9">
        <v>45323</v>
      </c>
      <c r="F5349" s="9">
        <v>45351</v>
      </c>
      <c r="G5349">
        <v>25177119</v>
      </c>
      <c r="H5349">
        <v>13212096.040000001</v>
      </c>
      <c r="I5349">
        <v>27940956.559999999</v>
      </c>
      <c r="J5349">
        <v>0</v>
      </c>
      <c r="K5349">
        <v>0</v>
      </c>
      <c r="L5349">
        <v>0</v>
      </c>
      <c r="M5349">
        <v>0</v>
      </c>
      <c r="T5349" s="9">
        <v>45108</v>
      </c>
      <c r="U5349" s="9">
        <v>45473</v>
      </c>
      <c r="V5349">
        <f>SUM(POTABLE_NONPOTABLE_API[[#This Row],[RESIDENTIAL_SINGLEFAMILY_GAL]:[OTHER_GAL]])</f>
        <v>66330171.599999994</v>
      </c>
      <c r="W5349">
        <f>SUM(POTABLE_NONPOTABLE_API[[#This Row],[NONPOTABLE_DEMAND_RESIDENTIAL_RECYCLED_WATER_GAL]:[NONPOTABLE_DEMAND_NONRESIDENTIAL_METERED_IRRIGATION_GAL]])</f>
        <v>0</v>
      </c>
      <c r="X5349" t="str">
        <f>IFERROR(INDEX(Crosswalk_API!$H$2:$H$527, MATCH(POTABLE_NONPOTABLE_API[[#This Row],[PWSID]], CW_PWSID_LIST, 0)), "")</f>
        <v>No</v>
      </c>
    </row>
    <row r="5350" spans="1:24" x14ac:dyDescent="0.25">
      <c r="A5350" t="s">
        <v>2303</v>
      </c>
      <c r="B5350" t="s">
        <v>2304</v>
      </c>
      <c r="C5350" t="s">
        <v>2305</v>
      </c>
      <c r="D5350" t="s">
        <v>2306</v>
      </c>
      <c r="E5350" s="9">
        <v>45352</v>
      </c>
      <c r="F5350" s="9">
        <v>45382</v>
      </c>
      <c r="G5350">
        <v>29858619.120000001</v>
      </c>
      <c r="H5350">
        <v>14237005.639999999</v>
      </c>
      <c r="I5350">
        <v>21698657.199999999</v>
      </c>
      <c r="J5350">
        <v>0</v>
      </c>
      <c r="K5350">
        <v>0</v>
      </c>
      <c r="L5350">
        <v>0</v>
      </c>
      <c r="M5350">
        <v>0</v>
      </c>
      <c r="T5350" s="9">
        <v>45108</v>
      </c>
      <c r="U5350" s="9">
        <v>45473</v>
      </c>
      <c r="V5350">
        <f>SUM(POTABLE_NONPOTABLE_API[[#This Row],[RESIDENTIAL_SINGLEFAMILY_GAL]:[OTHER_GAL]])</f>
        <v>65794281.959999993</v>
      </c>
      <c r="W5350">
        <f>SUM(POTABLE_NONPOTABLE_API[[#This Row],[NONPOTABLE_DEMAND_RESIDENTIAL_RECYCLED_WATER_GAL]:[NONPOTABLE_DEMAND_NONRESIDENTIAL_METERED_IRRIGATION_GAL]])</f>
        <v>0</v>
      </c>
      <c r="X5350" t="str">
        <f>IFERROR(INDEX(Crosswalk_API!$H$2:$H$527, MATCH(POTABLE_NONPOTABLE_API[[#This Row],[PWSID]], CW_PWSID_LIST, 0)), "")</f>
        <v>No</v>
      </c>
    </row>
    <row r="5351" spans="1:24" x14ac:dyDescent="0.25">
      <c r="A5351" t="s">
        <v>2303</v>
      </c>
      <c r="B5351" t="s">
        <v>2304</v>
      </c>
      <c r="C5351" t="s">
        <v>2305</v>
      </c>
      <c r="D5351" t="s">
        <v>2306</v>
      </c>
      <c r="E5351" s="9">
        <v>45383</v>
      </c>
      <c r="F5351" s="9">
        <v>45412</v>
      </c>
      <c r="G5351">
        <v>33981901.800000004</v>
      </c>
      <c r="H5351">
        <v>18196588.52</v>
      </c>
      <c r="I5351">
        <v>22661333.200000003</v>
      </c>
      <c r="J5351">
        <v>0</v>
      </c>
      <c r="K5351">
        <v>0</v>
      </c>
      <c r="L5351">
        <v>4054982.8000000003</v>
      </c>
      <c r="M5351">
        <v>0</v>
      </c>
      <c r="T5351" s="9">
        <v>45108</v>
      </c>
      <c r="U5351" s="9">
        <v>45473</v>
      </c>
      <c r="V5351">
        <f>SUM(POTABLE_NONPOTABLE_API[[#This Row],[RESIDENTIAL_SINGLEFAMILY_GAL]:[OTHER_GAL]])</f>
        <v>78894806.320000008</v>
      </c>
      <c r="W5351">
        <f>SUM(POTABLE_NONPOTABLE_API[[#This Row],[NONPOTABLE_DEMAND_RESIDENTIAL_RECYCLED_WATER_GAL]:[NONPOTABLE_DEMAND_NONRESIDENTIAL_METERED_IRRIGATION_GAL]])</f>
        <v>0</v>
      </c>
      <c r="X5351" t="str">
        <f>IFERROR(INDEX(Crosswalk_API!$H$2:$H$527, MATCH(POTABLE_NONPOTABLE_API[[#This Row],[PWSID]], CW_PWSID_LIST, 0)), "")</f>
        <v>No</v>
      </c>
    </row>
    <row r="5352" spans="1:24" x14ac:dyDescent="0.25">
      <c r="A5352" t="s">
        <v>2303</v>
      </c>
      <c r="B5352" t="s">
        <v>2304</v>
      </c>
      <c r="C5352" t="s">
        <v>2305</v>
      </c>
      <c r="D5352" t="s">
        <v>2306</v>
      </c>
      <c r="E5352" s="9">
        <v>45413</v>
      </c>
      <c r="F5352" s="9">
        <v>45443</v>
      </c>
      <c r="G5352">
        <v>35386002.519999996</v>
      </c>
      <c r="H5352">
        <v>14155398.84</v>
      </c>
      <c r="I5352">
        <v>18500269.039999999</v>
      </c>
      <c r="J5352">
        <v>0</v>
      </c>
      <c r="K5352">
        <v>0</v>
      </c>
      <c r="L5352">
        <v>6148440.3199999994</v>
      </c>
      <c r="M5352">
        <v>0</v>
      </c>
      <c r="T5352" s="9">
        <v>45108</v>
      </c>
      <c r="U5352" s="9">
        <v>45473</v>
      </c>
      <c r="V5352">
        <f>SUM(POTABLE_NONPOTABLE_API[[#This Row],[RESIDENTIAL_SINGLEFAMILY_GAL]:[OTHER_GAL]])</f>
        <v>74190110.719999999</v>
      </c>
      <c r="W5352">
        <f>SUM(POTABLE_NONPOTABLE_API[[#This Row],[NONPOTABLE_DEMAND_RESIDENTIAL_RECYCLED_WATER_GAL]:[NONPOTABLE_DEMAND_NONRESIDENTIAL_METERED_IRRIGATION_GAL]])</f>
        <v>0</v>
      </c>
      <c r="X5352" t="str">
        <f>IFERROR(INDEX(Crosswalk_API!$H$2:$H$527, MATCH(POTABLE_NONPOTABLE_API[[#This Row],[PWSID]], CW_PWSID_LIST, 0)), "")</f>
        <v>No</v>
      </c>
    </row>
    <row r="5353" spans="1:24" x14ac:dyDescent="0.25">
      <c r="A5353" t="s">
        <v>2303</v>
      </c>
      <c r="B5353" t="s">
        <v>2304</v>
      </c>
      <c r="C5353" t="s">
        <v>2305</v>
      </c>
      <c r="D5353" t="s">
        <v>2306</v>
      </c>
      <c r="E5353" s="9">
        <v>45444</v>
      </c>
      <c r="F5353" s="9">
        <v>45473</v>
      </c>
      <c r="G5353">
        <v>80268538.239999995</v>
      </c>
      <c r="H5353">
        <v>19602476.960000001</v>
      </c>
      <c r="I5353">
        <v>30216888.68</v>
      </c>
      <c r="J5353">
        <v>0</v>
      </c>
      <c r="K5353">
        <v>0</v>
      </c>
      <c r="L5353">
        <v>10472964.92</v>
      </c>
      <c r="M5353">
        <v>0</v>
      </c>
      <c r="T5353" s="9">
        <v>45108</v>
      </c>
      <c r="U5353" s="9">
        <v>45473</v>
      </c>
      <c r="V5353">
        <f>SUM(POTABLE_NONPOTABLE_API[[#This Row],[RESIDENTIAL_SINGLEFAMILY_GAL]:[OTHER_GAL]])</f>
        <v>140560868.79999998</v>
      </c>
      <c r="W5353">
        <f>SUM(POTABLE_NONPOTABLE_API[[#This Row],[NONPOTABLE_DEMAND_RESIDENTIAL_RECYCLED_WATER_GAL]:[NONPOTABLE_DEMAND_NONRESIDENTIAL_METERED_IRRIGATION_GAL]])</f>
        <v>0</v>
      </c>
      <c r="X5353" t="str">
        <f>IFERROR(INDEX(Crosswalk_API!$H$2:$H$527, MATCH(POTABLE_NONPOTABLE_API[[#This Row],[PWSID]], CW_PWSID_LIST, 0)), "")</f>
        <v>No</v>
      </c>
    </row>
    <row r="5354" spans="1:24" x14ac:dyDescent="0.25">
      <c r="A5354" t="s">
        <v>2307</v>
      </c>
      <c r="B5354" t="s">
        <v>2308</v>
      </c>
      <c r="C5354" t="s">
        <v>2309</v>
      </c>
      <c r="D5354" t="s">
        <v>2310</v>
      </c>
      <c r="E5354" s="9">
        <v>45108</v>
      </c>
      <c r="F5354" s="9">
        <v>45138</v>
      </c>
      <c r="G5354">
        <v>0</v>
      </c>
      <c r="H5354">
        <v>0</v>
      </c>
      <c r="I5354">
        <v>0</v>
      </c>
      <c r="J5354">
        <v>0</v>
      </c>
      <c r="K5354">
        <v>0</v>
      </c>
      <c r="L5354">
        <v>0</v>
      </c>
      <c r="M5354">
        <v>0</v>
      </c>
      <c r="N5354">
        <v>0</v>
      </c>
      <c r="O5354">
        <v>0</v>
      </c>
      <c r="P5354">
        <v>0</v>
      </c>
      <c r="Q5354">
        <v>0</v>
      </c>
      <c r="R5354">
        <v>0</v>
      </c>
      <c r="S5354">
        <v>0</v>
      </c>
      <c r="T5354" s="9">
        <v>45108</v>
      </c>
      <c r="U5354" s="9">
        <v>45473</v>
      </c>
      <c r="V5354">
        <f>SUM(POTABLE_NONPOTABLE_API[[#This Row],[RESIDENTIAL_SINGLEFAMILY_GAL]:[OTHER_GAL]])</f>
        <v>0</v>
      </c>
      <c r="W5354">
        <f>SUM(POTABLE_NONPOTABLE_API[[#This Row],[NONPOTABLE_DEMAND_RESIDENTIAL_RECYCLED_WATER_GAL]:[NONPOTABLE_DEMAND_NONRESIDENTIAL_METERED_IRRIGATION_GAL]])</f>
        <v>0</v>
      </c>
      <c r="X5354" t="str">
        <f>IFERROR(INDEX(Crosswalk_API!$H$2:$H$527, MATCH(POTABLE_NONPOTABLE_API[[#This Row],[PWSID]], CW_PWSID_LIST, 0)), "")</f>
        <v>No</v>
      </c>
    </row>
    <row r="5355" spans="1:24" x14ac:dyDescent="0.25">
      <c r="A5355" t="s">
        <v>2307</v>
      </c>
      <c r="B5355" t="s">
        <v>2308</v>
      </c>
      <c r="C5355" t="s">
        <v>2309</v>
      </c>
      <c r="D5355" t="s">
        <v>2310</v>
      </c>
      <c r="E5355" s="9">
        <v>45139</v>
      </c>
      <c r="F5355" s="9">
        <v>45169</v>
      </c>
      <c r="G5355">
        <v>0</v>
      </c>
      <c r="H5355">
        <v>0</v>
      </c>
      <c r="I5355">
        <v>0</v>
      </c>
      <c r="J5355">
        <v>0</v>
      </c>
      <c r="K5355">
        <v>0</v>
      </c>
      <c r="L5355">
        <v>0</v>
      </c>
      <c r="M5355">
        <v>0</v>
      </c>
      <c r="N5355">
        <v>0</v>
      </c>
      <c r="O5355">
        <v>0</v>
      </c>
      <c r="P5355">
        <v>0</v>
      </c>
      <c r="Q5355">
        <v>0</v>
      </c>
      <c r="R5355">
        <v>0</v>
      </c>
      <c r="S5355">
        <v>0</v>
      </c>
      <c r="T5355" s="9">
        <v>45108</v>
      </c>
      <c r="U5355" s="9">
        <v>45473</v>
      </c>
      <c r="V5355">
        <f>SUM(POTABLE_NONPOTABLE_API[[#This Row],[RESIDENTIAL_SINGLEFAMILY_GAL]:[OTHER_GAL]])</f>
        <v>0</v>
      </c>
      <c r="W5355">
        <f>SUM(POTABLE_NONPOTABLE_API[[#This Row],[NONPOTABLE_DEMAND_RESIDENTIAL_RECYCLED_WATER_GAL]:[NONPOTABLE_DEMAND_NONRESIDENTIAL_METERED_IRRIGATION_GAL]])</f>
        <v>0</v>
      </c>
      <c r="X5355" t="str">
        <f>IFERROR(INDEX(Crosswalk_API!$H$2:$H$527, MATCH(POTABLE_NONPOTABLE_API[[#This Row],[PWSID]], CW_PWSID_LIST, 0)), "")</f>
        <v>No</v>
      </c>
    </row>
    <row r="5356" spans="1:24" x14ac:dyDescent="0.25">
      <c r="A5356" t="s">
        <v>2307</v>
      </c>
      <c r="B5356" t="s">
        <v>2308</v>
      </c>
      <c r="C5356" t="s">
        <v>2309</v>
      </c>
      <c r="D5356" t="s">
        <v>2310</v>
      </c>
      <c r="E5356" s="9">
        <v>45170</v>
      </c>
      <c r="F5356" s="9">
        <v>45199</v>
      </c>
      <c r="G5356">
        <v>0</v>
      </c>
      <c r="H5356">
        <v>0</v>
      </c>
      <c r="I5356">
        <v>0</v>
      </c>
      <c r="J5356">
        <v>0</v>
      </c>
      <c r="K5356">
        <v>0</v>
      </c>
      <c r="L5356">
        <v>0</v>
      </c>
      <c r="M5356">
        <v>0</v>
      </c>
      <c r="N5356">
        <v>0</v>
      </c>
      <c r="O5356">
        <v>0</v>
      </c>
      <c r="P5356">
        <v>0</v>
      </c>
      <c r="Q5356">
        <v>0</v>
      </c>
      <c r="R5356">
        <v>0</v>
      </c>
      <c r="T5356" s="9">
        <v>45108</v>
      </c>
      <c r="U5356" s="9">
        <v>45473</v>
      </c>
      <c r="V5356">
        <f>SUM(POTABLE_NONPOTABLE_API[[#This Row],[RESIDENTIAL_SINGLEFAMILY_GAL]:[OTHER_GAL]])</f>
        <v>0</v>
      </c>
      <c r="W5356">
        <f>SUM(POTABLE_NONPOTABLE_API[[#This Row],[NONPOTABLE_DEMAND_RESIDENTIAL_RECYCLED_WATER_GAL]:[NONPOTABLE_DEMAND_NONRESIDENTIAL_METERED_IRRIGATION_GAL]])</f>
        <v>0</v>
      </c>
      <c r="X5356" t="str">
        <f>IFERROR(INDEX(Crosswalk_API!$H$2:$H$527, MATCH(POTABLE_NONPOTABLE_API[[#This Row],[PWSID]], CW_PWSID_LIST, 0)), "")</f>
        <v>No</v>
      </c>
    </row>
    <row r="5357" spans="1:24" x14ac:dyDescent="0.25">
      <c r="A5357" t="s">
        <v>2307</v>
      </c>
      <c r="B5357" t="s">
        <v>2308</v>
      </c>
      <c r="C5357" t="s">
        <v>2309</v>
      </c>
      <c r="D5357" t="s">
        <v>2310</v>
      </c>
      <c r="E5357" s="9">
        <v>45200</v>
      </c>
      <c r="F5357" s="9">
        <v>45230</v>
      </c>
      <c r="G5357">
        <v>0</v>
      </c>
      <c r="H5357">
        <v>0</v>
      </c>
      <c r="I5357">
        <v>0</v>
      </c>
      <c r="J5357">
        <v>0</v>
      </c>
      <c r="K5357">
        <v>0</v>
      </c>
      <c r="L5357">
        <v>0</v>
      </c>
      <c r="M5357">
        <v>0</v>
      </c>
      <c r="N5357">
        <v>0</v>
      </c>
      <c r="O5357">
        <v>0</v>
      </c>
      <c r="P5357">
        <v>0</v>
      </c>
      <c r="Q5357">
        <v>0</v>
      </c>
      <c r="R5357">
        <v>0</v>
      </c>
      <c r="S5357">
        <v>0</v>
      </c>
      <c r="T5357" s="9">
        <v>45108</v>
      </c>
      <c r="U5357" s="9">
        <v>45473</v>
      </c>
      <c r="V5357">
        <f>SUM(POTABLE_NONPOTABLE_API[[#This Row],[RESIDENTIAL_SINGLEFAMILY_GAL]:[OTHER_GAL]])</f>
        <v>0</v>
      </c>
      <c r="W5357">
        <f>SUM(POTABLE_NONPOTABLE_API[[#This Row],[NONPOTABLE_DEMAND_RESIDENTIAL_RECYCLED_WATER_GAL]:[NONPOTABLE_DEMAND_NONRESIDENTIAL_METERED_IRRIGATION_GAL]])</f>
        <v>0</v>
      </c>
      <c r="X5357" t="str">
        <f>IFERROR(INDEX(Crosswalk_API!$H$2:$H$527, MATCH(POTABLE_NONPOTABLE_API[[#This Row],[PWSID]], CW_PWSID_LIST, 0)), "")</f>
        <v>No</v>
      </c>
    </row>
    <row r="5358" spans="1:24" x14ac:dyDescent="0.25">
      <c r="A5358" t="s">
        <v>2307</v>
      </c>
      <c r="B5358" t="s">
        <v>2308</v>
      </c>
      <c r="C5358" t="s">
        <v>2309</v>
      </c>
      <c r="D5358" t="s">
        <v>2310</v>
      </c>
      <c r="E5358" s="9">
        <v>45231</v>
      </c>
      <c r="F5358" s="9">
        <v>45260</v>
      </c>
      <c r="G5358">
        <v>0</v>
      </c>
      <c r="H5358">
        <v>0</v>
      </c>
      <c r="I5358">
        <v>0</v>
      </c>
      <c r="J5358">
        <v>0</v>
      </c>
      <c r="K5358">
        <v>0</v>
      </c>
      <c r="L5358">
        <v>0</v>
      </c>
      <c r="M5358">
        <v>0</v>
      </c>
      <c r="N5358">
        <v>0</v>
      </c>
      <c r="O5358">
        <v>0</v>
      </c>
      <c r="P5358">
        <v>0</v>
      </c>
      <c r="Q5358">
        <v>0</v>
      </c>
      <c r="R5358">
        <v>0</v>
      </c>
      <c r="S5358">
        <v>0</v>
      </c>
      <c r="T5358" s="9">
        <v>45108</v>
      </c>
      <c r="U5358" s="9">
        <v>45473</v>
      </c>
      <c r="V5358">
        <f>SUM(POTABLE_NONPOTABLE_API[[#This Row],[RESIDENTIAL_SINGLEFAMILY_GAL]:[OTHER_GAL]])</f>
        <v>0</v>
      </c>
      <c r="W5358">
        <f>SUM(POTABLE_NONPOTABLE_API[[#This Row],[NONPOTABLE_DEMAND_RESIDENTIAL_RECYCLED_WATER_GAL]:[NONPOTABLE_DEMAND_NONRESIDENTIAL_METERED_IRRIGATION_GAL]])</f>
        <v>0</v>
      </c>
      <c r="X5358" t="str">
        <f>IFERROR(INDEX(Crosswalk_API!$H$2:$H$527, MATCH(POTABLE_NONPOTABLE_API[[#This Row],[PWSID]], CW_PWSID_LIST, 0)), "")</f>
        <v>No</v>
      </c>
    </row>
    <row r="5359" spans="1:24" x14ac:dyDescent="0.25">
      <c r="A5359" t="s">
        <v>2307</v>
      </c>
      <c r="B5359" t="s">
        <v>2308</v>
      </c>
      <c r="C5359" t="s">
        <v>2309</v>
      </c>
      <c r="D5359" t="s">
        <v>2310</v>
      </c>
      <c r="E5359" s="9">
        <v>45261</v>
      </c>
      <c r="F5359" s="9">
        <v>45291</v>
      </c>
      <c r="G5359">
        <v>0</v>
      </c>
      <c r="H5359">
        <v>0</v>
      </c>
      <c r="I5359">
        <v>0</v>
      </c>
      <c r="J5359">
        <v>0</v>
      </c>
      <c r="K5359">
        <v>0</v>
      </c>
      <c r="L5359">
        <v>0</v>
      </c>
      <c r="M5359">
        <v>0</v>
      </c>
      <c r="N5359">
        <v>0</v>
      </c>
      <c r="O5359">
        <v>0</v>
      </c>
      <c r="P5359">
        <v>0</v>
      </c>
      <c r="Q5359">
        <v>0</v>
      </c>
      <c r="R5359">
        <v>0</v>
      </c>
      <c r="S5359">
        <v>0</v>
      </c>
      <c r="T5359" s="9">
        <v>45108</v>
      </c>
      <c r="U5359" s="9">
        <v>45473</v>
      </c>
      <c r="V5359">
        <f>SUM(POTABLE_NONPOTABLE_API[[#This Row],[RESIDENTIAL_SINGLEFAMILY_GAL]:[OTHER_GAL]])</f>
        <v>0</v>
      </c>
      <c r="W5359">
        <f>SUM(POTABLE_NONPOTABLE_API[[#This Row],[NONPOTABLE_DEMAND_RESIDENTIAL_RECYCLED_WATER_GAL]:[NONPOTABLE_DEMAND_NONRESIDENTIAL_METERED_IRRIGATION_GAL]])</f>
        <v>0</v>
      </c>
      <c r="X5359" t="str">
        <f>IFERROR(INDEX(Crosswalk_API!$H$2:$H$527, MATCH(POTABLE_NONPOTABLE_API[[#This Row],[PWSID]], CW_PWSID_LIST, 0)), "")</f>
        <v>No</v>
      </c>
    </row>
    <row r="5360" spans="1:24" x14ac:dyDescent="0.25">
      <c r="A5360" t="s">
        <v>2307</v>
      </c>
      <c r="B5360" t="s">
        <v>2308</v>
      </c>
      <c r="C5360" t="s">
        <v>2309</v>
      </c>
      <c r="D5360" t="s">
        <v>2310</v>
      </c>
      <c r="E5360" s="9">
        <v>45292</v>
      </c>
      <c r="F5360" s="9">
        <v>45322</v>
      </c>
      <c r="G5360">
        <v>0</v>
      </c>
      <c r="H5360">
        <v>0</v>
      </c>
      <c r="I5360">
        <v>0</v>
      </c>
      <c r="J5360">
        <v>0</v>
      </c>
      <c r="K5360">
        <v>0</v>
      </c>
      <c r="L5360">
        <v>0</v>
      </c>
      <c r="M5360">
        <v>0</v>
      </c>
      <c r="N5360">
        <v>0</v>
      </c>
      <c r="O5360">
        <v>0</v>
      </c>
      <c r="P5360">
        <v>0</v>
      </c>
      <c r="Q5360">
        <v>0</v>
      </c>
      <c r="R5360">
        <v>0</v>
      </c>
      <c r="S5360">
        <v>0</v>
      </c>
      <c r="T5360" s="9">
        <v>45108</v>
      </c>
      <c r="U5360" s="9">
        <v>45473</v>
      </c>
      <c r="V5360">
        <f>SUM(POTABLE_NONPOTABLE_API[[#This Row],[RESIDENTIAL_SINGLEFAMILY_GAL]:[OTHER_GAL]])</f>
        <v>0</v>
      </c>
      <c r="W5360">
        <f>SUM(POTABLE_NONPOTABLE_API[[#This Row],[NONPOTABLE_DEMAND_RESIDENTIAL_RECYCLED_WATER_GAL]:[NONPOTABLE_DEMAND_NONRESIDENTIAL_METERED_IRRIGATION_GAL]])</f>
        <v>0</v>
      </c>
      <c r="X5360" t="str">
        <f>IFERROR(INDEX(Crosswalk_API!$H$2:$H$527, MATCH(POTABLE_NONPOTABLE_API[[#This Row],[PWSID]], CW_PWSID_LIST, 0)), "")</f>
        <v>No</v>
      </c>
    </row>
    <row r="5361" spans="1:24" x14ac:dyDescent="0.25">
      <c r="A5361" t="s">
        <v>2307</v>
      </c>
      <c r="B5361" t="s">
        <v>2308</v>
      </c>
      <c r="C5361" t="s">
        <v>2309</v>
      </c>
      <c r="D5361" t="s">
        <v>2310</v>
      </c>
      <c r="E5361" s="9">
        <v>45323</v>
      </c>
      <c r="F5361" s="9">
        <v>45351</v>
      </c>
      <c r="G5361">
        <v>0</v>
      </c>
      <c r="H5361">
        <v>0</v>
      </c>
      <c r="I5361">
        <v>0</v>
      </c>
      <c r="J5361">
        <v>0</v>
      </c>
      <c r="K5361">
        <v>0</v>
      </c>
      <c r="L5361">
        <v>0</v>
      </c>
      <c r="M5361">
        <v>0</v>
      </c>
      <c r="N5361">
        <v>0</v>
      </c>
      <c r="O5361">
        <v>0</v>
      </c>
      <c r="P5361">
        <v>0</v>
      </c>
      <c r="Q5361">
        <v>0</v>
      </c>
      <c r="R5361">
        <v>0</v>
      </c>
      <c r="S5361">
        <v>0</v>
      </c>
      <c r="T5361" s="9">
        <v>45108</v>
      </c>
      <c r="U5361" s="9">
        <v>45473</v>
      </c>
      <c r="V5361">
        <f>SUM(POTABLE_NONPOTABLE_API[[#This Row],[RESIDENTIAL_SINGLEFAMILY_GAL]:[OTHER_GAL]])</f>
        <v>0</v>
      </c>
      <c r="W5361">
        <f>SUM(POTABLE_NONPOTABLE_API[[#This Row],[NONPOTABLE_DEMAND_RESIDENTIAL_RECYCLED_WATER_GAL]:[NONPOTABLE_DEMAND_NONRESIDENTIAL_METERED_IRRIGATION_GAL]])</f>
        <v>0</v>
      </c>
      <c r="X5361" t="str">
        <f>IFERROR(INDEX(Crosswalk_API!$H$2:$H$527, MATCH(POTABLE_NONPOTABLE_API[[#This Row],[PWSID]], CW_PWSID_LIST, 0)), "")</f>
        <v>No</v>
      </c>
    </row>
    <row r="5362" spans="1:24" x14ac:dyDescent="0.25">
      <c r="A5362" t="s">
        <v>2307</v>
      </c>
      <c r="B5362" t="s">
        <v>2308</v>
      </c>
      <c r="C5362" t="s">
        <v>2309</v>
      </c>
      <c r="D5362" t="s">
        <v>2310</v>
      </c>
      <c r="E5362" s="9">
        <v>45352</v>
      </c>
      <c r="F5362" s="9">
        <v>45382</v>
      </c>
      <c r="G5362">
        <v>0</v>
      </c>
      <c r="H5362">
        <v>0</v>
      </c>
      <c r="I5362">
        <v>0</v>
      </c>
      <c r="J5362">
        <v>0</v>
      </c>
      <c r="K5362">
        <v>0</v>
      </c>
      <c r="L5362">
        <v>0</v>
      </c>
      <c r="M5362">
        <v>0</v>
      </c>
      <c r="N5362">
        <v>0</v>
      </c>
      <c r="O5362">
        <v>0</v>
      </c>
      <c r="P5362">
        <v>0</v>
      </c>
      <c r="Q5362">
        <v>0</v>
      </c>
      <c r="R5362">
        <v>0</v>
      </c>
      <c r="S5362">
        <v>0</v>
      </c>
      <c r="T5362" s="9">
        <v>45108</v>
      </c>
      <c r="U5362" s="9">
        <v>45473</v>
      </c>
      <c r="V5362">
        <f>SUM(POTABLE_NONPOTABLE_API[[#This Row],[RESIDENTIAL_SINGLEFAMILY_GAL]:[OTHER_GAL]])</f>
        <v>0</v>
      </c>
      <c r="W5362">
        <f>SUM(POTABLE_NONPOTABLE_API[[#This Row],[NONPOTABLE_DEMAND_RESIDENTIAL_RECYCLED_WATER_GAL]:[NONPOTABLE_DEMAND_NONRESIDENTIAL_METERED_IRRIGATION_GAL]])</f>
        <v>0</v>
      </c>
      <c r="X5362" t="str">
        <f>IFERROR(INDEX(Crosswalk_API!$H$2:$H$527, MATCH(POTABLE_NONPOTABLE_API[[#This Row],[PWSID]], CW_PWSID_LIST, 0)), "")</f>
        <v>No</v>
      </c>
    </row>
    <row r="5363" spans="1:24" x14ac:dyDescent="0.25">
      <c r="A5363" t="s">
        <v>2307</v>
      </c>
      <c r="B5363" t="s">
        <v>2308</v>
      </c>
      <c r="C5363" t="s">
        <v>2309</v>
      </c>
      <c r="D5363" t="s">
        <v>2310</v>
      </c>
      <c r="E5363" s="9">
        <v>45383</v>
      </c>
      <c r="F5363" s="9">
        <v>45412</v>
      </c>
      <c r="G5363">
        <v>0</v>
      </c>
      <c r="H5363">
        <v>0</v>
      </c>
      <c r="I5363">
        <v>0</v>
      </c>
      <c r="J5363">
        <v>0</v>
      </c>
      <c r="K5363">
        <v>0</v>
      </c>
      <c r="L5363">
        <v>0</v>
      </c>
      <c r="M5363">
        <v>0</v>
      </c>
      <c r="N5363">
        <v>0</v>
      </c>
      <c r="O5363">
        <v>0</v>
      </c>
      <c r="P5363">
        <v>0</v>
      </c>
      <c r="Q5363">
        <v>0</v>
      </c>
      <c r="R5363">
        <v>0</v>
      </c>
      <c r="T5363" s="9">
        <v>45108</v>
      </c>
      <c r="U5363" s="9">
        <v>45473</v>
      </c>
      <c r="V5363">
        <f>SUM(POTABLE_NONPOTABLE_API[[#This Row],[RESIDENTIAL_SINGLEFAMILY_GAL]:[OTHER_GAL]])</f>
        <v>0</v>
      </c>
      <c r="W5363">
        <f>SUM(POTABLE_NONPOTABLE_API[[#This Row],[NONPOTABLE_DEMAND_RESIDENTIAL_RECYCLED_WATER_GAL]:[NONPOTABLE_DEMAND_NONRESIDENTIAL_METERED_IRRIGATION_GAL]])</f>
        <v>0</v>
      </c>
      <c r="X5363" t="str">
        <f>IFERROR(INDEX(Crosswalk_API!$H$2:$H$527, MATCH(POTABLE_NONPOTABLE_API[[#This Row],[PWSID]], CW_PWSID_LIST, 0)), "")</f>
        <v>No</v>
      </c>
    </row>
    <row r="5364" spans="1:24" x14ac:dyDescent="0.25">
      <c r="A5364" t="s">
        <v>2307</v>
      </c>
      <c r="B5364" t="s">
        <v>2308</v>
      </c>
      <c r="C5364" t="s">
        <v>2309</v>
      </c>
      <c r="D5364" t="s">
        <v>2310</v>
      </c>
      <c r="E5364" s="9">
        <v>45413</v>
      </c>
      <c r="F5364" s="9">
        <v>45443</v>
      </c>
      <c r="G5364">
        <v>0</v>
      </c>
      <c r="H5364">
        <v>0</v>
      </c>
      <c r="I5364">
        <v>0</v>
      </c>
      <c r="J5364">
        <v>0</v>
      </c>
      <c r="K5364">
        <v>0</v>
      </c>
      <c r="L5364">
        <v>0</v>
      </c>
      <c r="M5364">
        <v>0</v>
      </c>
      <c r="N5364">
        <v>0</v>
      </c>
      <c r="O5364">
        <v>0</v>
      </c>
      <c r="P5364">
        <v>0</v>
      </c>
      <c r="Q5364">
        <v>0</v>
      </c>
      <c r="R5364">
        <v>0</v>
      </c>
      <c r="S5364">
        <v>0</v>
      </c>
      <c r="T5364" s="9">
        <v>45108</v>
      </c>
      <c r="U5364" s="9">
        <v>45473</v>
      </c>
      <c r="V5364">
        <f>SUM(POTABLE_NONPOTABLE_API[[#This Row],[RESIDENTIAL_SINGLEFAMILY_GAL]:[OTHER_GAL]])</f>
        <v>0</v>
      </c>
      <c r="W5364">
        <f>SUM(POTABLE_NONPOTABLE_API[[#This Row],[NONPOTABLE_DEMAND_RESIDENTIAL_RECYCLED_WATER_GAL]:[NONPOTABLE_DEMAND_NONRESIDENTIAL_METERED_IRRIGATION_GAL]])</f>
        <v>0</v>
      </c>
      <c r="X5364" t="str">
        <f>IFERROR(INDEX(Crosswalk_API!$H$2:$H$527, MATCH(POTABLE_NONPOTABLE_API[[#This Row],[PWSID]], CW_PWSID_LIST, 0)), "")</f>
        <v>No</v>
      </c>
    </row>
    <row r="5365" spans="1:24" x14ac:dyDescent="0.25">
      <c r="A5365" t="s">
        <v>2307</v>
      </c>
      <c r="B5365" t="s">
        <v>2308</v>
      </c>
      <c r="C5365" t="s">
        <v>2309</v>
      </c>
      <c r="D5365" t="s">
        <v>2310</v>
      </c>
      <c r="E5365" s="9">
        <v>45444</v>
      </c>
      <c r="F5365" s="9">
        <v>45473</v>
      </c>
      <c r="G5365">
        <v>0</v>
      </c>
      <c r="H5365">
        <v>0</v>
      </c>
      <c r="I5365">
        <v>0</v>
      </c>
      <c r="J5365">
        <v>0</v>
      </c>
      <c r="K5365">
        <v>0</v>
      </c>
      <c r="L5365">
        <v>0</v>
      </c>
      <c r="M5365">
        <v>0</v>
      </c>
      <c r="N5365">
        <v>0</v>
      </c>
      <c r="O5365">
        <v>0</v>
      </c>
      <c r="P5365">
        <v>0</v>
      </c>
      <c r="Q5365">
        <v>0</v>
      </c>
      <c r="R5365">
        <v>0</v>
      </c>
      <c r="S5365">
        <v>0</v>
      </c>
      <c r="T5365" s="9">
        <v>45108</v>
      </c>
      <c r="U5365" s="9">
        <v>45473</v>
      </c>
      <c r="V5365">
        <f>SUM(POTABLE_NONPOTABLE_API[[#This Row],[RESIDENTIAL_SINGLEFAMILY_GAL]:[OTHER_GAL]])</f>
        <v>0</v>
      </c>
      <c r="W5365">
        <f>SUM(POTABLE_NONPOTABLE_API[[#This Row],[NONPOTABLE_DEMAND_RESIDENTIAL_RECYCLED_WATER_GAL]:[NONPOTABLE_DEMAND_NONRESIDENTIAL_METERED_IRRIGATION_GAL]])</f>
        <v>0</v>
      </c>
      <c r="X5365" t="str">
        <f>IFERROR(INDEX(Crosswalk_API!$H$2:$H$527, MATCH(POTABLE_NONPOTABLE_API[[#This Row],[PWSID]], CW_PWSID_LIST, 0)), "")</f>
        <v>No</v>
      </c>
    </row>
    <row r="5366" spans="1:24" x14ac:dyDescent="0.25">
      <c r="A5366" t="s">
        <v>2307</v>
      </c>
      <c r="B5366" t="s">
        <v>2308</v>
      </c>
      <c r="C5366" t="s">
        <v>2311</v>
      </c>
      <c r="D5366" t="s">
        <v>2312</v>
      </c>
      <c r="E5366" s="9">
        <v>45108</v>
      </c>
      <c r="F5366" s="9">
        <v>45138</v>
      </c>
      <c r="G5366">
        <v>503400000</v>
      </c>
      <c r="H5366">
        <v>83620000</v>
      </c>
      <c r="I5366">
        <v>177200000</v>
      </c>
      <c r="J5366">
        <v>149920000</v>
      </c>
      <c r="K5366">
        <v>17920000</v>
      </c>
      <c r="L5366">
        <v>0</v>
      </c>
      <c r="M5366">
        <v>0</v>
      </c>
      <c r="T5366" s="9">
        <v>45108</v>
      </c>
      <c r="U5366" s="9">
        <v>45473</v>
      </c>
      <c r="V5366">
        <f>SUM(POTABLE_NONPOTABLE_API[[#This Row],[RESIDENTIAL_SINGLEFAMILY_GAL]:[OTHER_GAL]])</f>
        <v>932060000</v>
      </c>
      <c r="W5366">
        <f>SUM(POTABLE_NONPOTABLE_API[[#This Row],[NONPOTABLE_DEMAND_RESIDENTIAL_RECYCLED_WATER_GAL]:[NONPOTABLE_DEMAND_NONRESIDENTIAL_METERED_IRRIGATION_GAL]])</f>
        <v>0</v>
      </c>
      <c r="X5366" t="str">
        <f>IFERROR(INDEX(Crosswalk_API!$H$2:$H$527, MATCH(POTABLE_NONPOTABLE_API[[#This Row],[PWSID]], CW_PWSID_LIST, 0)), "")</f>
        <v>No</v>
      </c>
    </row>
    <row r="5367" spans="1:24" x14ac:dyDescent="0.25">
      <c r="A5367" t="s">
        <v>2307</v>
      </c>
      <c r="B5367" t="s">
        <v>2308</v>
      </c>
      <c r="C5367" t="s">
        <v>2311</v>
      </c>
      <c r="D5367" t="s">
        <v>2312</v>
      </c>
      <c r="E5367" s="9">
        <v>45139</v>
      </c>
      <c r="F5367" s="9">
        <v>45169</v>
      </c>
      <c r="G5367">
        <v>561190000</v>
      </c>
      <c r="H5367">
        <v>88540000</v>
      </c>
      <c r="I5367">
        <v>184310000</v>
      </c>
      <c r="J5367">
        <v>168780000</v>
      </c>
      <c r="K5367">
        <v>15210000</v>
      </c>
      <c r="L5367">
        <v>0</v>
      </c>
      <c r="M5367">
        <v>0</v>
      </c>
      <c r="T5367" s="9">
        <v>45108</v>
      </c>
      <c r="U5367" s="9">
        <v>45473</v>
      </c>
      <c r="V5367">
        <f>SUM(POTABLE_NONPOTABLE_API[[#This Row],[RESIDENTIAL_SINGLEFAMILY_GAL]:[OTHER_GAL]])</f>
        <v>1018030000</v>
      </c>
      <c r="W5367">
        <f>SUM(POTABLE_NONPOTABLE_API[[#This Row],[NONPOTABLE_DEMAND_RESIDENTIAL_RECYCLED_WATER_GAL]:[NONPOTABLE_DEMAND_NONRESIDENTIAL_METERED_IRRIGATION_GAL]])</f>
        <v>0</v>
      </c>
      <c r="X5367" t="str">
        <f>IFERROR(INDEX(Crosswalk_API!$H$2:$H$527, MATCH(POTABLE_NONPOTABLE_API[[#This Row],[PWSID]], CW_PWSID_LIST, 0)), "")</f>
        <v>No</v>
      </c>
    </row>
    <row r="5368" spans="1:24" x14ac:dyDescent="0.25">
      <c r="A5368" t="s">
        <v>2307</v>
      </c>
      <c r="B5368" t="s">
        <v>2308</v>
      </c>
      <c r="C5368" t="s">
        <v>2311</v>
      </c>
      <c r="D5368" t="s">
        <v>2312</v>
      </c>
      <c r="E5368" s="9">
        <v>45170</v>
      </c>
      <c r="F5368" s="9">
        <v>45199</v>
      </c>
      <c r="G5368">
        <v>247870000</v>
      </c>
      <c r="H5368">
        <v>64090000</v>
      </c>
      <c r="I5368">
        <v>76530000</v>
      </c>
      <c r="J5368">
        <v>17800000</v>
      </c>
      <c r="K5368">
        <v>15380000</v>
      </c>
      <c r="L5368">
        <v>0</v>
      </c>
      <c r="M5368">
        <v>0</v>
      </c>
      <c r="T5368" s="9">
        <v>45108</v>
      </c>
      <c r="U5368" s="9">
        <v>45473</v>
      </c>
      <c r="V5368">
        <f>SUM(POTABLE_NONPOTABLE_API[[#This Row],[RESIDENTIAL_SINGLEFAMILY_GAL]:[OTHER_GAL]])</f>
        <v>421670000</v>
      </c>
      <c r="W5368">
        <f>SUM(POTABLE_NONPOTABLE_API[[#This Row],[NONPOTABLE_DEMAND_RESIDENTIAL_RECYCLED_WATER_GAL]:[NONPOTABLE_DEMAND_NONRESIDENTIAL_METERED_IRRIGATION_GAL]])</f>
        <v>0</v>
      </c>
      <c r="X5368" t="str">
        <f>IFERROR(INDEX(Crosswalk_API!$H$2:$H$527, MATCH(POTABLE_NONPOTABLE_API[[#This Row],[PWSID]], CW_PWSID_LIST, 0)), "")</f>
        <v>No</v>
      </c>
    </row>
    <row r="5369" spans="1:24" x14ac:dyDescent="0.25">
      <c r="A5369" t="s">
        <v>2307</v>
      </c>
      <c r="B5369" t="s">
        <v>2308</v>
      </c>
      <c r="C5369" t="s">
        <v>2311</v>
      </c>
      <c r="D5369" t="s">
        <v>2312</v>
      </c>
      <c r="E5369" s="9">
        <v>45200</v>
      </c>
      <c r="F5369" s="9">
        <v>45230</v>
      </c>
      <c r="G5369">
        <v>245550000</v>
      </c>
      <c r="H5369">
        <v>63170000</v>
      </c>
      <c r="I5369">
        <v>74580000</v>
      </c>
      <c r="J5369">
        <v>15720000</v>
      </c>
      <c r="K5369">
        <v>16910000</v>
      </c>
      <c r="L5369">
        <v>0</v>
      </c>
      <c r="M5369">
        <v>0</v>
      </c>
      <c r="T5369" s="9">
        <v>45108</v>
      </c>
      <c r="U5369" s="9">
        <v>45473</v>
      </c>
      <c r="V5369">
        <f>SUM(POTABLE_NONPOTABLE_API[[#This Row],[RESIDENTIAL_SINGLEFAMILY_GAL]:[OTHER_GAL]])</f>
        <v>415930000</v>
      </c>
      <c r="W5369">
        <f>SUM(POTABLE_NONPOTABLE_API[[#This Row],[NONPOTABLE_DEMAND_RESIDENTIAL_RECYCLED_WATER_GAL]:[NONPOTABLE_DEMAND_NONRESIDENTIAL_METERED_IRRIGATION_GAL]])</f>
        <v>0</v>
      </c>
      <c r="X5369" t="str">
        <f>IFERROR(INDEX(Crosswalk_API!$H$2:$H$527, MATCH(POTABLE_NONPOTABLE_API[[#This Row],[PWSID]], CW_PWSID_LIST, 0)), "")</f>
        <v>No</v>
      </c>
    </row>
    <row r="5370" spans="1:24" x14ac:dyDescent="0.25">
      <c r="A5370" t="s">
        <v>2307</v>
      </c>
      <c r="B5370" t="s">
        <v>2308</v>
      </c>
      <c r="C5370" t="s">
        <v>2311</v>
      </c>
      <c r="D5370" t="s">
        <v>2312</v>
      </c>
      <c r="E5370" s="9">
        <v>45231</v>
      </c>
      <c r="F5370" s="9">
        <v>45260</v>
      </c>
      <c r="G5370">
        <v>442870000</v>
      </c>
      <c r="H5370">
        <v>77570000</v>
      </c>
      <c r="I5370">
        <v>156270000</v>
      </c>
      <c r="J5370">
        <v>107190000</v>
      </c>
      <c r="K5370">
        <v>12840000</v>
      </c>
      <c r="L5370">
        <v>0</v>
      </c>
      <c r="M5370">
        <v>0</v>
      </c>
      <c r="T5370" s="9">
        <v>45108</v>
      </c>
      <c r="U5370" s="9">
        <v>45473</v>
      </c>
      <c r="V5370">
        <f>SUM(POTABLE_NONPOTABLE_API[[#This Row],[RESIDENTIAL_SINGLEFAMILY_GAL]:[OTHER_GAL]])</f>
        <v>796740000</v>
      </c>
      <c r="W5370">
        <f>SUM(POTABLE_NONPOTABLE_API[[#This Row],[NONPOTABLE_DEMAND_RESIDENTIAL_RECYCLED_WATER_GAL]:[NONPOTABLE_DEMAND_NONRESIDENTIAL_METERED_IRRIGATION_GAL]])</f>
        <v>0</v>
      </c>
      <c r="X5370" t="str">
        <f>IFERROR(INDEX(Crosswalk_API!$H$2:$H$527, MATCH(POTABLE_NONPOTABLE_API[[#This Row],[PWSID]], CW_PWSID_LIST, 0)), "")</f>
        <v>No</v>
      </c>
    </row>
    <row r="5371" spans="1:24" x14ac:dyDescent="0.25">
      <c r="A5371" t="s">
        <v>2307</v>
      </c>
      <c r="B5371" t="s">
        <v>2308</v>
      </c>
      <c r="C5371" t="s">
        <v>2311</v>
      </c>
      <c r="D5371" t="s">
        <v>2312</v>
      </c>
      <c r="E5371" s="9">
        <v>45261</v>
      </c>
      <c r="F5371" s="9">
        <v>45291</v>
      </c>
      <c r="G5371">
        <v>388640000</v>
      </c>
      <c r="H5371">
        <v>80210000</v>
      </c>
      <c r="I5371">
        <v>140000000</v>
      </c>
      <c r="J5371">
        <v>70650000</v>
      </c>
      <c r="K5371">
        <v>13690000</v>
      </c>
      <c r="L5371">
        <v>0</v>
      </c>
      <c r="M5371">
        <v>0</v>
      </c>
      <c r="T5371" s="9">
        <v>45108</v>
      </c>
      <c r="U5371" s="9">
        <v>45473</v>
      </c>
      <c r="V5371">
        <f>SUM(POTABLE_NONPOTABLE_API[[#This Row],[RESIDENTIAL_SINGLEFAMILY_GAL]:[OTHER_GAL]])</f>
        <v>693190000</v>
      </c>
      <c r="W5371">
        <f>SUM(POTABLE_NONPOTABLE_API[[#This Row],[NONPOTABLE_DEMAND_RESIDENTIAL_RECYCLED_WATER_GAL]:[NONPOTABLE_DEMAND_NONRESIDENTIAL_METERED_IRRIGATION_GAL]])</f>
        <v>0</v>
      </c>
      <c r="X5371" t="str">
        <f>IFERROR(INDEX(Crosswalk_API!$H$2:$H$527, MATCH(POTABLE_NONPOTABLE_API[[#This Row],[PWSID]], CW_PWSID_LIST, 0)), "")</f>
        <v>No</v>
      </c>
    </row>
    <row r="5372" spans="1:24" x14ac:dyDescent="0.25">
      <c r="A5372" t="s">
        <v>2307</v>
      </c>
      <c r="B5372" t="s">
        <v>2308</v>
      </c>
      <c r="C5372" t="s">
        <v>2311</v>
      </c>
      <c r="D5372" t="s">
        <v>2312</v>
      </c>
      <c r="E5372" s="9">
        <v>45292</v>
      </c>
      <c r="F5372" s="9">
        <v>45322</v>
      </c>
      <c r="G5372">
        <v>308990000</v>
      </c>
      <c r="H5372">
        <v>74160000</v>
      </c>
      <c r="I5372">
        <v>100390000</v>
      </c>
      <c r="J5372">
        <v>27700000</v>
      </c>
      <c r="K5372">
        <v>13040000</v>
      </c>
      <c r="L5372">
        <v>0</v>
      </c>
      <c r="M5372">
        <v>0</v>
      </c>
      <c r="T5372" s="9">
        <v>45108</v>
      </c>
      <c r="U5372" s="9">
        <v>45473</v>
      </c>
      <c r="V5372">
        <f>SUM(POTABLE_NONPOTABLE_API[[#This Row],[RESIDENTIAL_SINGLEFAMILY_GAL]:[OTHER_GAL]])</f>
        <v>524280000</v>
      </c>
      <c r="W5372">
        <f>SUM(POTABLE_NONPOTABLE_API[[#This Row],[NONPOTABLE_DEMAND_RESIDENTIAL_RECYCLED_WATER_GAL]:[NONPOTABLE_DEMAND_NONRESIDENTIAL_METERED_IRRIGATION_GAL]])</f>
        <v>0</v>
      </c>
      <c r="X5372" t="str">
        <f>IFERROR(INDEX(Crosswalk_API!$H$2:$H$527, MATCH(POTABLE_NONPOTABLE_API[[#This Row],[PWSID]], CW_PWSID_LIST, 0)), "")</f>
        <v>No</v>
      </c>
    </row>
    <row r="5373" spans="1:24" x14ac:dyDescent="0.25">
      <c r="A5373" t="s">
        <v>2307</v>
      </c>
      <c r="B5373" t="s">
        <v>2308</v>
      </c>
      <c r="C5373" t="s">
        <v>2311</v>
      </c>
      <c r="D5373" t="s">
        <v>2312</v>
      </c>
      <c r="E5373" s="9">
        <v>45323</v>
      </c>
      <c r="F5373" s="9">
        <v>45351</v>
      </c>
      <c r="G5373">
        <v>259320000</v>
      </c>
      <c r="H5373">
        <v>67480000</v>
      </c>
      <c r="I5373">
        <v>100610000</v>
      </c>
      <c r="J5373">
        <v>18160000</v>
      </c>
      <c r="K5373">
        <v>12380000</v>
      </c>
      <c r="L5373">
        <v>0</v>
      </c>
      <c r="M5373">
        <v>0</v>
      </c>
      <c r="T5373" s="9">
        <v>45108</v>
      </c>
      <c r="U5373" s="9">
        <v>45473</v>
      </c>
      <c r="V5373">
        <f>SUM(POTABLE_NONPOTABLE_API[[#This Row],[RESIDENTIAL_SINGLEFAMILY_GAL]:[OTHER_GAL]])</f>
        <v>457950000</v>
      </c>
      <c r="W5373">
        <f>SUM(POTABLE_NONPOTABLE_API[[#This Row],[NONPOTABLE_DEMAND_RESIDENTIAL_RECYCLED_WATER_GAL]:[NONPOTABLE_DEMAND_NONRESIDENTIAL_METERED_IRRIGATION_GAL]])</f>
        <v>0</v>
      </c>
      <c r="X5373" t="str">
        <f>IFERROR(INDEX(Crosswalk_API!$H$2:$H$527, MATCH(POTABLE_NONPOTABLE_API[[#This Row],[PWSID]], CW_PWSID_LIST, 0)), "")</f>
        <v>No</v>
      </c>
    </row>
    <row r="5374" spans="1:24" x14ac:dyDescent="0.25">
      <c r="A5374" t="s">
        <v>2307</v>
      </c>
      <c r="B5374" t="s">
        <v>2308</v>
      </c>
      <c r="C5374" t="s">
        <v>2311</v>
      </c>
      <c r="D5374" t="s">
        <v>2312</v>
      </c>
      <c r="E5374" s="9">
        <v>45352</v>
      </c>
      <c r="F5374" s="9">
        <v>45382</v>
      </c>
      <c r="G5374">
        <v>249700000</v>
      </c>
      <c r="H5374">
        <v>65879999.999999993</v>
      </c>
      <c r="I5374">
        <v>100260000</v>
      </c>
      <c r="J5374">
        <v>15150000</v>
      </c>
      <c r="K5374">
        <v>7620000</v>
      </c>
      <c r="L5374">
        <v>0</v>
      </c>
      <c r="M5374">
        <v>0</v>
      </c>
      <c r="T5374" s="9">
        <v>45108</v>
      </c>
      <c r="U5374" s="9">
        <v>45473</v>
      </c>
      <c r="V5374">
        <f>SUM(POTABLE_NONPOTABLE_API[[#This Row],[RESIDENTIAL_SINGLEFAMILY_GAL]:[OTHER_GAL]])</f>
        <v>438610000</v>
      </c>
      <c r="W5374">
        <f>SUM(POTABLE_NONPOTABLE_API[[#This Row],[NONPOTABLE_DEMAND_RESIDENTIAL_RECYCLED_WATER_GAL]:[NONPOTABLE_DEMAND_NONRESIDENTIAL_METERED_IRRIGATION_GAL]])</f>
        <v>0</v>
      </c>
      <c r="X5374" t="str">
        <f>IFERROR(INDEX(Crosswalk_API!$H$2:$H$527, MATCH(POTABLE_NONPOTABLE_API[[#This Row],[PWSID]], CW_PWSID_LIST, 0)), "")</f>
        <v>No</v>
      </c>
    </row>
    <row r="5375" spans="1:24" x14ac:dyDescent="0.25">
      <c r="A5375" t="s">
        <v>2307</v>
      </c>
      <c r="B5375" t="s">
        <v>2308</v>
      </c>
      <c r="C5375" t="s">
        <v>2311</v>
      </c>
      <c r="D5375" t="s">
        <v>2312</v>
      </c>
      <c r="E5375" s="9">
        <v>45383</v>
      </c>
      <c r="F5375" s="9">
        <v>45412</v>
      </c>
      <c r="G5375">
        <v>263470000.00000003</v>
      </c>
      <c r="H5375">
        <v>65290000.000000007</v>
      </c>
      <c r="I5375">
        <v>109440000</v>
      </c>
      <c r="J5375">
        <v>24630000</v>
      </c>
      <c r="K5375">
        <v>3990000</v>
      </c>
      <c r="L5375">
        <v>0</v>
      </c>
      <c r="M5375">
        <v>0</v>
      </c>
      <c r="T5375" s="9">
        <v>45108</v>
      </c>
      <c r="U5375" s="9">
        <v>45473</v>
      </c>
      <c r="V5375">
        <f>SUM(POTABLE_NONPOTABLE_API[[#This Row],[RESIDENTIAL_SINGLEFAMILY_GAL]:[OTHER_GAL]])</f>
        <v>466820000.00000006</v>
      </c>
      <c r="W5375">
        <f>SUM(POTABLE_NONPOTABLE_API[[#This Row],[NONPOTABLE_DEMAND_RESIDENTIAL_RECYCLED_WATER_GAL]:[NONPOTABLE_DEMAND_NONRESIDENTIAL_METERED_IRRIGATION_GAL]])</f>
        <v>0</v>
      </c>
      <c r="X5375" t="str">
        <f>IFERROR(INDEX(Crosswalk_API!$H$2:$H$527, MATCH(POTABLE_NONPOTABLE_API[[#This Row],[PWSID]], CW_PWSID_LIST, 0)), "")</f>
        <v>No</v>
      </c>
    </row>
    <row r="5376" spans="1:24" x14ac:dyDescent="0.25">
      <c r="A5376" t="s">
        <v>2307</v>
      </c>
      <c r="B5376" t="s">
        <v>2308</v>
      </c>
      <c r="C5376" t="s">
        <v>2311</v>
      </c>
      <c r="D5376" t="s">
        <v>2312</v>
      </c>
      <c r="E5376" s="9">
        <v>45413</v>
      </c>
      <c r="F5376" s="9">
        <v>45443</v>
      </c>
      <c r="G5376">
        <v>308350000</v>
      </c>
      <c r="H5376">
        <v>67920000</v>
      </c>
      <c r="I5376">
        <v>131600000</v>
      </c>
      <c r="J5376">
        <v>58600000</v>
      </c>
      <c r="K5376">
        <v>13840000</v>
      </c>
      <c r="L5376">
        <v>0</v>
      </c>
      <c r="M5376">
        <v>0</v>
      </c>
      <c r="T5376" s="9">
        <v>45108</v>
      </c>
      <c r="U5376" s="9">
        <v>45473</v>
      </c>
      <c r="V5376">
        <f>SUM(POTABLE_NONPOTABLE_API[[#This Row],[RESIDENTIAL_SINGLEFAMILY_GAL]:[OTHER_GAL]])</f>
        <v>580310000</v>
      </c>
      <c r="W5376">
        <f>SUM(POTABLE_NONPOTABLE_API[[#This Row],[NONPOTABLE_DEMAND_RESIDENTIAL_RECYCLED_WATER_GAL]:[NONPOTABLE_DEMAND_NONRESIDENTIAL_METERED_IRRIGATION_GAL]])</f>
        <v>0</v>
      </c>
      <c r="X5376" t="str">
        <f>IFERROR(INDEX(Crosswalk_API!$H$2:$H$527, MATCH(POTABLE_NONPOTABLE_API[[#This Row],[PWSID]], CW_PWSID_LIST, 0)), "")</f>
        <v>No</v>
      </c>
    </row>
    <row r="5377" spans="1:24" x14ac:dyDescent="0.25">
      <c r="A5377" t="s">
        <v>2307</v>
      </c>
      <c r="B5377" t="s">
        <v>2308</v>
      </c>
      <c r="C5377" t="s">
        <v>2311</v>
      </c>
      <c r="D5377" t="s">
        <v>2312</v>
      </c>
      <c r="E5377" s="9">
        <v>45444</v>
      </c>
      <c r="F5377" s="9">
        <v>45473</v>
      </c>
      <c r="G5377">
        <v>439540000</v>
      </c>
      <c r="H5377">
        <v>75540000</v>
      </c>
      <c r="I5377">
        <v>176140000</v>
      </c>
      <c r="J5377">
        <v>110480000</v>
      </c>
      <c r="K5377">
        <v>15320000</v>
      </c>
      <c r="L5377">
        <v>0</v>
      </c>
      <c r="M5377">
        <v>0</v>
      </c>
      <c r="T5377" s="9">
        <v>45108</v>
      </c>
      <c r="U5377" s="9">
        <v>45473</v>
      </c>
      <c r="V5377">
        <f>SUM(POTABLE_NONPOTABLE_API[[#This Row],[RESIDENTIAL_SINGLEFAMILY_GAL]:[OTHER_GAL]])</f>
        <v>817020000</v>
      </c>
      <c r="W5377">
        <f>SUM(POTABLE_NONPOTABLE_API[[#This Row],[NONPOTABLE_DEMAND_RESIDENTIAL_RECYCLED_WATER_GAL]:[NONPOTABLE_DEMAND_NONRESIDENTIAL_METERED_IRRIGATION_GAL]])</f>
        <v>0</v>
      </c>
      <c r="X5377" t="str">
        <f>IFERROR(INDEX(Crosswalk_API!$H$2:$H$527, MATCH(POTABLE_NONPOTABLE_API[[#This Row],[PWSID]], CW_PWSID_LIST, 0)), "")</f>
        <v>No</v>
      </c>
    </row>
    <row r="5378" spans="1:24" x14ac:dyDescent="0.25">
      <c r="A5378" t="s">
        <v>2313</v>
      </c>
      <c r="B5378" t="s">
        <v>2314</v>
      </c>
      <c r="C5378" t="s">
        <v>2315</v>
      </c>
      <c r="D5378" t="s">
        <v>2316</v>
      </c>
      <c r="E5378" s="9">
        <v>45108</v>
      </c>
      <c r="F5378" s="9">
        <v>45138</v>
      </c>
      <c r="G5378">
        <v>11845403.42</v>
      </c>
      <c r="H5378">
        <v>0</v>
      </c>
      <c r="I5378">
        <v>2645111.872</v>
      </c>
      <c r="J5378">
        <v>791439.01600000006</v>
      </c>
      <c r="K5378">
        <v>548322.11600000004</v>
      </c>
      <c r="L5378">
        <v>592457.18400000001</v>
      </c>
      <c r="M5378">
        <v>0</v>
      </c>
      <c r="T5378" s="9">
        <v>45108</v>
      </c>
      <c r="U5378" s="9">
        <v>45473</v>
      </c>
      <c r="V5378">
        <f>SUM(POTABLE_NONPOTABLE_API[[#This Row],[RESIDENTIAL_SINGLEFAMILY_GAL]:[OTHER_GAL]])</f>
        <v>16422733.608000001</v>
      </c>
      <c r="W5378">
        <f>SUM(POTABLE_NONPOTABLE_API[[#This Row],[NONPOTABLE_DEMAND_RESIDENTIAL_RECYCLED_WATER_GAL]:[NONPOTABLE_DEMAND_NONRESIDENTIAL_METERED_IRRIGATION_GAL]])</f>
        <v>0</v>
      </c>
      <c r="X5378" t="str">
        <f>IFERROR(INDEX(Crosswalk_API!$H$2:$H$527, MATCH(POTABLE_NONPOTABLE_API[[#This Row],[PWSID]], CW_PWSID_LIST, 0)), "")</f>
        <v>No</v>
      </c>
    </row>
    <row r="5379" spans="1:24" x14ac:dyDescent="0.25">
      <c r="A5379" t="s">
        <v>2313</v>
      </c>
      <c r="B5379" t="s">
        <v>2314</v>
      </c>
      <c r="C5379" t="s">
        <v>2315</v>
      </c>
      <c r="D5379" t="s">
        <v>2316</v>
      </c>
      <c r="E5379" s="9">
        <v>45139</v>
      </c>
      <c r="F5379" s="9">
        <v>45169</v>
      </c>
      <c r="G5379">
        <v>15646951.320360001</v>
      </c>
      <c r="H5379">
        <v>0</v>
      </c>
      <c r="I5379">
        <v>8461141.3668000009</v>
      </c>
      <c r="J5379">
        <v>0</v>
      </c>
      <c r="K5379">
        <v>0</v>
      </c>
      <c r="L5379">
        <v>0</v>
      </c>
      <c r="M5379">
        <v>0</v>
      </c>
      <c r="T5379" s="9">
        <v>45108</v>
      </c>
      <c r="U5379" s="9">
        <v>45473</v>
      </c>
      <c r="V5379">
        <f>SUM(POTABLE_NONPOTABLE_API[[#This Row],[RESIDENTIAL_SINGLEFAMILY_GAL]:[OTHER_GAL]])</f>
        <v>24108092.68716</v>
      </c>
      <c r="W5379">
        <f>SUM(POTABLE_NONPOTABLE_API[[#This Row],[NONPOTABLE_DEMAND_RESIDENTIAL_RECYCLED_WATER_GAL]:[NONPOTABLE_DEMAND_NONRESIDENTIAL_METERED_IRRIGATION_GAL]])</f>
        <v>0</v>
      </c>
      <c r="X5379" t="str">
        <f>IFERROR(INDEX(Crosswalk_API!$H$2:$H$527, MATCH(POTABLE_NONPOTABLE_API[[#This Row],[PWSID]], CW_PWSID_LIST, 0)), "")</f>
        <v>No</v>
      </c>
    </row>
    <row r="5380" spans="1:24" x14ac:dyDescent="0.25">
      <c r="A5380" t="s">
        <v>2313</v>
      </c>
      <c r="B5380" t="s">
        <v>2314</v>
      </c>
      <c r="C5380" t="s">
        <v>2315</v>
      </c>
      <c r="D5380" t="s">
        <v>2316</v>
      </c>
      <c r="E5380" s="9">
        <v>45170</v>
      </c>
      <c r="F5380" s="9">
        <v>45199</v>
      </c>
      <c r="G5380">
        <v>7748307.65496</v>
      </c>
      <c r="H5380">
        <v>0</v>
      </c>
      <c r="I5380">
        <v>2858538.58812</v>
      </c>
      <c r="J5380">
        <v>0</v>
      </c>
      <c r="K5380">
        <v>0</v>
      </c>
      <c r="L5380">
        <v>0</v>
      </c>
      <c r="M5380">
        <v>0</v>
      </c>
      <c r="T5380" s="9">
        <v>45108</v>
      </c>
      <c r="U5380" s="9">
        <v>45473</v>
      </c>
      <c r="V5380">
        <f>SUM(POTABLE_NONPOTABLE_API[[#This Row],[RESIDENTIAL_SINGLEFAMILY_GAL]:[OTHER_GAL]])</f>
        <v>10606846.243079999</v>
      </c>
      <c r="W5380">
        <f>SUM(POTABLE_NONPOTABLE_API[[#This Row],[NONPOTABLE_DEMAND_RESIDENTIAL_RECYCLED_WATER_GAL]:[NONPOTABLE_DEMAND_NONRESIDENTIAL_METERED_IRRIGATION_GAL]])</f>
        <v>0</v>
      </c>
      <c r="X5380" t="str">
        <f>IFERROR(INDEX(Crosswalk_API!$H$2:$H$527, MATCH(POTABLE_NONPOTABLE_API[[#This Row],[PWSID]], CW_PWSID_LIST, 0)), "")</f>
        <v>No</v>
      </c>
    </row>
    <row r="5381" spans="1:24" x14ac:dyDescent="0.25">
      <c r="A5381" t="s">
        <v>2313</v>
      </c>
      <c r="B5381" t="s">
        <v>2314</v>
      </c>
      <c r="C5381" t="s">
        <v>2315</v>
      </c>
      <c r="D5381" t="s">
        <v>2316</v>
      </c>
      <c r="E5381" s="9">
        <v>45200</v>
      </c>
      <c r="F5381" s="9">
        <v>45230</v>
      </c>
      <c r="G5381">
        <v>12242028.07092</v>
      </c>
      <c r="H5381">
        <v>0</v>
      </c>
      <c r="I5381">
        <v>4629087.9058799995</v>
      </c>
      <c r="J5381">
        <v>0</v>
      </c>
      <c r="K5381">
        <v>0</v>
      </c>
      <c r="L5381">
        <v>0</v>
      </c>
      <c r="M5381">
        <v>0</v>
      </c>
      <c r="T5381" s="9">
        <v>45108</v>
      </c>
      <c r="U5381" s="9">
        <v>45473</v>
      </c>
      <c r="V5381">
        <f>SUM(POTABLE_NONPOTABLE_API[[#This Row],[RESIDENTIAL_SINGLEFAMILY_GAL]:[OTHER_GAL]])</f>
        <v>16871115.976799998</v>
      </c>
      <c r="W5381">
        <f>SUM(POTABLE_NONPOTABLE_API[[#This Row],[NONPOTABLE_DEMAND_RESIDENTIAL_RECYCLED_WATER_GAL]:[NONPOTABLE_DEMAND_NONRESIDENTIAL_METERED_IRRIGATION_GAL]])</f>
        <v>0</v>
      </c>
      <c r="X5381" t="str">
        <f>IFERROR(INDEX(Crosswalk_API!$H$2:$H$527, MATCH(POTABLE_NONPOTABLE_API[[#This Row],[PWSID]], CW_PWSID_LIST, 0)), "")</f>
        <v>No</v>
      </c>
    </row>
    <row r="5382" spans="1:24" x14ac:dyDescent="0.25">
      <c r="A5382" t="s">
        <v>2313</v>
      </c>
      <c r="B5382" t="s">
        <v>2314</v>
      </c>
      <c r="C5382" t="s">
        <v>2315</v>
      </c>
      <c r="D5382" t="s">
        <v>2316</v>
      </c>
      <c r="E5382" s="9">
        <v>45231</v>
      </c>
      <c r="F5382" s="9">
        <v>45260</v>
      </c>
      <c r="G5382">
        <v>8855663.9915999994</v>
      </c>
      <c r="H5382">
        <v>0</v>
      </c>
      <c r="I5382">
        <v>3142087.6987199998</v>
      </c>
      <c r="J5382">
        <v>0</v>
      </c>
      <c r="K5382">
        <v>0</v>
      </c>
      <c r="L5382">
        <v>0</v>
      </c>
      <c r="M5382">
        <v>0</v>
      </c>
      <c r="T5382" s="9">
        <v>45108</v>
      </c>
      <c r="U5382" s="9">
        <v>45473</v>
      </c>
      <c r="V5382">
        <f>SUM(POTABLE_NONPOTABLE_API[[#This Row],[RESIDENTIAL_SINGLEFAMILY_GAL]:[OTHER_GAL]])</f>
        <v>11997751.69032</v>
      </c>
      <c r="W5382">
        <f>SUM(POTABLE_NONPOTABLE_API[[#This Row],[NONPOTABLE_DEMAND_RESIDENTIAL_RECYCLED_WATER_GAL]:[NONPOTABLE_DEMAND_NONRESIDENTIAL_METERED_IRRIGATION_GAL]])</f>
        <v>0</v>
      </c>
      <c r="X5382" t="str">
        <f>IFERROR(INDEX(Crosswalk_API!$H$2:$H$527, MATCH(POTABLE_NONPOTABLE_API[[#This Row],[PWSID]], CW_PWSID_LIST, 0)), "")</f>
        <v>No</v>
      </c>
    </row>
    <row r="5383" spans="1:24" x14ac:dyDescent="0.25">
      <c r="A5383" t="s">
        <v>2313</v>
      </c>
      <c r="B5383" t="s">
        <v>2314</v>
      </c>
      <c r="C5383" t="s">
        <v>2315</v>
      </c>
      <c r="D5383" t="s">
        <v>2316</v>
      </c>
      <c r="E5383" s="9">
        <v>45261</v>
      </c>
      <c r="F5383" s="9">
        <v>45291</v>
      </c>
      <c r="G5383">
        <v>10037660.956800001</v>
      </c>
      <c r="H5383">
        <v>0</v>
      </c>
      <c r="I5383">
        <v>431775.61440000002</v>
      </c>
      <c r="J5383">
        <v>0</v>
      </c>
      <c r="K5383">
        <v>0</v>
      </c>
      <c r="L5383">
        <v>0</v>
      </c>
      <c r="M5383">
        <v>0</v>
      </c>
      <c r="T5383" s="9">
        <v>45108</v>
      </c>
      <c r="U5383" s="9">
        <v>45473</v>
      </c>
      <c r="V5383">
        <f>SUM(POTABLE_NONPOTABLE_API[[#This Row],[RESIDENTIAL_SINGLEFAMILY_GAL]:[OTHER_GAL]])</f>
        <v>10469436.5712</v>
      </c>
      <c r="W5383">
        <f>SUM(POTABLE_NONPOTABLE_API[[#This Row],[NONPOTABLE_DEMAND_RESIDENTIAL_RECYCLED_WATER_GAL]:[NONPOTABLE_DEMAND_NONRESIDENTIAL_METERED_IRRIGATION_GAL]])</f>
        <v>0</v>
      </c>
      <c r="X5383" t="str">
        <f>IFERROR(INDEX(Crosswalk_API!$H$2:$H$527, MATCH(POTABLE_NONPOTABLE_API[[#This Row],[PWSID]], CW_PWSID_LIST, 0)), "")</f>
        <v>No</v>
      </c>
    </row>
    <row r="5384" spans="1:24" x14ac:dyDescent="0.25">
      <c r="A5384" t="s">
        <v>2313</v>
      </c>
      <c r="B5384" t="s">
        <v>2314</v>
      </c>
      <c r="C5384" t="s">
        <v>2315</v>
      </c>
      <c r="D5384" t="s">
        <v>2316</v>
      </c>
      <c r="E5384" s="9">
        <v>45292</v>
      </c>
      <c r="F5384" s="9">
        <v>45322</v>
      </c>
      <c r="G5384">
        <v>9408713.7962400001</v>
      </c>
      <c r="H5384">
        <v>0</v>
      </c>
      <c r="I5384">
        <v>3547427.1554400004</v>
      </c>
      <c r="J5384">
        <v>0</v>
      </c>
      <c r="K5384">
        <v>0</v>
      </c>
      <c r="L5384">
        <v>0</v>
      </c>
      <c r="M5384">
        <v>0</v>
      </c>
      <c r="T5384" s="9">
        <v>45108</v>
      </c>
      <c r="U5384" s="9">
        <v>45473</v>
      </c>
      <c r="V5384">
        <f>SUM(POTABLE_NONPOTABLE_API[[#This Row],[RESIDENTIAL_SINGLEFAMILY_GAL]:[OTHER_GAL]])</f>
        <v>12956140.951680001</v>
      </c>
      <c r="W5384">
        <f>SUM(POTABLE_NONPOTABLE_API[[#This Row],[NONPOTABLE_DEMAND_RESIDENTIAL_RECYCLED_WATER_GAL]:[NONPOTABLE_DEMAND_NONRESIDENTIAL_METERED_IRRIGATION_GAL]])</f>
        <v>0</v>
      </c>
      <c r="X5384" t="str">
        <f>IFERROR(INDEX(Crosswalk_API!$H$2:$H$527, MATCH(POTABLE_NONPOTABLE_API[[#This Row],[PWSID]], CW_PWSID_LIST, 0)), "")</f>
        <v>No</v>
      </c>
    </row>
    <row r="5385" spans="1:24" x14ac:dyDescent="0.25">
      <c r="A5385" t="s">
        <v>2313</v>
      </c>
      <c r="B5385" t="s">
        <v>2314</v>
      </c>
      <c r="C5385" t="s">
        <v>2315</v>
      </c>
      <c r="D5385" t="s">
        <v>2316</v>
      </c>
      <c r="E5385" s="9">
        <v>45323</v>
      </c>
      <c r="F5385" s="9">
        <v>45351</v>
      </c>
      <c r="G5385">
        <v>8445073.2098399997</v>
      </c>
      <c r="H5385">
        <v>0</v>
      </c>
      <c r="I5385">
        <v>3088631.9027999998</v>
      </c>
      <c r="J5385">
        <v>0</v>
      </c>
      <c r="K5385">
        <v>0</v>
      </c>
      <c r="L5385">
        <v>0</v>
      </c>
      <c r="M5385">
        <v>0</v>
      </c>
      <c r="T5385" s="9">
        <v>45108</v>
      </c>
      <c r="U5385" s="9">
        <v>45473</v>
      </c>
      <c r="V5385">
        <f>SUM(POTABLE_NONPOTABLE_API[[#This Row],[RESIDENTIAL_SINGLEFAMILY_GAL]:[OTHER_GAL]])</f>
        <v>11533705.112639999</v>
      </c>
      <c r="W5385">
        <f>SUM(POTABLE_NONPOTABLE_API[[#This Row],[NONPOTABLE_DEMAND_RESIDENTIAL_RECYCLED_WATER_GAL]:[NONPOTABLE_DEMAND_NONRESIDENTIAL_METERED_IRRIGATION_GAL]])</f>
        <v>0</v>
      </c>
      <c r="X5385" t="str">
        <f>IFERROR(INDEX(Crosswalk_API!$H$2:$H$527, MATCH(POTABLE_NONPOTABLE_API[[#This Row],[PWSID]], CW_PWSID_LIST, 0)), "")</f>
        <v>No</v>
      </c>
    </row>
    <row r="5386" spans="1:24" x14ac:dyDescent="0.25">
      <c r="A5386" t="s">
        <v>2313</v>
      </c>
      <c r="B5386" t="s">
        <v>2314</v>
      </c>
      <c r="C5386" t="s">
        <v>2315</v>
      </c>
      <c r="D5386" t="s">
        <v>2316</v>
      </c>
      <c r="E5386" s="9">
        <v>45352</v>
      </c>
      <c r="F5386" s="9">
        <v>45382</v>
      </c>
      <c r="G5386">
        <v>7414354.8005999997</v>
      </c>
      <c r="H5386">
        <v>0</v>
      </c>
      <c r="I5386">
        <v>2440183.0266</v>
      </c>
      <c r="J5386">
        <v>0</v>
      </c>
      <c r="K5386">
        <v>0</v>
      </c>
      <c r="L5386">
        <v>0</v>
      </c>
      <c r="M5386">
        <v>0</v>
      </c>
      <c r="T5386" s="9">
        <v>45108</v>
      </c>
      <c r="U5386" s="9">
        <v>45473</v>
      </c>
      <c r="V5386">
        <f>SUM(POTABLE_NONPOTABLE_API[[#This Row],[RESIDENTIAL_SINGLEFAMILY_GAL]:[OTHER_GAL]])</f>
        <v>9854537.8271999992</v>
      </c>
      <c r="W5386">
        <f>SUM(POTABLE_NONPOTABLE_API[[#This Row],[NONPOTABLE_DEMAND_RESIDENTIAL_RECYCLED_WATER_GAL]:[NONPOTABLE_DEMAND_NONRESIDENTIAL_METERED_IRRIGATION_GAL]])</f>
        <v>0</v>
      </c>
      <c r="X5386" t="str">
        <f>IFERROR(INDEX(Crosswalk_API!$H$2:$H$527, MATCH(POTABLE_NONPOTABLE_API[[#This Row],[PWSID]], CW_PWSID_LIST, 0)), "")</f>
        <v>No</v>
      </c>
    </row>
    <row r="5387" spans="1:24" x14ac:dyDescent="0.25">
      <c r="A5387" t="s">
        <v>2313</v>
      </c>
      <c r="B5387" t="s">
        <v>2314</v>
      </c>
      <c r="C5387" t="s">
        <v>2315</v>
      </c>
      <c r="D5387" t="s">
        <v>2316</v>
      </c>
      <c r="E5387" s="9">
        <v>45383</v>
      </c>
      <c r="F5387" s="9">
        <v>45412</v>
      </c>
      <c r="G5387">
        <v>7961704.449</v>
      </c>
      <c r="H5387">
        <v>0</v>
      </c>
      <c r="I5387">
        <v>2769355.8286800003</v>
      </c>
      <c r="J5387">
        <v>0</v>
      </c>
      <c r="K5387">
        <v>0</v>
      </c>
      <c r="L5387">
        <v>0</v>
      </c>
      <c r="M5387">
        <v>0</v>
      </c>
      <c r="T5387" s="9">
        <v>45108</v>
      </c>
      <c r="U5387" s="9">
        <v>45473</v>
      </c>
      <c r="V5387">
        <f>SUM(POTABLE_NONPOTABLE_API[[#This Row],[RESIDENTIAL_SINGLEFAMILY_GAL]:[OTHER_GAL]])</f>
        <v>10731060.27768</v>
      </c>
      <c r="W5387">
        <f>SUM(POTABLE_NONPOTABLE_API[[#This Row],[NONPOTABLE_DEMAND_RESIDENTIAL_RECYCLED_WATER_GAL]:[NONPOTABLE_DEMAND_NONRESIDENTIAL_METERED_IRRIGATION_GAL]])</f>
        <v>0</v>
      </c>
      <c r="X5387" t="str">
        <f>IFERROR(INDEX(Crosswalk_API!$H$2:$H$527, MATCH(POTABLE_NONPOTABLE_API[[#This Row],[PWSID]], CW_PWSID_LIST, 0)), "")</f>
        <v>No</v>
      </c>
    </row>
    <row r="5388" spans="1:24" x14ac:dyDescent="0.25">
      <c r="A5388" t="s">
        <v>2313</v>
      </c>
      <c r="B5388" t="s">
        <v>2314</v>
      </c>
      <c r="C5388" t="s">
        <v>2315</v>
      </c>
      <c r="D5388" t="s">
        <v>2316</v>
      </c>
      <c r="E5388" s="9">
        <v>45413</v>
      </c>
      <c r="F5388" s="9">
        <v>45443</v>
      </c>
      <c r="G5388">
        <v>9806086.4991600011</v>
      </c>
      <c r="H5388">
        <v>0</v>
      </c>
      <c r="I5388">
        <v>3264573.7332000001</v>
      </c>
      <c r="J5388">
        <v>0</v>
      </c>
      <c r="K5388">
        <v>0</v>
      </c>
      <c r="L5388">
        <v>0</v>
      </c>
      <c r="M5388">
        <v>0</v>
      </c>
      <c r="T5388" s="9">
        <v>45108</v>
      </c>
      <c r="U5388" s="9">
        <v>45473</v>
      </c>
      <c r="V5388">
        <f>SUM(POTABLE_NONPOTABLE_API[[#This Row],[RESIDENTIAL_SINGLEFAMILY_GAL]:[OTHER_GAL]])</f>
        <v>13070660.232360002</v>
      </c>
      <c r="W5388">
        <f>SUM(POTABLE_NONPOTABLE_API[[#This Row],[NONPOTABLE_DEMAND_RESIDENTIAL_RECYCLED_WATER_GAL]:[NONPOTABLE_DEMAND_NONRESIDENTIAL_METERED_IRRIGATION_GAL]])</f>
        <v>0</v>
      </c>
      <c r="X5388" t="str">
        <f>IFERROR(INDEX(Crosswalk_API!$H$2:$H$527, MATCH(POTABLE_NONPOTABLE_API[[#This Row],[PWSID]], CW_PWSID_LIST, 0)), "")</f>
        <v>No</v>
      </c>
    </row>
    <row r="5389" spans="1:24" x14ac:dyDescent="0.25">
      <c r="A5389" t="s">
        <v>2313</v>
      </c>
      <c r="B5389" t="s">
        <v>2314</v>
      </c>
      <c r="C5389" t="s">
        <v>2315</v>
      </c>
      <c r="D5389" t="s">
        <v>2316</v>
      </c>
      <c r="E5389" s="9">
        <v>45444</v>
      </c>
      <c r="F5389" s="9">
        <v>45473</v>
      </c>
      <c r="G5389">
        <v>11915952.204120001</v>
      </c>
      <c r="H5389">
        <v>0</v>
      </c>
      <c r="I5389">
        <v>3806425.1993999998</v>
      </c>
      <c r="J5389">
        <v>0</v>
      </c>
      <c r="K5389">
        <v>0</v>
      </c>
      <c r="L5389">
        <v>0</v>
      </c>
      <c r="M5389">
        <v>0</v>
      </c>
      <c r="T5389" s="9">
        <v>45108</v>
      </c>
      <c r="U5389" s="9">
        <v>45473</v>
      </c>
      <c r="V5389">
        <f>SUM(POTABLE_NONPOTABLE_API[[#This Row],[RESIDENTIAL_SINGLEFAMILY_GAL]:[OTHER_GAL]])</f>
        <v>15722377.403520001</v>
      </c>
      <c r="W5389">
        <f>SUM(POTABLE_NONPOTABLE_API[[#This Row],[NONPOTABLE_DEMAND_RESIDENTIAL_RECYCLED_WATER_GAL]:[NONPOTABLE_DEMAND_NONRESIDENTIAL_METERED_IRRIGATION_GAL]])</f>
        <v>0</v>
      </c>
      <c r="X5389" t="str">
        <f>IFERROR(INDEX(Crosswalk_API!$H$2:$H$527, MATCH(POTABLE_NONPOTABLE_API[[#This Row],[PWSID]], CW_PWSID_LIST, 0)), "")</f>
        <v>No</v>
      </c>
    </row>
    <row r="5390" spans="1:24" x14ac:dyDescent="0.25">
      <c r="A5390" t="s">
        <v>2313</v>
      </c>
      <c r="B5390" t="s">
        <v>2314</v>
      </c>
      <c r="C5390" t="s">
        <v>2317</v>
      </c>
      <c r="D5390" t="s">
        <v>2318</v>
      </c>
      <c r="E5390" s="9">
        <v>45108</v>
      </c>
      <c r="F5390" s="9">
        <v>45138</v>
      </c>
      <c r="G5390">
        <v>3242805.42</v>
      </c>
      <c r="H5390">
        <v>0</v>
      </c>
      <c r="I5390">
        <v>724114.33600000001</v>
      </c>
      <c r="J5390">
        <v>216935.08000000002</v>
      </c>
      <c r="K5390">
        <v>150358.45199999999</v>
      </c>
      <c r="L5390">
        <v>162327.28400000001</v>
      </c>
      <c r="M5390">
        <v>0</v>
      </c>
      <c r="T5390" s="9">
        <v>45108</v>
      </c>
      <c r="U5390" s="9">
        <v>45473</v>
      </c>
      <c r="V5390">
        <f>SUM(POTABLE_NONPOTABLE_API[[#This Row],[RESIDENTIAL_SINGLEFAMILY_GAL]:[OTHER_GAL]])</f>
        <v>4496540.5719999997</v>
      </c>
      <c r="W5390">
        <f>SUM(POTABLE_NONPOTABLE_API[[#This Row],[NONPOTABLE_DEMAND_RESIDENTIAL_RECYCLED_WATER_GAL]:[NONPOTABLE_DEMAND_NONRESIDENTIAL_METERED_IRRIGATION_GAL]])</f>
        <v>0</v>
      </c>
      <c r="X5390" t="str">
        <f>IFERROR(INDEX(Crosswalk_API!$H$2:$H$527, MATCH(POTABLE_NONPOTABLE_API[[#This Row],[PWSID]], CW_PWSID_LIST, 0)), "")</f>
        <v>No</v>
      </c>
    </row>
    <row r="5391" spans="1:24" x14ac:dyDescent="0.25">
      <c r="A5391" t="s">
        <v>2313</v>
      </c>
      <c r="B5391" t="s">
        <v>2314</v>
      </c>
      <c r="C5391" t="s">
        <v>2317</v>
      </c>
      <c r="D5391" t="s">
        <v>2318</v>
      </c>
      <c r="E5391" s="9">
        <v>45139</v>
      </c>
      <c r="F5391" s="9">
        <v>45169</v>
      </c>
      <c r="G5391">
        <v>10431300.880240001</v>
      </c>
      <c r="H5391">
        <v>0</v>
      </c>
      <c r="I5391">
        <v>5640760.9112</v>
      </c>
      <c r="J5391">
        <v>0</v>
      </c>
      <c r="K5391">
        <v>0</v>
      </c>
      <c r="L5391">
        <v>0</v>
      </c>
      <c r="M5391">
        <v>0</v>
      </c>
      <c r="T5391" s="9">
        <v>45108</v>
      </c>
      <c r="U5391" s="9">
        <v>45473</v>
      </c>
      <c r="V5391">
        <f>SUM(POTABLE_NONPOTABLE_API[[#This Row],[RESIDENTIAL_SINGLEFAMILY_GAL]:[OTHER_GAL]])</f>
        <v>16072061.791440001</v>
      </c>
      <c r="W5391">
        <f>SUM(POTABLE_NONPOTABLE_API[[#This Row],[NONPOTABLE_DEMAND_RESIDENTIAL_RECYCLED_WATER_GAL]:[NONPOTABLE_DEMAND_NONRESIDENTIAL_METERED_IRRIGATION_GAL]])</f>
        <v>0</v>
      </c>
      <c r="X5391" t="str">
        <f>IFERROR(INDEX(Crosswalk_API!$H$2:$H$527, MATCH(POTABLE_NONPOTABLE_API[[#This Row],[PWSID]], CW_PWSID_LIST, 0)), "")</f>
        <v>No</v>
      </c>
    </row>
    <row r="5392" spans="1:24" x14ac:dyDescent="0.25">
      <c r="A5392" t="s">
        <v>2313</v>
      </c>
      <c r="B5392" t="s">
        <v>2314</v>
      </c>
      <c r="C5392" t="s">
        <v>2317</v>
      </c>
      <c r="D5392" t="s">
        <v>2318</v>
      </c>
      <c r="E5392" s="9">
        <v>45170</v>
      </c>
      <c r="F5392" s="9">
        <v>45199</v>
      </c>
      <c r="G5392">
        <v>5165538.43664</v>
      </c>
      <c r="H5392">
        <v>0</v>
      </c>
      <c r="I5392">
        <v>1905692.3920800001</v>
      </c>
      <c r="J5392">
        <v>0</v>
      </c>
      <c r="K5392">
        <v>0</v>
      </c>
      <c r="L5392">
        <v>0</v>
      </c>
      <c r="M5392">
        <v>0</v>
      </c>
      <c r="T5392" s="9">
        <v>45108</v>
      </c>
      <c r="U5392" s="9">
        <v>45473</v>
      </c>
      <c r="V5392">
        <f>SUM(POTABLE_NONPOTABLE_API[[#This Row],[RESIDENTIAL_SINGLEFAMILY_GAL]:[OTHER_GAL]])</f>
        <v>7071230.8287199996</v>
      </c>
      <c r="W5392">
        <f>SUM(POTABLE_NONPOTABLE_API[[#This Row],[NONPOTABLE_DEMAND_RESIDENTIAL_RECYCLED_WATER_GAL]:[NONPOTABLE_DEMAND_NONRESIDENTIAL_METERED_IRRIGATION_GAL]])</f>
        <v>0</v>
      </c>
      <c r="X5392" t="str">
        <f>IFERROR(INDEX(Crosswalk_API!$H$2:$H$527, MATCH(POTABLE_NONPOTABLE_API[[#This Row],[PWSID]], CW_PWSID_LIST, 0)), "")</f>
        <v>No</v>
      </c>
    </row>
    <row r="5393" spans="1:24" x14ac:dyDescent="0.25">
      <c r="A5393" t="s">
        <v>2313</v>
      </c>
      <c r="B5393" t="s">
        <v>2314</v>
      </c>
      <c r="C5393" t="s">
        <v>2317</v>
      </c>
      <c r="D5393" t="s">
        <v>2318</v>
      </c>
      <c r="E5393" s="9">
        <v>45200</v>
      </c>
      <c r="F5393" s="9">
        <v>45230</v>
      </c>
      <c r="G5393">
        <v>8161352.0472799996</v>
      </c>
      <c r="H5393">
        <v>0</v>
      </c>
      <c r="I5393">
        <v>3086058.6039200001</v>
      </c>
      <c r="J5393">
        <v>0</v>
      </c>
      <c r="K5393">
        <v>0</v>
      </c>
      <c r="L5393">
        <v>0</v>
      </c>
      <c r="M5393">
        <v>0</v>
      </c>
      <c r="T5393" s="9">
        <v>45108</v>
      </c>
      <c r="U5393" s="9">
        <v>45473</v>
      </c>
      <c r="V5393">
        <f>SUM(POTABLE_NONPOTABLE_API[[#This Row],[RESIDENTIAL_SINGLEFAMILY_GAL]:[OTHER_GAL]])</f>
        <v>11247410.6512</v>
      </c>
      <c r="W5393">
        <f>SUM(POTABLE_NONPOTABLE_API[[#This Row],[NONPOTABLE_DEMAND_RESIDENTIAL_RECYCLED_WATER_GAL]:[NONPOTABLE_DEMAND_NONRESIDENTIAL_METERED_IRRIGATION_GAL]])</f>
        <v>0</v>
      </c>
      <c r="X5393" t="str">
        <f>IFERROR(INDEX(Crosswalk_API!$H$2:$H$527, MATCH(POTABLE_NONPOTABLE_API[[#This Row],[PWSID]], CW_PWSID_LIST, 0)), "")</f>
        <v>No</v>
      </c>
    </row>
    <row r="5394" spans="1:24" x14ac:dyDescent="0.25">
      <c r="A5394" t="s">
        <v>2313</v>
      </c>
      <c r="B5394" t="s">
        <v>2314</v>
      </c>
      <c r="C5394" t="s">
        <v>2317</v>
      </c>
      <c r="D5394" t="s">
        <v>2318</v>
      </c>
      <c r="E5394" s="9">
        <v>45231</v>
      </c>
      <c r="F5394" s="9">
        <v>45260</v>
      </c>
      <c r="G5394">
        <v>5903775.9944000002</v>
      </c>
      <c r="H5394">
        <v>0</v>
      </c>
      <c r="I5394">
        <v>2094725.1324799999</v>
      </c>
      <c r="J5394">
        <v>0</v>
      </c>
      <c r="K5394">
        <v>0</v>
      </c>
      <c r="L5394">
        <v>0</v>
      </c>
      <c r="M5394">
        <v>0</v>
      </c>
      <c r="T5394" s="9">
        <v>45108</v>
      </c>
      <c r="U5394" s="9">
        <v>45473</v>
      </c>
      <c r="V5394">
        <f>SUM(POTABLE_NONPOTABLE_API[[#This Row],[RESIDENTIAL_SINGLEFAMILY_GAL]:[OTHER_GAL]])</f>
        <v>7998501.1268800003</v>
      </c>
      <c r="W5394">
        <f>SUM(POTABLE_NONPOTABLE_API[[#This Row],[NONPOTABLE_DEMAND_RESIDENTIAL_RECYCLED_WATER_GAL]:[NONPOTABLE_DEMAND_NONRESIDENTIAL_METERED_IRRIGATION_GAL]])</f>
        <v>0</v>
      </c>
      <c r="X5394" t="str">
        <f>IFERROR(INDEX(Crosswalk_API!$H$2:$H$527, MATCH(POTABLE_NONPOTABLE_API[[#This Row],[PWSID]], CW_PWSID_LIST, 0)), "")</f>
        <v>No</v>
      </c>
    </row>
    <row r="5395" spans="1:24" x14ac:dyDescent="0.25">
      <c r="A5395" t="s">
        <v>2313</v>
      </c>
      <c r="B5395" t="s">
        <v>2314</v>
      </c>
      <c r="C5395" t="s">
        <v>2317</v>
      </c>
      <c r="D5395" t="s">
        <v>2318</v>
      </c>
      <c r="E5395" s="9">
        <v>45261</v>
      </c>
      <c r="F5395" s="9">
        <v>45291</v>
      </c>
      <c r="G5395">
        <v>6691773.9712000005</v>
      </c>
      <c r="H5395">
        <v>0</v>
      </c>
      <c r="I5395">
        <v>287850.40960000001</v>
      </c>
      <c r="J5395">
        <v>0</v>
      </c>
      <c r="K5395">
        <v>0</v>
      </c>
      <c r="L5395">
        <v>0</v>
      </c>
      <c r="M5395">
        <v>0</v>
      </c>
      <c r="T5395" s="9">
        <v>45108</v>
      </c>
      <c r="U5395" s="9">
        <v>45473</v>
      </c>
      <c r="V5395">
        <f>SUM(POTABLE_NONPOTABLE_API[[#This Row],[RESIDENTIAL_SINGLEFAMILY_GAL]:[OTHER_GAL]])</f>
        <v>6979624.3808000004</v>
      </c>
      <c r="W5395">
        <f>SUM(POTABLE_NONPOTABLE_API[[#This Row],[NONPOTABLE_DEMAND_RESIDENTIAL_RECYCLED_WATER_GAL]:[NONPOTABLE_DEMAND_NONRESIDENTIAL_METERED_IRRIGATION_GAL]])</f>
        <v>0</v>
      </c>
      <c r="X5395" t="str">
        <f>IFERROR(INDEX(Crosswalk_API!$H$2:$H$527, MATCH(POTABLE_NONPOTABLE_API[[#This Row],[PWSID]], CW_PWSID_LIST, 0)), "")</f>
        <v>No</v>
      </c>
    </row>
    <row r="5396" spans="1:24" x14ac:dyDescent="0.25">
      <c r="A5396" t="s">
        <v>2313</v>
      </c>
      <c r="B5396" t="s">
        <v>2314</v>
      </c>
      <c r="C5396" t="s">
        <v>2317</v>
      </c>
      <c r="D5396" t="s">
        <v>2318</v>
      </c>
      <c r="E5396" s="9">
        <v>45292</v>
      </c>
      <c r="F5396" s="9">
        <v>45322</v>
      </c>
      <c r="G5396">
        <v>6272475.8641600003</v>
      </c>
      <c r="H5396">
        <v>0</v>
      </c>
      <c r="I5396">
        <v>2364951.4369600001</v>
      </c>
      <c r="J5396">
        <v>0</v>
      </c>
      <c r="K5396">
        <v>0</v>
      </c>
      <c r="L5396">
        <v>0</v>
      </c>
      <c r="M5396">
        <v>0</v>
      </c>
      <c r="T5396" s="9">
        <v>45108</v>
      </c>
      <c r="U5396" s="9">
        <v>45473</v>
      </c>
      <c r="V5396">
        <f>SUM(POTABLE_NONPOTABLE_API[[#This Row],[RESIDENTIAL_SINGLEFAMILY_GAL]:[OTHER_GAL]])</f>
        <v>8637427.30112</v>
      </c>
      <c r="W5396">
        <f>SUM(POTABLE_NONPOTABLE_API[[#This Row],[NONPOTABLE_DEMAND_RESIDENTIAL_RECYCLED_WATER_GAL]:[NONPOTABLE_DEMAND_NONRESIDENTIAL_METERED_IRRIGATION_GAL]])</f>
        <v>0</v>
      </c>
      <c r="X5396" t="str">
        <f>IFERROR(INDEX(Crosswalk_API!$H$2:$H$527, MATCH(POTABLE_NONPOTABLE_API[[#This Row],[PWSID]], CW_PWSID_LIST, 0)), "")</f>
        <v>No</v>
      </c>
    </row>
    <row r="5397" spans="1:24" x14ac:dyDescent="0.25">
      <c r="A5397" t="s">
        <v>2313</v>
      </c>
      <c r="B5397" t="s">
        <v>2314</v>
      </c>
      <c r="C5397" t="s">
        <v>2317</v>
      </c>
      <c r="D5397" t="s">
        <v>2318</v>
      </c>
      <c r="E5397" s="9">
        <v>45323</v>
      </c>
      <c r="F5397" s="9">
        <v>45351</v>
      </c>
      <c r="G5397">
        <v>5630048.8065600004</v>
      </c>
      <c r="H5397">
        <v>0</v>
      </c>
      <c r="I5397">
        <v>2059087.9351999999</v>
      </c>
      <c r="J5397">
        <v>0</v>
      </c>
      <c r="K5397">
        <v>0</v>
      </c>
      <c r="L5397">
        <v>0</v>
      </c>
      <c r="M5397">
        <v>0</v>
      </c>
      <c r="T5397" s="9">
        <v>45108</v>
      </c>
      <c r="U5397" s="9">
        <v>45473</v>
      </c>
      <c r="V5397">
        <f>SUM(POTABLE_NONPOTABLE_API[[#This Row],[RESIDENTIAL_SINGLEFAMILY_GAL]:[OTHER_GAL]])</f>
        <v>7689136.7417600006</v>
      </c>
      <c r="W5397">
        <f>SUM(POTABLE_NONPOTABLE_API[[#This Row],[NONPOTABLE_DEMAND_RESIDENTIAL_RECYCLED_WATER_GAL]:[NONPOTABLE_DEMAND_NONRESIDENTIAL_METERED_IRRIGATION_GAL]])</f>
        <v>0</v>
      </c>
      <c r="X5397" t="str">
        <f>IFERROR(INDEX(Crosswalk_API!$H$2:$H$527, MATCH(POTABLE_NONPOTABLE_API[[#This Row],[PWSID]], CW_PWSID_LIST, 0)), "")</f>
        <v>No</v>
      </c>
    </row>
    <row r="5398" spans="1:24" x14ac:dyDescent="0.25">
      <c r="A5398" t="s">
        <v>2313</v>
      </c>
      <c r="B5398" t="s">
        <v>2314</v>
      </c>
      <c r="C5398" t="s">
        <v>2317</v>
      </c>
      <c r="D5398" t="s">
        <v>2318</v>
      </c>
      <c r="E5398" s="9">
        <v>45352</v>
      </c>
      <c r="F5398" s="9">
        <v>45382</v>
      </c>
      <c r="G5398">
        <v>4942903.2004000004</v>
      </c>
      <c r="H5398">
        <v>0</v>
      </c>
      <c r="I5398">
        <v>1626788.6843999999</v>
      </c>
      <c r="J5398">
        <v>0</v>
      </c>
      <c r="K5398">
        <v>0</v>
      </c>
      <c r="L5398">
        <v>0</v>
      </c>
      <c r="M5398">
        <v>0</v>
      </c>
      <c r="T5398" s="9">
        <v>45108</v>
      </c>
      <c r="U5398" s="9">
        <v>45473</v>
      </c>
      <c r="V5398">
        <f>SUM(POTABLE_NONPOTABLE_API[[#This Row],[RESIDENTIAL_SINGLEFAMILY_GAL]:[OTHER_GAL]])</f>
        <v>6569691.8848000001</v>
      </c>
      <c r="W5398">
        <f>SUM(POTABLE_NONPOTABLE_API[[#This Row],[NONPOTABLE_DEMAND_RESIDENTIAL_RECYCLED_WATER_GAL]:[NONPOTABLE_DEMAND_NONRESIDENTIAL_METERED_IRRIGATION_GAL]])</f>
        <v>0</v>
      </c>
      <c r="X5398" t="str">
        <f>IFERROR(INDEX(Crosswalk_API!$H$2:$H$527, MATCH(POTABLE_NONPOTABLE_API[[#This Row],[PWSID]], CW_PWSID_LIST, 0)), "")</f>
        <v>No</v>
      </c>
    </row>
    <row r="5399" spans="1:24" x14ac:dyDescent="0.25">
      <c r="A5399" t="s">
        <v>2313</v>
      </c>
      <c r="B5399" t="s">
        <v>2314</v>
      </c>
      <c r="C5399" t="s">
        <v>2317</v>
      </c>
      <c r="D5399" t="s">
        <v>2318</v>
      </c>
      <c r="E5399" s="9">
        <v>45383</v>
      </c>
      <c r="F5399" s="9">
        <v>45412</v>
      </c>
      <c r="G5399">
        <v>5307802.966</v>
      </c>
      <c r="H5399">
        <v>0</v>
      </c>
      <c r="I5399">
        <v>1846237.21912</v>
      </c>
      <c r="J5399">
        <v>0</v>
      </c>
      <c r="K5399">
        <v>0</v>
      </c>
      <c r="L5399">
        <v>0</v>
      </c>
      <c r="M5399">
        <v>0</v>
      </c>
      <c r="T5399" s="9">
        <v>45108</v>
      </c>
      <c r="U5399" s="9">
        <v>45473</v>
      </c>
      <c r="V5399">
        <f>SUM(POTABLE_NONPOTABLE_API[[#This Row],[RESIDENTIAL_SINGLEFAMILY_GAL]:[OTHER_GAL]])</f>
        <v>7154040.1851199996</v>
      </c>
      <c r="W5399">
        <f>SUM(POTABLE_NONPOTABLE_API[[#This Row],[NONPOTABLE_DEMAND_RESIDENTIAL_RECYCLED_WATER_GAL]:[NONPOTABLE_DEMAND_NONRESIDENTIAL_METERED_IRRIGATION_GAL]])</f>
        <v>0</v>
      </c>
      <c r="X5399" t="str">
        <f>IFERROR(INDEX(Crosswalk_API!$H$2:$H$527, MATCH(POTABLE_NONPOTABLE_API[[#This Row],[PWSID]], CW_PWSID_LIST, 0)), "")</f>
        <v>No</v>
      </c>
    </row>
    <row r="5400" spans="1:24" x14ac:dyDescent="0.25">
      <c r="A5400" t="s">
        <v>2313</v>
      </c>
      <c r="B5400" t="s">
        <v>2314</v>
      </c>
      <c r="C5400" t="s">
        <v>2317</v>
      </c>
      <c r="D5400" t="s">
        <v>2318</v>
      </c>
      <c r="E5400" s="9">
        <v>45413</v>
      </c>
      <c r="F5400" s="9">
        <v>45443</v>
      </c>
      <c r="G5400">
        <v>6537390.9994399995</v>
      </c>
      <c r="H5400">
        <v>0</v>
      </c>
      <c r="I5400">
        <v>2176382.4887999999</v>
      </c>
      <c r="J5400">
        <v>0</v>
      </c>
      <c r="K5400">
        <v>0</v>
      </c>
      <c r="L5400">
        <v>0</v>
      </c>
      <c r="M5400">
        <v>0</v>
      </c>
      <c r="T5400" s="9">
        <v>45108</v>
      </c>
      <c r="U5400" s="9">
        <v>45473</v>
      </c>
      <c r="V5400">
        <f>SUM(POTABLE_NONPOTABLE_API[[#This Row],[RESIDENTIAL_SINGLEFAMILY_GAL]:[OTHER_GAL]])</f>
        <v>8713773.4882399999</v>
      </c>
      <c r="W5400">
        <f>SUM(POTABLE_NONPOTABLE_API[[#This Row],[NONPOTABLE_DEMAND_RESIDENTIAL_RECYCLED_WATER_GAL]:[NONPOTABLE_DEMAND_NONRESIDENTIAL_METERED_IRRIGATION_GAL]])</f>
        <v>0</v>
      </c>
      <c r="X5400" t="str">
        <f>IFERROR(INDEX(Crosswalk_API!$H$2:$H$527, MATCH(POTABLE_NONPOTABLE_API[[#This Row],[PWSID]], CW_PWSID_LIST, 0)), "")</f>
        <v>No</v>
      </c>
    </row>
    <row r="5401" spans="1:24" x14ac:dyDescent="0.25">
      <c r="A5401" t="s">
        <v>2313</v>
      </c>
      <c r="B5401" t="s">
        <v>2314</v>
      </c>
      <c r="C5401" t="s">
        <v>2317</v>
      </c>
      <c r="D5401" t="s">
        <v>2318</v>
      </c>
      <c r="E5401" s="9">
        <v>45444</v>
      </c>
      <c r="F5401" s="9">
        <v>45473</v>
      </c>
      <c r="G5401">
        <v>7943968.1360800005</v>
      </c>
      <c r="H5401">
        <v>0</v>
      </c>
      <c r="I5401">
        <v>2537616.7996</v>
      </c>
      <c r="J5401">
        <v>0</v>
      </c>
      <c r="K5401">
        <v>0</v>
      </c>
      <c r="L5401">
        <v>0</v>
      </c>
      <c r="M5401">
        <v>0</v>
      </c>
      <c r="T5401" s="9">
        <v>45108</v>
      </c>
      <c r="U5401" s="9">
        <v>45473</v>
      </c>
      <c r="V5401">
        <f>SUM(POTABLE_NONPOTABLE_API[[#This Row],[RESIDENTIAL_SINGLEFAMILY_GAL]:[OTHER_GAL]])</f>
        <v>10481584.93568</v>
      </c>
      <c r="W5401">
        <f>SUM(POTABLE_NONPOTABLE_API[[#This Row],[NONPOTABLE_DEMAND_RESIDENTIAL_RECYCLED_WATER_GAL]:[NONPOTABLE_DEMAND_NONRESIDENTIAL_METERED_IRRIGATION_GAL]])</f>
        <v>0</v>
      </c>
      <c r="X5401" t="str">
        <f>IFERROR(INDEX(Crosswalk_API!$H$2:$H$527, MATCH(POTABLE_NONPOTABLE_API[[#This Row],[PWSID]], CW_PWSID_LIST, 0)), "")</f>
        <v>No</v>
      </c>
    </row>
    <row r="5402" spans="1:24" x14ac:dyDescent="0.25">
      <c r="A5402" t="s">
        <v>2313</v>
      </c>
      <c r="B5402" t="s">
        <v>2314</v>
      </c>
      <c r="C5402" t="s">
        <v>2319</v>
      </c>
      <c r="D5402" t="s">
        <v>2320</v>
      </c>
      <c r="E5402" s="9">
        <v>45108</v>
      </c>
      <c r="F5402" s="9">
        <v>45138</v>
      </c>
      <c r="G5402">
        <v>381021782.30400002</v>
      </c>
      <c r="H5402">
        <v>0</v>
      </c>
      <c r="I5402">
        <v>85077450.063999996</v>
      </c>
      <c r="J5402">
        <v>25465934.236000001</v>
      </c>
      <c r="K5402">
        <v>17645798.628000002</v>
      </c>
      <c r="L5402">
        <v>19056624.699999999</v>
      </c>
      <c r="M5402">
        <v>0</v>
      </c>
      <c r="N5402">
        <v>0</v>
      </c>
      <c r="O5402">
        <v>0</v>
      </c>
      <c r="P5402">
        <v>0</v>
      </c>
      <c r="Q5402">
        <v>24621383.528000001</v>
      </c>
      <c r="R5402">
        <v>0</v>
      </c>
      <c r="S5402">
        <v>0</v>
      </c>
      <c r="T5402" s="9">
        <v>45108</v>
      </c>
      <c r="U5402" s="9">
        <v>45473</v>
      </c>
      <c r="V5402">
        <f>SUM(POTABLE_NONPOTABLE_API[[#This Row],[RESIDENTIAL_SINGLEFAMILY_GAL]:[OTHER_GAL]])</f>
        <v>528267589.93200004</v>
      </c>
      <c r="W5402">
        <f>SUM(POTABLE_NONPOTABLE_API[[#This Row],[NONPOTABLE_DEMAND_RESIDENTIAL_RECYCLED_WATER_GAL]:[NONPOTABLE_DEMAND_NONRESIDENTIAL_METERED_IRRIGATION_GAL]])</f>
        <v>24621383.528000001</v>
      </c>
      <c r="X5402" t="str">
        <f>IFERROR(INDEX(Crosswalk_API!$H$2:$H$527, MATCH(POTABLE_NONPOTABLE_API[[#This Row],[PWSID]], CW_PWSID_LIST, 0)), "")</f>
        <v>No</v>
      </c>
    </row>
    <row r="5403" spans="1:24" x14ac:dyDescent="0.25">
      <c r="A5403" t="s">
        <v>2313</v>
      </c>
      <c r="B5403" t="s">
        <v>2314</v>
      </c>
      <c r="C5403" t="s">
        <v>2319</v>
      </c>
      <c r="D5403" t="s">
        <v>2320</v>
      </c>
      <c r="E5403" s="9">
        <v>45139</v>
      </c>
      <c r="F5403" s="9">
        <v>45169</v>
      </c>
      <c r="G5403">
        <v>495486791.8114</v>
      </c>
      <c r="H5403">
        <v>0</v>
      </c>
      <c r="I5403">
        <v>267936143.28200001</v>
      </c>
      <c r="J5403">
        <v>0</v>
      </c>
      <c r="K5403">
        <v>0</v>
      </c>
      <c r="L5403">
        <v>0</v>
      </c>
      <c r="M5403">
        <v>0</v>
      </c>
      <c r="N5403">
        <v>0</v>
      </c>
      <c r="O5403">
        <v>0</v>
      </c>
      <c r="P5403">
        <v>0</v>
      </c>
      <c r="Q5403">
        <v>30986557.995999999</v>
      </c>
      <c r="R5403">
        <v>0</v>
      </c>
      <c r="S5403">
        <v>30986557.995999999</v>
      </c>
      <c r="T5403" s="9">
        <v>45108</v>
      </c>
      <c r="U5403" s="9">
        <v>45473</v>
      </c>
      <c r="V5403">
        <f>SUM(POTABLE_NONPOTABLE_API[[#This Row],[RESIDENTIAL_SINGLEFAMILY_GAL]:[OTHER_GAL]])</f>
        <v>763422935.0934</v>
      </c>
      <c r="W5403">
        <f>SUM(POTABLE_NONPOTABLE_API[[#This Row],[NONPOTABLE_DEMAND_RESIDENTIAL_RECYCLED_WATER_GAL]:[NONPOTABLE_DEMAND_NONRESIDENTIAL_METERED_IRRIGATION_GAL]])</f>
        <v>61973115.991999999</v>
      </c>
      <c r="X5403" t="str">
        <f>IFERROR(INDEX(Crosswalk_API!$H$2:$H$527, MATCH(POTABLE_NONPOTABLE_API[[#This Row],[PWSID]], CW_PWSID_LIST, 0)), "")</f>
        <v>No</v>
      </c>
    </row>
    <row r="5404" spans="1:24" x14ac:dyDescent="0.25">
      <c r="A5404" t="s">
        <v>2313</v>
      </c>
      <c r="B5404" t="s">
        <v>2314</v>
      </c>
      <c r="C5404" t="s">
        <v>2319</v>
      </c>
      <c r="D5404" t="s">
        <v>2320</v>
      </c>
      <c r="E5404" s="9">
        <v>45170</v>
      </c>
      <c r="F5404" s="9">
        <v>45199</v>
      </c>
      <c r="G5404">
        <v>245363075.74040002</v>
      </c>
      <c r="H5404">
        <v>0</v>
      </c>
      <c r="I5404">
        <v>90520388.623799995</v>
      </c>
      <c r="J5404">
        <v>0</v>
      </c>
      <c r="K5404">
        <v>0</v>
      </c>
      <c r="L5404">
        <v>0</v>
      </c>
      <c r="M5404">
        <v>0</v>
      </c>
      <c r="N5404">
        <v>0</v>
      </c>
      <c r="O5404">
        <v>0</v>
      </c>
      <c r="P5404">
        <v>0</v>
      </c>
      <c r="Q5404">
        <v>15413611.460000001</v>
      </c>
      <c r="R5404">
        <v>0</v>
      </c>
      <c r="S5404">
        <v>15413611.460000001</v>
      </c>
      <c r="T5404" s="9">
        <v>45108</v>
      </c>
      <c r="U5404" s="9">
        <v>45473</v>
      </c>
      <c r="V5404">
        <f>SUM(POTABLE_NONPOTABLE_API[[#This Row],[RESIDENTIAL_SINGLEFAMILY_GAL]:[OTHER_GAL]])</f>
        <v>335883464.3642</v>
      </c>
      <c r="W5404">
        <f>SUM(POTABLE_NONPOTABLE_API[[#This Row],[NONPOTABLE_DEMAND_RESIDENTIAL_RECYCLED_WATER_GAL]:[NONPOTABLE_DEMAND_NONRESIDENTIAL_METERED_IRRIGATION_GAL]])</f>
        <v>30827222.920000002</v>
      </c>
      <c r="X5404" t="str">
        <f>IFERROR(INDEX(Crosswalk_API!$H$2:$H$527, MATCH(POTABLE_NONPOTABLE_API[[#This Row],[PWSID]], CW_PWSID_LIST, 0)), "")</f>
        <v>No</v>
      </c>
    </row>
    <row r="5405" spans="1:24" x14ac:dyDescent="0.25">
      <c r="A5405" t="s">
        <v>2313</v>
      </c>
      <c r="B5405" t="s">
        <v>2314</v>
      </c>
      <c r="C5405" t="s">
        <v>2319</v>
      </c>
      <c r="D5405" t="s">
        <v>2320</v>
      </c>
      <c r="E5405" s="9">
        <v>45200</v>
      </c>
      <c r="F5405" s="9">
        <v>45230</v>
      </c>
      <c r="G5405">
        <v>387664222.24580002</v>
      </c>
      <c r="H5405">
        <v>0</v>
      </c>
      <c r="I5405">
        <v>146587783.68620002</v>
      </c>
      <c r="J5405">
        <v>0</v>
      </c>
      <c r="K5405">
        <v>0</v>
      </c>
      <c r="L5405">
        <v>0</v>
      </c>
      <c r="M5405">
        <v>0</v>
      </c>
      <c r="N5405">
        <v>0</v>
      </c>
      <c r="O5405">
        <v>0</v>
      </c>
      <c r="P5405">
        <v>0</v>
      </c>
      <c r="Q5405">
        <v>15517590.688000001</v>
      </c>
      <c r="R5405">
        <v>0</v>
      </c>
      <c r="S5405">
        <v>15517590.688000001</v>
      </c>
      <c r="T5405" s="9">
        <v>45108</v>
      </c>
      <c r="U5405" s="9">
        <v>45473</v>
      </c>
      <c r="V5405">
        <f>SUM(POTABLE_NONPOTABLE_API[[#This Row],[RESIDENTIAL_SINGLEFAMILY_GAL]:[OTHER_GAL]])</f>
        <v>534252005.93200004</v>
      </c>
      <c r="W5405">
        <f>SUM(POTABLE_NONPOTABLE_API[[#This Row],[NONPOTABLE_DEMAND_RESIDENTIAL_RECYCLED_WATER_GAL]:[NONPOTABLE_DEMAND_NONRESIDENTIAL_METERED_IRRIGATION_GAL]])</f>
        <v>31035181.376000002</v>
      </c>
      <c r="X5405" t="str">
        <f>IFERROR(INDEX(Crosswalk_API!$H$2:$H$527, MATCH(POTABLE_NONPOTABLE_API[[#This Row],[PWSID]], CW_PWSID_LIST, 0)), "")</f>
        <v>No</v>
      </c>
    </row>
    <row r="5406" spans="1:24" x14ac:dyDescent="0.25">
      <c r="A5406" t="s">
        <v>2313</v>
      </c>
      <c r="B5406" t="s">
        <v>2314</v>
      </c>
      <c r="C5406" t="s">
        <v>2319</v>
      </c>
      <c r="D5406" t="s">
        <v>2320</v>
      </c>
      <c r="E5406" s="9">
        <v>45231</v>
      </c>
      <c r="F5406" s="9">
        <v>45260</v>
      </c>
      <c r="G5406">
        <v>5903775.9944000002</v>
      </c>
      <c r="H5406">
        <v>0</v>
      </c>
      <c r="I5406">
        <v>2094725.1324799999</v>
      </c>
      <c r="J5406">
        <v>0</v>
      </c>
      <c r="K5406">
        <v>0</v>
      </c>
      <c r="L5406">
        <v>0</v>
      </c>
      <c r="M5406">
        <v>0</v>
      </c>
      <c r="N5406">
        <v>0</v>
      </c>
      <c r="O5406">
        <v>0</v>
      </c>
      <c r="P5406">
        <v>0</v>
      </c>
      <c r="Q5406">
        <v>11827450.172</v>
      </c>
      <c r="R5406">
        <v>0</v>
      </c>
      <c r="S5406">
        <v>0</v>
      </c>
      <c r="T5406" s="9">
        <v>45108</v>
      </c>
      <c r="U5406" s="9">
        <v>45473</v>
      </c>
      <c r="V5406">
        <f>SUM(POTABLE_NONPOTABLE_API[[#This Row],[RESIDENTIAL_SINGLEFAMILY_GAL]:[OTHER_GAL]])</f>
        <v>7998501.1268800003</v>
      </c>
      <c r="W5406">
        <f>SUM(POTABLE_NONPOTABLE_API[[#This Row],[NONPOTABLE_DEMAND_RESIDENTIAL_RECYCLED_WATER_GAL]:[NONPOTABLE_DEMAND_NONRESIDENTIAL_METERED_IRRIGATION_GAL]])</f>
        <v>11827450.172</v>
      </c>
      <c r="X5406" t="str">
        <f>IFERROR(INDEX(Crosswalk_API!$H$2:$H$527, MATCH(POTABLE_NONPOTABLE_API[[#This Row],[PWSID]], CW_PWSID_LIST, 0)), "")</f>
        <v>No</v>
      </c>
    </row>
    <row r="5407" spans="1:24" x14ac:dyDescent="0.25">
      <c r="A5407" t="s">
        <v>2313</v>
      </c>
      <c r="B5407" t="s">
        <v>2314</v>
      </c>
      <c r="C5407" t="s">
        <v>2319</v>
      </c>
      <c r="D5407" t="s">
        <v>2320</v>
      </c>
      <c r="E5407" s="9">
        <v>45261</v>
      </c>
      <c r="F5407" s="9">
        <v>45291</v>
      </c>
      <c r="G5407">
        <v>317859263.63200003</v>
      </c>
      <c r="H5407">
        <v>0</v>
      </c>
      <c r="I5407">
        <v>13672894.456</v>
      </c>
      <c r="J5407">
        <v>0</v>
      </c>
      <c r="K5407">
        <v>0</v>
      </c>
      <c r="L5407">
        <v>0</v>
      </c>
      <c r="M5407">
        <v>0</v>
      </c>
      <c r="N5407">
        <v>0</v>
      </c>
      <c r="O5407">
        <v>0</v>
      </c>
      <c r="P5407">
        <v>0</v>
      </c>
      <c r="Q5407">
        <v>7228426.4759999998</v>
      </c>
      <c r="R5407">
        <v>0</v>
      </c>
      <c r="S5407">
        <v>0</v>
      </c>
      <c r="T5407" s="9">
        <v>45108</v>
      </c>
      <c r="U5407" s="9">
        <v>45473</v>
      </c>
      <c r="V5407">
        <f>SUM(POTABLE_NONPOTABLE_API[[#This Row],[RESIDENTIAL_SINGLEFAMILY_GAL]:[OTHER_GAL]])</f>
        <v>331532158.08800006</v>
      </c>
      <c r="W5407">
        <f>SUM(POTABLE_NONPOTABLE_API[[#This Row],[NONPOTABLE_DEMAND_RESIDENTIAL_RECYCLED_WATER_GAL]:[NONPOTABLE_DEMAND_NONRESIDENTIAL_METERED_IRRIGATION_GAL]])</f>
        <v>7228426.4759999998</v>
      </c>
      <c r="X5407" t="str">
        <f>IFERROR(INDEX(Crosswalk_API!$H$2:$H$527, MATCH(POTABLE_NONPOTABLE_API[[#This Row],[PWSID]], CW_PWSID_LIST, 0)), "")</f>
        <v>No</v>
      </c>
    </row>
    <row r="5408" spans="1:24" x14ac:dyDescent="0.25">
      <c r="A5408" t="s">
        <v>2313</v>
      </c>
      <c r="B5408" t="s">
        <v>2314</v>
      </c>
      <c r="C5408" t="s">
        <v>2319</v>
      </c>
      <c r="D5408" t="s">
        <v>2320</v>
      </c>
      <c r="E5408" s="9">
        <v>45292</v>
      </c>
      <c r="F5408" s="9">
        <v>45322</v>
      </c>
      <c r="G5408">
        <v>297942603.54759997</v>
      </c>
      <c r="H5408">
        <v>0</v>
      </c>
      <c r="I5408">
        <v>112335193.25559999</v>
      </c>
      <c r="J5408">
        <v>0</v>
      </c>
      <c r="K5408">
        <v>0</v>
      </c>
      <c r="L5408">
        <v>0</v>
      </c>
      <c r="M5408">
        <v>0</v>
      </c>
      <c r="N5408">
        <v>0</v>
      </c>
      <c r="O5408">
        <v>0</v>
      </c>
      <c r="P5408">
        <v>0</v>
      </c>
      <c r="Q5408">
        <v>2308488.4720000001</v>
      </c>
      <c r="R5408">
        <v>0</v>
      </c>
      <c r="S5408">
        <v>0</v>
      </c>
      <c r="T5408" s="9">
        <v>45108</v>
      </c>
      <c r="U5408" s="9">
        <v>45473</v>
      </c>
      <c r="V5408">
        <f>SUM(POTABLE_NONPOTABLE_API[[#This Row],[RESIDENTIAL_SINGLEFAMILY_GAL]:[OTHER_GAL]])</f>
        <v>410277796.80319995</v>
      </c>
      <c r="W5408">
        <f>SUM(POTABLE_NONPOTABLE_API[[#This Row],[NONPOTABLE_DEMAND_RESIDENTIAL_RECYCLED_WATER_GAL]:[NONPOTABLE_DEMAND_NONRESIDENTIAL_METERED_IRRIGATION_GAL]])</f>
        <v>2308488.4720000001</v>
      </c>
      <c r="X5408" t="str">
        <f>IFERROR(INDEX(Crosswalk_API!$H$2:$H$527, MATCH(POTABLE_NONPOTABLE_API[[#This Row],[PWSID]], CW_PWSID_LIST, 0)), "")</f>
        <v>No</v>
      </c>
    </row>
    <row r="5409" spans="1:24" x14ac:dyDescent="0.25">
      <c r="A5409" t="s">
        <v>2313</v>
      </c>
      <c r="B5409" t="s">
        <v>2314</v>
      </c>
      <c r="C5409" t="s">
        <v>2319</v>
      </c>
      <c r="D5409" t="s">
        <v>2320</v>
      </c>
      <c r="E5409" s="9">
        <v>45323</v>
      </c>
      <c r="F5409" s="9">
        <v>45351</v>
      </c>
      <c r="G5409">
        <v>267427318.3116</v>
      </c>
      <c r="H5409">
        <v>0</v>
      </c>
      <c r="I5409">
        <v>97806676.922000006</v>
      </c>
      <c r="J5409">
        <v>0</v>
      </c>
      <c r="K5409">
        <v>0</v>
      </c>
      <c r="L5409">
        <v>0</v>
      </c>
      <c r="M5409">
        <v>0</v>
      </c>
      <c r="N5409">
        <v>0</v>
      </c>
      <c r="O5409">
        <v>0</v>
      </c>
      <c r="P5409">
        <v>0</v>
      </c>
      <c r="Q5409">
        <v>0</v>
      </c>
      <c r="R5409">
        <v>0</v>
      </c>
      <c r="S5409">
        <v>0</v>
      </c>
      <c r="T5409" s="9">
        <v>45108</v>
      </c>
      <c r="U5409" s="9">
        <v>45473</v>
      </c>
      <c r="V5409">
        <f>SUM(POTABLE_NONPOTABLE_API[[#This Row],[RESIDENTIAL_SINGLEFAMILY_GAL]:[OTHER_GAL]])</f>
        <v>365233995.23360002</v>
      </c>
      <c r="W5409">
        <f>SUM(POTABLE_NONPOTABLE_API[[#This Row],[NONPOTABLE_DEMAND_RESIDENTIAL_RECYCLED_WATER_GAL]:[NONPOTABLE_DEMAND_NONRESIDENTIAL_METERED_IRRIGATION_GAL]])</f>
        <v>0</v>
      </c>
      <c r="X5409" t="str">
        <f>IFERROR(INDEX(Crosswalk_API!$H$2:$H$527, MATCH(POTABLE_NONPOTABLE_API[[#This Row],[PWSID]], CW_PWSID_LIST, 0)), "")</f>
        <v>No</v>
      </c>
    </row>
    <row r="5410" spans="1:24" x14ac:dyDescent="0.25">
      <c r="A5410" t="s">
        <v>2313</v>
      </c>
      <c r="B5410" t="s">
        <v>2314</v>
      </c>
      <c r="C5410" t="s">
        <v>2319</v>
      </c>
      <c r="D5410" t="s">
        <v>2320</v>
      </c>
      <c r="E5410" s="9">
        <v>45352</v>
      </c>
      <c r="F5410" s="9">
        <v>45382</v>
      </c>
      <c r="G5410">
        <v>234787902.01899999</v>
      </c>
      <c r="H5410">
        <v>0</v>
      </c>
      <c r="I5410">
        <v>77272462.509000003</v>
      </c>
      <c r="J5410">
        <v>0</v>
      </c>
      <c r="K5410">
        <v>0</v>
      </c>
      <c r="L5410">
        <v>0</v>
      </c>
      <c r="M5410">
        <v>0</v>
      </c>
      <c r="N5410">
        <v>0</v>
      </c>
      <c r="O5410">
        <v>0</v>
      </c>
      <c r="P5410">
        <v>0</v>
      </c>
      <c r="Q5410">
        <v>2547117.06</v>
      </c>
      <c r="R5410">
        <v>0</v>
      </c>
      <c r="S5410">
        <v>0</v>
      </c>
      <c r="T5410" s="9">
        <v>45108</v>
      </c>
      <c r="U5410" s="9">
        <v>45473</v>
      </c>
      <c r="V5410">
        <f>SUM(POTABLE_NONPOTABLE_API[[#This Row],[RESIDENTIAL_SINGLEFAMILY_GAL]:[OTHER_GAL]])</f>
        <v>312060364.528</v>
      </c>
      <c r="W5410">
        <f>SUM(POTABLE_NONPOTABLE_API[[#This Row],[NONPOTABLE_DEMAND_RESIDENTIAL_RECYCLED_WATER_GAL]:[NONPOTABLE_DEMAND_NONRESIDENTIAL_METERED_IRRIGATION_GAL]])</f>
        <v>2547117.06</v>
      </c>
      <c r="X5410" t="str">
        <f>IFERROR(INDEX(Crosswalk_API!$H$2:$H$527, MATCH(POTABLE_NONPOTABLE_API[[#This Row],[PWSID]], CW_PWSID_LIST, 0)), "")</f>
        <v>No</v>
      </c>
    </row>
    <row r="5411" spans="1:24" x14ac:dyDescent="0.25">
      <c r="A5411" t="s">
        <v>2313</v>
      </c>
      <c r="B5411" t="s">
        <v>2314</v>
      </c>
      <c r="C5411" t="s">
        <v>2319</v>
      </c>
      <c r="D5411" t="s">
        <v>2320</v>
      </c>
      <c r="E5411" s="9">
        <v>45383</v>
      </c>
      <c r="F5411" s="9">
        <v>45412</v>
      </c>
      <c r="G5411">
        <v>252120640.88500002</v>
      </c>
      <c r="H5411">
        <v>0</v>
      </c>
      <c r="I5411">
        <v>87696267.908200011</v>
      </c>
      <c r="J5411">
        <v>0</v>
      </c>
      <c r="K5411">
        <v>0</v>
      </c>
      <c r="L5411">
        <v>0</v>
      </c>
      <c r="M5411">
        <v>0</v>
      </c>
      <c r="N5411">
        <v>5212426.3360000001</v>
      </c>
      <c r="O5411">
        <v>0</v>
      </c>
      <c r="P5411">
        <v>0</v>
      </c>
      <c r="Q5411">
        <v>0</v>
      </c>
      <c r="R5411">
        <v>0</v>
      </c>
      <c r="S5411">
        <v>0</v>
      </c>
      <c r="T5411" s="9">
        <v>45108</v>
      </c>
      <c r="U5411" s="9">
        <v>45473</v>
      </c>
      <c r="V5411">
        <f>SUM(POTABLE_NONPOTABLE_API[[#This Row],[RESIDENTIAL_SINGLEFAMILY_GAL]:[OTHER_GAL]])</f>
        <v>339816908.79320002</v>
      </c>
      <c r="W5411">
        <f>SUM(POTABLE_NONPOTABLE_API[[#This Row],[NONPOTABLE_DEMAND_RESIDENTIAL_RECYCLED_WATER_GAL]:[NONPOTABLE_DEMAND_NONRESIDENTIAL_METERED_IRRIGATION_GAL]])</f>
        <v>5212426.3360000001</v>
      </c>
      <c r="X5411" t="str">
        <f>IFERROR(INDEX(Crosswalk_API!$H$2:$H$527, MATCH(POTABLE_NONPOTABLE_API[[#This Row],[PWSID]], CW_PWSID_LIST, 0)), "")</f>
        <v>No</v>
      </c>
    </row>
    <row r="5412" spans="1:24" x14ac:dyDescent="0.25">
      <c r="A5412" t="s">
        <v>2313</v>
      </c>
      <c r="B5412" t="s">
        <v>2314</v>
      </c>
      <c r="C5412" t="s">
        <v>2319</v>
      </c>
      <c r="D5412" t="s">
        <v>2320</v>
      </c>
      <c r="E5412" s="9">
        <v>45413</v>
      </c>
      <c r="F5412" s="9">
        <v>45443</v>
      </c>
      <c r="G5412">
        <v>310526072.4734</v>
      </c>
      <c r="H5412">
        <v>0</v>
      </c>
      <c r="I5412">
        <v>103378168.21800001</v>
      </c>
      <c r="J5412">
        <v>0</v>
      </c>
      <c r="K5412">
        <v>0</v>
      </c>
      <c r="L5412">
        <v>0</v>
      </c>
      <c r="M5412">
        <v>0</v>
      </c>
      <c r="N5412">
        <v>0</v>
      </c>
      <c r="O5412">
        <v>15319356.908</v>
      </c>
      <c r="P5412">
        <v>0</v>
      </c>
      <c r="Q5412">
        <v>0</v>
      </c>
      <c r="R5412">
        <v>0</v>
      </c>
      <c r="S5412">
        <v>0</v>
      </c>
      <c r="T5412" s="9">
        <v>45108</v>
      </c>
      <c r="U5412" s="9">
        <v>45473</v>
      </c>
      <c r="V5412">
        <f>SUM(POTABLE_NONPOTABLE_API[[#This Row],[RESIDENTIAL_SINGLEFAMILY_GAL]:[OTHER_GAL]])</f>
        <v>413904240.69139999</v>
      </c>
      <c r="W5412">
        <f>SUM(POTABLE_NONPOTABLE_API[[#This Row],[NONPOTABLE_DEMAND_RESIDENTIAL_RECYCLED_WATER_GAL]:[NONPOTABLE_DEMAND_NONRESIDENTIAL_METERED_IRRIGATION_GAL]])</f>
        <v>15319356.908</v>
      </c>
      <c r="X5412" t="str">
        <f>IFERROR(INDEX(Crosswalk_API!$H$2:$H$527, MATCH(POTABLE_NONPOTABLE_API[[#This Row],[PWSID]], CW_PWSID_LIST, 0)), "")</f>
        <v>No</v>
      </c>
    </row>
    <row r="5413" spans="1:24" x14ac:dyDescent="0.25">
      <c r="A5413" t="s">
        <v>2313</v>
      </c>
      <c r="B5413" t="s">
        <v>2314</v>
      </c>
      <c r="C5413" t="s">
        <v>2319</v>
      </c>
      <c r="D5413" t="s">
        <v>2320</v>
      </c>
      <c r="E5413" s="9">
        <v>45444</v>
      </c>
      <c r="F5413" s="9">
        <v>45473</v>
      </c>
      <c r="G5413">
        <v>377338486.46380001</v>
      </c>
      <c r="H5413">
        <v>0</v>
      </c>
      <c r="I5413">
        <v>120536797.98100001</v>
      </c>
      <c r="J5413">
        <v>0</v>
      </c>
      <c r="K5413">
        <v>0</v>
      </c>
      <c r="L5413">
        <v>0</v>
      </c>
      <c r="M5413">
        <v>0</v>
      </c>
      <c r="N5413">
        <v>0</v>
      </c>
      <c r="O5413">
        <v>0</v>
      </c>
      <c r="P5413">
        <v>0</v>
      </c>
      <c r="Q5413">
        <v>22144583.356000002</v>
      </c>
      <c r="R5413">
        <v>0</v>
      </c>
      <c r="S5413">
        <v>0</v>
      </c>
      <c r="T5413" s="9">
        <v>45108</v>
      </c>
      <c r="U5413" s="9">
        <v>45473</v>
      </c>
      <c r="V5413">
        <f>SUM(POTABLE_NONPOTABLE_API[[#This Row],[RESIDENTIAL_SINGLEFAMILY_GAL]:[OTHER_GAL]])</f>
        <v>497875284.44480002</v>
      </c>
      <c r="W5413">
        <f>SUM(POTABLE_NONPOTABLE_API[[#This Row],[NONPOTABLE_DEMAND_RESIDENTIAL_RECYCLED_WATER_GAL]:[NONPOTABLE_DEMAND_NONRESIDENTIAL_METERED_IRRIGATION_GAL]])</f>
        <v>22144583.356000002</v>
      </c>
      <c r="X5413" t="str">
        <f>IFERROR(INDEX(Crosswalk_API!$H$2:$H$527, MATCH(POTABLE_NONPOTABLE_API[[#This Row],[PWSID]], CW_PWSID_LIST, 0)), "")</f>
        <v>No</v>
      </c>
    </row>
    <row r="5414" spans="1:24" x14ac:dyDescent="0.25">
      <c r="A5414" t="s">
        <v>2321</v>
      </c>
      <c r="B5414" t="s">
        <v>2322</v>
      </c>
      <c r="C5414" t="s">
        <v>2323</v>
      </c>
      <c r="D5414" t="s">
        <v>2324</v>
      </c>
      <c r="E5414" s="9">
        <v>45108</v>
      </c>
      <c r="F5414" s="9">
        <v>45138</v>
      </c>
      <c r="G5414">
        <v>109024689.12959999</v>
      </c>
      <c r="H5414">
        <v>0</v>
      </c>
      <c r="I5414">
        <v>47118000.155199997</v>
      </c>
      <c r="J5414">
        <v>0</v>
      </c>
      <c r="K5414">
        <v>0</v>
      </c>
      <c r="L5414">
        <v>0</v>
      </c>
      <c r="M5414">
        <v>0</v>
      </c>
      <c r="T5414" s="9">
        <v>45108</v>
      </c>
      <c r="U5414" s="9">
        <v>45473</v>
      </c>
      <c r="V5414">
        <f>SUM(POTABLE_NONPOTABLE_API[[#This Row],[RESIDENTIAL_SINGLEFAMILY_GAL]:[OTHER_GAL]])</f>
        <v>156142689.28479999</v>
      </c>
      <c r="W5414">
        <f>SUM(POTABLE_NONPOTABLE_API[[#This Row],[NONPOTABLE_DEMAND_RESIDENTIAL_RECYCLED_WATER_GAL]:[NONPOTABLE_DEMAND_NONRESIDENTIAL_METERED_IRRIGATION_GAL]])</f>
        <v>0</v>
      </c>
      <c r="X5414" t="str">
        <f>IFERROR(INDEX(Crosswalk_API!$H$2:$H$527, MATCH(POTABLE_NONPOTABLE_API[[#This Row],[PWSID]], CW_PWSID_LIST, 0)), "")</f>
        <v>No</v>
      </c>
    </row>
    <row r="5415" spans="1:24" x14ac:dyDescent="0.25">
      <c r="A5415" t="s">
        <v>2321</v>
      </c>
      <c r="B5415" t="s">
        <v>2322</v>
      </c>
      <c r="C5415" t="s">
        <v>2323</v>
      </c>
      <c r="D5415" t="s">
        <v>2324</v>
      </c>
      <c r="E5415" s="9">
        <v>45139</v>
      </c>
      <c r="F5415" s="9">
        <v>45169</v>
      </c>
      <c r="G5415">
        <v>179475029.60640001</v>
      </c>
      <c r="H5415">
        <v>0</v>
      </c>
      <c r="I5415">
        <v>62412072.905600004</v>
      </c>
      <c r="J5415">
        <v>0</v>
      </c>
      <c r="K5415">
        <v>0</v>
      </c>
      <c r="L5415">
        <v>0</v>
      </c>
      <c r="M5415">
        <v>0</v>
      </c>
      <c r="T5415" s="9">
        <v>45108</v>
      </c>
      <c r="U5415" s="9">
        <v>45473</v>
      </c>
      <c r="V5415">
        <f>SUM(POTABLE_NONPOTABLE_API[[#This Row],[RESIDENTIAL_SINGLEFAMILY_GAL]:[OTHER_GAL]])</f>
        <v>241887102.51200002</v>
      </c>
      <c r="W5415">
        <f>SUM(POTABLE_NONPOTABLE_API[[#This Row],[NONPOTABLE_DEMAND_RESIDENTIAL_RECYCLED_WATER_GAL]:[NONPOTABLE_DEMAND_NONRESIDENTIAL_METERED_IRRIGATION_GAL]])</f>
        <v>0</v>
      </c>
      <c r="X5415" t="str">
        <f>IFERROR(INDEX(Crosswalk_API!$H$2:$H$527, MATCH(POTABLE_NONPOTABLE_API[[#This Row],[PWSID]], CW_PWSID_LIST, 0)), "")</f>
        <v>No</v>
      </c>
    </row>
    <row r="5416" spans="1:24" x14ac:dyDescent="0.25">
      <c r="A5416" t="s">
        <v>2321</v>
      </c>
      <c r="B5416" t="s">
        <v>2322</v>
      </c>
      <c r="C5416" t="s">
        <v>2323</v>
      </c>
      <c r="D5416" t="s">
        <v>2324</v>
      </c>
      <c r="E5416" s="9">
        <v>45170</v>
      </c>
      <c r="F5416" s="9">
        <v>45199</v>
      </c>
      <c r="G5416">
        <v>103310768.73279999</v>
      </c>
      <c r="H5416">
        <v>0</v>
      </c>
      <c r="I5416">
        <v>45153615.603200004</v>
      </c>
      <c r="J5416">
        <v>0</v>
      </c>
      <c r="K5416">
        <v>0</v>
      </c>
      <c r="L5416">
        <v>0</v>
      </c>
      <c r="M5416">
        <v>0</v>
      </c>
      <c r="T5416" s="9">
        <v>45108</v>
      </c>
      <c r="U5416" s="9">
        <v>45473</v>
      </c>
      <c r="V5416">
        <f>SUM(POTABLE_NONPOTABLE_API[[#This Row],[RESIDENTIAL_SINGLEFAMILY_GAL]:[OTHER_GAL]])</f>
        <v>148464384.336</v>
      </c>
      <c r="W5416">
        <f>SUM(POTABLE_NONPOTABLE_API[[#This Row],[NONPOTABLE_DEMAND_RESIDENTIAL_RECYCLED_WATER_GAL]:[NONPOTABLE_DEMAND_NONRESIDENTIAL_METERED_IRRIGATION_GAL]])</f>
        <v>0</v>
      </c>
      <c r="X5416" t="str">
        <f>IFERROR(INDEX(Crosswalk_API!$H$2:$H$527, MATCH(POTABLE_NONPOTABLE_API[[#This Row],[PWSID]], CW_PWSID_LIST, 0)), "")</f>
        <v>No</v>
      </c>
    </row>
    <row r="5417" spans="1:24" x14ac:dyDescent="0.25">
      <c r="A5417" t="s">
        <v>2321</v>
      </c>
      <c r="B5417" t="s">
        <v>2322</v>
      </c>
      <c r="C5417" t="s">
        <v>2323</v>
      </c>
      <c r="D5417" t="s">
        <v>2324</v>
      </c>
      <c r="E5417" s="9">
        <v>45200</v>
      </c>
      <c r="F5417" s="9">
        <v>45230</v>
      </c>
      <c r="G5417">
        <v>145820768.56800002</v>
      </c>
      <c r="H5417">
        <v>0</v>
      </c>
      <c r="I5417">
        <v>40825985.172800004</v>
      </c>
      <c r="J5417">
        <v>0</v>
      </c>
      <c r="K5417">
        <v>0</v>
      </c>
      <c r="L5417">
        <v>0</v>
      </c>
      <c r="M5417">
        <v>0</v>
      </c>
      <c r="T5417" s="9">
        <v>45108</v>
      </c>
      <c r="U5417" s="9">
        <v>45473</v>
      </c>
      <c r="V5417">
        <f>SUM(POTABLE_NONPOTABLE_API[[#This Row],[RESIDENTIAL_SINGLEFAMILY_GAL]:[OTHER_GAL]])</f>
        <v>186646753.74080002</v>
      </c>
      <c r="W5417">
        <f>SUM(POTABLE_NONPOTABLE_API[[#This Row],[NONPOTABLE_DEMAND_RESIDENTIAL_RECYCLED_WATER_GAL]:[NONPOTABLE_DEMAND_NONRESIDENTIAL_METERED_IRRIGATION_GAL]])</f>
        <v>0</v>
      </c>
      <c r="X5417" t="str">
        <f>IFERROR(INDEX(Crosswalk_API!$H$2:$H$527, MATCH(POTABLE_NONPOTABLE_API[[#This Row],[PWSID]], CW_PWSID_LIST, 0)), "")</f>
        <v>No</v>
      </c>
    </row>
    <row r="5418" spans="1:24" x14ac:dyDescent="0.25">
      <c r="A5418" t="s">
        <v>2321</v>
      </c>
      <c r="B5418" t="s">
        <v>2322</v>
      </c>
      <c r="C5418" t="s">
        <v>2323</v>
      </c>
      <c r="D5418" t="s">
        <v>2324</v>
      </c>
      <c r="E5418" s="9">
        <v>45231</v>
      </c>
      <c r="F5418" s="9">
        <v>45260</v>
      </c>
      <c r="G5418">
        <v>118075519.888</v>
      </c>
      <c r="H5418">
        <v>0</v>
      </c>
      <c r="I5418">
        <v>43417536.521600001</v>
      </c>
      <c r="J5418">
        <v>0</v>
      </c>
      <c r="K5418">
        <v>0</v>
      </c>
      <c r="L5418">
        <v>0</v>
      </c>
      <c r="M5418">
        <v>0</v>
      </c>
      <c r="T5418" s="9">
        <v>45108</v>
      </c>
      <c r="U5418" s="9">
        <v>45473</v>
      </c>
      <c r="V5418">
        <f>SUM(POTABLE_NONPOTABLE_API[[#This Row],[RESIDENTIAL_SINGLEFAMILY_GAL]:[OTHER_GAL]])</f>
        <v>161493056.40959999</v>
      </c>
      <c r="W5418">
        <f>SUM(POTABLE_NONPOTABLE_API[[#This Row],[NONPOTABLE_DEMAND_RESIDENTIAL_RECYCLED_WATER_GAL]:[NONPOTABLE_DEMAND_NONRESIDENTIAL_METERED_IRRIGATION_GAL]])</f>
        <v>0</v>
      </c>
      <c r="X5418" t="str">
        <f>IFERROR(INDEX(Crosswalk_API!$H$2:$H$527, MATCH(POTABLE_NONPOTABLE_API[[#This Row],[PWSID]], CW_PWSID_LIST, 0)), "")</f>
        <v>No</v>
      </c>
    </row>
    <row r="5419" spans="1:24" x14ac:dyDescent="0.25">
      <c r="A5419" t="s">
        <v>2321</v>
      </c>
      <c r="B5419" t="s">
        <v>2322</v>
      </c>
      <c r="C5419" t="s">
        <v>2323</v>
      </c>
      <c r="D5419" t="s">
        <v>2324</v>
      </c>
      <c r="E5419" s="9">
        <v>45261</v>
      </c>
      <c r="F5419" s="9">
        <v>45291</v>
      </c>
      <c r="G5419">
        <v>93505602.337600008</v>
      </c>
      <c r="H5419">
        <v>0</v>
      </c>
      <c r="I5419">
        <v>50584173.902400002</v>
      </c>
      <c r="J5419">
        <v>0</v>
      </c>
      <c r="K5419">
        <v>0</v>
      </c>
      <c r="L5419">
        <v>0</v>
      </c>
      <c r="M5419">
        <v>0</v>
      </c>
      <c r="T5419" s="9">
        <v>45108</v>
      </c>
      <c r="U5419" s="9">
        <v>45473</v>
      </c>
      <c r="V5419">
        <f>SUM(POTABLE_NONPOTABLE_API[[#This Row],[RESIDENTIAL_SINGLEFAMILY_GAL]:[OTHER_GAL]])</f>
        <v>144089776.24000001</v>
      </c>
      <c r="W5419">
        <f>SUM(POTABLE_NONPOTABLE_API[[#This Row],[NONPOTABLE_DEMAND_RESIDENTIAL_RECYCLED_WATER_GAL]:[NONPOTABLE_DEMAND_NONRESIDENTIAL_METERED_IRRIGATION_GAL]])</f>
        <v>0</v>
      </c>
      <c r="X5419" t="str">
        <f>IFERROR(INDEX(Crosswalk_API!$H$2:$H$527, MATCH(POTABLE_NONPOTABLE_API[[#This Row],[PWSID]], CW_PWSID_LIST, 0)), "")</f>
        <v>No</v>
      </c>
    </row>
    <row r="5420" spans="1:24" x14ac:dyDescent="0.25">
      <c r="A5420" t="s">
        <v>2321</v>
      </c>
      <c r="B5420" t="s">
        <v>2322</v>
      </c>
      <c r="C5420" t="s">
        <v>2323</v>
      </c>
      <c r="D5420" t="s">
        <v>2324</v>
      </c>
      <c r="E5420" s="9">
        <v>45292</v>
      </c>
      <c r="F5420" s="9">
        <v>45322</v>
      </c>
      <c r="G5420">
        <v>100056443.31200001</v>
      </c>
      <c r="H5420">
        <v>0</v>
      </c>
      <c r="I5420">
        <v>35943898.600000001</v>
      </c>
      <c r="J5420">
        <v>0</v>
      </c>
      <c r="K5420">
        <v>0</v>
      </c>
      <c r="L5420">
        <v>0</v>
      </c>
      <c r="M5420">
        <v>0</v>
      </c>
      <c r="T5420" s="9">
        <v>45108</v>
      </c>
      <c r="U5420" s="9">
        <v>45473</v>
      </c>
      <c r="V5420">
        <f>SUM(POTABLE_NONPOTABLE_API[[#This Row],[RESIDENTIAL_SINGLEFAMILY_GAL]:[OTHER_GAL]])</f>
        <v>136000341.912</v>
      </c>
      <c r="W5420">
        <f>SUM(POTABLE_NONPOTABLE_API[[#This Row],[NONPOTABLE_DEMAND_RESIDENTIAL_RECYCLED_WATER_GAL]:[NONPOTABLE_DEMAND_NONRESIDENTIAL_METERED_IRRIGATION_GAL]])</f>
        <v>0</v>
      </c>
      <c r="X5420" t="str">
        <f>IFERROR(INDEX(Crosswalk_API!$H$2:$H$527, MATCH(POTABLE_NONPOTABLE_API[[#This Row],[PWSID]], CW_PWSID_LIST, 0)), "")</f>
        <v>No</v>
      </c>
    </row>
    <row r="5421" spans="1:24" x14ac:dyDescent="0.25">
      <c r="A5421" t="s">
        <v>2321</v>
      </c>
      <c r="B5421" t="s">
        <v>2322</v>
      </c>
      <c r="C5421" t="s">
        <v>2323</v>
      </c>
      <c r="D5421" t="s">
        <v>2324</v>
      </c>
      <c r="E5421" s="9">
        <v>45323</v>
      </c>
      <c r="F5421" s="9">
        <v>45351</v>
      </c>
      <c r="G5421">
        <v>86947879.284799993</v>
      </c>
      <c r="H5421">
        <v>0</v>
      </c>
      <c r="I5421">
        <v>32576467.716800001</v>
      </c>
      <c r="J5421">
        <v>0</v>
      </c>
      <c r="K5421">
        <v>0</v>
      </c>
      <c r="L5421">
        <v>0</v>
      </c>
      <c r="M5421">
        <v>0</v>
      </c>
      <c r="T5421" s="9">
        <v>45108</v>
      </c>
      <c r="U5421" s="9">
        <v>45473</v>
      </c>
      <c r="V5421">
        <f>SUM(POTABLE_NONPOTABLE_API[[#This Row],[RESIDENTIAL_SINGLEFAMILY_GAL]:[OTHER_GAL]])</f>
        <v>119524347.0016</v>
      </c>
      <c r="W5421">
        <f>SUM(POTABLE_NONPOTABLE_API[[#This Row],[NONPOTABLE_DEMAND_RESIDENTIAL_RECYCLED_WATER_GAL]:[NONPOTABLE_DEMAND_NONRESIDENTIAL_METERED_IRRIGATION_GAL]])</f>
        <v>0</v>
      </c>
      <c r="X5421" t="str">
        <f>IFERROR(INDEX(Crosswalk_API!$H$2:$H$527, MATCH(POTABLE_NONPOTABLE_API[[#This Row],[PWSID]], CW_PWSID_LIST, 0)), "")</f>
        <v>No</v>
      </c>
    </row>
    <row r="5422" spans="1:24" x14ac:dyDescent="0.25">
      <c r="A5422" t="s">
        <v>2321</v>
      </c>
      <c r="B5422" t="s">
        <v>2322</v>
      </c>
      <c r="C5422" t="s">
        <v>2323</v>
      </c>
      <c r="D5422" t="s">
        <v>2324</v>
      </c>
      <c r="E5422" s="9">
        <v>45352</v>
      </c>
      <c r="F5422" s="9">
        <v>45382</v>
      </c>
      <c r="G5422">
        <v>75919498.259200007</v>
      </c>
      <c r="H5422">
        <v>0</v>
      </c>
      <c r="I5422">
        <v>29704546.478399999</v>
      </c>
      <c r="J5422">
        <v>0</v>
      </c>
      <c r="K5422">
        <v>0</v>
      </c>
      <c r="L5422">
        <v>0</v>
      </c>
      <c r="M5422">
        <v>0</v>
      </c>
      <c r="T5422" s="9">
        <v>45108</v>
      </c>
      <c r="U5422" s="9">
        <v>45473</v>
      </c>
      <c r="V5422">
        <f>SUM(POTABLE_NONPOTABLE_API[[#This Row],[RESIDENTIAL_SINGLEFAMILY_GAL]:[OTHER_GAL]])</f>
        <v>105624044.7376</v>
      </c>
      <c r="W5422">
        <f>SUM(POTABLE_NONPOTABLE_API[[#This Row],[NONPOTABLE_DEMAND_RESIDENTIAL_RECYCLED_WATER_GAL]:[NONPOTABLE_DEMAND_NONRESIDENTIAL_METERED_IRRIGATION_GAL]])</f>
        <v>0</v>
      </c>
      <c r="X5422" t="str">
        <f>IFERROR(INDEX(Crosswalk_API!$H$2:$H$527, MATCH(POTABLE_NONPOTABLE_API[[#This Row],[PWSID]], CW_PWSID_LIST, 0)), "")</f>
        <v>No</v>
      </c>
    </row>
    <row r="5423" spans="1:24" x14ac:dyDescent="0.25">
      <c r="A5423" t="s">
        <v>2321</v>
      </c>
      <c r="B5423" t="s">
        <v>2322</v>
      </c>
      <c r="C5423" t="s">
        <v>2323</v>
      </c>
      <c r="D5423" t="s">
        <v>2324</v>
      </c>
      <c r="E5423" s="9">
        <v>45383</v>
      </c>
      <c r="F5423" s="9">
        <v>45412</v>
      </c>
      <c r="G5423">
        <v>80923367.697600007</v>
      </c>
      <c r="H5423">
        <v>0</v>
      </c>
      <c r="I5423">
        <v>31260793.859200001</v>
      </c>
      <c r="J5423">
        <v>0</v>
      </c>
      <c r="K5423">
        <v>0</v>
      </c>
      <c r="L5423">
        <v>0</v>
      </c>
      <c r="M5423">
        <v>0</v>
      </c>
      <c r="T5423" s="9">
        <v>45108</v>
      </c>
      <c r="U5423" s="9">
        <v>45473</v>
      </c>
      <c r="V5423">
        <f>SUM(POTABLE_NONPOTABLE_API[[#This Row],[RESIDENTIAL_SINGLEFAMILY_GAL]:[OTHER_GAL]])</f>
        <v>112184161.55680001</v>
      </c>
      <c r="W5423">
        <f>SUM(POTABLE_NONPOTABLE_API[[#This Row],[NONPOTABLE_DEMAND_RESIDENTIAL_RECYCLED_WATER_GAL]:[NONPOTABLE_DEMAND_NONRESIDENTIAL_METERED_IRRIGATION_GAL]])</f>
        <v>0</v>
      </c>
      <c r="X5423" t="str">
        <f>IFERROR(INDEX(Crosswalk_API!$H$2:$H$527, MATCH(POTABLE_NONPOTABLE_API[[#This Row],[PWSID]], CW_PWSID_LIST, 0)), "")</f>
        <v>No</v>
      </c>
    </row>
    <row r="5424" spans="1:24" x14ac:dyDescent="0.25">
      <c r="A5424" t="s">
        <v>2321</v>
      </c>
      <c r="B5424" t="s">
        <v>2322</v>
      </c>
      <c r="C5424" t="s">
        <v>2323</v>
      </c>
      <c r="D5424" t="s">
        <v>2324</v>
      </c>
      <c r="E5424" s="9">
        <v>45413</v>
      </c>
      <c r="F5424" s="9">
        <v>45443</v>
      </c>
      <c r="G5424">
        <v>99981937.332800001</v>
      </c>
      <c r="H5424">
        <v>0</v>
      </c>
      <c r="I5424">
        <v>38156037.974399999</v>
      </c>
      <c r="J5424">
        <v>0</v>
      </c>
      <c r="K5424">
        <v>0</v>
      </c>
      <c r="L5424">
        <v>0</v>
      </c>
      <c r="M5424">
        <v>0</v>
      </c>
      <c r="T5424" s="9">
        <v>45108</v>
      </c>
      <c r="U5424" s="9">
        <v>45473</v>
      </c>
      <c r="V5424">
        <f>SUM(POTABLE_NONPOTABLE_API[[#This Row],[RESIDENTIAL_SINGLEFAMILY_GAL]:[OTHER_GAL]])</f>
        <v>138137975.30720001</v>
      </c>
      <c r="W5424">
        <f>SUM(POTABLE_NONPOTABLE_API[[#This Row],[NONPOTABLE_DEMAND_RESIDENTIAL_RECYCLED_WATER_GAL]:[NONPOTABLE_DEMAND_NONRESIDENTIAL_METERED_IRRIGATION_GAL]])</f>
        <v>0</v>
      </c>
      <c r="X5424" t="str">
        <f>IFERROR(INDEX(Crosswalk_API!$H$2:$H$527, MATCH(POTABLE_NONPOTABLE_API[[#This Row],[PWSID]], CW_PWSID_LIST, 0)), "")</f>
        <v>No</v>
      </c>
    </row>
    <row r="5425" spans="1:24" x14ac:dyDescent="0.25">
      <c r="A5425" t="s">
        <v>2321</v>
      </c>
      <c r="B5425" t="s">
        <v>2322</v>
      </c>
      <c r="C5425" t="s">
        <v>2323</v>
      </c>
      <c r="D5425" t="s">
        <v>2324</v>
      </c>
      <c r="E5425" s="9">
        <v>45444</v>
      </c>
      <c r="F5425" s="9">
        <v>45473</v>
      </c>
      <c r="G5425">
        <v>124865438.2816</v>
      </c>
      <c r="H5425">
        <v>0</v>
      </c>
      <c r="I5425">
        <v>48641931.689600006</v>
      </c>
      <c r="J5425">
        <v>0</v>
      </c>
      <c r="K5425">
        <v>0</v>
      </c>
      <c r="L5425">
        <v>0</v>
      </c>
      <c r="M5425">
        <v>0</v>
      </c>
      <c r="T5425" s="9">
        <v>45108</v>
      </c>
      <c r="U5425" s="9">
        <v>45473</v>
      </c>
      <c r="V5425">
        <f>SUM(POTABLE_NONPOTABLE_API[[#This Row],[RESIDENTIAL_SINGLEFAMILY_GAL]:[OTHER_GAL]])</f>
        <v>173507369.97119999</v>
      </c>
      <c r="W5425">
        <f>SUM(POTABLE_NONPOTABLE_API[[#This Row],[NONPOTABLE_DEMAND_RESIDENTIAL_RECYCLED_WATER_GAL]:[NONPOTABLE_DEMAND_NONRESIDENTIAL_METERED_IRRIGATION_GAL]])</f>
        <v>0</v>
      </c>
      <c r="X5425" t="str">
        <f>IFERROR(INDEX(Crosswalk_API!$H$2:$H$527, MATCH(POTABLE_NONPOTABLE_API[[#This Row],[PWSID]], CW_PWSID_LIST, 0)), "")</f>
        <v>No</v>
      </c>
    </row>
    <row r="5426" spans="1:24" x14ac:dyDescent="0.25">
      <c r="A5426" t="s">
        <v>2321</v>
      </c>
      <c r="B5426" t="s">
        <v>2322</v>
      </c>
      <c r="C5426" t="s">
        <v>2325</v>
      </c>
      <c r="D5426" t="s">
        <v>2326</v>
      </c>
      <c r="E5426" s="9">
        <v>45108</v>
      </c>
      <c r="F5426" s="9">
        <v>45138</v>
      </c>
      <c r="G5426">
        <v>163537033.69440001</v>
      </c>
      <c r="H5426">
        <v>0</v>
      </c>
      <c r="I5426">
        <v>70677000.232799992</v>
      </c>
      <c r="J5426">
        <v>0</v>
      </c>
      <c r="K5426">
        <v>0</v>
      </c>
      <c r="L5426">
        <v>0</v>
      </c>
      <c r="M5426">
        <v>0</v>
      </c>
      <c r="T5426" s="9">
        <v>45108</v>
      </c>
      <c r="U5426" s="9">
        <v>45473</v>
      </c>
      <c r="V5426">
        <f>SUM(POTABLE_NONPOTABLE_API[[#This Row],[RESIDENTIAL_SINGLEFAMILY_GAL]:[OTHER_GAL]])</f>
        <v>234214033.92720002</v>
      </c>
      <c r="W5426">
        <f>SUM(POTABLE_NONPOTABLE_API[[#This Row],[NONPOTABLE_DEMAND_RESIDENTIAL_RECYCLED_WATER_GAL]:[NONPOTABLE_DEMAND_NONRESIDENTIAL_METERED_IRRIGATION_GAL]])</f>
        <v>0</v>
      </c>
      <c r="X5426" t="str">
        <f>IFERROR(INDEX(Crosswalk_API!$H$2:$H$527, MATCH(POTABLE_NONPOTABLE_API[[#This Row],[PWSID]], CW_PWSID_LIST, 0)), "")</f>
        <v>No</v>
      </c>
    </row>
    <row r="5427" spans="1:24" x14ac:dyDescent="0.25">
      <c r="A5427" t="s">
        <v>2321</v>
      </c>
      <c r="B5427" t="s">
        <v>2322</v>
      </c>
      <c r="C5427" t="s">
        <v>2325</v>
      </c>
      <c r="D5427" t="s">
        <v>2326</v>
      </c>
      <c r="E5427" s="9">
        <v>45139</v>
      </c>
      <c r="F5427" s="9">
        <v>45169</v>
      </c>
      <c r="G5427">
        <v>269212544.40960002</v>
      </c>
      <c r="H5427">
        <v>0</v>
      </c>
      <c r="I5427">
        <v>93618109.358400002</v>
      </c>
      <c r="J5427">
        <v>0</v>
      </c>
      <c r="K5427">
        <v>0</v>
      </c>
      <c r="L5427">
        <v>0</v>
      </c>
      <c r="M5427">
        <v>0</v>
      </c>
      <c r="T5427" s="9">
        <v>45108</v>
      </c>
      <c r="U5427" s="9">
        <v>45473</v>
      </c>
      <c r="V5427">
        <f>SUM(POTABLE_NONPOTABLE_API[[#This Row],[RESIDENTIAL_SINGLEFAMILY_GAL]:[OTHER_GAL]])</f>
        <v>362830653.76800001</v>
      </c>
      <c r="W5427">
        <f>SUM(POTABLE_NONPOTABLE_API[[#This Row],[NONPOTABLE_DEMAND_RESIDENTIAL_RECYCLED_WATER_GAL]:[NONPOTABLE_DEMAND_NONRESIDENTIAL_METERED_IRRIGATION_GAL]])</f>
        <v>0</v>
      </c>
      <c r="X5427" t="str">
        <f>IFERROR(INDEX(Crosswalk_API!$H$2:$H$527, MATCH(POTABLE_NONPOTABLE_API[[#This Row],[PWSID]], CW_PWSID_LIST, 0)), "")</f>
        <v>No</v>
      </c>
    </row>
    <row r="5428" spans="1:24" x14ac:dyDescent="0.25">
      <c r="A5428" t="s">
        <v>2321</v>
      </c>
      <c r="B5428" t="s">
        <v>2322</v>
      </c>
      <c r="C5428" t="s">
        <v>2325</v>
      </c>
      <c r="D5428" t="s">
        <v>2326</v>
      </c>
      <c r="E5428" s="9">
        <v>45170</v>
      </c>
      <c r="F5428" s="9">
        <v>45199</v>
      </c>
      <c r="G5428">
        <v>154966153.09920001</v>
      </c>
      <c r="H5428">
        <v>0</v>
      </c>
      <c r="I5428">
        <v>67730423.404799998</v>
      </c>
      <c r="J5428">
        <v>0</v>
      </c>
      <c r="K5428">
        <v>0</v>
      </c>
      <c r="L5428">
        <v>0</v>
      </c>
      <c r="M5428">
        <v>0</v>
      </c>
      <c r="T5428" s="9">
        <v>45108</v>
      </c>
      <c r="U5428" s="9">
        <v>45473</v>
      </c>
      <c r="V5428">
        <f>SUM(POTABLE_NONPOTABLE_API[[#This Row],[RESIDENTIAL_SINGLEFAMILY_GAL]:[OTHER_GAL]])</f>
        <v>222696576.50400001</v>
      </c>
      <c r="W5428">
        <f>SUM(POTABLE_NONPOTABLE_API[[#This Row],[NONPOTABLE_DEMAND_RESIDENTIAL_RECYCLED_WATER_GAL]:[NONPOTABLE_DEMAND_NONRESIDENTIAL_METERED_IRRIGATION_GAL]])</f>
        <v>0</v>
      </c>
      <c r="X5428" t="str">
        <f>IFERROR(INDEX(Crosswalk_API!$H$2:$H$527, MATCH(POTABLE_NONPOTABLE_API[[#This Row],[PWSID]], CW_PWSID_LIST, 0)), "")</f>
        <v>No</v>
      </c>
    </row>
    <row r="5429" spans="1:24" x14ac:dyDescent="0.25">
      <c r="A5429" t="s">
        <v>2321</v>
      </c>
      <c r="B5429" t="s">
        <v>2322</v>
      </c>
      <c r="C5429" t="s">
        <v>2325</v>
      </c>
      <c r="D5429" t="s">
        <v>2326</v>
      </c>
      <c r="E5429" s="9">
        <v>45200</v>
      </c>
      <c r="F5429" s="9">
        <v>45230</v>
      </c>
      <c r="G5429">
        <v>218731152.852</v>
      </c>
      <c r="H5429">
        <v>0</v>
      </c>
      <c r="I5429">
        <v>72849343.240799993</v>
      </c>
      <c r="J5429">
        <v>0</v>
      </c>
      <c r="K5429">
        <v>0</v>
      </c>
      <c r="L5429">
        <v>0</v>
      </c>
      <c r="M5429">
        <v>0</v>
      </c>
      <c r="T5429" s="9">
        <v>45108</v>
      </c>
      <c r="U5429" s="9">
        <v>45473</v>
      </c>
      <c r="V5429">
        <f>SUM(POTABLE_NONPOTABLE_API[[#This Row],[RESIDENTIAL_SINGLEFAMILY_GAL]:[OTHER_GAL]])</f>
        <v>291580496.09280002</v>
      </c>
      <c r="W5429">
        <f>SUM(POTABLE_NONPOTABLE_API[[#This Row],[NONPOTABLE_DEMAND_RESIDENTIAL_RECYCLED_WATER_GAL]:[NONPOTABLE_DEMAND_NONRESIDENTIAL_METERED_IRRIGATION_GAL]])</f>
        <v>0</v>
      </c>
      <c r="X5429" t="str">
        <f>IFERROR(INDEX(Crosswalk_API!$H$2:$H$527, MATCH(POTABLE_NONPOTABLE_API[[#This Row],[PWSID]], CW_PWSID_LIST, 0)), "")</f>
        <v>No</v>
      </c>
    </row>
    <row r="5430" spans="1:24" x14ac:dyDescent="0.25">
      <c r="A5430" t="s">
        <v>2321</v>
      </c>
      <c r="B5430" t="s">
        <v>2322</v>
      </c>
      <c r="C5430" t="s">
        <v>2325</v>
      </c>
      <c r="D5430" t="s">
        <v>2326</v>
      </c>
      <c r="E5430" s="9">
        <v>45231</v>
      </c>
      <c r="F5430" s="9">
        <v>45260</v>
      </c>
      <c r="G5430">
        <v>177113279.83200002</v>
      </c>
      <c r="H5430">
        <v>0</v>
      </c>
      <c r="I5430">
        <v>65126304.782399997</v>
      </c>
      <c r="J5430">
        <v>0</v>
      </c>
      <c r="K5430">
        <v>0</v>
      </c>
      <c r="L5430">
        <v>0</v>
      </c>
      <c r="M5430">
        <v>0</v>
      </c>
      <c r="T5430" s="9">
        <v>45108</v>
      </c>
      <c r="U5430" s="9">
        <v>45473</v>
      </c>
      <c r="V5430">
        <f>SUM(POTABLE_NONPOTABLE_API[[#This Row],[RESIDENTIAL_SINGLEFAMILY_GAL]:[OTHER_GAL]])</f>
        <v>242239584.61440003</v>
      </c>
      <c r="W5430">
        <f>SUM(POTABLE_NONPOTABLE_API[[#This Row],[NONPOTABLE_DEMAND_RESIDENTIAL_RECYCLED_WATER_GAL]:[NONPOTABLE_DEMAND_NONRESIDENTIAL_METERED_IRRIGATION_GAL]])</f>
        <v>0</v>
      </c>
      <c r="X5430" t="str">
        <f>IFERROR(INDEX(Crosswalk_API!$H$2:$H$527, MATCH(POTABLE_NONPOTABLE_API[[#This Row],[PWSID]], CW_PWSID_LIST, 0)), "")</f>
        <v>No</v>
      </c>
    </row>
    <row r="5431" spans="1:24" x14ac:dyDescent="0.25">
      <c r="A5431" t="s">
        <v>2321</v>
      </c>
      <c r="B5431" t="s">
        <v>2322</v>
      </c>
      <c r="C5431" t="s">
        <v>2325</v>
      </c>
      <c r="D5431" t="s">
        <v>2326</v>
      </c>
      <c r="E5431" s="9">
        <v>45261</v>
      </c>
      <c r="F5431" s="9">
        <v>45291</v>
      </c>
      <c r="G5431">
        <v>140258403.50640002</v>
      </c>
      <c r="H5431">
        <v>0</v>
      </c>
      <c r="I5431">
        <v>75876260.85360001</v>
      </c>
      <c r="J5431">
        <v>0</v>
      </c>
      <c r="K5431">
        <v>0</v>
      </c>
      <c r="L5431">
        <v>0</v>
      </c>
      <c r="M5431">
        <v>0</v>
      </c>
      <c r="T5431" s="9">
        <v>45108</v>
      </c>
      <c r="U5431" s="9">
        <v>45473</v>
      </c>
      <c r="V5431">
        <f>SUM(POTABLE_NONPOTABLE_API[[#This Row],[RESIDENTIAL_SINGLEFAMILY_GAL]:[OTHER_GAL]])</f>
        <v>216134664.36000001</v>
      </c>
      <c r="W5431">
        <f>SUM(POTABLE_NONPOTABLE_API[[#This Row],[NONPOTABLE_DEMAND_RESIDENTIAL_RECYCLED_WATER_GAL]:[NONPOTABLE_DEMAND_NONRESIDENTIAL_METERED_IRRIGATION_GAL]])</f>
        <v>0</v>
      </c>
      <c r="X5431" t="str">
        <f>IFERROR(INDEX(Crosswalk_API!$H$2:$H$527, MATCH(POTABLE_NONPOTABLE_API[[#This Row],[PWSID]], CW_PWSID_LIST, 0)), "")</f>
        <v>No</v>
      </c>
    </row>
    <row r="5432" spans="1:24" x14ac:dyDescent="0.25">
      <c r="A5432" t="s">
        <v>2321</v>
      </c>
      <c r="B5432" t="s">
        <v>2322</v>
      </c>
      <c r="C5432" t="s">
        <v>2325</v>
      </c>
      <c r="D5432" t="s">
        <v>2326</v>
      </c>
      <c r="E5432" s="9">
        <v>45292</v>
      </c>
      <c r="F5432" s="9">
        <v>45322</v>
      </c>
      <c r="G5432">
        <v>150084664.96799999</v>
      </c>
      <c r="H5432">
        <v>0</v>
      </c>
      <c r="I5432">
        <v>53915847.899999999</v>
      </c>
      <c r="J5432">
        <v>0</v>
      </c>
      <c r="K5432">
        <v>0</v>
      </c>
      <c r="L5432">
        <v>0</v>
      </c>
      <c r="M5432">
        <v>0</v>
      </c>
      <c r="T5432" s="9">
        <v>45108</v>
      </c>
      <c r="U5432" s="9">
        <v>45473</v>
      </c>
      <c r="V5432">
        <f>SUM(POTABLE_NONPOTABLE_API[[#This Row],[RESIDENTIAL_SINGLEFAMILY_GAL]:[OTHER_GAL]])</f>
        <v>204000512.868</v>
      </c>
      <c r="W5432">
        <f>SUM(POTABLE_NONPOTABLE_API[[#This Row],[NONPOTABLE_DEMAND_RESIDENTIAL_RECYCLED_WATER_GAL]:[NONPOTABLE_DEMAND_NONRESIDENTIAL_METERED_IRRIGATION_GAL]])</f>
        <v>0</v>
      </c>
      <c r="X5432" t="str">
        <f>IFERROR(INDEX(Crosswalk_API!$H$2:$H$527, MATCH(POTABLE_NONPOTABLE_API[[#This Row],[PWSID]], CW_PWSID_LIST, 0)), "")</f>
        <v>No</v>
      </c>
    </row>
    <row r="5433" spans="1:24" x14ac:dyDescent="0.25">
      <c r="A5433" t="s">
        <v>2321</v>
      </c>
      <c r="B5433" t="s">
        <v>2322</v>
      </c>
      <c r="C5433" t="s">
        <v>2325</v>
      </c>
      <c r="D5433" t="s">
        <v>2326</v>
      </c>
      <c r="E5433" s="9">
        <v>45323</v>
      </c>
      <c r="F5433" s="9">
        <v>45351</v>
      </c>
      <c r="G5433">
        <v>130421818.9272</v>
      </c>
      <c r="H5433">
        <v>0</v>
      </c>
      <c r="I5433">
        <v>48864701.575199999</v>
      </c>
      <c r="J5433">
        <v>0</v>
      </c>
      <c r="K5433">
        <v>0</v>
      </c>
      <c r="L5433">
        <v>0</v>
      </c>
      <c r="M5433">
        <v>0</v>
      </c>
      <c r="T5433" s="9">
        <v>45108</v>
      </c>
      <c r="U5433" s="9">
        <v>45473</v>
      </c>
      <c r="V5433">
        <f>SUM(POTABLE_NONPOTABLE_API[[#This Row],[RESIDENTIAL_SINGLEFAMILY_GAL]:[OTHER_GAL]])</f>
        <v>179286520.50240001</v>
      </c>
      <c r="W5433">
        <f>SUM(POTABLE_NONPOTABLE_API[[#This Row],[NONPOTABLE_DEMAND_RESIDENTIAL_RECYCLED_WATER_GAL]:[NONPOTABLE_DEMAND_NONRESIDENTIAL_METERED_IRRIGATION_GAL]])</f>
        <v>0</v>
      </c>
      <c r="X5433" t="str">
        <f>IFERROR(INDEX(Crosswalk_API!$H$2:$H$527, MATCH(POTABLE_NONPOTABLE_API[[#This Row],[PWSID]], CW_PWSID_LIST, 0)), "")</f>
        <v>No</v>
      </c>
    </row>
    <row r="5434" spans="1:24" x14ac:dyDescent="0.25">
      <c r="A5434" t="s">
        <v>2321</v>
      </c>
      <c r="B5434" t="s">
        <v>2322</v>
      </c>
      <c r="C5434" t="s">
        <v>2325</v>
      </c>
      <c r="D5434" t="s">
        <v>2326</v>
      </c>
      <c r="E5434" s="9">
        <v>45352</v>
      </c>
      <c r="F5434" s="9">
        <v>45382</v>
      </c>
      <c r="G5434">
        <v>113879247.3888</v>
      </c>
      <c r="H5434">
        <v>0</v>
      </c>
      <c r="I5434">
        <v>44556819.717600003</v>
      </c>
      <c r="J5434">
        <v>0</v>
      </c>
      <c r="K5434">
        <v>0</v>
      </c>
      <c r="L5434">
        <v>0</v>
      </c>
      <c r="M5434">
        <v>0</v>
      </c>
      <c r="T5434" s="9">
        <v>45108</v>
      </c>
      <c r="U5434" s="9">
        <v>45473</v>
      </c>
      <c r="V5434">
        <f>SUM(POTABLE_NONPOTABLE_API[[#This Row],[RESIDENTIAL_SINGLEFAMILY_GAL]:[OTHER_GAL]])</f>
        <v>158436067.10640001</v>
      </c>
      <c r="W5434">
        <f>SUM(POTABLE_NONPOTABLE_API[[#This Row],[NONPOTABLE_DEMAND_RESIDENTIAL_RECYCLED_WATER_GAL]:[NONPOTABLE_DEMAND_NONRESIDENTIAL_METERED_IRRIGATION_GAL]])</f>
        <v>0</v>
      </c>
      <c r="X5434" t="str">
        <f>IFERROR(INDEX(Crosswalk_API!$H$2:$H$527, MATCH(POTABLE_NONPOTABLE_API[[#This Row],[PWSID]], CW_PWSID_LIST, 0)), "")</f>
        <v>No</v>
      </c>
    </row>
    <row r="5435" spans="1:24" x14ac:dyDescent="0.25">
      <c r="A5435" t="s">
        <v>2321</v>
      </c>
      <c r="B5435" t="s">
        <v>2322</v>
      </c>
      <c r="C5435" t="s">
        <v>2325</v>
      </c>
      <c r="D5435" t="s">
        <v>2326</v>
      </c>
      <c r="E5435" s="9">
        <v>45383</v>
      </c>
      <c r="F5435" s="9">
        <v>45412</v>
      </c>
      <c r="G5435">
        <v>121385051.54640001</v>
      </c>
      <c r="H5435">
        <v>0</v>
      </c>
      <c r="I5435">
        <v>46891190.788800001</v>
      </c>
      <c r="J5435">
        <v>0</v>
      </c>
      <c r="K5435">
        <v>0</v>
      </c>
      <c r="L5435">
        <v>0</v>
      </c>
      <c r="M5435">
        <v>0</v>
      </c>
      <c r="T5435" s="9">
        <v>45108</v>
      </c>
      <c r="U5435" s="9">
        <v>45473</v>
      </c>
      <c r="V5435">
        <f>SUM(POTABLE_NONPOTABLE_API[[#This Row],[RESIDENTIAL_SINGLEFAMILY_GAL]:[OTHER_GAL]])</f>
        <v>168276242.33520001</v>
      </c>
      <c r="W5435">
        <f>SUM(POTABLE_NONPOTABLE_API[[#This Row],[NONPOTABLE_DEMAND_RESIDENTIAL_RECYCLED_WATER_GAL]:[NONPOTABLE_DEMAND_NONRESIDENTIAL_METERED_IRRIGATION_GAL]])</f>
        <v>0</v>
      </c>
      <c r="X5435" t="str">
        <f>IFERROR(INDEX(Crosswalk_API!$H$2:$H$527, MATCH(POTABLE_NONPOTABLE_API[[#This Row],[PWSID]], CW_PWSID_LIST, 0)), "")</f>
        <v>No</v>
      </c>
    </row>
    <row r="5436" spans="1:24" x14ac:dyDescent="0.25">
      <c r="A5436" t="s">
        <v>2321</v>
      </c>
      <c r="B5436" t="s">
        <v>2322</v>
      </c>
      <c r="C5436" t="s">
        <v>2325</v>
      </c>
      <c r="D5436" t="s">
        <v>2326</v>
      </c>
      <c r="E5436" s="9">
        <v>45413</v>
      </c>
      <c r="F5436" s="9">
        <v>45443</v>
      </c>
      <c r="G5436">
        <v>149972905.99920002</v>
      </c>
      <c r="H5436">
        <v>0</v>
      </c>
      <c r="I5436">
        <v>57234056.961600006</v>
      </c>
      <c r="J5436">
        <v>0</v>
      </c>
      <c r="K5436">
        <v>0</v>
      </c>
      <c r="L5436">
        <v>0</v>
      </c>
      <c r="M5436">
        <v>0</v>
      </c>
      <c r="T5436" s="9">
        <v>45108</v>
      </c>
      <c r="U5436" s="9">
        <v>45473</v>
      </c>
      <c r="V5436">
        <f>SUM(POTABLE_NONPOTABLE_API[[#This Row],[RESIDENTIAL_SINGLEFAMILY_GAL]:[OTHER_GAL]])</f>
        <v>207206962.96080002</v>
      </c>
      <c r="W5436">
        <f>SUM(POTABLE_NONPOTABLE_API[[#This Row],[NONPOTABLE_DEMAND_RESIDENTIAL_RECYCLED_WATER_GAL]:[NONPOTABLE_DEMAND_NONRESIDENTIAL_METERED_IRRIGATION_GAL]])</f>
        <v>0</v>
      </c>
      <c r="X5436" t="str">
        <f>IFERROR(INDEX(Crosswalk_API!$H$2:$H$527, MATCH(POTABLE_NONPOTABLE_API[[#This Row],[PWSID]], CW_PWSID_LIST, 0)), "")</f>
        <v>No</v>
      </c>
    </row>
    <row r="5437" spans="1:24" x14ac:dyDescent="0.25">
      <c r="A5437" t="s">
        <v>2321</v>
      </c>
      <c r="B5437" t="s">
        <v>2322</v>
      </c>
      <c r="C5437" t="s">
        <v>2325</v>
      </c>
      <c r="D5437" t="s">
        <v>2326</v>
      </c>
      <c r="E5437" s="9">
        <v>45444</v>
      </c>
      <c r="F5437" s="9">
        <v>45473</v>
      </c>
      <c r="G5437">
        <v>187298157.42240003</v>
      </c>
      <c r="H5437">
        <v>0</v>
      </c>
      <c r="I5437">
        <v>72962897.534400001</v>
      </c>
      <c r="J5437">
        <v>0</v>
      </c>
      <c r="K5437">
        <v>0</v>
      </c>
      <c r="L5437">
        <v>0</v>
      </c>
      <c r="M5437">
        <v>0</v>
      </c>
      <c r="T5437" s="9">
        <v>45108</v>
      </c>
      <c r="U5437" s="9">
        <v>45473</v>
      </c>
      <c r="V5437">
        <f>SUM(POTABLE_NONPOTABLE_API[[#This Row],[RESIDENTIAL_SINGLEFAMILY_GAL]:[OTHER_GAL]])</f>
        <v>260261054.95680004</v>
      </c>
      <c r="W5437">
        <f>SUM(POTABLE_NONPOTABLE_API[[#This Row],[NONPOTABLE_DEMAND_RESIDENTIAL_RECYCLED_WATER_GAL]:[NONPOTABLE_DEMAND_NONRESIDENTIAL_METERED_IRRIGATION_GAL]])</f>
        <v>0</v>
      </c>
      <c r="X5437" t="str">
        <f>IFERROR(INDEX(Crosswalk_API!$H$2:$H$527, MATCH(POTABLE_NONPOTABLE_API[[#This Row],[PWSID]], CW_PWSID_LIST, 0)), "")</f>
        <v>No</v>
      </c>
    </row>
    <row r="5438" spans="1:24" x14ac:dyDescent="0.25">
      <c r="A5438" t="s">
        <v>2327</v>
      </c>
      <c r="B5438" t="s">
        <v>2328</v>
      </c>
      <c r="C5438" t="s">
        <v>2329</v>
      </c>
      <c r="D5438" t="s">
        <v>2330</v>
      </c>
      <c r="E5438" s="9">
        <v>45108</v>
      </c>
      <c r="F5438" s="9">
        <v>45138</v>
      </c>
      <c r="G5438">
        <v>63400000</v>
      </c>
      <c r="H5438">
        <v>5750000</v>
      </c>
      <c r="I5438">
        <v>6000000</v>
      </c>
      <c r="J5438">
        <v>13960000</v>
      </c>
      <c r="K5438">
        <v>0</v>
      </c>
      <c r="L5438">
        <v>190000</v>
      </c>
      <c r="M5438">
        <v>0</v>
      </c>
      <c r="T5438" s="9">
        <v>45108</v>
      </c>
      <c r="U5438" s="9">
        <v>45473</v>
      </c>
      <c r="V5438">
        <f>SUM(POTABLE_NONPOTABLE_API[[#This Row],[RESIDENTIAL_SINGLEFAMILY_GAL]:[OTHER_GAL]])</f>
        <v>89300000</v>
      </c>
      <c r="W5438">
        <f>SUM(POTABLE_NONPOTABLE_API[[#This Row],[NONPOTABLE_DEMAND_RESIDENTIAL_RECYCLED_WATER_GAL]:[NONPOTABLE_DEMAND_NONRESIDENTIAL_METERED_IRRIGATION_GAL]])</f>
        <v>0</v>
      </c>
      <c r="X5438" t="str">
        <f>IFERROR(INDEX(Crosswalk_API!$H$2:$H$527, MATCH(POTABLE_NONPOTABLE_API[[#This Row],[PWSID]], CW_PWSID_LIST, 0)), "")</f>
        <v>No</v>
      </c>
    </row>
    <row r="5439" spans="1:24" x14ac:dyDescent="0.25">
      <c r="A5439" t="s">
        <v>2327</v>
      </c>
      <c r="B5439" t="s">
        <v>2328</v>
      </c>
      <c r="C5439" t="s">
        <v>2329</v>
      </c>
      <c r="D5439" t="s">
        <v>2330</v>
      </c>
      <c r="E5439" s="9">
        <v>45139</v>
      </c>
      <c r="F5439" s="9">
        <v>45169</v>
      </c>
      <c r="G5439">
        <v>68740000</v>
      </c>
      <c r="H5439">
        <v>5810000</v>
      </c>
      <c r="I5439">
        <v>7490000</v>
      </c>
      <c r="J5439">
        <v>17200000</v>
      </c>
      <c r="K5439">
        <v>0</v>
      </c>
      <c r="L5439">
        <v>150000</v>
      </c>
      <c r="M5439">
        <v>0</v>
      </c>
      <c r="T5439" s="9">
        <v>45108</v>
      </c>
      <c r="U5439" s="9">
        <v>45473</v>
      </c>
      <c r="V5439">
        <f>SUM(POTABLE_NONPOTABLE_API[[#This Row],[RESIDENTIAL_SINGLEFAMILY_GAL]:[OTHER_GAL]])</f>
        <v>99390000</v>
      </c>
      <c r="W5439">
        <f>SUM(POTABLE_NONPOTABLE_API[[#This Row],[NONPOTABLE_DEMAND_RESIDENTIAL_RECYCLED_WATER_GAL]:[NONPOTABLE_DEMAND_NONRESIDENTIAL_METERED_IRRIGATION_GAL]])</f>
        <v>0</v>
      </c>
      <c r="X5439" t="str">
        <f>IFERROR(INDEX(Crosswalk_API!$H$2:$H$527, MATCH(POTABLE_NONPOTABLE_API[[#This Row],[PWSID]], CW_PWSID_LIST, 0)), "")</f>
        <v>No</v>
      </c>
    </row>
    <row r="5440" spans="1:24" x14ac:dyDescent="0.25">
      <c r="A5440" t="s">
        <v>2327</v>
      </c>
      <c r="B5440" t="s">
        <v>2328</v>
      </c>
      <c r="C5440" t="s">
        <v>2329</v>
      </c>
      <c r="D5440" t="s">
        <v>2330</v>
      </c>
      <c r="E5440" s="9">
        <v>45170</v>
      </c>
      <c r="F5440" s="9">
        <v>45199</v>
      </c>
      <c r="G5440">
        <v>72210000</v>
      </c>
      <c r="H5440">
        <v>6720000</v>
      </c>
      <c r="I5440">
        <v>7580000</v>
      </c>
      <c r="J5440">
        <v>19830000</v>
      </c>
      <c r="K5440">
        <v>0</v>
      </c>
      <c r="L5440">
        <v>150000</v>
      </c>
      <c r="M5440">
        <v>0</v>
      </c>
      <c r="T5440" s="9">
        <v>45108</v>
      </c>
      <c r="U5440" s="9">
        <v>45473</v>
      </c>
      <c r="V5440">
        <f>SUM(POTABLE_NONPOTABLE_API[[#This Row],[RESIDENTIAL_SINGLEFAMILY_GAL]:[OTHER_GAL]])</f>
        <v>106490000</v>
      </c>
      <c r="W5440">
        <f>SUM(POTABLE_NONPOTABLE_API[[#This Row],[NONPOTABLE_DEMAND_RESIDENTIAL_RECYCLED_WATER_GAL]:[NONPOTABLE_DEMAND_NONRESIDENTIAL_METERED_IRRIGATION_GAL]])</f>
        <v>0</v>
      </c>
      <c r="X5440" t="str">
        <f>IFERROR(INDEX(Crosswalk_API!$H$2:$H$527, MATCH(POTABLE_NONPOTABLE_API[[#This Row],[PWSID]], CW_PWSID_LIST, 0)), "")</f>
        <v>No</v>
      </c>
    </row>
    <row r="5441" spans="1:24" x14ac:dyDescent="0.25">
      <c r="A5441" t="s">
        <v>2327</v>
      </c>
      <c r="B5441" t="s">
        <v>2328</v>
      </c>
      <c r="C5441" t="s">
        <v>2329</v>
      </c>
      <c r="D5441" t="s">
        <v>2330</v>
      </c>
      <c r="E5441" s="9">
        <v>45200</v>
      </c>
      <c r="F5441" s="9">
        <v>45230</v>
      </c>
      <c r="G5441">
        <v>69470000</v>
      </c>
      <c r="H5441">
        <v>6720000</v>
      </c>
      <c r="I5441">
        <v>8189999.9999999991</v>
      </c>
      <c r="J5441">
        <v>20840000</v>
      </c>
      <c r="K5441">
        <v>0</v>
      </c>
      <c r="L5441">
        <v>150000</v>
      </c>
      <c r="M5441">
        <v>0</v>
      </c>
      <c r="T5441" s="9">
        <v>45108</v>
      </c>
      <c r="U5441" s="9">
        <v>45473</v>
      </c>
      <c r="V5441">
        <f>SUM(POTABLE_NONPOTABLE_API[[#This Row],[RESIDENTIAL_SINGLEFAMILY_GAL]:[OTHER_GAL]])</f>
        <v>105370000</v>
      </c>
      <c r="W5441">
        <f>SUM(POTABLE_NONPOTABLE_API[[#This Row],[NONPOTABLE_DEMAND_RESIDENTIAL_RECYCLED_WATER_GAL]:[NONPOTABLE_DEMAND_NONRESIDENTIAL_METERED_IRRIGATION_GAL]])</f>
        <v>0</v>
      </c>
      <c r="X5441" t="str">
        <f>IFERROR(INDEX(Crosswalk_API!$H$2:$H$527, MATCH(POTABLE_NONPOTABLE_API[[#This Row],[PWSID]], CW_PWSID_LIST, 0)), "")</f>
        <v>No</v>
      </c>
    </row>
    <row r="5442" spans="1:24" x14ac:dyDescent="0.25">
      <c r="A5442" t="s">
        <v>2327</v>
      </c>
      <c r="B5442" t="s">
        <v>2328</v>
      </c>
      <c r="C5442" t="s">
        <v>2329</v>
      </c>
      <c r="D5442" t="s">
        <v>2330</v>
      </c>
      <c r="E5442" s="9">
        <v>45231</v>
      </c>
      <c r="F5442" s="9">
        <v>45260</v>
      </c>
      <c r="G5442">
        <v>62170000</v>
      </c>
      <c r="H5442">
        <v>5770000</v>
      </c>
      <c r="I5442">
        <v>7500000</v>
      </c>
      <c r="J5442">
        <v>16219999.999999998</v>
      </c>
      <c r="K5442">
        <v>0</v>
      </c>
      <c r="L5442">
        <v>150000</v>
      </c>
      <c r="M5442">
        <v>0</v>
      </c>
      <c r="T5442" s="9">
        <v>45108</v>
      </c>
      <c r="U5442" s="9">
        <v>45473</v>
      </c>
      <c r="V5442">
        <f>SUM(POTABLE_NONPOTABLE_API[[#This Row],[RESIDENTIAL_SINGLEFAMILY_GAL]:[OTHER_GAL]])</f>
        <v>91810000</v>
      </c>
      <c r="W5442">
        <f>SUM(POTABLE_NONPOTABLE_API[[#This Row],[NONPOTABLE_DEMAND_RESIDENTIAL_RECYCLED_WATER_GAL]:[NONPOTABLE_DEMAND_NONRESIDENTIAL_METERED_IRRIGATION_GAL]])</f>
        <v>0</v>
      </c>
      <c r="X5442" t="str">
        <f>IFERROR(INDEX(Crosswalk_API!$H$2:$H$527, MATCH(POTABLE_NONPOTABLE_API[[#This Row],[PWSID]], CW_PWSID_LIST, 0)), "")</f>
        <v>No</v>
      </c>
    </row>
    <row r="5443" spans="1:24" x14ac:dyDescent="0.25">
      <c r="A5443" t="s">
        <v>2327</v>
      </c>
      <c r="B5443" t="s">
        <v>2328</v>
      </c>
      <c r="C5443" t="s">
        <v>2329</v>
      </c>
      <c r="D5443" t="s">
        <v>2330</v>
      </c>
      <c r="E5443" s="9">
        <v>45261</v>
      </c>
      <c r="F5443" s="9">
        <v>45291</v>
      </c>
      <c r="G5443">
        <v>56100000</v>
      </c>
      <c r="H5443">
        <v>5500000</v>
      </c>
      <c r="I5443">
        <v>5440000</v>
      </c>
      <c r="J5443">
        <v>10960000</v>
      </c>
      <c r="K5443">
        <v>0</v>
      </c>
      <c r="L5443">
        <v>140000</v>
      </c>
      <c r="M5443">
        <v>0</v>
      </c>
      <c r="T5443" s="9">
        <v>45108</v>
      </c>
      <c r="U5443" s="9">
        <v>45473</v>
      </c>
      <c r="V5443">
        <f>SUM(POTABLE_NONPOTABLE_API[[#This Row],[RESIDENTIAL_SINGLEFAMILY_GAL]:[OTHER_GAL]])</f>
        <v>78140000</v>
      </c>
      <c r="W5443">
        <f>SUM(POTABLE_NONPOTABLE_API[[#This Row],[NONPOTABLE_DEMAND_RESIDENTIAL_RECYCLED_WATER_GAL]:[NONPOTABLE_DEMAND_NONRESIDENTIAL_METERED_IRRIGATION_GAL]])</f>
        <v>0</v>
      </c>
      <c r="X5443" t="str">
        <f>IFERROR(INDEX(Crosswalk_API!$H$2:$H$527, MATCH(POTABLE_NONPOTABLE_API[[#This Row],[PWSID]], CW_PWSID_LIST, 0)), "")</f>
        <v>No</v>
      </c>
    </row>
    <row r="5444" spans="1:24" x14ac:dyDescent="0.25">
      <c r="A5444" t="s">
        <v>2327</v>
      </c>
      <c r="B5444" t="s">
        <v>2328</v>
      </c>
      <c r="C5444" t="s">
        <v>2329</v>
      </c>
      <c r="D5444" t="s">
        <v>2330</v>
      </c>
      <c r="E5444" s="9">
        <v>45292</v>
      </c>
      <c r="F5444" s="9">
        <v>45322</v>
      </c>
      <c r="G5444">
        <v>48400000</v>
      </c>
      <c r="H5444">
        <v>5460000</v>
      </c>
      <c r="I5444">
        <v>5170000</v>
      </c>
      <c r="J5444">
        <v>6140000</v>
      </c>
      <c r="K5444">
        <v>0</v>
      </c>
      <c r="L5444">
        <v>140000</v>
      </c>
      <c r="M5444">
        <v>0</v>
      </c>
      <c r="T5444" s="9">
        <v>45108</v>
      </c>
      <c r="U5444" s="9">
        <v>45473</v>
      </c>
      <c r="V5444">
        <f>SUM(POTABLE_NONPOTABLE_API[[#This Row],[RESIDENTIAL_SINGLEFAMILY_GAL]:[OTHER_GAL]])</f>
        <v>65310000</v>
      </c>
      <c r="W5444">
        <f>SUM(POTABLE_NONPOTABLE_API[[#This Row],[NONPOTABLE_DEMAND_RESIDENTIAL_RECYCLED_WATER_GAL]:[NONPOTABLE_DEMAND_NONRESIDENTIAL_METERED_IRRIGATION_GAL]])</f>
        <v>0</v>
      </c>
      <c r="X5444" t="str">
        <f>IFERROR(INDEX(Crosswalk_API!$H$2:$H$527, MATCH(POTABLE_NONPOTABLE_API[[#This Row],[PWSID]], CW_PWSID_LIST, 0)), "")</f>
        <v>No</v>
      </c>
    </row>
    <row r="5445" spans="1:24" x14ac:dyDescent="0.25">
      <c r="A5445" t="s">
        <v>2327</v>
      </c>
      <c r="B5445" t="s">
        <v>2328</v>
      </c>
      <c r="C5445" t="s">
        <v>2329</v>
      </c>
      <c r="D5445" t="s">
        <v>2330</v>
      </c>
      <c r="E5445" s="9">
        <v>45323</v>
      </c>
      <c r="F5445" s="9">
        <v>45351</v>
      </c>
      <c r="G5445">
        <v>44640000</v>
      </c>
      <c r="H5445">
        <v>5510000</v>
      </c>
      <c r="I5445">
        <v>4310000</v>
      </c>
      <c r="J5445">
        <v>3740000</v>
      </c>
      <c r="K5445">
        <v>0</v>
      </c>
      <c r="L5445">
        <v>150000</v>
      </c>
      <c r="M5445">
        <v>0</v>
      </c>
      <c r="T5445" s="9">
        <v>45108</v>
      </c>
      <c r="U5445" s="9">
        <v>45473</v>
      </c>
      <c r="V5445">
        <f>SUM(POTABLE_NONPOTABLE_API[[#This Row],[RESIDENTIAL_SINGLEFAMILY_GAL]:[OTHER_GAL]])</f>
        <v>58350000</v>
      </c>
      <c r="W5445">
        <f>SUM(POTABLE_NONPOTABLE_API[[#This Row],[NONPOTABLE_DEMAND_RESIDENTIAL_RECYCLED_WATER_GAL]:[NONPOTABLE_DEMAND_NONRESIDENTIAL_METERED_IRRIGATION_GAL]])</f>
        <v>0</v>
      </c>
      <c r="X5445" t="str">
        <f>IFERROR(INDEX(Crosswalk_API!$H$2:$H$527, MATCH(POTABLE_NONPOTABLE_API[[#This Row],[PWSID]], CW_PWSID_LIST, 0)), "")</f>
        <v>No</v>
      </c>
    </row>
    <row r="5446" spans="1:24" x14ac:dyDescent="0.25">
      <c r="A5446" t="s">
        <v>2327</v>
      </c>
      <c r="B5446" t="s">
        <v>2328</v>
      </c>
      <c r="C5446" t="s">
        <v>2329</v>
      </c>
      <c r="D5446" t="s">
        <v>2330</v>
      </c>
      <c r="E5446" s="9">
        <v>45352</v>
      </c>
      <c r="F5446" s="9">
        <v>45382</v>
      </c>
      <c r="G5446">
        <v>41910000</v>
      </c>
      <c r="H5446">
        <v>5370000</v>
      </c>
      <c r="I5446">
        <v>4160000</v>
      </c>
      <c r="J5446">
        <v>2140000</v>
      </c>
      <c r="K5446">
        <v>0</v>
      </c>
      <c r="L5446">
        <v>150000</v>
      </c>
      <c r="M5446">
        <v>0</v>
      </c>
      <c r="T5446" s="9">
        <v>45108</v>
      </c>
      <c r="U5446" s="9">
        <v>45473</v>
      </c>
      <c r="V5446">
        <f>SUM(POTABLE_NONPOTABLE_API[[#This Row],[RESIDENTIAL_SINGLEFAMILY_GAL]:[OTHER_GAL]])</f>
        <v>53730000</v>
      </c>
      <c r="W5446">
        <f>SUM(POTABLE_NONPOTABLE_API[[#This Row],[NONPOTABLE_DEMAND_RESIDENTIAL_RECYCLED_WATER_GAL]:[NONPOTABLE_DEMAND_NONRESIDENTIAL_METERED_IRRIGATION_GAL]])</f>
        <v>0</v>
      </c>
      <c r="X5446" t="str">
        <f>IFERROR(INDEX(Crosswalk_API!$H$2:$H$527, MATCH(POTABLE_NONPOTABLE_API[[#This Row],[PWSID]], CW_PWSID_LIST, 0)), "")</f>
        <v>No</v>
      </c>
    </row>
    <row r="5447" spans="1:24" x14ac:dyDescent="0.25">
      <c r="A5447" t="s">
        <v>2327</v>
      </c>
      <c r="B5447" t="s">
        <v>2328</v>
      </c>
      <c r="C5447" t="s">
        <v>2329</v>
      </c>
      <c r="D5447" t="s">
        <v>2330</v>
      </c>
      <c r="E5447" s="9">
        <v>45383</v>
      </c>
      <c r="F5447" s="9">
        <v>45412</v>
      </c>
      <c r="G5447">
        <v>41470000</v>
      </c>
      <c r="H5447">
        <v>5160000</v>
      </c>
      <c r="I5447">
        <v>3950000</v>
      </c>
      <c r="J5447">
        <v>2110000</v>
      </c>
      <c r="K5447">
        <v>0</v>
      </c>
      <c r="L5447">
        <v>170000</v>
      </c>
      <c r="M5447">
        <v>0</v>
      </c>
      <c r="T5447" s="9">
        <v>45108</v>
      </c>
      <c r="U5447" s="9">
        <v>45473</v>
      </c>
      <c r="V5447">
        <f>SUM(POTABLE_NONPOTABLE_API[[#This Row],[RESIDENTIAL_SINGLEFAMILY_GAL]:[OTHER_GAL]])</f>
        <v>52860000</v>
      </c>
      <c r="W5447">
        <f>SUM(POTABLE_NONPOTABLE_API[[#This Row],[NONPOTABLE_DEMAND_RESIDENTIAL_RECYCLED_WATER_GAL]:[NONPOTABLE_DEMAND_NONRESIDENTIAL_METERED_IRRIGATION_GAL]])</f>
        <v>0</v>
      </c>
      <c r="X5447" t="str">
        <f>IFERROR(INDEX(Crosswalk_API!$H$2:$H$527, MATCH(POTABLE_NONPOTABLE_API[[#This Row],[PWSID]], CW_PWSID_LIST, 0)), "")</f>
        <v>No</v>
      </c>
    </row>
    <row r="5448" spans="1:24" x14ac:dyDescent="0.25">
      <c r="A5448" t="s">
        <v>2327</v>
      </c>
      <c r="B5448" t="s">
        <v>2328</v>
      </c>
      <c r="C5448" t="s">
        <v>2329</v>
      </c>
      <c r="D5448" t="s">
        <v>2330</v>
      </c>
      <c r="E5448" s="9">
        <v>45413</v>
      </c>
      <c r="F5448" s="9">
        <v>45443</v>
      </c>
      <c r="G5448">
        <v>45710000</v>
      </c>
      <c r="H5448">
        <v>5350000</v>
      </c>
      <c r="I5448">
        <v>4310000</v>
      </c>
      <c r="J5448">
        <v>3180000</v>
      </c>
      <c r="K5448">
        <v>0</v>
      </c>
      <c r="L5448">
        <v>170000</v>
      </c>
      <c r="M5448">
        <v>0</v>
      </c>
      <c r="T5448" s="9">
        <v>45108</v>
      </c>
      <c r="U5448" s="9">
        <v>45473</v>
      </c>
      <c r="V5448">
        <f>SUM(POTABLE_NONPOTABLE_API[[#This Row],[RESIDENTIAL_SINGLEFAMILY_GAL]:[OTHER_GAL]])</f>
        <v>58720000</v>
      </c>
      <c r="W5448">
        <f>SUM(POTABLE_NONPOTABLE_API[[#This Row],[NONPOTABLE_DEMAND_RESIDENTIAL_RECYCLED_WATER_GAL]:[NONPOTABLE_DEMAND_NONRESIDENTIAL_METERED_IRRIGATION_GAL]])</f>
        <v>0</v>
      </c>
      <c r="X5448" t="str">
        <f>IFERROR(INDEX(Crosswalk_API!$H$2:$H$527, MATCH(POTABLE_NONPOTABLE_API[[#This Row],[PWSID]], CW_PWSID_LIST, 0)), "")</f>
        <v>No</v>
      </c>
    </row>
    <row r="5449" spans="1:24" x14ac:dyDescent="0.25">
      <c r="A5449" t="s">
        <v>2327</v>
      </c>
      <c r="B5449" t="s">
        <v>2328</v>
      </c>
      <c r="C5449" t="s">
        <v>2329</v>
      </c>
      <c r="D5449" t="s">
        <v>2330</v>
      </c>
      <c r="E5449" s="9">
        <v>45444</v>
      </c>
      <c r="F5449" s="9">
        <v>45473</v>
      </c>
      <c r="G5449">
        <v>54470000</v>
      </c>
      <c r="H5449">
        <v>6060000</v>
      </c>
      <c r="I5449">
        <v>6210000</v>
      </c>
      <c r="J5449">
        <v>5990000</v>
      </c>
      <c r="K5449">
        <v>0</v>
      </c>
      <c r="L5449">
        <v>130000</v>
      </c>
      <c r="M5449">
        <v>0</v>
      </c>
      <c r="T5449" s="9">
        <v>45108</v>
      </c>
      <c r="U5449" s="9">
        <v>45473</v>
      </c>
      <c r="V5449">
        <f>SUM(POTABLE_NONPOTABLE_API[[#This Row],[RESIDENTIAL_SINGLEFAMILY_GAL]:[OTHER_GAL]])</f>
        <v>72860000</v>
      </c>
      <c r="W5449">
        <f>SUM(POTABLE_NONPOTABLE_API[[#This Row],[NONPOTABLE_DEMAND_RESIDENTIAL_RECYCLED_WATER_GAL]:[NONPOTABLE_DEMAND_NONRESIDENTIAL_METERED_IRRIGATION_GAL]])</f>
        <v>0</v>
      </c>
      <c r="X5449" t="str">
        <f>IFERROR(INDEX(Crosswalk_API!$H$2:$H$527, MATCH(POTABLE_NONPOTABLE_API[[#This Row],[PWSID]], CW_PWSID_LIST, 0)), "")</f>
        <v>No</v>
      </c>
    </row>
    <row r="5450" spans="1:24" x14ac:dyDescent="0.25">
      <c r="A5450" t="s">
        <v>2331</v>
      </c>
      <c r="B5450" t="s">
        <v>2332</v>
      </c>
      <c r="C5450" t="s">
        <v>2333</v>
      </c>
      <c r="D5450" t="s">
        <v>2334</v>
      </c>
      <c r="E5450" s="9">
        <v>45108</v>
      </c>
      <c r="F5450" s="9">
        <v>45138</v>
      </c>
      <c r="G5450">
        <v>52104814.008000001</v>
      </c>
      <c r="H5450">
        <v>7213465.4359999998</v>
      </c>
      <c r="I5450">
        <v>13975107.464</v>
      </c>
      <c r="J5450">
        <v>0</v>
      </c>
      <c r="K5450">
        <v>0</v>
      </c>
      <c r="L5450">
        <v>0</v>
      </c>
      <c r="M5450">
        <v>0</v>
      </c>
      <c r="T5450" s="9">
        <v>45108</v>
      </c>
      <c r="U5450" s="9">
        <v>45473</v>
      </c>
      <c r="V5450">
        <f>SUM(POTABLE_NONPOTABLE_API[[#This Row],[RESIDENTIAL_SINGLEFAMILY_GAL]:[OTHER_GAL]])</f>
        <v>73293386.907999992</v>
      </c>
      <c r="W5450">
        <f>SUM(POTABLE_NONPOTABLE_API[[#This Row],[NONPOTABLE_DEMAND_RESIDENTIAL_RECYCLED_WATER_GAL]:[NONPOTABLE_DEMAND_NONRESIDENTIAL_METERED_IRRIGATION_GAL]])</f>
        <v>0</v>
      </c>
      <c r="X5450" t="str">
        <f>IFERROR(INDEX(Crosswalk_API!$H$2:$H$527, MATCH(POTABLE_NONPOTABLE_API[[#This Row],[PWSID]], CW_PWSID_LIST, 0)), "")</f>
        <v>No</v>
      </c>
    </row>
    <row r="5451" spans="1:24" x14ac:dyDescent="0.25">
      <c r="A5451" t="s">
        <v>2331</v>
      </c>
      <c r="B5451" t="s">
        <v>2332</v>
      </c>
      <c r="C5451" t="s">
        <v>2333</v>
      </c>
      <c r="D5451" t="s">
        <v>2334</v>
      </c>
      <c r="E5451" s="9">
        <v>45139</v>
      </c>
      <c r="F5451" s="9">
        <v>45169</v>
      </c>
      <c r="G5451">
        <v>79247880.828000009</v>
      </c>
      <c r="H5451">
        <v>10085237.064000001</v>
      </c>
      <c r="I5451">
        <v>21435430.060000002</v>
      </c>
      <c r="J5451">
        <v>0</v>
      </c>
      <c r="K5451">
        <v>0</v>
      </c>
      <c r="L5451">
        <v>0</v>
      </c>
      <c r="M5451">
        <v>0</v>
      </c>
      <c r="T5451" s="9">
        <v>45108</v>
      </c>
      <c r="U5451" s="9">
        <v>45473</v>
      </c>
      <c r="V5451">
        <f>SUM(POTABLE_NONPOTABLE_API[[#This Row],[RESIDENTIAL_SINGLEFAMILY_GAL]:[OTHER_GAL]])</f>
        <v>110768547.95200001</v>
      </c>
      <c r="W5451">
        <f>SUM(POTABLE_NONPOTABLE_API[[#This Row],[NONPOTABLE_DEMAND_RESIDENTIAL_RECYCLED_WATER_GAL]:[NONPOTABLE_DEMAND_NONRESIDENTIAL_METERED_IRRIGATION_GAL]])</f>
        <v>0</v>
      </c>
      <c r="X5451" t="str">
        <f>IFERROR(INDEX(Crosswalk_API!$H$2:$H$527, MATCH(POTABLE_NONPOTABLE_API[[#This Row],[PWSID]], CW_PWSID_LIST, 0)), "")</f>
        <v>No</v>
      </c>
    </row>
    <row r="5452" spans="1:24" x14ac:dyDescent="0.25">
      <c r="A5452" t="s">
        <v>2331</v>
      </c>
      <c r="B5452" t="s">
        <v>2332</v>
      </c>
      <c r="C5452" t="s">
        <v>2333</v>
      </c>
      <c r="D5452" t="s">
        <v>2334</v>
      </c>
      <c r="E5452" s="9">
        <v>45170</v>
      </c>
      <c r="F5452" s="9">
        <v>45199</v>
      </c>
      <c r="G5452">
        <v>50644616.504000001</v>
      </c>
      <c r="H5452">
        <v>7547096.6280000005</v>
      </c>
      <c r="I5452">
        <v>14853320.512</v>
      </c>
      <c r="J5452">
        <v>0</v>
      </c>
      <c r="K5452">
        <v>0</v>
      </c>
      <c r="L5452">
        <v>0</v>
      </c>
      <c r="M5452">
        <v>0</v>
      </c>
      <c r="T5452" s="9">
        <v>45108</v>
      </c>
      <c r="U5452" s="9">
        <v>45473</v>
      </c>
      <c r="V5452">
        <f>SUM(POTABLE_NONPOTABLE_API[[#This Row],[RESIDENTIAL_SINGLEFAMILY_GAL]:[OTHER_GAL]])</f>
        <v>73045033.643999994</v>
      </c>
      <c r="W5452">
        <f>SUM(POTABLE_NONPOTABLE_API[[#This Row],[NONPOTABLE_DEMAND_RESIDENTIAL_RECYCLED_WATER_GAL]:[NONPOTABLE_DEMAND_NONRESIDENTIAL_METERED_IRRIGATION_GAL]])</f>
        <v>0</v>
      </c>
      <c r="X5452" t="str">
        <f>IFERROR(INDEX(Crosswalk_API!$H$2:$H$527, MATCH(POTABLE_NONPOTABLE_API[[#This Row],[PWSID]], CW_PWSID_LIST, 0)), "")</f>
        <v>No</v>
      </c>
    </row>
    <row r="5453" spans="1:24" x14ac:dyDescent="0.25">
      <c r="A5453" t="s">
        <v>2331</v>
      </c>
      <c r="B5453" t="s">
        <v>2332</v>
      </c>
      <c r="C5453" t="s">
        <v>2333</v>
      </c>
      <c r="D5453" t="s">
        <v>2334</v>
      </c>
      <c r="E5453" s="9">
        <v>45200</v>
      </c>
      <c r="F5453" s="9">
        <v>45230</v>
      </c>
      <c r="G5453">
        <v>52112294.528000005</v>
      </c>
      <c r="H5453">
        <v>7795449.892</v>
      </c>
      <c r="I5453">
        <v>14898203.632000001</v>
      </c>
      <c r="J5453">
        <v>0</v>
      </c>
      <c r="K5453">
        <v>0</v>
      </c>
      <c r="L5453">
        <v>0</v>
      </c>
      <c r="M5453">
        <v>0</v>
      </c>
      <c r="T5453" s="9">
        <v>45108</v>
      </c>
      <c r="U5453" s="9">
        <v>45473</v>
      </c>
      <c r="V5453">
        <f>SUM(POTABLE_NONPOTABLE_API[[#This Row],[RESIDENTIAL_SINGLEFAMILY_GAL]:[OTHER_GAL]])</f>
        <v>74805948.052000001</v>
      </c>
      <c r="W5453">
        <f>SUM(POTABLE_NONPOTABLE_API[[#This Row],[NONPOTABLE_DEMAND_RESIDENTIAL_RECYCLED_WATER_GAL]:[NONPOTABLE_DEMAND_NONRESIDENTIAL_METERED_IRRIGATION_GAL]])</f>
        <v>0</v>
      </c>
      <c r="X5453" t="str">
        <f>IFERROR(INDEX(Crosswalk_API!$H$2:$H$527, MATCH(POTABLE_NONPOTABLE_API[[#This Row],[PWSID]], CW_PWSID_LIST, 0)), "")</f>
        <v>No</v>
      </c>
    </row>
    <row r="5454" spans="1:24" x14ac:dyDescent="0.25">
      <c r="A5454" t="s">
        <v>2331</v>
      </c>
      <c r="B5454" t="s">
        <v>2332</v>
      </c>
      <c r="C5454" t="s">
        <v>2333</v>
      </c>
      <c r="D5454" t="s">
        <v>2334</v>
      </c>
      <c r="E5454" s="9">
        <v>45231</v>
      </c>
      <c r="F5454" s="9">
        <v>45260</v>
      </c>
      <c r="G5454">
        <v>51110652.899999999</v>
      </c>
      <c r="H5454">
        <v>7549340.784</v>
      </c>
      <c r="I5454">
        <v>13952665.904000001</v>
      </c>
      <c r="J5454">
        <v>0</v>
      </c>
      <c r="K5454">
        <v>0</v>
      </c>
      <c r="L5454">
        <v>0</v>
      </c>
      <c r="M5454">
        <v>0</v>
      </c>
      <c r="T5454" s="9">
        <v>45108</v>
      </c>
      <c r="U5454" s="9">
        <v>45473</v>
      </c>
      <c r="V5454">
        <f>SUM(POTABLE_NONPOTABLE_API[[#This Row],[RESIDENTIAL_SINGLEFAMILY_GAL]:[OTHER_GAL]])</f>
        <v>72612659.588</v>
      </c>
      <c r="W5454">
        <f>SUM(POTABLE_NONPOTABLE_API[[#This Row],[NONPOTABLE_DEMAND_RESIDENTIAL_RECYCLED_WATER_GAL]:[NONPOTABLE_DEMAND_NONRESIDENTIAL_METERED_IRRIGATION_GAL]])</f>
        <v>0</v>
      </c>
      <c r="X5454" t="str">
        <f>IFERROR(INDEX(Crosswalk_API!$H$2:$H$527, MATCH(POTABLE_NONPOTABLE_API[[#This Row],[PWSID]], CW_PWSID_LIST, 0)), "")</f>
        <v>No</v>
      </c>
    </row>
    <row r="5455" spans="1:24" x14ac:dyDescent="0.25">
      <c r="A5455" t="s">
        <v>2331</v>
      </c>
      <c r="B5455" t="s">
        <v>2332</v>
      </c>
      <c r="C5455" t="s">
        <v>2333</v>
      </c>
      <c r="D5455" t="s">
        <v>2334</v>
      </c>
      <c r="E5455" s="9">
        <v>45261</v>
      </c>
      <c r="F5455" s="9">
        <v>45291</v>
      </c>
      <c r="G5455">
        <v>63558986.232000001</v>
      </c>
      <c r="H5455">
        <v>2990711.8960000002</v>
      </c>
      <c r="I5455">
        <v>15318608.856000001</v>
      </c>
      <c r="J5455">
        <v>0</v>
      </c>
      <c r="K5455">
        <v>0</v>
      </c>
      <c r="L5455">
        <v>0</v>
      </c>
      <c r="M5455">
        <v>0</v>
      </c>
      <c r="T5455" s="9">
        <v>45108</v>
      </c>
      <c r="U5455" s="9">
        <v>45473</v>
      </c>
      <c r="V5455">
        <f>SUM(POTABLE_NONPOTABLE_API[[#This Row],[RESIDENTIAL_SINGLEFAMILY_GAL]:[OTHER_GAL]])</f>
        <v>81868306.983999997</v>
      </c>
      <c r="W5455">
        <f>SUM(POTABLE_NONPOTABLE_API[[#This Row],[NONPOTABLE_DEMAND_RESIDENTIAL_RECYCLED_WATER_GAL]:[NONPOTABLE_DEMAND_NONRESIDENTIAL_METERED_IRRIGATION_GAL]])</f>
        <v>0</v>
      </c>
      <c r="X5455" t="str">
        <f>IFERROR(INDEX(Crosswalk_API!$H$2:$H$527, MATCH(POTABLE_NONPOTABLE_API[[#This Row],[PWSID]], CW_PWSID_LIST, 0)), "")</f>
        <v>No</v>
      </c>
    </row>
    <row r="5456" spans="1:24" x14ac:dyDescent="0.25">
      <c r="A5456" t="s">
        <v>2331</v>
      </c>
      <c r="B5456" t="s">
        <v>2332</v>
      </c>
      <c r="C5456" t="s">
        <v>2333</v>
      </c>
      <c r="D5456" t="s">
        <v>2334</v>
      </c>
      <c r="E5456" s="9">
        <v>45292</v>
      </c>
      <c r="F5456" s="9">
        <v>45322</v>
      </c>
      <c r="G5456">
        <v>39589155.995999999</v>
      </c>
      <c r="H5456">
        <v>7186535.5640000002</v>
      </c>
      <c r="I5456">
        <v>10690411.132000001</v>
      </c>
      <c r="J5456">
        <v>0</v>
      </c>
      <c r="K5456">
        <v>0</v>
      </c>
      <c r="L5456">
        <v>0</v>
      </c>
      <c r="M5456">
        <v>0</v>
      </c>
      <c r="T5456" s="9">
        <v>45108</v>
      </c>
      <c r="U5456" s="9">
        <v>45473</v>
      </c>
      <c r="V5456">
        <f>SUM(POTABLE_NONPOTABLE_API[[#This Row],[RESIDENTIAL_SINGLEFAMILY_GAL]:[OTHER_GAL]])</f>
        <v>57466102.692000002</v>
      </c>
      <c r="W5456">
        <f>SUM(POTABLE_NONPOTABLE_API[[#This Row],[NONPOTABLE_DEMAND_RESIDENTIAL_RECYCLED_WATER_GAL]:[NONPOTABLE_DEMAND_NONRESIDENTIAL_METERED_IRRIGATION_GAL]])</f>
        <v>0</v>
      </c>
      <c r="X5456" t="str">
        <f>IFERROR(INDEX(Crosswalk_API!$H$2:$H$527, MATCH(POTABLE_NONPOTABLE_API[[#This Row],[PWSID]], CW_PWSID_LIST, 0)), "")</f>
        <v>No</v>
      </c>
    </row>
    <row r="5457" spans="1:24" x14ac:dyDescent="0.25">
      <c r="A5457" t="s">
        <v>2331</v>
      </c>
      <c r="B5457" t="s">
        <v>2332</v>
      </c>
      <c r="C5457" t="s">
        <v>2333</v>
      </c>
      <c r="D5457" t="s">
        <v>2334</v>
      </c>
      <c r="E5457" s="9">
        <v>45323</v>
      </c>
      <c r="F5457" s="9">
        <v>45351</v>
      </c>
      <c r="G5457">
        <v>45704481.096000001</v>
      </c>
      <c r="H5457">
        <v>8239044.7280000001</v>
      </c>
      <c r="I5457">
        <v>10959709.852</v>
      </c>
      <c r="J5457">
        <v>0</v>
      </c>
      <c r="K5457">
        <v>0</v>
      </c>
      <c r="L5457">
        <v>0</v>
      </c>
      <c r="M5457">
        <v>0</v>
      </c>
      <c r="T5457" s="9">
        <v>45108</v>
      </c>
      <c r="U5457" s="9">
        <v>45473</v>
      </c>
      <c r="V5457">
        <f>SUM(POTABLE_NONPOTABLE_API[[#This Row],[RESIDENTIAL_SINGLEFAMILY_GAL]:[OTHER_GAL]])</f>
        <v>64903235.675999999</v>
      </c>
      <c r="W5457">
        <f>SUM(POTABLE_NONPOTABLE_API[[#This Row],[NONPOTABLE_DEMAND_RESIDENTIAL_RECYCLED_WATER_GAL]:[NONPOTABLE_DEMAND_NONRESIDENTIAL_METERED_IRRIGATION_GAL]])</f>
        <v>0</v>
      </c>
      <c r="X5457" t="str">
        <f>IFERROR(INDEX(Crosswalk_API!$H$2:$H$527, MATCH(POTABLE_NONPOTABLE_API[[#This Row],[PWSID]], CW_PWSID_LIST, 0)), "")</f>
        <v>No</v>
      </c>
    </row>
    <row r="5458" spans="1:24" x14ac:dyDescent="0.25">
      <c r="A5458" t="s">
        <v>2331</v>
      </c>
      <c r="B5458" t="s">
        <v>2332</v>
      </c>
      <c r="C5458" t="s">
        <v>2333</v>
      </c>
      <c r="D5458" t="s">
        <v>2334</v>
      </c>
      <c r="E5458" s="9">
        <v>45352</v>
      </c>
      <c r="F5458" s="9">
        <v>45382</v>
      </c>
      <c r="G5458">
        <v>32087690.539999999</v>
      </c>
      <c r="H5458">
        <v>6377891.352</v>
      </c>
      <c r="I5458">
        <v>7248623.8799999999</v>
      </c>
      <c r="J5458">
        <v>309693.52799999999</v>
      </c>
      <c r="K5458">
        <v>0</v>
      </c>
      <c r="L5458">
        <v>0</v>
      </c>
      <c r="M5458">
        <v>1149007.872</v>
      </c>
      <c r="T5458" s="9">
        <v>45108</v>
      </c>
      <c r="U5458" s="9">
        <v>45473</v>
      </c>
      <c r="V5458">
        <f>SUM(POTABLE_NONPOTABLE_API[[#This Row],[RESIDENTIAL_SINGLEFAMILY_GAL]:[OTHER_GAL]])</f>
        <v>46023899.299999997</v>
      </c>
      <c r="W5458">
        <f>SUM(POTABLE_NONPOTABLE_API[[#This Row],[NONPOTABLE_DEMAND_RESIDENTIAL_RECYCLED_WATER_GAL]:[NONPOTABLE_DEMAND_NONRESIDENTIAL_METERED_IRRIGATION_GAL]])</f>
        <v>0</v>
      </c>
      <c r="X5458" t="str">
        <f>IFERROR(INDEX(Crosswalk_API!$H$2:$H$527, MATCH(POTABLE_NONPOTABLE_API[[#This Row],[PWSID]], CW_PWSID_LIST, 0)), "")</f>
        <v>No</v>
      </c>
    </row>
    <row r="5459" spans="1:24" x14ac:dyDescent="0.25">
      <c r="A5459" t="s">
        <v>2331</v>
      </c>
      <c r="B5459" t="s">
        <v>2332</v>
      </c>
      <c r="C5459" t="s">
        <v>2333</v>
      </c>
      <c r="D5459" t="s">
        <v>2334</v>
      </c>
      <c r="E5459" s="9">
        <v>45383</v>
      </c>
      <c r="F5459" s="9">
        <v>45412</v>
      </c>
      <c r="G5459">
        <v>34585436.167999998</v>
      </c>
      <c r="H5459">
        <v>6707034.2319999998</v>
      </c>
      <c r="I5459">
        <v>8363969.4120000005</v>
      </c>
      <c r="J5459">
        <v>532613.02399999998</v>
      </c>
      <c r="K5459">
        <v>0</v>
      </c>
      <c r="L5459">
        <v>0</v>
      </c>
      <c r="M5459">
        <v>1722763.7560000001</v>
      </c>
      <c r="T5459" s="9">
        <v>45108</v>
      </c>
      <c r="U5459" s="9">
        <v>45473</v>
      </c>
      <c r="V5459">
        <f>SUM(POTABLE_NONPOTABLE_API[[#This Row],[RESIDENTIAL_SINGLEFAMILY_GAL]:[OTHER_GAL]])</f>
        <v>50189052.835999995</v>
      </c>
      <c r="W5459">
        <f>SUM(POTABLE_NONPOTABLE_API[[#This Row],[NONPOTABLE_DEMAND_RESIDENTIAL_RECYCLED_WATER_GAL]:[NONPOTABLE_DEMAND_NONRESIDENTIAL_METERED_IRRIGATION_GAL]])</f>
        <v>0</v>
      </c>
      <c r="X5459" t="str">
        <f>IFERROR(INDEX(Crosswalk_API!$H$2:$H$527, MATCH(POTABLE_NONPOTABLE_API[[#This Row],[PWSID]], CW_PWSID_LIST, 0)), "")</f>
        <v>No</v>
      </c>
    </row>
    <row r="5460" spans="1:24" x14ac:dyDescent="0.25">
      <c r="A5460" t="s">
        <v>2331</v>
      </c>
      <c r="B5460" t="s">
        <v>2332</v>
      </c>
      <c r="C5460" t="s">
        <v>2333</v>
      </c>
      <c r="D5460" t="s">
        <v>2334</v>
      </c>
      <c r="E5460" s="9">
        <v>45413</v>
      </c>
      <c r="F5460" s="9">
        <v>45443</v>
      </c>
      <c r="G5460">
        <v>52734673.792000003</v>
      </c>
      <c r="H5460">
        <v>8458223.9639999997</v>
      </c>
      <c r="I5460">
        <v>13684863.288000001</v>
      </c>
      <c r="J5460">
        <v>47875.328000000001</v>
      </c>
      <c r="K5460">
        <v>0</v>
      </c>
      <c r="L5460">
        <v>0</v>
      </c>
      <c r="M5460">
        <v>608166.27600000007</v>
      </c>
      <c r="T5460" s="9">
        <v>45108</v>
      </c>
      <c r="U5460" s="9">
        <v>45473</v>
      </c>
      <c r="V5460">
        <f>SUM(POTABLE_NONPOTABLE_API[[#This Row],[RESIDENTIAL_SINGLEFAMILY_GAL]:[OTHER_GAL]])</f>
        <v>74925636.371999994</v>
      </c>
      <c r="W5460">
        <f>SUM(POTABLE_NONPOTABLE_API[[#This Row],[NONPOTABLE_DEMAND_RESIDENTIAL_RECYCLED_WATER_GAL]:[NONPOTABLE_DEMAND_NONRESIDENTIAL_METERED_IRRIGATION_GAL]])</f>
        <v>0</v>
      </c>
      <c r="X5460" t="str">
        <f>IFERROR(INDEX(Crosswalk_API!$H$2:$H$527, MATCH(POTABLE_NONPOTABLE_API[[#This Row],[PWSID]], CW_PWSID_LIST, 0)), "")</f>
        <v>No</v>
      </c>
    </row>
    <row r="5461" spans="1:24" x14ac:dyDescent="0.25">
      <c r="A5461" t="s">
        <v>2331</v>
      </c>
      <c r="B5461" t="s">
        <v>2332</v>
      </c>
      <c r="C5461" t="s">
        <v>2333</v>
      </c>
      <c r="D5461" t="s">
        <v>2334</v>
      </c>
      <c r="E5461" s="9">
        <v>45444</v>
      </c>
      <c r="F5461" s="9">
        <v>45473</v>
      </c>
      <c r="G5461">
        <v>49577894.351999998</v>
      </c>
      <c r="H5461">
        <v>7182047.2520000003</v>
      </c>
      <c r="I5461">
        <v>10038109.788000001</v>
      </c>
      <c r="J5461">
        <v>528124.71200000006</v>
      </c>
      <c r="K5461">
        <v>0</v>
      </c>
      <c r="L5461">
        <v>0</v>
      </c>
      <c r="M5461">
        <v>2853070.3280000002</v>
      </c>
      <c r="T5461" s="9">
        <v>45108</v>
      </c>
      <c r="U5461" s="9">
        <v>45473</v>
      </c>
      <c r="V5461">
        <f>SUM(POTABLE_NONPOTABLE_API[[#This Row],[RESIDENTIAL_SINGLEFAMILY_GAL]:[OTHER_GAL]])</f>
        <v>67326176.104000002</v>
      </c>
      <c r="W5461">
        <f>SUM(POTABLE_NONPOTABLE_API[[#This Row],[NONPOTABLE_DEMAND_RESIDENTIAL_RECYCLED_WATER_GAL]:[NONPOTABLE_DEMAND_NONRESIDENTIAL_METERED_IRRIGATION_GAL]])</f>
        <v>0</v>
      </c>
      <c r="X5461" t="str">
        <f>IFERROR(INDEX(Crosswalk_API!$H$2:$H$527, MATCH(POTABLE_NONPOTABLE_API[[#This Row],[PWSID]], CW_PWSID_LIST, 0)), "")</f>
        <v>No</v>
      </c>
    </row>
    <row r="5462" spans="1:24" x14ac:dyDescent="0.25">
      <c r="A5462" t="s">
        <v>2335</v>
      </c>
      <c r="B5462" t="s">
        <v>2336</v>
      </c>
      <c r="C5462" t="s">
        <v>2337</v>
      </c>
      <c r="D5462" t="s">
        <v>2338</v>
      </c>
      <c r="E5462" s="9">
        <v>45108</v>
      </c>
      <c r="F5462" s="9">
        <v>45138</v>
      </c>
      <c r="G5462">
        <v>65250331.804000005</v>
      </c>
      <c r="H5462">
        <v>5639564.0279999999</v>
      </c>
      <c r="I5462">
        <v>1015854.616</v>
      </c>
      <c r="J5462">
        <v>5364280.892</v>
      </c>
      <c r="K5462">
        <v>0</v>
      </c>
      <c r="L5462">
        <v>874472.78800000006</v>
      </c>
      <c r="M5462">
        <v>180280.53200000001</v>
      </c>
      <c r="T5462" s="9">
        <v>45108</v>
      </c>
      <c r="U5462" s="9">
        <v>45473</v>
      </c>
      <c r="V5462">
        <f>SUM(POTABLE_NONPOTABLE_API[[#This Row],[RESIDENTIAL_SINGLEFAMILY_GAL]:[OTHER_GAL]])</f>
        <v>78144504.128000006</v>
      </c>
      <c r="W5462">
        <f>SUM(POTABLE_NONPOTABLE_API[[#This Row],[NONPOTABLE_DEMAND_RESIDENTIAL_RECYCLED_WATER_GAL]:[NONPOTABLE_DEMAND_NONRESIDENTIAL_METERED_IRRIGATION_GAL]])</f>
        <v>0</v>
      </c>
      <c r="X5462" t="str">
        <f>IFERROR(INDEX(Crosswalk_API!$H$2:$H$527, MATCH(POTABLE_NONPOTABLE_API[[#This Row],[PWSID]], CW_PWSID_LIST, 0)), "")</f>
        <v>No</v>
      </c>
    </row>
    <row r="5463" spans="1:24" x14ac:dyDescent="0.25">
      <c r="A5463" t="s">
        <v>2335</v>
      </c>
      <c r="B5463" t="s">
        <v>2336</v>
      </c>
      <c r="C5463" t="s">
        <v>2337</v>
      </c>
      <c r="D5463" t="s">
        <v>2338</v>
      </c>
      <c r="E5463" s="9">
        <v>45139</v>
      </c>
      <c r="F5463" s="9">
        <v>45169</v>
      </c>
      <c r="G5463">
        <v>84829096.799999997</v>
      </c>
      <c r="H5463">
        <v>6881330.3480000002</v>
      </c>
      <c r="I5463">
        <v>1274680.608</v>
      </c>
      <c r="J5463">
        <v>7606940.7880000006</v>
      </c>
      <c r="K5463">
        <v>0</v>
      </c>
      <c r="L5463">
        <v>2236675.48</v>
      </c>
      <c r="M5463">
        <v>198233.78</v>
      </c>
      <c r="T5463" s="9">
        <v>45108</v>
      </c>
      <c r="U5463" s="9">
        <v>45473</v>
      </c>
      <c r="V5463">
        <f>SUM(POTABLE_NONPOTABLE_API[[#This Row],[RESIDENTIAL_SINGLEFAMILY_GAL]:[OTHER_GAL]])</f>
        <v>102828724.024</v>
      </c>
      <c r="W5463">
        <f>SUM(POTABLE_NONPOTABLE_API[[#This Row],[NONPOTABLE_DEMAND_RESIDENTIAL_RECYCLED_WATER_GAL]:[NONPOTABLE_DEMAND_NONRESIDENTIAL_METERED_IRRIGATION_GAL]])</f>
        <v>0</v>
      </c>
      <c r="X5463" t="str">
        <f>IFERROR(INDEX(Crosswalk_API!$H$2:$H$527, MATCH(POTABLE_NONPOTABLE_API[[#This Row],[PWSID]], CW_PWSID_LIST, 0)), "")</f>
        <v>No</v>
      </c>
    </row>
    <row r="5464" spans="1:24" x14ac:dyDescent="0.25">
      <c r="A5464" t="s">
        <v>2335</v>
      </c>
      <c r="B5464" t="s">
        <v>2336</v>
      </c>
      <c r="C5464" t="s">
        <v>2337</v>
      </c>
      <c r="D5464" t="s">
        <v>2338</v>
      </c>
      <c r="E5464" s="9">
        <v>45170</v>
      </c>
      <c r="F5464" s="9">
        <v>45199</v>
      </c>
      <c r="G5464">
        <v>64607007.083999999</v>
      </c>
      <c r="H5464">
        <v>5529600.3840000005</v>
      </c>
      <c r="I5464">
        <v>1107865.0120000001</v>
      </c>
      <c r="J5464">
        <v>5863979.6280000005</v>
      </c>
      <c r="K5464">
        <v>0</v>
      </c>
      <c r="L5464">
        <v>2700467.72</v>
      </c>
      <c r="M5464">
        <v>162327.28400000001</v>
      </c>
      <c r="T5464" s="9">
        <v>45108</v>
      </c>
      <c r="U5464" s="9">
        <v>45473</v>
      </c>
      <c r="V5464">
        <f>SUM(POTABLE_NONPOTABLE_API[[#This Row],[RESIDENTIAL_SINGLEFAMILY_GAL]:[OTHER_GAL]])</f>
        <v>79808919.827999994</v>
      </c>
      <c r="W5464">
        <f>SUM(POTABLE_NONPOTABLE_API[[#This Row],[NONPOTABLE_DEMAND_RESIDENTIAL_RECYCLED_WATER_GAL]:[NONPOTABLE_DEMAND_NONRESIDENTIAL_METERED_IRRIGATION_GAL]])</f>
        <v>0</v>
      </c>
      <c r="X5464" t="str">
        <f>IFERROR(INDEX(Crosswalk_API!$H$2:$H$527, MATCH(POTABLE_NONPOTABLE_API[[#This Row],[PWSID]], CW_PWSID_LIST, 0)), "")</f>
        <v>No</v>
      </c>
    </row>
    <row r="5465" spans="1:24" x14ac:dyDescent="0.25">
      <c r="A5465" t="s">
        <v>2335</v>
      </c>
      <c r="B5465" t="s">
        <v>2336</v>
      </c>
      <c r="C5465" t="s">
        <v>2337</v>
      </c>
      <c r="D5465" t="s">
        <v>2338</v>
      </c>
      <c r="E5465" s="9">
        <v>45200</v>
      </c>
      <c r="F5465" s="9">
        <v>45230</v>
      </c>
      <c r="G5465">
        <v>69124493.112000003</v>
      </c>
      <c r="H5465">
        <v>6144499.1280000005</v>
      </c>
      <c r="I5465">
        <v>1145267.612</v>
      </c>
      <c r="J5465">
        <v>5608893.8959999997</v>
      </c>
      <c r="K5465">
        <v>0</v>
      </c>
      <c r="L5465">
        <v>1107116.96</v>
      </c>
      <c r="M5465">
        <v>139885.72400000002</v>
      </c>
      <c r="T5465" s="9">
        <v>45108</v>
      </c>
      <c r="U5465" s="9">
        <v>45473</v>
      </c>
      <c r="V5465">
        <f>SUM(POTABLE_NONPOTABLE_API[[#This Row],[RESIDENTIAL_SINGLEFAMILY_GAL]:[OTHER_GAL]])</f>
        <v>83130270.708000004</v>
      </c>
      <c r="W5465">
        <f>SUM(POTABLE_NONPOTABLE_API[[#This Row],[NONPOTABLE_DEMAND_RESIDENTIAL_RECYCLED_WATER_GAL]:[NONPOTABLE_DEMAND_NONRESIDENTIAL_METERED_IRRIGATION_GAL]])</f>
        <v>0</v>
      </c>
      <c r="X5465" t="str">
        <f>IFERROR(INDEX(Crosswalk_API!$H$2:$H$527, MATCH(POTABLE_NONPOTABLE_API[[#This Row],[PWSID]], CW_PWSID_LIST, 0)), "")</f>
        <v>No</v>
      </c>
    </row>
    <row r="5466" spans="1:24" x14ac:dyDescent="0.25">
      <c r="A5466" t="s">
        <v>2335</v>
      </c>
      <c r="B5466" t="s">
        <v>2336</v>
      </c>
      <c r="C5466" t="s">
        <v>2337</v>
      </c>
      <c r="D5466" t="s">
        <v>2338</v>
      </c>
      <c r="E5466" s="9">
        <v>45231</v>
      </c>
      <c r="F5466" s="9">
        <v>45260</v>
      </c>
      <c r="G5466">
        <v>56161500.004000001</v>
      </c>
      <c r="H5466">
        <v>5066556.1960000005</v>
      </c>
      <c r="I5466">
        <v>827345.51199999999</v>
      </c>
      <c r="J5466">
        <v>4023023.656</v>
      </c>
      <c r="K5466">
        <v>0</v>
      </c>
      <c r="L5466">
        <v>3061028.784</v>
      </c>
      <c r="M5466">
        <v>192997.416</v>
      </c>
      <c r="T5466" s="9">
        <v>45108</v>
      </c>
      <c r="U5466" s="9">
        <v>45473</v>
      </c>
      <c r="V5466">
        <f>SUM(POTABLE_NONPOTABLE_API[[#This Row],[RESIDENTIAL_SINGLEFAMILY_GAL]:[OTHER_GAL]])</f>
        <v>69139454.15200001</v>
      </c>
      <c r="W5466">
        <f>SUM(POTABLE_NONPOTABLE_API[[#This Row],[NONPOTABLE_DEMAND_RESIDENTIAL_RECYCLED_WATER_GAL]:[NONPOTABLE_DEMAND_NONRESIDENTIAL_METERED_IRRIGATION_GAL]])</f>
        <v>0</v>
      </c>
      <c r="X5466" t="str">
        <f>IFERROR(INDEX(Crosswalk_API!$H$2:$H$527, MATCH(POTABLE_NONPOTABLE_API[[#This Row],[PWSID]], CW_PWSID_LIST, 0)), "")</f>
        <v>No</v>
      </c>
    </row>
    <row r="5467" spans="1:24" x14ac:dyDescent="0.25">
      <c r="A5467" t="s">
        <v>2335</v>
      </c>
      <c r="B5467" t="s">
        <v>2336</v>
      </c>
      <c r="C5467" t="s">
        <v>2337</v>
      </c>
      <c r="D5467" t="s">
        <v>2338</v>
      </c>
      <c r="E5467" s="9">
        <v>45261</v>
      </c>
      <c r="F5467" s="9">
        <v>45291</v>
      </c>
      <c r="G5467">
        <v>41041872.980000004</v>
      </c>
      <c r="H5467">
        <v>4678317.2080000006</v>
      </c>
      <c r="I5467">
        <v>468280.55200000003</v>
      </c>
      <c r="J5467">
        <v>519148.08799999999</v>
      </c>
      <c r="K5467">
        <v>0</v>
      </c>
      <c r="L5467">
        <v>1395865.0320000001</v>
      </c>
      <c r="M5467">
        <v>68072.732000000004</v>
      </c>
      <c r="T5467" s="9">
        <v>45108</v>
      </c>
      <c r="U5467" s="9">
        <v>45473</v>
      </c>
      <c r="V5467">
        <f>SUM(POTABLE_NONPOTABLE_API[[#This Row],[RESIDENTIAL_SINGLEFAMILY_GAL]:[OTHER_GAL]])</f>
        <v>48103483.860000007</v>
      </c>
      <c r="W5467">
        <f>SUM(POTABLE_NONPOTABLE_API[[#This Row],[NONPOTABLE_DEMAND_RESIDENTIAL_RECYCLED_WATER_GAL]:[NONPOTABLE_DEMAND_NONRESIDENTIAL_METERED_IRRIGATION_GAL]])</f>
        <v>0</v>
      </c>
      <c r="X5467" t="str">
        <f>IFERROR(INDEX(Crosswalk_API!$H$2:$H$527, MATCH(POTABLE_NONPOTABLE_API[[#This Row],[PWSID]], CW_PWSID_LIST, 0)), "")</f>
        <v>No</v>
      </c>
    </row>
    <row r="5468" spans="1:24" x14ac:dyDescent="0.25">
      <c r="A5468" t="s">
        <v>2335</v>
      </c>
      <c r="B5468" t="s">
        <v>2336</v>
      </c>
      <c r="C5468" t="s">
        <v>2337</v>
      </c>
      <c r="D5468" t="s">
        <v>2338</v>
      </c>
      <c r="E5468" s="9">
        <v>45292</v>
      </c>
      <c r="F5468" s="9">
        <v>45322</v>
      </c>
      <c r="G5468">
        <v>34518859.539999999</v>
      </c>
      <c r="H5468">
        <v>4201808.0839999998</v>
      </c>
      <c r="I5468">
        <v>394223.40400000004</v>
      </c>
      <c r="J5468">
        <v>347844.18</v>
      </c>
      <c r="K5468">
        <v>0</v>
      </c>
      <c r="L5468">
        <v>67324.680000000008</v>
      </c>
      <c r="M5468">
        <v>54607.796000000002</v>
      </c>
      <c r="T5468" s="9">
        <v>45108</v>
      </c>
      <c r="U5468" s="9">
        <v>45473</v>
      </c>
      <c r="V5468">
        <f>SUM(POTABLE_NONPOTABLE_API[[#This Row],[RESIDENTIAL_SINGLEFAMILY_GAL]:[OTHER_GAL]])</f>
        <v>39530059.887999997</v>
      </c>
      <c r="W5468">
        <f>SUM(POTABLE_NONPOTABLE_API[[#This Row],[NONPOTABLE_DEMAND_RESIDENTIAL_RECYCLED_WATER_GAL]:[NONPOTABLE_DEMAND_NONRESIDENTIAL_METERED_IRRIGATION_GAL]])</f>
        <v>0</v>
      </c>
      <c r="X5468" t="str">
        <f>IFERROR(INDEX(Crosswalk_API!$H$2:$H$527, MATCH(POTABLE_NONPOTABLE_API[[#This Row],[PWSID]], CW_PWSID_LIST, 0)), "")</f>
        <v>No</v>
      </c>
    </row>
    <row r="5469" spans="1:24" x14ac:dyDescent="0.25">
      <c r="A5469" t="s">
        <v>2335</v>
      </c>
      <c r="B5469" t="s">
        <v>2336</v>
      </c>
      <c r="C5469" t="s">
        <v>2337</v>
      </c>
      <c r="D5469" t="s">
        <v>2338</v>
      </c>
      <c r="E5469" s="9">
        <v>45323</v>
      </c>
      <c r="F5469" s="9">
        <v>45351</v>
      </c>
      <c r="G5469">
        <v>34518859.539999999</v>
      </c>
      <c r="H5469">
        <v>4201808.0839999998</v>
      </c>
      <c r="I5469">
        <v>427885.74400000001</v>
      </c>
      <c r="J5469">
        <v>347844.18</v>
      </c>
      <c r="K5469">
        <v>0</v>
      </c>
      <c r="L5469">
        <v>60592.212</v>
      </c>
      <c r="M5469">
        <v>54607.796000000002</v>
      </c>
      <c r="T5469" s="9">
        <v>45108</v>
      </c>
      <c r="U5469" s="9">
        <v>45473</v>
      </c>
      <c r="V5469">
        <f>SUM(POTABLE_NONPOTABLE_API[[#This Row],[RESIDENTIAL_SINGLEFAMILY_GAL]:[OTHER_GAL]])</f>
        <v>39556989.759999998</v>
      </c>
      <c r="W5469">
        <f>SUM(POTABLE_NONPOTABLE_API[[#This Row],[NONPOTABLE_DEMAND_RESIDENTIAL_RECYCLED_WATER_GAL]:[NONPOTABLE_DEMAND_NONRESIDENTIAL_METERED_IRRIGATION_GAL]])</f>
        <v>0</v>
      </c>
      <c r="X5469" t="str">
        <f>IFERROR(INDEX(Crosswalk_API!$H$2:$H$527, MATCH(POTABLE_NONPOTABLE_API[[#This Row],[PWSID]], CW_PWSID_LIST, 0)), "")</f>
        <v>No</v>
      </c>
    </row>
    <row r="5470" spans="1:24" x14ac:dyDescent="0.25">
      <c r="A5470" t="s">
        <v>2335</v>
      </c>
      <c r="B5470" t="s">
        <v>2336</v>
      </c>
      <c r="C5470" t="s">
        <v>2337</v>
      </c>
      <c r="D5470" t="s">
        <v>2338</v>
      </c>
      <c r="E5470" s="9">
        <v>45352</v>
      </c>
      <c r="F5470" s="9">
        <v>45382</v>
      </c>
      <c r="G5470">
        <v>31889456.760000002</v>
      </c>
      <c r="H5470">
        <v>3897350.92</v>
      </c>
      <c r="I5470">
        <v>371033.79200000002</v>
      </c>
      <c r="J5470">
        <v>265558.46000000002</v>
      </c>
      <c r="K5470">
        <v>0</v>
      </c>
      <c r="L5470">
        <v>50867.536</v>
      </c>
      <c r="M5470">
        <v>53111.692000000003</v>
      </c>
      <c r="T5470" s="9">
        <v>45108</v>
      </c>
      <c r="U5470" s="9">
        <v>45473</v>
      </c>
      <c r="V5470">
        <f>SUM(POTABLE_NONPOTABLE_API[[#This Row],[RESIDENTIAL_SINGLEFAMILY_GAL]:[OTHER_GAL]])</f>
        <v>36474267.468000002</v>
      </c>
      <c r="W5470">
        <f>SUM(POTABLE_NONPOTABLE_API[[#This Row],[NONPOTABLE_DEMAND_RESIDENTIAL_RECYCLED_WATER_GAL]:[NONPOTABLE_DEMAND_NONRESIDENTIAL_METERED_IRRIGATION_GAL]])</f>
        <v>0</v>
      </c>
      <c r="X5470" t="str">
        <f>IFERROR(INDEX(Crosswalk_API!$H$2:$H$527, MATCH(POTABLE_NONPOTABLE_API[[#This Row],[PWSID]], CW_PWSID_LIST, 0)), "")</f>
        <v>No</v>
      </c>
    </row>
    <row r="5471" spans="1:24" x14ac:dyDescent="0.25">
      <c r="A5471" t="s">
        <v>2335</v>
      </c>
      <c r="B5471" t="s">
        <v>2336</v>
      </c>
      <c r="C5471" t="s">
        <v>2337</v>
      </c>
      <c r="D5471" t="s">
        <v>2338</v>
      </c>
      <c r="E5471" s="9">
        <v>45383</v>
      </c>
      <c r="F5471" s="9">
        <v>45412</v>
      </c>
      <c r="G5471">
        <v>41881187.324000001</v>
      </c>
      <c r="H5471">
        <v>4703002.9240000006</v>
      </c>
      <c r="I5471">
        <v>621631.21200000006</v>
      </c>
      <c r="J5471">
        <v>1279916.9720000001</v>
      </c>
      <c r="K5471">
        <v>0</v>
      </c>
      <c r="L5471">
        <v>259574.04399999999</v>
      </c>
      <c r="M5471">
        <v>68820.784</v>
      </c>
      <c r="T5471" s="9">
        <v>45108</v>
      </c>
      <c r="U5471" s="9">
        <v>45473</v>
      </c>
      <c r="V5471">
        <f>SUM(POTABLE_NONPOTABLE_API[[#This Row],[RESIDENTIAL_SINGLEFAMILY_GAL]:[OTHER_GAL]])</f>
        <v>48745312.476000004</v>
      </c>
      <c r="W5471">
        <f>SUM(POTABLE_NONPOTABLE_API[[#This Row],[NONPOTABLE_DEMAND_RESIDENTIAL_RECYCLED_WATER_GAL]:[NONPOTABLE_DEMAND_NONRESIDENTIAL_METERED_IRRIGATION_GAL]])</f>
        <v>0</v>
      </c>
      <c r="X5471" t="str">
        <f>IFERROR(INDEX(Crosswalk_API!$H$2:$H$527, MATCH(POTABLE_NONPOTABLE_API[[#This Row],[PWSID]], CW_PWSID_LIST, 0)), "")</f>
        <v>No</v>
      </c>
    </row>
    <row r="5472" spans="1:24" x14ac:dyDescent="0.25">
      <c r="A5472" t="s">
        <v>2335</v>
      </c>
      <c r="B5472" t="s">
        <v>2336</v>
      </c>
      <c r="C5472" t="s">
        <v>2337</v>
      </c>
      <c r="D5472" t="s">
        <v>2338</v>
      </c>
      <c r="E5472" s="9">
        <v>45413</v>
      </c>
      <c r="F5472" s="9">
        <v>45443</v>
      </c>
      <c r="G5472">
        <v>51746497.100000001</v>
      </c>
      <c r="H5472">
        <v>4910213.3279999997</v>
      </c>
      <c r="I5472">
        <v>826597.46000000008</v>
      </c>
      <c r="J5472">
        <v>3543522.324</v>
      </c>
      <c r="K5472">
        <v>0</v>
      </c>
      <c r="L5472">
        <v>307449.37200000003</v>
      </c>
      <c r="M5472">
        <v>147366.24400000001</v>
      </c>
      <c r="T5472" s="9">
        <v>45108</v>
      </c>
      <c r="U5472" s="9">
        <v>45473</v>
      </c>
      <c r="V5472">
        <f>SUM(POTABLE_NONPOTABLE_API[[#This Row],[RESIDENTIAL_SINGLEFAMILY_GAL]:[OTHER_GAL]])</f>
        <v>61334279.584000006</v>
      </c>
      <c r="W5472">
        <f>SUM(POTABLE_NONPOTABLE_API[[#This Row],[NONPOTABLE_DEMAND_RESIDENTIAL_RECYCLED_WATER_GAL]:[NONPOTABLE_DEMAND_NONRESIDENTIAL_METERED_IRRIGATION_GAL]])</f>
        <v>0</v>
      </c>
      <c r="X5472" t="str">
        <f>IFERROR(INDEX(Crosswalk_API!$H$2:$H$527, MATCH(POTABLE_NONPOTABLE_API[[#This Row],[PWSID]], CW_PWSID_LIST, 0)), "")</f>
        <v>No</v>
      </c>
    </row>
    <row r="5473" spans="1:24" x14ac:dyDescent="0.25">
      <c r="A5473" t="s">
        <v>2335</v>
      </c>
      <c r="B5473" t="s">
        <v>2336</v>
      </c>
      <c r="C5473" t="s">
        <v>2337</v>
      </c>
      <c r="D5473" t="s">
        <v>2338</v>
      </c>
      <c r="E5473" s="9">
        <v>45444</v>
      </c>
      <c r="F5473" s="9">
        <v>45473</v>
      </c>
      <c r="G5473">
        <v>63195432.960000001</v>
      </c>
      <c r="H5473">
        <v>5147345.8119999999</v>
      </c>
      <c r="I5473">
        <v>833329.92800000007</v>
      </c>
      <c r="J5473">
        <v>4749382.148</v>
      </c>
      <c r="K5473">
        <v>0</v>
      </c>
      <c r="L5473">
        <v>957506.56000000006</v>
      </c>
      <c r="M5473">
        <v>110711.696</v>
      </c>
      <c r="T5473" s="9">
        <v>45108</v>
      </c>
      <c r="U5473" s="9">
        <v>45473</v>
      </c>
      <c r="V5473">
        <f>SUM(POTABLE_NONPOTABLE_API[[#This Row],[RESIDENTIAL_SINGLEFAMILY_GAL]:[OTHER_GAL]])</f>
        <v>74882997.408000007</v>
      </c>
      <c r="W5473">
        <f>SUM(POTABLE_NONPOTABLE_API[[#This Row],[NONPOTABLE_DEMAND_RESIDENTIAL_RECYCLED_WATER_GAL]:[NONPOTABLE_DEMAND_NONRESIDENTIAL_METERED_IRRIGATION_GAL]])</f>
        <v>0</v>
      </c>
      <c r="X5473" t="str">
        <f>IFERROR(INDEX(Crosswalk_API!$H$2:$H$527, MATCH(POTABLE_NONPOTABLE_API[[#This Row],[PWSID]], CW_PWSID_LIST, 0)), "")</f>
        <v>No</v>
      </c>
    </row>
    <row r="5474" spans="1:24" x14ac:dyDescent="0.25">
      <c r="A5474" t="s">
        <v>2339</v>
      </c>
      <c r="B5474" t="s">
        <v>2340</v>
      </c>
      <c r="C5474" t="s">
        <v>2341</v>
      </c>
      <c r="D5474" t="s">
        <v>2342</v>
      </c>
      <c r="E5474" s="9">
        <v>45108</v>
      </c>
      <c r="F5474" s="9">
        <v>45138</v>
      </c>
      <c r="G5474">
        <v>128906205.73104</v>
      </c>
      <c r="H5474">
        <v>58544651.546120003</v>
      </c>
      <c r="I5474">
        <v>55402040.211000003</v>
      </c>
      <c r="J5474">
        <v>44355975.23612</v>
      </c>
      <c r="K5474">
        <v>0</v>
      </c>
      <c r="L5474">
        <v>71812.991999999998</v>
      </c>
      <c r="M5474">
        <v>0</v>
      </c>
      <c r="N5474">
        <v>0</v>
      </c>
      <c r="O5474">
        <v>0</v>
      </c>
      <c r="P5474">
        <v>0</v>
      </c>
      <c r="Q5474">
        <v>0</v>
      </c>
      <c r="R5474">
        <v>0</v>
      </c>
      <c r="S5474">
        <v>62520817</v>
      </c>
      <c r="T5474" s="9">
        <v>45108</v>
      </c>
      <c r="U5474" s="9">
        <v>45473</v>
      </c>
      <c r="V5474">
        <f>SUM(POTABLE_NONPOTABLE_API[[#This Row],[RESIDENTIAL_SINGLEFAMILY_GAL]:[OTHER_GAL]])</f>
        <v>287280685.71627998</v>
      </c>
      <c r="W5474">
        <f>SUM(POTABLE_NONPOTABLE_API[[#This Row],[NONPOTABLE_DEMAND_RESIDENTIAL_RECYCLED_WATER_GAL]:[NONPOTABLE_DEMAND_NONRESIDENTIAL_METERED_IRRIGATION_GAL]])</f>
        <v>62520817</v>
      </c>
      <c r="X5474" t="str">
        <f>IFERROR(INDEX(Crosswalk_API!$H$2:$H$527, MATCH(POTABLE_NONPOTABLE_API[[#This Row],[PWSID]], CW_PWSID_LIST, 0)), "")</f>
        <v>No</v>
      </c>
    </row>
    <row r="5475" spans="1:24" x14ac:dyDescent="0.25">
      <c r="A5475" t="s">
        <v>2339</v>
      </c>
      <c r="B5475" t="s">
        <v>2340</v>
      </c>
      <c r="C5475" t="s">
        <v>2341</v>
      </c>
      <c r="D5475" t="s">
        <v>2342</v>
      </c>
      <c r="E5475" s="9">
        <v>45139</v>
      </c>
      <c r="F5475" s="9">
        <v>45169</v>
      </c>
      <c r="G5475">
        <v>212390110.54152</v>
      </c>
      <c r="H5475">
        <v>225877981.81584001</v>
      </c>
      <c r="I5475">
        <v>133409792.95288001</v>
      </c>
      <c r="J5475">
        <v>121387924.06608</v>
      </c>
      <c r="K5475">
        <v>0</v>
      </c>
      <c r="L5475">
        <v>340857.37432</v>
      </c>
      <c r="M5475">
        <v>0</v>
      </c>
      <c r="N5475">
        <v>0</v>
      </c>
      <c r="O5475">
        <v>0</v>
      </c>
      <c r="P5475">
        <v>0</v>
      </c>
      <c r="Q5475">
        <v>0</v>
      </c>
      <c r="R5475">
        <v>0</v>
      </c>
      <c r="S5475">
        <v>5424260</v>
      </c>
      <c r="T5475" s="9">
        <v>45108</v>
      </c>
      <c r="U5475" s="9">
        <v>45473</v>
      </c>
      <c r="V5475">
        <f>SUM(POTABLE_NONPOTABLE_API[[#This Row],[RESIDENTIAL_SINGLEFAMILY_GAL]:[OTHER_GAL]])</f>
        <v>693406666.75064003</v>
      </c>
      <c r="W5475">
        <f>SUM(POTABLE_NONPOTABLE_API[[#This Row],[NONPOTABLE_DEMAND_RESIDENTIAL_RECYCLED_WATER_GAL]:[NONPOTABLE_DEMAND_NONRESIDENTIAL_METERED_IRRIGATION_GAL]])</f>
        <v>5424260</v>
      </c>
      <c r="X5475" t="str">
        <f>IFERROR(INDEX(Crosswalk_API!$H$2:$H$527, MATCH(POTABLE_NONPOTABLE_API[[#This Row],[PWSID]], CW_PWSID_LIST, 0)), "")</f>
        <v>No</v>
      </c>
    </row>
    <row r="5476" spans="1:24" x14ac:dyDescent="0.25">
      <c r="A5476" t="s">
        <v>2339</v>
      </c>
      <c r="B5476" t="s">
        <v>2340</v>
      </c>
      <c r="C5476" t="s">
        <v>2341</v>
      </c>
      <c r="D5476" t="s">
        <v>2342</v>
      </c>
      <c r="E5476" s="9">
        <v>45170</v>
      </c>
      <c r="F5476" s="9">
        <v>45199</v>
      </c>
      <c r="G5476">
        <v>151964968.4752</v>
      </c>
      <c r="H5476">
        <v>85895026.016880006</v>
      </c>
      <c r="I5476">
        <v>86795927.482040003</v>
      </c>
      <c r="J5476">
        <v>80031016.466800004</v>
      </c>
      <c r="K5476">
        <v>0</v>
      </c>
      <c r="L5476">
        <v>59844.160000000003</v>
      </c>
      <c r="M5476">
        <v>0</v>
      </c>
      <c r="N5476">
        <v>0</v>
      </c>
      <c r="O5476">
        <v>0</v>
      </c>
      <c r="P5476">
        <v>0</v>
      </c>
      <c r="Q5476">
        <v>0</v>
      </c>
      <c r="R5476">
        <v>0</v>
      </c>
      <c r="S5476">
        <v>4198186</v>
      </c>
      <c r="T5476" s="9">
        <v>45108</v>
      </c>
      <c r="U5476" s="9">
        <v>45473</v>
      </c>
      <c r="V5476">
        <f>SUM(POTABLE_NONPOTABLE_API[[#This Row],[RESIDENTIAL_SINGLEFAMILY_GAL]:[OTHER_GAL]])</f>
        <v>404746782.60092002</v>
      </c>
      <c r="W5476">
        <f>SUM(POTABLE_NONPOTABLE_API[[#This Row],[NONPOTABLE_DEMAND_RESIDENTIAL_RECYCLED_WATER_GAL]:[NONPOTABLE_DEMAND_NONRESIDENTIAL_METERED_IRRIGATION_GAL]])</f>
        <v>4198186</v>
      </c>
      <c r="X5476" t="str">
        <f>IFERROR(INDEX(Crosswalk_API!$H$2:$H$527, MATCH(POTABLE_NONPOTABLE_API[[#This Row],[PWSID]], CW_PWSID_LIST, 0)), "")</f>
        <v>No</v>
      </c>
    </row>
    <row r="5477" spans="1:24" x14ac:dyDescent="0.25">
      <c r="A5477" t="s">
        <v>2339</v>
      </c>
      <c r="B5477" t="s">
        <v>2340</v>
      </c>
      <c r="C5477" t="s">
        <v>2341</v>
      </c>
      <c r="D5477" t="s">
        <v>2342</v>
      </c>
      <c r="E5477" s="9">
        <v>45200</v>
      </c>
      <c r="F5477" s="9">
        <v>45230</v>
      </c>
      <c r="G5477">
        <v>162123626.84299999</v>
      </c>
      <c r="H5477">
        <v>189433823.44084001</v>
      </c>
      <c r="I5477">
        <v>117635343.64964001</v>
      </c>
      <c r="J5477">
        <v>94897465.2914</v>
      </c>
      <c r="K5477">
        <v>0</v>
      </c>
      <c r="L5477">
        <v>246872.12104</v>
      </c>
      <c r="M5477">
        <v>0</v>
      </c>
      <c r="N5477">
        <v>0</v>
      </c>
      <c r="O5477">
        <v>0</v>
      </c>
      <c r="P5477">
        <v>0</v>
      </c>
      <c r="Q5477">
        <v>0</v>
      </c>
      <c r="R5477">
        <v>0</v>
      </c>
      <c r="S5477">
        <v>3954604.3000000003</v>
      </c>
      <c r="T5477" s="9">
        <v>45108</v>
      </c>
      <c r="U5477" s="9">
        <v>45473</v>
      </c>
      <c r="V5477">
        <f>SUM(POTABLE_NONPOTABLE_API[[#This Row],[RESIDENTIAL_SINGLEFAMILY_GAL]:[OTHER_GAL]])</f>
        <v>564337131.34591997</v>
      </c>
      <c r="W5477">
        <f>SUM(POTABLE_NONPOTABLE_API[[#This Row],[NONPOTABLE_DEMAND_RESIDENTIAL_RECYCLED_WATER_GAL]:[NONPOTABLE_DEMAND_NONRESIDENTIAL_METERED_IRRIGATION_GAL]])</f>
        <v>3954604.3000000003</v>
      </c>
      <c r="X5477" t="str">
        <f>IFERROR(INDEX(Crosswalk_API!$H$2:$H$527, MATCH(POTABLE_NONPOTABLE_API[[#This Row],[PWSID]], CW_PWSID_LIST, 0)), "")</f>
        <v>No</v>
      </c>
    </row>
    <row r="5478" spans="1:24" x14ac:dyDescent="0.25">
      <c r="A5478" t="s">
        <v>2339</v>
      </c>
      <c r="B5478" t="s">
        <v>2340</v>
      </c>
      <c r="C5478" t="s">
        <v>2341</v>
      </c>
      <c r="D5478" t="s">
        <v>2342</v>
      </c>
      <c r="E5478" s="9">
        <v>45231</v>
      </c>
      <c r="F5478" s="9">
        <v>45260</v>
      </c>
      <c r="G5478">
        <v>176305795.1006</v>
      </c>
      <c r="H5478">
        <v>122368829.69264001</v>
      </c>
      <c r="I5478">
        <v>125928465.05671999</v>
      </c>
      <c r="J5478">
        <v>80630767.157800004</v>
      </c>
      <c r="K5478">
        <v>0</v>
      </c>
      <c r="L5478">
        <v>374774.05200000003</v>
      </c>
      <c r="M5478">
        <v>0</v>
      </c>
      <c r="N5478">
        <v>0</v>
      </c>
      <c r="O5478">
        <v>0</v>
      </c>
      <c r="P5478">
        <v>0</v>
      </c>
      <c r="Q5478">
        <v>0</v>
      </c>
      <c r="R5478">
        <v>0</v>
      </c>
      <c r="S5478">
        <v>54360385</v>
      </c>
      <c r="T5478" s="9">
        <v>45108</v>
      </c>
      <c r="U5478" s="9">
        <v>45473</v>
      </c>
      <c r="V5478">
        <f>SUM(POTABLE_NONPOTABLE_API[[#This Row],[RESIDENTIAL_SINGLEFAMILY_GAL]:[OTHER_GAL]])</f>
        <v>505608631.05975997</v>
      </c>
      <c r="W5478">
        <f>SUM(POTABLE_NONPOTABLE_API[[#This Row],[NONPOTABLE_DEMAND_RESIDENTIAL_RECYCLED_WATER_GAL]:[NONPOTABLE_DEMAND_NONRESIDENTIAL_METERED_IRRIGATION_GAL]])</f>
        <v>54360385</v>
      </c>
      <c r="X5478" t="str">
        <f>IFERROR(INDEX(Crosswalk_API!$H$2:$H$527, MATCH(POTABLE_NONPOTABLE_API[[#This Row],[PWSID]], CW_PWSID_LIST, 0)), "")</f>
        <v>No</v>
      </c>
    </row>
    <row r="5479" spans="1:24" x14ac:dyDescent="0.25">
      <c r="A5479" t="s">
        <v>2339</v>
      </c>
      <c r="B5479" t="s">
        <v>2340</v>
      </c>
      <c r="C5479" t="s">
        <v>2341</v>
      </c>
      <c r="D5479" t="s">
        <v>2342</v>
      </c>
      <c r="E5479" s="9">
        <v>45261</v>
      </c>
      <c r="F5479" s="9">
        <v>45291</v>
      </c>
      <c r="G5479">
        <v>95406716.651440009</v>
      </c>
      <c r="H5479">
        <v>143326606.10908002</v>
      </c>
      <c r="I5479">
        <v>88621757.842600003</v>
      </c>
      <c r="J5479">
        <v>40039243.923360005</v>
      </c>
      <c r="K5479">
        <v>0</v>
      </c>
      <c r="L5479">
        <v>165050.19328000001</v>
      </c>
      <c r="M5479">
        <v>0</v>
      </c>
      <c r="N5479">
        <v>0</v>
      </c>
      <c r="O5479">
        <v>0</v>
      </c>
      <c r="P5479">
        <v>0</v>
      </c>
      <c r="Q5479">
        <v>0</v>
      </c>
      <c r="R5479">
        <v>0</v>
      </c>
      <c r="S5479">
        <v>2139257</v>
      </c>
      <c r="T5479" s="9">
        <v>45108</v>
      </c>
      <c r="U5479" s="9">
        <v>45473</v>
      </c>
      <c r="V5479">
        <f>SUM(POTABLE_NONPOTABLE_API[[#This Row],[RESIDENTIAL_SINGLEFAMILY_GAL]:[OTHER_GAL]])</f>
        <v>367559374.71976</v>
      </c>
      <c r="W5479">
        <f>SUM(POTABLE_NONPOTABLE_API[[#This Row],[NONPOTABLE_DEMAND_RESIDENTIAL_RECYCLED_WATER_GAL]:[NONPOTABLE_DEMAND_NONRESIDENTIAL_METERED_IRRIGATION_GAL]])</f>
        <v>2139257</v>
      </c>
      <c r="X5479" t="str">
        <f>IFERROR(INDEX(Crosswalk_API!$H$2:$H$527, MATCH(POTABLE_NONPOTABLE_API[[#This Row],[PWSID]], CW_PWSID_LIST, 0)), "")</f>
        <v>No</v>
      </c>
    </row>
    <row r="5480" spans="1:24" x14ac:dyDescent="0.25">
      <c r="A5480" t="s">
        <v>2339</v>
      </c>
      <c r="B5480" t="s">
        <v>2340</v>
      </c>
      <c r="C5480" t="s">
        <v>2341</v>
      </c>
      <c r="D5480" t="s">
        <v>2342</v>
      </c>
      <c r="E5480" s="9">
        <v>45292</v>
      </c>
      <c r="F5480" s="9">
        <v>45322</v>
      </c>
      <c r="G5480">
        <v>105930641.33032</v>
      </c>
      <c r="H5480">
        <v>70148688.507799998</v>
      </c>
      <c r="I5480">
        <v>88849936.144160002</v>
      </c>
      <c r="J5480">
        <v>18488179.985199999</v>
      </c>
      <c r="K5480">
        <v>0</v>
      </c>
      <c r="L5480">
        <v>98077.09772000002</v>
      </c>
      <c r="M5480">
        <v>0</v>
      </c>
      <c r="N5480">
        <v>0</v>
      </c>
      <c r="O5480">
        <v>0</v>
      </c>
      <c r="P5480">
        <v>0</v>
      </c>
      <c r="Q5480">
        <v>0</v>
      </c>
      <c r="R5480">
        <v>0</v>
      </c>
      <c r="S5480">
        <v>2544729</v>
      </c>
      <c r="T5480" s="9">
        <v>45108</v>
      </c>
      <c r="U5480" s="9">
        <v>45473</v>
      </c>
      <c r="V5480">
        <f>SUM(POTABLE_NONPOTABLE_API[[#This Row],[RESIDENTIAL_SINGLEFAMILY_GAL]:[OTHER_GAL]])</f>
        <v>283515523.06520003</v>
      </c>
      <c r="W5480">
        <f>SUM(POTABLE_NONPOTABLE_API[[#This Row],[NONPOTABLE_DEMAND_RESIDENTIAL_RECYCLED_WATER_GAL]:[NONPOTABLE_DEMAND_NONRESIDENTIAL_METERED_IRRIGATION_GAL]])</f>
        <v>2544729</v>
      </c>
      <c r="X5480" t="str">
        <f>IFERROR(INDEX(Crosswalk_API!$H$2:$H$527, MATCH(POTABLE_NONPOTABLE_API[[#This Row],[PWSID]], CW_PWSID_LIST, 0)), "")</f>
        <v>No</v>
      </c>
    </row>
    <row r="5481" spans="1:24" x14ac:dyDescent="0.25">
      <c r="A5481" t="s">
        <v>2339</v>
      </c>
      <c r="B5481" t="s">
        <v>2340</v>
      </c>
      <c r="C5481" t="s">
        <v>2341</v>
      </c>
      <c r="D5481" t="s">
        <v>2342</v>
      </c>
      <c r="E5481" s="9">
        <v>45323</v>
      </c>
      <c r="F5481" s="9">
        <v>45351</v>
      </c>
      <c r="G5481">
        <v>143103731.4962</v>
      </c>
      <c r="H5481">
        <v>178499801.69452003</v>
      </c>
      <c r="I5481">
        <v>100886010.53844</v>
      </c>
      <c r="J5481">
        <v>21433185.903999999</v>
      </c>
      <c r="K5481">
        <v>0</v>
      </c>
      <c r="L5481">
        <v>154562.50424000001</v>
      </c>
      <c r="M5481">
        <v>0</v>
      </c>
      <c r="N5481">
        <v>0</v>
      </c>
      <c r="O5481">
        <v>0</v>
      </c>
      <c r="P5481">
        <v>0</v>
      </c>
      <c r="Q5481">
        <v>0</v>
      </c>
      <c r="R5481">
        <v>0</v>
      </c>
      <c r="S5481">
        <v>2339207.4</v>
      </c>
      <c r="T5481" s="9">
        <v>45108</v>
      </c>
      <c r="U5481" s="9">
        <v>45473</v>
      </c>
      <c r="V5481">
        <f>SUM(POTABLE_NONPOTABLE_API[[#This Row],[RESIDENTIAL_SINGLEFAMILY_GAL]:[OTHER_GAL]])</f>
        <v>444077292.13739997</v>
      </c>
      <c r="W5481">
        <f>SUM(POTABLE_NONPOTABLE_API[[#This Row],[NONPOTABLE_DEMAND_RESIDENTIAL_RECYCLED_WATER_GAL]:[NONPOTABLE_DEMAND_NONRESIDENTIAL_METERED_IRRIGATION_GAL]])</f>
        <v>2339207.4</v>
      </c>
      <c r="X5481" t="str">
        <f>IFERROR(INDEX(Crosswalk_API!$H$2:$H$527, MATCH(POTABLE_NONPOTABLE_API[[#This Row],[PWSID]], CW_PWSID_LIST, 0)), "")</f>
        <v>No</v>
      </c>
    </row>
    <row r="5482" spans="1:24" x14ac:dyDescent="0.25">
      <c r="A5482" t="s">
        <v>2339</v>
      </c>
      <c r="B5482" t="s">
        <v>2340</v>
      </c>
      <c r="C5482" t="s">
        <v>2341</v>
      </c>
      <c r="D5482" t="s">
        <v>2342</v>
      </c>
      <c r="E5482" s="9">
        <v>45352</v>
      </c>
      <c r="F5482" s="9">
        <v>45382</v>
      </c>
      <c r="G5482">
        <v>74233748.116160005</v>
      </c>
      <c r="H5482">
        <v>75827697.317760006</v>
      </c>
      <c r="I5482">
        <v>70325131.533040002</v>
      </c>
      <c r="J5482">
        <v>10061598.6208</v>
      </c>
      <c r="K5482">
        <v>0</v>
      </c>
      <c r="L5482">
        <v>111699.12463999999</v>
      </c>
      <c r="M5482">
        <v>0</v>
      </c>
      <c r="N5482">
        <v>0</v>
      </c>
      <c r="O5482">
        <v>0</v>
      </c>
      <c r="P5482">
        <v>0</v>
      </c>
      <c r="Q5482">
        <v>0</v>
      </c>
      <c r="R5482">
        <v>0</v>
      </c>
      <c r="S5482">
        <v>4348210</v>
      </c>
      <c r="T5482" s="9">
        <v>45108</v>
      </c>
      <c r="U5482" s="9">
        <v>45473</v>
      </c>
      <c r="V5482">
        <f>SUM(POTABLE_NONPOTABLE_API[[#This Row],[RESIDENTIAL_SINGLEFAMILY_GAL]:[OTHER_GAL]])</f>
        <v>230559874.71239999</v>
      </c>
      <c r="W5482">
        <f>SUM(POTABLE_NONPOTABLE_API[[#This Row],[NONPOTABLE_DEMAND_RESIDENTIAL_RECYCLED_WATER_GAL]:[NONPOTABLE_DEMAND_NONRESIDENTIAL_METERED_IRRIGATION_GAL]])</f>
        <v>4348210</v>
      </c>
      <c r="X5482" t="str">
        <f>IFERROR(INDEX(Crosswalk_API!$H$2:$H$527, MATCH(POTABLE_NONPOTABLE_API[[#This Row],[PWSID]], CW_PWSID_LIST, 0)), "")</f>
        <v>No</v>
      </c>
    </row>
    <row r="5483" spans="1:24" x14ac:dyDescent="0.25">
      <c r="A5483" t="s">
        <v>2339</v>
      </c>
      <c r="B5483" t="s">
        <v>2340</v>
      </c>
      <c r="C5483" t="s">
        <v>2341</v>
      </c>
      <c r="D5483" t="s">
        <v>2342</v>
      </c>
      <c r="E5483" s="9">
        <v>45383</v>
      </c>
      <c r="F5483" s="9">
        <v>45412</v>
      </c>
      <c r="G5483">
        <v>102698854.71628001</v>
      </c>
      <c r="H5483">
        <v>153249553.29168001</v>
      </c>
      <c r="I5483">
        <v>98988441.991080016</v>
      </c>
      <c r="J5483">
        <v>18565902.588</v>
      </c>
      <c r="K5483">
        <v>0</v>
      </c>
      <c r="L5483">
        <v>159327.59548000002</v>
      </c>
      <c r="M5483">
        <v>0</v>
      </c>
      <c r="N5483">
        <v>0</v>
      </c>
      <c r="O5483">
        <v>0</v>
      </c>
      <c r="P5483">
        <v>0</v>
      </c>
      <c r="Q5483">
        <v>0</v>
      </c>
      <c r="R5483">
        <v>0</v>
      </c>
      <c r="S5483">
        <v>12306226.799999999</v>
      </c>
      <c r="T5483" s="9">
        <v>45108</v>
      </c>
      <c r="U5483" s="9">
        <v>45473</v>
      </c>
      <c r="V5483">
        <f>SUM(POTABLE_NONPOTABLE_API[[#This Row],[RESIDENTIAL_SINGLEFAMILY_GAL]:[OTHER_GAL]])</f>
        <v>373662080.18252003</v>
      </c>
      <c r="W5483">
        <f>SUM(POTABLE_NONPOTABLE_API[[#This Row],[NONPOTABLE_DEMAND_RESIDENTIAL_RECYCLED_WATER_GAL]:[NONPOTABLE_DEMAND_NONRESIDENTIAL_METERED_IRRIGATION_GAL]])</f>
        <v>12306226.799999999</v>
      </c>
      <c r="X5483" t="str">
        <f>IFERROR(INDEX(Crosswalk_API!$H$2:$H$527, MATCH(POTABLE_NONPOTABLE_API[[#This Row],[PWSID]], CW_PWSID_LIST, 0)), "")</f>
        <v>No</v>
      </c>
    </row>
    <row r="5484" spans="1:24" x14ac:dyDescent="0.25">
      <c r="A5484" t="s">
        <v>2339</v>
      </c>
      <c r="B5484" t="s">
        <v>2340</v>
      </c>
      <c r="C5484" t="s">
        <v>2341</v>
      </c>
      <c r="D5484" t="s">
        <v>2342</v>
      </c>
      <c r="E5484" s="9">
        <v>45413</v>
      </c>
      <c r="F5484" s="9">
        <v>45443</v>
      </c>
      <c r="G5484">
        <v>125046302.29415999</v>
      </c>
      <c r="H5484">
        <v>84497313.296440005</v>
      </c>
      <c r="I5484">
        <v>81164434.935120001</v>
      </c>
      <c r="J5484">
        <v>39763287.54056</v>
      </c>
      <c r="K5484">
        <v>0</v>
      </c>
      <c r="L5484">
        <v>154098.712</v>
      </c>
      <c r="M5484">
        <v>0</v>
      </c>
      <c r="N5484">
        <v>0</v>
      </c>
      <c r="O5484">
        <v>0</v>
      </c>
      <c r="P5484">
        <v>0</v>
      </c>
      <c r="Q5484">
        <v>0</v>
      </c>
      <c r="R5484">
        <v>0</v>
      </c>
      <c r="S5484">
        <v>23413109</v>
      </c>
      <c r="T5484" s="9">
        <v>45108</v>
      </c>
      <c r="U5484" s="9">
        <v>45473</v>
      </c>
      <c r="V5484">
        <f>SUM(POTABLE_NONPOTABLE_API[[#This Row],[RESIDENTIAL_SINGLEFAMILY_GAL]:[OTHER_GAL]])</f>
        <v>330625436.77828002</v>
      </c>
      <c r="W5484">
        <f>SUM(POTABLE_NONPOTABLE_API[[#This Row],[NONPOTABLE_DEMAND_RESIDENTIAL_RECYCLED_WATER_GAL]:[NONPOTABLE_DEMAND_NONRESIDENTIAL_METERED_IRRIGATION_GAL]])</f>
        <v>23413109</v>
      </c>
      <c r="X5484" t="str">
        <f>IFERROR(INDEX(Crosswalk_API!$H$2:$H$527, MATCH(POTABLE_NONPOTABLE_API[[#This Row],[PWSID]], CW_PWSID_LIST, 0)), "")</f>
        <v>No</v>
      </c>
    </row>
    <row r="5485" spans="1:24" x14ac:dyDescent="0.25">
      <c r="A5485" t="s">
        <v>2339</v>
      </c>
      <c r="B5485" t="s">
        <v>2340</v>
      </c>
      <c r="C5485" t="s">
        <v>2341</v>
      </c>
      <c r="D5485" t="s">
        <v>2342</v>
      </c>
      <c r="E5485" s="9">
        <v>45444</v>
      </c>
      <c r="F5485" s="9">
        <v>45473</v>
      </c>
      <c r="G5485">
        <v>149202980.95872</v>
      </c>
      <c r="H5485">
        <v>202488078.89284</v>
      </c>
      <c r="I5485">
        <v>118576333.22148</v>
      </c>
      <c r="J5485">
        <v>100811826.2216</v>
      </c>
      <c r="K5485">
        <v>0</v>
      </c>
      <c r="L5485">
        <v>216366.56048000001</v>
      </c>
      <c r="M5485">
        <v>0</v>
      </c>
      <c r="N5485">
        <v>0</v>
      </c>
      <c r="O5485">
        <v>0</v>
      </c>
      <c r="P5485">
        <v>0</v>
      </c>
      <c r="Q5485">
        <v>0</v>
      </c>
      <c r="R5485">
        <v>0</v>
      </c>
      <c r="S5485">
        <v>54146122</v>
      </c>
      <c r="T5485" s="9">
        <v>45108</v>
      </c>
      <c r="U5485" s="9">
        <v>45473</v>
      </c>
      <c r="V5485">
        <f>SUM(POTABLE_NONPOTABLE_API[[#This Row],[RESIDENTIAL_SINGLEFAMILY_GAL]:[OTHER_GAL]])</f>
        <v>571295585.85512006</v>
      </c>
      <c r="W5485">
        <f>SUM(POTABLE_NONPOTABLE_API[[#This Row],[NONPOTABLE_DEMAND_RESIDENTIAL_RECYCLED_WATER_GAL]:[NONPOTABLE_DEMAND_NONRESIDENTIAL_METERED_IRRIGATION_GAL]])</f>
        <v>54146122</v>
      </c>
      <c r="X5485" t="str">
        <f>IFERROR(INDEX(Crosswalk_API!$H$2:$H$527, MATCH(POTABLE_NONPOTABLE_API[[#This Row],[PWSID]], CW_PWSID_LIST, 0)), "")</f>
        <v>No</v>
      </c>
    </row>
    <row r="5486" spans="1:24" x14ac:dyDescent="0.25">
      <c r="A5486" t="s">
        <v>2343</v>
      </c>
      <c r="B5486" t="s">
        <v>2344</v>
      </c>
      <c r="C5486" t="s">
        <v>2345</v>
      </c>
      <c r="D5486" t="s">
        <v>2346</v>
      </c>
      <c r="E5486" s="9">
        <v>45108</v>
      </c>
      <c r="F5486" s="9">
        <v>45138</v>
      </c>
      <c r="G5486">
        <v>51000000</v>
      </c>
      <c r="H5486">
        <v>8750000</v>
      </c>
      <c r="I5486">
        <v>22630000</v>
      </c>
      <c r="J5486">
        <v>0</v>
      </c>
      <c r="K5486">
        <v>0</v>
      </c>
      <c r="L5486">
        <v>0</v>
      </c>
      <c r="M5486">
        <v>0</v>
      </c>
      <c r="T5486" s="9">
        <v>45108</v>
      </c>
      <c r="U5486" s="9">
        <v>45473</v>
      </c>
      <c r="V5486">
        <f>SUM(POTABLE_NONPOTABLE_API[[#This Row],[RESIDENTIAL_SINGLEFAMILY_GAL]:[OTHER_GAL]])</f>
        <v>82380000</v>
      </c>
      <c r="W5486">
        <f>SUM(POTABLE_NONPOTABLE_API[[#This Row],[NONPOTABLE_DEMAND_RESIDENTIAL_RECYCLED_WATER_GAL]:[NONPOTABLE_DEMAND_NONRESIDENTIAL_METERED_IRRIGATION_GAL]])</f>
        <v>0</v>
      </c>
      <c r="X5486" t="str">
        <f>IFERROR(INDEX(Crosswalk_API!$H$2:$H$527, MATCH(POTABLE_NONPOTABLE_API[[#This Row],[PWSID]], CW_PWSID_LIST, 0)), "")</f>
        <v>No</v>
      </c>
    </row>
    <row r="5487" spans="1:24" x14ac:dyDescent="0.25">
      <c r="A5487" t="s">
        <v>2343</v>
      </c>
      <c r="B5487" t="s">
        <v>2344</v>
      </c>
      <c r="C5487" t="s">
        <v>2345</v>
      </c>
      <c r="D5487" t="s">
        <v>2346</v>
      </c>
      <c r="E5487" s="9">
        <v>45139</v>
      </c>
      <c r="F5487" s="9">
        <v>45169</v>
      </c>
      <c r="G5487">
        <v>54100000</v>
      </c>
      <c r="H5487">
        <v>9400000</v>
      </c>
      <c r="I5487">
        <v>27100000</v>
      </c>
      <c r="J5487">
        <v>0</v>
      </c>
      <c r="K5487">
        <v>0</v>
      </c>
      <c r="L5487">
        <v>0</v>
      </c>
      <c r="M5487">
        <v>0</v>
      </c>
      <c r="T5487" s="9">
        <v>45108</v>
      </c>
      <c r="U5487" s="9">
        <v>45473</v>
      </c>
      <c r="V5487">
        <f>SUM(POTABLE_NONPOTABLE_API[[#This Row],[RESIDENTIAL_SINGLEFAMILY_GAL]:[OTHER_GAL]])</f>
        <v>90600000</v>
      </c>
      <c r="W5487">
        <f>SUM(POTABLE_NONPOTABLE_API[[#This Row],[NONPOTABLE_DEMAND_RESIDENTIAL_RECYCLED_WATER_GAL]:[NONPOTABLE_DEMAND_NONRESIDENTIAL_METERED_IRRIGATION_GAL]])</f>
        <v>0</v>
      </c>
      <c r="X5487" t="str">
        <f>IFERROR(INDEX(Crosswalk_API!$H$2:$H$527, MATCH(POTABLE_NONPOTABLE_API[[#This Row],[PWSID]], CW_PWSID_LIST, 0)), "")</f>
        <v>No</v>
      </c>
    </row>
    <row r="5488" spans="1:24" x14ac:dyDescent="0.25">
      <c r="A5488" t="s">
        <v>2343</v>
      </c>
      <c r="B5488" t="s">
        <v>2344</v>
      </c>
      <c r="C5488" t="s">
        <v>2345</v>
      </c>
      <c r="D5488" t="s">
        <v>2346</v>
      </c>
      <c r="E5488" s="9">
        <v>45170</v>
      </c>
      <c r="F5488" s="9">
        <v>45199</v>
      </c>
      <c r="G5488">
        <v>34000000</v>
      </c>
      <c r="H5488">
        <v>6000000</v>
      </c>
      <c r="I5488">
        <v>19000000</v>
      </c>
      <c r="J5488">
        <v>0</v>
      </c>
      <c r="K5488">
        <v>0</v>
      </c>
      <c r="L5488">
        <v>0</v>
      </c>
      <c r="M5488">
        <v>0</v>
      </c>
      <c r="T5488" s="9">
        <v>45108</v>
      </c>
      <c r="U5488" s="9">
        <v>45473</v>
      </c>
      <c r="V5488">
        <f>SUM(POTABLE_NONPOTABLE_API[[#This Row],[RESIDENTIAL_SINGLEFAMILY_GAL]:[OTHER_GAL]])</f>
        <v>59000000</v>
      </c>
      <c r="W5488">
        <f>SUM(POTABLE_NONPOTABLE_API[[#This Row],[NONPOTABLE_DEMAND_RESIDENTIAL_RECYCLED_WATER_GAL]:[NONPOTABLE_DEMAND_NONRESIDENTIAL_METERED_IRRIGATION_GAL]])</f>
        <v>0</v>
      </c>
      <c r="X5488" t="str">
        <f>IFERROR(INDEX(Crosswalk_API!$H$2:$H$527, MATCH(POTABLE_NONPOTABLE_API[[#This Row],[PWSID]], CW_PWSID_LIST, 0)), "")</f>
        <v>No</v>
      </c>
    </row>
    <row r="5489" spans="1:24" x14ac:dyDescent="0.25">
      <c r="A5489" t="s">
        <v>2343</v>
      </c>
      <c r="B5489" t="s">
        <v>2344</v>
      </c>
      <c r="C5489" t="s">
        <v>2345</v>
      </c>
      <c r="D5489" t="s">
        <v>2346</v>
      </c>
      <c r="E5489" s="9">
        <v>45200</v>
      </c>
      <c r="F5489" s="9">
        <v>45230</v>
      </c>
      <c r="G5489">
        <v>22400000</v>
      </c>
      <c r="H5489">
        <v>5460000</v>
      </c>
      <c r="I5489">
        <v>12110000</v>
      </c>
      <c r="J5489">
        <v>0</v>
      </c>
      <c r="K5489">
        <v>0</v>
      </c>
      <c r="L5489">
        <v>0</v>
      </c>
      <c r="M5489">
        <v>0</v>
      </c>
      <c r="T5489" s="9">
        <v>45108</v>
      </c>
      <c r="U5489" s="9">
        <v>45473</v>
      </c>
      <c r="V5489">
        <f>SUM(POTABLE_NONPOTABLE_API[[#This Row],[RESIDENTIAL_SINGLEFAMILY_GAL]:[OTHER_GAL]])</f>
        <v>39970000</v>
      </c>
      <c r="W5489">
        <f>SUM(POTABLE_NONPOTABLE_API[[#This Row],[NONPOTABLE_DEMAND_RESIDENTIAL_RECYCLED_WATER_GAL]:[NONPOTABLE_DEMAND_NONRESIDENTIAL_METERED_IRRIGATION_GAL]])</f>
        <v>0</v>
      </c>
      <c r="X5489" t="str">
        <f>IFERROR(INDEX(Crosswalk_API!$H$2:$H$527, MATCH(POTABLE_NONPOTABLE_API[[#This Row],[PWSID]], CW_PWSID_LIST, 0)), "")</f>
        <v>No</v>
      </c>
    </row>
    <row r="5490" spans="1:24" x14ac:dyDescent="0.25">
      <c r="A5490" t="s">
        <v>2343</v>
      </c>
      <c r="B5490" t="s">
        <v>2344</v>
      </c>
      <c r="C5490" t="s">
        <v>2345</v>
      </c>
      <c r="D5490" t="s">
        <v>2346</v>
      </c>
      <c r="E5490" s="9">
        <v>45231</v>
      </c>
      <c r="F5490" s="9">
        <v>45260</v>
      </c>
      <c r="G5490">
        <v>18100000</v>
      </c>
      <c r="H5490">
        <v>5440000</v>
      </c>
      <c r="I5490">
        <v>7100000</v>
      </c>
      <c r="J5490">
        <v>0</v>
      </c>
      <c r="K5490">
        <v>0</v>
      </c>
      <c r="L5490">
        <v>0</v>
      </c>
      <c r="M5490">
        <v>0</v>
      </c>
      <c r="T5490" s="9">
        <v>45108</v>
      </c>
      <c r="U5490" s="9">
        <v>45473</v>
      </c>
      <c r="V5490">
        <f>SUM(POTABLE_NONPOTABLE_API[[#This Row],[RESIDENTIAL_SINGLEFAMILY_GAL]:[OTHER_GAL]])</f>
        <v>30640000</v>
      </c>
      <c r="W5490">
        <f>SUM(POTABLE_NONPOTABLE_API[[#This Row],[NONPOTABLE_DEMAND_RESIDENTIAL_RECYCLED_WATER_GAL]:[NONPOTABLE_DEMAND_NONRESIDENTIAL_METERED_IRRIGATION_GAL]])</f>
        <v>0</v>
      </c>
      <c r="X5490" t="str">
        <f>IFERROR(INDEX(Crosswalk_API!$H$2:$H$527, MATCH(POTABLE_NONPOTABLE_API[[#This Row],[PWSID]], CW_PWSID_LIST, 0)), "")</f>
        <v>No</v>
      </c>
    </row>
    <row r="5491" spans="1:24" x14ac:dyDescent="0.25">
      <c r="A5491" t="s">
        <v>2343</v>
      </c>
      <c r="B5491" t="s">
        <v>2344</v>
      </c>
      <c r="C5491" t="s">
        <v>2345</v>
      </c>
      <c r="D5491" t="s">
        <v>2346</v>
      </c>
      <c r="E5491" s="9">
        <v>45261</v>
      </c>
      <c r="F5491" s="9">
        <v>45291</v>
      </c>
      <c r="G5491">
        <v>4790000</v>
      </c>
      <c r="H5491">
        <v>15800000</v>
      </c>
      <c r="I5491">
        <v>6420000</v>
      </c>
      <c r="J5491">
        <v>0</v>
      </c>
      <c r="K5491">
        <v>0</v>
      </c>
      <c r="L5491">
        <v>0</v>
      </c>
      <c r="M5491">
        <v>0</v>
      </c>
      <c r="T5491" s="9">
        <v>45108</v>
      </c>
      <c r="U5491" s="9">
        <v>45473</v>
      </c>
      <c r="V5491">
        <f>SUM(POTABLE_NONPOTABLE_API[[#This Row],[RESIDENTIAL_SINGLEFAMILY_GAL]:[OTHER_GAL]])</f>
        <v>27010000</v>
      </c>
      <c r="W5491">
        <f>SUM(POTABLE_NONPOTABLE_API[[#This Row],[NONPOTABLE_DEMAND_RESIDENTIAL_RECYCLED_WATER_GAL]:[NONPOTABLE_DEMAND_NONRESIDENTIAL_METERED_IRRIGATION_GAL]])</f>
        <v>0</v>
      </c>
      <c r="X5491" t="str">
        <f>IFERROR(INDEX(Crosswalk_API!$H$2:$H$527, MATCH(POTABLE_NONPOTABLE_API[[#This Row],[PWSID]], CW_PWSID_LIST, 0)), "")</f>
        <v>No</v>
      </c>
    </row>
    <row r="5492" spans="1:24" x14ac:dyDescent="0.25">
      <c r="A5492" t="s">
        <v>2343</v>
      </c>
      <c r="B5492" t="s">
        <v>2344</v>
      </c>
      <c r="C5492" t="s">
        <v>2345</v>
      </c>
      <c r="D5492" t="s">
        <v>2346</v>
      </c>
      <c r="E5492" s="9">
        <v>45292</v>
      </c>
      <c r="F5492" s="9">
        <v>45322</v>
      </c>
      <c r="G5492">
        <v>2113582</v>
      </c>
      <c r="H5492">
        <v>641001</v>
      </c>
      <c r="I5492">
        <v>858704</v>
      </c>
      <c r="J5492">
        <v>0</v>
      </c>
      <c r="K5492">
        <v>0</v>
      </c>
      <c r="L5492">
        <v>0</v>
      </c>
      <c r="M5492">
        <v>0</v>
      </c>
      <c r="T5492" s="9">
        <v>45108</v>
      </c>
      <c r="U5492" s="9">
        <v>45473</v>
      </c>
      <c r="V5492">
        <f>SUM(POTABLE_NONPOTABLE_API[[#This Row],[RESIDENTIAL_SINGLEFAMILY_GAL]:[OTHER_GAL]])</f>
        <v>3613287</v>
      </c>
      <c r="W5492">
        <f>SUM(POTABLE_NONPOTABLE_API[[#This Row],[NONPOTABLE_DEMAND_RESIDENTIAL_RECYCLED_WATER_GAL]:[NONPOTABLE_DEMAND_NONRESIDENTIAL_METERED_IRRIGATION_GAL]])</f>
        <v>0</v>
      </c>
      <c r="X5492" t="str">
        <f>IFERROR(INDEX(Crosswalk_API!$H$2:$H$527, MATCH(POTABLE_NONPOTABLE_API[[#This Row],[PWSID]], CW_PWSID_LIST, 0)), "")</f>
        <v>No</v>
      </c>
    </row>
    <row r="5493" spans="1:24" x14ac:dyDescent="0.25">
      <c r="A5493" t="s">
        <v>2343</v>
      </c>
      <c r="B5493" t="s">
        <v>2344</v>
      </c>
      <c r="C5493" t="s">
        <v>2345</v>
      </c>
      <c r="D5493" t="s">
        <v>2346</v>
      </c>
      <c r="E5493" s="9">
        <v>45323</v>
      </c>
      <c r="F5493" s="9">
        <v>45351</v>
      </c>
      <c r="G5493">
        <v>2029314</v>
      </c>
      <c r="H5493">
        <v>628770</v>
      </c>
      <c r="I5493">
        <v>770755</v>
      </c>
      <c r="J5493">
        <v>0</v>
      </c>
      <c r="K5493">
        <v>0</v>
      </c>
      <c r="L5493">
        <v>0</v>
      </c>
      <c r="M5493">
        <v>0</v>
      </c>
      <c r="T5493" s="9">
        <v>45108</v>
      </c>
      <c r="U5493" s="9">
        <v>45473</v>
      </c>
      <c r="V5493">
        <f>SUM(POTABLE_NONPOTABLE_API[[#This Row],[RESIDENTIAL_SINGLEFAMILY_GAL]:[OTHER_GAL]])</f>
        <v>3428839</v>
      </c>
      <c r="W5493">
        <f>SUM(POTABLE_NONPOTABLE_API[[#This Row],[NONPOTABLE_DEMAND_RESIDENTIAL_RECYCLED_WATER_GAL]:[NONPOTABLE_DEMAND_NONRESIDENTIAL_METERED_IRRIGATION_GAL]])</f>
        <v>0</v>
      </c>
      <c r="X5493" t="str">
        <f>IFERROR(INDEX(Crosswalk_API!$H$2:$H$527, MATCH(POTABLE_NONPOTABLE_API[[#This Row],[PWSID]], CW_PWSID_LIST, 0)), "")</f>
        <v>No</v>
      </c>
    </row>
    <row r="5494" spans="1:24" x14ac:dyDescent="0.25">
      <c r="A5494" t="s">
        <v>2343</v>
      </c>
      <c r="B5494" t="s">
        <v>2344</v>
      </c>
      <c r="C5494" t="s">
        <v>2345</v>
      </c>
      <c r="D5494" t="s">
        <v>2346</v>
      </c>
      <c r="E5494" s="9">
        <v>45352</v>
      </c>
      <c r="F5494" s="9">
        <v>45382</v>
      </c>
      <c r="G5494">
        <v>2065072</v>
      </c>
      <c r="H5494">
        <v>631418</v>
      </c>
      <c r="I5494">
        <v>791183</v>
      </c>
      <c r="J5494">
        <v>0</v>
      </c>
      <c r="K5494">
        <v>0</v>
      </c>
      <c r="L5494">
        <v>0</v>
      </c>
      <c r="M5494">
        <v>0</v>
      </c>
      <c r="T5494" s="9">
        <v>45108</v>
      </c>
      <c r="U5494" s="9">
        <v>45473</v>
      </c>
      <c r="V5494">
        <f>SUM(POTABLE_NONPOTABLE_API[[#This Row],[RESIDENTIAL_SINGLEFAMILY_GAL]:[OTHER_GAL]])</f>
        <v>3487673</v>
      </c>
      <c r="W5494">
        <f>SUM(POTABLE_NONPOTABLE_API[[#This Row],[NONPOTABLE_DEMAND_RESIDENTIAL_RECYCLED_WATER_GAL]:[NONPOTABLE_DEMAND_NONRESIDENTIAL_METERED_IRRIGATION_GAL]])</f>
        <v>0</v>
      </c>
      <c r="X5494" t="str">
        <f>IFERROR(INDEX(Crosswalk_API!$H$2:$H$527, MATCH(POTABLE_NONPOTABLE_API[[#This Row],[PWSID]], CW_PWSID_LIST, 0)), "")</f>
        <v>No</v>
      </c>
    </row>
    <row r="5495" spans="1:24" x14ac:dyDescent="0.25">
      <c r="A5495" t="s">
        <v>2343</v>
      </c>
      <c r="B5495" t="s">
        <v>2344</v>
      </c>
      <c r="C5495" t="s">
        <v>2345</v>
      </c>
      <c r="D5495" t="s">
        <v>2346</v>
      </c>
      <c r="E5495" s="9">
        <v>45383</v>
      </c>
      <c r="F5495" s="9">
        <v>45412</v>
      </c>
      <c r="G5495">
        <v>15599136</v>
      </c>
      <c r="H5495">
        <v>4637345</v>
      </c>
      <c r="I5495">
        <v>6081352</v>
      </c>
      <c r="J5495">
        <v>0</v>
      </c>
      <c r="K5495">
        <v>0</v>
      </c>
      <c r="L5495">
        <v>0</v>
      </c>
      <c r="M5495">
        <v>0</v>
      </c>
      <c r="T5495" s="9">
        <v>45108</v>
      </c>
      <c r="U5495" s="9">
        <v>45473</v>
      </c>
      <c r="V5495">
        <f>SUM(POTABLE_NONPOTABLE_API[[#This Row],[RESIDENTIAL_SINGLEFAMILY_GAL]:[OTHER_GAL]])</f>
        <v>26317833</v>
      </c>
      <c r="W5495">
        <f>SUM(POTABLE_NONPOTABLE_API[[#This Row],[NONPOTABLE_DEMAND_RESIDENTIAL_RECYCLED_WATER_GAL]:[NONPOTABLE_DEMAND_NONRESIDENTIAL_METERED_IRRIGATION_GAL]])</f>
        <v>0</v>
      </c>
      <c r="X5495" t="str">
        <f>IFERROR(INDEX(Crosswalk_API!$H$2:$H$527, MATCH(POTABLE_NONPOTABLE_API[[#This Row],[PWSID]], CW_PWSID_LIST, 0)), "")</f>
        <v>No</v>
      </c>
    </row>
    <row r="5496" spans="1:24" x14ac:dyDescent="0.25">
      <c r="A5496" t="s">
        <v>2343</v>
      </c>
      <c r="B5496" t="s">
        <v>2344</v>
      </c>
      <c r="C5496" t="s">
        <v>2345</v>
      </c>
      <c r="D5496" t="s">
        <v>2346</v>
      </c>
      <c r="E5496" s="9">
        <v>45413</v>
      </c>
      <c r="F5496" s="9">
        <v>45443</v>
      </c>
      <c r="G5496">
        <v>27382880</v>
      </c>
      <c r="H5496">
        <v>6804630</v>
      </c>
      <c r="I5496">
        <v>12217690</v>
      </c>
      <c r="J5496">
        <v>0</v>
      </c>
      <c r="K5496">
        <v>0</v>
      </c>
      <c r="L5496">
        <v>0</v>
      </c>
      <c r="M5496">
        <v>0</v>
      </c>
      <c r="T5496" s="9">
        <v>45108</v>
      </c>
      <c r="U5496" s="9">
        <v>45473</v>
      </c>
      <c r="V5496">
        <f>SUM(POTABLE_NONPOTABLE_API[[#This Row],[RESIDENTIAL_SINGLEFAMILY_GAL]:[OTHER_GAL]])</f>
        <v>46405200</v>
      </c>
      <c r="W5496">
        <f>SUM(POTABLE_NONPOTABLE_API[[#This Row],[NONPOTABLE_DEMAND_RESIDENTIAL_RECYCLED_WATER_GAL]:[NONPOTABLE_DEMAND_NONRESIDENTIAL_METERED_IRRIGATION_GAL]])</f>
        <v>0</v>
      </c>
      <c r="X5496" t="str">
        <f>IFERROR(INDEX(Crosswalk_API!$H$2:$H$527, MATCH(POTABLE_NONPOTABLE_API[[#This Row],[PWSID]], CW_PWSID_LIST, 0)), "")</f>
        <v>No</v>
      </c>
    </row>
    <row r="5497" spans="1:24" x14ac:dyDescent="0.25">
      <c r="A5497" t="s">
        <v>2343</v>
      </c>
      <c r="B5497" t="s">
        <v>2344</v>
      </c>
      <c r="C5497" t="s">
        <v>2345</v>
      </c>
      <c r="D5497" t="s">
        <v>2346</v>
      </c>
      <c r="E5497" s="9">
        <v>45444</v>
      </c>
      <c r="F5497" s="9">
        <v>45473</v>
      </c>
      <c r="G5497">
        <v>60224520</v>
      </c>
      <c r="H5497">
        <v>10943960</v>
      </c>
      <c r="I5497">
        <v>27000690</v>
      </c>
      <c r="J5497">
        <v>0</v>
      </c>
      <c r="K5497">
        <v>0</v>
      </c>
      <c r="L5497">
        <v>0</v>
      </c>
      <c r="M5497">
        <v>0</v>
      </c>
      <c r="T5497" s="9">
        <v>45108</v>
      </c>
      <c r="U5497" s="9">
        <v>45473</v>
      </c>
      <c r="V5497">
        <f>SUM(POTABLE_NONPOTABLE_API[[#This Row],[RESIDENTIAL_SINGLEFAMILY_GAL]:[OTHER_GAL]])</f>
        <v>98169170</v>
      </c>
      <c r="W5497">
        <f>SUM(POTABLE_NONPOTABLE_API[[#This Row],[NONPOTABLE_DEMAND_RESIDENTIAL_RECYCLED_WATER_GAL]:[NONPOTABLE_DEMAND_NONRESIDENTIAL_METERED_IRRIGATION_GAL]])</f>
        <v>0</v>
      </c>
      <c r="X5497" t="str">
        <f>IFERROR(INDEX(Crosswalk_API!$H$2:$H$527, MATCH(POTABLE_NONPOTABLE_API[[#This Row],[PWSID]], CW_PWSID_LIST, 0)), "")</f>
        <v>No</v>
      </c>
    </row>
    <row r="5498" spans="1:24" x14ac:dyDescent="0.25">
      <c r="A5498" t="s">
        <v>2348</v>
      </c>
      <c r="B5498" t="s">
        <v>2349</v>
      </c>
      <c r="C5498" t="s">
        <v>2350</v>
      </c>
      <c r="D5498" t="s">
        <v>2351</v>
      </c>
      <c r="E5498" s="9">
        <v>45108</v>
      </c>
      <c r="F5498" s="9">
        <v>45138</v>
      </c>
      <c r="G5498">
        <v>179935680.028</v>
      </c>
      <c r="H5498">
        <v>142349059.236</v>
      </c>
      <c r="I5498">
        <v>34046838.728</v>
      </c>
      <c r="J5498">
        <v>19673019.548</v>
      </c>
      <c r="K5498">
        <v>639584.46</v>
      </c>
      <c r="L5498">
        <v>89123663.332000002</v>
      </c>
      <c r="M5498">
        <v>0</v>
      </c>
      <c r="T5498" s="9">
        <v>45108</v>
      </c>
      <c r="U5498" s="9">
        <v>45473</v>
      </c>
      <c r="V5498">
        <f>SUM(POTABLE_NONPOTABLE_API[[#This Row],[RESIDENTIAL_SINGLEFAMILY_GAL]:[OTHER_GAL]])</f>
        <v>465767845.33199996</v>
      </c>
      <c r="W5498">
        <f>SUM(POTABLE_NONPOTABLE_API[[#This Row],[NONPOTABLE_DEMAND_RESIDENTIAL_RECYCLED_WATER_GAL]:[NONPOTABLE_DEMAND_NONRESIDENTIAL_METERED_IRRIGATION_GAL]])</f>
        <v>0</v>
      </c>
      <c r="X5498" t="str">
        <f>IFERROR(INDEX(Crosswalk_API!$H$2:$H$527, MATCH(POTABLE_NONPOTABLE_API[[#This Row],[PWSID]], CW_PWSID_LIST, 0)), "")</f>
        <v>No</v>
      </c>
    </row>
    <row r="5499" spans="1:24" x14ac:dyDescent="0.25">
      <c r="A5499" t="s">
        <v>2348</v>
      </c>
      <c r="B5499" t="s">
        <v>2349</v>
      </c>
      <c r="C5499" t="s">
        <v>2350</v>
      </c>
      <c r="D5499" t="s">
        <v>2351</v>
      </c>
      <c r="E5499" s="9">
        <v>45139</v>
      </c>
      <c r="F5499" s="9">
        <v>45169</v>
      </c>
      <c r="G5499">
        <v>210082175.62799999</v>
      </c>
      <c r="H5499">
        <v>193179192.63600001</v>
      </c>
      <c r="I5499">
        <v>43073582.211999997</v>
      </c>
      <c r="J5499">
        <v>29399191.652000003</v>
      </c>
      <c r="K5499">
        <v>694940.30800000008</v>
      </c>
      <c r="L5499">
        <v>90344484.19600001</v>
      </c>
      <c r="M5499">
        <v>0</v>
      </c>
      <c r="T5499" s="9">
        <v>45108</v>
      </c>
      <c r="U5499" s="9">
        <v>45473</v>
      </c>
      <c r="V5499">
        <f>SUM(POTABLE_NONPOTABLE_API[[#This Row],[RESIDENTIAL_SINGLEFAMILY_GAL]:[OTHER_GAL]])</f>
        <v>566773566.63200009</v>
      </c>
      <c r="W5499">
        <f>SUM(POTABLE_NONPOTABLE_API[[#This Row],[NONPOTABLE_DEMAND_RESIDENTIAL_RECYCLED_WATER_GAL]:[NONPOTABLE_DEMAND_NONRESIDENTIAL_METERED_IRRIGATION_GAL]])</f>
        <v>0</v>
      </c>
      <c r="X5499" t="str">
        <f>IFERROR(INDEX(Crosswalk_API!$H$2:$H$527, MATCH(POTABLE_NONPOTABLE_API[[#This Row],[PWSID]], CW_PWSID_LIST, 0)), "")</f>
        <v>No</v>
      </c>
    </row>
    <row r="5500" spans="1:24" x14ac:dyDescent="0.25">
      <c r="A5500" t="s">
        <v>2348</v>
      </c>
      <c r="B5500" t="s">
        <v>2349</v>
      </c>
      <c r="C5500" t="s">
        <v>2350</v>
      </c>
      <c r="D5500" t="s">
        <v>2351</v>
      </c>
      <c r="E5500" s="9">
        <v>45170</v>
      </c>
      <c r="F5500" s="9">
        <v>45199</v>
      </c>
      <c r="G5500">
        <v>185380002.484</v>
      </c>
      <c r="H5500">
        <v>148118036.25999999</v>
      </c>
      <c r="I5500">
        <v>34470236.160000004</v>
      </c>
      <c r="J5500">
        <v>20966401.456</v>
      </c>
      <c r="K5500">
        <v>694940.30800000008</v>
      </c>
      <c r="L5500">
        <v>90110343.920000002</v>
      </c>
      <c r="M5500">
        <v>0</v>
      </c>
      <c r="T5500" s="9">
        <v>45108</v>
      </c>
      <c r="U5500" s="9">
        <v>45473</v>
      </c>
      <c r="V5500">
        <f>SUM(POTABLE_NONPOTABLE_API[[#This Row],[RESIDENTIAL_SINGLEFAMILY_GAL]:[OTHER_GAL]])</f>
        <v>479739960.58800006</v>
      </c>
      <c r="W5500">
        <f>SUM(POTABLE_NONPOTABLE_API[[#This Row],[NONPOTABLE_DEMAND_RESIDENTIAL_RECYCLED_WATER_GAL]:[NONPOTABLE_DEMAND_NONRESIDENTIAL_METERED_IRRIGATION_GAL]])</f>
        <v>0</v>
      </c>
      <c r="X5500" t="str">
        <f>IFERROR(INDEX(Crosswalk_API!$H$2:$H$527, MATCH(POTABLE_NONPOTABLE_API[[#This Row],[PWSID]], CW_PWSID_LIST, 0)), "")</f>
        <v>No</v>
      </c>
    </row>
    <row r="5501" spans="1:24" x14ac:dyDescent="0.25">
      <c r="A5501" t="s">
        <v>2348</v>
      </c>
      <c r="B5501" t="s">
        <v>2349</v>
      </c>
      <c r="C5501" t="s">
        <v>2350</v>
      </c>
      <c r="D5501" t="s">
        <v>2351</v>
      </c>
      <c r="E5501" s="9">
        <v>45200</v>
      </c>
      <c r="F5501" s="9">
        <v>45230</v>
      </c>
      <c r="G5501">
        <v>171869435.31200001</v>
      </c>
      <c r="H5501">
        <v>170125726.09999999</v>
      </c>
      <c r="I5501">
        <v>33502256.872000001</v>
      </c>
      <c r="J5501">
        <v>21937372.952</v>
      </c>
      <c r="K5501">
        <v>705413.03599999996</v>
      </c>
      <c r="L5501">
        <v>76559381.939999998</v>
      </c>
      <c r="M5501">
        <v>0</v>
      </c>
      <c r="T5501" s="9">
        <v>45108</v>
      </c>
      <c r="U5501" s="9">
        <v>45473</v>
      </c>
      <c r="V5501">
        <f>SUM(POTABLE_NONPOTABLE_API[[#This Row],[RESIDENTIAL_SINGLEFAMILY_GAL]:[OTHER_GAL]])</f>
        <v>474699586.21200001</v>
      </c>
      <c r="W5501">
        <f>SUM(POTABLE_NONPOTABLE_API[[#This Row],[NONPOTABLE_DEMAND_RESIDENTIAL_RECYCLED_WATER_GAL]:[NONPOTABLE_DEMAND_NONRESIDENTIAL_METERED_IRRIGATION_GAL]])</f>
        <v>0</v>
      </c>
      <c r="X5501" t="str">
        <f>IFERROR(INDEX(Crosswalk_API!$H$2:$H$527, MATCH(POTABLE_NONPOTABLE_API[[#This Row],[PWSID]], CW_PWSID_LIST, 0)), "")</f>
        <v>No</v>
      </c>
    </row>
    <row r="5502" spans="1:24" x14ac:dyDescent="0.25">
      <c r="A5502" t="s">
        <v>2348</v>
      </c>
      <c r="B5502" t="s">
        <v>2349</v>
      </c>
      <c r="C5502" t="s">
        <v>2350</v>
      </c>
      <c r="D5502" t="s">
        <v>2351</v>
      </c>
      <c r="E5502" s="9">
        <v>45231</v>
      </c>
      <c r="F5502" s="9">
        <v>45260</v>
      </c>
      <c r="G5502">
        <v>170281320.91600001</v>
      </c>
      <c r="H5502">
        <v>143471137.236</v>
      </c>
      <c r="I5502">
        <v>21786266.447999999</v>
      </c>
      <c r="J5502">
        <v>17411658.352000002</v>
      </c>
      <c r="K5502">
        <v>705413.03599999996</v>
      </c>
      <c r="L5502">
        <v>85767154.008000001</v>
      </c>
      <c r="M5502">
        <v>0</v>
      </c>
      <c r="T5502" s="9">
        <v>45108</v>
      </c>
      <c r="U5502" s="9">
        <v>45473</v>
      </c>
      <c r="V5502">
        <f>SUM(POTABLE_NONPOTABLE_API[[#This Row],[RESIDENTIAL_SINGLEFAMILY_GAL]:[OTHER_GAL]])</f>
        <v>439422949.99600005</v>
      </c>
      <c r="W5502">
        <f>SUM(POTABLE_NONPOTABLE_API[[#This Row],[NONPOTABLE_DEMAND_RESIDENTIAL_RECYCLED_WATER_GAL]:[NONPOTABLE_DEMAND_NONRESIDENTIAL_METERED_IRRIGATION_GAL]])</f>
        <v>0</v>
      </c>
      <c r="X5502" t="str">
        <f>IFERROR(INDEX(Crosswalk_API!$H$2:$H$527, MATCH(POTABLE_NONPOTABLE_API[[#This Row],[PWSID]], CW_PWSID_LIST, 0)), "")</f>
        <v>No</v>
      </c>
    </row>
    <row r="5503" spans="1:24" x14ac:dyDescent="0.25">
      <c r="A5503" t="s">
        <v>2348</v>
      </c>
      <c r="B5503" t="s">
        <v>2349</v>
      </c>
      <c r="C5503" t="s">
        <v>2350</v>
      </c>
      <c r="D5503" t="s">
        <v>2351</v>
      </c>
      <c r="E5503" s="9">
        <v>45261</v>
      </c>
      <c r="F5503" s="9">
        <v>45291</v>
      </c>
      <c r="G5503">
        <v>180442111.23199999</v>
      </c>
      <c r="H5503">
        <v>176672677.204</v>
      </c>
      <c r="I5503">
        <v>23308552.267999999</v>
      </c>
      <c r="J5503">
        <v>18098370.088</v>
      </c>
      <c r="K5503">
        <v>812384.47200000007</v>
      </c>
      <c r="L5503">
        <v>80621304.299999997</v>
      </c>
      <c r="M5503">
        <v>0</v>
      </c>
      <c r="T5503" s="9">
        <v>45108</v>
      </c>
      <c r="U5503" s="9">
        <v>45473</v>
      </c>
      <c r="V5503">
        <f>SUM(POTABLE_NONPOTABLE_API[[#This Row],[RESIDENTIAL_SINGLEFAMILY_GAL]:[OTHER_GAL]])</f>
        <v>479955399.56400001</v>
      </c>
      <c r="W5503">
        <f>SUM(POTABLE_NONPOTABLE_API[[#This Row],[NONPOTABLE_DEMAND_RESIDENTIAL_RECYCLED_WATER_GAL]:[NONPOTABLE_DEMAND_NONRESIDENTIAL_METERED_IRRIGATION_GAL]])</f>
        <v>0</v>
      </c>
      <c r="X5503" t="str">
        <f>IFERROR(INDEX(Crosswalk_API!$H$2:$H$527, MATCH(POTABLE_NONPOTABLE_API[[#This Row],[PWSID]], CW_PWSID_LIST, 0)), "")</f>
        <v>No</v>
      </c>
    </row>
    <row r="5504" spans="1:24" x14ac:dyDescent="0.25">
      <c r="A5504" t="s">
        <v>2348</v>
      </c>
      <c r="B5504" t="s">
        <v>2349</v>
      </c>
      <c r="C5504" t="s">
        <v>2350</v>
      </c>
      <c r="D5504" t="s">
        <v>2351</v>
      </c>
      <c r="E5504" s="9">
        <v>45292</v>
      </c>
      <c r="F5504" s="9">
        <v>45322</v>
      </c>
      <c r="G5504">
        <v>155917974.46400002</v>
      </c>
      <c r="H5504">
        <v>121707312.348</v>
      </c>
      <c r="I5504">
        <v>86652847.576000005</v>
      </c>
      <c r="J5504">
        <v>15178723.132000001</v>
      </c>
      <c r="K5504">
        <v>636592.25199999998</v>
      </c>
      <c r="L5504">
        <v>463792.24</v>
      </c>
      <c r="M5504">
        <v>0</v>
      </c>
      <c r="T5504" s="9">
        <v>45108</v>
      </c>
      <c r="U5504" s="9">
        <v>45473</v>
      </c>
      <c r="V5504">
        <f>SUM(POTABLE_NONPOTABLE_API[[#This Row],[RESIDENTIAL_SINGLEFAMILY_GAL]:[OTHER_GAL]])</f>
        <v>380557242.01200002</v>
      </c>
      <c r="W5504">
        <f>SUM(POTABLE_NONPOTABLE_API[[#This Row],[NONPOTABLE_DEMAND_RESIDENTIAL_RECYCLED_WATER_GAL]:[NONPOTABLE_DEMAND_NONRESIDENTIAL_METERED_IRRIGATION_GAL]])</f>
        <v>0</v>
      </c>
      <c r="X5504" t="str">
        <f>IFERROR(INDEX(Crosswalk_API!$H$2:$H$527, MATCH(POTABLE_NONPOTABLE_API[[#This Row],[PWSID]], CW_PWSID_LIST, 0)), "")</f>
        <v>No</v>
      </c>
    </row>
    <row r="5505" spans="1:24" x14ac:dyDescent="0.25">
      <c r="A5505" t="s">
        <v>2348</v>
      </c>
      <c r="B5505" t="s">
        <v>2349</v>
      </c>
      <c r="C5505" t="s">
        <v>2350</v>
      </c>
      <c r="D5505" t="s">
        <v>2351</v>
      </c>
      <c r="E5505" s="9">
        <v>45323</v>
      </c>
      <c r="F5505" s="9">
        <v>45351</v>
      </c>
      <c r="G5505">
        <v>164947710.15600002</v>
      </c>
      <c r="H5505">
        <v>143185381.37200001</v>
      </c>
      <c r="I5505">
        <v>85506083.859999999</v>
      </c>
      <c r="J5505">
        <v>11698785.228</v>
      </c>
      <c r="K5505">
        <v>938805.26</v>
      </c>
      <c r="L5505">
        <v>95750.656000000003</v>
      </c>
      <c r="M5505">
        <v>0</v>
      </c>
      <c r="T5505" s="9">
        <v>45108</v>
      </c>
      <c r="U5505" s="9">
        <v>45473</v>
      </c>
      <c r="V5505">
        <f>SUM(POTABLE_NONPOTABLE_API[[#This Row],[RESIDENTIAL_SINGLEFAMILY_GAL]:[OTHER_GAL]])</f>
        <v>406372516.53200001</v>
      </c>
      <c r="W5505">
        <f>SUM(POTABLE_NONPOTABLE_API[[#This Row],[NONPOTABLE_DEMAND_RESIDENTIAL_RECYCLED_WATER_GAL]:[NONPOTABLE_DEMAND_NONRESIDENTIAL_METERED_IRRIGATION_GAL]])</f>
        <v>0</v>
      </c>
      <c r="X5505" t="str">
        <f>IFERROR(INDEX(Crosswalk_API!$H$2:$H$527, MATCH(POTABLE_NONPOTABLE_API[[#This Row],[PWSID]], CW_PWSID_LIST, 0)), "")</f>
        <v>No</v>
      </c>
    </row>
    <row r="5506" spans="1:24" x14ac:dyDescent="0.25">
      <c r="A5506" t="s">
        <v>2348</v>
      </c>
      <c r="B5506" t="s">
        <v>2349</v>
      </c>
      <c r="C5506" t="s">
        <v>2350</v>
      </c>
      <c r="D5506" t="s">
        <v>2351</v>
      </c>
      <c r="E5506" s="9">
        <v>45352</v>
      </c>
      <c r="F5506" s="9">
        <v>45382</v>
      </c>
      <c r="G5506">
        <v>122771790.344</v>
      </c>
      <c r="H5506">
        <v>102701555.184</v>
      </c>
      <c r="I5506">
        <v>74938353.255999997</v>
      </c>
      <c r="J5506">
        <v>9311751.2960000001</v>
      </c>
      <c r="K5506">
        <v>519148.08799999999</v>
      </c>
      <c r="L5506">
        <v>264062.35600000003</v>
      </c>
      <c r="M5506">
        <v>0</v>
      </c>
      <c r="T5506" s="9">
        <v>45108</v>
      </c>
      <c r="U5506" s="9">
        <v>45473</v>
      </c>
      <c r="V5506">
        <f>SUM(POTABLE_NONPOTABLE_API[[#This Row],[RESIDENTIAL_SINGLEFAMILY_GAL]:[OTHER_GAL]])</f>
        <v>310506660.52399999</v>
      </c>
      <c r="W5506">
        <f>SUM(POTABLE_NONPOTABLE_API[[#This Row],[NONPOTABLE_DEMAND_RESIDENTIAL_RECYCLED_WATER_GAL]:[NONPOTABLE_DEMAND_NONRESIDENTIAL_METERED_IRRIGATION_GAL]])</f>
        <v>0</v>
      </c>
      <c r="X5506" t="str">
        <f>IFERROR(INDEX(Crosswalk_API!$H$2:$H$527, MATCH(POTABLE_NONPOTABLE_API[[#This Row],[PWSID]], CW_PWSID_LIST, 0)), "")</f>
        <v>No</v>
      </c>
    </row>
    <row r="5507" spans="1:24" x14ac:dyDescent="0.25">
      <c r="A5507" t="s">
        <v>2348</v>
      </c>
      <c r="B5507" t="s">
        <v>2349</v>
      </c>
      <c r="C5507" t="s">
        <v>2350</v>
      </c>
      <c r="D5507" t="s">
        <v>2351</v>
      </c>
      <c r="E5507" s="9">
        <v>45383</v>
      </c>
      <c r="F5507" s="9">
        <v>45412</v>
      </c>
      <c r="G5507">
        <v>149504176.616</v>
      </c>
      <c r="H5507">
        <v>125970460.69600001</v>
      </c>
      <c r="I5507">
        <v>85767154.008000001</v>
      </c>
      <c r="J5507">
        <v>16727190.772</v>
      </c>
      <c r="K5507">
        <v>670254.59200000006</v>
      </c>
      <c r="L5507">
        <v>102483.124</v>
      </c>
      <c r="M5507">
        <v>0</v>
      </c>
      <c r="T5507" s="9">
        <v>45108</v>
      </c>
      <c r="U5507" s="9">
        <v>45473</v>
      </c>
      <c r="V5507">
        <f>SUM(POTABLE_NONPOTABLE_API[[#This Row],[RESIDENTIAL_SINGLEFAMILY_GAL]:[OTHER_GAL]])</f>
        <v>378741719.80800009</v>
      </c>
      <c r="W5507">
        <f>SUM(POTABLE_NONPOTABLE_API[[#This Row],[NONPOTABLE_DEMAND_RESIDENTIAL_RECYCLED_WATER_GAL]:[NONPOTABLE_DEMAND_NONRESIDENTIAL_METERED_IRRIGATION_GAL]])</f>
        <v>0</v>
      </c>
      <c r="X5507" t="str">
        <f>IFERROR(INDEX(Crosswalk_API!$H$2:$H$527, MATCH(POTABLE_NONPOTABLE_API[[#This Row],[PWSID]], CW_PWSID_LIST, 0)), "")</f>
        <v>No</v>
      </c>
    </row>
    <row r="5508" spans="1:24" x14ac:dyDescent="0.25">
      <c r="A5508" t="s">
        <v>2348</v>
      </c>
      <c r="B5508" t="s">
        <v>2349</v>
      </c>
      <c r="C5508" t="s">
        <v>2350</v>
      </c>
      <c r="D5508" t="s">
        <v>2351</v>
      </c>
      <c r="E5508" s="9">
        <v>45413</v>
      </c>
      <c r="F5508" s="9">
        <v>45443</v>
      </c>
      <c r="G5508">
        <v>162271180.09999999</v>
      </c>
      <c r="H5508">
        <v>120113961.588</v>
      </c>
      <c r="I5508">
        <v>101062573.252</v>
      </c>
      <c r="J5508">
        <v>25165965.384</v>
      </c>
      <c r="K5508">
        <v>716633.81599999999</v>
      </c>
      <c r="L5508">
        <v>737579.272</v>
      </c>
      <c r="M5508">
        <v>0</v>
      </c>
      <c r="T5508" s="9">
        <v>45108</v>
      </c>
      <c r="U5508" s="9">
        <v>45473</v>
      </c>
      <c r="V5508">
        <f>SUM(POTABLE_NONPOTABLE_API[[#This Row],[RESIDENTIAL_SINGLEFAMILY_GAL]:[OTHER_GAL]])</f>
        <v>410067893.41199994</v>
      </c>
      <c r="W5508">
        <f>SUM(POTABLE_NONPOTABLE_API[[#This Row],[NONPOTABLE_DEMAND_RESIDENTIAL_RECYCLED_WATER_GAL]:[NONPOTABLE_DEMAND_NONRESIDENTIAL_METERED_IRRIGATION_GAL]])</f>
        <v>0</v>
      </c>
      <c r="X5508" t="str">
        <f>IFERROR(INDEX(Crosswalk_API!$H$2:$H$527, MATCH(POTABLE_NONPOTABLE_API[[#This Row],[PWSID]], CW_PWSID_LIST, 0)), "")</f>
        <v>No</v>
      </c>
    </row>
    <row r="5509" spans="1:24" x14ac:dyDescent="0.25">
      <c r="A5509" t="s">
        <v>2348</v>
      </c>
      <c r="B5509" t="s">
        <v>2349</v>
      </c>
      <c r="C5509" t="s">
        <v>2350</v>
      </c>
      <c r="D5509" t="s">
        <v>2351</v>
      </c>
      <c r="E5509" s="9">
        <v>45444</v>
      </c>
      <c r="F5509" s="9">
        <v>45473</v>
      </c>
      <c r="G5509">
        <v>206044190.93200001</v>
      </c>
      <c r="H5509">
        <v>154591678.26800001</v>
      </c>
      <c r="I5509">
        <v>108879716.65200001</v>
      </c>
      <c r="J5509">
        <v>45842122.664000005</v>
      </c>
      <c r="K5509">
        <v>726358.49199999997</v>
      </c>
      <c r="L5509">
        <v>133901.30799999999</v>
      </c>
      <c r="M5509">
        <v>0</v>
      </c>
      <c r="T5509" s="9">
        <v>45108</v>
      </c>
      <c r="U5509" s="9">
        <v>45473</v>
      </c>
      <c r="V5509">
        <f>SUM(POTABLE_NONPOTABLE_API[[#This Row],[RESIDENTIAL_SINGLEFAMILY_GAL]:[OTHER_GAL]])</f>
        <v>516217968.31600004</v>
      </c>
      <c r="W5509">
        <f>SUM(POTABLE_NONPOTABLE_API[[#This Row],[NONPOTABLE_DEMAND_RESIDENTIAL_RECYCLED_WATER_GAL]:[NONPOTABLE_DEMAND_NONRESIDENTIAL_METERED_IRRIGATION_GAL]])</f>
        <v>0</v>
      </c>
      <c r="X5509" t="str">
        <f>IFERROR(INDEX(Crosswalk_API!$H$2:$H$527, MATCH(POTABLE_NONPOTABLE_API[[#This Row],[PWSID]], CW_PWSID_LIST, 0)), "")</f>
        <v>No</v>
      </c>
    </row>
    <row r="5510" spans="1:24" x14ac:dyDescent="0.25">
      <c r="A5510" t="s">
        <v>2352</v>
      </c>
      <c r="B5510" t="s">
        <v>2353</v>
      </c>
      <c r="C5510" t="s">
        <v>2354</v>
      </c>
      <c r="D5510" t="s">
        <v>2355</v>
      </c>
      <c r="E5510" s="9">
        <v>45108</v>
      </c>
      <c r="F5510" s="9">
        <v>45138</v>
      </c>
      <c r="G5510">
        <v>5894614</v>
      </c>
      <c r="H5510">
        <v>1709180</v>
      </c>
      <c r="I5510">
        <v>1939564</v>
      </c>
      <c r="J5510">
        <v>0</v>
      </c>
      <c r="K5510">
        <v>0</v>
      </c>
      <c r="L5510">
        <v>0</v>
      </c>
      <c r="M5510">
        <v>0</v>
      </c>
      <c r="T5510" s="9">
        <v>45108</v>
      </c>
      <c r="U5510" s="9">
        <v>45473</v>
      </c>
      <c r="V5510">
        <f>SUM(POTABLE_NONPOTABLE_API[[#This Row],[RESIDENTIAL_SINGLEFAMILY_GAL]:[OTHER_GAL]])</f>
        <v>9543358</v>
      </c>
      <c r="W5510">
        <f>SUM(POTABLE_NONPOTABLE_API[[#This Row],[NONPOTABLE_DEMAND_RESIDENTIAL_RECYCLED_WATER_GAL]:[NONPOTABLE_DEMAND_NONRESIDENTIAL_METERED_IRRIGATION_GAL]])</f>
        <v>0</v>
      </c>
      <c r="X5510" t="str">
        <f>IFERROR(INDEX(Crosswalk_API!$H$2:$H$527, MATCH(POTABLE_NONPOTABLE_API[[#This Row],[PWSID]], CW_PWSID_LIST, 0)), "")</f>
        <v>No</v>
      </c>
    </row>
    <row r="5511" spans="1:24" x14ac:dyDescent="0.25">
      <c r="A5511" t="s">
        <v>2352</v>
      </c>
      <c r="B5511" t="s">
        <v>2353</v>
      </c>
      <c r="C5511" t="s">
        <v>2354</v>
      </c>
      <c r="D5511" t="s">
        <v>2355</v>
      </c>
      <c r="E5511" s="9">
        <v>45139</v>
      </c>
      <c r="F5511" s="9">
        <v>45169</v>
      </c>
      <c r="G5511">
        <v>12397352</v>
      </c>
      <c r="H5511">
        <v>3391806</v>
      </c>
      <c r="I5511">
        <v>4621144</v>
      </c>
      <c r="J5511">
        <v>0</v>
      </c>
      <c r="K5511">
        <v>0</v>
      </c>
      <c r="L5511">
        <v>0</v>
      </c>
      <c r="M5511">
        <v>0</v>
      </c>
      <c r="T5511" s="9">
        <v>45108</v>
      </c>
      <c r="U5511" s="9">
        <v>45473</v>
      </c>
      <c r="V5511">
        <f>SUM(POTABLE_NONPOTABLE_API[[#This Row],[RESIDENTIAL_SINGLEFAMILY_GAL]:[OTHER_GAL]])</f>
        <v>20410302</v>
      </c>
      <c r="W5511">
        <f>SUM(POTABLE_NONPOTABLE_API[[#This Row],[NONPOTABLE_DEMAND_RESIDENTIAL_RECYCLED_WATER_GAL]:[NONPOTABLE_DEMAND_NONRESIDENTIAL_METERED_IRRIGATION_GAL]])</f>
        <v>0</v>
      </c>
      <c r="X5511" t="str">
        <f>IFERROR(INDEX(Crosswalk_API!$H$2:$H$527, MATCH(POTABLE_NONPOTABLE_API[[#This Row],[PWSID]], CW_PWSID_LIST, 0)), "")</f>
        <v>No</v>
      </c>
    </row>
    <row r="5512" spans="1:24" x14ac:dyDescent="0.25">
      <c r="A5512" t="s">
        <v>2352</v>
      </c>
      <c r="B5512" t="s">
        <v>2353</v>
      </c>
      <c r="C5512" t="s">
        <v>2354</v>
      </c>
      <c r="D5512" t="s">
        <v>2355</v>
      </c>
      <c r="E5512" s="9">
        <v>45170</v>
      </c>
      <c r="F5512" s="9">
        <v>45199</v>
      </c>
      <c r="G5512">
        <v>9557570</v>
      </c>
      <c r="H5512">
        <v>2300848</v>
      </c>
      <c r="I5512">
        <v>2333760</v>
      </c>
      <c r="J5512">
        <v>0</v>
      </c>
      <c r="K5512">
        <v>0</v>
      </c>
      <c r="L5512">
        <v>0</v>
      </c>
      <c r="M5512">
        <v>0</v>
      </c>
      <c r="T5512" s="9">
        <v>45108</v>
      </c>
      <c r="U5512" s="9">
        <v>45473</v>
      </c>
      <c r="V5512">
        <f>SUM(POTABLE_NONPOTABLE_API[[#This Row],[RESIDENTIAL_SINGLEFAMILY_GAL]:[OTHER_GAL]])</f>
        <v>14192178</v>
      </c>
      <c r="W5512">
        <f>SUM(POTABLE_NONPOTABLE_API[[#This Row],[NONPOTABLE_DEMAND_RESIDENTIAL_RECYCLED_WATER_GAL]:[NONPOTABLE_DEMAND_NONRESIDENTIAL_METERED_IRRIGATION_GAL]])</f>
        <v>0</v>
      </c>
      <c r="X5512" t="str">
        <f>IFERROR(INDEX(Crosswalk_API!$H$2:$H$527, MATCH(POTABLE_NONPOTABLE_API[[#This Row],[PWSID]], CW_PWSID_LIST, 0)), "")</f>
        <v>No</v>
      </c>
    </row>
    <row r="5513" spans="1:24" x14ac:dyDescent="0.25">
      <c r="A5513" t="s">
        <v>2352</v>
      </c>
      <c r="B5513" t="s">
        <v>2353</v>
      </c>
      <c r="C5513" t="s">
        <v>2354</v>
      </c>
      <c r="D5513" t="s">
        <v>2355</v>
      </c>
      <c r="E5513" s="9">
        <v>45200</v>
      </c>
      <c r="F5513" s="9">
        <v>45230</v>
      </c>
      <c r="G5513">
        <v>12031206</v>
      </c>
      <c r="H5513">
        <v>3378342</v>
      </c>
      <c r="I5513">
        <v>4653308</v>
      </c>
      <c r="J5513">
        <v>0</v>
      </c>
      <c r="K5513">
        <v>0</v>
      </c>
      <c r="L5513">
        <v>0</v>
      </c>
      <c r="M5513">
        <v>0</v>
      </c>
      <c r="T5513" s="9">
        <v>45108</v>
      </c>
      <c r="U5513" s="9">
        <v>45473</v>
      </c>
      <c r="V5513">
        <f>SUM(POTABLE_NONPOTABLE_API[[#This Row],[RESIDENTIAL_SINGLEFAMILY_GAL]:[OTHER_GAL]])</f>
        <v>20062856</v>
      </c>
      <c r="W5513">
        <f>SUM(POTABLE_NONPOTABLE_API[[#This Row],[NONPOTABLE_DEMAND_RESIDENTIAL_RECYCLED_WATER_GAL]:[NONPOTABLE_DEMAND_NONRESIDENTIAL_METERED_IRRIGATION_GAL]])</f>
        <v>0</v>
      </c>
      <c r="X5513" t="str">
        <f>IFERROR(INDEX(Crosswalk_API!$H$2:$H$527, MATCH(POTABLE_NONPOTABLE_API[[#This Row],[PWSID]], CW_PWSID_LIST, 0)), "")</f>
        <v>No</v>
      </c>
    </row>
    <row r="5514" spans="1:24" x14ac:dyDescent="0.25">
      <c r="A5514" t="s">
        <v>2352</v>
      </c>
      <c r="B5514" t="s">
        <v>2353</v>
      </c>
      <c r="C5514" t="s">
        <v>2354</v>
      </c>
      <c r="D5514" t="s">
        <v>2355</v>
      </c>
      <c r="E5514" s="9">
        <v>45231</v>
      </c>
      <c r="F5514" s="9">
        <v>45260</v>
      </c>
      <c r="G5514">
        <v>8880256</v>
      </c>
      <c r="H5514">
        <v>2253350</v>
      </c>
      <c r="I5514">
        <v>2344232</v>
      </c>
      <c r="J5514">
        <v>0</v>
      </c>
      <c r="K5514">
        <v>0</v>
      </c>
      <c r="L5514">
        <v>0</v>
      </c>
      <c r="M5514">
        <v>0</v>
      </c>
      <c r="T5514" s="9">
        <v>45108</v>
      </c>
      <c r="U5514" s="9">
        <v>45473</v>
      </c>
      <c r="V5514">
        <f>SUM(POTABLE_NONPOTABLE_API[[#This Row],[RESIDENTIAL_SINGLEFAMILY_GAL]:[OTHER_GAL]])</f>
        <v>13477838</v>
      </c>
      <c r="W5514">
        <f>SUM(POTABLE_NONPOTABLE_API[[#This Row],[NONPOTABLE_DEMAND_RESIDENTIAL_RECYCLED_WATER_GAL]:[NONPOTABLE_DEMAND_NONRESIDENTIAL_METERED_IRRIGATION_GAL]])</f>
        <v>0</v>
      </c>
      <c r="X5514" t="str">
        <f>IFERROR(INDEX(Crosswalk_API!$H$2:$H$527, MATCH(POTABLE_NONPOTABLE_API[[#This Row],[PWSID]], CW_PWSID_LIST, 0)), "")</f>
        <v>No</v>
      </c>
    </row>
    <row r="5515" spans="1:24" x14ac:dyDescent="0.25">
      <c r="A5515" t="s">
        <v>2352</v>
      </c>
      <c r="B5515" t="s">
        <v>2353</v>
      </c>
      <c r="C5515" t="s">
        <v>2354</v>
      </c>
      <c r="D5515" t="s">
        <v>2355</v>
      </c>
      <c r="E5515" s="9">
        <v>45261</v>
      </c>
      <c r="F5515" s="9">
        <v>45291</v>
      </c>
      <c r="G5515">
        <v>9119990</v>
      </c>
      <c r="H5515">
        <v>2947868</v>
      </c>
      <c r="I5515">
        <v>601392</v>
      </c>
      <c r="J5515">
        <v>0</v>
      </c>
      <c r="K5515">
        <v>0</v>
      </c>
      <c r="L5515">
        <v>0</v>
      </c>
      <c r="M5515">
        <v>0</v>
      </c>
      <c r="T5515" s="9">
        <v>45108</v>
      </c>
      <c r="U5515" s="9">
        <v>45473</v>
      </c>
      <c r="V5515">
        <f>SUM(POTABLE_NONPOTABLE_API[[#This Row],[RESIDENTIAL_SINGLEFAMILY_GAL]:[OTHER_GAL]])</f>
        <v>12669250</v>
      </c>
      <c r="W5515">
        <f>SUM(POTABLE_NONPOTABLE_API[[#This Row],[NONPOTABLE_DEMAND_RESIDENTIAL_RECYCLED_WATER_GAL]:[NONPOTABLE_DEMAND_NONRESIDENTIAL_METERED_IRRIGATION_GAL]])</f>
        <v>0</v>
      </c>
      <c r="X5515" t="str">
        <f>IFERROR(INDEX(Crosswalk_API!$H$2:$H$527, MATCH(POTABLE_NONPOTABLE_API[[#This Row],[PWSID]], CW_PWSID_LIST, 0)), "")</f>
        <v>No</v>
      </c>
    </row>
    <row r="5516" spans="1:24" x14ac:dyDescent="0.25">
      <c r="A5516" t="s">
        <v>2352</v>
      </c>
      <c r="B5516" t="s">
        <v>2353</v>
      </c>
      <c r="C5516" t="s">
        <v>2354</v>
      </c>
      <c r="D5516" t="s">
        <v>2355</v>
      </c>
      <c r="E5516" s="9">
        <v>45292</v>
      </c>
      <c r="F5516" s="9">
        <v>45322</v>
      </c>
      <c r="G5516">
        <v>6328966</v>
      </c>
      <c r="H5516">
        <v>1892440</v>
      </c>
      <c r="I5516">
        <v>1786982</v>
      </c>
      <c r="J5516">
        <v>0</v>
      </c>
      <c r="K5516">
        <v>0</v>
      </c>
      <c r="L5516">
        <v>0</v>
      </c>
      <c r="M5516">
        <v>0</v>
      </c>
      <c r="T5516" s="9">
        <v>45108</v>
      </c>
      <c r="U5516" s="9">
        <v>45473</v>
      </c>
      <c r="V5516">
        <f>SUM(POTABLE_NONPOTABLE_API[[#This Row],[RESIDENTIAL_SINGLEFAMILY_GAL]:[OTHER_GAL]])</f>
        <v>10008388</v>
      </c>
      <c r="W5516">
        <f>SUM(POTABLE_NONPOTABLE_API[[#This Row],[NONPOTABLE_DEMAND_RESIDENTIAL_RECYCLED_WATER_GAL]:[NONPOTABLE_DEMAND_NONRESIDENTIAL_METERED_IRRIGATION_GAL]])</f>
        <v>0</v>
      </c>
      <c r="X5516" t="str">
        <f>IFERROR(INDEX(Crosswalk_API!$H$2:$H$527, MATCH(POTABLE_NONPOTABLE_API[[#This Row],[PWSID]], CW_PWSID_LIST, 0)), "")</f>
        <v>No</v>
      </c>
    </row>
    <row r="5517" spans="1:24" x14ac:dyDescent="0.25">
      <c r="A5517" t="s">
        <v>2352</v>
      </c>
      <c r="B5517" t="s">
        <v>2353</v>
      </c>
      <c r="C5517" t="s">
        <v>2354</v>
      </c>
      <c r="D5517" t="s">
        <v>2355</v>
      </c>
      <c r="E5517" s="9">
        <v>45323</v>
      </c>
      <c r="F5517" s="9">
        <v>45351</v>
      </c>
      <c r="G5517">
        <v>8309532</v>
      </c>
      <c r="H5517">
        <v>3122152</v>
      </c>
      <c r="I5517">
        <v>3825646</v>
      </c>
      <c r="J5517">
        <v>0</v>
      </c>
      <c r="K5517">
        <v>0</v>
      </c>
      <c r="L5517">
        <v>0</v>
      </c>
      <c r="M5517">
        <v>0</v>
      </c>
      <c r="T5517" s="9">
        <v>45108</v>
      </c>
      <c r="U5517" s="9">
        <v>45473</v>
      </c>
      <c r="V5517">
        <f>SUM(POTABLE_NONPOTABLE_API[[#This Row],[RESIDENTIAL_SINGLEFAMILY_GAL]:[OTHER_GAL]])</f>
        <v>15257330</v>
      </c>
      <c r="W5517">
        <f>SUM(POTABLE_NONPOTABLE_API[[#This Row],[NONPOTABLE_DEMAND_RESIDENTIAL_RECYCLED_WATER_GAL]:[NONPOTABLE_DEMAND_NONRESIDENTIAL_METERED_IRRIGATION_GAL]])</f>
        <v>0</v>
      </c>
      <c r="X5517" t="str">
        <f>IFERROR(INDEX(Crosswalk_API!$H$2:$H$527, MATCH(POTABLE_NONPOTABLE_API[[#This Row],[PWSID]], CW_PWSID_LIST, 0)), "")</f>
        <v>No</v>
      </c>
    </row>
    <row r="5518" spans="1:24" x14ac:dyDescent="0.25">
      <c r="A5518" t="s">
        <v>2352</v>
      </c>
      <c r="B5518" t="s">
        <v>2353</v>
      </c>
      <c r="C5518" t="s">
        <v>2354</v>
      </c>
      <c r="D5518" t="s">
        <v>2355</v>
      </c>
      <c r="E5518" s="9">
        <v>45352</v>
      </c>
      <c r="F5518" s="9">
        <v>45382</v>
      </c>
      <c r="G5518">
        <v>8048106</v>
      </c>
      <c r="H5518">
        <v>2315434</v>
      </c>
      <c r="I5518">
        <v>1918994</v>
      </c>
      <c r="J5518">
        <v>0</v>
      </c>
      <c r="K5518">
        <v>0</v>
      </c>
      <c r="L5518">
        <v>0</v>
      </c>
      <c r="M5518">
        <v>0</v>
      </c>
      <c r="T5518" s="9">
        <v>45108</v>
      </c>
      <c r="U5518" s="9">
        <v>45473</v>
      </c>
      <c r="V5518">
        <f>SUM(POTABLE_NONPOTABLE_API[[#This Row],[RESIDENTIAL_SINGLEFAMILY_GAL]:[OTHER_GAL]])</f>
        <v>12282534</v>
      </c>
      <c r="W5518">
        <f>SUM(POTABLE_NONPOTABLE_API[[#This Row],[NONPOTABLE_DEMAND_RESIDENTIAL_RECYCLED_WATER_GAL]:[NONPOTABLE_DEMAND_NONRESIDENTIAL_METERED_IRRIGATION_GAL]])</f>
        <v>0</v>
      </c>
      <c r="X5518" t="str">
        <f>IFERROR(INDEX(Crosswalk_API!$H$2:$H$527, MATCH(POTABLE_NONPOTABLE_API[[#This Row],[PWSID]], CW_PWSID_LIST, 0)), "")</f>
        <v>No</v>
      </c>
    </row>
    <row r="5519" spans="1:24" x14ac:dyDescent="0.25">
      <c r="A5519" t="s">
        <v>2352</v>
      </c>
      <c r="B5519" t="s">
        <v>2353</v>
      </c>
      <c r="C5519" t="s">
        <v>2354</v>
      </c>
      <c r="D5519" t="s">
        <v>2355</v>
      </c>
      <c r="E5519" s="9">
        <v>45383</v>
      </c>
      <c r="F5519" s="9">
        <v>45412</v>
      </c>
      <c r="G5519">
        <v>9583002</v>
      </c>
      <c r="H5519">
        <v>3478574</v>
      </c>
      <c r="I5519">
        <v>3984222</v>
      </c>
      <c r="J5519">
        <v>0</v>
      </c>
      <c r="K5519">
        <v>0</v>
      </c>
      <c r="L5519">
        <v>0</v>
      </c>
      <c r="M5519">
        <v>0</v>
      </c>
      <c r="T5519" s="9">
        <v>45108</v>
      </c>
      <c r="U5519" s="9">
        <v>45473</v>
      </c>
      <c r="V5519">
        <f>SUM(POTABLE_NONPOTABLE_API[[#This Row],[RESIDENTIAL_SINGLEFAMILY_GAL]:[OTHER_GAL]])</f>
        <v>17045798</v>
      </c>
      <c r="W5519">
        <f>SUM(POTABLE_NONPOTABLE_API[[#This Row],[NONPOTABLE_DEMAND_RESIDENTIAL_RECYCLED_WATER_GAL]:[NONPOTABLE_DEMAND_NONRESIDENTIAL_METERED_IRRIGATION_GAL]])</f>
        <v>0</v>
      </c>
      <c r="X5519" t="str">
        <f>IFERROR(INDEX(Crosswalk_API!$H$2:$H$527, MATCH(POTABLE_NONPOTABLE_API[[#This Row],[PWSID]], CW_PWSID_LIST, 0)), "")</f>
        <v>No</v>
      </c>
    </row>
    <row r="5520" spans="1:24" x14ac:dyDescent="0.25">
      <c r="A5520" t="s">
        <v>2352</v>
      </c>
      <c r="B5520" t="s">
        <v>2353</v>
      </c>
      <c r="C5520" t="s">
        <v>2354</v>
      </c>
      <c r="D5520" t="s">
        <v>2355</v>
      </c>
      <c r="E5520" s="9">
        <v>45413</v>
      </c>
      <c r="F5520" s="9">
        <v>45443</v>
      </c>
      <c r="G5520">
        <v>6219994</v>
      </c>
      <c r="H5520">
        <v>2163216</v>
      </c>
      <c r="I5520">
        <v>1995290</v>
      </c>
      <c r="J5520">
        <v>0</v>
      </c>
      <c r="K5520">
        <v>0</v>
      </c>
      <c r="L5520">
        <v>0</v>
      </c>
      <c r="M5520">
        <v>0</v>
      </c>
      <c r="T5520" s="9">
        <v>45108</v>
      </c>
      <c r="U5520" s="9">
        <v>45473</v>
      </c>
      <c r="V5520">
        <f>SUM(POTABLE_NONPOTABLE_API[[#This Row],[RESIDENTIAL_SINGLEFAMILY_GAL]:[OTHER_GAL]])</f>
        <v>10378500</v>
      </c>
      <c r="W5520">
        <f>SUM(POTABLE_NONPOTABLE_API[[#This Row],[NONPOTABLE_DEMAND_RESIDENTIAL_RECYCLED_WATER_GAL]:[NONPOTABLE_DEMAND_NONRESIDENTIAL_METERED_IRRIGATION_GAL]])</f>
        <v>0</v>
      </c>
      <c r="X5520" t="str">
        <f>IFERROR(INDEX(Crosswalk_API!$H$2:$H$527, MATCH(POTABLE_NONPOTABLE_API[[#This Row],[PWSID]], CW_PWSID_LIST, 0)), "")</f>
        <v>No</v>
      </c>
    </row>
    <row r="5521" spans="1:24" x14ac:dyDescent="0.25">
      <c r="A5521" t="s">
        <v>2352</v>
      </c>
      <c r="B5521" t="s">
        <v>2353</v>
      </c>
      <c r="C5521" t="s">
        <v>2354</v>
      </c>
      <c r="D5521" t="s">
        <v>2355</v>
      </c>
      <c r="E5521" s="9">
        <v>45444</v>
      </c>
      <c r="F5521" s="9">
        <v>45473</v>
      </c>
      <c r="G5521">
        <v>9577392</v>
      </c>
      <c r="H5521">
        <v>3450524</v>
      </c>
      <c r="I5521">
        <v>4363832</v>
      </c>
      <c r="J5521">
        <v>0</v>
      </c>
      <c r="K5521">
        <v>0</v>
      </c>
      <c r="L5521">
        <v>0</v>
      </c>
      <c r="M5521">
        <v>0</v>
      </c>
      <c r="T5521" s="9">
        <v>45108</v>
      </c>
      <c r="U5521" s="9">
        <v>45473</v>
      </c>
      <c r="V5521">
        <f>SUM(POTABLE_NONPOTABLE_API[[#This Row],[RESIDENTIAL_SINGLEFAMILY_GAL]:[OTHER_GAL]])</f>
        <v>17391748</v>
      </c>
      <c r="W5521">
        <f>SUM(POTABLE_NONPOTABLE_API[[#This Row],[NONPOTABLE_DEMAND_RESIDENTIAL_RECYCLED_WATER_GAL]:[NONPOTABLE_DEMAND_NONRESIDENTIAL_METERED_IRRIGATION_GAL]])</f>
        <v>0</v>
      </c>
      <c r="X5521" t="str">
        <f>IFERROR(INDEX(Crosswalk_API!$H$2:$H$527, MATCH(POTABLE_NONPOTABLE_API[[#This Row],[PWSID]], CW_PWSID_LIST, 0)), "")</f>
        <v>No</v>
      </c>
    </row>
    <row r="5522" spans="1:24" x14ac:dyDescent="0.25">
      <c r="A5522" t="s">
        <v>2352</v>
      </c>
      <c r="B5522" t="s">
        <v>2353</v>
      </c>
      <c r="C5522" t="s">
        <v>2356</v>
      </c>
      <c r="D5522" t="s">
        <v>2357</v>
      </c>
      <c r="E5522" s="9">
        <v>45108</v>
      </c>
      <c r="F5522" s="9">
        <v>45138</v>
      </c>
      <c r="G5522">
        <v>2824448</v>
      </c>
      <c r="H5522">
        <v>847858</v>
      </c>
      <c r="I5522">
        <v>364276</v>
      </c>
      <c r="J5522">
        <v>348568</v>
      </c>
      <c r="K5522">
        <v>0</v>
      </c>
      <c r="L5522">
        <v>0</v>
      </c>
      <c r="M5522">
        <v>0</v>
      </c>
      <c r="T5522" s="9">
        <v>45108</v>
      </c>
      <c r="U5522" s="9">
        <v>45473</v>
      </c>
      <c r="V5522">
        <f>SUM(POTABLE_NONPOTABLE_API[[#This Row],[RESIDENTIAL_SINGLEFAMILY_GAL]:[OTHER_GAL]])</f>
        <v>4385150</v>
      </c>
      <c r="W5522">
        <f>SUM(POTABLE_NONPOTABLE_API[[#This Row],[NONPOTABLE_DEMAND_RESIDENTIAL_RECYCLED_WATER_GAL]:[NONPOTABLE_DEMAND_NONRESIDENTIAL_METERED_IRRIGATION_GAL]])</f>
        <v>0</v>
      </c>
      <c r="X5522" t="str">
        <f>IFERROR(INDEX(Crosswalk_API!$H$2:$H$527, MATCH(POTABLE_NONPOTABLE_API[[#This Row],[PWSID]], CW_PWSID_LIST, 0)), "")</f>
        <v>No</v>
      </c>
    </row>
    <row r="5523" spans="1:24" x14ac:dyDescent="0.25">
      <c r="A5523" t="s">
        <v>2352</v>
      </c>
      <c r="B5523" t="s">
        <v>2353</v>
      </c>
      <c r="C5523" t="s">
        <v>2356</v>
      </c>
      <c r="D5523" t="s">
        <v>2357</v>
      </c>
      <c r="E5523" s="9">
        <v>45139</v>
      </c>
      <c r="F5523" s="9">
        <v>45169</v>
      </c>
      <c r="G5523">
        <v>2824448</v>
      </c>
      <c r="H5523">
        <v>847858</v>
      </c>
      <c r="I5523">
        <v>711722</v>
      </c>
      <c r="J5523">
        <v>0</v>
      </c>
      <c r="K5523">
        <v>0</v>
      </c>
      <c r="L5523">
        <v>0</v>
      </c>
      <c r="M5523">
        <v>0</v>
      </c>
      <c r="T5523" s="9">
        <v>45108</v>
      </c>
      <c r="U5523" s="9">
        <v>45473</v>
      </c>
      <c r="V5523">
        <f>SUM(POTABLE_NONPOTABLE_API[[#This Row],[RESIDENTIAL_SINGLEFAMILY_GAL]:[OTHER_GAL]])</f>
        <v>4384028</v>
      </c>
      <c r="W5523">
        <f>SUM(POTABLE_NONPOTABLE_API[[#This Row],[NONPOTABLE_DEMAND_RESIDENTIAL_RECYCLED_WATER_GAL]:[NONPOTABLE_DEMAND_NONRESIDENTIAL_METERED_IRRIGATION_GAL]])</f>
        <v>0</v>
      </c>
      <c r="X5523" t="str">
        <f>IFERROR(INDEX(Crosswalk_API!$H$2:$H$527, MATCH(POTABLE_NONPOTABLE_API[[#This Row],[PWSID]], CW_PWSID_LIST, 0)), "")</f>
        <v>No</v>
      </c>
    </row>
    <row r="5524" spans="1:24" x14ac:dyDescent="0.25">
      <c r="A5524" t="s">
        <v>2352</v>
      </c>
      <c r="B5524" t="s">
        <v>2353</v>
      </c>
      <c r="C5524" t="s">
        <v>2356</v>
      </c>
      <c r="D5524" t="s">
        <v>2357</v>
      </c>
      <c r="E5524" s="9">
        <v>45170</v>
      </c>
      <c r="F5524" s="9">
        <v>45199</v>
      </c>
      <c r="G5524">
        <v>3700356</v>
      </c>
      <c r="H5524">
        <v>1039720</v>
      </c>
      <c r="I5524">
        <v>897974</v>
      </c>
      <c r="J5524">
        <v>0</v>
      </c>
      <c r="K5524">
        <v>0</v>
      </c>
      <c r="L5524">
        <v>0</v>
      </c>
      <c r="M5524">
        <v>0</v>
      </c>
      <c r="T5524" s="9">
        <v>45108</v>
      </c>
      <c r="U5524" s="9">
        <v>45473</v>
      </c>
      <c r="V5524">
        <f>SUM(POTABLE_NONPOTABLE_API[[#This Row],[RESIDENTIAL_SINGLEFAMILY_GAL]:[OTHER_GAL]])</f>
        <v>5638050</v>
      </c>
      <c r="W5524">
        <f>SUM(POTABLE_NONPOTABLE_API[[#This Row],[NONPOTABLE_DEMAND_RESIDENTIAL_RECYCLED_WATER_GAL]:[NONPOTABLE_DEMAND_NONRESIDENTIAL_METERED_IRRIGATION_GAL]])</f>
        <v>0</v>
      </c>
      <c r="X5524" t="str">
        <f>IFERROR(INDEX(Crosswalk_API!$H$2:$H$527, MATCH(POTABLE_NONPOTABLE_API[[#This Row],[PWSID]], CW_PWSID_LIST, 0)), "")</f>
        <v>No</v>
      </c>
    </row>
    <row r="5525" spans="1:24" x14ac:dyDescent="0.25">
      <c r="A5525" t="s">
        <v>2352</v>
      </c>
      <c r="B5525" t="s">
        <v>2353</v>
      </c>
      <c r="C5525" t="s">
        <v>2356</v>
      </c>
      <c r="D5525" t="s">
        <v>2357</v>
      </c>
      <c r="E5525" s="9">
        <v>45200</v>
      </c>
      <c r="F5525" s="9">
        <v>45230</v>
      </c>
      <c r="G5525">
        <v>3700356</v>
      </c>
      <c r="H5525">
        <v>1039720</v>
      </c>
      <c r="I5525">
        <v>897974</v>
      </c>
      <c r="J5525">
        <v>0</v>
      </c>
      <c r="K5525">
        <v>0</v>
      </c>
      <c r="L5525">
        <v>0</v>
      </c>
      <c r="M5525">
        <v>0</v>
      </c>
      <c r="T5525" s="9">
        <v>45108</v>
      </c>
      <c r="U5525" s="9">
        <v>45473</v>
      </c>
      <c r="V5525">
        <f>SUM(POTABLE_NONPOTABLE_API[[#This Row],[RESIDENTIAL_SINGLEFAMILY_GAL]:[OTHER_GAL]])</f>
        <v>5638050</v>
      </c>
      <c r="W5525">
        <f>SUM(POTABLE_NONPOTABLE_API[[#This Row],[NONPOTABLE_DEMAND_RESIDENTIAL_RECYCLED_WATER_GAL]:[NONPOTABLE_DEMAND_NONRESIDENTIAL_METERED_IRRIGATION_GAL]])</f>
        <v>0</v>
      </c>
      <c r="X5525" t="str">
        <f>IFERROR(INDEX(Crosswalk_API!$H$2:$H$527, MATCH(POTABLE_NONPOTABLE_API[[#This Row],[PWSID]], CW_PWSID_LIST, 0)), "")</f>
        <v>No</v>
      </c>
    </row>
    <row r="5526" spans="1:24" x14ac:dyDescent="0.25">
      <c r="A5526" t="s">
        <v>2352</v>
      </c>
      <c r="B5526" t="s">
        <v>2353</v>
      </c>
      <c r="C5526" t="s">
        <v>2356</v>
      </c>
      <c r="D5526" t="s">
        <v>2357</v>
      </c>
      <c r="E5526" s="9">
        <v>45231</v>
      </c>
      <c r="F5526" s="9">
        <v>45260</v>
      </c>
      <c r="G5526">
        <v>2336004</v>
      </c>
      <c r="H5526">
        <v>691152</v>
      </c>
      <c r="I5526">
        <v>440198</v>
      </c>
      <c r="J5526">
        <v>0</v>
      </c>
      <c r="K5526">
        <v>0</v>
      </c>
      <c r="L5526">
        <v>0</v>
      </c>
      <c r="M5526">
        <v>0</v>
      </c>
      <c r="T5526" s="9">
        <v>45108</v>
      </c>
      <c r="U5526" s="9">
        <v>45473</v>
      </c>
      <c r="V5526">
        <f>SUM(POTABLE_NONPOTABLE_API[[#This Row],[RESIDENTIAL_SINGLEFAMILY_GAL]:[OTHER_GAL]])</f>
        <v>3467354</v>
      </c>
      <c r="W5526">
        <f>SUM(POTABLE_NONPOTABLE_API[[#This Row],[NONPOTABLE_DEMAND_RESIDENTIAL_RECYCLED_WATER_GAL]:[NONPOTABLE_DEMAND_NONRESIDENTIAL_METERED_IRRIGATION_GAL]])</f>
        <v>0</v>
      </c>
      <c r="X5526" t="str">
        <f>IFERROR(INDEX(Crosswalk_API!$H$2:$H$527, MATCH(POTABLE_NONPOTABLE_API[[#This Row],[PWSID]], CW_PWSID_LIST, 0)), "")</f>
        <v>No</v>
      </c>
    </row>
    <row r="5527" spans="1:24" x14ac:dyDescent="0.25">
      <c r="A5527" t="s">
        <v>2352</v>
      </c>
      <c r="B5527" t="s">
        <v>2353</v>
      </c>
      <c r="C5527" t="s">
        <v>2356</v>
      </c>
      <c r="D5527" t="s">
        <v>2357</v>
      </c>
      <c r="E5527" s="9">
        <v>45261</v>
      </c>
      <c r="F5527" s="9">
        <v>45291</v>
      </c>
      <c r="G5527">
        <v>2403324</v>
      </c>
      <c r="H5527">
        <v>691152</v>
      </c>
      <c r="I5527">
        <v>440198</v>
      </c>
      <c r="J5527">
        <v>0</v>
      </c>
      <c r="K5527">
        <v>0</v>
      </c>
      <c r="L5527">
        <v>0</v>
      </c>
      <c r="M5527">
        <v>0</v>
      </c>
      <c r="T5527" s="9">
        <v>45108</v>
      </c>
      <c r="U5527" s="9">
        <v>45473</v>
      </c>
      <c r="V5527">
        <f>SUM(POTABLE_NONPOTABLE_API[[#This Row],[RESIDENTIAL_SINGLEFAMILY_GAL]:[OTHER_GAL]])</f>
        <v>3534674</v>
      </c>
      <c r="W5527">
        <f>SUM(POTABLE_NONPOTABLE_API[[#This Row],[NONPOTABLE_DEMAND_RESIDENTIAL_RECYCLED_WATER_GAL]:[NONPOTABLE_DEMAND_NONRESIDENTIAL_METERED_IRRIGATION_GAL]])</f>
        <v>0</v>
      </c>
      <c r="X5527" t="str">
        <f>IFERROR(INDEX(Crosswalk_API!$H$2:$H$527, MATCH(POTABLE_NONPOTABLE_API[[#This Row],[PWSID]], CW_PWSID_LIST, 0)), "")</f>
        <v>No</v>
      </c>
    </row>
    <row r="5528" spans="1:24" x14ac:dyDescent="0.25">
      <c r="A5528" t="s">
        <v>2352</v>
      </c>
      <c r="B5528" t="s">
        <v>2353</v>
      </c>
      <c r="C5528" t="s">
        <v>2356</v>
      </c>
      <c r="D5528" t="s">
        <v>2357</v>
      </c>
      <c r="E5528" s="9">
        <v>45292</v>
      </c>
      <c r="F5528" s="9">
        <v>45322</v>
      </c>
      <c r="G5528">
        <v>1714790</v>
      </c>
      <c r="H5528">
        <v>555390</v>
      </c>
      <c r="I5528">
        <v>262922</v>
      </c>
      <c r="J5528">
        <v>0</v>
      </c>
      <c r="K5528">
        <v>0</v>
      </c>
      <c r="L5528">
        <v>0</v>
      </c>
      <c r="M5528">
        <v>0</v>
      </c>
      <c r="T5528" s="9">
        <v>45108</v>
      </c>
      <c r="U5528" s="9">
        <v>45473</v>
      </c>
      <c r="V5528">
        <f>SUM(POTABLE_NONPOTABLE_API[[#This Row],[RESIDENTIAL_SINGLEFAMILY_GAL]:[OTHER_GAL]])</f>
        <v>2533102</v>
      </c>
      <c r="W5528">
        <f>SUM(POTABLE_NONPOTABLE_API[[#This Row],[NONPOTABLE_DEMAND_RESIDENTIAL_RECYCLED_WATER_GAL]:[NONPOTABLE_DEMAND_NONRESIDENTIAL_METERED_IRRIGATION_GAL]])</f>
        <v>0</v>
      </c>
      <c r="X5528" t="str">
        <f>IFERROR(INDEX(Crosswalk_API!$H$2:$H$527, MATCH(POTABLE_NONPOTABLE_API[[#This Row],[PWSID]], CW_PWSID_LIST, 0)), "")</f>
        <v>No</v>
      </c>
    </row>
    <row r="5529" spans="1:24" x14ac:dyDescent="0.25">
      <c r="A5529" t="s">
        <v>2352</v>
      </c>
      <c r="B5529" t="s">
        <v>2353</v>
      </c>
      <c r="C5529" t="s">
        <v>2356</v>
      </c>
      <c r="D5529" t="s">
        <v>2357</v>
      </c>
      <c r="E5529" s="9">
        <v>45323</v>
      </c>
      <c r="F5529" s="9">
        <v>45351</v>
      </c>
      <c r="G5529">
        <v>1714790</v>
      </c>
      <c r="H5529">
        <v>555390</v>
      </c>
      <c r="I5529">
        <v>262922</v>
      </c>
      <c r="J5529">
        <v>0</v>
      </c>
      <c r="K5529">
        <v>0</v>
      </c>
      <c r="L5529">
        <v>0</v>
      </c>
      <c r="M5529">
        <v>0</v>
      </c>
      <c r="T5529" s="9">
        <v>45108</v>
      </c>
      <c r="U5529" s="9">
        <v>45473</v>
      </c>
      <c r="V5529">
        <f>SUM(POTABLE_NONPOTABLE_API[[#This Row],[RESIDENTIAL_SINGLEFAMILY_GAL]:[OTHER_GAL]])</f>
        <v>2533102</v>
      </c>
      <c r="W5529">
        <f>SUM(POTABLE_NONPOTABLE_API[[#This Row],[NONPOTABLE_DEMAND_RESIDENTIAL_RECYCLED_WATER_GAL]:[NONPOTABLE_DEMAND_NONRESIDENTIAL_METERED_IRRIGATION_GAL]])</f>
        <v>0</v>
      </c>
      <c r="X5529" t="str">
        <f>IFERROR(INDEX(Crosswalk_API!$H$2:$H$527, MATCH(POTABLE_NONPOTABLE_API[[#This Row],[PWSID]], CW_PWSID_LIST, 0)), "")</f>
        <v>No</v>
      </c>
    </row>
    <row r="5530" spans="1:24" x14ac:dyDescent="0.25">
      <c r="A5530" t="s">
        <v>2352</v>
      </c>
      <c r="B5530" t="s">
        <v>2353</v>
      </c>
      <c r="C5530" t="s">
        <v>2356</v>
      </c>
      <c r="D5530" t="s">
        <v>2357</v>
      </c>
      <c r="E5530" s="9">
        <v>45352</v>
      </c>
      <c r="F5530" s="9">
        <v>45382</v>
      </c>
      <c r="G5530">
        <v>1734986</v>
      </c>
      <c r="H5530">
        <v>501908</v>
      </c>
      <c r="I5530">
        <v>342210</v>
      </c>
      <c r="J5530">
        <v>0</v>
      </c>
      <c r="K5530">
        <v>0</v>
      </c>
      <c r="L5530">
        <v>0</v>
      </c>
      <c r="M5530">
        <v>0</v>
      </c>
      <c r="T5530" s="9">
        <v>45108</v>
      </c>
      <c r="U5530" s="9">
        <v>45473</v>
      </c>
      <c r="V5530">
        <f>SUM(POTABLE_NONPOTABLE_API[[#This Row],[RESIDENTIAL_SINGLEFAMILY_GAL]:[OTHER_GAL]])</f>
        <v>2579104</v>
      </c>
      <c r="W5530">
        <f>SUM(POTABLE_NONPOTABLE_API[[#This Row],[NONPOTABLE_DEMAND_RESIDENTIAL_RECYCLED_WATER_GAL]:[NONPOTABLE_DEMAND_NONRESIDENTIAL_METERED_IRRIGATION_GAL]])</f>
        <v>0</v>
      </c>
      <c r="X5530" t="str">
        <f>IFERROR(INDEX(Crosswalk_API!$H$2:$H$527, MATCH(POTABLE_NONPOTABLE_API[[#This Row],[PWSID]], CW_PWSID_LIST, 0)), "")</f>
        <v>No</v>
      </c>
    </row>
    <row r="5531" spans="1:24" x14ac:dyDescent="0.25">
      <c r="A5531" t="s">
        <v>2352</v>
      </c>
      <c r="B5531" t="s">
        <v>2353</v>
      </c>
      <c r="C5531" t="s">
        <v>2356</v>
      </c>
      <c r="D5531" t="s">
        <v>2357</v>
      </c>
      <c r="E5531" s="9">
        <v>45383</v>
      </c>
      <c r="F5531" s="9">
        <v>45412</v>
      </c>
      <c r="G5531">
        <v>1734986</v>
      </c>
      <c r="H5531">
        <v>501908</v>
      </c>
      <c r="I5531">
        <v>342210</v>
      </c>
      <c r="J5531">
        <v>0</v>
      </c>
      <c r="K5531">
        <v>0</v>
      </c>
      <c r="L5531">
        <v>0</v>
      </c>
      <c r="M5531">
        <v>0</v>
      </c>
      <c r="T5531" s="9">
        <v>45108</v>
      </c>
      <c r="U5531" s="9">
        <v>45473</v>
      </c>
      <c r="V5531">
        <f>SUM(POTABLE_NONPOTABLE_API[[#This Row],[RESIDENTIAL_SINGLEFAMILY_GAL]:[OTHER_GAL]])</f>
        <v>2579104</v>
      </c>
      <c r="W5531">
        <f>SUM(POTABLE_NONPOTABLE_API[[#This Row],[NONPOTABLE_DEMAND_RESIDENTIAL_RECYCLED_WATER_GAL]:[NONPOTABLE_DEMAND_NONRESIDENTIAL_METERED_IRRIGATION_GAL]])</f>
        <v>0</v>
      </c>
      <c r="X5531" t="str">
        <f>IFERROR(INDEX(Crosswalk_API!$H$2:$H$527, MATCH(POTABLE_NONPOTABLE_API[[#This Row],[PWSID]], CW_PWSID_LIST, 0)), "")</f>
        <v>No</v>
      </c>
    </row>
    <row r="5532" spans="1:24" x14ac:dyDescent="0.25">
      <c r="A5532" t="s">
        <v>2352</v>
      </c>
      <c r="B5532" t="s">
        <v>2353</v>
      </c>
      <c r="C5532" t="s">
        <v>2356</v>
      </c>
      <c r="D5532" t="s">
        <v>2357</v>
      </c>
      <c r="E5532" s="9">
        <v>45413</v>
      </c>
      <c r="F5532" s="9">
        <v>45443</v>
      </c>
      <c r="G5532">
        <v>2098140</v>
      </c>
      <c r="H5532">
        <v>676566</v>
      </c>
      <c r="I5532">
        <v>417384</v>
      </c>
      <c r="J5532">
        <v>0</v>
      </c>
      <c r="K5532">
        <v>0</v>
      </c>
      <c r="L5532">
        <v>0</v>
      </c>
      <c r="M5532">
        <v>0</v>
      </c>
      <c r="T5532" s="9">
        <v>45108</v>
      </c>
      <c r="U5532" s="9">
        <v>45473</v>
      </c>
      <c r="V5532">
        <f>SUM(POTABLE_NONPOTABLE_API[[#This Row],[RESIDENTIAL_SINGLEFAMILY_GAL]:[OTHER_GAL]])</f>
        <v>3192090</v>
      </c>
      <c r="W5532">
        <f>SUM(POTABLE_NONPOTABLE_API[[#This Row],[NONPOTABLE_DEMAND_RESIDENTIAL_RECYCLED_WATER_GAL]:[NONPOTABLE_DEMAND_NONRESIDENTIAL_METERED_IRRIGATION_GAL]])</f>
        <v>0</v>
      </c>
      <c r="X5532" t="str">
        <f>IFERROR(INDEX(Crosswalk_API!$H$2:$H$527, MATCH(POTABLE_NONPOTABLE_API[[#This Row],[PWSID]], CW_PWSID_LIST, 0)), "")</f>
        <v>No</v>
      </c>
    </row>
    <row r="5533" spans="1:24" x14ac:dyDescent="0.25">
      <c r="A5533" t="s">
        <v>2352</v>
      </c>
      <c r="B5533" t="s">
        <v>2353</v>
      </c>
      <c r="C5533" t="s">
        <v>2356</v>
      </c>
      <c r="D5533" t="s">
        <v>2357</v>
      </c>
      <c r="E5533" s="9">
        <v>45444</v>
      </c>
      <c r="F5533" s="9">
        <v>45473</v>
      </c>
      <c r="G5533">
        <v>2774706</v>
      </c>
      <c r="H5533">
        <v>676566</v>
      </c>
      <c r="I5533">
        <v>417384</v>
      </c>
      <c r="J5533">
        <v>0</v>
      </c>
      <c r="K5533">
        <v>0</v>
      </c>
      <c r="L5533">
        <v>0</v>
      </c>
      <c r="M5533">
        <v>0</v>
      </c>
      <c r="T5533" s="9">
        <v>45108</v>
      </c>
      <c r="U5533" s="9">
        <v>45473</v>
      </c>
      <c r="V5533">
        <f>SUM(POTABLE_NONPOTABLE_API[[#This Row],[RESIDENTIAL_SINGLEFAMILY_GAL]:[OTHER_GAL]])</f>
        <v>3868656</v>
      </c>
      <c r="W5533">
        <f>SUM(POTABLE_NONPOTABLE_API[[#This Row],[NONPOTABLE_DEMAND_RESIDENTIAL_RECYCLED_WATER_GAL]:[NONPOTABLE_DEMAND_NONRESIDENTIAL_METERED_IRRIGATION_GAL]])</f>
        <v>0</v>
      </c>
      <c r="X5533" t="str">
        <f>IFERROR(INDEX(Crosswalk_API!$H$2:$H$527, MATCH(POTABLE_NONPOTABLE_API[[#This Row],[PWSID]], CW_PWSID_LIST, 0)), "")</f>
        <v>No</v>
      </c>
    </row>
    <row r="5534" spans="1:24" x14ac:dyDescent="0.25">
      <c r="A5534" t="s">
        <v>2358</v>
      </c>
      <c r="B5534" t="s">
        <v>2359</v>
      </c>
      <c r="C5534" t="s">
        <v>2360</v>
      </c>
      <c r="D5534" t="s">
        <v>2361</v>
      </c>
      <c r="E5534" s="9">
        <v>45108</v>
      </c>
      <c r="F5534" s="9">
        <v>45138</v>
      </c>
      <c r="G5534">
        <v>7505040</v>
      </c>
      <c r="H5534">
        <v>0</v>
      </c>
      <c r="I5534">
        <v>386940</v>
      </c>
      <c r="J5534">
        <v>0</v>
      </c>
      <c r="K5534">
        <v>0</v>
      </c>
      <c r="L5534">
        <v>0</v>
      </c>
      <c r="M5534">
        <v>0</v>
      </c>
      <c r="T5534" s="9">
        <v>45108</v>
      </c>
      <c r="U5534" s="9">
        <v>45473</v>
      </c>
      <c r="V5534">
        <f>SUM(POTABLE_NONPOTABLE_API[[#This Row],[RESIDENTIAL_SINGLEFAMILY_GAL]:[OTHER_GAL]])</f>
        <v>7891980</v>
      </c>
      <c r="W5534">
        <f>SUM(POTABLE_NONPOTABLE_API[[#This Row],[NONPOTABLE_DEMAND_RESIDENTIAL_RECYCLED_WATER_GAL]:[NONPOTABLE_DEMAND_NONRESIDENTIAL_METERED_IRRIGATION_GAL]])</f>
        <v>0</v>
      </c>
      <c r="X5534" t="str">
        <f>IFERROR(INDEX(Crosswalk_API!$H$2:$H$527, MATCH(POTABLE_NONPOTABLE_API[[#This Row],[PWSID]], CW_PWSID_LIST, 0)), "")</f>
        <v>No</v>
      </c>
    </row>
    <row r="5535" spans="1:24" x14ac:dyDescent="0.25">
      <c r="A5535" t="s">
        <v>2358</v>
      </c>
      <c r="B5535" t="s">
        <v>2359</v>
      </c>
      <c r="C5535" t="s">
        <v>2360</v>
      </c>
      <c r="D5535" t="s">
        <v>2361</v>
      </c>
      <c r="E5535" s="9">
        <v>45139</v>
      </c>
      <c r="F5535" s="9">
        <v>45169</v>
      </c>
      <c r="G5535">
        <v>8259817</v>
      </c>
      <c r="H5535">
        <v>0</v>
      </c>
      <c r="I5535">
        <v>470647</v>
      </c>
      <c r="J5535">
        <v>0</v>
      </c>
      <c r="K5535">
        <v>0</v>
      </c>
      <c r="L5535">
        <v>0</v>
      </c>
      <c r="M5535">
        <v>0</v>
      </c>
      <c r="T5535" s="9">
        <v>45108</v>
      </c>
      <c r="U5535" s="9">
        <v>45473</v>
      </c>
      <c r="V5535">
        <f>SUM(POTABLE_NONPOTABLE_API[[#This Row],[RESIDENTIAL_SINGLEFAMILY_GAL]:[OTHER_GAL]])</f>
        <v>8730464</v>
      </c>
      <c r="W5535">
        <f>SUM(POTABLE_NONPOTABLE_API[[#This Row],[NONPOTABLE_DEMAND_RESIDENTIAL_RECYCLED_WATER_GAL]:[NONPOTABLE_DEMAND_NONRESIDENTIAL_METERED_IRRIGATION_GAL]])</f>
        <v>0</v>
      </c>
      <c r="X5535" t="str">
        <f>IFERROR(INDEX(Crosswalk_API!$H$2:$H$527, MATCH(POTABLE_NONPOTABLE_API[[#This Row],[PWSID]], CW_PWSID_LIST, 0)), "")</f>
        <v>No</v>
      </c>
    </row>
    <row r="5536" spans="1:24" x14ac:dyDescent="0.25">
      <c r="A5536" t="s">
        <v>2358</v>
      </c>
      <c r="B5536" t="s">
        <v>2359</v>
      </c>
      <c r="C5536" t="s">
        <v>2360</v>
      </c>
      <c r="D5536" t="s">
        <v>2361</v>
      </c>
      <c r="E5536" s="9">
        <v>45170</v>
      </c>
      <c r="F5536" s="9">
        <v>45199</v>
      </c>
      <c r="G5536">
        <v>5413357</v>
      </c>
      <c r="H5536">
        <v>0</v>
      </c>
      <c r="I5536">
        <v>380936</v>
      </c>
      <c r="J5536">
        <v>0</v>
      </c>
      <c r="K5536">
        <v>0</v>
      </c>
      <c r="L5536">
        <v>0</v>
      </c>
      <c r="M5536">
        <v>0</v>
      </c>
      <c r="T5536" s="9">
        <v>45108</v>
      </c>
      <c r="U5536" s="9">
        <v>45473</v>
      </c>
      <c r="V5536">
        <f>SUM(POTABLE_NONPOTABLE_API[[#This Row],[RESIDENTIAL_SINGLEFAMILY_GAL]:[OTHER_GAL]])</f>
        <v>5794293</v>
      </c>
      <c r="W5536">
        <f>SUM(POTABLE_NONPOTABLE_API[[#This Row],[NONPOTABLE_DEMAND_RESIDENTIAL_RECYCLED_WATER_GAL]:[NONPOTABLE_DEMAND_NONRESIDENTIAL_METERED_IRRIGATION_GAL]])</f>
        <v>0</v>
      </c>
      <c r="X5536" t="str">
        <f>IFERROR(INDEX(Crosswalk_API!$H$2:$H$527, MATCH(POTABLE_NONPOTABLE_API[[#This Row],[PWSID]], CW_PWSID_LIST, 0)), "")</f>
        <v>No</v>
      </c>
    </row>
    <row r="5537" spans="1:24" x14ac:dyDescent="0.25">
      <c r="A5537" t="s">
        <v>2358</v>
      </c>
      <c r="B5537" t="s">
        <v>2359</v>
      </c>
      <c r="C5537" t="s">
        <v>2360</v>
      </c>
      <c r="D5537" t="s">
        <v>2361</v>
      </c>
      <c r="E5537" s="9">
        <v>45200</v>
      </c>
      <c r="F5537" s="9">
        <v>45230</v>
      </c>
      <c r="G5537">
        <v>3402404</v>
      </c>
      <c r="H5537">
        <v>0</v>
      </c>
      <c r="I5537">
        <v>199796</v>
      </c>
      <c r="J5537">
        <v>0</v>
      </c>
      <c r="K5537">
        <v>0</v>
      </c>
      <c r="L5537">
        <v>0</v>
      </c>
      <c r="M5537">
        <v>0</v>
      </c>
      <c r="T5537" s="9">
        <v>45108</v>
      </c>
      <c r="U5537" s="9">
        <v>45473</v>
      </c>
      <c r="V5537">
        <f>SUM(POTABLE_NONPOTABLE_API[[#This Row],[RESIDENTIAL_SINGLEFAMILY_GAL]:[OTHER_GAL]])</f>
        <v>3602200</v>
      </c>
      <c r="W5537">
        <f>SUM(POTABLE_NONPOTABLE_API[[#This Row],[NONPOTABLE_DEMAND_RESIDENTIAL_RECYCLED_WATER_GAL]:[NONPOTABLE_DEMAND_NONRESIDENTIAL_METERED_IRRIGATION_GAL]])</f>
        <v>0</v>
      </c>
      <c r="X5537" t="str">
        <f>IFERROR(INDEX(Crosswalk_API!$H$2:$H$527, MATCH(POTABLE_NONPOTABLE_API[[#This Row],[PWSID]], CW_PWSID_LIST, 0)), "")</f>
        <v>No</v>
      </c>
    </row>
    <row r="5538" spans="1:24" x14ac:dyDescent="0.25">
      <c r="A5538" t="s">
        <v>2358</v>
      </c>
      <c r="B5538" t="s">
        <v>2359</v>
      </c>
      <c r="C5538" t="s">
        <v>2360</v>
      </c>
      <c r="D5538" t="s">
        <v>2361</v>
      </c>
      <c r="E5538" s="9">
        <v>45231</v>
      </c>
      <c r="F5538" s="9">
        <v>45260</v>
      </c>
      <c r="G5538">
        <v>890894</v>
      </c>
      <c r="H5538">
        <v>0</v>
      </c>
      <c r="I5538">
        <v>0</v>
      </c>
      <c r="J5538">
        <v>0</v>
      </c>
      <c r="K5538">
        <v>0</v>
      </c>
      <c r="L5538">
        <v>0</v>
      </c>
      <c r="M5538">
        <v>0</v>
      </c>
      <c r="T5538" s="9">
        <v>45108</v>
      </c>
      <c r="U5538" s="9">
        <v>45473</v>
      </c>
      <c r="V5538">
        <f>SUM(POTABLE_NONPOTABLE_API[[#This Row],[RESIDENTIAL_SINGLEFAMILY_GAL]:[OTHER_GAL]])</f>
        <v>890894</v>
      </c>
      <c r="W5538">
        <f>SUM(POTABLE_NONPOTABLE_API[[#This Row],[NONPOTABLE_DEMAND_RESIDENTIAL_RECYCLED_WATER_GAL]:[NONPOTABLE_DEMAND_NONRESIDENTIAL_METERED_IRRIGATION_GAL]])</f>
        <v>0</v>
      </c>
      <c r="X5538" t="str">
        <f>IFERROR(INDEX(Crosswalk_API!$H$2:$H$527, MATCH(POTABLE_NONPOTABLE_API[[#This Row],[PWSID]], CW_PWSID_LIST, 0)), "")</f>
        <v>No</v>
      </c>
    </row>
    <row r="5539" spans="1:24" x14ac:dyDescent="0.25">
      <c r="A5539" t="s">
        <v>2358</v>
      </c>
      <c r="B5539" t="s">
        <v>2359</v>
      </c>
      <c r="C5539" t="s">
        <v>2360</v>
      </c>
      <c r="D5539" t="s">
        <v>2361</v>
      </c>
      <c r="E5539" s="9">
        <v>45261</v>
      </c>
      <c r="F5539" s="9">
        <v>45291</v>
      </c>
      <c r="G5539">
        <v>493333</v>
      </c>
      <c r="H5539">
        <v>0</v>
      </c>
      <c r="I5539">
        <v>0</v>
      </c>
      <c r="J5539">
        <v>0</v>
      </c>
      <c r="K5539">
        <v>0</v>
      </c>
      <c r="L5539">
        <v>0</v>
      </c>
      <c r="M5539">
        <v>0</v>
      </c>
      <c r="T5539" s="9">
        <v>45108</v>
      </c>
      <c r="U5539" s="9">
        <v>45473</v>
      </c>
      <c r="V5539">
        <f>SUM(POTABLE_NONPOTABLE_API[[#This Row],[RESIDENTIAL_SINGLEFAMILY_GAL]:[OTHER_GAL]])</f>
        <v>493333</v>
      </c>
      <c r="W5539">
        <f>SUM(POTABLE_NONPOTABLE_API[[#This Row],[NONPOTABLE_DEMAND_RESIDENTIAL_RECYCLED_WATER_GAL]:[NONPOTABLE_DEMAND_NONRESIDENTIAL_METERED_IRRIGATION_GAL]])</f>
        <v>0</v>
      </c>
      <c r="X5539" t="str">
        <f>IFERROR(INDEX(Crosswalk_API!$H$2:$H$527, MATCH(POTABLE_NONPOTABLE_API[[#This Row],[PWSID]], CW_PWSID_LIST, 0)), "")</f>
        <v>No</v>
      </c>
    </row>
    <row r="5540" spans="1:24" x14ac:dyDescent="0.25">
      <c r="A5540" t="s">
        <v>2358</v>
      </c>
      <c r="B5540" t="s">
        <v>2359</v>
      </c>
      <c r="C5540" t="s">
        <v>2360</v>
      </c>
      <c r="D5540" t="s">
        <v>2361</v>
      </c>
      <c r="E5540" s="9">
        <v>45292</v>
      </c>
      <c r="F5540" s="9">
        <v>45322</v>
      </c>
      <c r="G5540">
        <v>847098</v>
      </c>
      <c r="H5540">
        <v>0</v>
      </c>
      <c r="I5540">
        <v>0</v>
      </c>
      <c r="J5540">
        <v>0</v>
      </c>
      <c r="K5540">
        <v>0</v>
      </c>
      <c r="L5540">
        <v>0</v>
      </c>
      <c r="M5540">
        <v>0</v>
      </c>
      <c r="T5540" s="9">
        <v>45108</v>
      </c>
      <c r="U5540" s="9">
        <v>45473</v>
      </c>
      <c r="V5540">
        <f>SUM(POTABLE_NONPOTABLE_API[[#This Row],[RESIDENTIAL_SINGLEFAMILY_GAL]:[OTHER_GAL]])</f>
        <v>847098</v>
      </c>
      <c r="W5540">
        <f>SUM(POTABLE_NONPOTABLE_API[[#This Row],[NONPOTABLE_DEMAND_RESIDENTIAL_RECYCLED_WATER_GAL]:[NONPOTABLE_DEMAND_NONRESIDENTIAL_METERED_IRRIGATION_GAL]])</f>
        <v>0</v>
      </c>
      <c r="X5540" t="str">
        <f>IFERROR(INDEX(Crosswalk_API!$H$2:$H$527, MATCH(POTABLE_NONPOTABLE_API[[#This Row],[PWSID]], CW_PWSID_LIST, 0)), "")</f>
        <v>No</v>
      </c>
    </row>
    <row r="5541" spans="1:24" x14ac:dyDescent="0.25">
      <c r="A5541" t="s">
        <v>2358</v>
      </c>
      <c r="B5541" t="s">
        <v>2359</v>
      </c>
      <c r="C5541" t="s">
        <v>2360</v>
      </c>
      <c r="D5541" t="s">
        <v>2361</v>
      </c>
      <c r="E5541" s="9">
        <v>45323</v>
      </c>
      <c r="F5541" s="9">
        <v>45351</v>
      </c>
      <c r="G5541">
        <v>454718</v>
      </c>
      <c r="H5541">
        <v>0</v>
      </c>
      <c r="I5541">
        <v>0</v>
      </c>
      <c r="J5541">
        <v>0</v>
      </c>
      <c r="K5541">
        <v>0</v>
      </c>
      <c r="L5541">
        <v>0</v>
      </c>
      <c r="M5541">
        <v>0</v>
      </c>
      <c r="T5541" s="9">
        <v>45108</v>
      </c>
      <c r="U5541" s="9">
        <v>45473</v>
      </c>
      <c r="V5541">
        <f>SUM(POTABLE_NONPOTABLE_API[[#This Row],[RESIDENTIAL_SINGLEFAMILY_GAL]:[OTHER_GAL]])</f>
        <v>454718</v>
      </c>
      <c r="W5541">
        <f>SUM(POTABLE_NONPOTABLE_API[[#This Row],[NONPOTABLE_DEMAND_RESIDENTIAL_RECYCLED_WATER_GAL]:[NONPOTABLE_DEMAND_NONRESIDENTIAL_METERED_IRRIGATION_GAL]])</f>
        <v>0</v>
      </c>
      <c r="X5541" t="str">
        <f>IFERROR(INDEX(Crosswalk_API!$H$2:$H$527, MATCH(POTABLE_NONPOTABLE_API[[#This Row],[PWSID]], CW_PWSID_LIST, 0)), "")</f>
        <v>No</v>
      </c>
    </row>
    <row r="5542" spans="1:24" x14ac:dyDescent="0.25">
      <c r="A5542" t="s">
        <v>2358</v>
      </c>
      <c r="B5542" t="s">
        <v>2359</v>
      </c>
      <c r="C5542" t="s">
        <v>2360</v>
      </c>
      <c r="D5542" t="s">
        <v>2361</v>
      </c>
      <c r="E5542" s="9">
        <v>45352</v>
      </c>
      <c r="F5542" s="9">
        <v>45382</v>
      </c>
      <c r="G5542">
        <v>523131</v>
      </c>
      <c r="H5542">
        <v>0</v>
      </c>
      <c r="I5542">
        <v>0</v>
      </c>
      <c r="J5542">
        <v>0</v>
      </c>
      <c r="K5542">
        <v>0</v>
      </c>
      <c r="L5542">
        <v>0</v>
      </c>
      <c r="M5542">
        <v>0</v>
      </c>
      <c r="T5542" s="9">
        <v>45108</v>
      </c>
      <c r="U5542" s="9">
        <v>45473</v>
      </c>
      <c r="V5542">
        <f>SUM(POTABLE_NONPOTABLE_API[[#This Row],[RESIDENTIAL_SINGLEFAMILY_GAL]:[OTHER_GAL]])</f>
        <v>523131</v>
      </c>
      <c r="W5542">
        <f>SUM(POTABLE_NONPOTABLE_API[[#This Row],[NONPOTABLE_DEMAND_RESIDENTIAL_RECYCLED_WATER_GAL]:[NONPOTABLE_DEMAND_NONRESIDENTIAL_METERED_IRRIGATION_GAL]])</f>
        <v>0</v>
      </c>
      <c r="X5542" t="str">
        <f>IFERROR(INDEX(Crosswalk_API!$H$2:$H$527, MATCH(POTABLE_NONPOTABLE_API[[#This Row],[PWSID]], CW_PWSID_LIST, 0)), "")</f>
        <v>No</v>
      </c>
    </row>
    <row r="5543" spans="1:24" x14ac:dyDescent="0.25">
      <c r="A5543" t="s">
        <v>2358</v>
      </c>
      <c r="B5543" t="s">
        <v>2359</v>
      </c>
      <c r="C5543" t="s">
        <v>2360</v>
      </c>
      <c r="D5543" t="s">
        <v>2361</v>
      </c>
      <c r="E5543" s="9">
        <v>45383</v>
      </c>
      <c r="F5543" s="9">
        <v>45412</v>
      </c>
      <c r="G5543">
        <v>497698</v>
      </c>
      <c r="H5543">
        <v>0</v>
      </c>
      <c r="I5543">
        <v>8446</v>
      </c>
      <c r="J5543">
        <v>0</v>
      </c>
      <c r="K5543">
        <v>0</v>
      </c>
      <c r="L5543">
        <v>0</v>
      </c>
      <c r="M5543">
        <v>0</v>
      </c>
      <c r="T5543" s="9">
        <v>45108</v>
      </c>
      <c r="U5543" s="9">
        <v>45473</v>
      </c>
      <c r="V5543">
        <f>SUM(POTABLE_NONPOTABLE_API[[#This Row],[RESIDENTIAL_SINGLEFAMILY_GAL]:[OTHER_GAL]])</f>
        <v>506144</v>
      </c>
      <c r="W5543">
        <f>SUM(POTABLE_NONPOTABLE_API[[#This Row],[NONPOTABLE_DEMAND_RESIDENTIAL_RECYCLED_WATER_GAL]:[NONPOTABLE_DEMAND_NONRESIDENTIAL_METERED_IRRIGATION_GAL]])</f>
        <v>0</v>
      </c>
      <c r="X5543" t="str">
        <f>IFERROR(INDEX(Crosswalk_API!$H$2:$H$527, MATCH(POTABLE_NONPOTABLE_API[[#This Row],[PWSID]], CW_PWSID_LIST, 0)), "")</f>
        <v>No</v>
      </c>
    </row>
    <row r="5544" spans="1:24" x14ac:dyDescent="0.25">
      <c r="A5544" t="s">
        <v>2358</v>
      </c>
      <c r="B5544" t="s">
        <v>2359</v>
      </c>
      <c r="C5544" t="s">
        <v>2360</v>
      </c>
      <c r="D5544" t="s">
        <v>2361</v>
      </c>
      <c r="E5544" s="9">
        <v>45413</v>
      </c>
      <c r="F5544" s="9">
        <v>45443</v>
      </c>
      <c r="G5544">
        <v>1655126</v>
      </c>
      <c r="H5544">
        <v>0</v>
      </c>
      <c r="I5544">
        <v>151995</v>
      </c>
      <c r="J5544">
        <v>0</v>
      </c>
      <c r="K5544">
        <v>0</v>
      </c>
      <c r="L5544">
        <v>0</v>
      </c>
      <c r="M5544">
        <v>0</v>
      </c>
      <c r="T5544" s="9">
        <v>45108</v>
      </c>
      <c r="U5544" s="9">
        <v>45473</v>
      </c>
      <c r="V5544">
        <f>SUM(POTABLE_NONPOTABLE_API[[#This Row],[RESIDENTIAL_SINGLEFAMILY_GAL]:[OTHER_GAL]])</f>
        <v>1807121</v>
      </c>
      <c r="W5544">
        <f>SUM(POTABLE_NONPOTABLE_API[[#This Row],[NONPOTABLE_DEMAND_RESIDENTIAL_RECYCLED_WATER_GAL]:[NONPOTABLE_DEMAND_NONRESIDENTIAL_METERED_IRRIGATION_GAL]])</f>
        <v>0</v>
      </c>
      <c r="X5544" t="str">
        <f>IFERROR(INDEX(Crosswalk_API!$H$2:$H$527, MATCH(POTABLE_NONPOTABLE_API[[#This Row],[PWSID]], CW_PWSID_LIST, 0)), "")</f>
        <v>No</v>
      </c>
    </row>
    <row r="5545" spans="1:24" x14ac:dyDescent="0.25">
      <c r="A5545" t="s">
        <v>2358</v>
      </c>
      <c r="B5545" t="s">
        <v>2359</v>
      </c>
      <c r="C5545" t="s">
        <v>2360</v>
      </c>
      <c r="D5545" t="s">
        <v>2361</v>
      </c>
      <c r="E5545" s="9">
        <v>45444</v>
      </c>
      <c r="F5545" s="9">
        <v>45473</v>
      </c>
      <c r="G5545">
        <v>6257219</v>
      </c>
      <c r="H5545">
        <v>0</v>
      </c>
      <c r="I5545">
        <v>230664</v>
      </c>
      <c r="J5545">
        <v>0</v>
      </c>
      <c r="K5545">
        <v>0</v>
      </c>
      <c r="L5545">
        <v>0</v>
      </c>
      <c r="M5545">
        <v>0</v>
      </c>
      <c r="T5545" s="9">
        <v>45108</v>
      </c>
      <c r="U5545" s="9">
        <v>45473</v>
      </c>
      <c r="V5545">
        <f>SUM(POTABLE_NONPOTABLE_API[[#This Row],[RESIDENTIAL_SINGLEFAMILY_GAL]:[OTHER_GAL]])</f>
        <v>6487883</v>
      </c>
      <c r="W5545">
        <f>SUM(POTABLE_NONPOTABLE_API[[#This Row],[NONPOTABLE_DEMAND_RESIDENTIAL_RECYCLED_WATER_GAL]:[NONPOTABLE_DEMAND_NONRESIDENTIAL_METERED_IRRIGATION_GAL]])</f>
        <v>0</v>
      </c>
      <c r="X5545" t="str">
        <f>IFERROR(INDEX(Crosswalk_API!$H$2:$H$527, MATCH(POTABLE_NONPOTABLE_API[[#This Row],[PWSID]], CW_PWSID_LIST, 0)), "")</f>
        <v>No</v>
      </c>
    </row>
    <row r="5546" spans="1:24" x14ac:dyDescent="0.25">
      <c r="A5546" t="s">
        <v>2358</v>
      </c>
      <c r="B5546" t="s">
        <v>2359</v>
      </c>
      <c r="C5546" t="s">
        <v>2362</v>
      </c>
      <c r="D5546" t="s">
        <v>2363</v>
      </c>
      <c r="E5546" s="9">
        <v>45108</v>
      </c>
      <c r="F5546" s="9">
        <v>45138</v>
      </c>
      <c r="G5546">
        <v>1026641</v>
      </c>
      <c r="H5546">
        <v>0</v>
      </c>
      <c r="I5546">
        <v>1000</v>
      </c>
      <c r="J5546">
        <v>150863</v>
      </c>
      <c r="K5546">
        <v>0</v>
      </c>
      <c r="L5546">
        <v>0</v>
      </c>
      <c r="M5546">
        <v>0</v>
      </c>
      <c r="T5546" s="9">
        <v>45108</v>
      </c>
      <c r="U5546" s="9">
        <v>45473</v>
      </c>
      <c r="V5546">
        <f>SUM(POTABLE_NONPOTABLE_API[[#This Row],[RESIDENTIAL_SINGLEFAMILY_GAL]:[OTHER_GAL]])</f>
        <v>1178504</v>
      </c>
      <c r="W5546">
        <f>SUM(POTABLE_NONPOTABLE_API[[#This Row],[NONPOTABLE_DEMAND_RESIDENTIAL_RECYCLED_WATER_GAL]:[NONPOTABLE_DEMAND_NONRESIDENTIAL_METERED_IRRIGATION_GAL]])</f>
        <v>0</v>
      </c>
      <c r="X5546" t="str">
        <f>IFERROR(INDEX(Crosswalk_API!$H$2:$H$527, MATCH(POTABLE_NONPOTABLE_API[[#This Row],[PWSID]], CW_PWSID_LIST, 0)), "")</f>
        <v>No</v>
      </c>
    </row>
    <row r="5547" spans="1:24" x14ac:dyDescent="0.25">
      <c r="A5547" t="s">
        <v>2358</v>
      </c>
      <c r="B5547" t="s">
        <v>2359</v>
      </c>
      <c r="C5547" t="s">
        <v>2362</v>
      </c>
      <c r="D5547" t="s">
        <v>2363</v>
      </c>
      <c r="E5547" s="9">
        <v>45139</v>
      </c>
      <c r="F5547" s="9">
        <v>45169</v>
      </c>
      <c r="G5547">
        <v>988694</v>
      </c>
      <c r="H5547">
        <v>0</v>
      </c>
      <c r="I5547">
        <v>0</v>
      </c>
      <c r="J5547">
        <v>173310</v>
      </c>
      <c r="K5547">
        <v>0</v>
      </c>
      <c r="L5547">
        <v>0</v>
      </c>
      <c r="M5547">
        <v>0</v>
      </c>
      <c r="T5547" s="9">
        <v>45108</v>
      </c>
      <c r="U5547" s="9">
        <v>45473</v>
      </c>
      <c r="V5547">
        <f>SUM(POTABLE_NONPOTABLE_API[[#This Row],[RESIDENTIAL_SINGLEFAMILY_GAL]:[OTHER_GAL]])</f>
        <v>1162004</v>
      </c>
      <c r="W5547">
        <f>SUM(POTABLE_NONPOTABLE_API[[#This Row],[NONPOTABLE_DEMAND_RESIDENTIAL_RECYCLED_WATER_GAL]:[NONPOTABLE_DEMAND_NONRESIDENTIAL_METERED_IRRIGATION_GAL]])</f>
        <v>0</v>
      </c>
      <c r="X5547" t="str">
        <f>IFERROR(INDEX(Crosswalk_API!$H$2:$H$527, MATCH(POTABLE_NONPOTABLE_API[[#This Row],[PWSID]], CW_PWSID_LIST, 0)), "")</f>
        <v>No</v>
      </c>
    </row>
    <row r="5548" spans="1:24" x14ac:dyDescent="0.25">
      <c r="A5548" t="s">
        <v>2358</v>
      </c>
      <c r="B5548" t="s">
        <v>2359</v>
      </c>
      <c r="C5548" t="s">
        <v>2362</v>
      </c>
      <c r="D5548" t="s">
        <v>2363</v>
      </c>
      <c r="E5548" s="9">
        <v>45170</v>
      </c>
      <c r="F5548" s="9">
        <v>45199</v>
      </c>
      <c r="G5548">
        <v>699312</v>
      </c>
      <c r="H5548">
        <v>0</v>
      </c>
      <c r="I5548">
        <v>1000</v>
      </c>
      <c r="J5548">
        <v>141714</v>
      </c>
      <c r="K5548">
        <v>0</v>
      </c>
      <c r="L5548">
        <v>0</v>
      </c>
      <c r="M5548">
        <v>0</v>
      </c>
      <c r="T5548" s="9">
        <v>45108</v>
      </c>
      <c r="U5548" s="9">
        <v>45473</v>
      </c>
      <c r="V5548">
        <f>SUM(POTABLE_NONPOTABLE_API[[#This Row],[RESIDENTIAL_SINGLEFAMILY_GAL]:[OTHER_GAL]])</f>
        <v>842026</v>
      </c>
      <c r="W5548">
        <f>SUM(POTABLE_NONPOTABLE_API[[#This Row],[NONPOTABLE_DEMAND_RESIDENTIAL_RECYCLED_WATER_GAL]:[NONPOTABLE_DEMAND_NONRESIDENTIAL_METERED_IRRIGATION_GAL]])</f>
        <v>0</v>
      </c>
      <c r="X5548" t="str">
        <f>IFERROR(INDEX(Crosswalk_API!$H$2:$H$527, MATCH(POTABLE_NONPOTABLE_API[[#This Row],[PWSID]], CW_PWSID_LIST, 0)), "")</f>
        <v>No</v>
      </c>
    </row>
    <row r="5549" spans="1:24" x14ac:dyDescent="0.25">
      <c r="A5549" t="s">
        <v>2358</v>
      </c>
      <c r="B5549" t="s">
        <v>2359</v>
      </c>
      <c r="C5549" t="s">
        <v>2362</v>
      </c>
      <c r="D5549" t="s">
        <v>2363</v>
      </c>
      <c r="E5549" s="9">
        <v>45200</v>
      </c>
      <c r="F5549" s="9">
        <v>45230</v>
      </c>
      <c r="G5549">
        <v>496682</v>
      </c>
      <c r="H5549">
        <v>0</v>
      </c>
      <c r="I5549">
        <v>0</v>
      </c>
      <c r="J5549">
        <v>151988</v>
      </c>
      <c r="K5549">
        <v>0</v>
      </c>
      <c r="L5549">
        <v>0</v>
      </c>
      <c r="M5549">
        <v>0</v>
      </c>
      <c r="T5549" s="9">
        <v>45108</v>
      </c>
      <c r="U5549" s="9">
        <v>45473</v>
      </c>
      <c r="V5549">
        <f>SUM(POTABLE_NONPOTABLE_API[[#This Row],[RESIDENTIAL_SINGLEFAMILY_GAL]:[OTHER_GAL]])</f>
        <v>648670</v>
      </c>
      <c r="W5549">
        <f>SUM(POTABLE_NONPOTABLE_API[[#This Row],[NONPOTABLE_DEMAND_RESIDENTIAL_RECYCLED_WATER_GAL]:[NONPOTABLE_DEMAND_NONRESIDENTIAL_METERED_IRRIGATION_GAL]])</f>
        <v>0</v>
      </c>
      <c r="X5549" t="str">
        <f>IFERROR(INDEX(Crosswalk_API!$H$2:$H$527, MATCH(POTABLE_NONPOTABLE_API[[#This Row],[PWSID]], CW_PWSID_LIST, 0)), "")</f>
        <v>No</v>
      </c>
    </row>
    <row r="5550" spans="1:24" x14ac:dyDescent="0.25">
      <c r="A5550" t="s">
        <v>2358</v>
      </c>
      <c r="B5550" t="s">
        <v>2359</v>
      </c>
      <c r="C5550" t="s">
        <v>2362</v>
      </c>
      <c r="D5550" t="s">
        <v>2363</v>
      </c>
      <c r="E5550" s="9">
        <v>45231</v>
      </c>
      <c r="F5550" s="9">
        <v>45260</v>
      </c>
      <c r="G5550">
        <v>188772</v>
      </c>
      <c r="H5550">
        <v>0</v>
      </c>
      <c r="I5550">
        <v>1000</v>
      </c>
      <c r="J5550">
        <v>12324</v>
      </c>
      <c r="K5550">
        <v>0</v>
      </c>
      <c r="L5550">
        <v>0</v>
      </c>
      <c r="M5550">
        <v>0</v>
      </c>
      <c r="T5550" s="9">
        <v>45108</v>
      </c>
      <c r="U5550" s="9">
        <v>45473</v>
      </c>
      <c r="V5550">
        <f>SUM(POTABLE_NONPOTABLE_API[[#This Row],[RESIDENTIAL_SINGLEFAMILY_GAL]:[OTHER_GAL]])</f>
        <v>202096</v>
      </c>
      <c r="W5550">
        <f>SUM(POTABLE_NONPOTABLE_API[[#This Row],[NONPOTABLE_DEMAND_RESIDENTIAL_RECYCLED_WATER_GAL]:[NONPOTABLE_DEMAND_NONRESIDENTIAL_METERED_IRRIGATION_GAL]])</f>
        <v>0</v>
      </c>
      <c r="X5550" t="str">
        <f>IFERROR(INDEX(Crosswalk_API!$H$2:$H$527, MATCH(POTABLE_NONPOTABLE_API[[#This Row],[PWSID]], CW_PWSID_LIST, 0)), "")</f>
        <v>No</v>
      </c>
    </row>
    <row r="5551" spans="1:24" x14ac:dyDescent="0.25">
      <c r="A5551" t="s">
        <v>2358</v>
      </c>
      <c r="B5551" t="s">
        <v>2359</v>
      </c>
      <c r="C5551" t="s">
        <v>2362</v>
      </c>
      <c r="D5551" t="s">
        <v>2363</v>
      </c>
      <c r="E5551" s="9">
        <v>45261</v>
      </c>
      <c r="F5551" s="9">
        <v>45291</v>
      </c>
      <c r="G5551">
        <v>154846</v>
      </c>
      <c r="H5551">
        <v>0</v>
      </c>
      <c r="I5551">
        <v>2000</v>
      </c>
      <c r="J5551">
        <v>0</v>
      </c>
      <c r="K5551">
        <v>0</v>
      </c>
      <c r="L5551">
        <v>0</v>
      </c>
      <c r="M5551">
        <v>0</v>
      </c>
      <c r="T5551" s="9">
        <v>45108</v>
      </c>
      <c r="U5551" s="9">
        <v>45473</v>
      </c>
      <c r="V5551">
        <f>SUM(POTABLE_NONPOTABLE_API[[#This Row],[RESIDENTIAL_SINGLEFAMILY_GAL]:[OTHER_GAL]])</f>
        <v>156846</v>
      </c>
      <c r="W5551">
        <f>SUM(POTABLE_NONPOTABLE_API[[#This Row],[NONPOTABLE_DEMAND_RESIDENTIAL_RECYCLED_WATER_GAL]:[NONPOTABLE_DEMAND_NONRESIDENTIAL_METERED_IRRIGATION_GAL]])</f>
        <v>0</v>
      </c>
      <c r="X5551" t="str">
        <f>IFERROR(INDEX(Crosswalk_API!$H$2:$H$527, MATCH(POTABLE_NONPOTABLE_API[[#This Row],[PWSID]], CW_PWSID_LIST, 0)), "")</f>
        <v>No</v>
      </c>
    </row>
    <row r="5552" spans="1:24" x14ac:dyDescent="0.25">
      <c r="A5552" t="s">
        <v>2358</v>
      </c>
      <c r="B5552" t="s">
        <v>2359</v>
      </c>
      <c r="C5552" t="s">
        <v>2362</v>
      </c>
      <c r="D5552" t="s">
        <v>2363</v>
      </c>
      <c r="E5552" s="9">
        <v>45292</v>
      </c>
      <c r="F5552" s="9">
        <v>45322</v>
      </c>
      <c r="G5552">
        <v>330051</v>
      </c>
      <c r="H5552">
        <v>0</v>
      </c>
      <c r="I5552">
        <v>8000</v>
      </c>
      <c r="J5552">
        <v>0</v>
      </c>
      <c r="K5552">
        <v>0</v>
      </c>
      <c r="L5552">
        <v>0</v>
      </c>
      <c r="M5552">
        <v>0</v>
      </c>
      <c r="T5552" s="9">
        <v>45108</v>
      </c>
      <c r="U5552" s="9">
        <v>45473</v>
      </c>
      <c r="V5552">
        <f>SUM(POTABLE_NONPOTABLE_API[[#This Row],[RESIDENTIAL_SINGLEFAMILY_GAL]:[OTHER_GAL]])</f>
        <v>338051</v>
      </c>
      <c r="W5552">
        <f>SUM(POTABLE_NONPOTABLE_API[[#This Row],[NONPOTABLE_DEMAND_RESIDENTIAL_RECYCLED_WATER_GAL]:[NONPOTABLE_DEMAND_NONRESIDENTIAL_METERED_IRRIGATION_GAL]])</f>
        <v>0</v>
      </c>
      <c r="X5552" t="str">
        <f>IFERROR(INDEX(Crosswalk_API!$H$2:$H$527, MATCH(POTABLE_NONPOTABLE_API[[#This Row],[PWSID]], CW_PWSID_LIST, 0)), "")</f>
        <v>No</v>
      </c>
    </row>
    <row r="5553" spans="1:24" x14ac:dyDescent="0.25">
      <c r="A5553" t="s">
        <v>2358</v>
      </c>
      <c r="B5553" t="s">
        <v>2359</v>
      </c>
      <c r="C5553" t="s">
        <v>2362</v>
      </c>
      <c r="D5553" t="s">
        <v>2363</v>
      </c>
      <c r="E5553" s="9">
        <v>45323</v>
      </c>
      <c r="F5553" s="9">
        <v>45351</v>
      </c>
      <c r="G5553">
        <v>211540</v>
      </c>
      <c r="H5553">
        <v>0</v>
      </c>
      <c r="I5553">
        <v>8000</v>
      </c>
      <c r="J5553">
        <v>0</v>
      </c>
      <c r="K5553">
        <v>0</v>
      </c>
      <c r="L5553">
        <v>0</v>
      </c>
      <c r="M5553">
        <v>0</v>
      </c>
      <c r="T5553" s="9">
        <v>45108</v>
      </c>
      <c r="U5553" s="9">
        <v>45473</v>
      </c>
      <c r="V5553">
        <f>SUM(POTABLE_NONPOTABLE_API[[#This Row],[RESIDENTIAL_SINGLEFAMILY_GAL]:[OTHER_GAL]])</f>
        <v>219540</v>
      </c>
      <c r="W5553">
        <f>SUM(POTABLE_NONPOTABLE_API[[#This Row],[NONPOTABLE_DEMAND_RESIDENTIAL_RECYCLED_WATER_GAL]:[NONPOTABLE_DEMAND_NONRESIDENTIAL_METERED_IRRIGATION_GAL]])</f>
        <v>0</v>
      </c>
      <c r="X5553" t="str">
        <f>IFERROR(INDEX(Crosswalk_API!$H$2:$H$527, MATCH(POTABLE_NONPOTABLE_API[[#This Row],[PWSID]], CW_PWSID_LIST, 0)), "")</f>
        <v>No</v>
      </c>
    </row>
    <row r="5554" spans="1:24" x14ac:dyDescent="0.25">
      <c r="A5554" t="s">
        <v>2358</v>
      </c>
      <c r="B5554" t="s">
        <v>2359</v>
      </c>
      <c r="C5554" t="s">
        <v>2362</v>
      </c>
      <c r="D5554" t="s">
        <v>2363</v>
      </c>
      <c r="E5554" s="9">
        <v>45352</v>
      </c>
      <c r="F5554" s="9">
        <v>45382</v>
      </c>
      <c r="G5554">
        <v>170163</v>
      </c>
      <c r="H5554">
        <v>0</v>
      </c>
      <c r="I5554">
        <v>8000</v>
      </c>
      <c r="J5554">
        <v>0</v>
      </c>
      <c r="K5554">
        <v>0</v>
      </c>
      <c r="L5554">
        <v>0</v>
      </c>
      <c r="M5554">
        <v>0</v>
      </c>
      <c r="T5554" s="9">
        <v>45108</v>
      </c>
      <c r="U5554" s="9">
        <v>45473</v>
      </c>
      <c r="V5554">
        <f>SUM(POTABLE_NONPOTABLE_API[[#This Row],[RESIDENTIAL_SINGLEFAMILY_GAL]:[OTHER_GAL]])</f>
        <v>178163</v>
      </c>
      <c r="W5554">
        <f>SUM(POTABLE_NONPOTABLE_API[[#This Row],[NONPOTABLE_DEMAND_RESIDENTIAL_RECYCLED_WATER_GAL]:[NONPOTABLE_DEMAND_NONRESIDENTIAL_METERED_IRRIGATION_GAL]])</f>
        <v>0</v>
      </c>
      <c r="X5554" t="str">
        <f>IFERROR(INDEX(Crosswalk_API!$H$2:$H$527, MATCH(POTABLE_NONPOTABLE_API[[#This Row],[PWSID]], CW_PWSID_LIST, 0)), "")</f>
        <v>No</v>
      </c>
    </row>
    <row r="5555" spans="1:24" x14ac:dyDescent="0.25">
      <c r="A5555" t="s">
        <v>2358</v>
      </c>
      <c r="B5555" t="s">
        <v>2359</v>
      </c>
      <c r="C5555" t="s">
        <v>2362</v>
      </c>
      <c r="D5555" t="s">
        <v>2363</v>
      </c>
      <c r="E5555" s="9">
        <v>45383</v>
      </c>
      <c r="F5555" s="9">
        <v>45412</v>
      </c>
      <c r="G5555">
        <v>190385</v>
      </c>
      <c r="H5555">
        <v>0</v>
      </c>
      <c r="I5555">
        <v>11000</v>
      </c>
      <c r="J5555">
        <v>0</v>
      </c>
      <c r="K5555">
        <v>0</v>
      </c>
      <c r="L5555">
        <v>0</v>
      </c>
      <c r="M5555">
        <v>0</v>
      </c>
      <c r="T5555" s="9">
        <v>45108</v>
      </c>
      <c r="U5555" s="9">
        <v>45473</v>
      </c>
      <c r="V5555">
        <f>SUM(POTABLE_NONPOTABLE_API[[#This Row],[RESIDENTIAL_SINGLEFAMILY_GAL]:[OTHER_GAL]])</f>
        <v>201385</v>
      </c>
      <c r="W5555">
        <f>SUM(POTABLE_NONPOTABLE_API[[#This Row],[NONPOTABLE_DEMAND_RESIDENTIAL_RECYCLED_WATER_GAL]:[NONPOTABLE_DEMAND_NONRESIDENTIAL_METERED_IRRIGATION_GAL]])</f>
        <v>0</v>
      </c>
      <c r="X5555" t="str">
        <f>IFERROR(INDEX(Crosswalk_API!$H$2:$H$527, MATCH(POTABLE_NONPOTABLE_API[[#This Row],[PWSID]], CW_PWSID_LIST, 0)), "")</f>
        <v>No</v>
      </c>
    </row>
    <row r="5556" spans="1:24" x14ac:dyDescent="0.25">
      <c r="A5556" t="s">
        <v>2358</v>
      </c>
      <c r="B5556" t="s">
        <v>2359</v>
      </c>
      <c r="C5556" t="s">
        <v>2362</v>
      </c>
      <c r="D5556" t="s">
        <v>2363</v>
      </c>
      <c r="E5556" s="9">
        <v>45413</v>
      </c>
      <c r="F5556" s="9">
        <v>45443</v>
      </c>
      <c r="G5556">
        <v>235633</v>
      </c>
      <c r="H5556">
        <v>0</v>
      </c>
      <c r="I5556">
        <v>4000</v>
      </c>
      <c r="J5556">
        <v>42895</v>
      </c>
      <c r="K5556">
        <v>0</v>
      </c>
      <c r="L5556">
        <v>0</v>
      </c>
      <c r="M5556">
        <v>0</v>
      </c>
      <c r="T5556" s="9">
        <v>45108</v>
      </c>
      <c r="U5556" s="9">
        <v>45473</v>
      </c>
      <c r="V5556">
        <f>SUM(POTABLE_NONPOTABLE_API[[#This Row],[RESIDENTIAL_SINGLEFAMILY_GAL]:[OTHER_GAL]])</f>
        <v>282528</v>
      </c>
      <c r="W5556">
        <f>SUM(POTABLE_NONPOTABLE_API[[#This Row],[NONPOTABLE_DEMAND_RESIDENTIAL_RECYCLED_WATER_GAL]:[NONPOTABLE_DEMAND_NONRESIDENTIAL_METERED_IRRIGATION_GAL]])</f>
        <v>0</v>
      </c>
      <c r="X5556" t="str">
        <f>IFERROR(INDEX(Crosswalk_API!$H$2:$H$527, MATCH(POTABLE_NONPOTABLE_API[[#This Row],[PWSID]], CW_PWSID_LIST, 0)), "")</f>
        <v>No</v>
      </c>
    </row>
    <row r="5557" spans="1:24" x14ac:dyDescent="0.25">
      <c r="A5557" t="s">
        <v>2358</v>
      </c>
      <c r="B5557" t="s">
        <v>2359</v>
      </c>
      <c r="C5557" t="s">
        <v>2362</v>
      </c>
      <c r="D5557" t="s">
        <v>2363</v>
      </c>
      <c r="E5557" s="9">
        <v>45444</v>
      </c>
      <c r="F5557" s="9">
        <v>45473</v>
      </c>
      <c r="G5557">
        <v>902802</v>
      </c>
      <c r="H5557">
        <v>0</v>
      </c>
      <c r="I5557">
        <v>0</v>
      </c>
      <c r="J5557">
        <v>251412</v>
      </c>
      <c r="K5557">
        <v>0</v>
      </c>
      <c r="L5557">
        <v>0</v>
      </c>
      <c r="M5557">
        <v>0</v>
      </c>
      <c r="T5557" s="9">
        <v>45108</v>
      </c>
      <c r="U5557" s="9">
        <v>45473</v>
      </c>
      <c r="V5557">
        <f>SUM(POTABLE_NONPOTABLE_API[[#This Row],[RESIDENTIAL_SINGLEFAMILY_GAL]:[OTHER_GAL]])</f>
        <v>1154214</v>
      </c>
      <c r="W5557">
        <f>SUM(POTABLE_NONPOTABLE_API[[#This Row],[NONPOTABLE_DEMAND_RESIDENTIAL_RECYCLED_WATER_GAL]:[NONPOTABLE_DEMAND_NONRESIDENTIAL_METERED_IRRIGATION_GAL]])</f>
        <v>0</v>
      </c>
      <c r="X5557" t="str">
        <f>IFERROR(INDEX(Crosswalk_API!$H$2:$H$527, MATCH(POTABLE_NONPOTABLE_API[[#This Row],[PWSID]], CW_PWSID_LIST, 0)), "")</f>
        <v>No</v>
      </c>
    </row>
    <row r="5558" spans="1:24" x14ac:dyDescent="0.25">
      <c r="A5558" t="s">
        <v>2358</v>
      </c>
      <c r="B5558" t="s">
        <v>2359</v>
      </c>
      <c r="C5558" t="s">
        <v>2364</v>
      </c>
      <c r="D5558" t="s">
        <v>2365</v>
      </c>
      <c r="E5558" s="9">
        <v>45108</v>
      </c>
      <c r="F5558" s="9">
        <v>45138</v>
      </c>
      <c r="G5558">
        <v>19843746</v>
      </c>
      <c r="H5558">
        <v>11659886</v>
      </c>
      <c r="I5558">
        <v>6073250</v>
      </c>
      <c r="J5558">
        <v>0</v>
      </c>
      <c r="K5558">
        <v>0</v>
      </c>
      <c r="L5558">
        <v>0</v>
      </c>
      <c r="M5558">
        <v>0</v>
      </c>
      <c r="T5558" s="9">
        <v>45108</v>
      </c>
      <c r="U5558" s="9">
        <v>45473</v>
      </c>
      <c r="V5558">
        <f>SUM(POTABLE_NONPOTABLE_API[[#This Row],[RESIDENTIAL_SINGLEFAMILY_GAL]:[OTHER_GAL]])</f>
        <v>37576882</v>
      </c>
      <c r="W5558">
        <f>SUM(POTABLE_NONPOTABLE_API[[#This Row],[NONPOTABLE_DEMAND_RESIDENTIAL_RECYCLED_WATER_GAL]:[NONPOTABLE_DEMAND_NONRESIDENTIAL_METERED_IRRIGATION_GAL]])</f>
        <v>0</v>
      </c>
      <c r="X5558" t="str">
        <f>IFERROR(INDEX(Crosswalk_API!$H$2:$H$527, MATCH(POTABLE_NONPOTABLE_API[[#This Row],[PWSID]], CW_PWSID_LIST, 0)), "")</f>
        <v>No</v>
      </c>
    </row>
    <row r="5559" spans="1:24" x14ac:dyDescent="0.25">
      <c r="A5559" t="s">
        <v>2358</v>
      </c>
      <c r="B5559" t="s">
        <v>2359</v>
      </c>
      <c r="C5559" t="s">
        <v>2364</v>
      </c>
      <c r="D5559" t="s">
        <v>2365</v>
      </c>
      <c r="E5559" s="9">
        <v>45139</v>
      </c>
      <c r="F5559" s="9">
        <v>45169</v>
      </c>
      <c r="G5559">
        <v>22671663</v>
      </c>
      <c r="H5559">
        <v>14332338</v>
      </c>
      <c r="I5559">
        <v>7023908</v>
      </c>
      <c r="J5559">
        <v>0</v>
      </c>
      <c r="K5559">
        <v>0</v>
      </c>
      <c r="L5559">
        <v>0</v>
      </c>
      <c r="M5559">
        <v>0</v>
      </c>
      <c r="T5559" s="9">
        <v>45108</v>
      </c>
      <c r="U5559" s="9">
        <v>45473</v>
      </c>
      <c r="V5559">
        <f>SUM(POTABLE_NONPOTABLE_API[[#This Row],[RESIDENTIAL_SINGLEFAMILY_GAL]:[OTHER_GAL]])</f>
        <v>44027909</v>
      </c>
      <c r="W5559">
        <f>SUM(POTABLE_NONPOTABLE_API[[#This Row],[NONPOTABLE_DEMAND_RESIDENTIAL_RECYCLED_WATER_GAL]:[NONPOTABLE_DEMAND_NONRESIDENTIAL_METERED_IRRIGATION_GAL]])</f>
        <v>0</v>
      </c>
      <c r="X5559" t="str">
        <f>IFERROR(INDEX(Crosswalk_API!$H$2:$H$527, MATCH(POTABLE_NONPOTABLE_API[[#This Row],[PWSID]], CW_PWSID_LIST, 0)), "")</f>
        <v>No</v>
      </c>
    </row>
    <row r="5560" spans="1:24" x14ac:dyDescent="0.25">
      <c r="A5560" t="s">
        <v>2358</v>
      </c>
      <c r="B5560" t="s">
        <v>2359</v>
      </c>
      <c r="C5560" t="s">
        <v>2364</v>
      </c>
      <c r="D5560" t="s">
        <v>2365</v>
      </c>
      <c r="E5560" s="9">
        <v>45170</v>
      </c>
      <c r="F5560" s="9">
        <v>45199</v>
      </c>
      <c r="G5560">
        <v>17514159</v>
      </c>
      <c r="H5560">
        <v>9580294</v>
      </c>
      <c r="I5560">
        <v>5182200</v>
      </c>
      <c r="J5560">
        <v>0</v>
      </c>
      <c r="K5560">
        <v>0</v>
      </c>
      <c r="L5560">
        <v>0</v>
      </c>
      <c r="M5560">
        <v>0</v>
      </c>
      <c r="T5560" s="9">
        <v>45108</v>
      </c>
      <c r="U5560" s="9">
        <v>45473</v>
      </c>
      <c r="V5560">
        <f>SUM(POTABLE_NONPOTABLE_API[[#This Row],[RESIDENTIAL_SINGLEFAMILY_GAL]:[OTHER_GAL]])</f>
        <v>32276653</v>
      </c>
      <c r="W5560">
        <f>SUM(POTABLE_NONPOTABLE_API[[#This Row],[NONPOTABLE_DEMAND_RESIDENTIAL_RECYCLED_WATER_GAL]:[NONPOTABLE_DEMAND_NONRESIDENTIAL_METERED_IRRIGATION_GAL]])</f>
        <v>0</v>
      </c>
      <c r="X5560" t="str">
        <f>IFERROR(INDEX(Crosswalk_API!$H$2:$H$527, MATCH(POTABLE_NONPOTABLE_API[[#This Row],[PWSID]], CW_PWSID_LIST, 0)), "")</f>
        <v>No</v>
      </c>
    </row>
    <row r="5561" spans="1:24" x14ac:dyDescent="0.25">
      <c r="A5561" t="s">
        <v>2358</v>
      </c>
      <c r="B5561" t="s">
        <v>2359</v>
      </c>
      <c r="C5561" t="s">
        <v>2364</v>
      </c>
      <c r="D5561" t="s">
        <v>2365</v>
      </c>
      <c r="E5561" s="9">
        <v>45200</v>
      </c>
      <c r="F5561" s="9">
        <v>45230</v>
      </c>
      <c r="G5561">
        <v>11251323</v>
      </c>
      <c r="H5561">
        <v>5650418</v>
      </c>
      <c r="I5561">
        <v>3868124</v>
      </c>
      <c r="J5561">
        <v>0</v>
      </c>
      <c r="K5561">
        <v>0</v>
      </c>
      <c r="L5561">
        <v>0</v>
      </c>
      <c r="M5561">
        <v>0</v>
      </c>
      <c r="T5561" s="9">
        <v>45108</v>
      </c>
      <c r="U5561" s="9">
        <v>45473</v>
      </c>
      <c r="V5561">
        <f>SUM(POTABLE_NONPOTABLE_API[[#This Row],[RESIDENTIAL_SINGLEFAMILY_GAL]:[OTHER_GAL]])</f>
        <v>20769865</v>
      </c>
      <c r="W5561">
        <f>SUM(POTABLE_NONPOTABLE_API[[#This Row],[NONPOTABLE_DEMAND_RESIDENTIAL_RECYCLED_WATER_GAL]:[NONPOTABLE_DEMAND_NONRESIDENTIAL_METERED_IRRIGATION_GAL]])</f>
        <v>0</v>
      </c>
      <c r="X5561" t="str">
        <f>IFERROR(INDEX(Crosswalk_API!$H$2:$H$527, MATCH(POTABLE_NONPOTABLE_API[[#This Row],[PWSID]], CW_PWSID_LIST, 0)), "")</f>
        <v>No</v>
      </c>
    </row>
    <row r="5562" spans="1:24" x14ac:dyDescent="0.25">
      <c r="A5562" t="s">
        <v>2358</v>
      </c>
      <c r="B5562" t="s">
        <v>2359</v>
      </c>
      <c r="C5562" t="s">
        <v>2364</v>
      </c>
      <c r="D5562" t="s">
        <v>2365</v>
      </c>
      <c r="E5562" s="9">
        <v>45231</v>
      </c>
      <c r="F5562" s="9">
        <v>45260</v>
      </c>
      <c r="G5562">
        <v>3679880</v>
      </c>
      <c r="H5562">
        <v>2672063</v>
      </c>
      <c r="I5562">
        <v>2445808</v>
      </c>
      <c r="J5562">
        <v>0</v>
      </c>
      <c r="K5562">
        <v>0</v>
      </c>
      <c r="L5562">
        <v>0</v>
      </c>
      <c r="M5562">
        <v>0</v>
      </c>
      <c r="T5562" s="9">
        <v>45108</v>
      </c>
      <c r="U5562" s="9">
        <v>45473</v>
      </c>
      <c r="V5562">
        <f>SUM(POTABLE_NONPOTABLE_API[[#This Row],[RESIDENTIAL_SINGLEFAMILY_GAL]:[OTHER_GAL]])</f>
        <v>8797751</v>
      </c>
      <c r="W5562">
        <f>SUM(POTABLE_NONPOTABLE_API[[#This Row],[NONPOTABLE_DEMAND_RESIDENTIAL_RECYCLED_WATER_GAL]:[NONPOTABLE_DEMAND_NONRESIDENTIAL_METERED_IRRIGATION_GAL]])</f>
        <v>0</v>
      </c>
      <c r="X5562" t="str">
        <f>IFERROR(INDEX(Crosswalk_API!$H$2:$H$527, MATCH(POTABLE_NONPOTABLE_API[[#This Row],[PWSID]], CW_PWSID_LIST, 0)), "")</f>
        <v>No</v>
      </c>
    </row>
    <row r="5563" spans="1:24" x14ac:dyDescent="0.25">
      <c r="A5563" t="s">
        <v>2358</v>
      </c>
      <c r="B5563" t="s">
        <v>2359</v>
      </c>
      <c r="C5563" t="s">
        <v>2364</v>
      </c>
      <c r="D5563" t="s">
        <v>2365</v>
      </c>
      <c r="E5563" s="9">
        <v>45261</v>
      </c>
      <c r="F5563" s="9">
        <v>45291</v>
      </c>
      <c r="G5563">
        <v>3137061</v>
      </c>
      <c r="H5563">
        <v>2515906</v>
      </c>
      <c r="I5563">
        <v>2345557</v>
      </c>
      <c r="J5563">
        <v>0</v>
      </c>
      <c r="K5563">
        <v>0</v>
      </c>
      <c r="L5563">
        <v>0</v>
      </c>
      <c r="M5563">
        <v>0</v>
      </c>
      <c r="T5563" s="9">
        <v>45108</v>
      </c>
      <c r="U5563" s="9">
        <v>45473</v>
      </c>
      <c r="V5563">
        <f>SUM(POTABLE_NONPOTABLE_API[[#This Row],[RESIDENTIAL_SINGLEFAMILY_GAL]:[OTHER_GAL]])</f>
        <v>7998524</v>
      </c>
      <c r="W5563">
        <f>SUM(POTABLE_NONPOTABLE_API[[#This Row],[NONPOTABLE_DEMAND_RESIDENTIAL_RECYCLED_WATER_GAL]:[NONPOTABLE_DEMAND_NONRESIDENTIAL_METERED_IRRIGATION_GAL]])</f>
        <v>0</v>
      </c>
      <c r="X5563" t="str">
        <f>IFERROR(INDEX(Crosswalk_API!$H$2:$H$527, MATCH(POTABLE_NONPOTABLE_API[[#This Row],[PWSID]], CW_PWSID_LIST, 0)), "")</f>
        <v>No</v>
      </c>
    </row>
    <row r="5564" spans="1:24" x14ac:dyDescent="0.25">
      <c r="A5564" t="s">
        <v>2358</v>
      </c>
      <c r="B5564" t="s">
        <v>2359</v>
      </c>
      <c r="C5564" t="s">
        <v>2364</v>
      </c>
      <c r="D5564" t="s">
        <v>2365</v>
      </c>
      <c r="E5564" s="9">
        <v>45292</v>
      </c>
      <c r="F5564" s="9">
        <v>45322</v>
      </c>
      <c r="G5564">
        <v>5099957</v>
      </c>
      <c r="H5564">
        <v>3319349</v>
      </c>
      <c r="I5564">
        <v>3055950</v>
      </c>
      <c r="J5564">
        <v>0</v>
      </c>
      <c r="K5564">
        <v>0</v>
      </c>
      <c r="L5564">
        <v>0</v>
      </c>
      <c r="M5564">
        <v>0</v>
      </c>
      <c r="T5564" s="9">
        <v>45108</v>
      </c>
      <c r="U5564" s="9">
        <v>45473</v>
      </c>
      <c r="V5564">
        <f>SUM(POTABLE_NONPOTABLE_API[[#This Row],[RESIDENTIAL_SINGLEFAMILY_GAL]:[OTHER_GAL]])</f>
        <v>11475256</v>
      </c>
      <c r="W5564">
        <f>SUM(POTABLE_NONPOTABLE_API[[#This Row],[NONPOTABLE_DEMAND_RESIDENTIAL_RECYCLED_WATER_GAL]:[NONPOTABLE_DEMAND_NONRESIDENTIAL_METERED_IRRIGATION_GAL]])</f>
        <v>0</v>
      </c>
      <c r="X5564" t="str">
        <f>IFERROR(INDEX(Crosswalk_API!$H$2:$H$527, MATCH(POTABLE_NONPOTABLE_API[[#This Row],[PWSID]], CW_PWSID_LIST, 0)), "")</f>
        <v>No</v>
      </c>
    </row>
    <row r="5565" spans="1:24" x14ac:dyDescent="0.25">
      <c r="A5565" t="s">
        <v>2358</v>
      </c>
      <c r="B5565" t="s">
        <v>2359</v>
      </c>
      <c r="C5565" t="s">
        <v>2364</v>
      </c>
      <c r="D5565" t="s">
        <v>2365</v>
      </c>
      <c r="E5565" s="9">
        <v>45323</v>
      </c>
      <c r="F5565" s="9">
        <v>45351</v>
      </c>
      <c r="G5565">
        <v>3701599</v>
      </c>
      <c r="H5565">
        <v>2590035</v>
      </c>
      <c r="I5565">
        <v>2513645</v>
      </c>
      <c r="J5565">
        <v>0</v>
      </c>
      <c r="K5565">
        <v>0</v>
      </c>
      <c r="L5565">
        <v>0</v>
      </c>
      <c r="M5565">
        <v>0</v>
      </c>
      <c r="T5565" s="9">
        <v>45108</v>
      </c>
      <c r="U5565" s="9">
        <v>45473</v>
      </c>
      <c r="V5565">
        <f>SUM(POTABLE_NONPOTABLE_API[[#This Row],[RESIDENTIAL_SINGLEFAMILY_GAL]:[OTHER_GAL]])</f>
        <v>8805279</v>
      </c>
      <c r="W5565">
        <f>SUM(POTABLE_NONPOTABLE_API[[#This Row],[NONPOTABLE_DEMAND_RESIDENTIAL_RECYCLED_WATER_GAL]:[NONPOTABLE_DEMAND_NONRESIDENTIAL_METERED_IRRIGATION_GAL]])</f>
        <v>0</v>
      </c>
      <c r="X5565" t="str">
        <f>IFERROR(INDEX(Crosswalk_API!$H$2:$H$527, MATCH(POTABLE_NONPOTABLE_API[[#This Row],[PWSID]], CW_PWSID_LIST, 0)), "")</f>
        <v>No</v>
      </c>
    </row>
    <row r="5566" spans="1:24" x14ac:dyDescent="0.25">
      <c r="A5566" t="s">
        <v>2358</v>
      </c>
      <c r="B5566" t="s">
        <v>2359</v>
      </c>
      <c r="C5566" t="s">
        <v>2364</v>
      </c>
      <c r="D5566" t="s">
        <v>2365</v>
      </c>
      <c r="E5566" s="9">
        <v>45352</v>
      </c>
      <c r="F5566" s="9">
        <v>45382</v>
      </c>
      <c r="G5566">
        <v>3352386</v>
      </c>
      <c r="H5566">
        <v>2440765</v>
      </c>
      <c r="I5566">
        <v>2084900</v>
      </c>
      <c r="J5566">
        <v>0</v>
      </c>
      <c r="K5566">
        <v>0</v>
      </c>
      <c r="L5566">
        <v>0</v>
      </c>
      <c r="M5566">
        <v>0</v>
      </c>
      <c r="T5566" s="9">
        <v>45108</v>
      </c>
      <c r="U5566" s="9">
        <v>45473</v>
      </c>
      <c r="V5566">
        <f>SUM(POTABLE_NONPOTABLE_API[[#This Row],[RESIDENTIAL_SINGLEFAMILY_GAL]:[OTHER_GAL]])</f>
        <v>7878051</v>
      </c>
      <c r="W5566">
        <f>SUM(POTABLE_NONPOTABLE_API[[#This Row],[NONPOTABLE_DEMAND_RESIDENTIAL_RECYCLED_WATER_GAL]:[NONPOTABLE_DEMAND_NONRESIDENTIAL_METERED_IRRIGATION_GAL]])</f>
        <v>0</v>
      </c>
      <c r="X5566" t="str">
        <f>IFERROR(INDEX(Crosswalk_API!$H$2:$H$527, MATCH(POTABLE_NONPOTABLE_API[[#This Row],[PWSID]], CW_PWSID_LIST, 0)), "")</f>
        <v>No</v>
      </c>
    </row>
    <row r="5567" spans="1:24" x14ac:dyDescent="0.25">
      <c r="A5567" t="s">
        <v>2358</v>
      </c>
      <c r="B5567" t="s">
        <v>2359</v>
      </c>
      <c r="C5567" t="s">
        <v>2364</v>
      </c>
      <c r="D5567" t="s">
        <v>2365</v>
      </c>
      <c r="E5567" s="9">
        <v>45383</v>
      </c>
      <c r="F5567" s="9">
        <v>45412</v>
      </c>
      <c r="G5567">
        <v>3525239</v>
      </c>
      <c r="H5567">
        <v>2697498</v>
      </c>
      <c r="I5567">
        <v>2206474</v>
      </c>
      <c r="J5567">
        <v>0</v>
      </c>
      <c r="K5567">
        <v>0</v>
      </c>
      <c r="L5567">
        <v>0</v>
      </c>
      <c r="M5567">
        <v>0</v>
      </c>
      <c r="T5567" s="9">
        <v>45108</v>
      </c>
      <c r="U5567" s="9">
        <v>45473</v>
      </c>
      <c r="V5567">
        <f>SUM(POTABLE_NONPOTABLE_API[[#This Row],[RESIDENTIAL_SINGLEFAMILY_GAL]:[OTHER_GAL]])</f>
        <v>8429211</v>
      </c>
      <c r="W5567">
        <f>SUM(POTABLE_NONPOTABLE_API[[#This Row],[NONPOTABLE_DEMAND_RESIDENTIAL_RECYCLED_WATER_GAL]:[NONPOTABLE_DEMAND_NONRESIDENTIAL_METERED_IRRIGATION_GAL]])</f>
        <v>0</v>
      </c>
      <c r="X5567" t="str">
        <f>IFERROR(INDEX(Crosswalk_API!$H$2:$H$527, MATCH(POTABLE_NONPOTABLE_API[[#This Row],[PWSID]], CW_PWSID_LIST, 0)), "")</f>
        <v>No</v>
      </c>
    </row>
    <row r="5568" spans="1:24" x14ac:dyDescent="0.25">
      <c r="A5568" t="s">
        <v>2358</v>
      </c>
      <c r="B5568" t="s">
        <v>2359</v>
      </c>
      <c r="C5568" t="s">
        <v>2364</v>
      </c>
      <c r="D5568" t="s">
        <v>2365</v>
      </c>
      <c r="E5568" s="9">
        <v>45413</v>
      </c>
      <c r="F5568" s="9">
        <v>45443</v>
      </c>
      <c r="G5568">
        <v>5913713</v>
      </c>
      <c r="H5568">
        <v>4242763</v>
      </c>
      <c r="I5568">
        <v>2749021</v>
      </c>
      <c r="J5568">
        <v>0</v>
      </c>
      <c r="K5568">
        <v>0</v>
      </c>
      <c r="L5568">
        <v>0</v>
      </c>
      <c r="M5568">
        <v>0</v>
      </c>
      <c r="T5568" s="9">
        <v>45108</v>
      </c>
      <c r="U5568" s="9">
        <v>45473</v>
      </c>
      <c r="V5568">
        <f>SUM(POTABLE_NONPOTABLE_API[[#This Row],[RESIDENTIAL_SINGLEFAMILY_GAL]:[OTHER_GAL]])</f>
        <v>12905497</v>
      </c>
      <c r="W5568">
        <f>SUM(POTABLE_NONPOTABLE_API[[#This Row],[NONPOTABLE_DEMAND_RESIDENTIAL_RECYCLED_WATER_GAL]:[NONPOTABLE_DEMAND_NONRESIDENTIAL_METERED_IRRIGATION_GAL]])</f>
        <v>0</v>
      </c>
      <c r="X5568" t="str">
        <f>IFERROR(INDEX(Crosswalk_API!$H$2:$H$527, MATCH(POTABLE_NONPOTABLE_API[[#This Row],[PWSID]], CW_PWSID_LIST, 0)), "")</f>
        <v>No</v>
      </c>
    </row>
    <row r="5569" spans="1:24" x14ac:dyDescent="0.25">
      <c r="A5569" t="s">
        <v>2358</v>
      </c>
      <c r="B5569" t="s">
        <v>2359</v>
      </c>
      <c r="C5569" t="s">
        <v>2364</v>
      </c>
      <c r="D5569" t="s">
        <v>2365</v>
      </c>
      <c r="E5569" s="9">
        <v>45444</v>
      </c>
      <c r="F5569" s="9">
        <v>45473</v>
      </c>
      <c r="G5569">
        <v>17283631</v>
      </c>
      <c r="H5569">
        <v>10453435</v>
      </c>
      <c r="I5569">
        <v>6363969</v>
      </c>
      <c r="J5569">
        <v>0</v>
      </c>
      <c r="K5569">
        <v>0</v>
      </c>
      <c r="L5569">
        <v>0</v>
      </c>
      <c r="M5569">
        <v>0</v>
      </c>
      <c r="T5569" s="9">
        <v>45108</v>
      </c>
      <c r="U5569" s="9">
        <v>45473</v>
      </c>
      <c r="V5569">
        <f>SUM(POTABLE_NONPOTABLE_API[[#This Row],[RESIDENTIAL_SINGLEFAMILY_GAL]:[OTHER_GAL]])</f>
        <v>34101035</v>
      </c>
      <c r="W5569">
        <f>SUM(POTABLE_NONPOTABLE_API[[#This Row],[NONPOTABLE_DEMAND_RESIDENTIAL_RECYCLED_WATER_GAL]:[NONPOTABLE_DEMAND_NONRESIDENTIAL_METERED_IRRIGATION_GAL]])</f>
        <v>0</v>
      </c>
      <c r="X5569" t="str">
        <f>IFERROR(INDEX(Crosswalk_API!$H$2:$H$527, MATCH(POTABLE_NONPOTABLE_API[[#This Row],[PWSID]], CW_PWSID_LIST, 0)), "")</f>
        <v>No</v>
      </c>
    </row>
    <row r="5570" spans="1:24" x14ac:dyDescent="0.25">
      <c r="A5570" t="s">
        <v>2358</v>
      </c>
      <c r="B5570" t="s">
        <v>2359</v>
      </c>
      <c r="C5570" t="s">
        <v>2366</v>
      </c>
      <c r="D5570" t="s">
        <v>2367</v>
      </c>
      <c r="E5570" s="9">
        <v>45108</v>
      </c>
      <c r="F5570" s="9">
        <v>45138</v>
      </c>
      <c r="G5570">
        <v>4915663</v>
      </c>
      <c r="H5570">
        <v>1618098</v>
      </c>
      <c r="I5570">
        <v>125516</v>
      </c>
      <c r="J5570">
        <v>0</v>
      </c>
      <c r="K5570">
        <v>0</v>
      </c>
      <c r="L5570">
        <v>0</v>
      </c>
      <c r="M5570">
        <v>0</v>
      </c>
      <c r="T5570" s="9">
        <v>45108</v>
      </c>
      <c r="U5570" s="9">
        <v>45473</v>
      </c>
      <c r="V5570">
        <f>SUM(POTABLE_NONPOTABLE_API[[#This Row],[RESIDENTIAL_SINGLEFAMILY_GAL]:[OTHER_GAL]])</f>
        <v>6659277</v>
      </c>
      <c r="W5570">
        <f>SUM(POTABLE_NONPOTABLE_API[[#This Row],[NONPOTABLE_DEMAND_RESIDENTIAL_RECYCLED_WATER_GAL]:[NONPOTABLE_DEMAND_NONRESIDENTIAL_METERED_IRRIGATION_GAL]])</f>
        <v>0</v>
      </c>
      <c r="X5570" t="str">
        <f>IFERROR(INDEX(Crosswalk_API!$H$2:$H$527, MATCH(POTABLE_NONPOTABLE_API[[#This Row],[PWSID]], CW_PWSID_LIST, 0)), "")</f>
        <v>No</v>
      </c>
    </row>
    <row r="5571" spans="1:24" x14ac:dyDescent="0.25">
      <c r="A5571" t="s">
        <v>2358</v>
      </c>
      <c r="B5571" t="s">
        <v>2359</v>
      </c>
      <c r="C5571" t="s">
        <v>2366</v>
      </c>
      <c r="D5571" t="s">
        <v>2367</v>
      </c>
      <c r="E5571" s="9">
        <v>45139</v>
      </c>
      <c r="F5571" s="9">
        <v>45169</v>
      </c>
      <c r="G5571">
        <v>5767436</v>
      </c>
      <c r="H5571">
        <v>1574518</v>
      </c>
      <c r="I5571">
        <v>132045</v>
      </c>
      <c r="J5571">
        <v>0</v>
      </c>
      <c r="K5571">
        <v>0</v>
      </c>
      <c r="L5571">
        <v>0</v>
      </c>
      <c r="M5571">
        <v>0</v>
      </c>
      <c r="T5571" s="9">
        <v>45108</v>
      </c>
      <c r="U5571" s="9">
        <v>45473</v>
      </c>
      <c r="V5571">
        <f>SUM(POTABLE_NONPOTABLE_API[[#This Row],[RESIDENTIAL_SINGLEFAMILY_GAL]:[OTHER_GAL]])</f>
        <v>7473999</v>
      </c>
      <c r="W5571">
        <f>SUM(POTABLE_NONPOTABLE_API[[#This Row],[NONPOTABLE_DEMAND_RESIDENTIAL_RECYCLED_WATER_GAL]:[NONPOTABLE_DEMAND_NONRESIDENTIAL_METERED_IRRIGATION_GAL]])</f>
        <v>0</v>
      </c>
      <c r="X5571" t="str">
        <f>IFERROR(INDEX(Crosswalk_API!$H$2:$H$527, MATCH(POTABLE_NONPOTABLE_API[[#This Row],[PWSID]], CW_PWSID_LIST, 0)), "")</f>
        <v>No</v>
      </c>
    </row>
    <row r="5572" spans="1:24" x14ac:dyDescent="0.25">
      <c r="A5572" t="s">
        <v>2358</v>
      </c>
      <c r="B5572" t="s">
        <v>2359</v>
      </c>
      <c r="C5572" t="s">
        <v>2366</v>
      </c>
      <c r="D5572" t="s">
        <v>2367</v>
      </c>
      <c r="E5572" s="9">
        <v>45170</v>
      </c>
      <c r="F5572" s="9">
        <v>45199</v>
      </c>
      <c r="G5572">
        <v>4500568</v>
      </c>
      <c r="H5572">
        <v>1193970</v>
      </c>
      <c r="I5572">
        <v>63706</v>
      </c>
      <c r="J5572">
        <v>0</v>
      </c>
      <c r="K5572">
        <v>0</v>
      </c>
      <c r="L5572">
        <v>0</v>
      </c>
      <c r="M5572">
        <v>0</v>
      </c>
      <c r="T5572" s="9">
        <v>45108</v>
      </c>
      <c r="U5572" s="9">
        <v>45473</v>
      </c>
      <c r="V5572">
        <f>SUM(POTABLE_NONPOTABLE_API[[#This Row],[RESIDENTIAL_SINGLEFAMILY_GAL]:[OTHER_GAL]])</f>
        <v>5758244</v>
      </c>
      <c r="W5572">
        <f>SUM(POTABLE_NONPOTABLE_API[[#This Row],[NONPOTABLE_DEMAND_RESIDENTIAL_RECYCLED_WATER_GAL]:[NONPOTABLE_DEMAND_NONRESIDENTIAL_METERED_IRRIGATION_GAL]])</f>
        <v>0</v>
      </c>
      <c r="X5572" t="str">
        <f>IFERROR(INDEX(Crosswalk_API!$H$2:$H$527, MATCH(POTABLE_NONPOTABLE_API[[#This Row],[PWSID]], CW_PWSID_LIST, 0)), "")</f>
        <v>No</v>
      </c>
    </row>
    <row r="5573" spans="1:24" x14ac:dyDescent="0.25">
      <c r="A5573" t="s">
        <v>2358</v>
      </c>
      <c r="B5573" t="s">
        <v>2359</v>
      </c>
      <c r="C5573" t="s">
        <v>2366</v>
      </c>
      <c r="D5573" t="s">
        <v>2367</v>
      </c>
      <c r="E5573" s="9">
        <v>45200</v>
      </c>
      <c r="F5573" s="9">
        <v>45230</v>
      </c>
      <c r="G5573">
        <v>2589714</v>
      </c>
      <c r="H5573">
        <v>766107</v>
      </c>
      <c r="I5573">
        <v>28082</v>
      </c>
      <c r="J5573">
        <v>0</v>
      </c>
      <c r="K5573">
        <v>0</v>
      </c>
      <c r="L5573">
        <v>0</v>
      </c>
      <c r="M5573">
        <v>0</v>
      </c>
      <c r="T5573" s="9">
        <v>45108</v>
      </c>
      <c r="U5573" s="9">
        <v>45473</v>
      </c>
      <c r="V5573">
        <f>SUM(POTABLE_NONPOTABLE_API[[#This Row],[RESIDENTIAL_SINGLEFAMILY_GAL]:[OTHER_GAL]])</f>
        <v>3383903</v>
      </c>
      <c r="W5573">
        <f>SUM(POTABLE_NONPOTABLE_API[[#This Row],[NONPOTABLE_DEMAND_RESIDENTIAL_RECYCLED_WATER_GAL]:[NONPOTABLE_DEMAND_NONRESIDENTIAL_METERED_IRRIGATION_GAL]])</f>
        <v>0</v>
      </c>
      <c r="X5573" t="str">
        <f>IFERROR(INDEX(Crosswalk_API!$H$2:$H$527, MATCH(POTABLE_NONPOTABLE_API[[#This Row],[PWSID]], CW_PWSID_LIST, 0)), "")</f>
        <v>No</v>
      </c>
    </row>
    <row r="5574" spans="1:24" x14ac:dyDescent="0.25">
      <c r="A5574" t="s">
        <v>2358</v>
      </c>
      <c r="B5574" t="s">
        <v>2359</v>
      </c>
      <c r="C5574" t="s">
        <v>2366</v>
      </c>
      <c r="D5574" t="s">
        <v>2367</v>
      </c>
      <c r="E5574" s="9">
        <v>45231</v>
      </c>
      <c r="F5574" s="9">
        <v>45260</v>
      </c>
      <c r="G5574">
        <v>705347</v>
      </c>
      <c r="H5574">
        <v>81276</v>
      </c>
      <c r="I5574">
        <v>6771</v>
      </c>
      <c r="J5574">
        <v>0</v>
      </c>
      <c r="K5574">
        <v>0</v>
      </c>
      <c r="L5574">
        <v>0</v>
      </c>
      <c r="M5574">
        <v>0</v>
      </c>
      <c r="T5574" s="9">
        <v>45108</v>
      </c>
      <c r="U5574" s="9">
        <v>45473</v>
      </c>
      <c r="V5574">
        <f>SUM(POTABLE_NONPOTABLE_API[[#This Row],[RESIDENTIAL_SINGLEFAMILY_GAL]:[OTHER_GAL]])</f>
        <v>793394</v>
      </c>
      <c r="W5574">
        <f>SUM(POTABLE_NONPOTABLE_API[[#This Row],[NONPOTABLE_DEMAND_RESIDENTIAL_RECYCLED_WATER_GAL]:[NONPOTABLE_DEMAND_NONRESIDENTIAL_METERED_IRRIGATION_GAL]])</f>
        <v>0</v>
      </c>
      <c r="X5574" t="str">
        <f>IFERROR(INDEX(Crosswalk_API!$H$2:$H$527, MATCH(POTABLE_NONPOTABLE_API[[#This Row],[PWSID]], CW_PWSID_LIST, 0)), "")</f>
        <v>No</v>
      </c>
    </row>
    <row r="5575" spans="1:24" x14ac:dyDescent="0.25">
      <c r="A5575" t="s">
        <v>2358</v>
      </c>
      <c r="B5575" t="s">
        <v>2359</v>
      </c>
      <c r="C5575" t="s">
        <v>2366</v>
      </c>
      <c r="D5575" t="s">
        <v>2367</v>
      </c>
      <c r="E5575" s="9">
        <v>45261</v>
      </c>
      <c r="F5575" s="9">
        <v>45291</v>
      </c>
      <c r="G5575">
        <v>643027</v>
      </c>
      <c r="H5575">
        <v>52127</v>
      </c>
      <c r="I5575">
        <v>6268</v>
      </c>
      <c r="J5575">
        <v>0</v>
      </c>
      <c r="K5575">
        <v>0</v>
      </c>
      <c r="L5575">
        <v>0</v>
      </c>
      <c r="M5575">
        <v>0</v>
      </c>
      <c r="T5575" s="9">
        <v>45108</v>
      </c>
      <c r="U5575" s="9">
        <v>45473</v>
      </c>
      <c r="V5575">
        <f>SUM(POTABLE_NONPOTABLE_API[[#This Row],[RESIDENTIAL_SINGLEFAMILY_GAL]:[OTHER_GAL]])</f>
        <v>701422</v>
      </c>
      <c r="W5575">
        <f>SUM(POTABLE_NONPOTABLE_API[[#This Row],[NONPOTABLE_DEMAND_RESIDENTIAL_RECYCLED_WATER_GAL]:[NONPOTABLE_DEMAND_NONRESIDENTIAL_METERED_IRRIGATION_GAL]])</f>
        <v>0</v>
      </c>
      <c r="X5575" t="str">
        <f>IFERROR(INDEX(Crosswalk_API!$H$2:$H$527, MATCH(POTABLE_NONPOTABLE_API[[#This Row],[PWSID]], CW_PWSID_LIST, 0)), "")</f>
        <v>No</v>
      </c>
    </row>
    <row r="5576" spans="1:24" x14ac:dyDescent="0.25">
      <c r="A5576" t="s">
        <v>2358</v>
      </c>
      <c r="B5576" t="s">
        <v>2359</v>
      </c>
      <c r="C5576" t="s">
        <v>2366</v>
      </c>
      <c r="D5576" t="s">
        <v>2367</v>
      </c>
      <c r="E5576" s="9">
        <v>45292</v>
      </c>
      <c r="F5576" s="9">
        <v>45322</v>
      </c>
      <c r="G5576">
        <v>1217895</v>
      </c>
      <c r="H5576">
        <v>119209</v>
      </c>
      <c r="I5576">
        <v>10365</v>
      </c>
      <c r="J5576">
        <v>0</v>
      </c>
      <c r="K5576">
        <v>0</v>
      </c>
      <c r="L5576">
        <v>0</v>
      </c>
      <c r="M5576">
        <v>0</v>
      </c>
      <c r="T5576" s="9">
        <v>45108</v>
      </c>
      <c r="U5576" s="9">
        <v>45473</v>
      </c>
      <c r="V5576">
        <f>SUM(POTABLE_NONPOTABLE_API[[#This Row],[RESIDENTIAL_SINGLEFAMILY_GAL]:[OTHER_GAL]])</f>
        <v>1347469</v>
      </c>
      <c r="W5576">
        <f>SUM(POTABLE_NONPOTABLE_API[[#This Row],[NONPOTABLE_DEMAND_RESIDENTIAL_RECYCLED_WATER_GAL]:[NONPOTABLE_DEMAND_NONRESIDENTIAL_METERED_IRRIGATION_GAL]])</f>
        <v>0</v>
      </c>
      <c r="X5576" t="str">
        <f>IFERROR(INDEX(Crosswalk_API!$H$2:$H$527, MATCH(POTABLE_NONPOTABLE_API[[#This Row],[PWSID]], CW_PWSID_LIST, 0)), "")</f>
        <v>No</v>
      </c>
    </row>
    <row r="5577" spans="1:24" x14ac:dyDescent="0.25">
      <c r="A5577" t="s">
        <v>2358</v>
      </c>
      <c r="B5577" t="s">
        <v>2359</v>
      </c>
      <c r="C5577" t="s">
        <v>2366</v>
      </c>
      <c r="D5577" t="s">
        <v>2367</v>
      </c>
      <c r="E5577" s="9">
        <v>45323</v>
      </c>
      <c r="F5577" s="9">
        <v>45351</v>
      </c>
      <c r="G5577">
        <v>777591</v>
      </c>
      <c r="H5577">
        <v>53860</v>
      </c>
      <c r="I5577">
        <v>515889</v>
      </c>
      <c r="J5577">
        <v>0</v>
      </c>
      <c r="K5577">
        <v>0</v>
      </c>
      <c r="L5577">
        <v>0</v>
      </c>
      <c r="M5577">
        <v>0</v>
      </c>
      <c r="T5577" s="9">
        <v>45108</v>
      </c>
      <c r="U5577" s="9">
        <v>45473</v>
      </c>
      <c r="V5577">
        <f>SUM(POTABLE_NONPOTABLE_API[[#This Row],[RESIDENTIAL_SINGLEFAMILY_GAL]:[OTHER_GAL]])</f>
        <v>1347340</v>
      </c>
      <c r="W5577">
        <f>SUM(POTABLE_NONPOTABLE_API[[#This Row],[NONPOTABLE_DEMAND_RESIDENTIAL_RECYCLED_WATER_GAL]:[NONPOTABLE_DEMAND_NONRESIDENTIAL_METERED_IRRIGATION_GAL]])</f>
        <v>0</v>
      </c>
      <c r="X5577" t="str">
        <f>IFERROR(INDEX(Crosswalk_API!$H$2:$H$527, MATCH(POTABLE_NONPOTABLE_API[[#This Row],[PWSID]], CW_PWSID_LIST, 0)), "")</f>
        <v>No</v>
      </c>
    </row>
    <row r="5578" spans="1:24" x14ac:dyDescent="0.25">
      <c r="A5578" t="s">
        <v>2358</v>
      </c>
      <c r="B5578" t="s">
        <v>2359</v>
      </c>
      <c r="C5578" t="s">
        <v>2366</v>
      </c>
      <c r="D5578" t="s">
        <v>2367</v>
      </c>
      <c r="E5578" s="9">
        <v>45352</v>
      </c>
      <c r="F5578" s="9">
        <v>45382</v>
      </c>
      <c r="G5578">
        <v>616161</v>
      </c>
      <c r="H5578">
        <v>64790</v>
      </c>
      <c r="I5578">
        <v>56572</v>
      </c>
      <c r="J5578">
        <v>0</v>
      </c>
      <c r="K5578">
        <v>0</v>
      </c>
      <c r="L5578">
        <v>0</v>
      </c>
      <c r="M5578">
        <v>0</v>
      </c>
      <c r="T5578" s="9">
        <v>45108</v>
      </c>
      <c r="U5578" s="9">
        <v>45473</v>
      </c>
      <c r="V5578">
        <f>SUM(POTABLE_NONPOTABLE_API[[#This Row],[RESIDENTIAL_SINGLEFAMILY_GAL]:[OTHER_GAL]])</f>
        <v>737523</v>
      </c>
      <c r="W5578">
        <f>SUM(POTABLE_NONPOTABLE_API[[#This Row],[NONPOTABLE_DEMAND_RESIDENTIAL_RECYCLED_WATER_GAL]:[NONPOTABLE_DEMAND_NONRESIDENTIAL_METERED_IRRIGATION_GAL]])</f>
        <v>0</v>
      </c>
      <c r="X5578" t="str">
        <f>IFERROR(INDEX(Crosswalk_API!$H$2:$H$527, MATCH(POTABLE_NONPOTABLE_API[[#This Row],[PWSID]], CW_PWSID_LIST, 0)), "")</f>
        <v>No</v>
      </c>
    </row>
    <row r="5579" spans="1:24" x14ac:dyDescent="0.25">
      <c r="A5579" t="s">
        <v>2358</v>
      </c>
      <c r="B5579" t="s">
        <v>2359</v>
      </c>
      <c r="C5579" t="s">
        <v>2366</v>
      </c>
      <c r="D5579" t="s">
        <v>2367</v>
      </c>
      <c r="E5579" s="9">
        <v>45383</v>
      </c>
      <c r="F5579" s="9">
        <v>45412</v>
      </c>
      <c r="G5579">
        <v>569177</v>
      </c>
      <c r="H5579">
        <v>56363</v>
      </c>
      <c r="I5579">
        <v>307614</v>
      </c>
      <c r="J5579">
        <v>0</v>
      </c>
      <c r="K5579">
        <v>0</v>
      </c>
      <c r="L5579">
        <v>0</v>
      </c>
      <c r="M5579">
        <v>0</v>
      </c>
      <c r="T5579" s="9">
        <v>45108</v>
      </c>
      <c r="U5579" s="9">
        <v>45473</v>
      </c>
      <c r="V5579">
        <f>SUM(POTABLE_NONPOTABLE_API[[#This Row],[RESIDENTIAL_SINGLEFAMILY_GAL]:[OTHER_GAL]])</f>
        <v>933154</v>
      </c>
      <c r="W5579">
        <f>SUM(POTABLE_NONPOTABLE_API[[#This Row],[NONPOTABLE_DEMAND_RESIDENTIAL_RECYCLED_WATER_GAL]:[NONPOTABLE_DEMAND_NONRESIDENTIAL_METERED_IRRIGATION_GAL]])</f>
        <v>0</v>
      </c>
      <c r="X5579" t="str">
        <f>IFERROR(INDEX(Crosswalk_API!$H$2:$H$527, MATCH(POTABLE_NONPOTABLE_API[[#This Row],[PWSID]], CW_PWSID_LIST, 0)), "")</f>
        <v>No</v>
      </c>
    </row>
    <row r="5580" spans="1:24" x14ac:dyDescent="0.25">
      <c r="A5580" t="s">
        <v>2358</v>
      </c>
      <c r="B5580" t="s">
        <v>2359</v>
      </c>
      <c r="C5580" t="s">
        <v>2366</v>
      </c>
      <c r="D5580" t="s">
        <v>2367</v>
      </c>
      <c r="E5580" s="9">
        <v>45413</v>
      </c>
      <c r="F5580" s="9">
        <v>45443</v>
      </c>
      <c r="G5580">
        <v>933642</v>
      </c>
      <c r="H5580">
        <v>61517</v>
      </c>
      <c r="I5580">
        <v>18315</v>
      </c>
      <c r="J5580">
        <v>0</v>
      </c>
      <c r="K5580">
        <v>0</v>
      </c>
      <c r="L5580">
        <v>300000</v>
      </c>
      <c r="M5580">
        <v>0</v>
      </c>
      <c r="T5580" s="9">
        <v>45108</v>
      </c>
      <c r="U5580" s="9">
        <v>45473</v>
      </c>
      <c r="V5580">
        <f>SUM(POTABLE_NONPOTABLE_API[[#This Row],[RESIDENTIAL_SINGLEFAMILY_GAL]:[OTHER_GAL]])</f>
        <v>1313474</v>
      </c>
      <c r="W5580">
        <f>SUM(POTABLE_NONPOTABLE_API[[#This Row],[NONPOTABLE_DEMAND_RESIDENTIAL_RECYCLED_WATER_GAL]:[NONPOTABLE_DEMAND_NONRESIDENTIAL_METERED_IRRIGATION_GAL]])</f>
        <v>0</v>
      </c>
      <c r="X5580" t="str">
        <f>IFERROR(INDEX(Crosswalk_API!$H$2:$H$527, MATCH(POTABLE_NONPOTABLE_API[[#This Row],[PWSID]], CW_PWSID_LIST, 0)), "")</f>
        <v>No</v>
      </c>
    </row>
    <row r="5581" spans="1:24" x14ac:dyDescent="0.25">
      <c r="A5581" t="s">
        <v>2358</v>
      </c>
      <c r="B5581" t="s">
        <v>2359</v>
      </c>
      <c r="C5581" t="s">
        <v>2366</v>
      </c>
      <c r="D5581" t="s">
        <v>2367</v>
      </c>
      <c r="E5581" s="9">
        <v>45444</v>
      </c>
      <c r="F5581" s="9">
        <v>45473</v>
      </c>
      <c r="G5581">
        <v>4152471</v>
      </c>
      <c r="H5581">
        <v>1193520</v>
      </c>
      <c r="I5581">
        <v>197055</v>
      </c>
      <c r="J5581">
        <v>0</v>
      </c>
      <c r="K5581">
        <v>0</v>
      </c>
      <c r="L5581">
        <v>0</v>
      </c>
      <c r="M5581">
        <v>0</v>
      </c>
      <c r="T5581" s="9">
        <v>45108</v>
      </c>
      <c r="U5581" s="9">
        <v>45473</v>
      </c>
      <c r="V5581">
        <f>SUM(POTABLE_NONPOTABLE_API[[#This Row],[RESIDENTIAL_SINGLEFAMILY_GAL]:[OTHER_GAL]])</f>
        <v>5543046</v>
      </c>
      <c r="W5581">
        <f>SUM(POTABLE_NONPOTABLE_API[[#This Row],[NONPOTABLE_DEMAND_RESIDENTIAL_RECYCLED_WATER_GAL]:[NONPOTABLE_DEMAND_NONRESIDENTIAL_METERED_IRRIGATION_GAL]])</f>
        <v>0</v>
      </c>
      <c r="X5581" t="str">
        <f>IFERROR(INDEX(Crosswalk_API!$H$2:$H$527, MATCH(POTABLE_NONPOTABLE_API[[#This Row],[PWSID]], CW_PWSID_LIST, 0)), "")</f>
        <v>No</v>
      </c>
    </row>
    <row r="5582" spans="1:24" x14ac:dyDescent="0.25">
      <c r="A5582" t="s">
        <v>2358</v>
      </c>
      <c r="B5582" t="s">
        <v>2359</v>
      </c>
      <c r="C5582" t="s">
        <v>2368</v>
      </c>
      <c r="D5582" t="s">
        <v>2369</v>
      </c>
      <c r="E5582" s="9">
        <v>45108</v>
      </c>
      <c r="F5582" s="9">
        <v>45138</v>
      </c>
      <c r="T5582" s="9">
        <v>45108</v>
      </c>
      <c r="U5582" s="9">
        <v>45473</v>
      </c>
      <c r="V5582">
        <f>SUM(POTABLE_NONPOTABLE_API[[#This Row],[RESIDENTIAL_SINGLEFAMILY_GAL]:[OTHER_GAL]])</f>
        <v>0</v>
      </c>
      <c r="W5582">
        <f>SUM(POTABLE_NONPOTABLE_API[[#This Row],[NONPOTABLE_DEMAND_RESIDENTIAL_RECYCLED_WATER_GAL]:[NONPOTABLE_DEMAND_NONRESIDENTIAL_METERED_IRRIGATION_GAL]])</f>
        <v>0</v>
      </c>
      <c r="X5582" t="str">
        <f>IFERROR(INDEX(Crosswalk_API!$H$2:$H$527, MATCH(POTABLE_NONPOTABLE_API[[#This Row],[PWSID]], CW_PWSID_LIST, 0)), "")</f>
        <v>No</v>
      </c>
    </row>
    <row r="5583" spans="1:24" x14ac:dyDescent="0.25">
      <c r="A5583" t="s">
        <v>2358</v>
      </c>
      <c r="B5583" t="s">
        <v>2359</v>
      </c>
      <c r="C5583" t="s">
        <v>2368</v>
      </c>
      <c r="D5583" t="s">
        <v>2369</v>
      </c>
      <c r="E5583" s="9">
        <v>45139</v>
      </c>
      <c r="F5583" s="9">
        <v>45169</v>
      </c>
      <c r="T5583" s="9">
        <v>45108</v>
      </c>
      <c r="U5583" s="9">
        <v>45473</v>
      </c>
      <c r="V5583">
        <f>SUM(POTABLE_NONPOTABLE_API[[#This Row],[RESIDENTIAL_SINGLEFAMILY_GAL]:[OTHER_GAL]])</f>
        <v>0</v>
      </c>
      <c r="W5583">
        <f>SUM(POTABLE_NONPOTABLE_API[[#This Row],[NONPOTABLE_DEMAND_RESIDENTIAL_RECYCLED_WATER_GAL]:[NONPOTABLE_DEMAND_NONRESIDENTIAL_METERED_IRRIGATION_GAL]])</f>
        <v>0</v>
      </c>
      <c r="X5583" t="str">
        <f>IFERROR(INDEX(Crosswalk_API!$H$2:$H$527, MATCH(POTABLE_NONPOTABLE_API[[#This Row],[PWSID]], CW_PWSID_LIST, 0)), "")</f>
        <v>No</v>
      </c>
    </row>
    <row r="5584" spans="1:24" x14ac:dyDescent="0.25">
      <c r="A5584" t="s">
        <v>2358</v>
      </c>
      <c r="B5584" t="s">
        <v>2359</v>
      </c>
      <c r="C5584" t="s">
        <v>2368</v>
      </c>
      <c r="D5584" t="s">
        <v>2369</v>
      </c>
      <c r="E5584" s="9">
        <v>45170</v>
      </c>
      <c r="F5584" s="9">
        <v>45199</v>
      </c>
      <c r="T5584" s="9">
        <v>45108</v>
      </c>
      <c r="U5584" s="9">
        <v>45473</v>
      </c>
      <c r="V5584">
        <f>SUM(POTABLE_NONPOTABLE_API[[#This Row],[RESIDENTIAL_SINGLEFAMILY_GAL]:[OTHER_GAL]])</f>
        <v>0</v>
      </c>
      <c r="W5584">
        <f>SUM(POTABLE_NONPOTABLE_API[[#This Row],[NONPOTABLE_DEMAND_RESIDENTIAL_RECYCLED_WATER_GAL]:[NONPOTABLE_DEMAND_NONRESIDENTIAL_METERED_IRRIGATION_GAL]])</f>
        <v>0</v>
      </c>
      <c r="X5584" t="str">
        <f>IFERROR(INDEX(Crosswalk_API!$H$2:$H$527, MATCH(POTABLE_NONPOTABLE_API[[#This Row],[PWSID]], CW_PWSID_LIST, 0)), "")</f>
        <v>No</v>
      </c>
    </row>
    <row r="5585" spans="1:24" x14ac:dyDescent="0.25">
      <c r="A5585" t="s">
        <v>2358</v>
      </c>
      <c r="B5585" t="s">
        <v>2359</v>
      </c>
      <c r="C5585" t="s">
        <v>2368</v>
      </c>
      <c r="D5585" t="s">
        <v>2369</v>
      </c>
      <c r="E5585" s="9">
        <v>45200</v>
      </c>
      <c r="F5585" s="9">
        <v>45230</v>
      </c>
      <c r="T5585" s="9">
        <v>45108</v>
      </c>
      <c r="U5585" s="9">
        <v>45473</v>
      </c>
      <c r="V5585">
        <f>SUM(POTABLE_NONPOTABLE_API[[#This Row],[RESIDENTIAL_SINGLEFAMILY_GAL]:[OTHER_GAL]])</f>
        <v>0</v>
      </c>
      <c r="W5585">
        <f>SUM(POTABLE_NONPOTABLE_API[[#This Row],[NONPOTABLE_DEMAND_RESIDENTIAL_RECYCLED_WATER_GAL]:[NONPOTABLE_DEMAND_NONRESIDENTIAL_METERED_IRRIGATION_GAL]])</f>
        <v>0</v>
      </c>
      <c r="X5585" t="str">
        <f>IFERROR(INDEX(Crosswalk_API!$H$2:$H$527, MATCH(POTABLE_NONPOTABLE_API[[#This Row],[PWSID]], CW_PWSID_LIST, 0)), "")</f>
        <v>No</v>
      </c>
    </row>
    <row r="5586" spans="1:24" x14ac:dyDescent="0.25">
      <c r="A5586" t="s">
        <v>2358</v>
      </c>
      <c r="B5586" t="s">
        <v>2359</v>
      </c>
      <c r="C5586" t="s">
        <v>2368</v>
      </c>
      <c r="D5586" t="s">
        <v>2369</v>
      </c>
      <c r="E5586" s="9">
        <v>45231</v>
      </c>
      <c r="F5586" s="9">
        <v>45260</v>
      </c>
      <c r="T5586" s="9">
        <v>45108</v>
      </c>
      <c r="U5586" s="9">
        <v>45473</v>
      </c>
      <c r="V5586">
        <f>SUM(POTABLE_NONPOTABLE_API[[#This Row],[RESIDENTIAL_SINGLEFAMILY_GAL]:[OTHER_GAL]])</f>
        <v>0</v>
      </c>
      <c r="W5586">
        <f>SUM(POTABLE_NONPOTABLE_API[[#This Row],[NONPOTABLE_DEMAND_RESIDENTIAL_RECYCLED_WATER_GAL]:[NONPOTABLE_DEMAND_NONRESIDENTIAL_METERED_IRRIGATION_GAL]])</f>
        <v>0</v>
      </c>
      <c r="X5586" t="str">
        <f>IFERROR(INDEX(Crosswalk_API!$H$2:$H$527, MATCH(POTABLE_NONPOTABLE_API[[#This Row],[PWSID]], CW_PWSID_LIST, 0)), "")</f>
        <v>No</v>
      </c>
    </row>
    <row r="5587" spans="1:24" x14ac:dyDescent="0.25">
      <c r="A5587" t="s">
        <v>2358</v>
      </c>
      <c r="B5587" t="s">
        <v>2359</v>
      </c>
      <c r="C5587" t="s">
        <v>2368</v>
      </c>
      <c r="D5587" t="s">
        <v>2369</v>
      </c>
      <c r="E5587" s="9">
        <v>45261</v>
      </c>
      <c r="F5587" s="9">
        <v>45291</v>
      </c>
      <c r="T5587" s="9">
        <v>45108</v>
      </c>
      <c r="U5587" s="9">
        <v>45473</v>
      </c>
      <c r="V5587">
        <f>SUM(POTABLE_NONPOTABLE_API[[#This Row],[RESIDENTIAL_SINGLEFAMILY_GAL]:[OTHER_GAL]])</f>
        <v>0</v>
      </c>
      <c r="W5587">
        <f>SUM(POTABLE_NONPOTABLE_API[[#This Row],[NONPOTABLE_DEMAND_RESIDENTIAL_RECYCLED_WATER_GAL]:[NONPOTABLE_DEMAND_NONRESIDENTIAL_METERED_IRRIGATION_GAL]])</f>
        <v>0</v>
      </c>
      <c r="X5587" t="str">
        <f>IFERROR(INDEX(Crosswalk_API!$H$2:$H$527, MATCH(POTABLE_NONPOTABLE_API[[#This Row],[PWSID]], CW_PWSID_LIST, 0)), "")</f>
        <v>No</v>
      </c>
    </row>
    <row r="5588" spans="1:24" x14ac:dyDescent="0.25">
      <c r="A5588" t="s">
        <v>2358</v>
      </c>
      <c r="B5588" t="s">
        <v>2359</v>
      </c>
      <c r="C5588" t="s">
        <v>2368</v>
      </c>
      <c r="D5588" t="s">
        <v>2369</v>
      </c>
      <c r="E5588" s="9">
        <v>45292</v>
      </c>
      <c r="F5588" s="9">
        <v>45322</v>
      </c>
      <c r="T5588" s="9">
        <v>45108</v>
      </c>
      <c r="U5588" s="9">
        <v>45473</v>
      </c>
      <c r="V5588">
        <f>SUM(POTABLE_NONPOTABLE_API[[#This Row],[RESIDENTIAL_SINGLEFAMILY_GAL]:[OTHER_GAL]])</f>
        <v>0</v>
      </c>
      <c r="W5588">
        <f>SUM(POTABLE_NONPOTABLE_API[[#This Row],[NONPOTABLE_DEMAND_RESIDENTIAL_RECYCLED_WATER_GAL]:[NONPOTABLE_DEMAND_NONRESIDENTIAL_METERED_IRRIGATION_GAL]])</f>
        <v>0</v>
      </c>
      <c r="X5588" t="str">
        <f>IFERROR(INDEX(Crosswalk_API!$H$2:$H$527, MATCH(POTABLE_NONPOTABLE_API[[#This Row],[PWSID]], CW_PWSID_LIST, 0)), "")</f>
        <v>No</v>
      </c>
    </row>
    <row r="5589" spans="1:24" x14ac:dyDescent="0.25">
      <c r="A5589" t="s">
        <v>2358</v>
      </c>
      <c r="B5589" t="s">
        <v>2359</v>
      </c>
      <c r="C5589" t="s">
        <v>2368</v>
      </c>
      <c r="D5589" t="s">
        <v>2369</v>
      </c>
      <c r="E5589" s="9">
        <v>45323</v>
      </c>
      <c r="F5589" s="9">
        <v>45351</v>
      </c>
      <c r="T5589" s="9">
        <v>45108</v>
      </c>
      <c r="U5589" s="9">
        <v>45473</v>
      </c>
      <c r="V5589">
        <f>SUM(POTABLE_NONPOTABLE_API[[#This Row],[RESIDENTIAL_SINGLEFAMILY_GAL]:[OTHER_GAL]])</f>
        <v>0</v>
      </c>
      <c r="W5589">
        <f>SUM(POTABLE_NONPOTABLE_API[[#This Row],[NONPOTABLE_DEMAND_RESIDENTIAL_RECYCLED_WATER_GAL]:[NONPOTABLE_DEMAND_NONRESIDENTIAL_METERED_IRRIGATION_GAL]])</f>
        <v>0</v>
      </c>
      <c r="X5589" t="str">
        <f>IFERROR(INDEX(Crosswalk_API!$H$2:$H$527, MATCH(POTABLE_NONPOTABLE_API[[#This Row],[PWSID]], CW_PWSID_LIST, 0)), "")</f>
        <v>No</v>
      </c>
    </row>
    <row r="5590" spans="1:24" x14ac:dyDescent="0.25">
      <c r="A5590" t="s">
        <v>2358</v>
      </c>
      <c r="B5590" t="s">
        <v>2359</v>
      </c>
      <c r="C5590" t="s">
        <v>2368</v>
      </c>
      <c r="D5590" t="s">
        <v>2369</v>
      </c>
      <c r="E5590" s="9">
        <v>45352</v>
      </c>
      <c r="F5590" s="9">
        <v>45382</v>
      </c>
      <c r="T5590" s="9">
        <v>45108</v>
      </c>
      <c r="U5590" s="9">
        <v>45473</v>
      </c>
      <c r="V5590">
        <f>SUM(POTABLE_NONPOTABLE_API[[#This Row],[RESIDENTIAL_SINGLEFAMILY_GAL]:[OTHER_GAL]])</f>
        <v>0</v>
      </c>
      <c r="W5590">
        <f>SUM(POTABLE_NONPOTABLE_API[[#This Row],[NONPOTABLE_DEMAND_RESIDENTIAL_RECYCLED_WATER_GAL]:[NONPOTABLE_DEMAND_NONRESIDENTIAL_METERED_IRRIGATION_GAL]])</f>
        <v>0</v>
      </c>
      <c r="X5590" t="str">
        <f>IFERROR(INDEX(Crosswalk_API!$H$2:$H$527, MATCH(POTABLE_NONPOTABLE_API[[#This Row],[PWSID]], CW_PWSID_LIST, 0)), "")</f>
        <v>No</v>
      </c>
    </row>
    <row r="5591" spans="1:24" x14ac:dyDescent="0.25">
      <c r="A5591" t="s">
        <v>2358</v>
      </c>
      <c r="B5591" t="s">
        <v>2359</v>
      </c>
      <c r="C5591" t="s">
        <v>2368</v>
      </c>
      <c r="D5591" t="s">
        <v>2369</v>
      </c>
      <c r="E5591" s="9">
        <v>45383</v>
      </c>
      <c r="F5591" s="9">
        <v>45412</v>
      </c>
      <c r="T5591" s="9">
        <v>45108</v>
      </c>
      <c r="U5591" s="9">
        <v>45473</v>
      </c>
      <c r="V5591">
        <f>SUM(POTABLE_NONPOTABLE_API[[#This Row],[RESIDENTIAL_SINGLEFAMILY_GAL]:[OTHER_GAL]])</f>
        <v>0</v>
      </c>
      <c r="W5591">
        <f>SUM(POTABLE_NONPOTABLE_API[[#This Row],[NONPOTABLE_DEMAND_RESIDENTIAL_RECYCLED_WATER_GAL]:[NONPOTABLE_DEMAND_NONRESIDENTIAL_METERED_IRRIGATION_GAL]])</f>
        <v>0</v>
      </c>
      <c r="X5591" t="str">
        <f>IFERROR(INDEX(Crosswalk_API!$H$2:$H$527, MATCH(POTABLE_NONPOTABLE_API[[#This Row],[PWSID]], CW_PWSID_LIST, 0)), "")</f>
        <v>No</v>
      </c>
    </row>
    <row r="5592" spans="1:24" x14ac:dyDescent="0.25">
      <c r="A5592" t="s">
        <v>2358</v>
      </c>
      <c r="B5592" t="s">
        <v>2359</v>
      </c>
      <c r="C5592" t="s">
        <v>2368</v>
      </c>
      <c r="D5592" t="s">
        <v>2369</v>
      </c>
      <c r="E5592" s="9">
        <v>45413</v>
      </c>
      <c r="F5592" s="9">
        <v>45443</v>
      </c>
      <c r="T5592" s="9">
        <v>45108</v>
      </c>
      <c r="U5592" s="9">
        <v>45473</v>
      </c>
      <c r="V5592">
        <f>SUM(POTABLE_NONPOTABLE_API[[#This Row],[RESIDENTIAL_SINGLEFAMILY_GAL]:[OTHER_GAL]])</f>
        <v>0</v>
      </c>
      <c r="W5592">
        <f>SUM(POTABLE_NONPOTABLE_API[[#This Row],[NONPOTABLE_DEMAND_RESIDENTIAL_RECYCLED_WATER_GAL]:[NONPOTABLE_DEMAND_NONRESIDENTIAL_METERED_IRRIGATION_GAL]])</f>
        <v>0</v>
      </c>
      <c r="X5592" t="str">
        <f>IFERROR(INDEX(Crosswalk_API!$H$2:$H$527, MATCH(POTABLE_NONPOTABLE_API[[#This Row],[PWSID]], CW_PWSID_LIST, 0)), "")</f>
        <v>No</v>
      </c>
    </row>
    <row r="5593" spans="1:24" x14ac:dyDescent="0.25">
      <c r="A5593" t="s">
        <v>2358</v>
      </c>
      <c r="B5593" t="s">
        <v>2359</v>
      </c>
      <c r="C5593" t="s">
        <v>2368</v>
      </c>
      <c r="D5593" t="s">
        <v>2369</v>
      </c>
      <c r="E5593" s="9">
        <v>45444</v>
      </c>
      <c r="F5593" s="9">
        <v>45473</v>
      </c>
      <c r="T5593" s="9">
        <v>45108</v>
      </c>
      <c r="U5593" s="9">
        <v>45473</v>
      </c>
      <c r="V5593">
        <f>SUM(POTABLE_NONPOTABLE_API[[#This Row],[RESIDENTIAL_SINGLEFAMILY_GAL]:[OTHER_GAL]])</f>
        <v>0</v>
      </c>
      <c r="W5593">
        <f>SUM(POTABLE_NONPOTABLE_API[[#This Row],[NONPOTABLE_DEMAND_RESIDENTIAL_RECYCLED_WATER_GAL]:[NONPOTABLE_DEMAND_NONRESIDENTIAL_METERED_IRRIGATION_GAL]])</f>
        <v>0</v>
      </c>
      <c r="X5593" t="str">
        <f>IFERROR(INDEX(Crosswalk_API!$H$2:$H$527, MATCH(POTABLE_NONPOTABLE_API[[#This Row],[PWSID]], CW_PWSID_LIST, 0)), "")</f>
        <v>No</v>
      </c>
    </row>
    <row r="5594" spans="1:24" x14ac:dyDescent="0.25">
      <c r="A5594" t="s">
        <v>2358</v>
      </c>
      <c r="B5594" t="s">
        <v>2359</v>
      </c>
      <c r="C5594" t="s">
        <v>2370</v>
      </c>
      <c r="D5594" t="s">
        <v>2371</v>
      </c>
      <c r="E5594" s="9">
        <v>45108</v>
      </c>
      <c r="F5594" s="9">
        <v>45138</v>
      </c>
      <c r="T5594" s="9">
        <v>45108</v>
      </c>
      <c r="U5594" s="9">
        <v>45473</v>
      </c>
      <c r="V5594">
        <f>SUM(POTABLE_NONPOTABLE_API[[#This Row],[RESIDENTIAL_SINGLEFAMILY_GAL]:[OTHER_GAL]])</f>
        <v>0</v>
      </c>
      <c r="W5594">
        <f>SUM(POTABLE_NONPOTABLE_API[[#This Row],[NONPOTABLE_DEMAND_RESIDENTIAL_RECYCLED_WATER_GAL]:[NONPOTABLE_DEMAND_NONRESIDENTIAL_METERED_IRRIGATION_GAL]])</f>
        <v>0</v>
      </c>
      <c r="X5594" t="str">
        <f>IFERROR(INDEX(Crosswalk_API!$H$2:$H$527, MATCH(POTABLE_NONPOTABLE_API[[#This Row],[PWSID]], CW_PWSID_LIST, 0)), "")</f>
        <v>No</v>
      </c>
    </row>
    <row r="5595" spans="1:24" x14ac:dyDescent="0.25">
      <c r="A5595" t="s">
        <v>2358</v>
      </c>
      <c r="B5595" t="s">
        <v>2359</v>
      </c>
      <c r="C5595" t="s">
        <v>2370</v>
      </c>
      <c r="D5595" t="s">
        <v>2371</v>
      </c>
      <c r="E5595" s="9">
        <v>45139</v>
      </c>
      <c r="F5595" s="9">
        <v>45169</v>
      </c>
      <c r="T5595" s="9">
        <v>45108</v>
      </c>
      <c r="U5595" s="9">
        <v>45473</v>
      </c>
      <c r="V5595">
        <f>SUM(POTABLE_NONPOTABLE_API[[#This Row],[RESIDENTIAL_SINGLEFAMILY_GAL]:[OTHER_GAL]])</f>
        <v>0</v>
      </c>
      <c r="W5595">
        <f>SUM(POTABLE_NONPOTABLE_API[[#This Row],[NONPOTABLE_DEMAND_RESIDENTIAL_RECYCLED_WATER_GAL]:[NONPOTABLE_DEMAND_NONRESIDENTIAL_METERED_IRRIGATION_GAL]])</f>
        <v>0</v>
      </c>
      <c r="X5595" t="str">
        <f>IFERROR(INDEX(Crosswalk_API!$H$2:$H$527, MATCH(POTABLE_NONPOTABLE_API[[#This Row],[PWSID]], CW_PWSID_LIST, 0)), "")</f>
        <v>No</v>
      </c>
    </row>
    <row r="5596" spans="1:24" x14ac:dyDescent="0.25">
      <c r="A5596" t="s">
        <v>2358</v>
      </c>
      <c r="B5596" t="s">
        <v>2359</v>
      </c>
      <c r="C5596" t="s">
        <v>2370</v>
      </c>
      <c r="D5596" t="s">
        <v>2371</v>
      </c>
      <c r="E5596" s="9">
        <v>45170</v>
      </c>
      <c r="F5596" s="9">
        <v>45199</v>
      </c>
      <c r="T5596" s="9">
        <v>45108</v>
      </c>
      <c r="U5596" s="9">
        <v>45473</v>
      </c>
      <c r="V5596">
        <f>SUM(POTABLE_NONPOTABLE_API[[#This Row],[RESIDENTIAL_SINGLEFAMILY_GAL]:[OTHER_GAL]])</f>
        <v>0</v>
      </c>
      <c r="W5596">
        <f>SUM(POTABLE_NONPOTABLE_API[[#This Row],[NONPOTABLE_DEMAND_RESIDENTIAL_RECYCLED_WATER_GAL]:[NONPOTABLE_DEMAND_NONRESIDENTIAL_METERED_IRRIGATION_GAL]])</f>
        <v>0</v>
      </c>
      <c r="X5596" t="str">
        <f>IFERROR(INDEX(Crosswalk_API!$H$2:$H$527, MATCH(POTABLE_NONPOTABLE_API[[#This Row],[PWSID]], CW_PWSID_LIST, 0)), "")</f>
        <v>No</v>
      </c>
    </row>
    <row r="5597" spans="1:24" x14ac:dyDescent="0.25">
      <c r="A5597" t="s">
        <v>2358</v>
      </c>
      <c r="B5597" t="s">
        <v>2359</v>
      </c>
      <c r="C5597" t="s">
        <v>2370</v>
      </c>
      <c r="D5597" t="s">
        <v>2371</v>
      </c>
      <c r="E5597" s="9">
        <v>45200</v>
      </c>
      <c r="F5597" s="9">
        <v>45230</v>
      </c>
      <c r="T5597" s="9">
        <v>45108</v>
      </c>
      <c r="U5597" s="9">
        <v>45473</v>
      </c>
      <c r="V5597">
        <f>SUM(POTABLE_NONPOTABLE_API[[#This Row],[RESIDENTIAL_SINGLEFAMILY_GAL]:[OTHER_GAL]])</f>
        <v>0</v>
      </c>
      <c r="W5597">
        <f>SUM(POTABLE_NONPOTABLE_API[[#This Row],[NONPOTABLE_DEMAND_RESIDENTIAL_RECYCLED_WATER_GAL]:[NONPOTABLE_DEMAND_NONRESIDENTIAL_METERED_IRRIGATION_GAL]])</f>
        <v>0</v>
      </c>
      <c r="X5597" t="str">
        <f>IFERROR(INDEX(Crosswalk_API!$H$2:$H$527, MATCH(POTABLE_NONPOTABLE_API[[#This Row],[PWSID]], CW_PWSID_LIST, 0)), "")</f>
        <v>No</v>
      </c>
    </row>
    <row r="5598" spans="1:24" x14ac:dyDescent="0.25">
      <c r="A5598" t="s">
        <v>2358</v>
      </c>
      <c r="B5598" t="s">
        <v>2359</v>
      </c>
      <c r="C5598" t="s">
        <v>2370</v>
      </c>
      <c r="D5598" t="s">
        <v>2371</v>
      </c>
      <c r="E5598" s="9">
        <v>45231</v>
      </c>
      <c r="F5598" s="9">
        <v>45260</v>
      </c>
      <c r="T5598" s="9">
        <v>45108</v>
      </c>
      <c r="U5598" s="9">
        <v>45473</v>
      </c>
      <c r="V5598">
        <f>SUM(POTABLE_NONPOTABLE_API[[#This Row],[RESIDENTIAL_SINGLEFAMILY_GAL]:[OTHER_GAL]])</f>
        <v>0</v>
      </c>
      <c r="W5598">
        <f>SUM(POTABLE_NONPOTABLE_API[[#This Row],[NONPOTABLE_DEMAND_RESIDENTIAL_RECYCLED_WATER_GAL]:[NONPOTABLE_DEMAND_NONRESIDENTIAL_METERED_IRRIGATION_GAL]])</f>
        <v>0</v>
      </c>
      <c r="X5598" t="str">
        <f>IFERROR(INDEX(Crosswalk_API!$H$2:$H$527, MATCH(POTABLE_NONPOTABLE_API[[#This Row],[PWSID]], CW_PWSID_LIST, 0)), "")</f>
        <v>No</v>
      </c>
    </row>
    <row r="5599" spans="1:24" x14ac:dyDescent="0.25">
      <c r="A5599" t="s">
        <v>2358</v>
      </c>
      <c r="B5599" t="s">
        <v>2359</v>
      </c>
      <c r="C5599" t="s">
        <v>2370</v>
      </c>
      <c r="D5599" t="s">
        <v>2371</v>
      </c>
      <c r="E5599" s="9">
        <v>45261</v>
      </c>
      <c r="F5599" s="9">
        <v>45291</v>
      </c>
      <c r="T5599" s="9">
        <v>45108</v>
      </c>
      <c r="U5599" s="9">
        <v>45473</v>
      </c>
      <c r="V5599">
        <f>SUM(POTABLE_NONPOTABLE_API[[#This Row],[RESIDENTIAL_SINGLEFAMILY_GAL]:[OTHER_GAL]])</f>
        <v>0</v>
      </c>
      <c r="W5599">
        <f>SUM(POTABLE_NONPOTABLE_API[[#This Row],[NONPOTABLE_DEMAND_RESIDENTIAL_RECYCLED_WATER_GAL]:[NONPOTABLE_DEMAND_NONRESIDENTIAL_METERED_IRRIGATION_GAL]])</f>
        <v>0</v>
      </c>
      <c r="X5599" t="str">
        <f>IFERROR(INDEX(Crosswalk_API!$H$2:$H$527, MATCH(POTABLE_NONPOTABLE_API[[#This Row],[PWSID]], CW_PWSID_LIST, 0)), "")</f>
        <v>No</v>
      </c>
    </row>
    <row r="5600" spans="1:24" x14ac:dyDescent="0.25">
      <c r="A5600" t="s">
        <v>2358</v>
      </c>
      <c r="B5600" t="s">
        <v>2359</v>
      </c>
      <c r="C5600" t="s">
        <v>2370</v>
      </c>
      <c r="D5600" t="s">
        <v>2371</v>
      </c>
      <c r="E5600" s="9">
        <v>45292</v>
      </c>
      <c r="F5600" s="9">
        <v>45322</v>
      </c>
      <c r="T5600" s="9">
        <v>45108</v>
      </c>
      <c r="U5600" s="9">
        <v>45473</v>
      </c>
      <c r="V5600">
        <f>SUM(POTABLE_NONPOTABLE_API[[#This Row],[RESIDENTIAL_SINGLEFAMILY_GAL]:[OTHER_GAL]])</f>
        <v>0</v>
      </c>
      <c r="W5600">
        <f>SUM(POTABLE_NONPOTABLE_API[[#This Row],[NONPOTABLE_DEMAND_RESIDENTIAL_RECYCLED_WATER_GAL]:[NONPOTABLE_DEMAND_NONRESIDENTIAL_METERED_IRRIGATION_GAL]])</f>
        <v>0</v>
      </c>
      <c r="X5600" t="str">
        <f>IFERROR(INDEX(Crosswalk_API!$H$2:$H$527, MATCH(POTABLE_NONPOTABLE_API[[#This Row],[PWSID]], CW_PWSID_LIST, 0)), "")</f>
        <v>No</v>
      </c>
    </row>
    <row r="5601" spans="1:24" x14ac:dyDescent="0.25">
      <c r="A5601" t="s">
        <v>2358</v>
      </c>
      <c r="B5601" t="s">
        <v>2359</v>
      </c>
      <c r="C5601" t="s">
        <v>2370</v>
      </c>
      <c r="D5601" t="s">
        <v>2371</v>
      </c>
      <c r="E5601" s="9">
        <v>45323</v>
      </c>
      <c r="F5601" s="9">
        <v>45351</v>
      </c>
      <c r="T5601" s="9">
        <v>45108</v>
      </c>
      <c r="U5601" s="9">
        <v>45473</v>
      </c>
      <c r="V5601">
        <f>SUM(POTABLE_NONPOTABLE_API[[#This Row],[RESIDENTIAL_SINGLEFAMILY_GAL]:[OTHER_GAL]])</f>
        <v>0</v>
      </c>
      <c r="W5601">
        <f>SUM(POTABLE_NONPOTABLE_API[[#This Row],[NONPOTABLE_DEMAND_RESIDENTIAL_RECYCLED_WATER_GAL]:[NONPOTABLE_DEMAND_NONRESIDENTIAL_METERED_IRRIGATION_GAL]])</f>
        <v>0</v>
      </c>
      <c r="X5601" t="str">
        <f>IFERROR(INDEX(Crosswalk_API!$H$2:$H$527, MATCH(POTABLE_NONPOTABLE_API[[#This Row],[PWSID]], CW_PWSID_LIST, 0)), "")</f>
        <v>No</v>
      </c>
    </row>
    <row r="5602" spans="1:24" x14ac:dyDescent="0.25">
      <c r="A5602" t="s">
        <v>2358</v>
      </c>
      <c r="B5602" t="s">
        <v>2359</v>
      </c>
      <c r="C5602" t="s">
        <v>2370</v>
      </c>
      <c r="D5602" t="s">
        <v>2371</v>
      </c>
      <c r="E5602" s="9">
        <v>45352</v>
      </c>
      <c r="F5602" s="9">
        <v>45382</v>
      </c>
      <c r="T5602" s="9">
        <v>45108</v>
      </c>
      <c r="U5602" s="9">
        <v>45473</v>
      </c>
      <c r="V5602">
        <f>SUM(POTABLE_NONPOTABLE_API[[#This Row],[RESIDENTIAL_SINGLEFAMILY_GAL]:[OTHER_GAL]])</f>
        <v>0</v>
      </c>
      <c r="W5602">
        <f>SUM(POTABLE_NONPOTABLE_API[[#This Row],[NONPOTABLE_DEMAND_RESIDENTIAL_RECYCLED_WATER_GAL]:[NONPOTABLE_DEMAND_NONRESIDENTIAL_METERED_IRRIGATION_GAL]])</f>
        <v>0</v>
      </c>
      <c r="X5602" t="str">
        <f>IFERROR(INDEX(Crosswalk_API!$H$2:$H$527, MATCH(POTABLE_NONPOTABLE_API[[#This Row],[PWSID]], CW_PWSID_LIST, 0)), "")</f>
        <v>No</v>
      </c>
    </row>
    <row r="5603" spans="1:24" x14ac:dyDescent="0.25">
      <c r="A5603" t="s">
        <v>2358</v>
      </c>
      <c r="B5603" t="s">
        <v>2359</v>
      </c>
      <c r="C5603" t="s">
        <v>2370</v>
      </c>
      <c r="D5603" t="s">
        <v>2371</v>
      </c>
      <c r="E5603" s="9">
        <v>45383</v>
      </c>
      <c r="F5603" s="9">
        <v>45412</v>
      </c>
      <c r="T5603" s="9">
        <v>45108</v>
      </c>
      <c r="U5603" s="9">
        <v>45473</v>
      </c>
      <c r="V5603">
        <f>SUM(POTABLE_NONPOTABLE_API[[#This Row],[RESIDENTIAL_SINGLEFAMILY_GAL]:[OTHER_GAL]])</f>
        <v>0</v>
      </c>
      <c r="W5603">
        <f>SUM(POTABLE_NONPOTABLE_API[[#This Row],[NONPOTABLE_DEMAND_RESIDENTIAL_RECYCLED_WATER_GAL]:[NONPOTABLE_DEMAND_NONRESIDENTIAL_METERED_IRRIGATION_GAL]])</f>
        <v>0</v>
      </c>
      <c r="X5603" t="str">
        <f>IFERROR(INDEX(Crosswalk_API!$H$2:$H$527, MATCH(POTABLE_NONPOTABLE_API[[#This Row],[PWSID]], CW_PWSID_LIST, 0)), "")</f>
        <v>No</v>
      </c>
    </row>
    <row r="5604" spans="1:24" x14ac:dyDescent="0.25">
      <c r="A5604" t="s">
        <v>2358</v>
      </c>
      <c r="B5604" t="s">
        <v>2359</v>
      </c>
      <c r="C5604" t="s">
        <v>2370</v>
      </c>
      <c r="D5604" t="s">
        <v>2371</v>
      </c>
      <c r="E5604" s="9">
        <v>45413</v>
      </c>
      <c r="F5604" s="9">
        <v>45443</v>
      </c>
      <c r="T5604" s="9">
        <v>45108</v>
      </c>
      <c r="U5604" s="9">
        <v>45473</v>
      </c>
      <c r="V5604">
        <f>SUM(POTABLE_NONPOTABLE_API[[#This Row],[RESIDENTIAL_SINGLEFAMILY_GAL]:[OTHER_GAL]])</f>
        <v>0</v>
      </c>
      <c r="W5604">
        <f>SUM(POTABLE_NONPOTABLE_API[[#This Row],[NONPOTABLE_DEMAND_RESIDENTIAL_RECYCLED_WATER_GAL]:[NONPOTABLE_DEMAND_NONRESIDENTIAL_METERED_IRRIGATION_GAL]])</f>
        <v>0</v>
      </c>
      <c r="X5604" t="str">
        <f>IFERROR(INDEX(Crosswalk_API!$H$2:$H$527, MATCH(POTABLE_NONPOTABLE_API[[#This Row],[PWSID]], CW_PWSID_LIST, 0)), "")</f>
        <v>No</v>
      </c>
    </row>
    <row r="5605" spans="1:24" x14ac:dyDescent="0.25">
      <c r="A5605" t="s">
        <v>2358</v>
      </c>
      <c r="B5605" t="s">
        <v>2359</v>
      </c>
      <c r="C5605" t="s">
        <v>2370</v>
      </c>
      <c r="D5605" t="s">
        <v>2371</v>
      </c>
      <c r="E5605" s="9">
        <v>45444</v>
      </c>
      <c r="F5605" s="9">
        <v>45473</v>
      </c>
      <c r="T5605" s="9">
        <v>45108</v>
      </c>
      <c r="U5605" s="9">
        <v>45473</v>
      </c>
      <c r="V5605">
        <f>SUM(POTABLE_NONPOTABLE_API[[#This Row],[RESIDENTIAL_SINGLEFAMILY_GAL]:[OTHER_GAL]])</f>
        <v>0</v>
      </c>
      <c r="W5605">
        <f>SUM(POTABLE_NONPOTABLE_API[[#This Row],[NONPOTABLE_DEMAND_RESIDENTIAL_RECYCLED_WATER_GAL]:[NONPOTABLE_DEMAND_NONRESIDENTIAL_METERED_IRRIGATION_GAL]])</f>
        <v>0</v>
      </c>
      <c r="X5605" t="str">
        <f>IFERROR(INDEX(Crosswalk_API!$H$2:$H$527, MATCH(POTABLE_NONPOTABLE_API[[#This Row],[PWSID]], CW_PWSID_LIST, 0)), "")</f>
        <v>No</v>
      </c>
    </row>
    <row r="5606" spans="1:24" x14ac:dyDescent="0.25">
      <c r="A5606" t="s">
        <v>2358</v>
      </c>
      <c r="B5606" t="s">
        <v>2359</v>
      </c>
      <c r="C5606" t="s">
        <v>2372</v>
      </c>
      <c r="D5606" t="s">
        <v>2373</v>
      </c>
      <c r="E5606" s="9">
        <v>45108</v>
      </c>
      <c r="F5606" s="9">
        <v>45138</v>
      </c>
      <c r="G5606">
        <v>657480</v>
      </c>
      <c r="H5606">
        <v>0</v>
      </c>
      <c r="I5606">
        <v>30</v>
      </c>
      <c r="J5606">
        <v>0</v>
      </c>
      <c r="K5606">
        <v>0</v>
      </c>
      <c r="L5606">
        <v>0</v>
      </c>
      <c r="M5606">
        <v>0</v>
      </c>
      <c r="T5606" s="9">
        <v>45108</v>
      </c>
      <c r="U5606" s="9">
        <v>45473</v>
      </c>
      <c r="V5606">
        <f>SUM(POTABLE_NONPOTABLE_API[[#This Row],[RESIDENTIAL_SINGLEFAMILY_GAL]:[OTHER_GAL]])</f>
        <v>657510</v>
      </c>
      <c r="W5606">
        <f>SUM(POTABLE_NONPOTABLE_API[[#This Row],[NONPOTABLE_DEMAND_RESIDENTIAL_RECYCLED_WATER_GAL]:[NONPOTABLE_DEMAND_NONRESIDENTIAL_METERED_IRRIGATION_GAL]])</f>
        <v>0</v>
      </c>
      <c r="X5606" t="str">
        <f>IFERROR(INDEX(Crosswalk_API!$H$2:$H$527, MATCH(POTABLE_NONPOTABLE_API[[#This Row],[PWSID]], CW_PWSID_LIST, 0)), "")</f>
        <v>No</v>
      </c>
    </row>
    <row r="5607" spans="1:24" x14ac:dyDescent="0.25">
      <c r="A5607" t="s">
        <v>2358</v>
      </c>
      <c r="B5607" t="s">
        <v>2359</v>
      </c>
      <c r="C5607" t="s">
        <v>2372</v>
      </c>
      <c r="D5607" t="s">
        <v>2373</v>
      </c>
      <c r="E5607" s="9">
        <v>45139</v>
      </c>
      <c r="F5607" s="9">
        <v>45169</v>
      </c>
      <c r="G5607">
        <v>743248</v>
      </c>
      <c r="H5607">
        <v>0</v>
      </c>
      <c r="I5607">
        <v>17</v>
      </c>
      <c r="J5607">
        <v>0</v>
      </c>
      <c r="K5607">
        <v>0</v>
      </c>
      <c r="L5607">
        <v>0</v>
      </c>
      <c r="M5607">
        <v>0</v>
      </c>
      <c r="T5607" s="9">
        <v>45108</v>
      </c>
      <c r="U5607" s="9">
        <v>45473</v>
      </c>
      <c r="V5607">
        <f>SUM(POTABLE_NONPOTABLE_API[[#This Row],[RESIDENTIAL_SINGLEFAMILY_GAL]:[OTHER_GAL]])</f>
        <v>743265</v>
      </c>
      <c r="W5607">
        <f>SUM(POTABLE_NONPOTABLE_API[[#This Row],[NONPOTABLE_DEMAND_RESIDENTIAL_RECYCLED_WATER_GAL]:[NONPOTABLE_DEMAND_NONRESIDENTIAL_METERED_IRRIGATION_GAL]])</f>
        <v>0</v>
      </c>
      <c r="X5607" t="str">
        <f>IFERROR(INDEX(Crosswalk_API!$H$2:$H$527, MATCH(POTABLE_NONPOTABLE_API[[#This Row],[PWSID]], CW_PWSID_LIST, 0)), "")</f>
        <v>No</v>
      </c>
    </row>
    <row r="5608" spans="1:24" x14ac:dyDescent="0.25">
      <c r="A5608" t="s">
        <v>2358</v>
      </c>
      <c r="B5608" t="s">
        <v>2359</v>
      </c>
      <c r="C5608" t="s">
        <v>2372</v>
      </c>
      <c r="D5608" t="s">
        <v>2373</v>
      </c>
      <c r="E5608" s="9">
        <v>45170</v>
      </c>
      <c r="F5608" s="9">
        <v>45199</v>
      </c>
      <c r="G5608">
        <v>627069</v>
      </c>
      <c r="H5608">
        <v>0</v>
      </c>
      <c r="I5608">
        <v>31</v>
      </c>
      <c r="J5608">
        <v>0</v>
      </c>
      <c r="K5608">
        <v>0</v>
      </c>
      <c r="L5608">
        <v>190000</v>
      </c>
      <c r="M5608">
        <v>0</v>
      </c>
      <c r="T5608" s="9">
        <v>45108</v>
      </c>
      <c r="U5608" s="9">
        <v>45473</v>
      </c>
      <c r="V5608">
        <f>SUM(POTABLE_NONPOTABLE_API[[#This Row],[RESIDENTIAL_SINGLEFAMILY_GAL]:[OTHER_GAL]])</f>
        <v>817100</v>
      </c>
      <c r="W5608">
        <f>SUM(POTABLE_NONPOTABLE_API[[#This Row],[NONPOTABLE_DEMAND_RESIDENTIAL_RECYCLED_WATER_GAL]:[NONPOTABLE_DEMAND_NONRESIDENTIAL_METERED_IRRIGATION_GAL]])</f>
        <v>0</v>
      </c>
      <c r="X5608" t="str">
        <f>IFERROR(INDEX(Crosswalk_API!$H$2:$H$527, MATCH(POTABLE_NONPOTABLE_API[[#This Row],[PWSID]], CW_PWSID_LIST, 0)), "")</f>
        <v>No</v>
      </c>
    </row>
    <row r="5609" spans="1:24" x14ac:dyDescent="0.25">
      <c r="A5609" t="s">
        <v>2358</v>
      </c>
      <c r="B5609" t="s">
        <v>2359</v>
      </c>
      <c r="C5609" t="s">
        <v>2372</v>
      </c>
      <c r="D5609" t="s">
        <v>2373</v>
      </c>
      <c r="E5609" s="9">
        <v>45200</v>
      </c>
      <c r="F5609" s="9">
        <v>45230</v>
      </c>
      <c r="G5609">
        <v>399705</v>
      </c>
      <c r="H5609">
        <v>0</v>
      </c>
      <c r="I5609">
        <v>19</v>
      </c>
      <c r="J5609">
        <v>0</v>
      </c>
      <c r="K5609">
        <v>0</v>
      </c>
      <c r="L5609">
        <v>0</v>
      </c>
      <c r="M5609">
        <v>0</v>
      </c>
      <c r="T5609" s="9">
        <v>45108</v>
      </c>
      <c r="U5609" s="9">
        <v>45473</v>
      </c>
      <c r="V5609">
        <f>SUM(POTABLE_NONPOTABLE_API[[#This Row],[RESIDENTIAL_SINGLEFAMILY_GAL]:[OTHER_GAL]])</f>
        <v>399724</v>
      </c>
      <c r="W5609">
        <f>SUM(POTABLE_NONPOTABLE_API[[#This Row],[NONPOTABLE_DEMAND_RESIDENTIAL_RECYCLED_WATER_GAL]:[NONPOTABLE_DEMAND_NONRESIDENTIAL_METERED_IRRIGATION_GAL]])</f>
        <v>0</v>
      </c>
      <c r="X5609" t="str">
        <f>IFERROR(INDEX(Crosswalk_API!$H$2:$H$527, MATCH(POTABLE_NONPOTABLE_API[[#This Row],[PWSID]], CW_PWSID_LIST, 0)), "")</f>
        <v>No</v>
      </c>
    </row>
    <row r="5610" spans="1:24" x14ac:dyDescent="0.25">
      <c r="A5610" t="s">
        <v>2358</v>
      </c>
      <c r="B5610" t="s">
        <v>2359</v>
      </c>
      <c r="C5610" t="s">
        <v>2372</v>
      </c>
      <c r="D5610" t="s">
        <v>2373</v>
      </c>
      <c r="E5610" s="9">
        <v>45231</v>
      </c>
      <c r="F5610" s="9">
        <v>45260</v>
      </c>
      <c r="G5610">
        <v>233149</v>
      </c>
      <c r="H5610">
        <v>0</v>
      </c>
      <c r="I5610">
        <v>87</v>
      </c>
      <c r="J5610">
        <v>0</v>
      </c>
      <c r="K5610">
        <v>0</v>
      </c>
      <c r="L5610">
        <v>0</v>
      </c>
      <c r="M5610">
        <v>0</v>
      </c>
      <c r="T5610" s="9">
        <v>45108</v>
      </c>
      <c r="U5610" s="9">
        <v>45473</v>
      </c>
      <c r="V5610">
        <f>SUM(POTABLE_NONPOTABLE_API[[#This Row],[RESIDENTIAL_SINGLEFAMILY_GAL]:[OTHER_GAL]])</f>
        <v>233236</v>
      </c>
      <c r="W5610">
        <f>SUM(POTABLE_NONPOTABLE_API[[#This Row],[NONPOTABLE_DEMAND_RESIDENTIAL_RECYCLED_WATER_GAL]:[NONPOTABLE_DEMAND_NONRESIDENTIAL_METERED_IRRIGATION_GAL]])</f>
        <v>0</v>
      </c>
      <c r="X5610" t="str">
        <f>IFERROR(INDEX(Crosswalk_API!$H$2:$H$527, MATCH(POTABLE_NONPOTABLE_API[[#This Row],[PWSID]], CW_PWSID_LIST, 0)), "")</f>
        <v>No</v>
      </c>
    </row>
    <row r="5611" spans="1:24" x14ac:dyDescent="0.25">
      <c r="A5611" t="s">
        <v>2358</v>
      </c>
      <c r="B5611" t="s">
        <v>2359</v>
      </c>
      <c r="C5611" t="s">
        <v>2372</v>
      </c>
      <c r="D5611" t="s">
        <v>2373</v>
      </c>
      <c r="E5611" s="9">
        <v>45261</v>
      </c>
      <c r="F5611" s="9">
        <v>45291</v>
      </c>
      <c r="G5611">
        <v>184900</v>
      </c>
      <c r="H5611">
        <v>0</v>
      </c>
      <c r="I5611">
        <v>142</v>
      </c>
      <c r="J5611">
        <v>0</v>
      </c>
      <c r="K5611">
        <v>0</v>
      </c>
      <c r="L5611">
        <v>0</v>
      </c>
      <c r="M5611">
        <v>0</v>
      </c>
      <c r="T5611" s="9">
        <v>45108</v>
      </c>
      <c r="U5611" s="9">
        <v>45473</v>
      </c>
      <c r="V5611">
        <f>SUM(POTABLE_NONPOTABLE_API[[#This Row],[RESIDENTIAL_SINGLEFAMILY_GAL]:[OTHER_GAL]])</f>
        <v>185042</v>
      </c>
      <c r="W5611">
        <f>SUM(POTABLE_NONPOTABLE_API[[#This Row],[NONPOTABLE_DEMAND_RESIDENTIAL_RECYCLED_WATER_GAL]:[NONPOTABLE_DEMAND_NONRESIDENTIAL_METERED_IRRIGATION_GAL]])</f>
        <v>0</v>
      </c>
      <c r="X5611" t="str">
        <f>IFERROR(INDEX(Crosswalk_API!$H$2:$H$527, MATCH(POTABLE_NONPOTABLE_API[[#This Row],[PWSID]], CW_PWSID_LIST, 0)), "")</f>
        <v>No</v>
      </c>
    </row>
    <row r="5612" spans="1:24" x14ac:dyDescent="0.25">
      <c r="A5612" t="s">
        <v>2358</v>
      </c>
      <c r="B5612" t="s">
        <v>2359</v>
      </c>
      <c r="C5612" t="s">
        <v>2372</v>
      </c>
      <c r="D5612" t="s">
        <v>2373</v>
      </c>
      <c r="E5612" s="9">
        <v>45292</v>
      </c>
      <c r="F5612" s="9">
        <v>45322</v>
      </c>
      <c r="G5612">
        <v>285152</v>
      </c>
      <c r="H5612">
        <v>0</v>
      </c>
      <c r="I5612">
        <v>44</v>
      </c>
      <c r="J5612">
        <v>0</v>
      </c>
      <c r="K5612">
        <v>0</v>
      </c>
      <c r="L5612">
        <v>0</v>
      </c>
      <c r="M5612">
        <v>0</v>
      </c>
      <c r="T5612" s="9">
        <v>45108</v>
      </c>
      <c r="U5612" s="9">
        <v>45473</v>
      </c>
      <c r="V5612">
        <f>SUM(POTABLE_NONPOTABLE_API[[#This Row],[RESIDENTIAL_SINGLEFAMILY_GAL]:[OTHER_GAL]])</f>
        <v>285196</v>
      </c>
      <c r="W5612">
        <f>SUM(POTABLE_NONPOTABLE_API[[#This Row],[NONPOTABLE_DEMAND_RESIDENTIAL_RECYCLED_WATER_GAL]:[NONPOTABLE_DEMAND_NONRESIDENTIAL_METERED_IRRIGATION_GAL]])</f>
        <v>0</v>
      </c>
      <c r="X5612" t="str">
        <f>IFERROR(INDEX(Crosswalk_API!$H$2:$H$527, MATCH(POTABLE_NONPOTABLE_API[[#This Row],[PWSID]], CW_PWSID_LIST, 0)), "")</f>
        <v>No</v>
      </c>
    </row>
    <row r="5613" spans="1:24" x14ac:dyDescent="0.25">
      <c r="A5613" t="s">
        <v>2358</v>
      </c>
      <c r="B5613" t="s">
        <v>2359</v>
      </c>
      <c r="C5613" t="s">
        <v>2372</v>
      </c>
      <c r="D5613" t="s">
        <v>2373</v>
      </c>
      <c r="E5613" s="9">
        <v>45323</v>
      </c>
      <c r="F5613" s="9">
        <v>45351</v>
      </c>
      <c r="G5613">
        <v>227389</v>
      </c>
      <c r="H5613">
        <v>0</v>
      </c>
      <c r="I5613">
        <v>12</v>
      </c>
      <c r="J5613">
        <v>0</v>
      </c>
      <c r="K5613">
        <v>0</v>
      </c>
      <c r="L5613">
        <v>0</v>
      </c>
      <c r="M5613">
        <v>0</v>
      </c>
      <c r="T5613" s="9">
        <v>45108</v>
      </c>
      <c r="U5613" s="9">
        <v>45473</v>
      </c>
      <c r="V5613">
        <f>SUM(POTABLE_NONPOTABLE_API[[#This Row],[RESIDENTIAL_SINGLEFAMILY_GAL]:[OTHER_GAL]])</f>
        <v>227401</v>
      </c>
      <c r="W5613">
        <f>SUM(POTABLE_NONPOTABLE_API[[#This Row],[NONPOTABLE_DEMAND_RESIDENTIAL_RECYCLED_WATER_GAL]:[NONPOTABLE_DEMAND_NONRESIDENTIAL_METERED_IRRIGATION_GAL]])</f>
        <v>0</v>
      </c>
      <c r="X5613" t="str">
        <f>IFERROR(INDEX(Crosswalk_API!$H$2:$H$527, MATCH(POTABLE_NONPOTABLE_API[[#This Row],[PWSID]], CW_PWSID_LIST, 0)), "")</f>
        <v>No</v>
      </c>
    </row>
    <row r="5614" spans="1:24" x14ac:dyDescent="0.25">
      <c r="A5614" t="s">
        <v>2358</v>
      </c>
      <c r="B5614" t="s">
        <v>2359</v>
      </c>
      <c r="C5614" t="s">
        <v>2372</v>
      </c>
      <c r="D5614" t="s">
        <v>2373</v>
      </c>
      <c r="E5614" s="9">
        <v>45352</v>
      </c>
      <c r="F5614" s="9">
        <v>45382</v>
      </c>
      <c r="G5614">
        <v>232806</v>
      </c>
      <c r="H5614">
        <v>0</v>
      </c>
      <c r="I5614">
        <v>5</v>
      </c>
      <c r="J5614">
        <v>0</v>
      </c>
      <c r="K5614">
        <v>0</v>
      </c>
      <c r="L5614">
        <v>0</v>
      </c>
      <c r="M5614">
        <v>0</v>
      </c>
      <c r="T5614" s="9">
        <v>45108</v>
      </c>
      <c r="U5614" s="9">
        <v>45473</v>
      </c>
      <c r="V5614">
        <f>SUM(POTABLE_NONPOTABLE_API[[#This Row],[RESIDENTIAL_SINGLEFAMILY_GAL]:[OTHER_GAL]])</f>
        <v>232811</v>
      </c>
      <c r="W5614">
        <f>SUM(POTABLE_NONPOTABLE_API[[#This Row],[NONPOTABLE_DEMAND_RESIDENTIAL_RECYCLED_WATER_GAL]:[NONPOTABLE_DEMAND_NONRESIDENTIAL_METERED_IRRIGATION_GAL]])</f>
        <v>0</v>
      </c>
      <c r="X5614" t="str">
        <f>IFERROR(INDEX(Crosswalk_API!$H$2:$H$527, MATCH(POTABLE_NONPOTABLE_API[[#This Row],[PWSID]], CW_PWSID_LIST, 0)), "")</f>
        <v>No</v>
      </c>
    </row>
    <row r="5615" spans="1:24" x14ac:dyDescent="0.25">
      <c r="A5615" t="s">
        <v>2358</v>
      </c>
      <c r="B5615" t="s">
        <v>2359</v>
      </c>
      <c r="C5615" t="s">
        <v>2372</v>
      </c>
      <c r="D5615" t="s">
        <v>2373</v>
      </c>
      <c r="E5615" s="9">
        <v>45383</v>
      </c>
      <c r="F5615" s="9">
        <v>45412</v>
      </c>
      <c r="G5615">
        <v>217314</v>
      </c>
      <c r="H5615">
        <v>0</v>
      </c>
      <c r="I5615">
        <v>4</v>
      </c>
      <c r="J5615">
        <v>0</v>
      </c>
      <c r="K5615">
        <v>0</v>
      </c>
      <c r="L5615">
        <v>0</v>
      </c>
      <c r="M5615">
        <v>0</v>
      </c>
      <c r="T5615" s="9">
        <v>45108</v>
      </c>
      <c r="U5615" s="9">
        <v>45473</v>
      </c>
      <c r="V5615">
        <f>SUM(POTABLE_NONPOTABLE_API[[#This Row],[RESIDENTIAL_SINGLEFAMILY_GAL]:[OTHER_GAL]])</f>
        <v>217318</v>
      </c>
      <c r="W5615">
        <f>SUM(POTABLE_NONPOTABLE_API[[#This Row],[NONPOTABLE_DEMAND_RESIDENTIAL_RECYCLED_WATER_GAL]:[NONPOTABLE_DEMAND_NONRESIDENTIAL_METERED_IRRIGATION_GAL]])</f>
        <v>0</v>
      </c>
      <c r="X5615" t="str">
        <f>IFERROR(INDEX(Crosswalk_API!$H$2:$H$527, MATCH(POTABLE_NONPOTABLE_API[[#This Row],[PWSID]], CW_PWSID_LIST, 0)), "")</f>
        <v>No</v>
      </c>
    </row>
    <row r="5616" spans="1:24" x14ac:dyDescent="0.25">
      <c r="A5616" t="s">
        <v>2358</v>
      </c>
      <c r="B5616" t="s">
        <v>2359</v>
      </c>
      <c r="C5616" t="s">
        <v>2372</v>
      </c>
      <c r="D5616" t="s">
        <v>2373</v>
      </c>
      <c r="E5616" s="9">
        <v>45413</v>
      </c>
      <c r="F5616" s="9">
        <v>45443</v>
      </c>
      <c r="G5616">
        <v>159110</v>
      </c>
      <c r="H5616">
        <v>0</v>
      </c>
      <c r="I5616">
        <v>2</v>
      </c>
      <c r="J5616">
        <v>0</v>
      </c>
      <c r="K5616">
        <v>0</v>
      </c>
      <c r="L5616">
        <v>0</v>
      </c>
      <c r="M5616">
        <v>0</v>
      </c>
      <c r="T5616" s="9">
        <v>45108</v>
      </c>
      <c r="U5616" s="9">
        <v>45473</v>
      </c>
      <c r="V5616">
        <f>SUM(POTABLE_NONPOTABLE_API[[#This Row],[RESIDENTIAL_SINGLEFAMILY_GAL]:[OTHER_GAL]])</f>
        <v>159112</v>
      </c>
      <c r="W5616">
        <f>SUM(POTABLE_NONPOTABLE_API[[#This Row],[NONPOTABLE_DEMAND_RESIDENTIAL_RECYCLED_WATER_GAL]:[NONPOTABLE_DEMAND_NONRESIDENTIAL_METERED_IRRIGATION_GAL]])</f>
        <v>0</v>
      </c>
      <c r="X5616" t="str">
        <f>IFERROR(INDEX(Crosswalk_API!$H$2:$H$527, MATCH(POTABLE_NONPOTABLE_API[[#This Row],[PWSID]], CW_PWSID_LIST, 0)), "")</f>
        <v>No</v>
      </c>
    </row>
    <row r="5617" spans="1:24" x14ac:dyDescent="0.25">
      <c r="A5617" t="s">
        <v>2358</v>
      </c>
      <c r="B5617" t="s">
        <v>2359</v>
      </c>
      <c r="C5617" t="s">
        <v>2372</v>
      </c>
      <c r="D5617" t="s">
        <v>2373</v>
      </c>
      <c r="E5617" s="9">
        <v>45444</v>
      </c>
      <c r="F5617" s="9">
        <v>45473</v>
      </c>
      <c r="G5617">
        <v>478086</v>
      </c>
      <c r="H5617">
        <v>0</v>
      </c>
      <c r="I5617">
        <v>139</v>
      </c>
      <c r="J5617">
        <v>0</v>
      </c>
      <c r="K5617">
        <v>0</v>
      </c>
      <c r="L5617">
        <v>0</v>
      </c>
      <c r="M5617">
        <v>0</v>
      </c>
      <c r="T5617" s="9">
        <v>45108</v>
      </c>
      <c r="U5617" s="9">
        <v>45473</v>
      </c>
      <c r="V5617">
        <f>SUM(POTABLE_NONPOTABLE_API[[#This Row],[RESIDENTIAL_SINGLEFAMILY_GAL]:[OTHER_GAL]])</f>
        <v>478225</v>
      </c>
      <c r="W5617">
        <f>SUM(POTABLE_NONPOTABLE_API[[#This Row],[NONPOTABLE_DEMAND_RESIDENTIAL_RECYCLED_WATER_GAL]:[NONPOTABLE_DEMAND_NONRESIDENTIAL_METERED_IRRIGATION_GAL]])</f>
        <v>0</v>
      </c>
      <c r="X5617" t="str">
        <f>IFERROR(INDEX(Crosswalk_API!$H$2:$H$527, MATCH(POTABLE_NONPOTABLE_API[[#This Row],[PWSID]], CW_PWSID_LIST, 0)), "")</f>
        <v>No</v>
      </c>
    </row>
    <row r="5618" spans="1:24" x14ac:dyDescent="0.25">
      <c r="A5618" t="s">
        <v>2374</v>
      </c>
      <c r="B5618" t="s">
        <v>2375</v>
      </c>
      <c r="C5618" t="s">
        <v>2376</v>
      </c>
      <c r="D5618" t="s">
        <v>2377</v>
      </c>
      <c r="E5618" s="9">
        <v>45108</v>
      </c>
      <c r="F5618" s="9">
        <v>45138</v>
      </c>
      <c r="G5618">
        <v>43418994.048</v>
      </c>
      <c r="H5618">
        <v>7258331.0249999994</v>
      </c>
      <c r="I5618">
        <v>12753808.140000001</v>
      </c>
      <c r="J5618">
        <v>10338600.528000001</v>
      </c>
      <c r="K5618">
        <v>403077.68700000003</v>
      </c>
      <c r="L5618">
        <v>0</v>
      </c>
      <c r="M5618">
        <v>0</v>
      </c>
      <c r="T5618" s="9">
        <v>45108</v>
      </c>
      <c r="U5618" s="9">
        <v>45473</v>
      </c>
      <c r="V5618">
        <f>SUM(POTABLE_NONPOTABLE_API[[#This Row],[RESIDENTIAL_SINGLEFAMILY_GAL]:[OTHER_GAL]])</f>
        <v>74172811.428000003</v>
      </c>
      <c r="W5618">
        <f>SUM(POTABLE_NONPOTABLE_API[[#This Row],[NONPOTABLE_DEMAND_RESIDENTIAL_RECYCLED_WATER_GAL]:[NONPOTABLE_DEMAND_NONRESIDENTIAL_METERED_IRRIGATION_GAL]])</f>
        <v>0</v>
      </c>
      <c r="X5618" t="str">
        <f>IFERROR(INDEX(Crosswalk_API!$H$2:$H$527, MATCH(POTABLE_NONPOTABLE_API[[#This Row],[PWSID]], CW_PWSID_LIST, 0)), "")</f>
        <v>No</v>
      </c>
    </row>
    <row r="5619" spans="1:24" x14ac:dyDescent="0.25">
      <c r="A5619" t="s">
        <v>2374</v>
      </c>
      <c r="B5619" t="s">
        <v>2375</v>
      </c>
      <c r="C5619" t="s">
        <v>2376</v>
      </c>
      <c r="D5619" t="s">
        <v>2377</v>
      </c>
      <c r="E5619" s="9">
        <v>45139</v>
      </c>
      <c r="F5619" s="9">
        <v>45169</v>
      </c>
      <c r="G5619">
        <v>33362254.635000002</v>
      </c>
      <c r="H5619">
        <v>6330307.3770000003</v>
      </c>
      <c r="I5619">
        <v>11145733.455</v>
      </c>
      <c r="J5619">
        <v>8137477.023</v>
      </c>
      <c r="K5619">
        <v>341165.99699999997</v>
      </c>
      <c r="L5619">
        <v>714917.09400000004</v>
      </c>
      <c r="M5619">
        <v>0</v>
      </c>
      <c r="T5619" s="9">
        <v>45108</v>
      </c>
      <c r="U5619" s="9">
        <v>45473</v>
      </c>
      <c r="V5619">
        <f>SUM(POTABLE_NONPOTABLE_API[[#This Row],[RESIDENTIAL_SINGLEFAMILY_GAL]:[OTHER_GAL]])</f>
        <v>60031855.581</v>
      </c>
      <c r="W5619">
        <f>SUM(POTABLE_NONPOTABLE_API[[#This Row],[NONPOTABLE_DEMAND_RESIDENTIAL_RECYCLED_WATER_GAL]:[NONPOTABLE_DEMAND_NONRESIDENTIAL_METERED_IRRIGATION_GAL]])</f>
        <v>0</v>
      </c>
      <c r="X5619" t="str">
        <f>IFERROR(INDEX(Crosswalk_API!$H$2:$H$527, MATCH(POTABLE_NONPOTABLE_API[[#This Row],[PWSID]], CW_PWSID_LIST, 0)), "")</f>
        <v>No</v>
      </c>
    </row>
    <row r="5620" spans="1:24" x14ac:dyDescent="0.25">
      <c r="A5620" t="s">
        <v>2374</v>
      </c>
      <c r="B5620" t="s">
        <v>2375</v>
      </c>
      <c r="C5620" t="s">
        <v>2376</v>
      </c>
      <c r="D5620" t="s">
        <v>2377</v>
      </c>
      <c r="E5620" s="9">
        <v>45170</v>
      </c>
      <c r="F5620" s="9">
        <v>45199</v>
      </c>
      <c r="G5620">
        <v>27890890.493999999</v>
      </c>
      <c r="H5620">
        <v>5327337.9989999998</v>
      </c>
      <c r="I5620">
        <v>9094501.4100000001</v>
      </c>
      <c r="J5620">
        <v>6529402.3380000005</v>
      </c>
      <c r="K5620">
        <v>245039.95199999999</v>
      </c>
      <c r="L5620">
        <v>554924.25300000003</v>
      </c>
      <c r="M5620">
        <v>0</v>
      </c>
      <c r="T5620" s="9">
        <v>45108</v>
      </c>
      <c r="U5620" s="9">
        <v>45473</v>
      </c>
      <c r="V5620">
        <f>SUM(POTABLE_NONPOTABLE_API[[#This Row],[RESIDENTIAL_SINGLEFAMILY_GAL]:[OTHER_GAL]])</f>
        <v>49642096.445999995</v>
      </c>
      <c r="W5620">
        <f>SUM(POTABLE_NONPOTABLE_API[[#This Row],[NONPOTABLE_DEMAND_RESIDENTIAL_RECYCLED_WATER_GAL]:[NONPOTABLE_DEMAND_NONRESIDENTIAL_METERED_IRRIGATION_GAL]])</f>
        <v>0</v>
      </c>
      <c r="X5620" t="str">
        <f>IFERROR(INDEX(Crosswalk_API!$H$2:$H$527, MATCH(POTABLE_NONPOTABLE_API[[#This Row],[PWSID]], CW_PWSID_LIST, 0)), "")</f>
        <v>No</v>
      </c>
    </row>
    <row r="5621" spans="1:24" x14ac:dyDescent="0.25">
      <c r="A5621" t="s">
        <v>2374</v>
      </c>
      <c r="B5621" t="s">
        <v>2375</v>
      </c>
      <c r="C5621" t="s">
        <v>2376</v>
      </c>
      <c r="D5621" t="s">
        <v>2377</v>
      </c>
      <c r="E5621" s="9">
        <v>45200</v>
      </c>
      <c r="F5621" s="9">
        <v>45230</v>
      </c>
      <c r="G5621">
        <v>27240817.749000002</v>
      </c>
      <c r="H5621">
        <v>5689358.46</v>
      </c>
      <c r="I5621">
        <v>5409452.4509999994</v>
      </c>
      <c r="J5621">
        <v>4975418.9189999998</v>
      </c>
      <c r="K5621">
        <v>287074.73100000003</v>
      </c>
      <c r="L5621">
        <v>4249422.8909999998</v>
      </c>
      <c r="M5621">
        <v>0</v>
      </c>
      <c r="T5621" s="9">
        <v>45108</v>
      </c>
      <c r="U5621" s="9">
        <v>45473</v>
      </c>
      <c r="V5621">
        <f>SUM(POTABLE_NONPOTABLE_API[[#This Row],[RESIDENTIAL_SINGLEFAMILY_GAL]:[OTHER_GAL]])</f>
        <v>47851545.201000005</v>
      </c>
      <c r="W5621">
        <f>SUM(POTABLE_NONPOTABLE_API[[#This Row],[NONPOTABLE_DEMAND_RESIDENTIAL_RECYCLED_WATER_GAL]:[NONPOTABLE_DEMAND_NONRESIDENTIAL_METERED_IRRIGATION_GAL]])</f>
        <v>0</v>
      </c>
      <c r="X5621" t="str">
        <f>IFERROR(INDEX(Crosswalk_API!$H$2:$H$527, MATCH(POTABLE_NONPOTABLE_API[[#This Row],[PWSID]], CW_PWSID_LIST, 0)), "")</f>
        <v>No</v>
      </c>
    </row>
    <row r="5622" spans="1:24" x14ac:dyDescent="0.25">
      <c r="A5622" t="s">
        <v>2374</v>
      </c>
      <c r="B5622" t="s">
        <v>2375</v>
      </c>
      <c r="C5622" t="s">
        <v>2376</v>
      </c>
      <c r="D5622" t="s">
        <v>2377</v>
      </c>
      <c r="E5622" s="9">
        <v>45231</v>
      </c>
      <c r="F5622" s="9">
        <v>45260</v>
      </c>
      <c r="G5622">
        <v>16272021.387</v>
      </c>
      <c r="H5622">
        <v>3460211.7689999999</v>
      </c>
      <c r="I5622">
        <v>4070204.841</v>
      </c>
      <c r="J5622">
        <v>3708184.3800000004</v>
      </c>
      <c r="K5622">
        <v>191926.239</v>
      </c>
      <c r="L5622">
        <v>2345149.6469999999</v>
      </c>
      <c r="M5622">
        <v>0</v>
      </c>
      <c r="T5622" s="9">
        <v>45108</v>
      </c>
      <c r="U5622" s="9">
        <v>45473</v>
      </c>
      <c r="V5622">
        <f>SUM(POTABLE_NONPOTABLE_API[[#This Row],[RESIDENTIAL_SINGLEFAMILY_GAL]:[OTHER_GAL]])</f>
        <v>30047698.263</v>
      </c>
      <c r="W5622">
        <f>SUM(POTABLE_NONPOTABLE_API[[#This Row],[NONPOTABLE_DEMAND_RESIDENTIAL_RECYCLED_WATER_GAL]:[NONPOTABLE_DEMAND_NONRESIDENTIAL_METERED_IRRIGATION_GAL]])</f>
        <v>0</v>
      </c>
      <c r="X5622" t="str">
        <f>IFERROR(INDEX(Crosswalk_API!$H$2:$H$527, MATCH(POTABLE_NONPOTABLE_API[[#This Row],[PWSID]], CW_PWSID_LIST, 0)), "")</f>
        <v>No</v>
      </c>
    </row>
    <row r="5623" spans="1:24" x14ac:dyDescent="0.25">
      <c r="A5623" t="s">
        <v>2374</v>
      </c>
      <c r="B5623" t="s">
        <v>2375</v>
      </c>
      <c r="C5623" t="s">
        <v>2376</v>
      </c>
      <c r="D5623" t="s">
        <v>2377</v>
      </c>
      <c r="E5623" s="9">
        <v>45261</v>
      </c>
      <c r="F5623" s="9">
        <v>45291</v>
      </c>
      <c r="G5623">
        <v>31999219.901999999</v>
      </c>
      <c r="H5623">
        <v>3034324.5119999996</v>
      </c>
      <c r="I5623">
        <v>5355361.1849999996</v>
      </c>
      <c r="J5623">
        <v>1649131.9110000001</v>
      </c>
      <c r="K5623">
        <v>170094.22200000001</v>
      </c>
      <c r="L5623">
        <v>236893.677</v>
      </c>
      <c r="M5623">
        <v>0</v>
      </c>
      <c r="T5623" s="9">
        <v>45108</v>
      </c>
      <c r="U5623" s="9">
        <v>45473</v>
      </c>
      <c r="V5623">
        <f>SUM(POTABLE_NONPOTABLE_API[[#This Row],[RESIDENTIAL_SINGLEFAMILY_GAL]:[OTHER_GAL]])</f>
        <v>42445025.409000002</v>
      </c>
      <c r="W5623">
        <f>SUM(POTABLE_NONPOTABLE_API[[#This Row],[NONPOTABLE_DEMAND_RESIDENTIAL_RECYCLED_WATER_GAL]:[NONPOTABLE_DEMAND_NONRESIDENTIAL_METERED_IRRIGATION_GAL]])</f>
        <v>0</v>
      </c>
      <c r="X5623" t="str">
        <f>IFERROR(INDEX(Crosswalk_API!$H$2:$H$527, MATCH(POTABLE_NONPOTABLE_API[[#This Row],[PWSID]], CW_PWSID_LIST, 0)), "")</f>
        <v>No</v>
      </c>
    </row>
    <row r="5624" spans="1:24" x14ac:dyDescent="0.25">
      <c r="A5624" t="s">
        <v>2374</v>
      </c>
      <c r="B5624" t="s">
        <v>2375</v>
      </c>
      <c r="C5624" t="s">
        <v>2376</v>
      </c>
      <c r="D5624" t="s">
        <v>2377</v>
      </c>
      <c r="E5624" s="9">
        <v>45292</v>
      </c>
      <c r="F5624" s="9">
        <v>45322</v>
      </c>
      <c r="G5624">
        <v>13153998.787139999</v>
      </c>
      <c r="H5624">
        <v>3335000.2637400003</v>
      </c>
      <c r="I5624">
        <v>6743000.9270099998</v>
      </c>
      <c r="J5624">
        <v>10231998.37335</v>
      </c>
      <c r="K5624">
        <v>176999.00468999997</v>
      </c>
      <c r="L5624">
        <v>469000.60281000001</v>
      </c>
      <c r="M5624">
        <v>0</v>
      </c>
      <c r="T5624" s="9">
        <v>45108</v>
      </c>
      <c r="U5624" s="9">
        <v>45473</v>
      </c>
      <c r="V5624">
        <f>SUM(POTABLE_NONPOTABLE_API[[#This Row],[RESIDENTIAL_SINGLEFAMILY_GAL]:[OTHER_GAL]])</f>
        <v>34109997.958740003</v>
      </c>
      <c r="W5624">
        <f>SUM(POTABLE_NONPOTABLE_API[[#This Row],[NONPOTABLE_DEMAND_RESIDENTIAL_RECYCLED_WATER_GAL]:[NONPOTABLE_DEMAND_NONRESIDENTIAL_METERED_IRRIGATION_GAL]])</f>
        <v>0</v>
      </c>
      <c r="X5624" t="str">
        <f>IFERROR(INDEX(Crosswalk_API!$H$2:$H$527, MATCH(POTABLE_NONPOTABLE_API[[#This Row],[PWSID]], CW_PWSID_LIST, 0)), "")</f>
        <v>No</v>
      </c>
    </row>
    <row r="5625" spans="1:24" x14ac:dyDescent="0.25">
      <c r="A5625" t="s">
        <v>2374</v>
      </c>
      <c r="B5625" t="s">
        <v>2375</v>
      </c>
      <c r="C5625" t="s">
        <v>2376</v>
      </c>
      <c r="D5625" t="s">
        <v>2377</v>
      </c>
      <c r="E5625" s="9">
        <v>45323</v>
      </c>
      <c r="F5625" s="9">
        <v>45351</v>
      </c>
      <c r="G5625">
        <v>9564000.5648400001</v>
      </c>
      <c r="H5625">
        <v>2700001.3859999999</v>
      </c>
      <c r="I5625">
        <v>4904999.2593900003</v>
      </c>
      <c r="J5625">
        <v>486528.12810000003</v>
      </c>
      <c r="K5625">
        <v>159999.35802000001</v>
      </c>
      <c r="L5625">
        <v>323400.60048000002</v>
      </c>
      <c r="M5625">
        <v>0</v>
      </c>
      <c r="T5625" s="9">
        <v>45108</v>
      </c>
      <c r="U5625" s="9">
        <v>45473</v>
      </c>
      <c r="V5625">
        <f>SUM(POTABLE_NONPOTABLE_API[[#This Row],[RESIDENTIAL_SINGLEFAMILY_GAL]:[OTHER_GAL]])</f>
        <v>18138929.296830002</v>
      </c>
      <c r="W5625">
        <f>SUM(POTABLE_NONPOTABLE_API[[#This Row],[NONPOTABLE_DEMAND_RESIDENTIAL_RECYCLED_WATER_GAL]:[NONPOTABLE_DEMAND_NONRESIDENTIAL_METERED_IRRIGATION_GAL]])</f>
        <v>0</v>
      </c>
      <c r="X5625" t="str">
        <f>IFERROR(INDEX(Crosswalk_API!$H$2:$H$527, MATCH(POTABLE_NONPOTABLE_API[[#This Row],[PWSID]], CW_PWSID_LIST, 0)), "")</f>
        <v>No</v>
      </c>
    </row>
    <row r="5626" spans="1:24" x14ac:dyDescent="0.25">
      <c r="A5626" t="s">
        <v>2374</v>
      </c>
      <c r="B5626" t="s">
        <v>2375</v>
      </c>
      <c r="C5626" t="s">
        <v>2376</v>
      </c>
      <c r="D5626" t="s">
        <v>2377</v>
      </c>
      <c r="E5626" s="9">
        <v>45352</v>
      </c>
      <c r="F5626" s="9">
        <v>45382</v>
      </c>
      <c r="G5626">
        <v>10302000.94368</v>
      </c>
      <c r="H5626">
        <v>2612999.1690000002</v>
      </c>
      <c r="I5626">
        <v>3628999.3284900002</v>
      </c>
      <c r="J5626">
        <v>1144000.9493100001</v>
      </c>
      <c r="K5626">
        <v>171000.08778</v>
      </c>
      <c r="L5626">
        <v>2184299.8178699999</v>
      </c>
      <c r="M5626">
        <v>0</v>
      </c>
      <c r="T5626" s="9">
        <v>45108</v>
      </c>
      <c r="U5626" s="9">
        <v>45473</v>
      </c>
      <c r="V5626">
        <f>SUM(POTABLE_NONPOTABLE_API[[#This Row],[RESIDENTIAL_SINGLEFAMILY_GAL]:[OTHER_GAL]])</f>
        <v>20043300.296129998</v>
      </c>
      <c r="W5626">
        <f>SUM(POTABLE_NONPOTABLE_API[[#This Row],[NONPOTABLE_DEMAND_RESIDENTIAL_RECYCLED_WATER_GAL]:[NONPOTABLE_DEMAND_NONRESIDENTIAL_METERED_IRRIGATION_GAL]])</f>
        <v>0</v>
      </c>
      <c r="X5626" t="str">
        <f>IFERROR(INDEX(Crosswalk_API!$H$2:$H$527, MATCH(POTABLE_NONPOTABLE_API[[#This Row],[PWSID]], CW_PWSID_LIST, 0)), "")</f>
        <v>No</v>
      </c>
    </row>
    <row r="5627" spans="1:24" x14ac:dyDescent="0.25">
      <c r="A5627" t="s">
        <v>2374</v>
      </c>
      <c r="B5627" t="s">
        <v>2375</v>
      </c>
      <c r="C5627" t="s">
        <v>2376</v>
      </c>
      <c r="D5627" t="s">
        <v>2377</v>
      </c>
      <c r="E5627" s="9">
        <v>45383</v>
      </c>
      <c r="F5627" s="9">
        <v>45412</v>
      </c>
      <c r="G5627">
        <v>14761998.526409999</v>
      </c>
      <c r="H5627">
        <v>3437001.40227</v>
      </c>
      <c r="I5627">
        <v>4291001.4786</v>
      </c>
      <c r="J5627">
        <v>2250001.1550000003</v>
      </c>
      <c r="K5627">
        <v>169999.72521</v>
      </c>
      <c r="L5627">
        <v>3660000.79263</v>
      </c>
      <c r="M5627">
        <v>0</v>
      </c>
      <c r="T5627" s="9">
        <v>45108</v>
      </c>
      <c r="U5627" s="9">
        <v>45473</v>
      </c>
      <c r="V5627">
        <f>SUM(POTABLE_NONPOTABLE_API[[#This Row],[RESIDENTIAL_SINGLEFAMILY_GAL]:[OTHER_GAL]])</f>
        <v>28570003.080119997</v>
      </c>
      <c r="W5627">
        <f>SUM(POTABLE_NONPOTABLE_API[[#This Row],[NONPOTABLE_DEMAND_RESIDENTIAL_RECYCLED_WATER_GAL]:[NONPOTABLE_DEMAND_NONRESIDENTIAL_METERED_IRRIGATION_GAL]])</f>
        <v>0</v>
      </c>
      <c r="X5627" t="str">
        <f>IFERROR(INDEX(Crosswalk_API!$H$2:$H$527, MATCH(POTABLE_NONPOTABLE_API[[#This Row],[PWSID]], CW_PWSID_LIST, 0)), "")</f>
        <v>No</v>
      </c>
    </row>
    <row r="5628" spans="1:24" x14ac:dyDescent="0.25">
      <c r="A5628" t="s">
        <v>2374</v>
      </c>
      <c r="B5628" t="s">
        <v>2375</v>
      </c>
      <c r="C5628" t="s">
        <v>2376</v>
      </c>
      <c r="D5628" t="s">
        <v>2377</v>
      </c>
      <c r="E5628" s="9">
        <v>45413</v>
      </c>
      <c r="F5628" s="9">
        <v>45443</v>
      </c>
      <c r="G5628">
        <v>25229000.64096</v>
      </c>
      <c r="H5628">
        <v>4497001.2222899999</v>
      </c>
      <c r="I5628">
        <v>4185999.2523600003</v>
      </c>
      <c r="J5628">
        <v>5098000.80669</v>
      </c>
      <c r="K5628">
        <v>202001.55192</v>
      </c>
      <c r="L5628">
        <v>4571999.0884500006</v>
      </c>
      <c r="M5628">
        <v>0</v>
      </c>
      <c r="T5628" s="9">
        <v>45108</v>
      </c>
      <c r="U5628" s="9">
        <v>45473</v>
      </c>
      <c r="V5628">
        <f>SUM(POTABLE_NONPOTABLE_API[[#This Row],[RESIDENTIAL_SINGLEFAMILY_GAL]:[OTHER_GAL]])</f>
        <v>43784002.56267</v>
      </c>
      <c r="W5628">
        <f>SUM(POTABLE_NONPOTABLE_API[[#This Row],[NONPOTABLE_DEMAND_RESIDENTIAL_RECYCLED_WATER_GAL]:[NONPOTABLE_DEMAND_NONRESIDENTIAL_METERED_IRRIGATION_GAL]])</f>
        <v>0</v>
      </c>
      <c r="X5628" t="str">
        <f>IFERROR(INDEX(Crosswalk_API!$H$2:$H$527, MATCH(POTABLE_NONPOTABLE_API[[#This Row],[PWSID]], CW_PWSID_LIST, 0)), "")</f>
        <v>No</v>
      </c>
    </row>
    <row r="5629" spans="1:24" x14ac:dyDescent="0.25">
      <c r="A5629" t="s">
        <v>2374</v>
      </c>
      <c r="B5629" t="s">
        <v>2375</v>
      </c>
      <c r="C5629" t="s">
        <v>2376</v>
      </c>
      <c r="D5629" t="s">
        <v>2377</v>
      </c>
      <c r="E5629" s="9">
        <v>45444</v>
      </c>
      <c r="F5629" s="9">
        <v>45473</v>
      </c>
      <c r="G5629">
        <v>35003999.503830001</v>
      </c>
      <c r="H5629">
        <v>5766998.9777700007</v>
      </c>
      <c r="I5629">
        <v>4793001.0121799996</v>
      </c>
      <c r="J5629">
        <v>8720000.8556999993</v>
      </c>
      <c r="K5629">
        <v>290000.87297999999</v>
      </c>
      <c r="L5629">
        <v>6493001.5227900008</v>
      </c>
      <c r="M5629">
        <v>0</v>
      </c>
      <c r="T5629" s="9">
        <v>45108</v>
      </c>
      <c r="U5629" s="9">
        <v>45473</v>
      </c>
      <c r="V5629">
        <f>SUM(POTABLE_NONPOTABLE_API[[#This Row],[RESIDENTIAL_SINGLEFAMILY_GAL]:[OTHER_GAL]])</f>
        <v>61067002.745250002</v>
      </c>
      <c r="W5629">
        <f>SUM(POTABLE_NONPOTABLE_API[[#This Row],[NONPOTABLE_DEMAND_RESIDENTIAL_RECYCLED_WATER_GAL]:[NONPOTABLE_DEMAND_NONRESIDENTIAL_METERED_IRRIGATION_GAL]])</f>
        <v>0</v>
      </c>
      <c r="X5629" t="str">
        <f>IFERROR(INDEX(Crosswalk_API!$H$2:$H$527, MATCH(POTABLE_NONPOTABLE_API[[#This Row],[PWSID]], CW_PWSID_LIST, 0)), "")</f>
        <v>No</v>
      </c>
    </row>
    <row r="5630" spans="1:24" x14ac:dyDescent="0.25">
      <c r="A5630" t="s">
        <v>1583</v>
      </c>
      <c r="B5630" t="s">
        <v>1584</v>
      </c>
      <c r="C5630" t="s">
        <v>1585</v>
      </c>
      <c r="D5630" t="s">
        <v>1586</v>
      </c>
      <c r="E5630" s="9">
        <v>45108</v>
      </c>
      <c r="F5630" s="9">
        <v>45138</v>
      </c>
      <c r="G5630">
        <v>86140431.956</v>
      </c>
      <c r="H5630">
        <v>0</v>
      </c>
      <c r="I5630">
        <v>0</v>
      </c>
      <c r="J5630">
        <v>12152852.791999999</v>
      </c>
      <c r="K5630">
        <v>3343044.3880000003</v>
      </c>
      <c r="L5630">
        <v>0</v>
      </c>
      <c r="M5630">
        <v>0</v>
      </c>
      <c r="N5630">
        <v>0</v>
      </c>
      <c r="O5630">
        <v>0</v>
      </c>
      <c r="P5630">
        <v>0</v>
      </c>
      <c r="Q5630">
        <v>0</v>
      </c>
      <c r="R5630">
        <v>34898869.956</v>
      </c>
      <c r="S5630">
        <v>27989861.684</v>
      </c>
      <c r="T5630" s="9">
        <v>45108</v>
      </c>
      <c r="U5630" s="9">
        <v>45473</v>
      </c>
      <c r="V5630">
        <f>SUM(POTABLE_NONPOTABLE_API[[#This Row],[RESIDENTIAL_SINGLEFAMILY_GAL]:[OTHER_GAL]])</f>
        <v>101636329.13599999</v>
      </c>
      <c r="W5630">
        <f>SUM(POTABLE_NONPOTABLE_API[[#This Row],[NONPOTABLE_DEMAND_RESIDENTIAL_RECYCLED_WATER_GAL]:[NONPOTABLE_DEMAND_NONRESIDENTIAL_METERED_IRRIGATION_GAL]])</f>
        <v>62888731.640000001</v>
      </c>
      <c r="X5630" t="str">
        <f>IFERROR(INDEX(Crosswalk_API!$H$2:$H$527, MATCH(POTABLE_NONPOTABLE_API[[#This Row],[PWSID]], CW_PWSID_LIST, 0)), "")</f>
        <v>No</v>
      </c>
    </row>
    <row r="5631" spans="1:24" x14ac:dyDescent="0.25">
      <c r="A5631" t="s">
        <v>1583</v>
      </c>
      <c r="B5631" t="s">
        <v>1584</v>
      </c>
      <c r="C5631" t="s">
        <v>1585</v>
      </c>
      <c r="D5631" t="s">
        <v>1586</v>
      </c>
      <c r="E5631" s="9">
        <v>45139</v>
      </c>
      <c r="F5631" s="9">
        <v>45169</v>
      </c>
      <c r="G5631">
        <v>90696068.636000007</v>
      </c>
      <c r="H5631">
        <v>0</v>
      </c>
      <c r="I5631">
        <v>0</v>
      </c>
      <c r="J5631">
        <v>14205507.48</v>
      </c>
      <c r="K5631">
        <v>3152291.128</v>
      </c>
      <c r="L5631">
        <v>0</v>
      </c>
      <c r="M5631">
        <v>0</v>
      </c>
      <c r="N5631">
        <v>0</v>
      </c>
      <c r="O5631">
        <v>0</v>
      </c>
      <c r="P5631">
        <v>0</v>
      </c>
      <c r="Q5631">
        <v>39015400.112000003</v>
      </c>
      <c r="R5631">
        <v>0</v>
      </c>
      <c r="S5631">
        <v>30743441.096000001</v>
      </c>
      <c r="T5631" s="9">
        <v>45108</v>
      </c>
      <c r="U5631" s="9">
        <v>45473</v>
      </c>
      <c r="V5631">
        <f>SUM(POTABLE_NONPOTABLE_API[[#This Row],[RESIDENTIAL_SINGLEFAMILY_GAL]:[OTHER_GAL]])</f>
        <v>108053867.24400002</v>
      </c>
      <c r="W5631">
        <f>SUM(POTABLE_NONPOTABLE_API[[#This Row],[NONPOTABLE_DEMAND_RESIDENTIAL_RECYCLED_WATER_GAL]:[NONPOTABLE_DEMAND_NONRESIDENTIAL_METERED_IRRIGATION_GAL]])</f>
        <v>69758841.208000004</v>
      </c>
      <c r="X5631" t="str">
        <f>IFERROR(INDEX(Crosswalk_API!$H$2:$H$527, MATCH(POTABLE_NONPOTABLE_API[[#This Row],[PWSID]], CW_PWSID_LIST, 0)), "")</f>
        <v>No</v>
      </c>
    </row>
    <row r="5632" spans="1:24" x14ac:dyDescent="0.25">
      <c r="A5632" t="s">
        <v>1583</v>
      </c>
      <c r="B5632" t="s">
        <v>1584</v>
      </c>
      <c r="C5632" t="s">
        <v>1585</v>
      </c>
      <c r="D5632" t="s">
        <v>1586</v>
      </c>
      <c r="E5632" s="9">
        <v>45170</v>
      </c>
      <c r="F5632" s="9">
        <v>45199</v>
      </c>
      <c r="G5632">
        <v>78411558.692000002</v>
      </c>
      <c r="H5632">
        <v>0</v>
      </c>
      <c r="I5632">
        <v>0</v>
      </c>
      <c r="J5632">
        <v>11450843.3926</v>
      </c>
      <c r="K5632">
        <v>2439981.0525600002</v>
      </c>
      <c r="L5632">
        <v>0</v>
      </c>
      <c r="M5632">
        <v>0</v>
      </c>
      <c r="N5632">
        <v>0</v>
      </c>
      <c r="O5632">
        <v>0</v>
      </c>
      <c r="P5632">
        <v>0</v>
      </c>
      <c r="Q5632">
        <v>30658911.220000003</v>
      </c>
      <c r="R5632">
        <v>19340136.408</v>
      </c>
      <c r="S5632">
        <v>0</v>
      </c>
      <c r="T5632" s="9">
        <v>45108</v>
      </c>
      <c r="U5632" s="9">
        <v>45473</v>
      </c>
      <c r="V5632">
        <f>SUM(POTABLE_NONPOTABLE_API[[#This Row],[RESIDENTIAL_SINGLEFAMILY_GAL]:[OTHER_GAL]])</f>
        <v>92302383.137160003</v>
      </c>
      <c r="W5632">
        <f>SUM(POTABLE_NONPOTABLE_API[[#This Row],[NONPOTABLE_DEMAND_RESIDENTIAL_RECYCLED_WATER_GAL]:[NONPOTABLE_DEMAND_NONRESIDENTIAL_METERED_IRRIGATION_GAL]])</f>
        <v>49999047.628000006</v>
      </c>
      <c r="X5632" t="str">
        <f>IFERROR(INDEX(Crosswalk_API!$H$2:$H$527, MATCH(POTABLE_NONPOTABLE_API[[#This Row],[PWSID]], CW_PWSID_LIST, 0)), "")</f>
        <v>No</v>
      </c>
    </row>
    <row r="5633" spans="1:24" x14ac:dyDescent="0.25">
      <c r="A5633" t="s">
        <v>1583</v>
      </c>
      <c r="B5633" t="s">
        <v>1584</v>
      </c>
      <c r="C5633" t="s">
        <v>1585</v>
      </c>
      <c r="D5633" t="s">
        <v>1586</v>
      </c>
      <c r="E5633" s="9">
        <v>45200</v>
      </c>
      <c r="F5633" s="9">
        <v>45230</v>
      </c>
      <c r="G5633">
        <v>91907164.824000001</v>
      </c>
      <c r="H5633">
        <v>0</v>
      </c>
      <c r="I5633">
        <v>0</v>
      </c>
      <c r="J5633">
        <v>13031813.892000001</v>
      </c>
      <c r="K5633">
        <v>3331075.5559999999</v>
      </c>
      <c r="L5633">
        <v>0</v>
      </c>
      <c r="M5633">
        <v>0</v>
      </c>
      <c r="N5633">
        <v>0</v>
      </c>
      <c r="O5633">
        <v>0</v>
      </c>
      <c r="P5633">
        <v>0</v>
      </c>
      <c r="Q5633">
        <v>64180617.443999998</v>
      </c>
      <c r="R5633">
        <v>24012469.199999999</v>
      </c>
      <c r="T5633" s="9">
        <v>45108</v>
      </c>
      <c r="U5633" s="9">
        <v>45473</v>
      </c>
      <c r="V5633">
        <f>SUM(POTABLE_NONPOTABLE_API[[#This Row],[RESIDENTIAL_SINGLEFAMILY_GAL]:[OTHER_GAL]])</f>
        <v>108270054.272</v>
      </c>
      <c r="W5633">
        <f>SUM(POTABLE_NONPOTABLE_API[[#This Row],[NONPOTABLE_DEMAND_RESIDENTIAL_RECYCLED_WATER_GAL]:[NONPOTABLE_DEMAND_NONRESIDENTIAL_METERED_IRRIGATION_GAL]])</f>
        <v>88193086.643999994</v>
      </c>
      <c r="X5633" t="str">
        <f>IFERROR(INDEX(Crosswalk_API!$H$2:$H$527, MATCH(POTABLE_NONPOTABLE_API[[#This Row],[PWSID]], CW_PWSID_LIST, 0)), "")</f>
        <v>No</v>
      </c>
    </row>
    <row r="5634" spans="1:24" x14ac:dyDescent="0.25">
      <c r="A5634" t="s">
        <v>1583</v>
      </c>
      <c r="B5634" t="s">
        <v>1584</v>
      </c>
      <c r="C5634" t="s">
        <v>1585</v>
      </c>
      <c r="D5634" t="s">
        <v>1586</v>
      </c>
      <c r="E5634" s="9">
        <v>45231</v>
      </c>
      <c r="F5634" s="9">
        <v>45260</v>
      </c>
      <c r="G5634">
        <v>68219350.192000002</v>
      </c>
      <c r="H5634">
        <v>0</v>
      </c>
      <c r="I5634">
        <v>0</v>
      </c>
      <c r="J5634">
        <v>9414982.472000001</v>
      </c>
      <c r="K5634">
        <v>2313724.8360000001</v>
      </c>
      <c r="L5634">
        <v>0</v>
      </c>
      <c r="M5634">
        <v>0</v>
      </c>
      <c r="N5634">
        <v>0</v>
      </c>
      <c r="O5634">
        <v>0</v>
      </c>
      <c r="P5634">
        <v>0</v>
      </c>
      <c r="Q5634">
        <v>26061383.628000002</v>
      </c>
      <c r="R5634">
        <v>11706265.748</v>
      </c>
      <c r="S5634">
        <v>0</v>
      </c>
      <c r="T5634" s="9">
        <v>45108</v>
      </c>
      <c r="U5634" s="9">
        <v>45473</v>
      </c>
      <c r="V5634">
        <f>SUM(POTABLE_NONPOTABLE_API[[#This Row],[RESIDENTIAL_SINGLEFAMILY_GAL]:[OTHER_GAL]])</f>
        <v>79948057.5</v>
      </c>
      <c r="W5634">
        <f>SUM(POTABLE_NONPOTABLE_API[[#This Row],[NONPOTABLE_DEMAND_RESIDENTIAL_RECYCLED_WATER_GAL]:[NONPOTABLE_DEMAND_NONRESIDENTIAL_METERED_IRRIGATION_GAL]])</f>
        <v>37767649.376000002</v>
      </c>
      <c r="X5634" t="str">
        <f>IFERROR(INDEX(Crosswalk_API!$H$2:$H$527, MATCH(POTABLE_NONPOTABLE_API[[#This Row],[PWSID]], CW_PWSID_LIST, 0)), "")</f>
        <v>No</v>
      </c>
    </row>
    <row r="5635" spans="1:24" x14ac:dyDescent="0.25">
      <c r="A5635" t="s">
        <v>1583</v>
      </c>
      <c r="B5635" t="s">
        <v>1584</v>
      </c>
      <c r="C5635" t="s">
        <v>1585</v>
      </c>
      <c r="D5635" t="s">
        <v>1586</v>
      </c>
      <c r="E5635" s="9">
        <v>45261</v>
      </c>
      <c r="F5635" s="9">
        <v>45291</v>
      </c>
      <c r="G5635">
        <v>60491973.032000005</v>
      </c>
      <c r="H5635">
        <v>0</v>
      </c>
      <c r="I5635">
        <v>0</v>
      </c>
      <c r="J5635">
        <v>7748322.6160000004</v>
      </c>
      <c r="K5635">
        <v>2018244.2960000001</v>
      </c>
      <c r="L5635">
        <v>0</v>
      </c>
      <c r="M5635">
        <v>0</v>
      </c>
      <c r="N5635">
        <v>0</v>
      </c>
      <c r="O5635">
        <v>0</v>
      </c>
      <c r="P5635">
        <v>0</v>
      </c>
      <c r="Q5635">
        <v>17184998.596000001</v>
      </c>
      <c r="R5635">
        <v>8192665.5040000007</v>
      </c>
      <c r="S5635">
        <v>0</v>
      </c>
      <c r="T5635" s="9">
        <v>45108</v>
      </c>
      <c r="U5635" s="9">
        <v>45473</v>
      </c>
      <c r="V5635">
        <f>SUM(POTABLE_NONPOTABLE_API[[#This Row],[RESIDENTIAL_SINGLEFAMILY_GAL]:[OTHER_GAL]])</f>
        <v>70258539.944000006</v>
      </c>
      <c r="W5635">
        <f>SUM(POTABLE_NONPOTABLE_API[[#This Row],[NONPOTABLE_DEMAND_RESIDENTIAL_RECYCLED_WATER_GAL]:[NONPOTABLE_DEMAND_NONRESIDENTIAL_METERED_IRRIGATION_GAL]])</f>
        <v>25377664.100000001</v>
      </c>
      <c r="X5635" t="str">
        <f>IFERROR(INDEX(Crosswalk_API!$H$2:$H$527, MATCH(POTABLE_NONPOTABLE_API[[#This Row],[PWSID]], CW_PWSID_LIST, 0)), "")</f>
        <v>No</v>
      </c>
    </row>
    <row r="5636" spans="1:24" x14ac:dyDescent="0.25">
      <c r="A5636" t="s">
        <v>1583</v>
      </c>
      <c r="B5636" t="s">
        <v>1584</v>
      </c>
      <c r="C5636" t="s">
        <v>1585</v>
      </c>
      <c r="D5636" t="s">
        <v>1586</v>
      </c>
      <c r="E5636" s="9">
        <v>45292</v>
      </c>
      <c r="F5636" s="9">
        <v>45322</v>
      </c>
      <c r="G5636">
        <v>60753791.232000001</v>
      </c>
      <c r="H5636">
        <v>0</v>
      </c>
      <c r="I5636">
        <v>2281558.6</v>
      </c>
      <c r="J5636">
        <v>4875054.8840000005</v>
      </c>
      <c r="K5636">
        <v>0</v>
      </c>
      <c r="L5636">
        <v>140633.77600000001</v>
      </c>
      <c r="M5636">
        <v>0</v>
      </c>
      <c r="N5636">
        <v>0</v>
      </c>
      <c r="O5636">
        <v>0</v>
      </c>
      <c r="P5636">
        <v>0</v>
      </c>
      <c r="Q5636">
        <v>9431439.6160000004</v>
      </c>
      <c r="R5636">
        <v>2681766.42</v>
      </c>
      <c r="S5636">
        <v>0</v>
      </c>
      <c r="T5636" s="9">
        <v>45108</v>
      </c>
      <c r="U5636" s="9">
        <v>45473</v>
      </c>
      <c r="V5636">
        <f>SUM(POTABLE_NONPOTABLE_API[[#This Row],[RESIDENTIAL_SINGLEFAMILY_GAL]:[OTHER_GAL]])</f>
        <v>68051038.491999999</v>
      </c>
      <c r="W5636">
        <f>SUM(POTABLE_NONPOTABLE_API[[#This Row],[NONPOTABLE_DEMAND_RESIDENTIAL_RECYCLED_WATER_GAL]:[NONPOTABLE_DEMAND_NONRESIDENTIAL_METERED_IRRIGATION_GAL]])</f>
        <v>12113206.036</v>
      </c>
      <c r="X5636" t="str">
        <f>IFERROR(INDEX(Crosswalk_API!$H$2:$H$527, MATCH(POTABLE_NONPOTABLE_API[[#This Row],[PWSID]], CW_PWSID_LIST, 0)), "")</f>
        <v>No</v>
      </c>
    </row>
    <row r="5637" spans="1:24" x14ac:dyDescent="0.25">
      <c r="A5637" t="s">
        <v>1583</v>
      </c>
      <c r="B5637" t="s">
        <v>1584</v>
      </c>
      <c r="C5637" t="s">
        <v>1585</v>
      </c>
      <c r="D5637" t="s">
        <v>1586</v>
      </c>
      <c r="E5637" s="9">
        <v>45323</v>
      </c>
      <c r="F5637" s="9">
        <v>45351</v>
      </c>
      <c r="G5637">
        <v>49477655.384000003</v>
      </c>
      <c r="H5637">
        <v>0</v>
      </c>
      <c r="I5637">
        <v>2637631.352</v>
      </c>
      <c r="J5637">
        <v>1707802.716</v>
      </c>
      <c r="K5637">
        <v>0</v>
      </c>
      <c r="L5637">
        <v>283511.70799999998</v>
      </c>
      <c r="M5637">
        <v>0</v>
      </c>
      <c r="N5637">
        <v>0</v>
      </c>
      <c r="O5637">
        <v>0</v>
      </c>
      <c r="P5637">
        <v>0</v>
      </c>
      <c r="Q5637">
        <v>4441932.7760000005</v>
      </c>
      <c r="R5637">
        <v>876716.94400000002</v>
      </c>
      <c r="S5637">
        <v>0</v>
      </c>
      <c r="T5637" s="9">
        <v>45108</v>
      </c>
      <c r="U5637" s="9">
        <v>45473</v>
      </c>
      <c r="V5637">
        <f>SUM(POTABLE_NONPOTABLE_API[[#This Row],[RESIDENTIAL_SINGLEFAMILY_GAL]:[OTHER_GAL]])</f>
        <v>54106601.159999996</v>
      </c>
      <c r="W5637">
        <f>SUM(POTABLE_NONPOTABLE_API[[#This Row],[NONPOTABLE_DEMAND_RESIDENTIAL_RECYCLED_WATER_GAL]:[NONPOTABLE_DEMAND_NONRESIDENTIAL_METERED_IRRIGATION_GAL]])</f>
        <v>5318649.7200000007</v>
      </c>
      <c r="X5637" t="str">
        <f>IFERROR(INDEX(Crosswalk_API!$H$2:$H$527, MATCH(POTABLE_NONPOTABLE_API[[#This Row],[PWSID]], CW_PWSID_LIST, 0)), "")</f>
        <v>No</v>
      </c>
    </row>
    <row r="5638" spans="1:24" x14ac:dyDescent="0.25">
      <c r="A5638" t="s">
        <v>1583</v>
      </c>
      <c r="B5638" t="s">
        <v>1584</v>
      </c>
      <c r="C5638" t="s">
        <v>1585</v>
      </c>
      <c r="D5638" t="s">
        <v>1586</v>
      </c>
      <c r="E5638" s="9">
        <v>45352</v>
      </c>
      <c r="F5638" s="9">
        <v>45382</v>
      </c>
      <c r="G5638">
        <v>42526756.200000003</v>
      </c>
      <c r="H5638">
        <v>0</v>
      </c>
      <c r="I5638">
        <v>2017496.2439999999</v>
      </c>
      <c r="J5638">
        <v>1758670.2520000001</v>
      </c>
      <c r="K5638">
        <v>0</v>
      </c>
      <c r="L5638">
        <v>469776.65600000002</v>
      </c>
      <c r="M5638">
        <v>0</v>
      </c>
      <c r="N5638">
        <v>0</v>
      </c>
      <c r="O5638">
        <v>0</v>
      </c>
      <c r="P5638">
        <v>0</v>
      </c>
      <c r="Q5638">
        <v>4702254.8720000004</v>
      </c>
      <c r="R5638">
        <v>1700322.196</v>
      </c>
      <c r="S5638">
        <v>0</v>
      </c>
      <c r="T5638" s="9">
        <v>45108</v>
      </c>
      <c r="U5638" s="9">
        <v>45473</v>
      </c>
      <c r="V5638">
        <f>SUM(POTABLE_NONPOTABLE_API[[#This Row],[RESIDENTIAL_SINGLEFAMILY_GAL]:[OTHER_GAL]])</f>
        <v>46772699.352000006</v>
      </c>
      <c r="W5638">
        <f>SUM(POTABLE_NONPOTABLE_API[[#This Row],[NONPOTABLE_DEMAND_RESIDENTIAL_RECYCLED_WATER_GAL]:[NONPOTABLE_DEMAND_NONRESIDENTIAL_METERED_IRRIGATION_GAL]])</f>
        <v>6402577.068</v>
      </c>
      <c r="X5638" t="str">
        <f>IFERROR(INDEX(Crosswalk_API!$H$2:$H$527, MATCH(POTABLE_NONPOTABLE_API[[#This Row],[PWSID]], CW_PWSID_LIST, 0)), "")</f>
        <v>No</v>
      </c>
    </row>
    <row r="5639" spans="1:24" x14ac:dyDescent="0.25">
      <c r="A5639" t="s">
        <v>1583</v>
      </c>
      <c r="B5639" t="s">
        <v>1584</v>
      </c>
      <c r="C5639" t="s">
        <v>1585</v>
      </c>
      <c r="D5639" t="s">
        <v>1586</v>
      </c>
      <c r="E5639" s="9">
        <v>45383</v>
      </c>
      <c r="F5639" s="9">
        <v>45412</v>
      </c>
      <c r="G5639">
        <v>62425687.452</v>
      </c>
      <c r="H5639">
        <v>0</v>
      </c>
      <c r="I5639">
        <v>2207501.452</v>
      </c>
      <c r="J5639">
        <v>4171886.0040000002</v>
      </c>
      <c r="K5639">
        <v>0</v>
      </c>
      <c r="L5639">
        <v>788446.80800000008</v>
      </c>
      <c r="M5639">
        <v>0</v>
      </c>
      <c r="N5639">
        <v>0</v>
      </c>
      <c r="O5639">
        <v>0</v>
      </c>
      <c r="P5639">
        <v>0</v>
      </c>
      <c r="Q5639">
        <v>15187699.756000001</v>
      </c>
      <c r="R5639">
        <v>8036322.6359999999</v>
      </c>
      <c r="S5639">
        <v>0</v>
      </c>
      <c r="T5639" s="9">
        <v>45108</v>
      </c>
      <c r="U5639" s="9">
        <v>45473</v>
      </c>
      <c r="V5639">
        <f>SUM(POTABLE_NONPOTABLE_API[[#This Row],[RESIDENTIAL_SINGLEFAMILY_GAL]:[OTHER_GAL]])</f>
        <v>69593521.715999991</v>
      </c>
      <c r="W5639">
        <f>SUM(POTABLE_NONPOTABLE_API[[#This Row],[NONPOTABLE_DEMAND_RESIDENTIAL_RECYCLED_WATER_GAL]:[NONPOTABLE_DEMAND_NONRESIDENTIAL_METERED_IRRIGATION_GAL]])</f>
        <v>23224022.392000001</v>
      </c>
      <c r="X5639" t="str">
        <f>IFERROR(INDEX(Crosswalk_API!$H$2:$H$527, MATCH(POTABLE_NONPOTABLE_API[[#This Row],[PWSID]], CW_PWSID_LIST, 0)), "")</f>
        <v>No</v>
      </c>
    </row>
    <row r="5640" spans="1:24" x14ac:dyDescent="0.25">
      <c r="A5640" t="s">
        <v>1583</v>
      </c>
      <c r="B5640" t="s">
        <v>1584</v>
      </c>
      <c r="C5640" t="s">
        <v>1585</v>
      </c>
      <c r="D5640" t="s">
        <v>1586</v>
      </c>
      <c r="E5640" s="9">
        <v>45413</v>
      </c>
      <c r="F5640" s="9">
        <v>45443</v>
      </c>
      <c r="G5640">
        <v>72007485.519999996</v>
      </c>
      <c r="H5640">
        <v>0</v>
      </c>
      <c r="I5640">
        <v>1930722.2120000001</v>
      </c>
      <c r="J5640">
        <v>7609932.9960000003</v>
      </c>
      <c r="K5640">
        <v>0</v>
      </c>
      <c r="L5640">
        <v>1279168.92</v>
      </c>
      <c r="M5640">
        <v>0</v>
      </c>
      <c r="N5640">
        <v>0</v>
      </c>
      <c r="O5640">
        <v>0</v>
      </c>
      <c r="P5640">
        <v>0</v>
      </c>
      <c r="Q5640">
        <v>26430173.264000002</v>
      </c>
      <c r="R5640">
        <v>14371575.024</v>
      </c>
      <c r="T5640" s="9">
        <v>45108</v>
      </c>
      <c r="U5640" s="9">
        <v>45473</v>
      </c>
      <c r="V5640">
        <f>SUM(POTABLE_NONPOTABLE_API[[#This Row],[RESIDENTIAL_SINGLEFAMILY_GAL]:[OTHER_GAL]])</f>
        <v>82827309.648000002</v>
      </c>
      <c r="W5640">
        <f>SUM(POTABLE_NONPOTABLE_API[[#This Row],[NONPOTABLE_DEMAND_RESIDENTIAL_RECYCLED_WATER_GAL]:[NONPOTABLE_DEMAND_NONRESIDENTIAL_METERED_IRRIGATION_GAL]])</f>
        <v>40801748.288000003</v>
      </c>
      <c r="X5640" t="str">
        <f>IFERROR(INDEX(Crosswalk_API!$H$2:$H$527, MATCH(POTABLE_NONPOTABLE_API[[#This Row],[PWSID]], CW_PWSID_LIST, 0)), "")</f>
        <v>No</v>
      </c>
    </row>
    <row r="5641" spans="1:24" x14ac:dyDescent="0.25">
      <c r="A5641" t="s">
        <v>1583</v>
      </c>
      <c r="B5641" t="s">
        <v>1584</v>
      </c>
      <c r="C5641" t="s">
        <v>1585</v>
      </c>
      <c r="D5641" t="s">
        <v>1586</v>
      </c>
      <c r="E5641" s="9">
        <v>45444</v>
      </c>
      <c r="F5641" s="9">
        <v>45473</v>
      </c>
      <c r="G5641">
        <v>79265086.024000004</v>
      </c>
      <c r="H5641">
        <v>0</v>
      </c>
      <c r="I5641">
        <v>1885839.0919999999</v>
      </c>
      <c r="J5641">
        <v>9724676</v>
      </c>
      <c r="K5641">
        <v>0</v>
      </c>
      <c r="L5641">
        <v>833329.92800000007</v>
      </c>
      <c r="M5641">
        <v>0</v>
      </c>
      <c r="N5641">
        <v>0</v>
      </c>
      <c r="O5641">
        <v>0</v>
      </c>
      <c r="Q5641">
        <v>32348012.636</v>
      </c>
      <c r="R5641">
        <v>18898785.728</v>
      </c>
      <c r="T5641" s="9">
        <v>45108</v>
      </c>
      <c r="U5641" s="9">
        <v>45473</v>
      </c>
      <c r="V5641">
        <f>SUM(POTABLE_NONPOTABLE_API[[#This Row],[RESIDENTIAL_SINGLEFAMILY_GAL]:[OTHER_GAL]])</f>
        <v>91708931.044</v>
      </c>
      <c r="W5641">
        <f>SUM(POTABLE_NONPOTABLE_API[[#This Row],[NONPOTABLE_DEMAND_RESIDENTIAL_RECYCLED_WATER_GAL]:[NONPOTABLE_DEMAND_NONRESIDENTIAL_METERED_IRRIGATION_GAL]])</f>
        <v>51246798.364</v>
      </c>
      <c r="X5641" t="str">
        <f>IFERROR(INDEX(Crosswalk_API!$H$2:$H$527, MATCH(POTABLE_NONPOTABLE_API[[#This Row],[PWSID]], CW_PWSID_LIST, 0)), "")</f>
        <v>No</v>
      </c>
    </row>
    <row r="5642" spans="1:24" x14ac:dyDescent="0.25">
      <c r="A5642" t="s">
        <v>2378</v>
      </c>
      <c r="B5642" t="s">
        <v>2379</v>
      </c>
      <c r="C5642" t="s">
        <v>2380</v>
      </c>
      <c r="D5642" t="s">
        <v>2381</v>
      </c>
      <c r="E5642" s="9">
        <v>45108</v>
      </c>
      <c r="F5642" s="9">
        <v>45138</v>
      </c>
      <c r="G5642">
        <v>61105375.671999998</v>
      </c>
      <c r="H5642">
        <v>8041559</v>
      </c>
      <c r="I5642">
        <v>16160167.356000001</v>
      </c>
      <c r="J5642">
        <v>1685361.156</v>
      </c>
      <c r="K5642">
        <v>1468426.0760000001</v>
      </c>
      <c r="L5642">
        <v>41890.912000000004</v>
      </c>
      <c r="M5642">
        <v>0</v>
      </c>
      <c r="T5642" s="9">
        <v>45108</v>
      </c>
      <c r="U5642" s="9">
        <v>45473</v>
      </c>
      <c r="V5642">
        <f>SUM(POTABLE_NONPOTABLE_API[[#This Row],[RESIDENTIAL_SINGLEFAMILY_GAL]:[OTHER_GAL]])</f>
        <v>88502780.172000006</v>
      </c>
      <c r="W5642">
        <f>SUM(POTABLE_NONPOTABLE_API[[#This Row],[NONPOTABLE_DEMAND_RESIDENTIAL_RECYCLED_WATER_GAL]:[NONPOTABLE_DEMAND_NONRESIDENTIAL_METERED_IRRIGATION_GAL]])</f>
        <v>0</v>
      </c>
      <c r="X5642" t="str">
        <f>IFERROR(INDEX(Crosswalk_API!$H$2:$H$527, MATCH(POTABLE_NONPOTABLE_API[[#This Row],[PWSID]], CW_PWSID_LIST, 0)), "")</f>
        <v>No</v>
      </c>
    </row>
    <row r="5643" spans="1:24" x14ac:dyDescent="0.25">
      <c r="A5643" t="s">
        <v>2378</v>
      </c>
      <c r="B5643" t="s">
        <v>2379</v>
      </c>
      <c r="C5643" t="s">
        <v>2380</v>
      </c>
      <c r="D5643" t="s">
        <v>2381</v>
      </c>
      <c r="E5643" s="9">
        <v>45139</v>
      </c>
      <c r="F5643" s="9">
        <v>45169</v>
      </c>
      <c r="G5643">
        <v>70334841.247999996</v>
      </c>
      <c r="H5643">
        <v>9664831.8399999999</v>
      </c>
      <c r="I5643">
        <v>20261736.471999999</v>
      </c>
      <c r="J5643">
        <v>1796072.852</v>
      </c>
      <c r="K5643">
        <v>1400353.344</v>
      </c>
      <c r="L5643">
        <v>0</v>
      </c>
      <c r="M5643">
        <v>0</v>
      </c>
      <c r="T5643" s="9">
        <v>45108</v>
      </c>
      <c r="U5643" s="9">
        <v>45473</v>
      </c>
      <c r="V5643">
        <f>SUM(POTABLE_NONPOTABLE_API[[#This Row],[RESIDENTIAL_SINGLEFAMILY_GAL]:[OTHER_GAL]])</f>
        <v>103457835.756</v>
      </c>
      <c r="W5643">
        <f>SUM(POTABLE_NONPOTABLE_API[[#This Row],[NONPOTABLE_DEMAND_RESIDENTIAL_RECYCLED_WATER_GAL]:[NONPOTABLE_DEMAND_NONRESIDENTIAL_METERED_IRRIGATION_GAL]])</f>
        <v>0</v>
      </c>
      <c r="X5643" t="str">
        <f>IFERROR(INDEX(Crosswalk_API!$H$2:$H$527, MATCH(POTABLE_NONPOTABLE_API[[#This Row],[PWSID]], CW_PWSID_LIST, 0)), "")</f>
        <v>No</v>
      </c>
    </row>
    <row r="5644" spans="1:24" x14ac:dyDescent="0.25">
      <c r="A5644" t="s">
        <v>2378</v>
      </c>
      <c r="B5644" t="s">
        <v>2379</v>
      </c>
      <c r="C5644" t="s">
        <v>2380</v>
      </c>
      <c r="D5644" t="s">
        <v>2381</v>
      </c>
      <c r="E5644" s="9">
        <v>45170</v>
      </c>
      <c r="F5644" s="9">
        <v>45199</v>
      </c>
      <c r="G5644">
        <v>54176169.995999999</v>
      </c>
      <c r="H5644">
        <v>7528395.3279999997</v>
      </c>
      <c r="I5644">
        <v>14145663.32</v>
      </c>
      <c r="J5644">
        <v>1371179.3160000001</v>
      </c>
      <c r="K5644">
        <v>1165465.0160000001</v>
      </c>
      <c r="L5644">
        <v>7891948.6000000006</v>
      </c>
      <c r="M5644">
        <v>0</v>
      </c>
      <c r="T5644" s="9">
        <v>45108</v>
      </c>
      <c r="U5644" s="9">
        <v>45473</v>
      </c>
      <c r="V5644">
        <f>SUM(POTABLE_NONPOTABLE_API[[#This Row],[RESIDENTIAL_SINGLEFAMILY_GAL]:[OTHER_GAL]])</f>
        <v>86278821.57599999</v>
      </c>
      <c r="W5644">
        <f>SUM(POTABLE_NONPOTABLE_API[[#This Row],[NONPOTABLE_DEMAND_RESIDENTIAL_RECYCLED_WATER_GAL]:[NONPOTABLE_DEMAND_NONRESIDENTIAL_METERED_IRRIGATION_GAL]])</f>
        <v>0</v>
      </c>
      <c r="X5644" t="str">
        <f>IFERROR(INDEX(Crosswalk_API!$H$2:$H$527, MATCH(POTABLE_NONPOTABLE_API[[#This Row],[PWSID]], CW_PWSID_LIST, 0)), "")</f>
        <v>No</v>
      </c>
    </row>
    <row r="5645" spans="1:24" x14ac:dyDescent="0.25">
      <c r="A5645" t="s">
        <v>2378</v>
      </c>
      <c r="B5645" t="s">
        <v>2379</v>
      </c>
      <c r="C5645" t="s">
        <v>2380</v>
      </c>
      <c r="D5645" t="s">
        <v>2381</v>
      </c>
      <c r="E5645" s="9">
        <v>45200</v>
      </c>
      <c r="F5645" s="9">
        <v>45230</v>
      </c>
      <c r="G5645">
        <v>35848147.943999998</v>
      </c>
      <c r="H5645">
        <v>6988301.784</v>
      </c>
      <c r="I5645">
        <v>10307408.507999999</v>
      </c>
      <c r="J5645">
        <v>1300862.4280000001</v>
      </c>
      <c r="K5645">
        <v>1165465.0160000001</v>
      </c>
      <c r="L5645">
        <v>0</v>
      </c>
      <c r="M5645">
        <v>0</v>
      </c>
      <c r="T5645" s="9">
        <v>45108</v>
      </c>
      <c r="U5645" s="9">
        <v>45473</v>
      </c>
      <c r="V5645">
        <f>SUM(POTABLE_NONPOTABLE_API[[#This Row],[RESIDENTIAL_SINGLEFAMILY_GAL]:[OTHER_GAL]])</f>
        <v>55610185.680000007</v>
      </c>
      <c r="W5645">
        <f>SUM(POTABLE_NONPOTABLE_API[[#This Row],[NONPOTABLE_DEMAND_RESIDENTIAL_RECYCLED_WATER_GAL]:[NONPOTABLE_DEMAND_NONRESIDENTIAL_METERED_IRRIGATION_GAL]])</f>
        <v>0</v>
      </c>
      <c r="X5645" t="str">
        <f>IFERROR(INDEX(Crosswalk_API!$H$2:$H$527, MATCH(POTABLE_NONPOTABLE_API[[#This Row],[PWSID]], CW_PWSID_LIST, 0)), "")</f>
        <v>No</v>
      </c>
    </row>
    <row r="5646" spans="1:24" x14ac:dyDescent="0.25">
      <c r="A5646" t="s">
        <v>2378</v>
      </c>
      <c r="B5646" t="s">
        <v>2379</v>
      </c>
      <c r="C5646" t="s">
        <v>2380</v>
      </c>
      <c r="D5646" t="s">
        <v>2381</v>
      </c>
      <c r="E5646" s="9">
        <v>45231</v>
      </c>
      <c r="F5646" s="9">
        <v>45260</v>
      </c>
      <c r="G5646">
        <v>26102526.488000002</v>
      </c>
      <c r="H5646">
        <v>5537828.9560000002</v>
      </c>
      <c r="I5646">
        <v>6871605.6720000003</v>
      </c>
      <c r="J5646">
        <v>695688.36</v>
      </c>
      <c r="K5646">
        <v>389735.092</v>
      </c>
      <c r="L5646">
        <v>0</v>
      </c>
      <c r="M5646">
        <v>0</v>
      </c>
      <c r="T5646" s="9">
        <v>45108</v>
      </c>
      <c r="U5646" s="9">
        <v>45473</v>
      </c>
      <c r="V5646">
        <f>SUM(POTABLE_NONPOTABLE_API[[#This Row],[RESIDENTIAL_SINGLEFAMILY_GAL]:[OTHER_GAL]])</f>
        <v>39597384.568000004</v>
      </c>
      <c r="W5646">
        <f>SUM(POTABLE_NONPOTABLE_API[[#This Row],[NONPOTABLE_DEMAND_RESIDENTIAL_RECYCLED_WATER_GAL]:[NONPOTABLE_DEMAND_NONRESIDENTIAL_METERED_IRRIGATION_GAL]])</f>
        <v>0</v>
      </c>
      <c r="X5646" t="str">
        <f>IFERROR(INDEX(Crosswalk_API!$H$2:$H$527, MATCH(POTABLE_NONPOTABLE_API[[#This Row],[PWSID]], CW_PWSID_LIST, 0)), "")</f>
        <v>No</v>
      </c>
    </row>
    <row r="5647" spans="1:24" x14ac:dyDescent="0.25">
      <c r="A5647" t="s">
        <v>2378</v>
      </c>
      <c r="B5647" t="s">
        <v>2379</v>
      </c>
      <c r="C5647" t="s">
        <v>2380</v>
      </c>
      <c r="D5647" t="s">
        <v>2381</v>
      </c>
      <c r="E5647" s="9">
        <v>45261</v>
      </c>
      <c r="F5647" s="9">
        <v>45291</v>
      </c>
      <c r="G5647">
        <v>19493487.068</v>
      </c>
      <c r="H5647">
        <v>4632686.0360000003</v>
      </c>
      <c r="I5647">
        <v>6033039.3799999999</v>
      </c>
      <c r="J5647">
        <v>370285.74</v>
      </c>
      <c r="K5647">
        <v>213194.82</v>
      </c>
      <c r="L5647">
        <v>50867.536</v>
      </c>
      <c r="M5647">
        <v>0</v>
      </c>
      <c r="T5647" s="9">
        <v>45108</v>
      </c>
      <c r="U5647" s="9">
        <v>45473</v>
      </c>
      <c r="V5647">
        <f>SUM(POTABLE_NONPOTABLE_API[[#This Row],[RESIDENTIAL_SINGLEFAMILY_GAL]:[OTHER_GAL]])</f>
        <v>30793560.579999998</v>
      </c>
      <c r="W5647">
        <f>SUM(POTABLE_NONPOTABLE_API[[#This Row],[NONPOTABLE_DEMAND_RESIDENTIAL_RECYCLED_WATER_GAL]:[NONPOTABLE_DEMAND_NONRESIDENTIAL_METERED_IRRIGATION_GAL]])</f>
        <v>0</v>
      </c>
      <c r="X5647" t="str">
        <f>IFERROR(INDEX(Crosswalk_API!$H$2:$H$527, MATCH(POTABLE_NONPOTABLE_API[[#This Row],[PWSID]], CW_PWSID_LIST, 0)), "")</f>
        <v>No</v>
      </c>
    </row>
    <row r="5648" spans="1:24" x14ac:dyDescent="0.25">
      <c r="A5648" t="s">
        <v>2378</v>
      </c>
      <c r="B5648" t="s">
        <v>2379</v>
      </c>
      <c r="C5648" t="s">
        <v>2380</v>
      </c>
      <c r="D5648" t="s">
        <v>2381</v>
      </c>
      <c r="E5648" s="9">
        <v>45292</v>
      </c>
      <c r="F5648" s="9">
        <v>45322</v>
      </c>
      <c r="G5648">
        <v>18875596.116</v>
      </c>
      <c r="H5648">
        <v>4723948.38</v>
      </c>
      <c r="I5648">
        <v>5172779.58</v>
      </c>
      <c r="J5648">
        <v>254337.68</v>
      </c>
      <c r="K5648">
        <v>143625.984</v>
      </c>
      <c r="L5648">
        <v>40394.808000000005</v>
      </c>
      <c r="M5648">
        <v>0</v>
      </c>
      <c r="T5648" s="9">
        <v>45108</v>
      </c>
      <c r="U5648" s="9">
        <v>45473</v>
      </c>
      <c r="V5648">
        <f>SUM(POTABLE_NONPOTABLE_API[[#This Row],[RESIDENTIAL_SINGLEFAMILY_GAL]:[OTHER_GAL]])</f>
        <v>29210682.547999997</v>
      </c>
      <c r="W5648">
        <f>SUM(POTABLE_NONPOTABLE_API[[#This Row],[NONPOTABLE_DEMAND_RESIDENTIAL_RECYCLED_WATER_GAL]:[NONPOTABLE_DEMAND_NONRESIDENTIAL_METERED_IRRIGATION_GAL]])</f>
        <v>0</v>
      </c>
      <c r="X5648" t="str">
        <f>IFERROR(INDEX(Crosswalk_API!$H$2:$H$527, MATCH(POTABLE_NONPOTABLE_API[[#This Row],[PWSID]], CW_PWSID_LIST, 0)), "")</f>
        <v>No</v>
      </c>
    </row>
    <row r="5649" spans="1:24" x14ac:dyDescent="0.25">
      <c r="A5649" t="s">
        <v>2378</v>
      </c>
      <c r="B5649" t="s">
        <v>2379</v>
      </c>
      <c r="C5649" t="s">
        <v>2380</v>
      </c>
      <c r="D5649" t="s">
        <v>2381</v>
      </c>
      <c r="E5649" s="9">
        <v>45323</v>
      </c>
      <c r="F5649" s="9">
        <v>45351</v>
      </c>
      <c r="G5649">
        <v>17864977.864</v>
      </c>
      <c r="H5649">
        <v>4970805.54</v>
      </c>
      <c r="I5649">
        <v>4275865.2319999998</v>
      </c>
      <c r="J5649">
        <v>153350.66</v>
      </c>
      <c r="K5649">
        <v>126420.788</v>
      </c>
      <c r="L5649">
        <v>0</v>
      </c>
      <c r="M5649">
        <v>0</v>
      </c>
      <c r="T5649" s="9">
        <v>45108</v>
      </c>
      <c r="U5649" s="9">
        <v>45473</v>
      </c>
      <c r="V5649">
        <f>SUM(POTABLE_NONPOTABLE_API[[#This Row],[RESIDENTIAL_SINGLEFAMILY_GAL]:[OTHER_GAL]])</f>
        <v>27391420.083999999</v>
      </c>
      <c r="W5649">
        <f>SUM(POTABLE_NONPOTABLE_API[[#This Row],[NONPOTABLE_DEMAND_RESIDENTIAL_RECYCLED_WATER_GAL]:[NONPOTABLE_DEMAND_NONRESIDENTIAL_METERED_IRRIGATION_GAL]])</f>
        <v>0</v>
      </c>
      <c r="X5649" t="str">
        <f>IFERROR(INDEX(Crosswalk_API!$H$2:$H$527, MATCH(POTABLE_NONPOTABLE_API[[#This Row],[PWSID]], CW_PWSID_LIST, 0)), "")</f>
        <v>No</v>
      </c>
    </row>
    <row r="5650" spans="1:24" x14ac:dyDescent="0.25">
      <c r="A5650" t="s">
        <v>2378</v>
      </c>
      <c r="B5650" t="s">
        <v>2379</v>
      </c>
      <c r="C5650" t="s">
        <v>2380</v>
      </c>
      <c r="D5650" t="s">
        <v>2381</v>
      </c>
      <c r="E5650" s="9">
        <v>45352</v>
      </c>
      <c r="F5650" s="9">
        <v>45382</v>
      </c>
      <c r="G5650">
        <v>16204302.424000001</v>
      </c>
      <c r="H5650">
        <v>3970660.0160000003</v>
      </c>
      <c r="I5650">
        <v>4108301.5840000003</v>
      </c>
      <c r="J5650">
        <v>215438.976</v>
      </c>
      <c r="K5650">
        <v>130909.1</v>
      </c>
      <c r="L5650">
        <v>0</v>
      </c>
      <c r="M5650">
        <v>0</v>
      </c>
      <c r="T5650" s="9">
        <v>45108</v>
      </c>
      <c r="U5650" s="9">
        <v>45473</v>
      </c>
      <c r="V5650">
        <f>SUM(POTABLE_NONPOTABLE_API[[#This Row],[RESIDENTIAL_SINGLEFAMILY_GAL]:[OTHER_GAL]])</f>
        <v>24629612.100000001</v>
      </c>
      <c r="W5650">
        <f>SUM(POTABLE_NONPOTABLE_API[[#This Row],[NONPOTABLE_DEMAND_RESIDENTIAL_RECYCLED_WATER_GAL]:[NONPOTABLE_DEMAND_NONRESIDENTIAL_METERED_IRRIGATION_GAL]])</f>
        <v>0</v>
      </c>
      <c r="X5650" t="str">
        <f>IFERROR(INDEX(Crosswalk_API!$H$2:$H$527, MATCH(POTABLE_NONPOTABLE_API[[#This Row],[PWSID]], CW_PWSID_LIST, 0)), "")</f>
        <v>No</v>
      </c>
    </row>
    <row r="5651" spans="1:24" x14ac:dyDescent="0.25">
      <c r="A5651" t="s">
        <v>2378</v>
      </c>
      <c r="B5651" t="s">
        <v>2379</v>
      </c>
      <c r="C5651" t="s">
        <v>2380</v>
      </c>
      <c r="D5651" t="s">
        <v>2381</v>
      </c>
      <c r="E5651" s="9">
        <v>45383</v>
      </c>
      <c r="F5651" s="9">
        <v>45412</v>
      </c>
      <c r="G5651">
        <v>20564697.532000002</v>
      </c>
      <c r="H5651">
        <v>4876550.9879999999</v>
      </c>
      <c r="I5651">
        <v>5251325.04</v>
      </c>
      <c r="J5651">
        <v>366545.48</v>
      </c>
      <c r="K5651">
        <v>342607.81599999999</v>
      </c>
      <c r="L5651">
        <v>41142.86</v>
      </c>
      <c r="M5651">
        <v>0</v>
      </c>
      <c r="T5651" s="9">
        <v>45108</v>
      </c>
      <c r="U5651" s="9">
        <v>45473</v>
      </c>
      <c r="V5651">
        <f>SUM(POTABLE_NONPOTABLE_API[[#This Row],[RESIDENTIAL_SINGLEFAMILY_GAL]:[OTHER_GAL]])</f>
        <v>31442869.716000002</v>
      </c>
      <c r="W5651">
        <f>SUM(POTABLE_NONPOTABLE_API[[#This Row],[NONPOTABLE_DEMAND_RESIDENTIAL_RECYCLED_WATER_GAL]:[NONPOTABLE_DEMAND_NONRESIDENTIAL_METERED_IRRIGATION_GAL]])</f>
        <v>0</v>
      </c>
      <c r="X5651" t="str">
        <f>IFERROR(INDEX(Crosswalk_API!$H$2:$H$527, MATCH(POTABLE_NONPOTABLE_API[[#This Row],[PWSID]], CW_PWSID_LIST, 0)), "")</f>
        <v>No</v>
      </c>
    </row>
    <row r="5652" spans="1:24" x14ac:dyDescent="0.25">
      <c r="A5652" t="s">
        <v>2378</v>
      </c>
      <c r="B5652" t="s">
        <v>2379</v>
      </c>
      <c r="C5652" t="s">
        <v>2380</v>
      </c>
      <c r="D5652" t="s">
        <v>2381</v>
      </c>
      <c r="E5652" s="9">
        <v>45413</v>
      </c>
      <c r="F5652" s="9">
        <v>45443</v>
      </c>
      <c r="G5652">
        <v>35762121.964000002</v>
      </c>
      <c r="H5652">
        <v>7003262.824</v>
      </c>
      <c r="I5652">
        <v>9086587.6439999994</v>
      </c>
      <c r="J5652">
        <v>1709298.82</v>
      </c>
      <c r="K5652">
        <v>854275.38400000008</v>
      </c>
      <c r="L5652">
        <v>41142.86</v>
      </c>
      <c r="M5652">
        <v>0</v>
      </c>
      <c r="T5652" s="9">
        <v>45108</v>
      </c>
      <c r="U5652" s="9">
        <v>45473</v>
      </c>
      <c r="V5652">
        <f>SUM(POTABLE_NONPOTABLE_API[[#This Row],[RESIDENTIAL_SINGLEFAMILY_GAL]:[OTHER_GAL]])</f>
        <v>54456689.496000007</v>
      </c>
      <c r="W5652">
        <f>SUM(POTABLE_NONPOTABLE_API[[#This Row],[NONPOTABLE_DEMAND_RESIDENTIAL_RECYCLED_WATER_GAL]:[NONPOTABLE_DEMAND_NONRESIDENTIAL_METERED_IRRIGATION_GAL]])</f>
        <v>0</v>
      </c>
      <c r="X5652" t="str">
        <f>IFERROR(INDEX(Crosswalk_API!$H$2:$H$527, MATCH(POTABLE_NONPOTABLE_API[[#This Row],[PWSID]], CW_PWSID_LIST, 0)), "")</f>
        <v>No</v>
      </c>
    </row>
    <row r="5653" spans="1:24" x14ac:dyDescent="0.25">
      <c r="A5653" t="s">
        <v>2378</v>
      </c>
      <c r="B5653" t="s">
        <v>2379</v>
      </c>
      <c r="C5653" t="s">
        <v>2380</v>
      </c>
      <c r="D5653" t="s">
        <v>2381</v>
      </c>
      <c r="E5653" s="9">
        <v>45444</v>
      </c>
      <c r="F5653" s="9">
        <v>45473</v>
      </c>
      <c r="G5653">
        <v>57838632.588</v>
      </c>
      <c r="H5653">
        <v>9929642.2479999997</v>
      </c>
      <c r="I5653">
        <v>16053943.972000001</v>
      </c>
      <c r="J5653">
        <v>2241911.844</v>
      </c>
      <c r="K5653">
        <v>1374171.524</v>
      </c>
      <c r="L5653">
        <v>0</v>
      </c>
      <c r="M5653">
        <v>0</v>
      </c>
      <c r="T5653" s="9">
        <v>45108</v>
      </c>
      <c r="U5653" s="9">
        <v>45473</v>
      </c>
      <c r="V5653">
        <f>SUM(POTABLE_NONPOTABLE_API[[#This Row],[RESIDENTIAL_SINGLEFAMILY_GAL]:[OTHER_GAL]])</f>
        <v>87438302.175999999</v>
      </c>
      <c r="W5653">
        <f>SUM(POTABLE_NONPOTABLE_API[[#This Row],[NONPOTABLE_DEMAND_RESIDENTIAL_RECYCLED_WATER_GAL]:[NONPOTABLE_DEMAND_NONRESIDENTIAL_METERED_IRRIGATION_GAL]])</f>
        <v>0</v>
      </c>
      <c r="X5653" t="str">
        <f>IFERROR(INDEX(Crosswalk_API!$H$2:$H$527, MATCH(POTABLE_NONPOTABLE_API[[#This Row],[PWSID]], CW_PWSID_LIST, 0)), "")</f>
        <v>No</v>
      </c>
    </row>
    <row r="5654" spans="1:24" x14ac:dyDescent="0.25">
      <c r="A5654" t="s">
        <v>2382</v>
      </c>
      <c r="B5654" t="s">
        <v>2383</v>
      </c>
      <c r="C5654" t="s">
        <v>2384</v>
      </c>
      <c r="D5654" t="s">
        <v>2385</v>
      </c>
      <c r="E5654" s="9">
        <v>45108</v>
      </c>
      <c r="F5654" s="9">
        <v>45138</v>
      </c>
      <c r="G5654">
        <v>146312986.78400001</v>
      </c>
      <c r="H5654">
        <v>18467159.723999999</v>
      </c>
      <c r="I5654">
        <v>28418495.48</v>
      </c>
      <c r="J5654">
        <v>35664127.152000003</v>
      </c>
      <c r="K5654">
        <v>0</v>
      </c>
      <c r="L5654">
        <v>171303.908</v>
      </c>
      <c r="M5654">
        <v>0</v>
      </c>
      <c r="T5654" s="9">
        <v>45108</v>
      </c>
      <c r="U5654" s="9">
        <v>45473</v>
      </c>
      <c r="V5654">
        <f>SUM(POTABLE_NONPOTABLE_API[[#This Row],[RESIDENTIAL_SINGLEFAMILY_GAL]:[OTHER_GAL]])</f>
        <v>229034073.04800001</v>
      </c>
      <c r="W5654">
        <f>SUM(POTABLE_NONPOTABLE_API[[#This Row],[NONPOTABLE_DEMAND_RESIDENTIAL_RECYCLED_WATER_GAL]:[NONPOTABLE_DEMAND_NONRESIDENTIAL_METERED_IRRIGATION_GAL]])</f>
        <v>0</v>
      </c>
      <c r="X5654" t="str">
        <f>IFERROR(INDEX(Crosswalk_API!$H$2:$H$527, MATCH(POTABLE_NONPOTABLE_API[[#This Row],[PWSID]], CW_PWSID_LIST, 0)), "")</f>
        <v>No</v>
      </c>
    </row>
    <row r="5655" spans="1:24" x14ac:dyDescent="0.25">
      <c r="A5655" t="s">
        <v>2382</v>
      </c>
      <c r="B5655" t="s">
        <v>2383</v>
      </c>
      <c r="C5655" t="s">
        <v>2384</v>
      </c>
      <c r="D5655" t="s">
        <v>2385</v>
      </c>
      <c r="E5655" s="9">
        <v>45139</v>
      </c>
      <c r="F5655" s="9">
        <v>45169</v>
      </c>
      <c r="G5655">
        <v>164346276.34799999</v>
      </c>
      <c r="H5655">
        <v>17673476.552000001</v>
      </c>
      <c r="I5655">
        <v>37681623.395999998</v>
      </c>
      <c r="J5655">
        <v>34001207.556000002</v>
      </c>
      <c r="K5655">
        <v>0</v>
      </c>
      <c r="L5655">
        <v>388238.98800000001</v>
      </c>
      <c r="M5655">
        <v>0</v>
      </c>
      <c r="T5655" s="9">
        <v>45108</v>
      </c>
      <c r="U5655" s="9">
        <v>45473</v>
      </c>
      <c r="V5655">
        <f>SUM(POTABLE_NONPOTABLE_API[[#This Row],[RESIDENTIAL_SINGLEFAMILY_GAL]:[OTHER_GAL]])</f>
        <v>254090822.83999997</v>
      </c>
      <c r="W5655">
        <f>SUM(POTABLE_NONPOTABLE_API[[#This Row],[NONPOTABLE_DEMAND_RESIDENTIAL_RECYCLED_WATER_GAL]:[NONPOTABLE_DEMAND_NONRESIDENTIAL_METERED_IRRIGATION_GAL]])</f>
        <v>0</v>
      </c>
      <c r="X5655" t="str">
        <f>IFERROR(INDEX(Crosswalk_API!$H$2:$H$527, MATCH(POTABLE_NONPOTABLE_API[[#This Row],[PWSID]], CW_PWSID_LIST, 0)), "")</f>
        <v>No</v>
      </c>
    </row>
    <row r="5656" spans="1:24" x14ac:dyDescent="0.25">
      <c r="A5656" t="s">
        <v>2382</v>
      </c>
      <c r="B5656" t="s">
        <v>2383</v>
      </c>
      <c r="C5656" t="s">
        <v>2384</v>
      </c>
      <c r="D5656" t="s">
        <v>2385</v>
      </c>
      <c r="E5656" s="9">
        <v>45170</v>
      </c>
      <c r="F5656" s="9">
        <v>45199</v>
      </c>
      <c r="G5656">
        <v>168762027.30399999</v>
      </c>
      <c r="H5656">
        <v>18521767.52</v>
      </c>
      <c r="I5656">
        <v>26827388.876000002</v>
      </c>
      <c r="J5656">
        <v>35443451.811999999</v>
      </c>
      <c r="K5656">
        <v>0</v>
      </c>
      <c r="L5656">
        <v>213194.82</v>
      </c>
      <c r="M5656">
        <v>0</v>
      </c>
      <c r="T5656" s="9">
        <v>45108</v>
      </c>
      <c r="U5656" s="9">
        <v>45473</v>
      </c>
      <c r="V5656">
        <f>SUM(POTABLE_NONPOTABLE_API[[#This Row],[RESIDENTIAL_SINGLEFAMILY_GAL]:[OTHER_GAL]])</f>
        <v>249767830.33199999</v>
      </c>
      <c r="W5656">
        <f>SUM(POTABLE_NONPOTABLE_API[[#This Row],[NONPOTABLE_DEMAND_RESIDENTIAL_RECYCLED_WATER_GAL]:[NONPOTABLE_DEMAND_NONRESIDENTIAL_METERED_IRRIGATION_GAL]])</f>
        <v>0</v>
      </c>
      <c r="X5656" t="str">
        <f>IFERROR(INDEX(Crosswalk_API!$H$2:$H$527, MATCH(POTABLE_NONPOTABLE_API[[#This Row],[PWSID]], CW_PWSID_LIST, 0)), "")</f>
        <v>No</v>
      </c>
    </row>
    <row r="5657" spans="1:24" x14ac:dyDescent="0.25">
      <c r="A5657" t="s">
        <v>2382</v>
      </c>
      <c r="B5657" t="s">
        <v>2383</v>
      </c>
      <c r="C5657" t="s">
        <v>2384</v>
      </c>
      <c r="D5657" t="s">
        <v>2385</v>
      </c>
      <c r="E5657" s="9">
        <v>45200</v>
      </c>
      <c r="F5657" s="9">
        <v>45230</v>
      </c>
      <c r="G5657">
        <v>156224675.78400001</v>
      </c>
      <c r="H5657">
        <v>16986764.816</v>
      </c>
      <c r="I5657">
        <v>35745664.82</v>
      </c>
      <c r="J5657">
        <v>30813009.932</v>
      </c>
      <c r="K5657">
        <v>0</v>
      </c>
      <c r="L5657">
        <v>239376.64000000001</v>
      </c>
      <c r="M5657">
        <v>0</v>
      </c>
      <c r="T5657" s="9">
        <v>45108</v>
      </c>
      <c r="U5657" s="9">
        <v>45473</v>
      </c>
      <c r="V5657">
        <f>SUM(POTABLE_NONPOTABLE_API[[#This Row],[RESIDENTIAL_SINGLEFAMILY_GAL]:[OTHER_GAL]])</f>
        <v>240009491.99200001</v>
      </c>
      <c r="W5657">
        <f>SUM(POTABLE_NONPOTABLE_API[[#This Row],[NONPOTABLE_DEMAND_RESIDENTIAL_RECYCLED_WATER_GAL]:[NONPOTABLE_DEMAND_NONRESIDENTIAL_METERED_IRRIGATION_GAL]])</f>
        <v>0</v>
      </c>
      <c r="X5657" t="str">
        <f>IFERROR(INDEX(Crosswalk_API!$H$2:$H$527, MATCH(POTABLE_NONPOTABLE_API[[#This Row],[PWSID]], CW_PWSID_LIST, 0)), "")</f>
        <v>No</v>
      </c>
    </row>
    <row r="5658" spans="1:24" x14ac:dyDescent="0.25">
      <c r="A5658" t="s">
        <v>2382</v>
      </c>
      <c r="B5658" t="s">
        <v>2383</v>
      </c>
      <c r="C5658" t="s">
        <v>2384</v>
      </c>
      <c r="D5658" t="s">
        <v>2385</v>
      </c>
      <c r="E5658" s="9">
        <v>45231</v>
      </c>
      <c r="F5658" s="9">
        <v>45260</v>
      </c>
      <c r="G5658">
        <v>140771417.56800002</v>
      </c>
      <c r="H5658">
        <v>17700406.423999999</v>
      </c>
      <c r="I5658">
        <v>19649829.936000001</v>
      </c>
      <c r="J5658">
        <v>27624812.308000002</v>
      </c>
      <c r="K5658">
        <v>0</v>
      </c>
      <c r="L5658">
        <v>14961.04</v>
      </c>
      <c r="M5658">
        <v>0</v>
      </c>
      <c r="T5658" s="9">
        <v>45108</v>
      </c>
      <c r="U5658" s="9">
        <v>45473</v>
      </c>
      <c r="V5658">
        <f>SUM(POTABLE_NONPOTABLE_API[[#This Row],[RESIDENTIAL_SINGLEFAMILY_GAL]:[OTHER_GAL]])</f>
        <v>205761427.27599999</v>
      </c>
      <c r="W5658">
        <f>SUM(POTABLE_NONPOTABLE_API[[#This Row],[NONPOTABLE_DEMAND_RESIDENTIAL_RECYCLED_WATER_GAL]:[NONPOTABLE_DEMAND_NONRESIDENTIAL_METERED_IRRIGATION_GAL]])</f>
        <v>0</v>
      </c>
      <c r="X5658" t="str">
        <f>IFERROR(INDEX(Crosswalk_API!$H$2:$H$527, MATCH(POTABLE_NONPOTABLE_API[[#This Row],[PWSID]], CW_PWSID_LIST, 0)), "")</f>
        <v>No</v>
      </c>
    </row>
    <row r="5659" spans="1:24" x14ac:dyDescent="0.25">
      <c r="A5659" t="s">
        <v>2382</v>
      </c>
      <c r="B5659" t="s">
        <v>2383</v>
      </c>
      <c r="C5659" t="s">
        <v>2384</v>
      </c>
      <c r="D5659" t="s">
        <v>2385</v>
      </c>
      <c r="E5659" s="9">
        <v>45261</v>
      </c>
      <c r="F5659" s="9">
        <v>45291</v>
      </c>
      <c r="G5659">
        <v>131945152.02000001</v>
      </c>
      <c r="H5659">
        <v>1269444.2439999999</v>
      </c>
      <c r="I5659">
        <v>14826390.640000001</v>
      </c>
      <c r="J5659">
        <v>5007460.0880000005</v>
      </c>
      <c r="K5659">
        <v>0</v>
      </c>
      <c r="L5659">
        <v>0</v>
      </c>
      <c r="M5659">
        <v>0</v>
      </c>
      <c r="T5659" s="9">
        <v>45108</v>
      </c>
      <c r="U5659" s="9">
        <v>45473</v>
      </c>
      <c r="V5659">
        <f>SUM(POTABLE_NONPOTABLE_API[[#This Row],[RESIDENTIAL_SINGLEFAMILY_GAL]:[OTHER_GAL]])</f>
        <v>153048446.99200001</v>
      </c>
      <c r="W5659">
        <f>SUM(POTABLE_NONPOTABLE_API[[#This Row],[NONPOTABLE_DEMAND_RESIDENTIAL_RECYCLED_WATER_GAL]:[NONPOTABLE_DEMAND_NONRESIDENTIAL_METERED_IRRIGATION_GAL]])</f>
        <v>0</v>
      </c>
      <c r="X5659" t="str">
        <f>IFERROR(INDEX(Crosswalk_API!$H$2:$H$527, MATCH(POTABLE_NONPOTABLE_API[[#This Row],[PWSID]], CW_PWSID_LIST, 0)), "")</f>
        <v>No</v>
      </c>
    </row>
    <row r="5660" spans="1:24" x14ac:dyDescent="0.25">
      <c r="A5660" t="s">
        <v>2382</v>
      </c>
      <c r="B5660" t="s">
        <v>2383</v>
      </c>
      <c r="C5660" t="s">
        <v>2384</v>
      </c>
      <c r="D5660" t="s">
        <v>2385</v>
      </c>
      <c r="E5660" s="9">
        <v>45292</v>
      </c>
      <c r="F5660" s="9">
        <v>45322</v>
      </c>
      <c r="G5660">
        <v>190004459.94800001</v>
      </c>
      <c r="H5660">
        <v>32816293.188000001</v>
      </c>
      <c r="I5660">
        <v>34336334.851999998</v>
      </c>
      <c r="J5660">
        <v>26653840.811999999</v>
      </c>
      <c r="K5660">
        <v>0</v>
      </c>
      <c r="L5660">
        <v>53111.692000000003</v>
      </c>
      <c r="M5660">
        <v>0</v>
      </c>
      <c r="T5660" s="9">
        <v>45108</v>
      </c>
      <c r="U5660" s="9">
        <v>45473</v>
      </c>
      <c r="V5660">
        <f>SUM(POTABLE_NONPOTABLE_API[[#This Row],[RESIDENTIAL_SINGLEFAMILY_GAL]:[OTHER_GAL]])</f>
        <v>283864040.49199998</v>
      </c>
      <c r="W5660">
        <f>SUM(POTABLE_NONPOTABLE_API[[#This Row],[NONPOTABLE_DEMAND_RESIDENTIAL_RECYCLED_WATER_GAL]:[NONPOTABLE_DEMAND_NONRESIDENTIAL_METERED_IRRIGATION_GAL]])</f>
        <v>0</v>
      </c>
      <c r="X5660" t="str">
        <f>IFERROR(INDEX(Crosswalk_API!$H$2:$H$527, MATCH(POTABLE_NONPOTABLE_API[[#This Row],[PWSID]], CW_PWSID_LIST, 0)), "")</f>
        <v>No</v>
      </c>
    </row>
    <row r="5661" spans="1:24" x14ac:dyDescent="0.25">
      <c r="A5661" t="s">
        <v>2382</v>
      </c>
      <c r="B5661" t="s">
        <v>2383</v>
      </c>
      <c r="C5661" t="s">
        <v>2384</v>
      </c>
      <c r="D5661" t="s">
        <v>2385</v>
      </c>
      <c r="E5661" s="9">
        <v>45323</v>
      </c>
      <c r="F5661" s="9">
        <v>45351</v>
      </c>
      <c r="G5661">
        <v>90595081.615999997</v>
      </c>
      <c r="H5661">
        <v>15599876.408</v>
      </c>
      <c r="I5661">
        <v>15599876.408</v>
      </c>
      <c r="J5661">
        <v>15599876.408</v>
      </c>
      <c r="K5661">
        <v>0</v>
      </c>
      <c r="L5661">
        <v>9724.6759999999995</v>
      </c>
      <c r="M5661">
        <v>0</v>
      </c>
      <c r="T5661" s="9">
        <v>45108</v>
      </c>
      <c r="U5661" s="9">
        <v>45473</v>
      </c>
      <c r="V5661">
        <f>SUM(POTABLE_NONPOTABLE_API[[#This Row],[RESIDENTIAL_SINGLEFAMILY_GAL]:[OTHER_GAL]])</f>
        <v>137404435.51599997</v>
      </c>
      <c r="W5661">
        <f>SUM(POTABLE_NONPOTABLE_API[[#This Row],[NONPOTABLE_DEMAND_RESIDENTIAL_RECYCLED_WATER_GAL]:[NONPOTABLE_DEMAND_NONRESIDENTIAL_METERED_IRRIGATION_GAL]])</f>
        <v>0</v>
      </c>
      <c r="X5661" t="str">
        <f>IFERROR(INDEX(Crosswalk_API!$H$2:$H$527, MATCH(POTABLE_NONPOTABLE_API[[#This Row],[PWSID]], CW_PWSID_LIST, 0)), "")</f>
        <v>No</v>
      </c>
    </row>
    <row r="5662" spans="1:24" x14ac:dyDescent="0.25">
      <c r="A5662" t="s">
        <v>2382</v>
      </c>
      <c r="B5662" t="s">
        <v>2383</v>
      </c>
      <c r="C5662" t="s">
        <v>2384</v>
      </c>
      <c r="D5662" t="s">
        <v>2385</v>
      </c>
      <c r="E5662" s="9">
        <v>45352</v>
      </c>
      <c r="F5662" s="9">
        <v>45382</v>
      </c>
      <c r="G5662">
        <v>114831966.41600001</v>
      </c>
      <c r="H5662">
        <v>15415107.564000001</v>
      </c>
      <c r="I5662">
        <v>17361538.868000001</v>
      </c>
      <c r="J5662">
        <v>5950005.608</v>
      </c>
      <c r="K5662">
        <v>0</v>
      </c>
      <c r="L5662">
        <v>47127.275999999998</v>
      </c>
      <c r="M5662">
        <v>0</v>
      </c>
      <c r="T5662" s="9">
        <v>45108</v>
      </c>
      <c r="U5662" s="9">
        <v>45473</v>
      </c>
      <c r="V5662">
        <f>SUM(POTABLE_NONPOTABLE_API[[#This Row],[RESIDENTIAL_SINGLEFAMILY_GAL]:[OTHER_GAL]])</f>
        <v>153605745.73199999</v>
      </c>
      <c r="W5662">
        <f>SUM(POTABLE_NONPOTABLE_API[[#This Row],[NONPOTABLE_DEMAND_RESIDENTIAL_RECYCLED_WATER_GAL]:[NONPOTABLE_DEMAND_NONRESIDENTIAL_METERED_IRRIGATION_GAL]])</f>
        <v>0</v>
      </c>
      <c r="X5662" t="str">
        <f>IFERROR(INDEX(Crosswalk_API!$H$2:$H$527, MATCH(POTABLE_NONPOTABLE_API[[#This Row],[PWSID]], CW_PWSID_LIST, 0)), "")</f>
        <v>No</v>
      </c>
    </row>
    <row r="5663" spans="1:24" x14ac:dyDescent="0.25">
      <c r="A5663" t="s">
        <v>2382</v>
      </c>
      <c r="B5663" t="s">
        <v>2383</v>
      </c>
      <c r="C5663" t="s">
        <v>2384</v>
      </c>
      <c r="D5663" t="s">
        <v>2385</v>
      </c>
      <c r="E5663" s="9">
        <v>45383</v>
      </c>
      <c r="F5663" s="9">
        <v>45412</v>
      </c>
      <c r="G5663">
        <v>97476411.964000002</v>
      </c>
      <c r="H5663">
        <v>19020718.204</v>
      </c>
      <c r="I5663">
        <v>31829612.600000001</v>
      </c>
      <c r="J5663">
        <v>11710006.007999999</v>
      </c>
      <c r="K5663">
        <v>0</v>
      </c>
      <c r="L5663">
        <v>1496.104</v>
      </c>
      <c r="M5663">
        <v>0</v>
      </c>
      <c r="T5663" s="9">
        <v>45108</v>
      </c>
      <c r="U5663" s="9">
        <v>45473</v>
      </c>
      <c r="V5663">
        <f>SUM(POTABLE_NONPOTABLE_API[[#This Row],[RESIDENTIAL_SINGLEFAMILY_GAL]:[OTHER_GAL]])</f>
        <v>160038244.88</v>
      </c>
      <c r="W5663">
        <f>SUM(POTABLE_NONPOTABLE_API[[#This Row],[NONPOTABLE_DEMAND_RESIDENTIAL_RECYCLED_WATER_GAL]:[NONPOTABLE_DEMAND_NONRESIDENTIAL_METERED_IRRIGATION_GAL]])</f>
        <v>0</v>
      </c>
      <c r="X5663" t="str">
        <f>IFERROR(INDEX(Crosswalk_API!$H$2:$H$527, MATCH(POTABLE_NONPOTABLE_API[[#This Row],[PWSID]], CW_PWSID_LIST, 0)), "")</f>
        <v>No</v>
      </c>
    </row>
    <row r="5664" spans="1:24" x14ac:dyDescent="0.25">
      <c r="A5664" t="s">
        <v>2382</v>
      </c>
      <c r="B5664" t="s">
        <v>2383</v>
      </c>
      <c r="C5664" t="s">
        <v>2384</v>
      </c>
      <c r="D5664" t="s">
        <v>2385</v>
      </c>
      <c r="E5664" s="9">
        <v>45413</v>
      </c>
      <c r="F5664" s="9">
        <v>45443</v>
      </c>
      <c r="G5664">
        <v>124515499.55600001</v>
      </c>
      <c r="H5664">
        <v>17594931.092</v>
      </c>
      <c r="I5664">
        <v>25201123.828000002</v>
      </c>
      <c r="J5664">
        <v>24803160.164000001</v>
      </c>
      <c r="K5664">
        <v>0</v>
      </c>
      <c r="L5664">
        <v>9724.6759999999995</v>
      </c>
      <c r="M5664">
        <v>0</v>
      </c>
      <c r="T5664" s="9">
        <v>45108</v>
      </c>
      <c r="U5664" s="9">
        <v>45473</v>
      </c>
      <c r="V5664">
        <f>SUM(POTABLE_NONPOTABLE_API[[#This Row],[RESIDENTIAL_SINGLEFAMILY_GAL]:[OTHER_GAL]])</f>
        <v>192124439.31600001</v>
      </c>
      <c r="W5664">
        <f>SUM(POTABLE_NONPOTABLE_API[[#This Row],[NONPOTABLE_DEMAND_RESIDENTIAL_RECYCLED_WATER_GAL]:[NONPOTABLE_DEMAND_NONRESIDENTIAL_METERED_IRRIGATION_GAL]])</f>
        <v>0</v>
      </c>
      <c r="X5664" t="str">
        <f>IFERROR(INDEX(Crosswalk_API!$H$2:$H$527, MATCH(POTABLE_NONPOTABLE_API[[#This Row],[PWSID]], CW_PWSID_LIST, 0)), "")</f>
        <v>No</v>
      </c>
    </row>
    <row r="5665" spans="1:24" x14ac:dyDescent="0.25">
      <c r="A5665" t="s">
        <v>2382</v>
      </c>
      <c r="B5665" t="s">
        <v>2383</v>
      </c>
      <c r="C5665" t="s">
        <v>2384</v>
      </c>
      <c r="D5665" t="s">
        <v>2385</v>
      </c>
      <c r="E5665" s="9">
        <v>45444</v>
      </c>
      <c r="F5665" s="9">
        <v>45473</v>
      </c>
      <c r="G5665">
        <v>155758639.38800001</v>
      </c>
      <c r="H5665">
        <v>18161954.508000001</v>
      </c>
      <c r="I5665">
        <v>26810183.68</v>
      </c>
      <c r="J5665">
        <v>32290412.631999999</v>
      </c>
      <c r="K5665">
        <v>0</v>
      </c>
      <c r="L5665">
        <v>0</v>
      </c>
      <c r="M5665">
        <v>0</v>
      </c>
      <c r="T5665" s="9">
        <v>45108</v>
      </c>
      <c r="U5665" s="9">
        <v>45473</v>
      </c>
      <c r="V5665">
        <f>SUM(POTABLE_NONPOTABLE_API[[#This Row],[RESIDENTIAL_SINGLEFAMILY_GAL]:[OTHER_GAL]])</f>
        <v>233021190.20800003</v>
      </c>
      <c r="W5665">
        <f>SUM(POTABLE_NONPOTABLE_API[[#This Row],[NONPOTABLE_DEMAND_RESIDENTIAL_RECYCLED_WATER_GAL]:[NONPOTABLE_DEMAND_NONRESIDENTIAL_METERED_IRRIGATION_GAL]])</f>
        <v>0</v>
      </c>
      <c r="X5665" t="str">
        <f>IFERROR(INDEX(Crosswalk_API!$H$2:$H$527, MATCH(POTABLE_NONPOTABLE_API[[#This Row],[PWSID]], CW_PWSID_LIST, 0)), "")</f>
        <v>No</v>
      </c>
    </row>
    <row r="5666" spans="1:24" x14ac:dyDescent="0.25">
      <c r="A5666" t="s">
        <v>2386</v>
      </c>
      <c r="B5666" t="s">
        <v>2387</v>
      </c>
      <c r="C5666" t="s">
        <v>2388</v>
      </c>
      <c r="D5666" t="s">
        <v>2389</v>
      </c>
      <c r="E5666" s="9">
        <v>45108</v>
      </c>
      <c r="F5666" s="9">
        <v>45138</v>
      </c>
      <c r="G5666">
        <v>135228165</v>
      </c>
      <c r="H5666">
        <v>89934876</v>
      </c>
      <c r="I5666">
        <v>82766154</v>
      </c>
      <c r="J5666">
        <v>26719782</v>
      </c>
      <c r="K5666">
        <v>107204979</v>
      </c>
      <c r="L5666">
        <v>651702</v>
      </c>
      <c r="M5666">
        <v>0</v>
      </c>
      <c r="N5666">
        <v>0</v>
      </c>
      <c r="O5666">
        <v>0</v>
      </c>
      <c r="P5666">
        <v>0</v>
      </c>
      <c r="Q5666">
        <v>146632950</v>
      </c>
      <c r="R5666">
        <v>0</v>
      </c>
      <c r="S5666">
        <v>11078934</v>
      </c>
      <c r="T5666" s="9">
        <v>45108</v>
      </c>
      <c r="U5666" s="9">
        <v>45473</v>
      </c>
      <c r="V5666">
        <f>SUM(POTABLE_NONPOTABLE_API[[#This Row],[RESIDENTIAL_SINGLEFAMILY_GAL]:[OTHER_GAL]])</f>
        <v>442505658</v>
      </c>
      <c r="W5666">
        <f>SUM(POTABLE_NONPOTABLE_API[[#This Row],[NONPOTABLE_DEMAND_RESIDENTIAL_RECYCLED_WATER_GAL]:[NONPOTABLE_DEMAND_NONRESIDENTIAL_METERED_IRRIGATION_GAL]])</f>
        <v>157711884</v>
      </c>
      <c r="X5666" t="str">
        <f>IFERROR(INDEX(Crosswalk_API!$H$2:$H$527, MATCH(POTABLE_NONPOTABLE_API[[#This Row],[PWSID]], CW_PWSID_LIST, 0)), "")</f>
        <v>No</v>
      </c>
    </row>
    <row r="5667" spans="1:24" x14ac:dyDescent="0.25">
      <c r="A5667" t="s">
        <v>2386</v>
      </c>
      <c r="B5667" t="s">
        <v>2387</v>
      </c>
      <c r="C5667" t="s">
        <v>2388</v>
      </c>
      <c r="D5667" t="s">
        <v>2389</v>
      </c>
      <c r="E5667" s="9">
        <v>45139</v>
      </c>
      <c r="F5667" s="9">
        <v>45169</v>
      </c>
      <c r="G5667">
        <v>183128262</v>
      </c>
      <c r="H5667">
        <v>98081151</v>
      </c>
      <c r="I5667">
        <v>91238280</v>
      </c>
      <c r="J5667">
        <v>27697335</v>
      </c>
      <c r="K5667">
        <v>107856681</v>
      </c>
      <c r="L5667">
        <v>651702</v>
      </c>
      <c r="M5667">
        <v>0</v>
      </c>
      <c r="N5667">
        <v>0</v>
      </c>
      <c r="O5667">
        <v>0</v>
      </c>
      <c r="P5667">
        <v>0</v>
      </c>
      <c r="Q5667">
        <v>147936354</v>
      </c>
      <c r="R5667">
        <v>0</v>
      </c>
      <c r="S5667">
        <v>12708189</v>
      </c>
      <c r="T5667" s="9">
        <v>45108</v>
      </c>
      <c r="U5667" s="9">
        <v>45473</v>
      </c>
      <c r="V5667">
        <f>SUM(POTABLE_NONPOTABLE_API[[#This Row],[RESIDENTIAL_SINGLEFAMILY_GAL]:[OTHER_GAL]])</f>
        <v>508653411</v>
      </c>
      <c r="W5667">
        <f>SUM(POTABLE_NONPOTABLE_API[[#This Row],[NONPOTABLE_DEMAND_RESIDENTIAL_RECYCLED_WATER_GAL]:[NONPOTABLE_DEMAND_NONRESIDENTIAL_METERED_IRRIGATION_GAL]])</f>
        <v>160644543</v>
      </c>
      <c r="X5667" t="str">
        <f>IFERROR(INDEX(Crosswalk_API!$H$2:$H$527, MATCH(POTABLE_NONPOTABLE_API[[#This Row],[PWSID]], CW_PWSID_LIST, 0)), "")</f>
        <v>No</v>
      </c>
    </row>
    <row r="5668" spans="1:24" x14ac:dyDescent="0.25">
      <c r="A5668" t="s">
        <v>2386</v>
      </c>
      <c r="B5668" t="s">
        <v>2387</v>
      </c>
      <c r="C5668" t="s">
        <v>2388</v>
      </c>
      <c r="D5668" t="s">
        <v>2389</v>
      </c>
      <c r="E5668" s="9">
        <v>45170</v>
      </c>
      <c r="F5668" s="9">
        <v>45199</v>
      </c>
      <c r="G5668">
        <v>144677844</v>
      </c>
      <c r="H5668">
        <v>87653919</v>
      </c>
      <c r="I5668">
        <v>87002217</v>
      </c>
      <c r="J5668">
        <v>30304143</v>
      </c>
      <c r="K5668">
        <v>108508383</v>
      </c>
      <c r="L5668">
        <v>325851</v>
      </c>
      <c r="M5668">
        <v>0</v>
      </c>
      <c r="N5668">
        <v>0</v>
      </c>
      <c r="O5668">
        <v>0</v>
      </c>
      <c r="P5668">
        <v>0</v>
      </c>
      <c r="Q5668">
        <v>131317953</v>
      </c>
      <c r="R5668">
        <v>0</v>
      </c>
      <c r="S5668">
        <v>10101381</v>
      </c>
      <c r="T5668" s="9">
        <v>45108</v>
      </c>
      <c r="U5668" s="9">
        <v>45473</v>
      </c>
      <c r="V5668">
        <f>SUM(POTABLE_NONPOTABLE_API[[#This Row],[RESIDENTIAL_SINGLEFAMILY_GAL]:[OTHER_GAL]])</f>
        <v>458472357</v>
      </c>
      <c r="W5668">
        <f>SUM(POTABLE_NONPOTABLE_API[[#This Row],[NONPOTABLE_DEMAND_RESIDENTIAL_RECYCLED_WATER_GAL]:[NONPOTABLE_DEMAND_NONRESIDENTIAL_METERED_IRRIGATION_GAL]])</f>
        <v>141419334</v>
      </c>
      <c r="X5668" t="str">
        <f>IFERROR(INDEX(Crosswalk_API!$H$2:$H$527, MATCH(POTABLE_NONPOTABLE_API[[#This Row],[PWSID]], CW_PWSID_LIST, 0)), "")</f>
        <v>No</v>
      </c>
    </row>
    <row r="5669" spans="1:24" x14ac:dyDescent="0.25">
      <c r="A5669" t="s">
        <v>2386</v>
      </c>
      <c r="B5669" t="s">
        <v>2387</v>
      </c>
      <c r="C5669" t="s">
        <v>2388</v>
      </c>
      <c r="D5669" t="s">
        <v>2389</v>
      </c>
      <c r="E5669" s="9">
        <v>45200</v>
      </c>
      <c r="F5669" s="9">
        <v>45230</v>
      </c>
      <c r="G5669">
        <v>175307838</v>
      </c>
      <c r="H5669">
        <v>87653919</v>
      </c>
      <c r="I5669">
        <v>96451896</v>
      </c>
      <c r="J5669">
        <v>22809570</v>
      </c>
      <c r="K5669">
        <v>95474343</v>
      </c>
      <c r="L5669">
        <v>977553</v>
      </c>
      <c r="M5669">
        <v>0</v>
      </c>
      <c r="N5669">
        <v>0</v>
      </c>
      <c r="O5669">
        <v>0</v>
      </c>
      <c r="P5669">
        <v>0</v>
      </c>
      <c r="Q5669">
        <v>131317953</v>
      </c>
      <c r="R5669">
        <v>0</v>
      </c>
      <c r="S5669">
        <v>10101381</v>
      </c>
      <c r="T5669" s="9">
        <v>45108</v>
      </c>
      <c r="U5669" s="9">
        <v>45473</v>
      </c>
      <c r="V5669">
        <f>SUM(POTABLE_NONPOTABLE_API[[#This Row],[RESIDENTIAL_SINGLEFAMILY_GAL]:[OTHER_GAL]])</f>
        <v>478675119</v>
      </c>
      <c r="W5669">
        <f>SUM(POTABLE_NONPOTABLE_API[[#This Row],[NONPOTABLE_DEMAND_RESIDENTIAL_RECYCLED_WATER_GAL]:[NONPOTABLE_DEMAND_NONRESIDENTIAL_METERED_IRRIGATION_GAL]])</f>
        <v>141419334</v>
      </c>
      <c r="X5669" t="str">
        <f>IFERROR(INDEX(Crosswalk_API!$H$2:$H$527, MATCH(POTABLE_NONPOTABLE_API[[#This Row],[PWSID]], CW_PWSID_LIST, 0)), "")</f>
        <v>No</v>
      </c>
    </row>
    <row r="5670" spans="1:24" x14ac:dyDescent="0.25">
      <c r="A5670" t="s">
        <v>2386</v>
      </c>
      <c r="B5670" t="s">
        <v>2387</v>
      </c>
      <c r="C5670" t="s">
        <v>2388</v>
      </c>
      <c r="D5670" t="s">
        <v>2389</v>
      </c>
      <c r="E5670" s="9">
        <v>45231</v>
      </c>
      <c r="F5670" s="9">
        <v>45260</v>
      </c>
      <c r="G5670">
        <v>134902314</v>
      </c>
      <c r="H5670">
        <v>86676366</v>
      </c>
      <c r="I5670">
        <v>86350515</v>
      </c>
      <c r="J5670">
        <v>27371484</v>
      </c>
      <c r="K5670">
        <v>81462750</v>
      </c>
      <c r="L5670">
        <v>325851</v>
      </c>
      <c r="M5670">
        <v>0</v>
      </c>
      <c r="N5670">
        <v>0</v>
      </c>
      <c r="O5670">
        <v>0</v>
      </c>
      <c r="P5670">
        <v>0</v>
      </c>
      <c r="Q5670">
        <v>99384555</v>
      </c>
      <c r="R5670">
        <v>0</v>
      </c>
      <c r="S5670">
        <v>5539467</v>
      </c>
      <c r="T5670" s="9">
        <v>45108</v>
      </c>
      <c r="U5670" s="9">
        <v>45473</v>
      </c>
      <c r="V5670">
        <f>SUM(POTABLE_NONPOTABLE_API[[#This Row],[RESIDENTIAL_SINGLEFAMILY_GAL]:[OTHER_GAL]])</f>
        <v>417089280</v>
      </c>
      <c r="W5670">
        <f>SUM(POTABLE_NONPOTABLE_API[[#This Row],[NONPOTABLE_DEMAND_RESIDENTIAL_RECYCLED_WATER_GAL]:[NONPOTABLE_DEMAND_NONRESIDENTIAL_METERED_IRRIGATION_GAL]])</f>
        <v>104924022</v>
      </c>
      <c r="X5670" t="str">
        <f>IFERROR(INDEX(Crosswalk_API!$H$2:$H$527, MATCH(POTABLE_NONPOTABLE_API[[#This Row],[PWSID]], CW_PWSID_LIST, 0)), "")</f>
        <v>No</v>
      </c>
    </row>
    <row r="5671" spans="1:24" x14ac:dyDescent="0.25">
      <c r="A5671" t="s">
        <v>2386</v>
      </c>
      <c r="B5671" t="s">
        <v>2387</v>
      </c>
      <c r="C5671" t="s">
        <v>2388</v>
      </c>
      <c r="D5671" t="s">
        <v>2389</v>
      </c>
      <c r="E5671" s="9">
        <v>45261</v>
      </c>
      <c r="F5671" s="9">
        <v>45291</v>
      </c>
      <c r="G5671">
        <v>128385294</v>
      </c>
      <c r="H5671">
        <v>73316475</v>
      </c>
      <c r="I5671">
        <v>76900836</v>
      </c>
      <c r="J5671">
        <v>17595954</v>
      </c>
      <c r="K5671">
        <v>150869013</v>
      </c>
      <c r="L5671">
        <v>325851</v>
      </c>
      <c r="M5671">
        <v>0</v>
      </c>
      <c r="N5671">
        <v>0</v>
      </c>
      <c r="O5671">
        <v>0</v>
      </c>
      <c r="P5671">
        <v>0</v>
      </c>
      <c r="Q5671">
        <v>167161563</v>
      </c>
      <c r="R5671">
        <v>0</v>
      </c>
      <c r="S5671">
        <v>4236063</v>
      </c>
      <c r="T5671" s="9">
        <v>45108</v>
      </c>
      <c r="U5671" s="9">
        <v>45473</v>
      </c>
      <c r="V5671">
        <f>SUM(POTABLE_NONPOTABLE_API[[#This Row],[RESIDENTIAL_SINGLEFAMILY_GAL]:[OTHER_GAL]])</f>
        <v>447393423</v>
      </c>
      <c r="W5671">
        <f>SUM(POTABLE_NONPOTABLE_API[[#This Row],[NONPOTABLE_DEMAND_RESIDENTIAL_RECYCLED_WATER_GAL]:[NONPOTABLE_DEMAND_NONRESIDENTIAL_METERED_IRRIGATION_GAL]])</f>
        <v>171397626</v>
      </c>
      <c r="X5671" t="str">
        <f>IFERROR(INDEX(Crosswalk_API!$H$2:$H$527, MATCH(POTABLE_NONPOTABLE_API[[#This Row],[PWSID]], CW_PWSID_LIST, 0)), "")</f>
        <v>No</v>
      </c>
    </row>
    <row r="5672" spans="1:24" x14ac:dyDescent="0.25">
      <c r="A5672" t="s">
        <v>2386</v>
      </c>
      <c r="B5672" t="s">
        <v>2387</v>
      </c>
      <c r="C5672" t="s">
        <v>2388</v>
      </c>
      <c r="D5672" t="s">
        <v>2389</v>
      </c>
      <c r="E5672" s="9">
        <v>45292</v>
      </c>
      <c r="F5672" s="9">
        <v>45322</v>
      </c>
      <c r="G5672">
        <v>139138377</v>
      </c>
      <c r="H5672">
        <v>87328068</v>
      </c>
      <c r="I5672">
        <v>78530091</v>
      </c>
      <c r="J5672">
        <v>17595954</v>
      </c>
      <c r="K5672">
        <v>175633689</v>
      </c>
      <c r="L5672">
        <v>325851</v>
      </c>
      <c r="M5672">
        <v>0</v>
      </c>
      <c r="N5672">
        <v>0</v>
      </c>
      <c r="O5672">
        <v>0</v>
      </c>
      <c r="P5672">
        <v>0</v>
      </c>
      <c r="Q5672">
        <v>93193386</v>
      </c>
      <c r="R5672">
        <v>0</v>
      </c>
      <c r="S5672">
        <v>3910212</v>
      </c>
      <c r="T5672" s="9">
        <v>45108</v>
      </c>
      <c r="U5672" s="9">
        <v>45473</v>
      </c>
      <c r="V5672">
        <f>SUM(POTABLE_NONPOTABLE_API[[#This Row],[RESIDENTIAL_SINGLEFAMILY_GAL]:[OTHER_GAL]])</f>
        <v>498552030</v>
      </c>
      <c r="W5672">
        <f>SUM(POTABLE_NONPOTABLE_API[[#This Row],[NONPOTABLE_DEMAND_RESIDENTIAL_RECYCLED_WATER_GAL]:[NONPOTABLE_DEMAND_NONRESIDENTIAL_METERED_IRRIGATION_GAL]])</f>
        <v>97103598</v>
      </c>
      <c r="X5672" t="str">
        <f>IFERROR(INDEX(Crosswalk_API!$H$2:$H$527, MATCH(POTABLE_NONPOTABLE_API[[#This Row],[PWSID]], CW_PWSID_LIST, 0)), "")</f>
        <v>No</v>
      </c>
    </row>
    <row r="5673" spans="1:24" x14ac:dyDescent="0.25">
      <c r="A5673" t="s">
        <v>2386</v>
      </c>
      <c r="B5673" t="s">
        <v>2387</v>
      </c>
      <c r="C5673" t="s">
        <v>2388</v>
      </c>
      <c r="D5673" t="s">
        <v>2389</v>
      </c>
      <c r="E5673" s="9">
        <v>45323</v>
      </c>
      <c r="F5673" s="9">
        <v>45351</v>
      </c>
      <c r="G5673">
        <v>136205718</v>
      </c>
      <c r="H5673">
        <v>57023925</v>
      </c>
      <c r="I5673">
        <v>48551799</v>
      </c>
      <c r="J5673">
        <v>11730636</v>
      </c>
      <c r="K5673">
        <v>166509861</v>
      </c>
      <c r="L5673">
        <v>325851</v>
      </c>
      <c r="M5673">
        <v>0</v>
      </c>
      <c r="N5673">
        <v>0</v>
      </c>
      <c r="O5673">
        <v>0</v>
      </c>
      <c r="P5673">
        <v>0</v>
      </c>
      <c r="Q5673">
        <v>87979770</v>
      </c>
      <c r="R5673">
        <v>0</v>
      </c>
      <c r="S5673">
        <v>651702</v>
      </c>
      <c r="T5673" s="9">
        <v>45108</v>
      </c>
      <c r="U5673" s="9">
        <v>45473</v>
      </c>
      <c r="V5673">
        <f>SUM(POTABLE_NONPOTABLE_API[[#This Row],[RESIDENTIAL_SINGLEFAMILY_GAL]:[OTHER_GAL]])</f>
        <v>420347790</v>
      </c>
      <c r="W5673">
        <f>SUM(POTABLE_NONPOTABLE_API[[#This Row],[NONPOTABLE_DEMAND_RESIDENTIAL_RECYCLED_WATER_GAL]:[NONPOTABLE_DEMAND_NONRESIDENTIAL_METERED_IRRIGATION_GAL]])</f>
        <v>88631472</v>
      </c>
      <c r="X5673" t="str">
        <f>IFERROR(INDEX(Crosswalk_API!$H$2:$H$527, MATCH(POTABLE_NONPOTABLE_API[[#This Row],[PWSID]], CW_PWSID_LIST, 0)), "")</f>
        <v>No</v>
      </c>
    </row>
    <row r="5674" spans="1:24" x14ac:dyDescent="0.25">
      <c r="A5674" t="s">
        <v>2386</v>
      </c>
      <c r="B5674" t="s">
        <v>2387</v>
      </c>
      <c r="C5674" t="s">
        <v>2388</v>
      </c>
      <c r="D5674" t="s">
        <v>2389</v>
      </c>
      <c r="E5674" s="9">
        <v>45352</v>
      </c>
      <c r="F5674" s="9">
        <v>45382</v>
      </c>
      <c r="G5674">
        <v>103620618</v>
      </c>
      <c r="H5674">
        <v>101013810</v>
      </c>
      <c r="I5674">
        <v>80485197</v>
      </c>
      <c r="J5674">
        <v>9123828</v>
      </c>
      <c r="K5674">
        <v>155430927</v>
      </c>
      <c r="L5674">
        <v>0</v>
      </c>
      <c r="M5674">
        <v>0</v>
      </c>
      <c r="N5674">
        <v>0</v>
      </c>
      <c r="O5674">
        <v>0</v>
      </c>
      <c r="P5674">
        <v>0</v>
      </c>
      <c r="Q5674">
        <v>157386033</v>
      </c>
      <c r="R5674">
        <v>0</v>
      </c>
      <c r="S5674">
        <v>1955106</v>
      </c>
      <c r="T5674" s="9">
        <v>45108</v>
      </c>
      <c r="U5674" s="9">
        <v>45473</v>
      </c>
      <c r="V5674">
        <f>SUM(POTABLE_NONPOTABLE_API[[#This Row],[RESIDENTIAL_SINGLEFAMILY_GAL]:[OTHER_GAL]])</f>
        <v>449674380</v>
      </c>
      <c r="W5674">
        <f>SUM(POTABLE_NONPOTABLE_API[[#This Row],[NONPOTABLE_DEMAND_RESIDENTIAL_RECYCLED_WATER_GAL]:[NONPOTABLE_DEMAND_NONRESIDENTIAL_METERED_IRRIGATION_GAL]])</f>
        <v>159341139</v>
      </c>
      <c r="X5674" t="str">
        <f>IFERROR(INDEX(Crosswalk_API!$H$2:$H$527, MATCH(POTABLE_NONPOTABLE_API[[#This Row],[PWSID]], CW_PWSID_LIST, 0)), "")</f>
        <v>No</v>
      </c>
    </row>
    <row r="5675" spans="1:24" x14ac:dyDescent="0.25">
      <c r="A5675" t="s">
        <v>2386</v>
      </c>
      <c r="B5675" t="s">
        <v>2387</v>
      </c>
      <c r="C5675" t="s">
        <v>2388</v>
      </c>
      <c r="D5675" t="s">
        <v>2389</v>
      </c>
      <c r="E5675" s="9">
        <v>45383</v>
      </c>
      <c r="F5675" s="9">
        <v>45412</v>
      </c>
      <c r="G5675">
        <v>119261466</v>
      </c>
      <c r="H5675">
        <v>74619879</v>
      </c>
      <c r="I5675">
        <v>61585839</v>
      </c>
      <c r="J5675">
        <v>13359891</v>
      </c>
      <c r="K5675">
        <v>147610503</v>
      </c>
      <c r="L5675">
        <v>2183201.7000000002</v>
      </c>
      <c r="M5675">
        <v>1433744.4000000001</v>
      </c>
      <c r="N5675">
        <v>0</v>
      </c>
      <c r="O5675">
        <v>0</v>
      </c>
      <c r="P5675">
        <v>0</v>
      </c>
      <c r="Q5675">
        <v>93714747.600000009</v>
      </c>
      <c r="R5675">
        <v>0</v>
      </c>
      <c r="S5675">
        <v>3714701.4</v>
      </c>
      <c r="T5675" s="9">
        <v>45108</v>
      </c>
      <c r="U5675" s="9">
        <v>45473</v>
      </c>
      <c r="V5675">
        <f>SUM(POTABLE_NONPOTABLE_API[[#This Row],[RESIDENTIAL_SINGLEFAMILY_GAL]:[OTHER_GAL]])</f>
        <v>418620779.69999999</v>
      </c>
      <c r="W5675">
        <f>SUM(POTABLE_NONPOTABLE_API[[#This Row],[NONPOTABLE_DEMAND_RESIDENTIAL_RECYCLED_WATER_GAL]:[NONPOTABLE_DEMAND_NONRESIDENTIAL_METERED_IRRIGATION_GAL]])</f>
        <v>97429449.000000015</v>
      </c>
      <c r="X5675" t="str">
        <f>IFERROR(INDEX(Crosswalk_API!$H$2:$H$527, MATCH(POTABLE_NONPOTABLE_API[[#This Row],[PWSID]], CW_PWSID_LIST, 0)), "")</f>
        <v>No</v>
      </c>
    </row>
    <row r="5676" spans="1:24" x14ac:dyDescent="0.25">
      <c r="A5676" t="s">
        <v>2386</v>
      </c>
      <c r="B5676" t="s">
        <v>2387</v>
      </c>
      <c r="C5676" t="s">
        <v>2388</v>
      </c>
      <c r="D5676" t="s">
        <v>2389</v>
      </c>
      <c r="E5676" s="9">
        <v>45413</v>
      </c>
      <c r="F5676" s="9">
        <v>45443</v>
      </c>
      <c r="G5676">
        <v>111441042</v>
      </c>
      <c r="H5676">
        <v>85047111</v>
      </c>
      <c r="I5676">
        <v>70383816</v>
      </c>
      <c r="J5676">
        <v>15314997</v>
      </c>
      <c r="K5676">
        <v>166509861</v>
      </c>
      <c r="L5676">
        <v>1824765.5999999999</v>
      </c>
      <c r="M5676">
        <v>2280957</v>
      </c>
      <c r="N5676">
        <v>0</v>
      </c>
      <c r="O5676">
        <v>0</v>
      </c>
      <c r="P5676">
        <v>0</v>
      </c>
      <c r="Q5676">
        <v>197465706</v>
      </c>
      <c r="R5676">
        <v>0</v>
      </c>
      <c r="S5676">
        <v>8472126</v>
      </c>
      <c r="T5676" s="9">
        <v>45108</v>
      </c>
      <c r="U5676" s="9">
        <v>45473</v>
      </c>
      <c r="V5676">
        <f>SUM(POTABLE_NONPOTABLE_API[[#This Row],[RESIDENTIAL_SINGLEFAMILY_GAL]:[OTHER_GAL]])</f>
        <v>450521592.60000002</v>
      </c>
      <c r="W5676">
        <f>SUM(POTABLE_NONPOTABLE_API[[#This Row],[NONPOTABLE_DEMAND_RESIDENTIAL_RECYCLED_WATER_GAL]:[NONPOTABLE_DEMAND_NONRESIDENTIAL_METERED_IRRIGATION_GAL]])</f>
        <v>205937832</v>
      </c>
      <c r="X5676" t="str">
        <f>IFERROR(INDEX(Crosswalk_API!$H$2:$H$527, MATCH(POTABLE_NONPOTABLE_API[[#This Row],[PWSID]], CW_PWSID_LIST, 0)), "")</f>
        <v>No</v>
      </c>
    </row>
    <row r="5677" spans="1:24" x14ac:dyDescent="0.25">
      <c r="A5677" t="s">
        <v>2386</v>
      </c>
      <c r="B5677" t="s">
        <v>2387</v>
      </c>
      <c r="C5677" t="s">
        <v>2388</v>
      </c>
      <c r="D5677" t="s">
        <v>2389</v>
      </c>
      <c r="E5677" s="9">
        <v>45444</v>
      </c>
      <c r="F5677" s="9">
        <v>45473</v>
      </c>
      <c r="G5677">
        <v>151846566</v>
      </c>
      <c r="H5677">
        <v>81462750</v>
      </c>
      <c r="I5677">
        <v>74294028</v>
      </c>
      <c r="J5677">
        <v>23135421</v>
      </c>
      <c r="K5677">
        <v>117306360</v>
      </c>
      <c r="L5677">
        <v>2443882.5</v>
      </c>
      <c r="M5677">
        <v>2052861.3</v>
      </c>
      <c r="N5677">
        <v>0</v>
      </c>
      <c r="O5677">
        <v>0</v>
      </c>
      <c r="P5677">
        <v>0</v>
      </c>
      <c r="Q5677">
        <v>143113759.19999999</v>
      </c>
      <c r="R5677">
        <v>0</v>
      </c>
      <c r="S5677">
        <v>7429402.7999999998</v>
      </c>
      <c r="T5677" s="9">
        <v>45108</v>
      </c>
      <c r="U5677" s="9">
        <v>45473</v>
      </c>
      <c r="V5677">
        <f>SUM(POTABLE_NONPOTABLE_API[[#This Row],[RESIDENTIAL_SINGLEFAMILY_GAL]:[OTHER_GAL]])</f>
        <v>450489007.5</v>
      </c>
      <c r="W5677">
        <f>SUM(POTABLE_NONPOTABLE_API[[#This Row],[NONPOTABLE_DEMAND_RESIDENTIAL_RECYCLED_WATER_GAL]:[NONPOTABLE_DEMAND_NONRESIDENTIAL_METERED_IRRIGATION_GAL]])</f>
        <v>150543162</v>
      </c>
      <c r="X5677" t="str">
        <f>IFERROR(INDEX(Crosswalk_API!$H$2:$H$527, MATCH(POTABLE_NONPOTABLE_API[[#This Row],[PWSID]], CW_PWSID_LIST, 0)), "")</f>
        <v>No</v>
      </c>
    </row>
    <row r="5678" spans="1:24" x14ac:dyDescent="0.25">
      <c r="A5678" t="s">
        <v>2390</v>
      </c>
      <c r="B5678" t="s">
        <v>2391</v>
      </c>
      <c r="C5678" t="s">
        <v>2392</v>
      </c>
      <c r="D5678" t="s">
        <v>2393</v>
      </c>
      <c r="E5678" s="9">
        <v>45108</v>
      </c>
      <c r="F5678" s="9">
        <v>45138</v>
      </c>
      <c r="G5678">
        <v>48160777.800000004</v>
      </c>
      <c r="H5678">
        <v>684287.1</v>
      </c>
      <c r="I5678">
        <v>2476467.6</v>
      </c>
      <c r="J5678">
        <v>10622742.6</v>
      </c>
      <c r="K5678">
        <v>0</v>
      </c>
      <c r="L5678">
        <v>9775.5299999999988</v>
      </c>
      <c r="M5678">
        <v>5441711.7000000002</v>
      </c>
      <c r="N5678">
        <v>0</v>
      </c>
      <c r="O5678">
        <v>0</v>
      </c>
      <c r="P5678">
        <v>0</v>
      </c>
      <c r="Q5678">
        <v>0</v>
      </c>
      <c r="R5678">
        <v>0</v>
      </c>
      <c r="S5678">
        <v>30346503.629999999</v>
      </c>
      <c r="T5678" s="9">
        <v>45108</v>
      </c>
      <c r="U5678" s="9">
        <v>45473</v>
      </c>
      <c r="V5678">
        <f>SUM(POTABLE_NONPOTABLE_API[[#This Row],[RESIDENTIAL_SINGLEFAMILY_GAL]:[OTHER_GAL]])</f>
        <v>61954050.63000001</v>
      </c>
      <c r="W5678">
        <f>SUM(POTABLE_NONPOTABLE_API[[#This Row],[NONPOTABLE_DEMAND_RESIDENTIAL_RECYCLED_WATER_GAL]:[NONPOTABLE_DEMAND_NONRESIDENTIAL_METERED_IRRIGATION_GAL]])</f>
        <v>30346503.629999999</v>
      </c>
      <c r="X5678" t="str">
        <f>IFERROR(INDEX(Crosswalk_API!$H$2:$H$527, MATCH(POTABLE_NONPOTABLE_API[[#This Row],[PWSID]], CW_PWSID_LIST, 0)), "")</f>
        <v>No</v>
      </c>
    </row>
    <row r="5679" spans="1:24" x14ac:dyDescent="0.25">
      <c r="A5679" t="s">
        <v>2390</v>
      </c>
      <c r="B5679" t="s">
        <v>2391</v>
      </c>
      <c r="C5679" t="s">
        <v>2392</v>
      </c>
      <c r="D5679" t="s">
        <v>2393</v>
      </c>
      <c r="E5679" s="9">
        <v>45139</v>
      </c>
      <c r="F5679" s="9">
        <v>45169</v>
      </c>
      <c r="G5679">
        <v>54547457.399999999</v>
      </c>
      <c r="H5679">
        <v>879797.70000000007</v>
      </c>
      <c r="I5679">
        <v>2671978.1999999997</v>
      </c>
      <c r="J5679">
        <v>10753083</v>
      </c>
      <c r="K5679">
        <v>0</v>
      </c>
      <c r="L5679">
        <v>6517.02</v>
      </c>
      <c r="M5679">
        <v>6582190.2000000002</v>
      </c>
      <c r="N5679">
        <v>0</v>
      </c>
      <c r="O5679">
        <v>0</v>
      </c>
      <c r="P5679">
        <v>0</v>
      </c>
      <c r="Q5679">
        <v>0</v>
      </c>
      <c r="R5679">
        <v>0</v>
      </c>
      <c r="S5679">
        <v>23497115.609999999</v>
      </c>
      <c r="T5679" s="9">
        <v>45108</v>
      </c>
      <c r="U5679" s="9">
        <v>45473</v>
      </c>
      <c r="V5679">
        <f>SUM(POTABLE_NONPOTABLE_API[[#This Row],[RESIDENTIAL_SINGLEFAMILY_GAL]:[OTHER_GAL]])</f>
        <v>68858833.320000008</v>
      </c>
      <c r="W5679">
        <f>SUM(POTABLE_NONPOTABLE_API[[#This Row],[NONPOTABLE_DEMAND_RESIDENTIAL_RECYCLED_WATER_GAL]:[NONPOTABLE_DEMAND_NONRESIDENTIAL_METERED_IRRIGATION_GAL]])</f>
        <v>23497115.609999999</v>
      </c>
      <c r="X5679" t="str">
        <f>IFERROR(INDEX(Crosswalk_API!$H$2:$H$527, MATCH(POTABLE_NONPOTABLE_API[[#This Row],[PWSID]], CW_PWSID_LIST, 0)), "")</f>
        <v>No</v>
      </c>
    </row>
    <row r="5680" spans="1:24" x14ac:dyDescent="0.25">
      <c r="A5680" t="s">
        <v>2390</v>
      </c>
      <c r="B5680" t="s">
        <v>2391</v>
      </c>
      <c r="C5680" t="s">
        <v>2392</v>
      </c>
      <c r="D5680" t="s">
        <v>2393</v>
      </c>
      <c r="E5680" s="9">
        <v>45170</v>
      </c>
      <c r="F5680" s="9">
        <v>45199</v>
      </c>
      <c r="G5680">
        <v>39427971</v>
      </c>
      <c r="H5680">
        <v>716872.20000000007</v>
      </c>
      <c r="I5680">
        <v>1433744.4000000001</v>
      </c>
      <c r="J5680">
        <v>9775530</v>
      </c>
      <c r="K5680">
        <v>0</v>
      </c>
      <c r="L5680">
        <v>6517.02</v>
      </c>
      <c r="M5680">
        <v>4236063</v>
      </c>
      <c r="N5680">
        <v>0</v>
      </c>
      <c r="O5680">
        <v>0</v>
      </c>
      <c r="P5680">
        <v>0</v>
      </c>
      <c r="Q5680">
        <v>0</v>
      </c>
      <c r="R5680">
        <v>0</v>
      </c>
      <c r="S5680">
        <v>16748741.4</v>
      </c>
      <c r="T5680" s="9">
        <v>45108</v>
      </c>
      <c r="U5680" s="9">
        <v>45473</v>
      </c>
      <c r="V5680">
        <f>SUM(POTABLE_NONPOTABLE_API[[#This Row],[RESIDENTIAL_SINGLEFAMILY_GAL]:[OTHER_GAL]])</f>
        <v>51360634.620000005</v>
      </c>
      <c r="W5680">
        <f>SUM(POTABLE_NONPOTABLE_API[[#This Row],[NONPOTABLE_DEMAND_RESIDENTIAL_RECYCLED_WATER_GAL]:[NONPOTABLE_DEMAND_NONRESIDENTIAL_METERED_IRRIGATION_GAL]])</f>
        <v>16748741.4</v>
      </c>
      <c r="X5680" t="str">
        <f>IFERROR(INDEX(Crosswalk_API!$H$2:$H$527, MATCH(POTABLE_NONPOTABLE_API[[#This Row],[PWSID]], CW_PWSID_LIST, 0)), "")</f>
        <v>No</v>
      </c>
    </row>
    <row r="5681" spans="1:24" x14ac:dyDescent="0.25">
      <c r="A5681" t="s">
        <v>2390</v>
      </c>
      <c r="B5681" t="s">
        <v>2391</v>
      </c>
      <c r="C5681" t="s">
        <v>2392</v>
      </c>
      <c r="D5681" t="s">
        <v>2393</v>
      </c>
      <c r="E5681" s="9">
        <v>45200</v>
      </c>
      <c r="F5681" s="9">
        <v>45230</v>
      </c>
      <c r="G5681">
        <v>42165119.399999999</v>
      </c>
      <c r="H5681">
        <v>814627.5</v>
      </c>
      <c r="I5681">
        <v>1401159.3</v>
      </c>
      <c r="J5681">
        <v>9873285.3000000007</v>
      </c>
      <c r="K5681">
        <v>0</v>
      </c>
      <c r="L5681">
        <v>977553</v>
      </c>
      <c r="M5681">
        <v>228095.69999999998</v>
      </c>
      <c r="N5681">
        <v>0</v>
      </c>
      <c r="O5681">
        <v>0</v>
      </c>
      <c r="P5681">
        <v>0</v>
      </c>
      <c r="Q5681">
        <v>4333818.3</v>
      </c>
      <c r="R5681">
        <v>0</v>
      </c>
      <c r="S5681">
        <v>15969957.51</v>
      </c>
      <c r="T5681" s="9">
        <v>45108</v>
      </c>
      <c r="U5681" s="9">
        <v>45473</v>
      </c>
      <c r="V5681">
        <f>SUM(POTABLE_NONPOTABLE_API[[#This Row],[RESIDENTIAL_SINGLEFAMILY_GAL]:[OTHER_GAL]])</f>
        <v>55231744.5</v>
      </c>
      <c r="W5681">
        <f>SUM(POTABLE_NONPOTABLE_API[[#This Row],[NONPOTABLE_DEMAND_RESIDENTIAL_RECYCLED_WATER_GAL]:[NONPOTABLE_DEMAND_NONRESIDENTIAL_METERED_IRRIGATION_GAL]])</f>
        <v>20303775.809999999</v>
      </c>
      <c r="X5681" t="str">
        <f>IFERROR(INDEX(Crosswalk_API!$H$2:$H$527, MATCH(POTABLE_NONPOTABLE_API[[#This Row],[PWSID]], CW_PWSID_LIST, 0)), "")</f>
        <v>No</v>
      </c>
    </row>
    <row r="5682" spans="1:24" x14ac:dyDescent="0.25">
      <c r="A5682" t="s">
        <v>2390</v>
      </c>
      <c r="B5682" t="s">
        <v>2391</v>
      </c>
      <c r="C5682" t="s">
        <v>2392</v>
      </c>
      <c r="D5682" t="s">
        <v>2393</v>
      </c>
      <c r="E5682" s="9">
        <v>45231</v>
      </c>
      <c r="F5682" s="9">
        <v>45260</v>
      </c>
      <c r="G5682">
        <v>43273012.800000004</v>
      </c>
      <c r="H5682">
        <v>847212.6</v>
      </c>
      <c r="I5682">
        <v>1335989.0999999999</v>
      </c>
      <c r="J5682">
        <v>8863147.1999999993</v>
      </c>
      <c r="K5682">
        <v>0</v>
      </c>
      <c r="L5682">
        <v>977553</v>
      </c>
      <c r="M5682">
        <v>1270818.8999999999</v>
      </c>
      <c r="N5682">
        <v>0</v>
      </c>
      <c r="O5682">
        <v>0</v>
      </c>
      <c r="P5682">
        <v>0</v>
      </c>
      <c r="Q5682">
        <v>1922520.9000000001</v>
      </c>
      <c r="R5682">
        <v>0</v>
      </c>
      <c r="S5682">
        <v>14181035.520000001</v>
      </c>
      <c r="T5682" s="9">
        <v>45108</v>
      </c>
      <c r="U5682" s="9">
        <v>45473</v>
      </c>
      <c r="V5682">
        <f>SUM(POTABLE_NONPOTABLE_API[[#This Row],[RESIDENTIAL_SINGLEFAMILY_GAL]:[OTHER_GAL]])</f>
        <v>55296914.700000003</v>
      </c>
      <c r="W5682">
        <f>SUM(POTABLE_NONPOTABLE_API[[#This Row],[NONPOTABLE_DEMAND_RESIDENTIAL_RECYCLED_WATER_GAL]:[NONPOTABLE_DEMAND_NONRESIDENTIAL_METERED_IRRIGATION_GAL]])</f>
        <v>16103556.420000002</v>
      </c>
      <c r="X5682" t="str">
        <f>IFERROR(INDEX(Crosswalk_API!$H$2:$H$527, MATCH(POTABLE_NONPOTABLE_API[[#This Row],[PWSID]], CW_PWSID_LIST, 0)), "")</f>
        <v>No</v>
      </c>
    </row>
    <row r="5683" spans="1:24" x14ac:dyDescent="0.25">
      <c r="A5683" t="s">
        <v>2390</v>
      </c>
      <c r="B5683" t="s">
        <v>2391</v>
      </c>
      <c r="C5683" t="s">
        <v>2392</v>
      </c>
      <c r="D5683" t="s">
        <v>2393</v>
      </c>
      <c r="E5683" s="9">
        <v>45261</v>
      </c>
      <c r="F5683" s="9">
        <v>45291</v>
      </c>
      <c r="G5683">
        <v>31705302.300000001</v>
      </c>
      <c r="H5683">
        <v>749457.29999999993</v>
      </c>
      <c r="I5683">
        <v>1075308.3</v>
      </c>
      <c r="J5683">
        <v>5018105.4000000004</v>
      </c>
      <c r="K5683">
        <v>0</v>
      </c>
      <c r="L5683">
        <v>977553</v>
      </c>
      <c r="M5683">
        <v>195510.6</v>
      </c>
      <c r="N5683">
        <v>0</v>
      </c>
      <c r="O5683">
        <v>0</v>
      </c>
      <c r="P5683">
        <v>0</v>
      </c>
      <c r="Q5683">
        <v>0</v>
      </c>
      <c r="R5683">
        <v>0</v>
      </c>
      <c r="S5683">
        <v>5353731.93</v>
      </c>
      <c r="T5683" s="9">
        <v>45108</v>
      </c>
      <c r="U5683" s="9">
        <v>45473</v>
      </c>
      <c r="V5683">
        <f>SUM(POTABLE_NONPOTABLE_API[[#This Row],[RESIDENTIAL_SINGLEFAMILY_GAL]:[OTHER_GAL]])</f>
        <v>39525726.300000004</v>
      </c>
      <c r="W5683">
        <f>SUM(POTABLE_NONPOTABLE_API[[#This Row],[NONPOTABLE_DEMAND_RESIDENTIAL_RECYCLED_WATER_GAL]:[NONPOTABLE_DEMAND_NONRESIDENTIAL_METERED_IRRIGATION_GAL]])</f>
        <v>5353731.93</v>
      </c>
      <c r="X5683" t="str">
        <f>IFERROR(INDEX(Crosswalk_API!$H$2:$H$527, MATCH(POTABLE_NONPOTABLE_API[[#This Row],[PWSID]], CW_PWSID_LIST, 0)), "")</f>
        <v>No</v>
      </c>
    </row>
    <row r="5684" spans="1:24" x14ac:dyDescent="0.25">
      <c r="A5684" t="s">
        <v>2390</v>
      </c>
      <c r="B5684" t="s">
        <v>2391</v>
      </c>
      <c r="C5684" t="s">
        <v>2392</v>
      </c>
      <c r="D5684" t="s">
        <v>2393</v>
      </c>
      <c r="E5684" s="9">
        <v>45292</v>
      </c>
      <c r="F5684" s="9">
        <v>45322</v>
      </c>
      <c r="G5684">
        <v>26035494.900000002</v>
      </c>
      <c r="H5684">
        <v>814627.5</v>
      </c>
      <c r="I5684">
        <v>944967.9</v>
      </c>
      <c r="J5684">
        <v>1694425.2</v>
      </c>
      <c r="K5684">
        <v>0</v>
      </c>
      <c r="L5684">
        <v>1303404</v>
      </c>
      <c r="M5684">
        <v>32585.100000000002</v>
      </c>
      <c r="N5684">
        <v>0</v>
      </c>
      <c r="O5684">
        <v>0</v>
      </c>
      <c r="P5684">
        <v>0</v>
      </c>
      <c r="Q5684">
        <v>0</v>
      </c>
      <c r="R5684">
        <v>0</v>
      </c>
      <c r="S5684">
        <v>1375091.22</v>
      </c>
      <c r="T5684" s="9">
        <v>45108</v>
      </c>
      <c r="U5684" s="9">
        <v>45473</v>
      </c>
      <c r="V5684">
        <f>SUM(POTABLE_NONPOTABLE_API[[#This Row],[RESIDENTIAL_SINGLEFAMILY_GAL]:[OTHER_GAL]])</f>
        <v>30792919.5</v>
      </c>
      <c r="W5684">
        <f>SUM(POTABLE_NONPOTABLE_API[[#This Row],[NONPOTABLE_DEMAND_RESIDENTIAL_RECYCLED_WATER_GAL]:[NONPOTABLE_DEMAND_NONRESIDENTIAL_METERED_IRRIGATION_GAL]])</f>
        <v>1375091.22</v>
      </c>
      <c r="X5684" t="str">
        <f>IFERROR(INDEX(Crosswalk_API!$H$2:$H$527, MATCH(POTABLE_NONPOTABLE_API[[#This Row],[PWSID]], CW_PWSID_LIST, 0)), "")</f>
        <v>No</v>
      </c>
    </row>
    <row r="5685" spans="1:24" x14ac:dyDescent="0.25">
      <c r="A5685" t="s">
        <v>2390</v>
      </c>
      <c r="B5685" t="s">
        <v>2391</v>
      </c>
      <c r="C5685" t="s">
        <v>2392</v>
      </c>
      <c r="D5685" t="s">
        <v>2393</v>
      </c>
      <c r="E5685" s="9">
        <v>45323</v>
      </c>
      <c r="F5685" s="9">
        <v>45351</v>
      </c>
      <c r="G5685">
        <v>22483719</v>
      </c>
      <c r="H5685">
        <v>912382.79999999993</v>
      </c>
      <c r="I5685">
        <v>912382.79999999993</v>
      </c>
      <c r="J5685">
        <v>977553</v>
      </c>
      <c r="K5685">
        <v>0</v>
      </c>
      <c r="L5685">
        <v>977553</v>
      </c>
      <c r="M5685">
        <v>32585.100000000002</v>
      </c>
      <c r="N5685">
        <v>0</v>
      </c>
      <c r="O5685">
        <v>0</v>
      </c>
      <c r="P5685">
        <v>0</v>
      </c>
      <c r="Q5685">
        <v>0</v>
      </c>
      <c r="R5685">
        <v>0</v>
      </c>
      <c r="S5685">
        <v>1792180.5</v>
      </c>
      <c r="T5685" s="9">
        <v>45108</v>
      </c>
      <c r="U5685" s="9">
        <v>45473</v>
      </c>
      <c r="V5685">
        <f>SUM(POTABLE_NONPOTABLE_API[[#This Row],[RESIDENTIAL_SINGLEFAMILY_GAL]:[OTHER_GAL]])</f>
        <v>26263590.600000001</v>
      </c>
      <c r="W5685">
        <f>SUM(POTABLE_NONPOTABLE_API[[#This Row],[NONPOTABLE_DEMAND_RESIDENTIAL_RECYCLED_WATER_GAL]:[NONPOTABLE_DEMAND_NONRESIDENTIAL_METERED_IRRIGATION_GAL]])</f>
        <v>1792180.5</v>
      </c>
      <c r="X5685" t="str">
        <f>IFERROR(INDEX(Crosswalk_API!$H$2:$H$527, MATCH(POTABLE_NONPOTABLE_API[[#This Row],[PWSID]], CW_PWSID_LIST, 0)), "")</f>
        <v>No</v>
      </c>
    </row>
    <row r="5686" spans="1:24" x14ac:dyDescent="0.25">
      <c r="A5686" t="s">
        <v>2390</v>
      </c>
      <c r="B5686" t="s">
        <v>2391</v>
      </c>
      <c r="C5686" t="s">
        <v>2392</v>
      </c>
      <c r="D5686" t="s">
        <v>2393</v>
      </c>
      <c r="E5686" s="9">
        <v>45352</v>
      </c>
      <c r="F5686" s="9">
        <v>45382</v>
      </c>
      <c r="G5686">
        <v>23852293.199999999</v>
      </c>
      <c r="H5686">
        <v>782042.4</v>
      </c>
      <c r="I5686">
        <v>1075308.3</v>
      </c>
      <c r="J5686">
        <v>2378712.2999999998</v>
      </c>
      <c r="K5686">
        <v>0</v>
      </c>
      <c r="L5686">
        <v>977553</v>
      </c>
      <c r="M5686">
        <v>32585.100000000002</v>
      </c>
      <c r="N5686">
        <v>0</v>
      </c>
      <c r="O5686">
        <v>0</v>
      </c>
      <c r="P5686">
        <v>0</v>
      </c>
      <c r="Q5686">
        <v>0</v>
      </c>
      <c r="R5686">
        <v>0</v>
      </c>
      <c r="S5686">
        <v>1303404</v>
      </c>
      <c r="T5686" s="9">
        <v>45108</v>
      </c>
      <c r="U5686" s="9">
        <v>45473</v>
      </c>
      <c r="V5686">
        <f>SUM(POTABLE_NONPOTABLE_API[[#This Row],[RESIDENTIAL_SINGLEFAMILY_GAL]:[OTHER_GAL]])</f>
        <v>29065909.199999999</v>
      </c>
      <c r="W5686">
        <f>SUM(POTABLE_NONPOTABLE_API[[#This Row],[NONPOTABLE_DEMAND_RESIDENTIAL_RECYCLED_WATER_GAL]:[NONPOTABLE_DEMAND_NONRESIDENTIAL_METERED_IRRIGATION_GAL]])</f>
        <v>1303404</v>
      </c>
      <c r="X5686" t="str">
        <f>IFERROR(INDEX(Crosswalk_API!$H$2:$H$527, MATCH(POTABLE_NONPOTABLE_API[[#This Row],[PWSID]], CW_PWSID_LIST, 0)), "")</f>
        <v>No</v>
      </c>
    </row>
    <row r="5687" spans="1:24" x14ac:dyDescent="0.25">
      <c r="A5687" t="s">
        <v>2390</v>
      </c>
      <c r="B5687" t="s">
        <v>2391</v>
      </c>
      <c r="C5687" t="s">
        <v>2392</v>
      </c>
      <c r="D5687" t="s">
        <v>2393</v>
      </c>
      <c r="E5687" s="9">
        <v>45383</v>
      </c>
      <c r="F5687" s="9">
        <v>45412</v>
      </c>
      <c r="G5687">
        <v>26784952.199999999</v>
      </c>
      <c r="H5687">
        <v>716872.20000000007</v>
      </c>
      <c r="I5687">
        <v>1075308.3</v>
      </c>
      <c r="J5687">
        <v>2541637.7999999998</v>
      </c>
      <c r="K5687">
        <v>0</v>
      </c>
      <c r="L5687">
        <v>977553</v>
      </c>
      <c r="M5687">
        <v>97755.3</v>
      </c>
      <c r="N5687">
        <v>0</v>
      </c>
      <c r="O5687">
        <v>0</v>
      </c>
      <c r="P5687">
        <v>0</v>
      </c>
      <c r="Q5687">
        <v>0</v>
      </c>
      <c r="R5687">
        <v>0</v>
      </c>
      <c r="S5687">
        <v>5021363.91</v>
      </c>
      <c r="T5687" s="9">
        <v>45108</v>
      </c>
      <c r="U5687" s="9">
        <v>45473</v>
      </c>
      <c r="V5687">
        <f>SUM(POTABLE_NONPOTABLE_API[[#This Row],[RESIDENTIAL_SINGLEFAMILY_GAL]:[OTHER_GAL]])</f>
        <v>32096323.5</v>
      </c>
      <c r="W5687">
        <f>SUM(POTABLE_NONPOTABLE_API[[#This Row],[NONPOTABLE_DEMAND_RESIDENTIAL_RECYCLED_WATER_GAL]:[NONPOTABLE_DEMAND_NONRESIDENTIAL_METERED_IRRIGATION_GAL]])</f>
        <v>5021363.91</v>
      </c>
      <c r="X5687" t="str">
        <f>IFERROR(INDEX(Crosswalk_API!$H$2:$H$527, MATCH(POTABLE_NONPOTABLE_API[[#This Row],[PWSID]], CW_PWSID_LIST, 0)), "")</f>
        <v>No</v>
      </c>
    </row>
    <row r="5688" spans="1:24" x14ac:dyDescent="0.25">
      <c r="A5688" t="s">
        <v>2390</v>
      </c>
      <c r="B5688" t="s">
        <v>2391</v>
      </c>
      <c r="C5688" t="s">
        <v>2392</v>
      </c>
      <c r="D5688" t="s">
        <v>2393</v>
      </c>
      <c r="E5688" s="9">
        <v>45413</v>
      </c>
      <c r="F5688" s="9">
        <v>45443</v>
      </c>
      <c r="G5688">
        <v>40894300.5</v>
      </c>
      <c r="H5688">
        <v>814627.5</v>
      </c>
      <c r="I5688">
        <v>1335989.0999999999</v>
      </c>
      <c r="J5688">
        <v>9091242.9000000004</v>
      </c>
      <c r="K5688">
        <v>0</v>
      </c>
      <c r="L5688">
        <v>977553</v>
      </c>
      <c r="M5688">
        <v>1401159.3</v>
      </c>
      <c r="N5688">
        <v>0</v>
      </c>
      <c r="O5688">
        <v>0</v>
      </c>
      <c r="P5688">
        <v>0</v>
      </c>
      <c r="Q5688">
        <v>0</v>
      </c>
      <c r="R5688">
        <v>0</v>
      </c>
      <c r="S5688">
        <v>20248381.140000001</v>
      </c>
      <c r="T5688" s="9">
        <v>45108</v>
      </c>
      <c r="U5688" s="9">
        <v>45473</v>
      </c>
      <c r="V5688">
        <f>SUM(POTABLE_NONPOTABLE_API[[#This Row],[RESIDENTIAL_SINGLEFAMILY_GAL]:[OTHER_GAL]])</f>
        <v>53113713</v>
      </c>
      <c r="W5688">
        <f>SUM(POTABLE_NONPOTABLE_API[[#This Row],[NONPOTABLE_DEMAND_RESIDENTIAL_RECYCLED_WATER_GAL]:[NONPOTABLE_DEMAND_NONRESIDENTIAL_METERED_IRRIGATION_GAL]])</f>
        <v>20248381.140000001</v>
      </c>
      <c r="X5688" t="str">
        <f>IFERROR(INDEX(Crosswalk_API!$H$2:$H$527, MATCH(POTABLE_NONPOTABLE_API[[#This Row],[PWSID]], CW_PWSID_LIST, 0)), "")</f>
        <v>No</v>
      </c>
    </row>
    <row r="5689" spans="1:24" x14ac:dyDescent="0.25">
      <c r="A5689" t="s">
        <v>2390</v>
      </c>
      <c r="B5689" t="s">
        <v>2391</v>
      </c>
      <c r="C5689" t="s">
        <v>2392</v>
      </c>
      <c r="D5689" t="s">
        <v>2393</v>
      </c>
      <c r="E5689" s="9">
        <v>45444</v>
      </c>
      <c r="F5689" s="9">
        <v>45473</v>
      </c>
      <c r="G5689">
        <v>44478661.5</v>
      </c>
      <c r="H5689">
        <v>684287.1</v>
      </c>
      <c r="I5689">
        <v>1466329.5</v>
      </c>
      <c r="J5689">
        <v>9351923.6999999993</v>
      </c>
      <c r="K5689">
        <v>0</v>
      </c>
      <c r="L5689">
        <v>977553</v>
      </c>
      <c r="M5689">
        <v>4105722.6</v>
      </c>
      <c r="N5689">
        <v>0</v>
      </c>
      <c r="O5689">
        <v>0</v>
      </c>
      <c r="P5689">
        <v>0</v>
      </c>
      <c r="Q5689">
        <v>0</v>
      </c>
      <c r="R5689">
        <v>0</v>
      </c>
      <c r="S5689">
        <v>23601387.930000003</v>
      </c>
      <c r="T5689" s="9">
        <v>45108</v>
      </c>
      <c r="U5689" s="9">
        <v>45473</v>
      </c>
      <c r="V5689">
        <f>SUM(POTABLE_NONPOTABLE_API[[#This Row],[RESIDENTIAL_SINGLEFAMILY_GAL]:[OTHER_GAL]])</f>
        <v>56958754.799999997</v>
      </c>
      <c r="W5689">
        <f>SUM(POTABLE_NONPOTABLE_API[[#This Row],[NONPOTABLE_DEMAND_RESIDENTIAL_RECYCLED_WATER_GAL]:[NONPOTABLE_DEMAND_NONRESIDENTIAL_METERED_IRRIGATION_GAL]])</f>
        <v>23601387.930000003</v>
      </c>
      <c r="X5689" t="str">
        <f>IFERROR(INDEX(Crosswalk_API!$H$2:$H$527, MATCH(POTABLE_NONPOTABLE_API[[#This Row],[PWSID]], CW_PWSID_LIST, 0)), "")</f>
        <v>No</v>
      </c>
    </row>
    <row r="5690" spans="1:24" x14ac:dyDescent="0.25">
      <c r="A5690" t="s">
        <v>2394</v>
      </c>
      <c r="B5690" t="s">
        <v>2395</v>
      </c>
      <c r="C5690" t="s">
        <v>2396</v>
      </c>
      <c r="D5690" t="s">
        <v>2397</v>
      </c>
      <c r="E5690" s="9">
        <v>45108</v>
      </c>
      <c r="F5690" s="9">
        <v>45138</v>
      </c>
      <c r="G5690">
        <v>306393785.088</v>
      </c>
      <c r="H5690">
        <v>30978328.719000001</v>
      </c>
      <c r="I5690">
        <v>65413936.548</v>
      </c>
      <c r="J5690">
        <v>101789987.082</v>
      </c>
      <c r="K5690">
        <v>30363447.881999999</v>
      </c>
      <c r="L5690">
        <v>8608983.4199999999</v>
      </c>
      <c r="M5690">
        <v>0</v>
      </c>
      <c r="T5690" s="9">
        <v>45108</v>
      </c>
      <c r="U5690" s="9">
        <v>45473</v>
      </c>
      <c r="V5690">
        <f>SUM(POTABLE_NONPOTABLE_API[[#This Row],[RESIDENTIAL_SINGLEFAMILY_GAL]:[OTHER_GAL]])</f>
        <v>543548468.73899996</v>
      </c>
      <c r="W5690">
        <f>SUM(POTABLE_NONPOTABLE_API[[#This Row],[NONPOTABLE_DEMAND_RESIDENTIAL_RECYCLED_WATER_GAL]:[NONPOTABLE_DEMAND_NONRESIDENTIAL_METERED_IRRIGATION_GAL]])</f>
        <v>0</v>
      </c>
      <c r="X5690" t="str">
        <f>IFERROR(INDEX(Crosswalk_API!$H$2:$H$527, MATCH(POTABLE_NONPOTABLE_API[[#This Row],[PWSID]], CW_PWSID_LIST, 0)), "")</f>
        <v>No</v>
      </c>
    </row>
    <row r="5691" spans="1:24" x14ac:dyDescent="0.25">
      <c r="A5691" t="s">
        <v>2394</v>
      </c>
      <c r="B5691" t="s">
        <v>2395</v>
      </c>
      <c r="C5691" t="s">
        <v>2396</v>
      </c>
      <c r="D5691" t="s">
        <v>2397</v>
      </c>
      <c r="E5691" s="9">
        <v>45139</v>
      </c>
      <c r="F5691" s="9">
        <v>45169</v>
      </c>
      <c r="G5691">
        <v>326958893.39999998</v>
      </c>
      <c r="H5691">
        <v>31501971.276000001</v>
      </c>
      <c r="I5691">
        <v>67252387.890000001</v>
      </c>
      <c r="J5691">
        <v>116515845.47400001</v>
      </c>
      <c r="K5691">
        <v>30328255.973999999</v>
      </c>
      <c r="L5691">
        <v>5987512.125</v>
      </c>
      <c r="M5691">
        <v>0</v>
      </c>
      <c r="T5691" s="9">
        <v>45108</v>
      </c>
      <c r="U5691" s="9">
        <v>45473</v>
      </c>
      <c r="V5691">
        <f>SUM(POTABLE_NONPOTABLE_API[[#This Row],[RESIDENTIAL_SINGLEFAMILY_GAL]:[OTHER_GAL]])</f>
        <v>578544866.13899994</v>
      </c>
      <c r="W5691">
        <f>SUM(POTABLE_NONPOTABLE_API[[#This Row],[NONPOTABLE_DEMAND_RESIDENTIAL_RECYCLED_WATER_GAL]:[NONPOTABLE_DEMAND_NONRESIDENTIAL_METERED_IRRIGATION_GAL]])</f>
        <v>0</v>
      </c>
      <c r="X5691" t="str">
        <f>IFERROR(INDEX(Crosswalk_API!$H$2:$H$527, MATCH(POTABLE_NONPOTABLE_API[[#This Row],[PWSID]], CW_PWSID_LIST, 0)), "")</f>
        <v>No</v>
      </c>
    </row>
    <row r="5692" spans="1:24" x14ac:dyDescent="0.25">
      <c r="A5692" t="s">
        <v>2394</v>
      </c>
      <c r="B5692" t="s">
        <v>2395</v>
      </c>
      <c r="C5692" t="s">
        <v>2396</v>
      </c>
      <c r="D5692" t="s">
        <v>2397</v>
      </c>
      <c r="E5692" s="9">
        <v>45170</v>
      </c>
      <c r="F5692" s="9">
        <v>45199</v>
      </c>
      <c r="G5692">
        <v>353183381.88000005</v>
      </c>
      <c r="H5692">
        <v>36579707.409000002</v>
      </c>
      <c r="I5692">
        <v>74157496.430999994</v>
      </c>
      <c r="J5692">
        <v>124041700.17</v>
      </c>
      <c r="K5692">
        <v>31206424.419000003</v>
      </c>
      <c r="L5692">
        <v>3906953.49</v>
      </c>
      <c r="M5692">
        <v>0</v>
      </c>
      <c r="T5692" s="9">
        <v>45108</v>
      </c>
      <c r="U5692" s="9">
        <v>45473</v>
      </c>
      <c r="V5692">
        <f>SUM(POTABLE_NONPOTABLE_API[[#This Row],[RESIDENTIAL_SINGLEFAMILY_GAL]:[OTHER_GAL]])</f>
        <v>623075663.79900002</v>
      </c>
      <c r="W5692">
        <f>SUM(POTABLE_NONPOTABLE_API[[#This Row],[NONPOTABLE_DEMAND_RESIDENTIAL_RECYCLED_WATER_GAL]:[NONPOTABLE_DEMAND_NONRESIDENTIAL_METERED_IRRIGATION_GAL]])</f>
        <v>0</v>
      </c>
      <c r="X5692" t="str">
        <f>IFERROR(INDEX(Crosswalk_API!$H$2:$H$527, MATCH(POTABLE_NONPOTABLE_API[[#This Row],[PWSID]], CW_PWSID_LIST, 0)), "")</f>
        <v>No</v>
      </c>
    </row>
    <row r="5693" spans="1:24" x14ac:dyDescent="0.25">
      <c r="A5693" t="s">
        <v>2394</v>
      </c>
      <c r="B5693" t="s">
        <v>2395</v>
      </c>
      <c r="C5693" t="s">
        <v>2396</v>
      </c>
      <c r="D5693" t="s">
        <v>2397</v>
      </c>
      <c r="E5693" s="9">
        <v>45200</v>
      </c>
      <c r="F5693" s="9">
        <v>45230</v>
      </c>
      <c r="G5693">
        <v>342181022.86500001</v>
      </c>
      <c r="H5693">
        <v>36162292.277999997</v>
      </c>
      <c r="I5693">
        <v>69370419.390000001</v>
      </c>
      <c r="J5693">
        <v>100716959.73899999</v>
      </c>
      <c r="K5693">
        <v>31427677.248</v>
      </c>
      <c r="L5693">
        <v>2749204.8869999996</v>
      </c>
      <c r="M5693">
        <v>0</v>
      </c>
      <c r="T5693" s="9">
        <v>45108</v>
      </c>
      <c r="U5693" s="9">
        <v>45473</v>
      </c>
      <c r="V5693">
        <f>SUM(POTABLE_NONPOTABLE_API[[#This Row],[RESIDENTIAL_SINGLEFAMILY_GAL]:[OTHER_GAL]])</f>
        <v>582607576.40699995</v>
      </c>
      <c r="W5693">
        <f>SUM(POTABLE_NONPOTABLE_API[[#This Row],[NONPOTABLE_DEMAND_RESIDENTIAL_RECYCLED_WATER_GAL]:[NONPOTABLE_DEMAND_NONRESIDENTIAL_METERED_IRRIGATION_GAL]])</f>
        <v>0</v>
      </c>
      <c r="X5693" t="str">
        <f>IFERROR(INDEX(Crosswalk_API!$H$2:$H$527, MATCH(POTABLE_NONPOTABLE_API[[#This Row],[PWSID]], CW_PWSID_LIST, 0)), "")</f>
        <v>No</v>
      </c>
    </row>
    <row r="5694" spans="1:24" x14ac:dyDescent="0.25">
      <c r="A5694" t="s">
        <v>2394</v>
      </c>
      <c r="B5694" t="s">
        <v>2395</v>
      </c>
      <c r="C5694" t="s">
        <v>2396</v>
      </c>
      <c r="D5694" t="s">
        <v>2397</v>
      </c>
      <c r="E5694" s="9">
        <v>45231</v>
      </c>
      <c r="F5694" s="9">
        <v>45260</v>
      </c>
      <c r="G5694">
        <v>257594991.03</v>
      </c>
      <c r="H5694">
        <v>28530210.155999999</v>
      </c>
      <c r="I5694">
        <v>55390108.085999995</v>
      </c>
      <c r="J5694">
        <v>60902529.452999994</v>
      </c>
      <c r="K5694">
        <v>28869421.046999998</v>
      </c>
      <c r="L5694">
        <v>6100908.273</v>
      </c>
      <c r="M5694">
        <v>0</v>
      </c>
      <c r="T5694" s="9">
        <v>45108</v>
      </c>
      <c r="U5694" s="9">
        <v>45473</v>
      </c>
      <c r="V5694">
        <f>SUM(POTABLE_NONPOTABLE_API[[#This Row],[RESIDENTIAL_SINGLEFAMILY_GAL]:[OTHER_GAL]])</f>
        <v>437388168.04499996</v>
      </c>
      <c r="W5694">
        <f>SUM(POTABLE_NONPOTABLE_API[[#This Row],[NONPOTABLE_DEMAND_RESIDENTIAL_RECYCLED_WATER_GAL]:[NONPOTABLE_DEMAND_NONRESIDENTIAL_METERED_IRRIGATION_GAL]])</f>
        <v>0</v>
      </c>
      <c r="X5694" t="str">
        <f>IFERROR(INDEX(Crosswalk_API!$H$2:$H$527, MATCH(POTABLE_NONPOTABLE_API[[#This Row],[PWSID]], CW_PWSID_LIST, 0)), "")</f>
        <v>No</v>
      </c>
    </row>
    <row r="5695" spans="1:24" x14ac:dyDescent="0.25">
      <c r="A5695" t="s">
        <v>2394</v>
      </c>
      <c r="B5695" t="s">
        <v>2395</v>
      </c>
      <c r="C5695" t="s">
        <v>2396</v>
      </c>
      <c r="D5695" t="s">
        <v>2397</v>
      </c>
      <c r="E5695" s="9">
        <v>45261</v>
      </c>
      <c r="F5695" s="9">
        <v>45291</v>
      </c>
      <c r="G5695">
        <v>194540867.42399999</v>
      </c>
      <c r="H5695">
        <v>24562648.379999999</v>
      </c>
      <c r="I5695">
        <v>43259001.207000002</v>
      </c>
      <c r="J5695">
        <v>21969526.121999998</v>
      </c>
      <c r="K5695">
        <v>24567536.145</v>
      </c>
      <c r="L5695">
        <v>10032626.439000001</v>
      </c>
      <c r="M5695">
        <v>0</v>
      </c>
      <c r="T5695" s="9">
        <v>45108</v>
      </c>
      <c r="U5695" s="9">
        <v>45473</v>
      </c>
      <c r="V5695">
        <f>SUM(POTABLE_NONPOTABLE_API[[#This Row],[RESIDENTIAL_SINGLEFAMILY_GAL]:[OTHER_GAL]])</f>
        <v>318932205.71699995</v>
      </c>
      <c r="W5695">
        <f>SUM(POTABLE_NONPOTABLE_API[[#This Row],[NONPOTABLE_DEMAND_RESIDENTIAL_RECYCLED_WATER_GAL]:[NONPOTABLE_DEMAND_NONRESIDENTIAL_METERED_IRRIGATION_GAL]])</f>
        <v>0</v>
      </c>
      <c r="X5695" t="str">
        <f>IFERROR(INDEX(Crosswalk_API!$H$2:$H$527, MATCH(POTABLE_NONPOTABLE_API[[#This Row],[PWSID]], CW_PWSID_LIST, 0)), "")</f>
        <v>No</v>
      </c>
    </row>
    <row r="5696" spans="1:24" x14ac:dyDescent="0.25">
      <c r="A5696" t="s">
        <v>2394</v>
      </c>
      <c r="B5696" t="s">
        <v>2395</v>
      </c>
      <c r="C5696" t="s">
        <v>2396</v>
      </c>
      <c r="D5696" t="s">
        <v>2397</v>
      </c>
      <c r="E5696" s="9">
        <v>45292</v>
      </c>
      <c r="F5696" s="9">
        <v>45322</v>
      </c>
      <c r="G5696">
        <v>188427902.664</v>
      </c>
      <c r="H5696">
        <v>29419783.386</v>
      </c>
      <c r="I5696">
        <v>45066822.555</v>
      </c>
      <c r="J5696">
        <v>12386899.914000001</v>
      </c>
      <c r="K5696">
        <v>25792735.905000001</v>
      </c>
      <c r="L5696">
        <v>1707459.24</v>
      </c>
      <c r="M5696">
        <v>0</v>
      </c>
      <c r="T5696" s="9">
        <v>45108</v>
      </c>
      <c r="U5696" s="9">
        <v>45473</v>
      </c>
      <c r="V5696">
        <f>SUM(POTABLE_NONPOTABLE_API[[#This Row],[RESIDENTIAL_SINGLEFAMILY_GAL]:[OTHER_GAL]])</f>
        <v>302801603.66400003</v>
      </c>
      <c r="W5696">
        <f>SUM(POTABLE_NONPOTABLE_API[[#This Row],[NONPOTABLE_DEMAND_RESIDENTIAL_RECYCLED_WATER_GAL]:[NONPOTABLE_DEMAND_NONRESIDENTIAL_METERED_IRRIGATION_GAL]])</f>
        <v>0</v>
      </c>
      <c r="X5696" t="str">
        <f>IFERROR(INDEX(Crosswalk_API!$H$2:$H$527, MATCH(POTABLE_NONPOTABLE_API[[#This Row],[PWSID]], CW_PWSID_LIST, 0)), "")</f>
        <v>No</v>
      </c>
    </row>
    <row r="5697" spans="1:24" x14ac:dyDescent="0.25">
      <c r="A5697" t="s">
        <v>2394</v>
      </c>
      <c r="B5697" t="s">
        <v>2395</v>
      </c>
      <c r="C5697" t="s">
        <v>2396</v>
      </c>
      <c r="D5697" t="s">
        <v>2397</v>
      </c>
      <c r="E5697" s="9">
        <v>45323</v>
      </c>
      <c r="F5697" s="9">
        <v>45351</v>
      </c>
      <c r="G5697">
        <v>184371383.56500003</v>
      </c>
      <c r="H5697">
        <v>31002767.544000003</v>
      </c>
      <c r="I5697">
        <v>52603756.185000002</v>
      </c>
      <c r="J5697">
        <v>17116953.030000001</v>
      </c>
      <c r="K5697">
        <v>31467431.069999997</v>
      </c>
      <c r="L5697">
        <v>1929037.92</v>
      </c>
      <c r="M5697">
        <v>0</v>
      </c>
      <c r="T5697" s="9">
        <v>45108</v>
      </c>
      <c r="U5697" s="9">
        <v>45473</v>
      </c>
      <c r="V5697">
        <f>SUM(POTABLE_NONPOTABLE_API[[#This Row],[RESIDENTIAL_SINGLEFAMILY_GAL]:[OTHER_GAL]])</f>
        <v>318491329.31400001</v>
      </c>
      <c r="W5697">
        <f>SUM(POTABLE_NONPOTABLE_API[[#This Row],[NONPOTABLE_DEMAND_RESIDENTIAL_RECYCLED_WATER_GAL]:[NONPOTABLE_DEMAND_NONRESIDENTIAL_METERED_IRRIGATION_GAL]])</f>
        <v>0</v>
      </c>
      <c r="X5697" t="str">
        <f>IFERROR(INDEX(Crosswalk_API!$H$2:$H$527, MATCH(POTABLE_NONPOTABLE_API[[#This Row],[PWSID]], CW_PWSID_LIST, 0)), "")</f>
        <v>No</v>
      </c>
    </row>
    <row r="5698" spans="1:24" x14ac:dyDescent="0.25">
      <c r="A5698" t="s">
        <v>2394</v>
      </c>
      <c r="B5698" t="s">
        <v>2395</v>
      </c>
      <c r="C5698" t="s">
        <v>2396</v>
      </c>
      <c r="D5698" t="s">
        <v>2397</v>
      </c>
      <c r="E5698" s="9">
        <v>45352</v>
      </c>
      <c r="F5698" s="9">
        <v>45382</v>
      </c>
      <c r="G5698">
        <v>166777058.81999999</v>
      </c>
      <c r="H5698">
        <v>24260258.651999999</v>
      </c>
      <c r="I5698">
        <v>38867181.428999998</v>
      </c>
      <c r="J5698">
        <v>17453557.113000002</v>
      </c>
      <c r="K5698">
        <v>28567357.170000002</v>
      </c>
      <c r="L5698">
        <v>41425111.778999999</v>
      </c>
      <c r="M5698">
        <v>0</v>
      </c>
      <c r="T5698" s="9">
        <v>45108</v>
      </c>
      <c r="U5698" s="9">
        <v>45473</v>
      </c>
      <c r="V5698">
        <f>SUM(POTABLE_NONPOTABLE_API[[#This Row],[RESIDENTIAL_SINGLEFAMILY_GAL]:[OTHER_GAL]])</f>
        <v>317350524.963</v>
      </c>
      <c r="W5698">
        <f>SUM(POTABLE_NONPOTABLE_API[[#This Row],[NONPOTABLE_DEMAND_RESIDENTIAL_RECYCLED_WATER_GAL]:[NONPOTABLE_DEMAND_NONRESIDENTIAL_METERED_IRRIGATION_GAL]])</f>
        <v>0</v>
      </c>
      <c r="X5698" t="str">
        <f>IFERROR(INDEX(Crosswalk_API!$H$2:$H$527, MATCH(POTABLE_NONPOTABLE_API[[#This Row],[PWSID]], CW_PWSID_LIST, 0)), "")</f>
        <v>No</v>
      </c>
    </row>
    <row r="5699" spans="1:24" x14ac:dyDescent="0.25">
      <c r="A5699" t="s">
        <v>2394</v>
      </c>
      <c r="B5699" t="s">
        <v>2395</v>
      </c>
      <c r="C5699" t="s">
        <v>2396</v>
      </c>
      <c r="D5699" t="s">
        <v>2397</v>
      </c>
      <c r="E5699" s="9">
        <v>45383</v>
      </c>
      <c r="F5699" s="9">
        <v>45412</v>
      </c>
      <c r="G5699">
        <v>179600273.22299999</v>
      </c>
      <c r="H5699">
        <v>25057941.900000002</v>
      </c>
      <c r="I5699">
        <v>43330036.725000001</v>
      </c>
      <c r="J5699">
        <v>51501728.103</v>
      </c>
      <c r="K5699">
        <v>28136582.147999998</v>
      </c>
      <c r="L5699">
        <v>36465985.409999996</v>
      </c>
      <c r="M5699">
        <v>0</v>
      </c>
      <c r="T5699" s="9">
        <v>45108</v>
      </c>
      <c r="U5699" s="9">
        <v>45473</v>
      </c>
      <c r="V5699">
        <f>SUM(POTABLE_NONPOTABLE_API[[#This Row],[RESIDENTIAL_SINGLEFAMILY_GAL]:[OTHER_GAL]])</f>
        <v>364092547.50899994</v>
      </c>
      <c r="W5699">
        <f>SUM(POTABLE_NONPOTABLE_API[[#This Row],[NONPOTABLE_DEMAND_RESIDENTIAL_RECYCLED_WATER_GAL]:[NONPOTABLE_DEMAND_NONRESIDENTIAL_METERED_IRRIGATION_GAL]])</f>
        <v>0</v>
      </c>
      <c r="X5699" t="str">
        <f>IFERROR(INDEX(Crosswalk_API!$H$2:$H$527, MATCH(POTABLE_NONPOTABLE_API[[#This Row],[PWSID]], CW_PWSID_LIST, 0)), "")</f>
        <v>No</v>
      </c>
    </row>
    <row r="5700" spans="1:24" x14ac:dyDescent="0.25">
      <c r="A5700" t="s">
        <v>2394</v>
      </c>
      <c r="B5700" t="s">
        <v>2395</v>
      </c>
      <c r="C5700" t="s">
        <v>2396</v>
      </c>
      <c r="D5700" t="s">
        <v>2397</v>
      </c>
      <c r="E5700" s="9">
        <v>45413</v>
      </c>
      <c r="F5700" s="9">
        <v>45443</v>
      </c>
      <c r="G5700">
        <v>265124104.236</v>
      </c>
      <c r="H5700">
        <v>32068300.313999999</v>
      </c>
      <c r="I5700">
        <v>69108761.037</v>
      </c>
      <c r="J5700">
        <v>90646534.584000006</v>
      </c>
      <c r="K5700">
        <v>20106961.806000002</v>
      </c>
      <c r="L5700">
        <v>1731246.3629999999</v>
      </c>
      <c r="M5700">
        <v>0</v>
      </c>
      <c r="T5700" s="9">
        <v>45108</v>
      </c>
      <c r="U5700" s="9">
        <v>45473</v>
      </c>
      <c r="V5700">
        <f>SUM(POTABLE_NONPOTABLE_API[[#This Row],[RESIDENTIAL_SINGLEFAMILY_GAL]:[OTHER_GAL]])</f>
        <v>478785908.33999997</v>
      </c>
      <c r="W5700">
        <f>SUM(POTABLE_NONPOTABLE_API[[#This Row],[NONPOTABLE_DEMAND_RESIDENTIAL_RECYCLED_WATER_GAL]:[NONPOTABLE_DEMAND_NONRESIDENTIAL_METERED_IRRIGATION_GAL]])</f>
        <v>0</v>
      </c>
      <c r="X5700" t="str">
        <f>IFERROR(INDEX(Crosswalk_API!$H$2:$H$527, MATCH(POTABLE_NONPOTABLE_API[[#This Row],[PWSID]], CW_PWSID_LIST, 0)), "")</f>
        <v>No</v>
      </c>
    </row>
    <row r="5701" spans="1:24" x14ac:dyDescent="0.25">
      <c r="A5701" t="s">
        <v>2394</v>
      </c>
      <c r="B5701" t="s">
        <v>2395</v>
      </c>
      <c r="C5701" t="s">
        <v>2396</v>
      </c>
      <c r="D5701" t="s">
        <v>2397</v>
      </c>
      <c r="E5701" s="9">
        <v>45444</v>
      </c>
      <c r="F5701" s="9">
        <v>45473</v>
      </c>
      <c r="G5701">
        <v>359394427.79100001</v>
      </c>
      <c r="H5701">
        <v>35800271.817000002</v>
      </c>
      <c r="I5701">
        <v>79608983.660999998</v>
      </c>
      <c r="J5701">
        <v>120149084.124</v>
      </c>
      <c r="K5701">
        <v>21958447.188000001</v>
      </c>
      <c r="L5701">
        <v>16084005.359999999</v>
      </c>
      <c r="M5701">
        <v>0</v>
      </c>
      <c r="T5701" s="9">
        <v>45108</v>
      </c>
      <c r="U5701" s="9">
        <v>45473</v>
      </c>
      <c r="V5701">
        <f>SUM(POTABLE_NONPOTABLE_API[[#This Row],[RESIDENTIAL_SINGLEFAMILY_GAL]:[OTHER_GAL]])</f>
        <v>632995219.94099998</v>
      </c>
      <c r="W5701">
        <f>SUM(POTABLE_NONPOTABLE_API[[#This Row],[NONPOTABLE_DEMAND_RESIDENTIAL_RECYCLED_WATER_GAL]:[NONPOTABLE_DEMAND_NONRESIDENTIAL_METERED_IRRIGATION_GAL]])</f>
        <v>0</v>
      </c>
      <c r="X5701" t="str">
        <f>IFERROR(INDEX(Crosswalk_API!$H$2:$H$527, MATCH(POTABLE_NONPOTABLE_API[[#This Row],[PWSID]], CW_PWSID_LIST, 0)), "")</f>
        <v>No</v>
      </c>
    </row>
    <row r="5702" spans="1:24" x14ac:dyDescent="0.25">
      <c r="A5702" t="s">
        <v>2398</v>
      </c>
      <c r="B5702" t="s">
        <v>2399</v>
      </c>
      <c r="C5702" t="s">
        <v>2400</v>
      </c>
      <c r="D5702" t="s">
        <v>2401</v>
      </c>
      <c r="E5702" s="9">
        <v>45108</v>
      </c>
      <c r="F5702" s="9">
        <v>45138</v>
      </c>
      <c r="G5702">
        <v>46072410.469999999</v>
      </c>
      <c r="H5702">
        <v>3388600.75</v>
      </c>
      <c r="I5702">
        <v>517509.85</v>
      </c>
      <c r="J5702">
        <v>5365402.97</v>
      </c>
      <c r="K5702">
        <v>0</v>
      </c>
      <c r="L5702">
        <v>255175.5</v>
      </c>
      <c r="M5702">
        <v>0</v>
      </c>
      <c r="N5702">
        <v>0</v>
      </c>
      <c r="O5702">
        <v>0</v>
      </c>
      <c r="P5702">
        <v>0</v>
      </c>
      <c r="Q5702">
        <v>24564785.91</v>
      </c>
      <c r="R5702">
        <v>0</v>
      </c>
      <c r="S5702">
        <v>0</v>
      </c>
      <c r="T5702" s="9">
        <v>45108</v>
      </c>
      <c r="U5702" s="9">
        <v>45473</v>
      </c>
      <c r="V5702">
        <f>SUM(POTABLE_NONPOTABLE_API[[#This Row],[RESIDENTIAL_SINGLEFAMILY_GAL]:[OTHER_GAL]])</f>
        <v>55599099.539999999</v>
      </c>
      <c r="W5702">
        <f>SUM(POTABLE_NONPOTABLE_API[[#This Row],[NONPOTABLE_DEMAND_RESIDENTIAL_RECYCLED_WATER_GAL]:[NONPOTABLE_DEMAND_NONRESIDENTIAL_METERED_IRRIGATION_GAL]])</f>
        <v>24564785.91</v>
      </c>
      <c r="X5702" t="str">
        <f>IFERROR(INDEX(Crosswalk_API!$H$2:$H$527, MATCH(POTABLE_NONPOTABLE_API[[#This Row],[PWSID]], CW_PWSID_LIST, 0)), "")</f>
        <v>No</v>
      </c>
    </row>
    <row r="5703" spans="1:24" x14ac:dyDescent="0.25">
      <c r="A5703" t="s">
        <v>2398</v>
      </c>
      <c r="B5703" t="s">
        <v>2399</v>
      </c>
      <c r="C5703" t="s">
        <v>2400</v>
      </c>
      <c r="D5703" t="s">
        <v>2401</v>
      </c>
      <c r="E5703" s="9">
        <v>45139</v>
      </c>
      <c r="F5703" s="9">
        <v>45169</v>
      </c>
      <c r="G5703">
        <v>44244650.140000001</v>
      </c>
      <c r="H5703">
        <v>3468133.64</v>
      </c>
      <c r="I5703">
        <v>814823.12</v>
      </c>
      <c r="J5703">
        <v>4906727.41</v>
      </c>
      <c r="K5703">
        <v>0</v>
      </c>
      <c r="L5703">
        <v>243176.74</v>
      </c>
      <c r="M5703">
        <v>0</v>
      </c>
      <c r="N5703">
        <v>0</v>
      </c>
      <c r="O5703">
        <v>0</v>
      </c>
      <c r="P5703">
        <v>0</v>
      </c>
      <c r="Q5703">
        <v>21609097</v>
      </c>
      <c r="R5703">
        <v>0</v>
      </c>
      <c r="S5703">
        <v>0</v>
      </c>
      <c r="T5703" s="9">
        <v>45108</v>
      </c>
      <c r="U5703" s="9">
        <v>45473</v>
      </c>
      <c r="V5703">
        <f>SUM(POTABLE_NONPOTABLE_API[[#This Row],[RESIDENTIAL_SINGLEFAMILY_GAL]:[OTHER_GAL]])</f>
        <v>53677511.050000004</v>
      </c>
      <c r="W5703">
        <f>SUM(POTABLE_NONPOTABLE_API[[#This Row],[NONPOTABLE_DEMAND_RESIDENTIAL_RECYCLED_WATER_GAL]:[NONPOTABLE_DEMAND_NONRESIDENTIAL_METERED_IRRIGATION_GAL]])</f>
        <v>21609097</v>
      </c>
      <c r="X5703" t="str">
        <f>IFERROR(INDEX(Crosswalk_API!$H$2:$H$527, MATCH(POTABLE_NONPOTABLE_API[[#This Row],[PWSID]], CW_PWSID_LIST, 0)), "")</f>
        <v>No</v>
      </c>
    </row>
    <row r="5704" spans="1:24" x14ac:dyDescent="0.25">
      <c r="A5704" t="s">
        <v>2398</v>
      </c>
      <c r="B5704" t="s">
        <v>2399</v>
      </c>
      <c r="C5704" t="s">
        <v>2400</v>
      </c>
      <c r="D5704" t="s">
        <v>2401</v>
      </c>
      <c r="E5704" s="9">
        <v>45170</v>
      </c>
      <c r="F5704" s="9">
        <v>45199</v>
      </c>
      <c r="G5704">
        <v>40460217.700000003</v>
      </c>
      <c r="H5704">
        <v>3359927.9</v>
      </c>
      <c r="I5704">
        <v>710978.5</v>
      </c>
      <c r="J5704">
        <v>5074433.2</v>
      </c>
      <c r="K5704">
        <v>0</v>
      </c>
      <c r="L5704">
        <v>234768.6</v>
      </c>
      <c r="M5704">
        <v>0</v>
      </c>
      <c r="N5704">
        <v>0</v>
      </c>
      <c r="O5704">
        <v>0</v>
      </c>
      <c r="P5704">
        <v>0</v>
      </c>
      <c r="Q5704">
        <v>22085606.899999999</v>
      </c>
      <c r="R5704">
        <v>0</v>
      </c>
      <c r="S5704">
        <v>0</v>
      </c>
      <c r="T5704" s="9">
        <v>45108</v>
      </c>
      <c r="U5704" s="9">
        <v>45473</v>
      </c>
      <c r="V5704">
        <f>SUM(POTABLE_NONPOTABLE_API[[#This Row],[RESIDENTIAL_SINGLEFAMILY_GAL]:[OTHER_GAL]])</f>
        <v>49840325.900000006</v>
      </c>
      <c r="W5704">
        <f>SUM(POTABLE_NONPOTABLE_API[[#This Row],[NONPOTABLE_DEMAND_RESIDENTIAL_RECYCLED_WATER_GAL]:[NONPOTABLE_DEMAND_NONRESIDENTIAL_METERED_IRRIGATION_GAL]])</f>
        <v>22085606.899999999</v>
      </c>
      <c r="X5704" t="str">
        <f>IFERROR(INDEX(Crosswalk_API!$H$2:$H$527, MATCH(POTABLE_NONPOTABLE_API[[#This Row],[PWSID]], CW_PWSID_LIST, 0)), "")</f>
        <v>No</v>
      </c>
    </row>
    <row r="5705" spans="1:24" x14ac:dyDescent="0.25">
      <c r="A5705" t="s">
        <v>2398</v>
      </c>
      <c r="B5705" t="s">
        <v>2399</v>
      </c>
      <c r="C5705" t="s">
        <v>2400</v>
      </c>
      <c r="D5705" t="s">
        <v>2401</v>
      </c>
      <c r="E5705" s="9">
        <v>45200</v>
      </c>
      <c r="F5705" s="9">
        <v>45230</v>
      </c>
      <c r="G5705">
        <v>40739914.299999997</v>
      </c>
      <c r="H5705">
        <v>3444921.6</v>
      </c>
      <c r="I5705">
        <v>829178.2</v>
      </c>
      <c r="J5705">
        <v>4980395.5999999996</v>
      </c>
      <c r="K5705">
        <v>0</v>
      </c>
      <c r="L5705">
        <v>312910.2</v>
      </c>
      <c r="M5705">
        <v>0</v>
      </c>
      <c r="N5705">
        <v>0</v>
      </c>
      <c r="O5705">
        <v>0</v>
      </c>
      <c r="P5705">
        <v>0</v>
      </c>
      <c r="Q5705">
        <v>19634173.199999999</v>
      </c>
      <c r="R5705">
        <v>0</v>
      </c>
      <c r="S5705">
        <v>0</v>
      </c>
      <c r="T5705" s="9">
        <v>45108</v>
      </c>
      <c r="U5705" s="9">
        <v>45473</v>
      </c>
      <c r="V5705">
        <f>SUM(POTABLE_NONPOTABLE_API[[#This Row],[RESIDENTIAL_SINGLEFAMILY_GAL]:[OTHER_GAL]])</f>
        <v>50307319.900000006</v>
      </c>
      <c r="W5705">
        <f>SUM(POTABLE_NONPOTABLE_API[[#This Row],[NONPOTABLE_DEMAND_RESIDENTIAL_RECYCLED_WATER_GAL]:[NONPOTABLE_DEMAND_NONRESIDENTIAL_METERED_IRRIGATION_GAL]])</f>
        <v>19634173.199999999</v>
      </c>
      <c r="X5705" t="str">
        <f>IFERROR(INDEX(Crosswalk_API!$H$2:$H$527, MATCH(POTABLE_NONPOTABLE_API[[#This Row],[PWSID]], CW_PWSID_LIST, 0)), "")</f>
        <v>No</v>
      </c>
    </row>
    <row r="5706" spans="1:24" x14ac:dyDescent="0.25">
      <c r="A5706" t="s">
        <v>2398</v>
      </c>
      <c r="B5706" t="s">
        <v>2399</v>
      </c>
      <c r="C5706" t="s">
        <v>2400</v>
      </c>
      <c r="D5706" t="s">
        <v>2401</v>
      </c>
      <c r="E5706" s="9">
        <v>45231</v>
      </c>
      <c r="F5706" s="9">
        <v>45260</v>
      </c>
      <c r="G5706">
        <v>35866445.299999997</v>
      </c>
      <c r="H5706">
        <v>3434628.4</v>
      </c>
      <c r="I5706">
        <v>796174.2</v>
      </c>
      <c r="J5706">
        <v>3751705.2</v>
      </c>
      <c r="K5706">
        <v>0</v>
      </c>
      <c r="L5706">
        <v>213052.7</v>
      </c>
      <c r="M5706">
        <v>0</v>
      </c>
      <c r="N5706">
        <v>0</v>
      </c>
      <c r="O5706">
        <v>0</v>
      </c>
      <c r="P5706">
        <v>0</v>
      </c>
      <c r="Q5706">
        <v>14583453.300000001</v>
      </c>
      <c r="R5706">
        <v>0</v>
      </c>
      <c r="S5706">
        <v>0</v>
      </c>
      <c r="T5706" s="9">
        <v>45108</v>
      </c>
      <c r="U5706" s="9">
        <v>45473</v>
      </c>
      <c r="V5706">
        <f>SUM(POTABLE_NONPOTABLE_API[[#This Row],[RESIDENTIAL_SINGLEFAMILY_GAL]:[OTHER_GAL]])</f>
        <v>44062005.800000004</v>
      </c>
      <c r="W5706">
        <f>SUM(POTABLE_NONPOTABLE_API[[#This Row],[NONPOTABLE_DEMAND_RESIDENTIAL_RECYCLED_WATER_GAL]:[NONPOTABLE_DEMAND_NONRESIDENTIAL_METERED_IRRIGATION_GAL]])</f>
        <v>14583453.300000001</v>
      </c>
      <c r="X5706" t="str">
        <f>IFERROR(INDEX(Crosswalk_API!$H$2:$H$527, MATCH(POTABLE_NONPOTABLE_API[[#This Row],[PWSID]], CW_PWSID_LIST, 0)), "")</f>
        <v>No</v>
      </c>
    </row>
    <row r="5707" spans="1:24" x14ac:dyDescent="0.25">
      <c r="A5707" t="s">
        <v>2398</v>
      </c>
      <c r="B5707" t="s">
        <v>2399</v>
      </c>
      <c r="C5707" t="s">
        <v>2400</v>
      </c>
      <c r="D5707" t="s">
        <v>2401</v>
      </c>
      <c r="E5707" s="9">
        <v>45261</v>
      </c>
      <c r="F5707" s="9">
        <v>45291</v>
      </c>
      <c r="G5707">
        <v>31644133.100000001</v>
      </c>
      <c r="H5707">
        <v>3501466.8</v>
      </c>
      <c r="I5707">
        <v>728984.2</v>
      </c>
      <c r="J5707">
        <v>2532028.9</v>
      </c>
      <c r="K5707">
        <v>0</v>
      </c>
      <c r="L5707">
        <v>223473.1</v>
      </c>
      <c r="M5707">
        <v>0</v>
      </c>
      <c r="N5707">
        <v>0</v>
      </c>
      <c r="O5707">
        <v>0</v>
      </c>
      <c r="Q5707">
        <v>8745840.8399999999</v>
      </c>
      <c r="R5707">
        <v>0</v>
      </c>
      <c r="S5707">
        <v>0</v>
      </c>
      <c r="T5707" s="9">
        <v>45108</v>
      </c>
      <c r="U5707" s="9">
        <v>45473</v>
      </c>
      <c r="V5707">
        <f>SUM(POTABLE_NONPOTABLE_API[[#This Row],[RESIDENTIAL_SINGLEFAMILY_GAL]:[OTHER_GAL]])</f>
        <v>38630086.100000001</v>
      </c>
      <c r="W5707">
        <f>SUM(POTABLE_NONPOTABLE_API[[#This Row],[NONPOTABLE_DEMAND_RESIDENTIAL_RECYCLED_WATER_GAL]:[NONPOTABLE_DEMAND_NONRESIDENTIAL_METERED_IRRIGATION_GAL]])</f>
        <v>8745840.8399999999</v>
      </c>
      <c r="X5707" t="str">
        <f>IFERROR(INDEX(Crosswalk_API!$H$2:$H$527, MATCH(POTABLE_NONPOTABLE_API[[#This Row],[PWSID]], CW_PWSID_LIST, 0)), "")</f>
        <v>No</v>
      </c>
    </row>
    <row r="5708" spans="1:24" x14ac:dyDescent="0.25">
      <c r="A5708" t="s">
        <v>2398</v>
      </c>
      <c r="B5708" t="s">
        <v>2399</v>
      </c>
      <c r="C5708" t="s">
        <v>2400</v>
      </c>
      <c r="D5708" t="s">
        <v>2401</v>
      </c>
      <c r="E5708" s="9">
        <v>45292</v>
      </c>
      <c r="F5708" s="9">
        <v>45322</v>
      </c>
      <c r="G5708">
        <v>26270576.399999999</v>
      </c>
      <c r="H5708">
        <v>3603306.6</v>
      </c>
      <c r="I5708">
        <v>656580.19999999995</v>
      </c>
      <c r="J5708">
        <v>743773.1</v>
      </c>
      <c r="K5708">
        <v>0</v>
      </c>
      <c r="L5708">
        <v>128118.9</v>
      </c>
      <c r="M5708">
        <v>0</v>
      </c>
      <c r="N5708">
        <v>0</v>
      </c>
      <c r="O5708">
        <v>0</v>
      </c>
      <c r="P5708">
        <v>0</v>
      </c>
      <c r="Q5708">
        <v>2009970.8</v>
      </c>
      <c r="R5708">
        <v>0</v>
      </c>
      <c r="S5708">
        <v>0</v>
      </c>
      <c r="T5708" s="9">
        <v>45108</v>
      </c>
      <c r="U5708" s="9">
        <v>45473</v>
      </c>
      <c r="V5708">
        <f>SUM(POTABLE_NONPOTABLE_API[[#This Row],[RESIDENTIAL_SINGLEFAMILY_GAL]:[OTHER_GAL]])</f>
        <v>31402355.199999999</v>
      </c>
      <c r="W5708">
        <f>SUM(POTABLE_NONPOTABLE_API[[#This Row],[NONPOTABLE_DEMAND_RESIDENTIAL_RECYCLED_WATER_GAL]:[NONPOTABLE_DEMAND_NONRESIDENTIAL_METERED_IRRIGATION_GAL]])</f>
        <v>2009970.8</v>
      </c>
      <c r="X5708" t="str">
        <f>IFERROR(INDEX(Crosswalk_API!$H$2:$H$527, MATCH(POTABLE_NONPOTABLE_API[[#This Row],[PWSID]], CW_PWSID_LIST, 0)), "")</f>
        <v>No</v>
      </c>
    </row>
    <row r="5709" spans="1:24" x14ac:dyDescent="0.25">
      <c r="A5709" t="s">
        <v>2398</v>
      </c>
      <c r="B5709" t="s">
        <v>2399</v>
      </c>
      <c r="C5709" t="s">
        <v>2400</v>
      </c>
      <c r="D5709" t="s">
        <v>2401</v>
      </c>
      <c r="E5709" s="9">
        <v>45323</v>
      </c>
      <c r="F5709" s="9">
        <v>45351</v>
      </c>
      <c r="G5709">
        <v>19552044.600000001</v>
      </c>
      <c r="H5709">
        <v>3198909.7</v>
      </c>
      <c r="I5709">
        <v>588814.19999999995</v>
      </c>
      <c r="J5709">
        <v>350694.3</v>
      </c>
      <c r="K5709">
        <v>0</v>
      </c>
      <c r="L5709">
        <v>87252.800000000003</v>
      </c>
      <c r="M5709">
        <v>0</v>
      </c>
      <c r="N5709">
        <v>0</v>
      </c>
      <c r="O5709">
        <v>0</v>
      </c>
      <c r="P5709">
        <v>0</v>
      </c>
      <c r="Q5709">
        <v>505174.5</v>
      </c>
      <c r="R5709">
        <v>0</v>
      </c>
      <c r="S5709">
        <v>0</v>
      </c>
      <c r="T5709" s="9">
        <v>45108</v>
      </c>
      <c r="U5709" s="9">
        <v>45473</v>
      </c>
      <c r="V5709">
        <f>SUM(POTABLE_NONPOTABLE_API[[#This Row],[RESIDENTIAL_SINGLEFAMILY_GAL]:[OTHER_GAL]])</f>
        <v>23777715.600000001</v>
      </c>
      <c r="W5709">
        <f>SUM(POTABLE_NONPOTABLE_API[[#This Row],[NONPOTABLE_DEMAND_RESIDENTIAL_RECYCLED_WATER_GAL]:[NONPOTABLE_DEMAND_NONRESIDENTIAL_METERED_IRRIGATION_GAL]])</f>
        <v>505174.5</v>
      </c>
      <c r="X5709" t="str">
        <f>IFERROR(INDEX(Crosswalk_API!$H$2:$H$527, MATCH(POTABLE_NONPOTABLE_API[[#This Row],[PWSID]], CW_PWSID_LIST, 0)), "")</f>
        <v>No</v>
      </c>
    </row>
    <row r="5710" spans="1:24" x14ac:dyDescent="0.25">
      <c r="A5710" t="s">
        <v>2398</v>
      </c>
      <c r="B5710" t="s">
        <v>2399</v>
      </c>
      <c r="C5710" t="s">
        <v>2400</v>
      </c>
      <c r="D5710" t="s">
        <v>2401</v>
      </c>
      <c r="E5710" s="9">
        <v>45352</v>
      </c>
      <c r="F5710" s="9">
        <v>45382</v>
      </c>
      <c r="G5710">
        <v>25329953.300000001</v>
      </c>
      <c r="H5710">
        <v>3510847.4</v>
      </c>
      <c r="I5710">
        <v>493302.9</v>
      </c>
      <c r="J5710">
        <v>1304183.8</v>
      </c>
      <c r="K5710">
        <v>0</v>
      </c>
      <c r="L5710">
        <v>198001.9</v>
      </c>
      <c r="M5710">
        <v>0</v>
      </c>
      <c r="N5710">
        <v>0</v>
      </c>
      <c r="O5710">
        <v>0</v>
      </c>
      <c r="P5710">
        <v>0</v>
      </c>
      <c r="Q5710">
        <v>4151464.2</v>
      </c>
      <c r="R5710">
        <v>0</v>
      </c>
      <c r="S5710">
        <v>0</v>
      </c>
      <c r="T5710" s="9">
        <v>45108</v>
      </c>
      <c r="U5710" s="9">
        <v>45473</v>
      </c>
      <c r="V5710">
        <f>SUM(POTABLE_NONPOTABLE_API[[#This Row],[RESIDENTIAL_SINGLEFAMILY_GAL]:[OTHER_GAL]])</f>
        <v>30836289.299999997</v>
      </c>
      <c r="W5710">
        <f>SUM(POTABLE_NONPOTABLE_API[[#This Row],[NONPOTABLE_DEMAND_RESIDENTIAL_RECYCLED_WATER_GAL]:[NONPOTABLE_DEMAND_NONRESIDENTIAL_METERED_IRRIGATION_GAL]])</f>
        <v>4151464.2</v>
      </c>
      <c r="X5710" t="str">
        <f>IFERROR(INDEX(Crosswalk_API!$H$2:$H$527, MATCH(POTABLE_NONPOTABLE_API[[#This Row],[PWSID]], CW_PWSID_LIST, 0)), "")</f>
        <v>No</v>
      </c>
    </row>
    <row r="5711" spans="1:24" x14ac:dyDescent="0.25">
      <c r="A5711" t="s">
        <v>2398</v>
      </c>
      <c r="B5711" t="s">
        <v>2399</v>
      </c>
      <c r="C5711" t="s">
        <v>2400</v>
      </c>
      <c r="D5711" t="s">
        <v>2401</v>
      </c>
      <c r="E5711" s="9">
        <v>45383</v>
      </c>
      <c r="F5711" s="9">
        <v>45412</v>
      </c>
      <c r="G5711">
        <v>27936622.800000001</v>
      </c>
      <c r="H5711">
        <v>3540178.5</v>
      </c>
      <c r="I5711">
        <v>609632.46</v>
      </c>
      <c r="J5711">
        <v>1854735.1</v>
      </c>
      <c r="K5711">
        <v>0</v>
      </c>
      <c r="L5711">
        <v>247133.94</v>
      </c>
      <c r="M5711">
        <v>0</v>
      </c>
      <c r="N5711">
        <v>0</v>
      </c>
      <c r="O5711">
        <v>0</v>
      </c>
      <c r="P5711">
        <v>0</v>
      </c>
      <c r="Q5711">
        <v>5832060.2000000002</v>
      </c>
      <c r="R5711">
        <v>0</v>
      </c>
      <c r="S5711">
        <v>0</v>
      </c>
      <c r="T5711" s="9">
        <v>45108</v>
      </c>
      <c r="U5711" s="9">
        <v>45473</v>
      </c>
      <c r="V5711">
        <f>SUM(POTABLE_NONPOTABLE_API[[#This Row],[RESIDENTIAL_SINGLEFAMILY_GAL]:[OTHER_GAL]])</f>
        <v>34188302.799999997</v>
      </c>
      <c r="W5711">
        <f>SUM(POTABLE_NONPOTABLE_API[[#This Row],[NONPOTABLE_DEMAND_RESIDENTIAL_RECYCLED_WATER_GAL]:[NONPOTABLE_DEMAND_NONRESIDENTIAL_METERED_IRRIGATION_GAL]])</f>
        <v>5832060.2000000002</v>
      </c>
      <c r="X5711" t="str">
        <f>IFERROR(INDEX(Crosswalk_API!$H$2:$H$527, MATCH(POTABLE_NONPOTABLE_API[[#This Row],[PWSID]], CW_PWSID_LIST, 0)), "")</f>
        <v>No</v>
      </c>
    </row>
    <row r="5712" spans="1:24" x14ac:dyDescent="0.25">
      <c r="A5712" t="s">
        <v>2398</v>
      </c>
      <c r="B5712" t="s">
        <v>2399</v>
      </c>
      <c r="C5712" t="s">
        <v>2400</v>
      </c>
      <c r="D5712" t="s">
        <v>2401</v>
      </c>
      <c r="E5712" s="9">
        <v>45413</v>
      </c>
      <c r="F5712" s="9">
        <v>45443</v>
      </c>
      <c r="G5712">
        <v>38711863</v>
      </c>
      <c r="H5712">
        <v>3417049</v>
      </c>
      <c r="I5712">
        <v>608982</v>
      </c>
      <c r="J5712">
        <v>4022133</v>
      </c>
      <c r="K5712">
        <v>0</v>
      </c>
      <c r="L5712">
        <v>293244</v>
      </c>
      <c r="M5712">
        <v>0</v>
      </c>
      <c r="N5712">
        <v>0</v>
      </c>
      <c r="O5712">
        <v>0</v>
      </c>
      <c r="P5712">
        <v>0</v>
      </c>
      <c r="Q5712">
        <v>18207915</v>
      </c>
      <c r="R5712">
        <v>0</v>
      </c>
      <c r="S5712">
        <v>0</v>
      </c>
      <c r="T5712" s="9">
        <v>45108</v>
      </c>
      <c r="U5712" s="9">
        <v>45473</v>
      </c>
      <c r="V5712">
        <f>SUM(POTABLE_NONPOTABLE_API[[#This Row],[RESIDENTIAL_SINGLEFAMILY_GAL]:[OTHER_GAL]])</f>
        <v>47053271</v>
      </c>
      <c r="W5712">
        <f>SUM(POTABLE_NONPOTABLE_API[[#This Row],[NONPOTABLE_DEMAND_RESIDENTIAL_RECYCLED_WATER_GAL]:[NONPOTABLE_DEMAND_NONRESIDENTIAL_METERED_IRRIGATION_GAL]])</f>
        <v>18207915</v>
      </c>
      <c r="X5712" t="str">
        <f>IFERROR(INDEX(Crosswalk_API!$H$2:$H$527, MATCH(POTABLE_NONPOTABLE_API[[#This Row],[PWSID]], CW_PWSID_LIST, 0)), "")</f>
        <v>No</v>
      </c>
    </row>
    <row r="5713" spans="1:24" x14ac:dyDescent="0.25">
      <c r="A5713" t="s">
        <v>2398</v>
      </c>
      <c r="B5713" t="s">
        <v>2399</v>
      </c>
      <c r="C5713" t="s">
        <v>2400</v>
      </c>
      <c r="D5713" t="s">
        <v>2401</v>
      </c>
      <c r="E5713" s="9">
        <v>45444</v>
      </c>
      <c r="F5713" s="9">
        <v>45473</v>
      </c>
      <c r="G5713">
        <v>41764798</v>
      </c>
      <c r="H5713">
        <v>3234480</v>
      </c>
      <c r="I5713">
        <v>529673</v>
      </c>
      <c r="J5713">
        <v>4370853</v>
      </c>
      <c r="K5713">
        <v>0</v>
      </c>
      <c r="L5713">
        <v>303911</v>
      </c>
      <c r="M5713">
        <v>0</v>
      </c>
      <c r="N5713">
        <v>0</v>
      </c>
      <c r="O5713">
        <v>0</v>
      </c>
      <c r="P5713">
        <v>0</v>
      </c>
      <c r="Q5713">
        <v>24253694</v>
      </c>
      <c r="R5713">
        <v>0</v>
      </c>
      <c r="S5713">
        <v>0</v>
      </c>
      <c r="T5713" s="9">
        <v>45108</v>
      </c>
      <c r="U5713" s="9">
        <v>45473</v>
      </c>
      <c r="V5713">
        <f>SUM(POTABLE_NONPOTABLE_API[[#This Row],[RESIDENTIAL_SINGLEFAMILY_GAL]:[OTHER_GAL]])</f>
        <v>50203715</v>
      </c>
      <c r="W5713">
        <f>SUM(POTABLE_NONPOTABLE_API[[#This Row],[NONPOTABLE_DEMAND_RESIDENTIAL_RECYCLED_WATER_GAL]:[NONPOTABLE_DEMAND_NONRESIDENTIAL_METERED_IRRIGATION_GAL]])</f>
        <v>24253694</v>
      </c>
      <c r="X5713" t="str">
        <f>IFERROR(INDEX(Crosswalk_API!$H$2:$H$527, MATCH(POTABLE_NONPOTABLE_API[[#This Row],[PWSID]], CW_PWSID_LIST, 0)), "")</f>
        <v>No</v>
      </c>
    </row>
    <row r="5714" spans="1:24" x14ac:dyDescent="0.25">
      <c r="A5714" t="s">
        <v>2402</v>
      </c>
      <c r="B5714" t="s">
        <v>2403</v>
      </c>
      <c r="C5714" t="s">
        <v>2404</v>
      </c>
      <c r="D5714" t="s">
        <v>2405</v>
      </c>
      <c r="E5714" s="9">
        <v>45108</v>
      </c>
      <c r="F5714" s="9">
        <v>45138</v>
      </c>
      <c r="G5714">
        <v>108938998</v>
      </c>
      <c r="H5714">
        <v>9969731</v>
      </c>
      <c r="I5714">
        <v>23007972</v>
      </c>
      <c r="J5714">
        <v>7830920</v>
      </c>
      <c r="K5714">
        <v>0</v>
      </c>
      <c r="L5714">
        <v>4992680</v>
      </c>
      <c r="M5714">
        <v>0</v>
      </c>
      <c r="T5714" s="9">
        <v>45108</v>
      </c>
      <c r="U5714" s="9">
        <v>45473</v>
      </c>
      <c r="V5714">
        <f>SUM(POTABLE_NONPOTABLE_API[[#This Row],[RESIDENTIAL_SINGLEFAMILY_GAL]:[OTHER_GAL]])</f>
        <v>154740301</v>
      </c>
      <c r="W5714">
        <f>SUM(POTABLE_NONPOTABLE_API[[#This Row],[NONPOTABLE_DEMAND_RESIDENTIAL_RECYCLED_WATER_GAL]:[NONPOTABLE_DEMAND_NONRESIDENTIAL_METERED_IRRIGATION_GAL]])</f>
        <v>0</v>
      </c>
      <c r="X5714" t="str">
        <f>IFERROR(INDEX(Crosswalk_API!$H$2:$H$527, MATCH(POTABLE_NONPOTABLE_API[[#This Row],[PWSID]], CW_PWSID_LIST, 0)), "")</f>
        <v>No</v>
      </c>
    </row>
    <row r="5715" spans="1:24" x14ac:dyDescent="0.25">
      <c r="A5715" t="s">
        <v>2402</v>
      </c>
      <c r="B5715" t="s">
        <v>2403</v>
      </c>
      <c r="C5715" t="s">
        <v>2404</v>
      </c>
      <c r="D5715" t="s">
        <v>2405</v>
      </c>
      <c r="E5715" s="9">
        <v>45139</v>
      </c>
      <c r="F5715" s="9">
        <v>45169</v>
      </c>
      <c r="G5715">
        <v>93252549</v>
      </c>
      <c r="H5715">
        <v>8752701</v>
      </c>
      <c r="I5715">
        <v>20003872</v>
      </c>
      <c r="J5715">
        <v>7305551</v>
      </c>
      <c r="K5715">
        <v>0</v>
      </c>
      <c r="L5715">
        <v>2763721</v>
      </c>
      <c r="M5715">
        <v>0</v>
      </c>
      <c r="T5715" s="9">
        <v>45108</v>
      </c>
      <c r="U5715" s="9">
        <v>45473</v>
      </c>
      <c r="V5715">
        <f>SUM(POTABLE_NONPOTABLE_API[[#This Row],[RESIDENTIAL_SINGLEFAMILY_GAL]:[OTHER_GAL]])</f>
        <v>132078394</v>
      </c>
      <c r="W5715">
        <f>SUM(POTABLE_NONPOTABLE_API[[#This Row],[NONPOTABLE_DEMAND_RESIDENTIAL_RECYCLED_WATER_GAL]:[NONPOTABLE_DEMAND_NONRESIDENTIAL_METERED_IRRIGATION_GAL]])</f>
        <v>0</v>
      </c>
      <c r="X5715" t="str">
        <f>IFERROR(INDEX(Crosswalk_API!$H$2:$H$527, MATCH(POTABLE_NONPOTABLE_API[[#This Row],[PWSID]], CW_PWSID_LIST, 0)), "")</f>
        <v>No</v>
      </c>
    </row>
    <row r="5716" spans="1:24" x14ac:dyDescent="0.25">
      <c r="A5716" t="s">
        <v>2402</v>
      </c>
      <c r="B5716" t="s">
        <v>2403</v>
      </c>
      <c r="C5716" t="s">
        <v>2404</v>
      </c>
      <c r="D5716" t="s">
        <v>2405</v>
      </c>
      <c r="E5716" s="9">
        <v>45170</v>
      </c>
      <c r="F5716" s="9">
        <v>45199</v>
      </c>
      <c r="G5716">
        <v>72086300</v>
      </c>
      <c r="H5716">
        <v>7195802</v>
      </c>
      <c r="I5716">
        <v>15974496</v>
      </c>
      <c r="J5716">
        <v>5697696</v>
      </c>
      <c r="K5716">
        <v>0</v>
      </c>
      <c r="L5716">
        <v>1229765</v>
      </c>
      <c r="M5716">
        <v>0</v>
      </c>
      <c r="T5716" s="9">
        <v>45108</v>
      </c>
      <c r="U5716" s="9">
        <v>45473</v>
      </c>
      <c r="V5716">
        <f>SUM(POTABLE_NONPOTABLE_API[[#This Row],[RESIDENTIAL_SINGLEFAMILY_GAL]:[OTHER_GAL]])</f>
        <v>102184059</v>
      </c>
      <c r="W5716">
        <f>SUM(POTABLE_NONPOTABLE_API[[#This Row],[NONPOTABLE_DEMAND_RESIDENTIAL_RECYCLED_WATER_GAL]:[NONPOTABLE_DEMAND_NONRESIDENTIAL_METERED_IRRIGATION_GAL]])</f>
        <v>0</v>
      </c>
      <c r="X5716" t="str">
        <f>IFERROR(INDEX(Crosswalk_API!$H$2:$H$527, MATCH(POTABLE_NONPOTABLE_API[[#This Row],[PWSID]], CW_PWSID_LIST, 0)), "")</f>
        <v>No</v>
      </c>
    </row>
    <row r="5717" spans="1:24" x14ac:dyDescent="0.25">
      <c r="A5717" t="s">
        <v>2402</v>
      </c>
      <c r="B5717" t="s">
        <v>2403</v>
      </c>
      <c r="C5717" t="s">
        <v>2404</v>
      </c>
      <c r="D5717" t="s">
        <v>2405</v>
      </c>
      <c r="E5717" s="9">
        <v>45200</v>
      </c>
      <c r="F5717" s="9">
        <v>45230</v>
      </c>
      <c r="G5717">
        <v>46485721</v>
      </c>
      <c r="H5717">
        <v>6092561</v>
      </c>
      <c r="I5717">
        <v>13081781</v>
      </c>
      <c r="J5717">
        <v>2365179</v>
      </c>
      <c r="K5717">
        <v>0</v>
      </c>
      <c r="L5717">
        <v>1738425</v>
      </c>
      <c r="M5717">
        <v>0</v>
      </c>
      <c r="T5717" s="9">
        <v>45108</v>
      </c>
      <c r="U5717" s="9">
        <v>45473</v>
      </c>
      <c r="V5717">
        <f>SUM(POTABLE_NONPOTABLE_API[[#This Row],[RESIDENTIAL_SINGLEFAMILY_GAL]:[OTHER_GAL]])</f>
        <v>69763667</v>
      </c>
      <c r="W5717">
        <f>SUM(POTABLE_NONPOTABLE_API[[#This Row],[NONPOTABLE_DEMAND_RESIDENTIAL_RECYCLED_WATER_GAL]:[NONPOTABLE_DEMAND_NONRESIDENTIAL_METERED_IRRIGATION_GAL]])</f>
        <v>0</v>
      </c>
      <c r="X5717" t="str">
        <f>IFERROR(INDEX(Crosswalk_API!$H$2:$H$527, MATCH(POTABLE_NONPOTABLE_API[[#This Row],[PWSID]], CW_PWSID_LIST, 0)), "")</f>
        <v>No</v>
      </c>
    </row>
    <row r="5718" spans="1:24" x14ac:dyDescent="0.25">
      <c r="A5718" t="s">
        <v>2402</v>
      </c>
      <c r="B5718" t="s">
        <v>2403</v>
      </c>
      <c r="C5718" t="s">
        <v>2404</v>
      </c>
      <c r="D5718" t="s">
        <v>2405</v>
      </c>
      <c r="E5718" s="9">
        <v>45231</v>
      </c>
      <c r="F5718" s="9">
        <v>45260</v>
      </c>
      <c r="G5718">
        <v>26544494</v>
      </c>
      <c r="H5718">
        <v>4863020</v>
      </c>
      <c r="I5718">
        <v>8361409</v>
      </c>
      <c r="J5718">
        <v>54850</v>
      </c>
      <c r="K5718">
        <v>0</v>
      </c>
      <c r="L5718">
        <v>2789646</v>
      </c>
      <c r="M5718">
        <v>0</v>
      </c>
      <c r="T5718" s="9">
        <v>45108</v>
      </c>
      <c r="U5718" s="9">
        <v>45473</v>
      </c>
      <c r="V5718">
        <f>SUM(POTABLE_NONPOTABLE_API[[#This Row],[RESIDENTIAL_SINGLEFAMILY_GAL]:[OTHER_GAL]])</f>
        <v>42613419</v>
      </c>
      <c r="W5718">
        <f>SUM(POTABLE_NONPOTABLE_API[[#This Row],[NONPOTABLE_DEMAND_RESIDENTIAL_RECYCLED_WATER_GAL]:[NONPOTABLE_DEMAND_NONRESIDENTIAL_METERED_IRRIGATION_GAL]])</f>
        <v>0</v>
      </c>
      <c r="X5718" t="str">
        <f>IFERROR(INDEX(Crosswalk_API!$H$2:$H$527, MATCH(POTABLE_NONPOTABLE_API[[#This Row],[PWSID]], CW_PWSID_LIST, 0)), "")</f>
        <v>No</v>
      </c>
    </row>
    <row r="5719" spans="1:24" x14ac:dyDescent="0.25">
      <c r="A5719" t="s">
        <v>2402</v>
      </c>
      <c r="B5719" t="s">
        <v>2403</v>
      </c>
      <c r="C5719" t="s">
        <v>2404</v>
      </c>
      <c r="D5719" t="s">
        <v>2405</v>
      </c>
      <c r="E5719" s="9">
        <v>45261</v>
      </c>
      <c r="F5719" s="9">
        <v>45291</v>
      </c>
      <c r="G5719">
        <v>32198276</v>
      </c>
      <c r="H5719">
        <v>4945797</v>
      </c>
      <c r="I5719">
        <v>9250449</v>
      </c>
      <c r="J5719">
        <v>4552</v>
      </c>
      <c r="K5719">
        <v>0</v>
      </c>
      <c r="L5719">
        <v>3800317</v>
      </c>
      <c r="M5719">
        <v>0</v>
      </c>
      <c r="T5719" s="9">
        <v>45108</v>
      </c>
      <c r="U5719" s="9">
        <v>45473</v>
      </c>
      <c r="V5719">
        <f>SUM(POTABLE_NONPOTABLE_API[[#This Row],[RESIDENTIAL_SINGLEFAMILY_GAL]:[OTHER_GAL]])</f>
        <v>50199391</v>
      </c>
      <c r="W5719">
        <f>SUM(POTABLE_NONPOTABLE_API[[#This Row],[NONPOTABLE_DEMAND_RESIDENTIAL_RECYCLED_WATER_GAL]:[NONPOTABLE_DEMAND_NONRESIDENTIAL_METERED_IRRIGATION_GAL]])</f>
        <v>0</v>
      </c>
      <c r="X5719" t="str">
        <f>IFERROR(INDEX(Crosswalk_API!$H$2:$H$527, MATCH(POTABLE_NONPOTABLE_API[[#This Row],[PWSID]], CW_PWSID_LIST, 0)), "")</f>
        <v>No</v>
      </c>
    </row>
    <row r="5720" spans="1:24" x14ac:dyDescent="0.25">
      <c r="A5720" t="s">
        <v>2402</v>
      </c>
      <c r="B5720" t="s">
        <v>2403</v>
      </c>
      <c r="C5720" t="s">
        <v>2404</v>
      </c>
      <c r="D5720" t="s">
        <v>2405</v>
      </c>
      <c r="E5720" s="9">
        <v>45292</v>
      </c>
      <c r="F5720" s="9">
        <v>45322</v>
      </c>
      <c r="G5720">
        <v>32745835</v>
      </c>
      <c r="H5720">
        <v>5642289</v>
      </c>
      <c r="I5720">
        <v>9735221</v>
      </c>
      <c r="J5720">
        <v>3723</v>
      </c>
      <c r="K5720">
        <v>0</v>
      </c>
      <c r="L5720">
        <v>4106346</v>
      </c>
      <c r="M5720">
        <v>0</v>
      </c>
      <c r="T5720" s="9">
        <v>45108</v>
      </c>
      <c r="U5720" s="9">
        <v>45473</v>
      </c>
      <c r="V5720">
        <f>SUM(POTABLE_NONPOTABLE_API[[#This Row],[RESIDENTIAL_SINGLEFAMILY_GAL]:[OTHER_GAL]])</f>
        <v>52233414</v>
      </c>
      <c r="W5720">
        <f>SUM(POTABLE_NONPOTABLE_API[[#This Row],[NONPOTABLE_DEMAND_RESIDENTIAL_RECYCLED_WATER_GAL]:[NONPOTABLE_DEMAND_NONRESIDENTIAL_METERED_IRRIGATION_GAL]])</f>
        <v>0</v>
      </c>
      <c r="X5720" t="str">
        <f>IFERROR(INDEX(Crosswalk_API!$H$2:$H$527, MATCH(POTABLE_NONPOTABLE_API[[#This Row],[PWSID]], CW_PWSID_LIST, 0)), "")</f>
        <v>No</v>
      </c>
    </row>
    <row r="5721" spans="1:24" x14ac:dyDescent="0.25">
      <c r="A5721" t="s">
        <v>2402</v>
      </c>
      <c r="B5721" t="s">
        <v>2403</v>
      </c>
      <c r="C5721" t="s">
        <v>2404</v>
      </c>
      <c r="D5721" t="s">
        <v>2405</v>
      </c>
      <c r="E5721" s="9">
        <v>45323</v>
      </c>
      <c r="F5721" s="9">
        <v>45351</v>
      </c>
      <c r="G5721">
        <v>29635585</v>
      </c>
      <c r="H5721">
        <v>5312498</v>
      </c>
      <c r="I5721">
        <v>9301822</v>
      </c>
      <c r="J5721">
        <v>2398</v>
      </c>
      <c r="K5721">
        <v>0</v>
      </c>
      <c r="L5721">
        <v>776064</v>
      </c>
      <c r="M5721">
        <v>0</v>
      </c>
      <c r="T5721" s="9">
        <v>45108</v>
      </c>
      <c r="U5721" s="9">
        <v>45473</v>
      </c>
      <c r="V5721">
        <f>SUM(POTABLE_NONPOTABLE_API[[#This Row],[RESIDENTIAL_SINGLEFAMILY_GAL]:[OTHER_GAL]])</f>
        <v>45028367</v>
      </c>
      <c r="W5721">
        <f>SUM(POTABLE_NONPOTABLE_API[[#This Row],[NONPOTABLE_DEMAND_RESIDENTIAL_RECYCLED_WATER_GAL]:[NONPOTABLE_DEMAND_NONRESIDENTIAL_METERED_IRRIGATION_GAL]])</f>
        <v>0</v>
      </c>
      <c r="X5721" t="str">
        <f>IFERROR(INDEX(Crosswalk_API!$H$2:$H$527, MATCH(POTABLE_NONPOTABLE_API[[#This Row],[PWSID]], CW_PWSID_LIST, 0)), "")</f>
        <v>No</v>
      </c>
    </row>
    <row r="5722" spans="1:24" x14ac:dyDescent="0.25">
      <c r="A5722" t="s">
        <v>2402</v>
      </c>
      <c r="B5722" t="s">
        <v>2403</v>
      </c>
      <c r="C5722" t="s">
        <v>2404</v>
      </c>
      <c r="D5722" t="s">
        <v>2405</v>
      </c>
      <c r="E5722" s="9">
        <v>45352</v>
      </c>
      <c r="F5722" s="9">
        <v>45382</v>
      </c>
      <c r="G5722">
        <v>30936997</v>
      </c>
      <c r="H5722">
        <v>5643221</v>
      </c>
      <c r="I5722">
        <v>9509129</v>
      </c>
      <c r="J5722">
        <v>3608</v>
      </c>
      <c r="K5722">
        <v>0</v>
      </c>
      <c r="L5722">
        <v>620278.21</v>
      </c>
      <c r="M5722">
        <v>0</v>
      </c>
      <c r="T5722" s="9">
        <v>45108</v>
      </c>
      <c r="U5722" s="9">
        <v>45473</v>
      </c>
      <c r="V5722">
        <f>SUM(POTABLE_NONPOTABLE_API[[#This Row],[RESIDENTIAL_SINGLEFAMILY_GAL]:[OTHER_GAL]])</f>
        <v>46713233.210000001</v>
      </c>
      <c r="W5722">
        <f>SUM(POTABLE_NONPOTABLE_API[[#This Row],[NONPOTABLE_DEMAND_RESIDENTIAL_RECYCLED_WATER_GAL]:[NONPOTABLE_DEMAND_NONRESIDENTIAL_METERED_IRRIGATION_GAL]])</f>
        <v>0</v>
      </c>
      <c r="X5722" t="str">
        <f>IFERROR(INDEX(Crosswalk_API!$H$2:$H$527, MATCH(POTABLE_NONPOTABLE_API[[#This Row],[PWSID]], CW_PWSID_LIST, 0)), "")</f>
        <v>No</v>
      </c>
    </row>
    <row r="5723" spans="1:24" x14ac:dyDescent="0.25">
      <c r="A5723" t="s">
        <v>2402</v>
      </c>
      <c r="B5723" t="s">
        <v>2403</v>
      </c>
      <c r="C5723" t="s">
        <v>2404</v>
      </c>
      <c r="D5723" t="s">
        <v>2405</v>
      </c>
      <c r="E5723" s="9">
        <v>45383</v>
      </c>
      <c r="F5723" s="9">
        <v>45412</v>
      </c>
      <c r="G5723">
        <v>29239011</v>
      </c>
      <c r="H5723">
        <v>5235702</v>
      </c>
      <c r="I5723">
        <v>9998196</v>
      </c>
      <c r="J5723">
        <v>465734</v>
      </c>
      <c r="K5723">
        <v>0</v>
      </c>
      <c r="L5723">
        <v>733703</v>
      </c>
      <c r="M5723">
        <v>0</v>
      </c>
      <c r="T5723" s="9">
        <v>45108</v>
      </c>
      <c r="U5723" s="9">
        <v>45473</v>
      </c>
      <c r="V5723">
        <f>SUM(POTABLE_NONPOTABLE_API[[#This Row],[RESIDENTIAL_SINGLEFAMILY_GAL]:[OTHER_GAL]])</f>
        <v>45672346</v>
      </c>
      <c r="W5723">
        <f>SUM(POTABLE_NONPOTABLE_API[[#This Row],[NONPOTABLE_DEMAND_RESIDENTIAL_RECYCLED_WATER_GAL]:[NONPOTABLE_DEMAND_NONRESIDENTIAL_METERED_IRRIGATION_GAL]])</f>
        <v>0</v>
      </c>
      <c r="X5723" t="str">
        <f>IFERROR(INDEX(Crosswalk_API!$H$2:$H$527, MATCH(POTABLE_NONPOTABLE_API[[#This Row],[PWSID]], CW_PWSID_LIST, 0)), "")</f>
        <v>No</v>
      </c>
    </row>
    <row r="5724" spans="1:24" x14ac:dyDescent="0.25">
      <c r="A5724" t="s">
        <v>2402</v>
      </c>
      <c r="B5724" t="s">
        <v>2403</v>
      </c>
      <c r="C5724" t="s">
        <v>2404</v>
      </c>
      <c r="D5724" t="s">
        <v>2405</v>
      </c>
      <c r="E5724" s="9">
        <v>45413</v>
      </c>
      <c r="F5724" s="9">
        <v>45443</v>
      </c>
      <c r="G5724">
        <v>58476171</v>
      </c>
      <c r="H5724">
        <v>6513524</v>
      </c>
      <c r="I5724">
        <v>15166278</v>
      </c>
      <c r="J5724">
        <v>4919033</v>
      </c>
      <c r="K5724">
        <v>0</v>
      </c>
      <c r="L5724">
        <v>2041865</v>
      </c>
      <c r="M5724">
        <v>0</v>
      </c>
      <c r="T5724" s="9">
        <v>45108</v>
      </c>
      <c r="U5724" s="9">
        <v>45473</v>
      </c>
      <c r="V5724">
        <f>SUM(POTABLE_NONPOTABLE_API[[#This Row],[RESIDENTIAL_SINGLEFAMILY_GAL]:[OTHER_GAL]])</f>
        <v>87116871</v>
      </c>
      <c r="W5724">
        <f>SUM(POTABLE_NONPOTABLE_API[[#This Row],[NONPOTABLE_DEMAND_RESIDENTIAL_RECYCLED_WATER_GAL]:[NONPOTABLE_DEMAND_NONRESIDENTIAL_METERED_IRRIGATION_GAL]])</f>
        <v>0</v>
      </c>
      <c r="X5724" t="str">
        <f>IFERROR(INDEX(Crosswalk_API!$H$2:$H$527, MATCH(POTABLE_NONPOTABLE_API[[#This Row],[PWSID]], CW_PWSID_LIST, 0)), "")</f>
        <v>No</v>
      </c>
    </row>
    <row r="5725" spans="1:24" x14ac:dyDescent="0.25">
      <c r="A5725" t="s">
        <v>2402</v>
      </c>
      <c r="B5725" t="s">
        <v>2403</v>
      </c>
      <c r="C5725" t="s">
        <v>2404</v>
      </c>
      <c r="D5725" t="s">
        <v>2405</v>
      </c>
      <c r="E5725" s="9">
        <v>45444</v>
      </c>
      <c r="F5725" s="9">
        <v>45473</v>
      </c>
      <c r="G5725">
        <v>100677813</v>
      </c>
      <c r="H5725">
        <v>9041542</v>
      </c>
      <c r="I5725">
        <v>20109718</v>
      </c>
      <c r="J5725">
        <v>8239291</v>
      </c>
      <c r="K5725">
        <v>0</v>
      </c>
      <c r="L5725">
        <v>2182961</v>
      </c>
      <c r="M5725">
        <v>0</v>
      </c>
      <c r="T5725" s="9">
        <v>45108</v>
      </c>
      <c r="U5725" s="9">
        <v>45473</v>
      </c>
      <c r="V5725">
        <f>SUM(POTABLE_NONPOTABLE_API[[#This Row],[RESIDENTIAL_SINGLEFAMILY_GAL]:[OTHER_GAL]])</f>
        <v>140251325</v>
      </c>
      <c r="W5725">
        <f>SUM(POTABLE_NONPOTABLE_API[[#This Row],[NONPOTABLE_DEMAND_RESIDENTIAL_RECYCLED_WATER_GAL]:[NONPOTABLE_DEMAND_NONRESIDENTIAL_METERED_IRRIGATION_GAL]])</f>
        <v>0</v>
      </c>
      <c r="X5725" t="str">
        <f>IFERROR(INDEX(Crosswalk_API!$H$2:$H$527, MATCH(POTABLE_NONPOTABLE_API[[#This Row],[PWSID]], CW_PWSID_LIST, 0)), "")</f>
        <v>No</v>
      </c>
    </row>
    <row r="5726" spans="1:24" x14ac:dyDescent="0.25">
      <c r="A5726" t="s">
        <v>2406</v>
      </c>
      <c r="B5726" t="s">
        <v>2407</v>
      </c>
      <c r="C5726" t="s">
        <v>2408</v>
      </c>
      <c r="D5726" t="s">
        <v>2409</v>
      </c>
      <c r="E5726" s="9">
        <v>45108</v>
      </c>
      <c r="F5726" s="9">
        <v>45138</v>
      </c>
      <c r="G5726">
        <v>296700000</v>
      </c>
      <c r="H5726">
        <v>35017000</v>
      </c>
      <c r="I5726">
        <v>111378000</v>
      </c>
      <c r="J5726">
        <v>0</v>
      </c>
      <c r="K5726">
        <v>97711000</v>
      </c>
      <c r="L5726">
        <v>0</v>
      </c>
      <c r="M5726">
        <v>0</v>
      </c>
      <c r="T5726" s="9">
        <v>45108</v>
      </c>
      <c r="U5726" s="9">
        <v>45473</v>
      </c>
      <c r="V5726">
        <f>SUM(POTABLE_NONPOTABLE_API[[#This Row],[RESIDENTIAL_SINGLEFAMILY_GAL]:[OTHER_GAL]])</f>
        <v>540806000</v>
      </c>
      <c r="W5726">
        <f>SUM(POTABLE_NONPOTABLE_API[[#This Row],[NONPOTABLE_DEMAND_RESIDENTIAL_RECYCLED_WATER_GAL]:[NONPOTABLE_DEMAND_NONRESIDENTIAL_METERED_IRRIGATION_GAL]])</f>
        <v>0</v>
      </c>
      <c r="X5726" t="str">
        <f>IFERROR(INDEX(Crosswalk_API!$H$2:$H$527, MATCH(POTABLE_NONPOTABLE_API[[#This Row],[PWSID]], CW_PWSID_LIST, 0)), "")</f>
        <v>No</v>
      </c>
    </row>
    <row r="5727" spans="1:24" x14ac:dyDescent="0.25">
      <c r="A5727" t="s">
        <v>2406</v>
      </c>
      <c r="B5727" t="s">
        <v>2407</v>
      </c>
      <c r="C5727" t="s">
        <v>2408</v>
      </c>
      <c r="D5727" t="s">
        <v>2409</v>
      </c>
      <c r="E5727" s="9">
        <v>45139</v>
      </c>
      <c r="F5727" s="9">
        <v>45169</v>
      </c>
      <c r="G5727">
        <v>301207000</v>
      </c>
      <c r="H5727">
        <v>36600000</v>
      </c>
      <c r="I5727">
        <v>76118000</v>
      </c>
      <c r="J5727">
        <v>0</v>
      </c>
      <c r="K5727">
        <v>103117000</v>
      </c>
      <c r="L5727">
        <v>0</v>
      </c>
      <c r="M5727">
        <v>0</v>
      </c>
      <c r="T5727" s="9">
        <v>45108</v>
      </c>
      <c r="U5727" s="9">
        <v>45473</v>
      </c>
      <c r="V5727">
        <f>SUM(POTABLE_NONPOTABLE_API[[#This Row],[RESIDENTIAL_SINGLEFAMILY_GAL]:[OTHER_GAL]])</f>
        <v>517042000</v>
      </c>
      <c r="W5727">
        <f>SUM(POTABLE_NONPOTABLE_API[[#This Row],[NONPOTABLE_DEMAND_RESIDENTIAL_RECYCLED_WATER_GAL]:[NONPOTABLE_DEMAND_NONRESIDENTIAL_METERED_IRRIGATION_GAL]])</f>
        <v>0</v>
      </c>
      <c r="X5727" t="str">
        <f>IFERROR(INDEX(Crosswalk_API!$H$2:$H$527, MATCH(POTABLE_NONPOTABLE_API[[#This Row],[PWSID]], CW_PWSID_LIST, 0)), "")</f>
        <v>No</v>
      </c>
    </row>
    <row r="5728" spans="1:24" x14ac:dyDescent="0.25">
      <c r="A5728" t="s">
        <v>2406</v>
      </c>
      <c r="B5728" t="s">
        <v>2407</v>
      </c>
      <c r="C5728" t="s">
        <v>2408</v>
      </c>
      <c r="D5728" t="s">
        <v>2409</v>
      </c>
      <c r="E5728" s="9">
        <v>45170</v>
      </c>
      <c r="F5728" s="9">
        <v>45199</v>
      </c>
      <c r="G5728">
        <v>284840000</v>
      </c>
      <c r="H5728">
        <v>35452000</v>
      </c>
      <c r="I5728">
        <v>90441000</v>
      </c>
      <c r="J5728">
        <v>0</v>
      </c>
      <c r="K5728">
        <v>102332000</v>
      </c>
      <c r="L5728">
        <v>0</v>
      </c>
      <c r="M5728">
        <v>0</v>
      </c>
      <c r="T5728" s="9">
        <v>45108</v>
      </c>
      <c r="U5728" s="9">
        <v>45473</v>
      </c>
      <c r="V5728">
        <f>SUM(POTABLE_NONPOTABLE_API[[#This Row],[RESIDENTIAL_SINGLEFAMILY_GAL]:[OTHER_GAL]])</f>
        <v>513065000</v>
      </c>
      <c r="W5728">
        <f>SUM(POTABLE_NONPOTABLE_API[[#This Row],[NONPOTABLE_DEMAND_RESIDENTIAL_RECYCLED_WATER_GAL]:[NONPOTABLE_DEMAND_NONRESIDENTIAL_METERED_IRRIGATION_GAL]])</f>
        <v>0</v>
      </c>
      <c r="X5728" t="str">
        <f>IFERROR(INDEX(Crosswalk_API!$H$2:$H$527, MATCH(POTABLE_NONPOTABLE_API[[#This Row],[PWSID]], CW_PWSID_LIST, 0)), "")</f>
        <v>No</v>
      </c>
    </row>
    <row r="5729" spans="1:24" x14ac:dyDescent="0.25">
      <c r="A5729" t="s">
        <v>2406</v>
      </c>
      <c r="B5729" t="s">
        <v>2407</v>
      </c>
      <c r="C5729" t="s">
        <v>2408</v>
      </c>
      <c r="D5729" t="s">
        <v>2409</v>
      </c>
      <c r="E5729" s="9">
        <v>45200</v>
      </c>
      <c r="F5729" s="9">
        <v>45230</v>
      </c>
      <c r="G5729">
        <v>222623000</v>
      </c>
      <c r="H5729">
        <v>30968000</v>
      </c>
      <c r="I5729">
        <v>63330000</v>
      </c>
      <c r="J5729">
        <v>0</v>
      </c>
      <c r="K5729">
        <v>101845000</v>
      </c>
      <c r="L5729">
        <v>0</v>
      </c>
      <c r="M5729">
        <v>0</v>
      </c>
      <c r="T5729" s="9">
        <v>45108</v>
      </c>
      <c r="U5729" s="9">
        <v>45473</v>
      </c>
      <c r="V5729">
        <f>SUM(POTABLE_NONPOTABLE_API[[#This Row],[RESIDENTIAL_SINGLEFAMILY_GAL]:[OTHER_GAL]])</f>
        <v>418766000</v>
      </c>
      <c r="W5729">
        <f>SUM(POTABLE_NONPOTABLE_API[[#This Row],[NONPOTABLE_DEMAND_RESIDENTIAL_RECYCLED_WATER_GAL]:[NONPOTABLE_DEMAND_NONRESIDENTIAL_METERED_IRRIGATION_GAL]])</f>
        <v>0</v>
      </c>
      <c r="X5729" t="str">
        <f>IFERROR(INDEX(Crosswalk_API!$H$2:$H$527, MATCH(POTABLE_NONPOTABLE_API[[#This Row],[PWSID]], CW_PWSID_LIST, 0)), "")</f>
        <v>No</v>
      </c>
    </row>
    <row r="5730" spans="1:24" x14ac:dyDescent="0.25">
      <c r="A5730" t="s">
        <v>2406</v>
      </c>
      <c r="B5730" t="s">
        <v>2407</v>
      </c>
      <c r="C5730" t="s">
        <v>2408</v>
      </c>
      <c r="D5730" t="s">
        <v>2409</v>
      </c>
      <c r="E5730" s="9">
        <v>45231</v>
      </c>
      <c r="F5730" s="9">
        <v>45260</v>
      </c>
      <c r="G5730">
        <v>195171000</v>
      </c>
      <c r="H5730">
        <v>29816000</v>
      </c>
      <c r="I5730">
        <v>57892000</v>
      </c>
      <c r="J5730">
        <v>0</v>
      </c>
      <c r="K5730">
        <v>96441000</v>
      </c>
      <c r="L5730">
        <v>0</v>
      </c>
      <c r="M5730">
        <v>0</v>
      </c>
      <c r="T5730" s="9">
        <v>45108</v>
      </c>
      <c r="U5730" s="9">
        <v>45473</v>
      </c>
      <c r="V5730">
        <f>SUM(POTABLE_NONPOTABLE_API[[#This Row],[RESIDENTIAL_SINGLEFAMILY_GAL]:[OTHER_GAL]])</f>
        <v>379320000</v>
      </c>
      <c r="W5730">
        <f>SUM(POTABLE_NONPOTABLE_API[[#This Row],[NONPOTABLE_DEMAND_RESIDENTIAL_RECYCLED_WATER_GAL]:[NONPOTABLE_DEMAND_NONRESIDENTIAL_METERED_IRRIGATION_GAL]])</f>
        <v>0</v>
      </c>
      <c r="X5730" t="str">
        <f>IFERROR(INDEX(Crosswalk_API!$H$2:$H$527, MATCH(POTABLE_NONPOTABLE_API[[#This Row],[PWSID]], CW_PWSID_LIST, 0)), "")</f>
        <v>No</v>
      </c>
    </row>
    <row r="5731" spans="1:24" x14ac:dyDescent="0.25">
      <c r="A5731" t="s">
        <v>2406</v>
      </c>
      <c r="B5731" t="s">
        <v>2407</v>
      </c>
      <c r="C5731" t="s">
        <v>2408</v>
      </c>
      <c r="D5731" t="s">
        <v>2409</v>
      </c>
      <c r="E5731" s="9">
        <v>45261</v>
      </c>
      <c r="F5731" s="9">
        <v>45291</v>
      </c>
      <c r="G5731">
        <v>137362000</v>
      </c>
      <c r="H5731">
        <v>24937000</v>
      </c>
      <c r="I5731">
        <v>36026000</v>
      </c>
      <c r="J5731">
        <v>0</v>
      </c>
      <c r="K5731">
        <v>87260000</v>
      </c>
      <c r="L5731">
        <v>0</v>
      </c>
      <c r="M5731">
        <v>0</v>
      </c>
      <c r="T5731" s="9">
        <v>45108</v>
      </c>
      <c r="U5731" s="9">
        <v>45473</v>
      </c>
      <c r="V5731">
        <f>SUM(POTABLE_NONPOTABLE_API[[#This Row],[RESIDENTIAL_SINGLEFAMILY_GAL]:[OTHER_GAL]])</f>
        <v>285585000</v>
      </c>
      <c r="W5731">
        <f>SUM(POTABLE_NONPOTABLE_API[[#This Row],[NONPOTABLE_DEMAND_RESIDENTIAL_RECYCLED_WATER_GAL]:[NONPOTABLE_DEMAND_NONRESIDENTIAL_METERED_IRRIGATION_GAL]])</f>
        <v>0</v>
      </c>
      <c r="X5731" t="str">
        <f>IFERROR(INDEX(Crosswalk_API!$H$2:$H$527, MATCH(POTABLE_NONPOTABLE_API[[#This Row],[PWSID]], CW_PWSID_LIST, 0)), "")</f>
        <v>No</v>
      </c>
    </row>
    <row r="5732" spans="1:24" x14ac:dyDescent="0.25">
      <c r="A5732" t="s">
        <v>2406</v>
      </c>
      <c r="B5732" t="s">
        <v>2407</v>
      </c>
      <c r="C5732" t="s">
        <v>2408</v>
      </c>
      <c r="D5732" t="s">
        <v>2409</v>
      </c>
      <c r="E5732" s="9">
        <v>45292</v>
      </c>
      <c r="F5732" s="9">
        <v>45322</v>
      </c>
      <c r="G5732">
        <v>133914000</v>
      </c>
      <c r="H5732">
        <v>23487000</v>
      </c>
      <c r="I5732">
        <v>28752000</v>
      </c>
      <c r="J5732">
        <v>0</v>
      </c>
      <c r="K5732">
        <v>87396000</v>
      </c>
      <c r="L5732">
        <v>0</v>
      </c>
      <c r="M5732">
        <v>0</v>
      </c>
      <c r="T5732" s="9">
        <v>45108</v>
      </c>
      <c r="U5732" s="9">
        <v>45473</v>
      </c>
      <c r="V5732">
        <f>SUM(POTABLE_NONPOTABLE_API[[#This Row],[RESIDENTIAL_SINGLEFAMILY_GAL]:[OTHER_GAL]])</f>
        <v>273549000</v>
      </c>
      <c r="W5732">
        <f>SUM(POTABLE_NONPOTABLE_API[[#This Row],[NONPOTABLE_DEMAND_RESIDENTIAL_RECYCLED_WATER_GAL]:[NONPOTABLE_DEMAND_NONRESIDENTIAL_METERED_IRRIGATION_GAL]])</f>
        <v>0</v>
      </c>
      <c r="X5732" t="str">
        <f>IFERROR(INDEX(Crosswalk_API!$H$2:$H$527, MATCH(POTABLE_NONPOTABLE_API[[#This Row],[PWSID]], CW_PWSID_LIST, 0)), "")</f>
        <v>No</v>
      </c>
    </row>
    <row r="5733" spans="1:24" x14ac:dyDescent="0.25">
      <c r="A5733" t="s">
        <v>2406</v>
      </c>
      <c r="B5733" t="s">
        <v>2407</v>
      </c>
      <c r="C5733" t="s">
        <v>2408</v>
      </c>
      <c r="D5733" t="s">
        <v>2409</v>
      </c>
      <c r="E5733" s="9">
        <v>45323</v>
      </c>
      <c r="F5733" s="9">
        <v>45351</v>
      </c>
      <c r="G5733">
        <v>109388000</v>
      </c>
      <c r="H5733">
        <v>22063000</v>
      </c>
      <c r="I5733">
        <v>26245000</v>
      </c>
      <c r="J5733">
        <v>0</v>
      </c>
      <c r="K5733">
        <v>110279000</v>
      </c>
      <c r="L5733">
        <v>0</v>
      </c>
      <c r="M5733">
        <v>0</v>
      </c>
      <c r="T5733" s="9">
        <v>45108</v>
      </c>
      <c r="U5733" s="9">
        <v>45473</v>
      </c>
      <c r="V5733">
        <f>SUM(POTABLE_NONPOTABLE_API[[#This Row],[RESIDENTIAL_SINGLEFAMILY_GAL]:[OTHER_GAL]])</f>
        <v>267975000</v>
      </c>
      <c r="W5733">
        <f>SUM(POTABLE_NONPOTABLE_API[[#This Row],[NONPOTABLE_DEMAND_RESIDENTIAL_RECYCLED_WATER_GAL]:[NONPOTABLE_DEMAND_NONRESIDENTIAL_METERED_IRRIGATION_GAL]])</f>
        <v>0</v>
      </c>
      <c r="X5733" t="str">
        <f>IFERROR(INDEX(Crosswalk_API!$H$2:$H$527, MATCH(POTABLE_NONPOTABLE_API[[#This Row],[PWSID]], CW_PWSID_LIST, 0)), "")</f>
        <v>No</v>
      </c>
    </row>
    <row r="5734" spans="1:24" x14ac:dyDescent="0.25">
      <c r="A5734" t="s">
        <v>2406</v>
      </c>
      <c r="B5734" t="s">
        <v>2407</v>
      </c>
      <c r="C5734" t="s">
        <v>2408</v>
      </c>
      <c r="D5734" t="s">
        <v>2409</v>
      </c>
      <c r="E5734" s="9">
        <v>45352</v>
      </c>
      <c r="F5734" s="9">
        <v>45382</v>
      </c>
      <c r="G5734">
        <v>108106000</v>
      </c>
      <c r="H5734">
        <v>21412000</v>
      </c>
      <c r="I5734">
        <v>28262000</v>
      </c>
      <c r="J5734">
        <v>3770000</v>
      </c>
      <c r="K5734">
        <v>92337000</v>
      </c>
      <c r="L5734">
        <v>0</v>
      </c>
      <c r="M5734">
        <v>0</v>
      </c>
      <c r="T5734" s="9">
        <v>45108</v>
      </c>
      <c r="U5734" s="9">
        <v>45473</v>
      </c>
      <c r="V5734">
        <f>SUM(POTABLE_NONPOTABLE_API[[#This Row],[RESIDENTIAL_SINGLEFAMILY_GAL]:[OTHER_GAL]])</f>
        <v>253887000</v>
      </c>
      <c r="W5734">
        <f>SUM(POTABLE_NONPOTABLE_API[[#This Row],[NONPOTABLE_DEMAND_RESIDENTIAL_RECYCLED_WATER_GAL]:[NONPOTABLE_DEMAND_NONRESIDENTIAL_METERED_IRRIGATION_GAL]])</f>
        <v>0</v>
      </c>
      <c r="X5734" t="str">
        <f>IFERROR(INDEX(Crosswalk_API!$H$2:$H$527, MATCH(POTABLE_NONPOTABLE_API[[#This Row],[PWSID]], CW_PWSID_LIST, 0)), "")</f>
        <v>No</v>
      </c>
    </row>
    <row r="5735" spans="1:24" x14ac:dyDescent="0.25">
      <c r="A5735" t="s">
        <v>2406</v>
      </c>
      <c r="B5735" t="s">
        <v>2407</v>
      </c>
      <c r="C5735" t="s">
        <v>2408</v>
      </c>
      <c r="D5735" t="s">
        <v>2409</v>
      </c>
      <c r="E5735" s="9">
        <v>45383</v>
      </c>
      <c r="F5735" s="9">
        <v>45412</v>
      </c>
      <c r="G5735">
        <v>139828000</v>
      </c>
      <c r="H5735">
        <v>23482000</v>
      </c>
      <c r="I5735">
        <v>40575000</v>
      </c>
      <c r="J5735">
        <v>10223000</v>
      </c>
      <c r="K5735">
        <v>77279000</v>
      </c>
      <c r="L5735">
        <v>0</v>
      </c>
      <c r="M5735">
        <v>0</v>
      </c>
      <c r="T5735" s="9">
        <v>45108</v>
      </c>
      <c r="U5735" s="9">
        <v>45473</v>
      </c>
      <c r="V5735">
        <f>SUM(POTABLE_NONPOTABLE_API[[#This Row],[RESIDENTIAL_SINGLEFAMILY_GAL]:[OTHER_GAL]])</f>
        <v>291387000</v>
      </c>
      <c r="W5735">
        <f>SUM(POTABLE_NONPOTABLE_API[[#This Row],[NONPOTABLE_DEMAND_RESIDENTIAL_RECYCLED_WATER_GAL]:[NONPOTABLE_DEMAND_NONRESIDENTIAL_METERED_IRRIGATION_GAL]])</f>
        <v>0</v>
      </c>
      <c r="X5735" t="str">
        <f>IFERROR(INDEX(Crosswalk_API!$H$2:$H$527, MATCH(POTABLE_NONPOTABLE_API[[#This Row],[PWSID]], CW_PWSID_LIST, 0)), "")</f>
        <v>No</v>
      </c>
    </row>
    <row r="5736" spans="1:24" x14ac:dyDescent="0.25">
      <c r="A5736" t="s">
        <v>2406</v>
      </c>
      <c r="B5736" t="s">
        <v>2407</v>
      </c>
      <c r="C5736" t="s">
        <v>2408</v>
      </c>
      <c r="D5736" t="s">
        <v>2409</v>
      </c>
      <c r="E5736" s="9">
        <v>45413</v>
      </c>
      <c r="F5736" s="9">
        <v>45443</v>
      </c>
      <c r="G5736">
        <v>184052000</v>
      </c>
      <c r="H5736">
        <v>26380000</v>
      </c>
      <c r="I5736">
        <v>58119000</v>
      </c>
      <c r="J5736">
        <v>22541000</v>
      </c>
      <c r="K5736">
        <v>79676000</v>
      </c>
      <c r="L5736">
        <v>0</v>
      </c>
      <c r="M5736">
        <v>0</v>
      </c>
      <c r="T5736" s="9">
        <v>45108</v>
      </c>
      <c r="U5736" s="9">
        <v>45473</v>
      </c>
      <c r="V5736">
        <f>SUM(POTABLE_NONPOTABLE_API[[#This Row],[RESIDENTIAL_SINGLEFAMILY_GAL]:[OTHER_GAL]])</f>
        <v>370768000</v>
      </c>
      <c r="W5736">
        <f>SUM(POTABLE_NONPOTABLE_API[[#This Row],[NONPOTABLE_DEMAND_RESIDENTIAL_RECYCLED_WATER_GAL]:[NONPOTABLE_DEMAND_NONRESIDENTIAL_METERED_IRRIGATION_GAL]])</f>
        <v>0</v>
      </c>
      <c r="X5736" t="str">
        <f>IFERROR(INDEX(Crosswalk_API!$H$2:$H$527, MATCH(POTABLE_NONPOTABLE_API[[#This Row],[PWSID]], CW_PWSID_LIST, 0)), "")</f>
        <v>No</v>
      </c>
    </row>
    <row r="5737" spans="1:24" x14ac:dyDescent="0.25">
      <c r="A5737" t="s">
        <v>2406</v>
      </c>
      <c r="B5737" t="s">
        <v>2407</v>
      </c>
      <c r="C5737" t="s">
        <v>2408</v>
      </c>
      <c r="D5737" t="s">
        <v>2409</v>
      </c>
      <c r="E5737" s="9">
        <v>45444</v>
      </c>
      <c r="F5737" s="9">
        <v>45473</v>
      </c>
      <c r="G5737">
        <v>283660000</v>
      </c>
      <c r="H5737">
        <v>34789000</v>
      </c>
      <c r="I5737">
        <v>85949000</v>
      </c>
      <c r="J5737">
        <v>36942000</v>
      </c>
      <c r="K5737">
        <v>81825000</v>
      </c>
      <c r="L5737">
        <v>0</v>
      </c>
      <c r="M5737">
        <v>0</v>
      </c>
      <c r="T5737" s="9">
        <v>45108</v>
      </c>
      <c r="U5737" s="9">
        <v>45473</v>
      </c>
      <c r="V5737">
        <f>SUM(POTABLE_NONPOTABLE_API[[#This Row],[RESIDENTIAL_SINGLEFAMILY_GAL]:[OTHER_GAL]])</f>
        <v>523165000</v>
      </c>
      <c r="W5737">
        <f>SUM(POTABLE_NONPOTABLE_API[[#This Row],[NONPOTABLE_DEMAND_RESIDENTIAL_RECYCLED_WATER_GAL]:[NONPOTABLE_DEMAND_NONRESIDENTIAL_METERED_IRRIGATION_GAL]])</f>
        <v>0</v>
      </c>
      <c r="X5737" t="str">
        <f>IFERROR(INDEX(Crosswalk_API!$H$2:$H$527, MATCH(POTABLE_NONPOTABLE_API[[#This Row],[PWSID]], CW_PWSID_LIST, 0)), "")</f>
        <v>No</v>
      </c>
    </row>
    <row r="5738" spans="1:24" x14ac:dyDescent="0.25">
      <c r="A5738" t="s">
        <v>2410</v>
      </c>
      <c r="B5738" t="s">
        <v>2411</v>
      </c>
      <c r="C5738" t="s">
        <v>2412</v>
      </c>
      <c r="D5738" t="s">
        <v>2413</v>
      </c>
      <c r="E5738" s="9">
        <v>45108</v>
      </c>
      <c r="F5738" s="9">
        <v>45138</v>
      </c>
      <c r="G5738">
        <v>769183</v>
      </c>
      <c r="H5738">
        <v>0</v>
      </c>
      <c r="I5738">
        <v>0</v>
      </c>
      <c r="J5738">
        <v>0</v>
      </c>
      <c r="K5738">
        <v>0</v>
      </c>
      <c r="L5738">
        <v>0</v>
      </c>
      <c r="M5738">
        <v>0</v>
      </c>
      <c r="T5738" s="9">
        <v>45108</v>
      </c>
      <c r="U5738" s="9">
        <v>45473</v>
      </c>
      <c r="V5738">
        <f>SUM(POTABLE_NONPOTABLE_API[[#This Row],[RESIDENTIAL_SINGLEFAMILY_GAL]:[OTHER_GAL]])</f>
        <v>769183</v>
      </c>
      <c r="W5738">
        <f>SUM(POTABLE_NONPOTABLE_API[[#This Row],[NONPOTABLE_DEMAND_RESIDENTIAL_RECYCLED_WATER_GAL]:[NONPOTABLE_DEMAND_NONRESIDENTIAL_METERED_IRRIGATION_GAL]])</f>
        <v>0</v>
      </c>
      <c r="X5738" t="str">
        <f>IFERROR(INDEX(Crosswalk_API!$H$2:$H$527, MATCH(POTABLE_NONPOTABLE_API[[#This Row],[PWSID]], CW_PWSID_LIST, 0)), "")</f>
        <v>No</v>
      </c>
    </row>
    <row r="5739" spans="1:24" x14ac:dyDescent="0.25">
      <c r="A5739" t="s">
        <v>2410</v>
      </c>
      <c r="B5739" t="s">
        <v>2411</v>
      </c>
      <c r="C5739" t="s">
        <v>2412</v>
      </c>
      <c r="D5739" t="s">
        <v>2413</v>
      </c>
      <c r="E5739" s="9">
        <v>45139</v>
      </c>
      <c r="F5739" s="9">
        <v>45169</v>
      </c>
      <c r="G5739">
        <v>905174</v>
      </c>
      <c r="H5739">
        <v>0</v>
      </c>
      <c r="I5739">
        <v>0</v>
      </c>
      <c r="J5739">
        <v>0</v>
      </c>
      <c r="K5739">
        <v>0</v>
      </c>
      <c r="L5739">
        <v>0</v>
      </c>
      <c r="M5739">
        <v>0</v>
      </c>
      <c r="T5739" s="9">
        <v>45108</v>
      </c>
      <c r="U5739" s="9">
        <v>45473</v>
      </c>
      <c r="V5739">
        <f>SUM(POTABLE_NONPOTABLE_API[[#This Row],[RESIDENTIAL_SINGLEFAMILY_GAL]:[OTHER_GAL]])</f>
        <v>905174</v>
      </c>
      <c r="W5739">
        <f>SUM(POTABLE_NONPOTABLE_API[[#This Row],[NONPOTABLE_DEMAND_RESIDENTIAL_RECYCLED_WATER_GAL]:[NONPOTABLE_DEMAND_NONRESIDENTIAL_METERED_IRRIGATION_GAL]])</f>
        <v>0</v>
      </c>
      <c r="X5739" t="str">
        <f>IFERROR(INDEX(Crosswalk_API!$H$2:$H$527, MATCH(POTABLE_NONPOTABLE_API[[#This Row],[PWSID]], CW_PWSID_LIST, 0)), "")</f>
        <v>No</v>
      </c>
    </row>
    <row r="5740" spans="1:24" x14ac:dyDescent="0.25">
      <c r="A5740" t="s">
        <v>2410</v>
      </c>
      <c r="B5740" t="s">
        <v>2411</v>
      </c>
      <c r="C5740" t="s">
        <v>2412</v>
      </c>
      <c r="D5740" t="s">
        <v>2413</v>
      </c>
      <c r="E5740" s="9">
        <v>45170</v>
      </c>
      <c r="F5740" s="9">
        <v>45199</v>
      </c>
      <c r="G5740">
        <v>905174</v>
      </c>
      <c r="H5740">
        <v>0</v>
      </c>
      <c r="I5740">
        <v>0</v>
      </c>
      <c r="J5740">
        <v>0</v>
      </c>
      <c r="K5740">
        <v>0</v>
      </c>
      <c r="L5740">
        <v>0</v>
      </c>
      <c r="M5740">
        <v>0</v>
      </c>
      <c r="T5740" s="9">
        <v>45108</v>
      </c>
      <c r="U5740" s="9">
        <v>45473</v>
      </c>
      <c r="V5740">
        <f>SUM(POTABLE_NONPOTABLE_API[[#This Row],[RESIDENTIAL_SINGLEFAMILY_GAL]:[OTHER_GAL]])</f>
        <v>905174</v>
      </c>
      <c r="W5740">
        <f>SUM(POTABLE_NONPOTABLE_API[[#This Row],[NONPOTABLE_DEMAND_RESIDENTIAL_RECYCLED_WATER_GAL]:[NONPOTABLE_DEMAND_NONRESIDENTIAL_METERED_IRRIGATION_GAL]])</f>
        <v>0</v>
      </c>
      <c r="X5740" t="str">
        <f>IFERROR(INDEX(Crosswalk_API!$H$2:$H$527, MATCH(POTABLE_NONPOTABLE_API[[#This Row],[PWSID]], CW_PWSID_LIST, 0)), "")</f>
        <v>No</v>
      </c>
    </row>
    <row r="5741" spans="1:24" x14ac:dyDescent="0.25">
      <c r="A5741" t="s">
        <v>2410</v>
      </c>
      <c r="B5741" t="s">
        <v>2411</v>
      </c>
      <c r="C5741" t="s">
        <v>2412</v>
      </c>
      <c r="D5741" t="s">
        <v>2413</v>
      </c>
      <c r="E5741" s="9">
        <v>45200</v>
      </c>
      <c r="F5741" s="9">
        <v>45230</v>
      </c>
      <c r="G5741">
        <v>424916</v>
      </c>
      <c r="H5741">
        <v>0</v>
      </c>
      <c r="I5741">
        <v>0</v>
      </c>
      <c r="J5741">
        <v>0</v>
      </c>
      <c r="K5741">
        <v>0</v>
      </c>
      <c r="L5741">
        <v>0</v>
      </c>
      <c r="M5741">
        <v>0</v>
      </c>
      <c r="T5741" s="9">
        <v>45108</v>
      </c>
      <c r="U5741" s="9">
        <v>45473</v>
      </c>
      <c r="V5741">
        <f>SUM(POTABLE_NONPOTABLE_API[[#This Row],[RESIDENTIAL_SINGLEFAMILY_GAL]:[OTHER_GAL]])</f>
        <v>424916</v>
      </c>
      <c r="W5741">
        <f>SUM(POTABLE_NONPOTABLE_API[[#This Row],[NONPOTABLE_DEMAND_RESIDENTIAL_RECYCLED_WATER_GAL]:[NONPOTABLE_DEMAND_NONRESIDENTIAL_METERED_IRRIGATION_GAL]])</f>
        <v>0</v>
      </c>
      <c r="X5741" t="str">
        <f>IFERROR(INDEX(Crosswalk_API!$H$2:$H$527, MATCH(POTABLE_NONPOTABLE_API[[#This Row],[PWSID]], CW_PWSID_LIST, 0)), "")</f>
        <v>No</v>
      </c>
    </row>
    <row r="5742" spans="1:24" x14ac:dyDescent="0.25">
      <c r="A5742" t="s">
        <v>2410</v>
      </c>
      <c r="B5742" t="s">
        <v>2411</v>
      </c>
      <c r="C5742" t="s">
        <v>2412</v>
      </c>
      <c r="D5742" t="s">
        <v>2413</v>
      </c>
      <c r="E5742" s="9">
        <v>45231</v>
      </c>
      <c r="F5742" s="9">
        <v>45260</v>
      </c>
      <c r="G5742">
        <v>424916</v>
      </c>
      <c r="H5742">
        <v>0</v>
      </c>
      <c r="I5742">
        <v>0</v>
      </c>
      <c r="J5742">
        <v>0</v>
      </c>
      <c r="K5742">
        <v>0</v>
      </c>
      <c r="L5742">
        <v>0</v>
      </c>
      <c r="M5742">
        <v>0</v>
      </c>
      <c r="T5742" s="9">
        <v>45108</v>
      </c>
      <c r="U5742" s="9">
        <v>45473</v>
      </c>
      <c r="V5742">
        <f>SUM(POTABLE_NONPOTABLE_API[[#This Row],[RESIDENTIAL_SINGLEFAMILY_GAL]:[OTHER_GAL]])</f>
        <v>424916</v>
      </c>
      <c r="W5742">
        <f>SUM(POTABLE_NONPOTABLE_API[[#This Row],[NONPOTABLE_DEMAND_RESIDENTIAL_RECYCLED_WATER_GAL]:[NONPOTABLE_DEMAND_NONRESIDENTIAL_METERED_IRRIGATION_GAL]])</f>
        <v>0</v>
      </c>
      <c r="X5742" t="str">
        <f>IFERROR(INDEX(Crosswalk_API!$H$2:$H$527, MATCH(POTABLE_NONPOTABLE_API[[#This Row],[PWSID]], CW_PWSID_LIST, 0)), "")</f>
        <v>No</v>
      </c>
    </row>
    <row r="5743" spans="1:24" x14ac:dyDescent="0.25">
      <c r="A5743" t="s">
        <v>2410</v>
      </c>
      <c r="B5743" t="s">
        <v>2411</v>
      </c>
      <c r="C5743" t="s">
        <v>2412</v>
      </c>
      <c r="D5743" t="s">
        <v>2413</v>
      </c>
      <c r="E5743" s="9">
        <v>45261</v>
      </c>
      <c r="F5743" s="9">
        <v>45291</v>
      </c>
      <c r="G5743">
        <v>161733</v>
      </c>
      <c r="H5743">
        <v>0</v>
      </c>
      <c r="I5743">
        <v>0</v>
      </c>
      <c r="J5743">
        <v>0</v>
      </c>
      <c r="K5743">
        <v>0</v>
      </c>
      <c r="L5743">
        <v>0</v>
      </c>
      <c r="M5743">
        <v>0</v>
      </c>
      <c r="T5743" s="9">
        <v>45108</v>
      </c>
      <c r="U5743" s="9">
        <v>45473</v>
      </c>
      <c r="V5743">
        <f>SUM(POTABLE_NONPOTABLE_API[[#This Row],[RESIDENTIAL_SINGLEFAMILY_GAL]:[OTHER_GAL]])</f>
        <v>161733</v>
      </c>
      <c r="W5743">
        <f>SUM(POTABLE_NONPOTABLE_API[[#This Row],[NONPOTABLE_DEMAND_RESIDENTIAL_RECYCLED_WATER_GAL]:[NONPOTABLE_DEMAND_NONRESIDENTIAL_METERED_IRRIGATION_GAL]])</f>
        <v>0</v>
      </c>
      <c r="X5743" t="str">
        <f>IFERROR(INDEX(Crosswalk_API!$H$2:$H$527, MATCH(POTABLE_NONPOTABLE_API[[#This Row],[PWSID]], CW_PWSID_LIST, 0)), "")</f>
        <v>No</v>
      </c>
    </row>
    <row r="5744" spans="1:24" x14ac:dyDescent="0.25">
      <c r="A5744" t="s">
        <v>2410</v>
      </c>
      <c r="B5744" t="s">
        <v>2411</v>
      </c>
      <c r="C5744" t="s">
        <v>2412</v>
      </c>
      <c r="D5744" t="s">
        <v>2413</v>
      </c>
      <c r="E5744" s="9">
        <v>45292</v>
      </c>
      <c r="F5744" s="9">
        <v>45322</v>
      </c>
      <c r="G5744">
        <v>161733</v>
      </c>
      <c r="H5744">
        <v>0</v>
      </c>
      <c r="I5744">
        <v>0</v>
      </c>
      <c r="J5744">
        <v>0</v>
      </c>
      <c r="K5744">
        <v>0</v>
      </c>
      <c r="L5744">
        <v>0</v>
      </c>
      <c r="M5744">
        <v>0</v>
      </c>
      <c r="T5744" s="9">
        <v>45108</v>
      </c>
      <c r="U5744" s="9">
        <v>45473</v>
      </c>
      <c r="V5744">
        <f>SUM(POTABLE_NONPOTABLE_API[[#This Row],[RESIDENTIAL_SINGLEFAMILY_GAL]:[OTHER_GAL]])</f>
        <v>161733</v>
      </c>
      <c r="W5744">
        <f>SUM(POTABLE_NONPOTABLE_API[[#This Row],[NONPOTABLE_DEMAND_RESIDENTIAL_RECYCLED_WATER_GAL]:[NONPOTABLE_DEMAND_NONRESIDENTIAL_METERED_IRRIGATION_GAL]])</f>
        <v>0</v>
      </c>
      <c r="X5744" t="str">
        <f>IFERROR(INDEX(Crosswalk_API!$H$2:$H$527, MATCH(POTABLE_NONPOTABLE_API[[#This Row],[PWSID]], CW_PWSID_LIST, 0)), "")</f>
        <v>No</v>
      </c>
    </row>
    <row r="5745" spans="1:24" x14ac:dyDescent="0.25">
      <c r="A5745" t="s">
        <v>2410</v>
      </c>
      <c r="B5745" t="s">
        <v>2411</v>
      </c>
      <c r="C5745" t="s">
        <v>2412</v>
      </c>
      <c r="D5745" t="s">
        <v>2413</v>
      </c>
      <c r="E5745" s="9">
        <v>45323</v>
      </c>
      <c r="F5745" s="9">
        <v>45351</v>
      </c>
      <c r="G5745">
        <v>149944</v>
      </c>
      <c r="H5745">
        <v>0</v>
      </c>
      <c r="I5745">
        <v>0</v>
      </c>
      <c r="J5745">
        <v>0</v>
      </c>
      <c r="K5745">
        <v>0</v>
      </c>
      <c r="L5745">
        <v>0</v>
      </c>
      <c r="M5745">
        <v>0</v>
      </c>
      <c r="T5745" s="9">
        <v>45108</v>
      </c>
      <c r="U5745" s="9">
        <v>45473</v>
      </c>
      <c r="V5745">
        <f>SUM(POTABLE_NONPOTABLE_API[[#This Row],[RESIDENTIAL_SINGLEFAMILY_GAL]:[OTHER_GAL]])</f>
        <v>149944</v>
      </c>
      <c r="W5745">
        <f>SUM(POTABLE_NONPOTABLE_API[[#This Row],[NONPOTABLE_DEMAND_RESIDENTIAL_RECYCLED_WATER_GAL]:[NONPOTABLE_DEMAND_NONRESIDENTIAL_METERED_IRRIGATION_GAL]])</f>
        <v>0</v>
      </c>
      <c r="X5745" t="str">
        <f>IFERROR(INDEX(Crosswalk_API!$H$2:$H$527, MATCH(POTABLE_NONPOTABLE_API[[#This Row],[PWSID]], CW_PWSID_LIST, 0)), "")</f>
        <v>No</v>
      </c>
    </row>
    <row r="5746" spans="1:24" x14ac:dyDescent="0.25">
      <c r="A5746" t="s">
        <v>2410</v>
      </c>
      <c r="B5746" t="s">
        <v>2411</v>
      </c>
      <c r="C5746" t="s">
        <v>2412</v>
      </c>
      <c r="D5746" t="s">
        <v>2413</v>
      </c>
      <c r="E5746" s="9">
        <v>45352</v>
      </c>
      <c r="F5746" s="9">
        <v>45382</v>
      </c>
      <c r="G5746">
        <v>149944</v>
      </c>
      <c r="H5746">
        <v>0</v>
      </c>
      <c r="I5746">
        <v>0</v>
      </c>
      <c r="J5746">
        <v>0</v>
      </c>
      <c r="K5746">
        <v>0</v>
      </c>
      <c r="L5746">
        <v>0</v>
      </c>
      <c r="M5746">
        <v>0</v>
      </c>
      <c r="T5746" s="9">
        <v>45108</v>
      </c>
      <c r="U5746" s="9">
        <v>45473</v>
      </c>
      <c r="V5746">
        <f>SUM(POTABLE_NONPOTABLE_API[[#This Row],[RESIDENTIAL_SINGLEFAMILY_GAL]:[OTHER_GAL]])</f>
        <v>149944</v>
      </c>
      <c r="W5746">
        <f>SUM(POTABLE_NONPOTABLE_API[[#This Row],[NONPOTABLE_DEMAND_RESIDENTIAL_RECYCLED_WATER_GAL]:[NONPOTABLE_DEMAND_NONRESIDENTIAL_METERED_IRRIGATION_GAL]])</f>
        <v>0</v>
      </c>
      <c r="X5746" t="str">
        <f>IFERROR(INDEX(Crosswalk_API!$H$2:$H$527, MATCH(POTABLE_NONPOTABLE_API[[#This Row],[PWSID]], CW_PWSID_LIST, 0)), "")</f>
        <v>No</v>
      </c>
    </row>
    <row r="5747" spans="1:24" x14ac:dyDescent="0.25">
      <c r="A5747" t="s">
        <v>2410</v>
      </c>
      <c r="B5747" t="s">
        <v>2411</v>
      </c>
      <c r="C5747" t="s">
        <v>2412</v>
      </c>
      <c r="D5747" t="s">
        <v>2413</v>
      </c>
      <c r="E5747" s="9">
        <v>45383</v>
      </c>
      <c r="F5747" s="9">
        <v>45412</v>
      </c>
      <c r="G5747">
        <v>370155</v>
      </c>
      <c r="H5747">
        <v>0</v>
      </c>
      <c r="I5747">
        <v>0</v>
      </c>
      <c r="J5747">
        <v>0</v>
      </c>
      <c r="K5747">
        <v>0</v>
      </c>
      <c r="L5747">
        <v>0</v>
      </c>
      <c r="M5747">
        <v>0</v>
      </c>
      <c r="T5747" s="9">
        <v>45108</v>
      </c>
      <c r="U5747" s="9">
        <v>45473</v>
      </c>
      <c r="V5747">
        <f>SUM(POTABLE_NONPOTABLE_API[[#This Row],[RESIDENTIAL_SINGLEFAMILY_GAL]:[OTHER_GAL]])</f>
        <v>370155</v>
      </c>
      <c r="W5747">
        <f>SUM(POTABLE_NONPOTABLE_API[[#This Row],[NONPOTABLE_DEMAND_RESIDENTIAL_RECYCLED_WATER_GAL]:[NONPOTABLE_DEMAND_NONRESIDENTIAL_METERED_IRRIGATION_GAL]])</f>
        <v>0</v>
      </c>
      <c r="X5747" t="str">
        <f>IFERROR(INDEX(Crosswalk_API!$H$2:$H$527, MATCH(POTABLE_NONPOTABLE_API[[#This Row],[PWSID]], CW_PWSID_LIST, 0)), "")</f>
        <v>No</v>
      </c>
    </row>
    <row r="5748" spans="1:24" x14ac:dyDescent="0.25">
      <c r="A5748" t="s">
        <v>2410</v>
      </c>
      <c r="B5748" t="s">
        <v>2411</v>
      </c>
      <c r="C5748" t="s">
        <v>2412</v>
      </c>
      <c r="D5748" t="s">
        <v>2413</v>
      </c>
      <c r="E5748" s="9">
        <v>45413</v>
      </c>
      <c r="F5748" s="9">
        <v>45443</v>
      </c>
      <c r="G5748">
        <v>370155</v>
      </c>
      <c r="H5748">
        <v>0</v>
      </c>
      <c r="I5748">
        <v>0</v>
      </c>
      <c r="J5748">
        <v>0</v>
      </c>
      <c r="K5748">
        <v>0</v>
      </c>
      <c r="L5748">
        <v>0</v>
      </c>
      <c r="M5748">
        <v>0</v>
      </c>
      <c r="T5748" s="9">
        <v>45108</v>
      </c>
      <c r="U5748" s="9">
        <v>45473</v>
      </c>
      <c r="V5748">
        <f>SUM(POTABLE_NONPOTABLE_API[[#This Row],[RESIDENTIAL_SINGLEFAMILY_GAL]:[OTHER_GAL]])</f>
        <v>370155</v>
      </c>
      <c r="W5748">
        <f>SUM(POTABLE_NONPOTABLE_API[[#This Row],[NONPOTABLE_DEMAND_RESIDENTIAL_RECYCLED_WATER_GAL]:[NONPOTABLE_DEMAND_NONRESIDENTIAL_METERED_IRRIGATION_GAL]])</f>
        <v>0</v>
      </c>
      <c r="X5748" t="str">
        <f>IFERROR(INDEX(Crosswalk_API!$H$2:$H$527, MATCH(POTABLE_NONPOTABLE_API[[#This Row],[PWSID]], CW_PWSID_LIST, 0)), "")</f>
        <v>No</v>
      </c>
    </row>
    <row r="5749" spans="1:24" x14ac:dyDescent="0.25">
      <c r="A5749" t="s">
        <v>2410</v>
      </c>
      <c r="B5749" t="s">
        <v>2411</v>
      </c>
      <c r="C5749" t="s">
        <v>2412</v>
      </c>
      <c r="D5749" t="s">
        <v>2413</v>
      </c>
      <c r="E5749" s="9">
        <v>45444</v>
      </c>
      <c r="F5749" s="9">
        <v>45473</v>
      </c>
      <c r="G5749">
        <v>853000</v>
      </c>
      <c r="H5749">
        <v>0</v>
      </c>
      <c r="I5749">
        <v>0</v>
      </c>
      <c r="J5749">
        <v>0</v>
      </c>
      <c r="K5749">
        <v>0</v>
      </c>
      <c r="L5749">
        <v>0</v>
      </c>
      <c r="M5749">
        <v>0</v>
      </c>
      <c r="T5749" s="9">
        <v>45108</v>
      </c>
      <c r="U5749" s="9">
        <v>45473</v>
      </c>
      <c r="V5749">
        <f>SUM(POTABLE_NONPOTABLE_API[[#This Row],[RESIDENTIAL_SINGLEFAMILY_GAL]:[OTHER_GAL]])</f>
        <v>853000</v>
      </c>
      <c r="W5749">
        <f>SUM(POTABLE_NONPOTABLE_API[[#This Row],[NONPOTABLE_DEMAND_RESIDENTIAL_RECYCLED_WATER_GAL]:[NONPOTABLE_DEMAND_NONRESIDENTIAL_METERED_IRRIGATION_GAL]])</f>
        <v>0</v>
      </c>
      <c r="X5749" t="str">
        <f>IFERROR(INDEX(Crosswalk_API!$H$2:$H$527, MATCH(POTABLE_NONPOTABLE_API[[#This Row],[PWSID]], CW_PWSID_LIST, 0)), "")</f>
        <v>No</v>
      </c>
    </row>
    <row r="5750" spans="1:24" x14ac:dyDescent="0.25">
      <c r="A5750" t="s">
        <v>2410</v>
      </c>
      <c r="B5750" t="s">
        <v>2411</v>
      </c>
      <c r="C5750" t="s">
        <v>2414</v>
      </c>
      <c r="D5750" t="s">
        <v>2415</v>
      </c>
      <c r="E5750" s="9">
        <v>45108</v>
      </c>
      <c r="F5750" s="9">
        <v>45138</v>
      </c>
      <c r="G5750">
        <v>16244069</v>
      </c>
      <c r="H5750">
        <v>2176904</v>
      </c>
      <c r="I5750">
        <v>8705232</v>
      </c>
      <c r="J5750">
        <v>1037715</v>
      </c>
      <c r="K5750">
        <v>13053</v>
      </c>
      <c r="L5750">
        <v>0</v>
      </c>
      <c r="M5750">
        <v>0</v>
      </c>
      <c r="T5750" s="9">
        <v>45108</v>
      </c>
      <c r="U5750" s="9">
        <v>45473</v>
      </c>
      <c r="V5750">
        <f>SUM(POTABLE_NONPOTABLE_API[[#This Row],[RESIDENTIAL_SINGLEFAMILY_GAL]:[OTHER_GAL]])</f>
        <v>28176973</v>
      </c>
      <c r="W5750">
        <f>SUM(POTABLE_NONPOTABLE_API[[#This Row],[NONPOTABLE_DEMAND_RESIDENTIAL_RECYCLED_WATER_GAL]:[NONPOTABLE_DEMAND_NONRESIDENTIAL_METERED_IRRIGATION_GAL]])</f>
        <v>0</v>
      </c>
      <c r="X5750" t="str">
        <f>IFERROR(INDEX(Crosswalk_API!$H$2:$H$527, MATCH(POTABLE_NONPOTABLE_API[[#This Row],[PWSID]], CW_PWSID_LIST, 0)), "")</f>
        <v>No</v>
      </c>
    </row>
    <row r="5751" spans="1:24" x14ac:dyDescent="0.25">
      <c r="A5751" t="s">
        <v>2410</v>
      </c>
      <c r="B5751" t="s">
        <v>2411</v>
      </c>
      <c r="C5751" t="s">
        <v>2414</v>
      </c>
      <c r="D5751" t="s">
        <v>2415</v>
      </c>
      <c r="E5751" s="9">
        <v>45139</v>
      </c>
      <c r="F5751" s="9">
        <v>45169</v>
      </c>
      <c r="G5751">
        <v>45181407</v>
      </c>
      <c r="H5751">
        <v>14907610</v>
      </c>
      <c r="I5751">
        <v>36367633</v>
      </c>
      <c r="J5751">
        <v>9455483</v>
      </c>
      <c r="K5751">
        <v>13053</v>
      </c>
      <c r="L5751">
        <v>0</v>
      </c>
      <c r="M5751">
        <v>0</v>
      </c>
      <c r="T5751" s="9">
        <v>45108</v>
      </c>
      <c r="U5751" s="9">
        <v>45473</v>
      </c>
      <c r="V5751">
        <f>SUM(POTABLE_NONPOTABLE_API[[#This Row],[RESIDENTIAL_SINGLEFAMILY_GAL]:[OTHER_GAL]])</f>
        <v>105925186</v>
      </c>
      <c r="W5751">
        <f>SUM(POTABLE_NONPOTABLE_API[[#This Row],[NONPOTABLE_DEMAND_RESIDENTIAL_RECYCLED_WATER_GAL]:[NONPOTABLE_DEMAND_NONRESIDENTIAL_METERED_IRRIGATION_GAL]])</f>
        <v>0</v>
      </c>
      <c r="X5751" t="str">
        <f>IFERROR(INDEX(Crosswalk_API!$H$2:$H$527, MATCH(POTABLE_NONPOTABLE_API[[#This Row],[PWSID]], CW_PWSID_LIST, 0)), "")</f>
        <v>No</v>
      </c>
    </row>
    <row r="5752" spans="1:24" x14ac:dyDescent="0.25">
      <c r="A5752" t="s">
        <v>2410</v>
      </c>
      <c r="B5752" t="s">
        <v>2411</v>
      </c>
      <c r="C5752" t="s">
        <v>2414</v>
      </c>
      <c r="D5752" t="s">
        <v>2415</v>
      </c>
      <c r="E5752" s="9">
        <v>45170</v>
      </c>
      <c r="F5752" s="9">
        <v>45199</v>
      </c>
      <c r="G5752">
        <v>21115075</v>
      </c>
      <c r="H5752">
        <v>2517551</v>
      </c>
      <c r="I5752">
        <v>10944010</v>
      </c>
      <c r="J5752">
        <v>1329323</v>
      </c>
      <c r="K5752">
        <v>8509</v>
      </c>
      <c r="L5752">
        <v>602895</v>
      </c>
      <c r="M5752">
        <v>0</v>
      </c>
      <c r="T5752" s="9">
        <v>45108</v>
      </c>
      <c r="U5752" s="9">
        <v>45473</v>
      </c>
      <c r="V5752">
        <f>SUM(POTABLE_NONPOTABLE_API[[#This Row],[RESIDENTIAL_SINGLEFAMILY_GAL]:[OTHER_GAL]])</f>
        <v>36517363</v>
      </c>
      <c r="W5752">
        <f>SUM(POTABLE_NONPOTABLE_API[[#This Row],[NONPOTABLE_DEMAND_RESIDENTIAL_RECYCLED_WATER_GAL]:[NONPOTABLE_DEMAND_NONRESIDENTIAL_METERED_IRRIGATION_GAL]])</f>
        <v>0</v>
      </c>
      <c r="X5752" t="str">
        <f>IFERROR(INDEX(Crosswalk_API!$H$2:$H$527, MATCH(POTABLE_NONPOTABLE_API[[#This Row],[PWSID]], CW_PWSID_LIST, 0)), "")</f>
        <v>No</v>
      </c>
    </row>
    <row r="5753" spans="1:24" x14ac:dyDescent="0.25">
      <c r="A5753" t="s">
        <v>2410</v>
      </c>
      <c r="B5753" t="s">
        <v>2411</v>
      </c>
      <c r="C5753" t="s">
        <v>2414</v>
      </c>
      <c r="D5753" t="s">
        <v>2415</v>
      </c>
      <c r="E5753" s="9">
        <v>45200</v>
      </c>
      <c r="F5753" s="9">
        <v>45230</v>
      </c>
      <c r="G5753">
        <v>32085280</v>
      </c>
      <c r="H5753">
        <v>8646244</v>
      </c>
      <c r="I5753">
        <v>23404233</v>
      </c>
      <c r="J5753">
        <v>5805886</v>
      </c>
      <c r="K5753">
        <v>8509</v>
      </c>
      <c r="L5753">
        <v>2188528</v>
      </c>
      <c r="M5753">
        <v>0</v>
      </c>
      <c r="T5753" s="9">
        <v>45108</v>
      </c>
      <c r="U5753" s="9">
        <v>45473</v>
      </c>
      <c r="V5753">
        <f>SUM(POTABLE_NONPOTABLE_API[[#This Row],[RESIDENTIAL_SINGLEFAMILY_GAL]:[OTHER_GAL]])</f>
        <v>72138680</v>
      </c>
      <c r="W5753">
        <f>SUM(POTABLE_NONPOTABLE_API[[#This Row],[NONPOTABLE_DEMAND_RESIDENTIAL_RECYCLED_WATER_GAL]:[NONPOTABLE_DEMAND_NONRESIDENTIAL_METERED_IRRIGATION_GAL]])</f>
        <v>0</v>
      </c>
      <c r="X5753" t="str">
        <f>IFERROR(INDEX(Crosswalk_API!$H$2:$H$527, MATCH(POTABLE_NONPOTABLE_API[[#This Row],[PWSID]], CW_PWSID_LIST, 0)), "")</f>
        <v>No</v>
      </c>
    </row>
    <row r="5754" spans="1:24" x14ac:dyDescent="0.25">
      <c r="A5754" t="s">
        <v>2410</v>
      </c>
      <c r="B5754" t="s">
        <v>2411</v>
      </c>
      <c r="C5754" t="s">
        <v>2414</v>
      </c>
      <c r="D5754" t="s">
        <v>2415</v>
      </c>
      <c r="E5754" s="9">
        <v>45231</v>
      </c>
      <c r="F5754" s="9">
        <v>45260</v>
      </c>
      <c r="G5754">
        <v>11266511</v>
      </c>
      <c r="H5754">
        <v>1145629</v>
      </c>
      <c r="I5754">
        <v>5979729</v>
      </c>
      <c r="J5754">
        <v>630205</v>
      </c>
      <c r="K5754">
        <v>10221</v>
      </c>
      <c r="L5754">
        <v>423458</v>
      </c>
      <c r="M5754">
        <v>0</v>
      </c>
      <c r="T5754" s="9">
        <v>45108</v>
      </c>
      <c r="U5754" s="9">
        <v>45473</v>
      </c>
      <c r="V5754">
        <f>SUM(POTABLE_NONPOTABLE_API[[#This Row],[RESIDENTIAL_SINGLEFAMILY_GAL]:[OTHER_GAL]])</f>
        <v>19455753</v>
      </c>
      <c r="W5754">
        <f>SUM(POTABLE_NONPOTABLE_API[[#This Row],[NONPOTABLE_DEMAND_RESIDENTIAL_RECYCLED_WATER_GAL]:[NONPOTABLE_DEMAND_NONRESIDENTIAL_METERED_IRRIGATION_GAL]])</f>
        <v>0</v>
      </c>
      <c r="X5754" t="str">
        <f>IFERROR(INDEX(Crosswalk_API!$H$2:$H$527, MATCH(POTABLE_NONPOTABLE_API[[#This Row],[PWSID]], CW_PWSID_LIST, 0)), "")</f>
        <v>No</v>
      </c>
    </row>
    <row r="5755" spans="1:24" x14ac:dyDescent="0.25">
      <c r="A5755" t="s">
        <v>2410</v>
      </c>
      <c r="B5755" t="s">
        <v>2411</v>
      </c>
      <c r="C5755" t="s">
        <v>2414</v>
      </c>
      <c r="D5755" t="s">
        <v>2415</v>
      </c>
      <c r="E5755" s="9">
        <v>45261</v>
      </c>
      <c r="F5755" s="9">
        <v>45291</v>
      </c>
      <c r="G5755">
        <v>24817047</v>
      </c>
      <c r="H5755">
        <v>8017528</v>
      </c>
      <c r="I5755">
        <v>20958452</v>
      </c>
      <c r="J5755">
        <v>2040080</v>
      </c>
      <c r="K5755">
        <v>10221</v>
      </c>
      <c r="L5755">
        <v>1856678</v>
      </c>
      <c r="M5755">
        <v>0</v>
      </c>
      <c r="T5755" s="9">
        <v>45108</v>
      </c>
      <c r="U5755" s="9">
        <v>45473</v>
      </c>
      <c r="V5755">
        <f>SUM(POTABLE_NONPOTABLE_API[[#This Row],[RESIDENTIAL_SINGLEFAMILY_GAL]:[OTHER_GAL]])</f>
        <v>57700006</v>
      </c>
      <c r="W5755">
        <f>SUM(POTABLE_NONPOTABLE_API[[#This Row],[NONPOTABLE_DEMAND_RESIDENTIAL_RECYCLED_WATER_GAL]:[NONPOTABLE_DEMAND_NONRESIDENTIAL_METERED_IRRIGATION_GAL]])</f>
        <v>0</v>
      </c>
      <c r="X5755" t="str">
        <f>IFERROR(INDEX(Crosswalk_API!$H$2:$H$527, MATCH(POTABLE_NONPOTABLE_API[[#This Row],[PWSID]], CW_PWSID_LIST, 0)), "")</f>
        <v>No</v>
      </c>
    </row>
    <row r="5756" spans="1:24" x14ac:dyDescent="0.25">
      <c r="A5756" t="s">
        <v>2410</v>
      </c>
      <c r="B5756" t="s">
        <v>2411</v>
      </c>
      <c r="C5756" t="s">
        <v>2414</v>
      </c>
      <c r="D5756" t="s">
        <v>2415</v>
      </c>
      <c r="E5756" s="9">
        <v>45292</v>
      </c>
      <c r="F5756" s="9">
        <v>45322</v>
      </c>
      <c r="G5756">
        <v>8761945</v>
      </c>
      <c r="H5756">
        <v>1307093</v>
      </c>
      <c r="I5756">
        <v>4421892</v>
      </c>
      <c r="J5756">
        <v>172444</v>
      </c>
      <c r="K5756">
        <v>0</v>
      </c>
      <c r="L5756">
        <v>0</v>
      </c>
      <c r="M5756">
        <v>0</v>
      </c>
      <c r="T5756" s="9">
        <v>45108</v>
      </c>
      <c r="U5756" s="9">
        <v>45473</v>
      </c>
      <c r="V5756">
        <f>SUM(POTABLE_NONPOTABLE_API[[#This Row],[RESIDENTIAL_SINGLEFAMILY_GAL]:[OTHER_GAL]])</f>
        <v>14663374</v>
      </c>
      <c r="W5756">
        <f>SUM(POTABLE_NONPOTABLE_API[[#This Row],[NONPOTABLE_DEMAND_RESIDENTIAL_RECYCLED_WATER_GAL]:[NONPOTABLE_DEMAND_NONRESIDENTIAL_METERED_IRRIGATION_GAL]])</f>
        <v>0</v>
      </c>
      <c r="X5756" t="str">
        <f>IFERROR(INDEX(Crosswalk_API!$H$2:$H$527, MATCH(POTABLE_NONPOTABLE_API[[#This Row],[PWSID]], CW_PWSID_LIST, 0)), "")</f>
        <v>No</v>
      </c>
    </row>
    <row r="5757" spans="1:24" x14ac:dyDescent="0.25">
      <c r="A5757" t="s">
        <v>2410</v>
      </c>
      <c r="B5757" t="s">
        <v>2411</v>
      </c>
      <c r="C5757" t="s">
        <v>2414</v>
      </c>
      <c r="D5757" t="s">
        <v>2415</v>
      </c>
      <c r="E5757" s="9">
        <v>45323</v>
      </c>
      <c r="F5757" s="9">
        <v>45351</v>
      </c>
      <c r="G5757">
        <v>18257304</v>
      </c>
      <c r="H5757">
        <v>7485258</v>
      </c>
      <c r="I5757">
        <v>15402816</v>
      </c>
      <c r="J5757">
        <v>492356</v>
      </c>
      <c r="K5757">
        <v>19590</v>
      </c>
      <c r="L5757">
        <v>1755324</v>
      </c>
      <c r="M5757">
        <v>0</v>
      </c>
      <c r="T5757" s="9">
        <v>45108</v>
      </c>
      <c r="U5757" s="9">
        <v>45473</v>
      </c>
      <c r="V5757">
        <f>SUM(POTABLE_NONPOTABLE_API[[#This Row],[RESIDENTIAL_SINGLEFAMILY_GAL]:[OTHER_GAL]])</f>
        <v>43412648</v>
      </c>
      <c r="W5757">
        <f>SUM(POTABLE_NONPOTABLE_API[[#This Row],[NONPOTABLE_DEMAND_RESIDENTIAL_RECYCLED_WATER_GAL]:[NONPOTABLE_DEMAND_NONRESIDENTIAL_METERED_IRRIGATION_GAL]])</f>
        <v>0</v>
      </c>
      <c r="X5757" t="str">
        <f>IFERROR(INDEX(Crosswalk_API!$H$2:$H$527, MATCH(POTABLE_NONPOTABLE_API[[#This Row],[PWSID]], CW_PWSID_LIST, 0)), "")</f>
        <v>No</v>
      </c>
    </row>
    <row r="5758" spans="1:24" x14ac:dyDescent="0.25">
      <c r="A5758" t="s">
        <v>2410</v>
      </c>
      <c r="B5758" t="s">
        <v>2411</v>
      </c>
      <c r="C5758" t="s">
        <v>2414</v>
      </c>
      <c r="D5758" t="s">
        <v>2415</v>
      </c>
      <c r="E5758" s="9">
        <v>45352</v>
      </c>
      <c r="F5758" s="9">
        <v>45382</v>
      </c>
      <c r="G5758">
        <v>7046571</v>
      </c>
      <c r="H5758">
        <v>1072011</v>
      </c>
      <c r="I5758">
        <v>3638997</v>
      </c>
      <c r="J5758">
        <v>54881</v>
      </c>
      <c r="K5758">
        <v>0</v>
      </c>
      <c r="L5758">
        <v>0</v>
      </c>
      <c r="M5758">
        <v>0</v>
      </c>
      <c r="T5758" s="9">
        <v>45108</v>
      </c>
      <c r="U5758" s="9">
        <v>45473</v>
      </c>
      <c r="V5758">
        <f>SUM(POTABLE_NONPOTABLE_API[[#This Row],[RESIDENTIAL_SINGLEFAMILY_GAL]:[OTHER_GAL]])</f>
        <v>11812460</v>
      </c>
      <c r="W5758">
        <f>SUM(POTABLE_NONPOTABLE_API[[#This Row],[NONPOTABLE_DEMAND_RESIDENTIAL_RECYCLED_WATER_GAL]:[NONPOTABLE_DEMAND_NONRESIDENTIAL_METERED_IRRIGATION_GAL]])</f>
        <v>0</v>
      </c>
      <c r="X5758" t="str">
        <f>IFERROR(INDEX(Crosswalk_API!$H$2:$H$527, MATCH(POTABLE_NONPOTABLE_API[[#This Row],[PWSID]], CW_PWSID_LIST, 0)), "")</f>
        <v>No</v>
      </c>
    </row>
    <row r="5759" spans="1:24" x14ac:dyDescent="0.25">
      <c r="A5759" t="s">
        <v>2410</v>
      </c>
      <c r="B5759" t="s">
        <v>2411</v>
      </c>
      <c r="C5759" t="s">
        <v>2414</v>
      </c>
      <c r="D5759" t="s">
        <v>2415</v>
      </c>
      <c r="E5759" s="9">
        <v>45383</v>
      </c>
      <c r="F5759" s="9">
        <v>45412</v>
      </c>
      <c r="G5759">
        <v>18028969</v>
      </c>
      <c r="H5759">
        <v>7215358</v>
      </c>
      <c r="I5759">
        <v>17051939</v>
      </c>
      <c r="J5759">
        <v>261591</v>
      </c>
      <c r="K5759">
        <v>20742</v>
      </c>
      <c r="L5759">
        <v>5166</v>
      </c>
      <c r="M5759">
        <v>0</v>
      </c>
      <c r="T5759" s="9">
        <v>45108</v>
      </c>
      <c r="U5759" s="9">
        <v>45473</v>
      </c>
      <c r="V5759">
        <f>SUM(POTABLE_NONPOTABLE_API[[#This Row],[RESIDENTIAL_SINGLEFAMILY_GAL]:[OTHER_GAL]])</f>
        <v>42583765</v>
      </c>
      <c r="W5759">
        <f>SUM(POTABLE_NONPOTABLE_API[[#This Row],[NONPOTABLE_DEMAND_RESIDENTIAL_RECYCLED_WATER_GAL]:[NONPOTABLE_DEMAND_NONRESIDENTIAL_METERED_IRRIGATION_GAL]])</f>
        <v>0</v>
      </c>
      <c r="X5759" t="str">
        <f>IFERROR(INDEX(Crosswalk_API!$H$2:$H$527, MATCH(POTABLE_NONPOTABLE_API[[#This Row],[PWSID]], CW_PWSID_LIST, 0)), "")</f>
        <v>No</v>
      </c>
    </row>
    <row r="5760" spans="1:24" x14ac:dyDescent="0.25">
      <c r="A5760" t="s">
        <v>2410</v>
      </c>
      <c r="B5760" t="s">
        <v>2411</v>
      </c>
      <c r="C5760" t="s">
        <v>2414</v>
      </c>
      <c r="D5760" t="s">
        <v>2415</v>
      </c>
      <c r="E5760" s="9">
        <v>45413</v>
      </c>
      <c r="F5760" s="9">
        <v>45443</v>
      </c>
      <c r="G5760">
        <v>8131515</v>
      </c>
      <c r="H5760">
        <v>1074330</v>
      </c>
      <c r="I5760">
        <v>4554273</v>
      </c>
      <c r="J5760">
        <v>283350</v>
      </c>
      <c r="K5760">
        <v>0</v>
      </c>
      <c r="L5760">
        <v>0</v>
      </c>
      <c r="M5760">
        <v>0</v>
      </c>
      <c r="T5760" s="9">
        <v>45108</v>
      </c>
      <c r="U5760" s="9">
        <v>45473</v>
      </c>
      <c r="V5760">
        <f>SUM(POTABLE_NONPOTABLE_API[[#This Row],[RESIDENTIAL_SINGLEFAMILY_GAL]:[OTHER_GAL]])</f>
        <v>14043468</v>
      </c>
      <c r="W5760">
        <f>SUM(POTABLE_NONPOTABLE_API[[#This Row],[NONPOTABLE_DEMAND_RESIDENTIAL_RECYCLED_WATER_GAL]:[NONPOTABLE_DEMAND_NONRESIDENTIAL_METERED_IRRIGATION_GAL]])</f>
        <v>0</v>
      </c>
      <c r="X5760" t="str">
        <f>IFERROR(INDEX(Crosswalk_API!$H$2:$H$527, MATCH(POTABLE_NONPOTABLE_API[[#This Row],[PWSID]], CW_PWSID_LIST, 0)), "")</f>
        <v>No</v>
      </c>
    </row>
    <row r="5761" spans="1:24" x14ac:dyDescent="0.25">
      <c r="A5761" t="s">
        <v>2410</v>
      </c>
      <c r="B5761" t="s">
        <v>2411</v>
      </c>
      <c r="C5761" t="s">
        <v>2414</v>
      </c>
      <c r="D5761" t="s">
        <v>2415</v>
      </c>
      <c r="E5761" s="9">
        <v>45444</v>
      </c>
      <c r="F5761" s="9">
        <v>45473</v>
      </c>
      <c r="G5761">
        <v>25732045</v>
      </c>
      <c r="H5761">
        <v>9255857</v>
      </c>
      <c r="I5761">
        <v>22434704</v>
      </c>
      <c r="J5761">
        <v>2889374</v>
      </c>
      <c r="K5761">
        <v>23218</v>
      </c>
      <c r="L5761">
        <v>43330</v>
      </c>
      <c r="M5761">
        <v>0</v>
      </c>
      <c r="T5761" s="9">
        <v>45108</v>
      </c>
      <c r="U5761" s="9">
        <v>45473</v>
      </c>
      <c r="V5761">
        <f>SUM(POTABLE_NONPOTABLE_API[[#This Row],[RESIDENTIAL_SINGLEFAMILY_GAL]:[OTHER_GAL]])</f>
        <v>60378528</v>
      </c>
      <c r="W5761">
        <f>SUM(POTABLE_NONPOTABLE_API[[#This Row],[NONPOTABLE_DEMAND_RESIDENTIAL_RECYCLED_WATER_GAL]:[NONPOTABLE_DEMAND_NONRESIDENTIAL_METERED_IRRIGATION_GAL]])</f>
        <v>0</v>
      </c>
      <c r="X5761" t="str">
        <f>IFERROR(INDEX(Crosswalk_API!$H$2:$H$527, MATCH(POTABLE_NONPOTABLE_API[[#This Row],[PWSID]], CW_PWSID_LIST, 0)), "")</f>
        <v>No</v>
      </c>
    </row>
    <row r="5762" spans="1:24" x14ac:dyDescent="0.25">
      <c r="A5762" t="s">
        <v>2410</v>
      </c>
      <c r="B5762" t="s">
        <v>2411</v>
      </c>
      <c r="C5762" t="s">
        <v>2416</v>
      </c>
      <c r="D5762" t="s">
        <v>2417</v>
      </c>
      <c r="E5762" s="9">
        <v>45108</v>
      </c>
      <c r="F5762" s="9">
        <v>45138</v>
      </c>
      <c r="G5762">
        <v>3946628</v>
      </c>
      <c r="H5762">
        <v>200898</v>
      </c>
      <c r="I5762">
        <v>8277</v>
      </c>
      <c r="J5762">
        <v>0</v>
      </c>
      <c r="K5762">
        <v>0</v>
      </c>
      <c r="L5762">
        <v>0</v>
      </c>
      <c r="M5762">
        <v>0</v>
      </c>
      <c r="T5762" s="9">
        <v>45108</v>
      </c>
      <c r="U5762" s="9">
        <v>45473</v>
      </c>
      <c r="V5762">
        <f>SUM(POTABLE_NONPOTABLE_API[[#This Row],[RESIDENTIAL_SINGLEFAMILY_GAL]:[OTHER_GAL]])</f>
        <v>4155803</v>
      </c>
      <c r="W5762">
        <f>SUM(POTABLE_NONPOTABLE_API[[#This Row],[NONPOTABLE_DEMAND_RESIDENTIAL_RECYCLED_WATER_GAL]:[NONPOTABLE_DEMAND_NONRESIDENTIAL_METERED_IRRIGATION_GAL]])</f>
        <v>0</v>
      </c>
      <c r="X5762" t="str">
        <f>IFERROR(INDEX(Crosswalk_API!$H$2:$H$527, MATCH(POTABLE_NONPOTABLE_API[[#This Row],[PWSID]], CW_PWSID_LIST, 0)), "")</f>
        <v>No</v>
      </c>
    </row>
    <row r="5763" spans="1:24" x14ac:dyDescent="0.25">
      <c r="A5763" t="s">
        <v>2410</v>
      </c>
      <c r="B5763" t="s">
        <v>2411</v>
      </c>
      <c r="C5763" t="s">
        <v>2416</v>
      </c>
      <c r="D5763" t="s">
        <v>2417</v>
      </c>
      <c r="E5763" s="9">
        <v>45139</v>
      </c>
      <c r="F5763" s="9">
        <v>45169</v>
      </c>
      <c r="G5763">
        <v>3045911</v>
      </c>
      <c r="H5763">
        <v>324553</v>
      </c>
      <c r="I5763">
        <v>96634</v>
      </c>
      <c r="J5763">
        <v>0</v>
      </c>
      <c r="K5763">
        <v>0</v>
      </c>
      <c r="L5763">
        <v>0</v>
      </c>
      <c r="M5763">
        <v>0</v>
      </c>
      <c r="T5763" s="9">
        <v>45108</v>
      </c>
      <c r="U5763" s="9">
        <v>45473</v>
      </c>
      <c r="V5763">
        <f>SUM(POTABLE_NONPOTABLE_API[[#This Row],[RESIDENTIAL_SINGLEFAMILY_GAL]:[OTHER_GAL]])</f>
        <v>3467098</v>
      </c>
      <c r="W5763">
        <f>SUM(POTABLE_NONPOTABLE_API[[#This Row],[NONPOTABLE_DEMAND_RESIDENTIAL_RECYCLED_WATER_GAL]:[NONPOTABLE_DEMAND_NONRESIDENTIAL_METERED_IRRIGATION_GAL]])</f>
        <v>0</v>
      </c>
      <c r="X5763" t="str">
        <f>IFERROR(INDEX(Crosswalk_API!$H$2:$H$527, MATCH(POTABLE_NONPOTABLE_API[[#This Row],[PWSID]], CW_PWSID_LIST, 0)), "")</f>
        <v>No</v>
      </c>
    </row>
    <row r="5764" spans="1:24" x14ac:dyDescent="0.25">
      <c r="A5764" t="s">
        <v>2410</v>
      </c>
      <c r="B5764" t="s">
        <v>2411</v>
      </c>
      <c r="C5764" t="s">
        <v>2416</v>
      </c>
      <c r="D5764" t="s">
        <v>2417</v>
      </c>
      <c r="E5764" s="9">
        <v>45170</v>
      </c>
      <c r="F5764" s="9">
        <v>45199</v>
      </c>
      <c r="G5764">
        <v>7378332</v>
      </c>
      <c r="H5764">
        <v>324553</v>
      </c>
      <c r="I5764">
        <v>8123</v>
      </c>
      <c r="J5764">
        <v>0</v>
      </c>
      <c r="K5764">
        <v>0</v>
      </c>
      <c r="L5764">
        <v>0</v>
      </c>
      <c r="M5764">
        <v>0</v>
      </c>
      <c r="T5764" s="9">
        <v>45108</v>
      </c>
      <c r="U5764" s="9">
        <v>45473</v>
      </c>
      <c r="V5764">
        <f>SUM(POTABLE_NONPOTABLE_API[[#This Row],[RESIDENTIAL_SINGLEFAMILY_GAL]:[OTHER_GAL]])</f>
        <v>7711008</v>
      </c>
      <c r="W5764">
        <f>SUM(POTABLE_NONPOTABLE_API[[#This Row],[NONPOTABLE_DEMAND_RESIDENTIAL_RECYCLED_WATER_GAL]:[NONPOTABLE_DEMAND_NONRESIDENTIAL_METERED_IRRIGATION_GAL]])</f>
        <v>0</v>
      </c>
      <c r="X5764" t="str">
        <f>IFERROR(INDEX(Crosswalk_API!$H$2:$H$527, MATCH(POTABLE_NONPOTABLE_API[[#This Row],[PWSID]], CW_PWSID_LIST, 0)), "")</f>
        <v>No</v>
      </c>
    </row>
    <row r="5765" spans="1:24" x14ac:dyDescent="0.25">
      <c r="A5765" t="s">
        <v>2410</v>
      </c>
      <c r="B5765" t="s">
        <v>2411</v>
      </c>
      <c r="C5765" t="s">
        <v>2416</v>
      </c>
      <c r="D5765" t="s">
        <v>2417</v>
      </c>
      <c r="E5765" s="9">
        <v>45200</v>
      </c>
      <c r="F5765" s="9">
        <v>45230</v>
      </c>
      <c r="G5765">
        <v>3609733</v>
      </c>
      <c r="H5765">
        <v>209721</v>
      </c>
      <c r="I5765">
        <v>142202</v>
      </c>
      <c r="J5765">
        <v>0</v>
      </c>
      <c r="K5765">
        <v>0</v>
      </c>
      <c r="L5765">
        <v>0</v>
      </c>
      <c r="M5765">
        <v>0</v>
      </c>
      <c r="T5765" s="9">
        <v>45108</v>
      </c>
      <c r="U5765" s="9">
        <v>45473</v>
      </c>
      <c r="V5765">
        <f>SUM(POTABLE_NONPOTABLE_API[[#This Row],[RESIDENTIAL_SINGLEFAMILY_GAL]:[OTHER_GAL]])</f>
        <v>3961656</v>
      </c>
      <c r="W5765">
        <f>SUM(POTABLE_NONPOTABLE_API[[#This Row],[NONPOTABLE_DEMAND_RESIDENTIAL_RECYCLED_WATER_GAL]:[NONPOTABLE_DEMAND_NONRESIDENTIAL_METERED_IRRIGATION_GAL]])</f>
        <v>0</v>
      </c>
      <c r="X5765" t="str">
        <f>IFERROR(INDEX(Crosswalk_API!$H$2:$H$527, MATCH(POTABLE_NONPOTABLE_API[[#This Row],[PWSID]], CW_PWSID_LIST, 0)), "")</f>
        <v>No</v>
      </c>
    </row>
    <row r="5766" spans="1:24" x14ac:dyDescent="0.25">
      <c r="A5766" t="s">
        <v>2410</v>
      </c>
      <c r="B5766" t="s">
        <v>2411</v>
      </c>
      <c r="C5766" t="s">
        <v>2416</v>
      </c>
      <c r="D5766" t="s">
        <v>2417</v>
      </c>
      <c r="E5766" s="9">
        <v>45231</v>
      </c>
      <c r="F5766" s="9">
        <v>45260</v>
      </c>
      <c r="G5766">
        <v>3538039</v>
      </c>
      <c r="H5766">
        <v>209721</v>
      </c>
      <c r="I5766">
        <v>8213</v>
      </c>
      <c r="J5766">
        <v>0</v>
      </c>
      <c r="K5766">
        <v>0</v>
      </c>
      <c r="L5766">
        <v>0</v>
      </c>
      <c r="M5766">
        <v>0</v>
      </c>
      <c r="T5766" s="9">
        <v>45108</v>
      </c>
      <c r="U5766" s="9">
        <v>45473</v>
      </c>
      <c r="V5766">
        <f>SUM(POTABLE_NONPOTABLE_API[[#This Row],[RESIDENTIAL_SINGLEFAMILY_GAL]:[OTHER_GAL]])</f>
        <v>3755973</v>
      </c>
      <c r="W5766">
        <f>SUM(POTABLE_NONPOTABLE_API[[#This Row],[NONPOTABLE_DEMAND_RESIDENTIAL_RECYCLED_WATER_GAL]:[NONPOTABLE_DEMAND_NONRESIDENTIAL_METERED_IRRIGATION_GAL]])</f>
        <v>0</v>
      </c>
      <c r="X5766" t="str">
        <f>IFERROR(INDEX(Crosswalk_API!$H$2:$H$527, MATCH(POTABLE_NONPOTABLE_API[[#This Row],[PWSID]], CW_PWSID_LIST, 0)), "")</f>
        <v>No</v>
      </c>
    </row>
    <row r="5767" spans="1:24" x14ac:dyDescent="0.25">
      <c r="A5767" t="s">
        <v>2410</v>
      </c>
      <c r="B5767" t="s">
        <v>2411</v>
      </c>
      <c r="C5767" t="s">
        <v>2416</v>
      </c>
      <c r="D5767" t="s">
        <v>2417</v>
      </c>
      <c r="E5767" s="9">
        <v>45261</v>
      </c>
      <c r="F5767" s="9">
        <v>45291</v>
      </c>
      <c r="G5767">
        <v>2352570</v>
      </c>
      <c r="H5767">
        <v>144278</v>
      </c>
      <c r="I5767">
        <v>58841</v>
      </c>
      <c r="J5767">
        <v>0</v>
      </c>
      <c r="K5767">
        <v>0</v>
      </c>
      <c r="L5767">
        <v>0</v>
      </c>
      <c r="M5767">
        <v>0</v>
      </c>
      <c r="T5767" s="9">
        <v>45108</v>
      </c>
      <c r="U5767" s="9">
        <v>45473</v>
      </c>
      <c r="V5767">
        <f>SUM(POTABLE_NONPOTABLE_API[[#This Row],[RESIDENTIAL_SINGLEFAMILY_GAL]:[OTHER_GAL]])</f>
        <v>2555689</v>
      </c>
      <c r="W5767">
        <f>SUM(POTABLE_NONPOTABLE_API[[#This Row],[NONPOTABLE_DEMAND_RESIDENTIAL_RECYCLED_WATER_GAL]:[NONPOTABLE_DEMAND_NONRESIDENTIAL_METERED_IRRIGATION_GAL]])</f>
        <v>0</v>
      </c>
      <c r="X5767" t="str">
        <f>IFERROR(INDEX(Crosswalk_API!$H$2:$H$527, MATCH(POTABLE_NONPOTABLE_API[[#This Row],[PWSID]], CW_PWSID_LIST, 0)), "")</f>
        <v>No</v>
      </c>
    </row>
    <row r="5768" spans="1:24" x14ac:dyDescent="0.25">
      <c r="A5768" t="s">
        <v>2410</v>
      </c>
      <c r="B5768" t="s">
        <v>2411</v>
      </c>
      <c r="C5768" t="s">
        <v>2416</v>
      </c>
      <c r="D5768" t="s">
        <v>2417</v>
      </c>
      <c r="E5768" s="9">
        <v>45292</v>
      </c>
      <c r="F5768" s="9">
        <v>45322</v>
      </c>
      <c r="G5768">
        <v>2644822</v>
      </c>
      <c r="H5768">
        <v>288556</v>
      </c>
      <c r="I5768">
        <v>7974</v>
      </c>
      <c r="J5768">
        <v>0</v>
      </c>
      <c r="K5768">
        <v>0</v>
      </c>
      <c r="L5768">
        <v>0</v>
      </c>
      <c r="M5768">
        <v>0</v>
      </c>
      <c r="T5768" s="9">
        <v>45108</v>
      </c>
      <c r="U5768" s="9">
        <v>45473</v>
      </c>
      <c r="V5768">
        <f>SUM(POTABLE_NONPOTABLE_API[[#This Row],[RESIDENTIAL_SINGLEFAMILY_GAL]:[OTHER_GAL]])</f>
        <v>2941352</v>
      </c>
      <c r="W5768">
        <f>SUM(POTABLE_NONPOTABLE_API[[#This Row],[NONPOTABLE_DEMAND_RESIDENTIAL_RECYCLED_WATER_GAL]:[NONPOTABLE_DEMAND_NONRESIDENTIAL_METERED_IRRIGATION_GAL]])</f>
        <v>0</v>
      </c>
      <c r="X5768" t="str">
        <f>IFERROR(INDEX(Crosswalk_API!$H$2:$H$527, MATCH(POTABLE_NONPOTABLE_API[[#This Row],[PWSID]], CW_PWSID_LIST, 0)), "")</f>
        <v>No</v>
      </c>
    </row>
    <row r="5769" spans="1:24" x14ac:dyDescent="0.25">
      <c r="A5769" t="s">
        <v>2410</v>
      </c>
      <c r="B5769" t="s">
        <v>2411</v>
      </c>
      <c r="C5769" t="s">
        <v>2416</v>
      </c>
      <c r="D5769" t="s">
        <v>2417</v>
      </c>
      <c r="E5769" s="9">
        <v>45323</v>
      </c>
      <c r="F5769" s="9">
        <v>45351</v>
      </c>
      <c r="G5769">
        <v>2009387</v>
      </c>
      <c r="H5769">
        <v>0</v>
      </c>
      <c r="I5769">
        <v>2401</v>
      </c>
      <c r="J5769">
        <v>0</v>
      </c>
      <c r="K5769">
        <v>0</v>
      </c>
      <c r="L5769">
        <v>0</v>
      </c>
      <c r="M5769">
        <v>0</v>
      </c>
      <c r="T5769" s="9">
        <v>45108</v>
      </c>
      <c r="U5769" s="9">
        <v>45473</v>
      </c>
      <c r="V5769">
        <f>SUM(POTABLE_NONPOTABLE_API[[#This Row],[RESIDENTIAL_SINGLEFAMILY_GAL]:[OTHER_GAL]])</f>
        <v>2011788</v>
      </c>
      <c r="W5769">
        <f>SUM(POTABLE_NONPOTABLE_API[[#This Row],[NONPOTABLE_DEMAND_RESIDENTIAL_RECYCLED_WATER_GAL]:[NONPOTABLE_DEMAND_NONRESIDENTIAL_METERED_IRRIGATION_GAL]])</f>
        <v>0</v>
      </c>
      <c r="X5769" t="str">
        <f>IFERROR(INDEX(Crosswalk_API!$H$2:$H$527, MATCH(POTABLE_NONPOTABLE_API[[#This Row],[PWSID]], CW_PWSID_LIST, 0)), "")</f>
        <v>No</v>
      </c>
    </row>
    <row r="5770" spans="1:24" x14ac:dyDescent="0.25">
      <c r="A5770" t="s">
        <v>2410</v>
      </c>
      <c r="B5770" t="s">
        <v>2411</v>
      </c>
      <c r="C5770" t="s">
        <v>2416</v>
      </c>
      <c r="D5770" t="s">
        <v>2417</v>
      </c>
      <c r="E5770" s="9">
        <v>45352</v>
      </c>
      <c r="F5770" s="9">
        <v>45382</v>
      </c>
      <c r="G5770">
        <v>2626344</v>
      </c>
      <c r="H5770">
        <v>203703</v>
      </c>
      <c r="I5770">
        <v>6522</v>
      </c>
      <c r="J5770">
        <v>0</v>
      </c>
      <c r="K5770">
        <v>0</v>
      </c>
      <c r="L5770">
        <v>0</v>
      </c>
      <c r="M5770">
        <v>0</v>
      </c>
      <c r="T5770" s="9">
        <v>45108</v>
      </c>
      <c r="U5770" s="9">
        <v>45473</v>
      </c>
      <c r="V5770">
        <f>SUM(POTABLE_NONPOTABLE_API[[#This Row],[RESIDENTIAL_SINGLEFAMILY_GAL]:[OTHER_GAL]])</f>
        <v>2836569</v>
      </c>
      <c r="W5770">
        <f>SUM(POTABLE_NONPOTABLE_API[[#This Row],[NONPOTABLE_DEMAND_RESIDENTIAL_RECYCLED_WATER_GAL]:[NONPOTABLE_DEMAND_NONRESIDENTIAL_METERED_IRRIGATION_GAL]])</f>
        <v>0</v>
      </c>
      <c r="X5770" t="str">
        <f>IFERROR(INDEX(Crosswalk_API!$H$2:$H$527, MATCH(POTABLE_NONPOTABLE_API[[#This Row],[PWSID]], CW_PWSID_LIST, 0)), "")</f>
        <v>No</v>
      </c>
    </row>
    <row r="5771" spans="1:24" x14ac:dyDescent="0.25">
      <c r="A5771" t="s">
        <v>2410</v>
      </c>
      <c r="B5771" t="s">
        <v>2411</v>
      </c>
      <c r="C5771" t="s">
        <v>2416</v>
      </c>
      <c r="D5771" t="s">
        <v>2417</v>
      </c>
      <c r="E5771" s="9">
        <v>45383</v>
      </c>
      <c r="F5771" s="9">
        <v>45412</v>
      </c>
      <c r="G5771">
        <v>1937602</v>
      </c>
      <c r="H5771">
        <v>0</v>
      </c>
      <c r="I5771">
        <v>1257</v>
      </c>
      <c r="J5771">
        <v>0</v>
      </c>
      <c r="K5771">
        <v>0</v>
      </c>
      <c r="L5771">
        <v>0</v>
      </c>
      <c r="M5771">
        <v>0</v>
      </c>
      <c r="T5771" s="9">
        <v>45108</v>
      </c>
      <c r="U5771" s="9">
        <v>45473</v>
      </c>
      <c r="V5771">
        <f>SUM(POTABLE_NONPOTABLE_API[[#This Row],[RESIDENTIAL_SINGLEFAMILY_GAL]:[OTHER_GAL]])</f>
        <v>1938859</v>
      </c>
      <c r="W5771">
        <f>SUM(POTABLE_NONPOTABLE_API[[#This Row],[NONPOTABLE_DEMAND_RESIDENTIAL_RECYCLED_WATER_GAL]:[NONPOTABLE_DEMAND_NONRESIDENTIAL_METERED_IRRIGATION_GAL]])</f>
        <v>0</v>
      </c>
      <c r="X5771" t="str">
        <f>IFERROR(INDEX(Crosswalk_API!$H$2:$H$527, MATCH(POTABLE_NONPOTABLE_API[[#This Row],[PWSID]], CW_PWSID_LIST, 0)), "")</f>
        <v>No</v>
      </c>
    </row>
    <row r="5772" spans="1:24" x14ac:dyDescent="0.25">
      <c r="A5772" t="s">
        <v>2410</v>
      </c>
      <c r="B5772" t="s">
        <v>2411</v>
      </c>
      <c r="C5772" t="s">
        <v>2416</v>
      </c>
      <c r="D5772" t="s">
        <v>2417</v>
      </c>
      <c r="E5772" s="9">
        <v>45413</v>
      </c>
      <c r="F5772" s="9">
        <v>45443</v>
      </c>
      <c r="G5772">
        <v>2320927</v>
      </c>
      <c r="H5772">
        <v>249189</v>
      </c>
      <c r="I5772">
        <v>8498</v>
      </c>
      <c r="J5772">
        <v>0</v>
      </c>
      <c r="K5772">
        <v>0</v>
      </c>
      <c r="L5772">
        <v>0</v>
      </c>
      <c r="M5772">
        <v>0</v>
      </c>
      <c r="T5772" s="9">
        <v>45108</v>
      </c>
      <c r="U5772" s="9">
        <v>45473</v>
      </c>
      <c r="V5772">
        <f>SUM(POTABLE_NONPOTABLE_API[[#This Row],[RESIDENTIAL_SINGLEFAMILY_GAL]:[OTHER_GAL]])</f>
        <v>2578614</v>
      </c>
      <c r="W5772">
        <f>SUM(POTABLE_NONPOTABLE_API[[#This Row],[NONPOTABLE_DEMAND_RESIDENTIAL_RECYCLED_WATER_GAL]:[NONPOTABLE_DEMAND_NONRESIDENTIAL_METERED_IRRIGATION_GAL]])</f>
        <v>0</v>
      </c>
      <c r="X5772" t="str">
        <f>IFERROR(INDEX(Crosswalk_API!$H$2:$H$527, MATCH(POTABLE_NONPOTABLE_API[[#This Row],[PWSID]], CW_PWSID_LIST, 0)), "")</f>
        <v>No</v>
      </c>
    </row>
    <row r="5773" spans="1:24" x14ac:dyDescent="0.25">
      <c r="A5773" t="s">
        <v>2410</v>
      </c>
      <c r="B5773" t="s">
        <v>2411</v>
      </c>
      <c r="C5773" t="s">
        <v>2416</v>
      </c>
      <c r="D5773" t="s">
        <v>2417</v>
      </c>
      <c r="E5773" s="9">
        <v>45444</v>
      </c>
      <c r="F5773" s="9">
        <v>45473</v>
      </c>
      <c r="G5773">
        <v>2252055</v>
      </c>
      <c r="H5773">
        <v>0</v>
      </c>
      <c r="I5773">
        <v>46428</v>
      </c>
      <c r="J5773">
        <v>0</v>
      </c>
      <c r="K5773">
        <v>0</v>
      </c>
      <c r="L5773">
        <v>0</v>
      </c>
      <c r="M5773">
        <v>0</v>
      </c>
      <c r="T5773" s="9">
        <v>45108</v>
      </c>
      <c r="U5773" s="9">
        <v>45473</v>
      </c>
      <c r="V5773">
        <f>SUM(POTABLE_NONPOTABLE_API[[#This Row],[RESIDENTIAL_SINGLEFAMILY_GAL]:[OTHER_GAL]])</f>
        <v>2298483</v>
      </c>
      <c r="W5773">
        <f>SUM(POTABLE_NONPOTABLE_API[[#This Row],[NONPOTABLE_DEMAND_RESIDENTIAL_RECYCLED_WATER_GAL]:[NONPOTABLE_DEMAND_NONRESIDENTIAL_METERED_IRRIGATION_GAL]])</f>
        <v>0</v>
      </c>
      <c r="X5773" t="str">
        <f>IFERROR(INDEX(Crosswalk_API!$H$2:$H$527, MATCH(POTABLE_NONPOTABLE_API[[#This Row],[PWSID]], CW_PWSID_LIST, 0)), "")</f>
        <v>No</v>
      </c>
    </row>
    <row r="5774" spans="1:24" x14ac:dyDescent="0.25">
      <c r="A5774" t="s">
        <v>2410</v>
      </c>
      <c r="B5774" t="s">
        <v>2411</v>
      </c>
      <c r="C5774" t="s">
        <v>2418</v>
      </c>
      <c r="D5774" t="s">
        <v>2419</v>
      </c>
      <c r="E5774" s="9">
        <v>45108</v>
      </c>
      <c r="F5774" s="9">
        <v>45138</v>
      </c>
      <c r="G5774">
        <v>3064126</v>
      </c>
      <c r="H5774">
        <v>441681</v>
      </c>
      <c r="I5774">
        <v>2473879</v>
      </c>
      <c r="J5774">
        <v>97992</v>
      </c>
      <c r="K5774">
        <v>0</v>
      </c>
      <c r="L5774">
        <v>0</v>
      </c>
      <c r="M5774">
        <v>0</v>
      </c>
      <c r="T5774" s="9">
        <v>45108</v>
      </c>
      <c r="U5774" s="9">
        <v>45473</v>
      </c>
      <c r="V5774">
        <f>SUM(POTABLE_NONPOTABLE_API[[#This Row],[RESIDENTIAL_SINGLEFAMILY_GAL]:[OTHER_GAL]])</f>
        <v>6077678</v>
      </c>
      <c r="W5774">
        <f>SUM(POTABLE_NONPOTABLE_API[[#This Row],[NONPOTABLE_DEMAND_RESIDENTIAL_RECYCLED_WATER_GAL]:[NONPOTABLE_DEMAND_NONRESIDENTIAL_METERED_IRRIGATION_GAL]])</f>
        <v>0</v>
      </c>
      <c r="X5774" t="str">
        <f>IFERROR(INDEX(Crosswalk_API!$H$2:$H$527, MATCH(POTABLE_NONPOTABLE_API[[#This Row],[PWSID]], CW_PWSID_LIST, 0)), "")</f>
        <v>No</v>
      </c>
    </row>
    <row r="5775" spans="1:24" x14ac:dyDescent="0.25">
      <c r="A5775" t="s">
        <v>2410</v>
      </c>
      <c r="B5775" t="s">
        <v>2411</v>
      </c>
      <c r="C5775" t="s">
        <v>2418</v>
      </c>
      <c r="D5775" t="s">
        <v>2419</v>
      </c>
      <c r="E5775" s="9">
        <v>45139</v>
      </c>
      <c r="F5775" s="9">
        <v>45169</v>
      </c>
      <c r="G5775">
        <v>4501636</v>
      </c>
      <c r="H5775">
        <v>655130</v>
      </c>
      <c r="I5775">
        <v>5176930</v>
      </c>
      <c r="J5775">
        <v>116516</v>
      </c>
      <c r="K5775">
        <v>0</v>
      </c>
      <c r="L5775">
        <v>0</v>
      </c>
      <c r="M5775">
        <v>0</v>
      </c>
      <c r="T5775" s="9">
        <v>45108</v>
      </c>
      <c r="U5775" s="9">
        <v>45473</v>
      </c>
      <c r="V5775">
        <f>SUM(POTABLE_NONPOTABLE_API[[#This Row],[RESIDENTIAL_SINGLEFAMILY_GAL]:[OTHER_GAL]])</f>
        <v>10450212</v>
      </c>
      <c r="W5775">
        <f>SUM(POTABLE_NONPOTABLE_API[[#This Row],[NONPOTABLE_DEMAND_RESIDENTIAL_RECYCLED_WATER_GAL]:[NONPOTABLE_DEMAND_NONRESIDENTIAL_METERED_IRRIGATION_GAL]])</f>
        <v>0</v>
      </c>
      <c r="X5775" t="str">
        <f>IFERROR(INDEX(Crosswalk_API!$H$2:$H$527, MATCH(POTABLE_NONPOTABLE_API[[#This Row],[PWSID]], CW_PWSID_LIST, 0)), "")</f>
        <v>No</v>
      </c>
    </row>
    <row r="5776" spans="1:24" x14ac:dyDescent="0.25">
      <c r="A5776" t="s">
        <v>2410</v>
      </c>
      <c r="B5776" t="s">
        <v>2411</v>
      </c>
      <c r="C5776" t="s">
        <v>2418</v>
      </c>
      <c r="D5776" t="s">
        <v>2419</v>
      </c>
      <c r="E5776" s="9">
        <v>45170</v>
      </c>
      <c r="F5776" s="9">
        <v>45199</v>
      </c>
      <c r="G5776">
        <v>4453091</v>
      </c>
      <c r="H5776">
        <v>655130</v>
      </c>
      <c r="I5776">
        <v>3942768</v>
      </c>
      <c r="J5776">
        <v>116516</v>
      </c>
      <c r="K5776">
        <v>0</v>
      </c>
      <c r="L5776">
        <v>0</v>
      </c>
      <c r="M5776">
        <v>0</v>
      </c>
      <c r="T5776" s="9">
        <v>45108</v>
      </c>
      <c r="U5776" s="9">
        <v>45473</v>
      </c>
      <c r="V5776">
        <f>SUM(POTABLE_NONPOTABLE_API[[#This Row],[RESIDENTIAL_SINGLEFAMILY_GAL]:[OTHER_GAL]])</f>
        <v>9167505</v>
      </c>
      <c r="W5776">
        <f>SUM(POTABLE_NONPOTABLE_API[[#This Row],[NONPOTABLE_DEMAND_RESIDENTIAL_RECYCLED_WATER_GAL]:[NONPOTABLE_DEMAND_NONRESIDENTIAL_METERED_IRRIGATION_GAL]])</f>
        <v>0</v>
      </c>
      <c r="X5776" t="str">
        <f>IFERROR(INDEX(Crosswalk_API!$H$2:$H$527, MATCH(POTABLE_NONPOTABLE_API[[#This Row],[PWSID]], CW_PWSID_LIST, 0)), "")</f>
        <v>No</v>
      </c>
    </row>
    <row r="5777" spans="1:24" x14ac:dyDescent="0.25">
      <c r="A5777" t="s">
        <v>2410</v>
      </c>
      <c r="B5777" t="s">
        <v>2411</v>
      </c>
      <c r="C5777" t="s">
        <v>2418</v>
      </c>
      <c r="D5777" t="s">
        <v>2419</v>
      </c>
      <c r="E5777" s="9">
        <v>45200</v>
      </c>
      <c r="F5777" s="9">
        <v>45230</v>
      </c>
      <c r="G5777">
        <v>3156470</v>
      </c>
      <c r="H5777">
        <v>459054</v>
      </c>
      <c r="I5777">
        <v>1878976</v>
      </c>
      <c r="J5777">
        <v>88870</v>
      </c>
      <c r="K5777">
        <v>0</v>
      </c>
      <c r="L5777">
        <v>0</v>
      </c>
      <c r="M5777">
        <v>0</v>
      </c>
      <c r="T5777" s="9">
        <v>45108</v>
      </c>
      <c r="U5777" s="9">
        <v>45473</v>
      </c>
      <c r="V5777">
        <f>SUM(POTABLE_NONPOTABLE_API[[#This Row],[RESIDENTIAL_SINGLEFAMILY_GAL]:[OTHER_GAL]])</f>
        <v>5583370</v>
      </c>
      <c r="W5777">
        <f>SUM(POTABLE_NONPOTABLE_API[[#This Row],[NONPOTABLE_DEMAND_RESIDENTIAL_RECYCLED_WATER_GAL]:[NONPOTABLE_DEMAND_NONRESIDENTIAL_METERED_IRRIGATION_GAL]])</f>
        <v>0</v>
      </c>
      <c r="X5777" t="str">
        <f>IFERROR(INDEX(Crosswalk_API!$H$2:$H$527, MATCH(POTABLE_NONPOTABLE_API[[#This Row],[PWSID]], CW_PWSID_LIST, 0)), "")</f>
        <v>No</v>
      </c>
    </row>
    <row r="5778" spans="1:24" x14ac:dyDescent="0.25">
      <c r="A5778" t="s">
        <v>2410</v>
      </c>
      <c r="B5778" t="s">
        <v>2411</v>
      </c>
      <c r="C5778" t="s">
        <v>2418</v>
      </c>
      <c r="D5778" t="s">
        <v>2419</v>
      </c>
      <c r="E5778" s="9">
        <v>45231</v>
      </c>
      <c r="F5778" s="9">
        <v>45260</v>
      </c>
      <c r="G5778">
        <v>3146791</v>
      </c>
      <c r="H5778">
        <v>459054</v>
      </c>
      <c r="I5778">
        <v>1878976</v>
      </c>
      <c r="J5778">
        <v>88870</v>
      </c>
      <c r="K5778">
        <v>0</v>
      </c>
      <c r="L5778">
        <v>0</v>
      </c>
      <c r="M5778">
        <v>0</v>
      </c>
      <c r="T5778" s="9">
        <v>45108</v>
      </c>
      <c r="U5778" s="9">
        <v>45473</v>
      </c>
      <c r="V5778">
        <f>SUM(POTABLE_NONPOTABLE_API[[#This Row],[RESIDENTIAL_SINGLEFAMILY_GAL]:[OTHER_GAL]])</f>
        <v>5573691</v>
      </c>
      <c r="W5778">
        <f>SUM(POTABLE_NONPOTABLE_API[[#This Row],[NONPOTABLE_DEMAND_RESIDENTIAL_RECYCLED_WATER_GAL]:[NONPOTABLE_DEMAND_NONRESIDENTIAL_METERED_IRRIGATION_GAL]])</f>
        <v>0</v>
      </c>
      <c r="X5778" t="str">
        <f>IFERROR(INDEX(Crosswalk_API!$H$2:$H$527, MATCH(POTABLE_NONPOTABLE_API[[#This Row],[PWSID]], CW_PWSID_LIST, 0)), "")</f>
        <v>No</v>
      </c>
    </row>
    <row r="5779" spans="1:24" x14ac:dyDescent="0.25">
      <c r="A5779" t="s">
        <v>2410</v>
      </c>
      <c r="B5779" t="s">
        <v>2411</v>
      </c>
      <c r="C5779" t="s">
        <v>2418</v>
      </c>
      <c r="D5779" t="s">
        <v>2419</v>
      </c>
      <c r="E5779" s="9">
        <v>45261</v>
      </c>
      <c r="F5779" s="9">
        <v>45291</v>
      </c>
      <c r="G5779">
        <v>2017027</v>
      </c>
      <c r="H5779">
        <v>328439</v>
      </c>
      <c r="I5779">
        <v>900427</v>
      </c>
      <c r="J5779">
        <v>11676</v>
      </c>
      <c r="K5779">
        <v>0</v>
      </c>
      <c r="L5779">
        <v>0</v>
      </c>
      <c r="M5779">
        <v>0</v>
      </c>
      <c r="T5779" s="9">
        <v>45108</v>
      </c>
      <c r="U5779" s="9">
        <v>45473</v>
      </c>
      <c r="V5779">
        <f>SUM(POTABLE_NONPOTABLE_API[[#This Row],[RESIDENTIAL_SINGLEFAMILY_GAL]:[OTHER_GAL]])</f>
        <v>3257569</v>
      </c>
      <c r="W5779">
        <f>SUM(POTABLE_NONPOTABLE_API[[#This Row],[NONPOTABLE_DEMAND_RESIDENTIAL_RECYCLED_WATER_GAL]:[NONPOTABLE_DEMAND_NONRESIDENTIAL_METERED_IRRIGATION_GAL]])</f>
        <v>0</v>
      </c>
      <c r="X5779" t="str">
        <f>IFERROR(INDEX(Crosswalk_API!$H$2:$H$527, MATCH(POTABLE_NONPOTABLE_API[[#This Row],[PWSID]], CW_PWSID_LIST, 0)), "")</f>
        <v>No</v>
      </c>
    </row>
    <row r="5780" spans="1:24" x14ac:dyDescent="0.25">
      <c r="A5780" t="s">
        <v>2410</v>
      </c>
      <c r="B5780" t="s">
        <v>2411</v>
      </c>
      <c r="C5780" t="s">
        <v>2418</v>
      </c>
      <c r="D5780" t="s">
        <v>2419</v>
      </c>
      <c r="E5780" s="9">
        <v>45292</v>
      </c>
      <c r="F5780" s="9">
        <v>45322</v>
      </c>
      <c r="G5780">
        <v>2000960</v>
      </c>
      <c r="H5780">
        <v>328440</v>
      </c>
      <c r="I5780">
        <v>900427</v>
      </c>
      <c r="J5780">
        <v>11677</v>
      </c>
      <c r="K5780">
        <v>0</v>
      </c>
      <c r="L5780">
        <v>0</v>
      </c>
      <c r="M5780">
        <v>0</v>
      </c>
      <c r="T5780" s="9">
        <v>45108</v>
      </c>
      <c r="U5780" s="9">
        <v>45473</v>
      </c>
      <c r="V5780">
        <f>SUM(POTABLE_NONPOTABLE_API[[#This Row],[RESIDENTIAL_SINGLEFAMILY_GAL]:[OTHER_GAL]])</f>
        <v>3241504</v>
      </c>
      <c r="W5780">
        <f>SUM(POTABLE_NONPOTABLE_API[[#This Row],[NONPOTABLE_DEMAND_RESIDENTIAL_RECYCLED_WATER_GAL]:[NONPOTABLE_DEMAND_NONRESIDENTIAL_METERED_IRRIGATION_GAL]])</f>
        <v>0</v>
      </c>
      <c r="X5780" t="str">
        <f>IFERROR(INDEX(Crosswalk_API!$H$2:$H$527, MATCH(POTABLE_NONPOTABLE_API[[#This Row],[PWSID]], CW_PWSID_LIST, 0)), "")</f>
        <v>No</v>
      </c>
    </row>
    <row r="5781" spans="1:24" x14ac:dyDescent="0.25">
      <c r="A5781" t="s">
        <v>2410</v>
      </c>
      <c r="B5781" t="s">
        <v>2411</v>
      </c>
      <c r="C5781" t="s">
        <v>2418</v>
      </c>
      <c r="D5781" t="s">
        <v>2419</v>
      </c>
      <c r="E5781" s="9">
        <v>45323</v>
      </c>
      <c r="F5781" s="9">
        <v>45351</v>
      </c>
      <c r="G5781">
        <v>2183520</v>
      </c>
      <c r="H5781">
        <v>362933</v>
      </c>
      <c r="I5781">
        <v>893565</v>
      </c>
      <c r="J5781">
        <v>0</v>
      </c>
      <c r="K5781">
        <v>0</v>
      </c>
      <c r="L5781">
        <v>0</v>
      </c>
      <c r="M5781">
        <v>0</v>
      </c>
      <c r="T5781" s="9">
        <v>45108</v>
      </c>
      <c r="U5781" s="9">
        <v>45473</v>
      </c>
      <c r="V5781">
        <f>SUM(POTABLE_NONPOTABLE_API[[#This Row],[RESIDENTIAL_SINGLEFAMILY_GAL]:[OTHER_GAL]])</f>
        <v>3440018</v>
      </c>
      <c r="W5781">
        <f>SUM(POTABLE_NONPOTABLE_API[[#This Row],[NONPOTABLE_DEMAND_RESIDENTIAL_RECYCLED_WATER_GAL]:[NONPOTABLE_DEMAND_NONRESIDENTIAL_METERED_IRRIGATION_GAL]])</f>
        <v>0</v>
      </c>
      <c r="X5781" t="str">
        <f>IFERROR(INDEX(Crosswalk_API!$H$2:$H$527, MATCH(POTABLE_NONPOTABLE_API[[#This Row],[PWSID]], CW_PWSID_LIST, 0)), "")</f>
        <v>No</v>
      </c>
    </row>
    <row r="5782" spans="1:24" x14ac:dyDescent="0.25">
      <c r="A5782" t="s">
        <v>2410</v>
      </c>
      <c r="B5782" t="s">
        <v>2411</v>
      </c>
      <c r="C5782" t="s">
        <v>2418</v>
      </c>
      <c r="D5782" t="s">
        <v>2419</v>
      </c>
      <c r="E5782" s="9">
        <v>45352</v>
      </c>
      <c r="F5782" s="9">
        <v>45382</v>
      </c>
      <c r="G5782">
        <v>2150346.5</v>
      </c>
      <c r="H5782">
        <v>362932.5</v>
      </c>
      <c r="I5782">
        <v>891879.5</v>
      </c>
      <c r="J5782">
        <v>15</v>
      </c>
      <c r="K5782">
        <v>0</v>
      </c>
      <c r="L5782">
        <v>0</v>
      </c>
      <c r="M5782">
        <v>0</v>
      </c>
      <c r="T5782" s="9">
        <v>45108</v>
      </c>
      <c r="U5782" s="9">
        <v>45473</v>
      </c>
      <c r="V5782">
        <f>SUM(POTABLE_NONPOTABLE_API[[#This Row],[RESIDENTIAL_SINGLEFAMILY_GAL]:[OTHER_GAL]])</f>
        <v>3405173.5</v>
      </c>
      <c r="W5782">
        <f>SUM(POTABLE_NONPOTABLE_API[[#This Row],[NONPOTABLE_DEMAND_RESIDENTIAL_RECYCLED_WATER_GAL]:[NONPOTABLE_DEMAND_NONRESIDENTIAL_METERED_IRRIGATION_GAL]])</f>
        <v>0</v>
      </c>
      <c r="X5782" t="str">
        <f>IFERROR(INDEX(Crosswalk_API!$H$2:$H$527, MATCH(POTABLE_NONPOTABLE_API[[#This Row],[PWSID]], CW_PWSID_LIST, 0)), "")</f>
        <v>No</v>
      </c>
    </row>
    <row r="5783" spans="1:24" x14ac:dyDescent="0.25">
      <c r="A5783" t="s">
        <v>2410</v>
      </c>
      <c r="B5783" t="s">
        <v>2411</v>
      </c>
      <c r="C5783" t="s">
        <v>2418</v>
      </c>
      <c r="D5783" t="s">
        <v>2419</v>
      </c>
      <c r="E5783" s="9">
        <v>45383</v>
      </c>
      <c r="F5783" s="9">
        <v>45412</v>
      </c>
      <c r="G5783">
        <v>2398541</v>
      </c>
      <c r="H5783">
        <v>322852</v>
      </c>
      <c r="I5783">
        <v>1060417</v>
      </c>
      <c r="J5783">
        <v>4155</v>
      </c>
      <c r="K5783">
        <v>0</v>
      </c>
      <c r="L5783">
        <v>0</v>
      </c>
      <c r="M5783">
        <v>0</v>
      </c>
      <c r="T5783" s="9">
        <v>45108</v>
      </c>
      <c r="U5783" s="9">
        <v>45473</v>
      </c>
      <c r="V5783">
        <f>SUM(POTABLE_NONPOTABLE_API[[#This Row],[RESIDENTIAL_SINGLEFAMILY_GAL]:[OTHER_GAL]])</f>
        <v>3785965</v>
      </c>
      <c r="W5783">
        <f>SUM(POTABLE_NONPOTABLE_API[[#This Row],[NONPOTABLE_DEMAND_RESIDENTIAL_RECYCLED_WATER_GAL]:[NONPOTABLE_DEMAND_NONRESIDENTIAL_METERED_IRRIGATION_GAL]])</f>
        <v>0</v>
      </c>
      <c r="X5783" t="str">
        <f>IFERROR(INDEX(Crosswalk_API!$H$2:$H$527, MATCH(POTABLE_NONPOTABLE_API[[#This Row],[PWSID]], CW_PWSID_LIST, 0)), "")</f>
        <v>No</v>
      </c>
    </row>
    <row r="5784" spans="1:24" x14ac:dyDescent="0.25">
      <c r="A5784" t="s">
        <v>2410</v>
      </c>
      <c r="B5784" t="s">
        <v>2411</v>
      </c>
      <c r="C5784" t="s">
        <v>2418</v>
      </c>
      <c r="D5784" t="s">
        <v>2419</v>
      </c>
      <c r="E5784" s="9">
        <v>45413</v>
      </c>
      <c r="F5784" s="9">
        <v>45443</v>
      </c>
      <c r="G5784">
        <v>2398540.5</v>
      </c>
      <c r="H5784">
        <v>318400.5</v>
      </c>
      <c r="I5784">
        <v>1053476</v>
      </c>
      <c r="J5784">
        <v>4155</v>
      </c>
      <c r="K5784">
        <v>0</v>
      </c>
      <c r="L5784">
        <v>0</v>
      </c>
      <c r="M5784">
        <v>0</v>
      </c>
      <c r="T5784" s="9">
        <v>45108</v>
      </c>
      <c r="U5784" s="9">
        <v>45473</v>
      </c>
      <c r="V5784">
        <f>SUM(POTABLE_NONPOTABLE_API[[#This Row],[RESIDENTIAL_SINGLEFAMILY_GAL]:[OTHER_GAL]])</f>
        <v>3774572</v>
      </c>
      <c r="W5784">
        <f>SUM(POTABLE_NONPOTABLE_API[[#This Row],[NONPOTABLE_DEMAND_RESIDENTIAL_RECYCLED_WATER_GAL]:[NONPOTABLE_DEMAND_NONRESIDENTIAL_METERED_IRRIGATION_GAL]])</f>
        <v>0</v>
      </c>
      <c r="X5784" t="str">
        <f>IFERROR(INDEX(Crosswalk_API!$H$2:$H$527, MATCH(POTABLE_NONPOTABLE_API[[#This Row],[PWSID]], CW_PWSID_LIST, 0)), "")</f>
        <v>No</v>
      </c>
    </row>
    <row r="5785" spans="1:24" x14ac:dyDescent="0.25">
      <c r="A5785" t="s">
        <v>2410</v>
      </c>
      <c r="B5785" t="s">
        <v>2411</v>
      </c>
      <c r="C5785" t="s">
        <v>2418</v>
      </c>
      <c r="D5785" t="s">
        <v>2419</v>
      </c>
      <c r="E5785" s="9">
        <v>45444</v>
      </c>
      <c r="F5785" s="9">
        <v>45473</v>
      </c>
      <c r="G5785">
        <v>3195344</v>
      </c>
      <c r="H5785">
        <v>390238.5</v>
      </c>
      <c r="I5785">
        <v>2276732.5</v>
      </c>
      <c r="J5785">
        <v>60057</v>
      </c>
      <c r="K5785">
        <v>0</v>
      </c>
      <c r="L5785">
        <v>0</v>
      </c>
      <c r="M5785">
        <v>0</v>
      </c>
      <c r="T5785" s="9">
        <v>45108</v>
      </c>
      <c r="U5785" s="9">
        <v>45473</v>
      </c>
      <c r="V5785">
        <f>SUM(POTABLE_NONPOTABLE_API[[#This Row],[RESIDENTIAL_SINGLEFAMILY_GAL]:[OTHER_GAL]])</f>
        <v>5922372</v>
      </c>
      <c r="W5785">
        <f>SUM(POTABLE_NONPOTABLE_API[[#This Row],[NONPOTABLE_DEMAND_RESIDENTIAL_RECYCLED_WATER_GAL]:[NONPOTABLE_DEMAND_NONRESIDENTIAL_METERED_IRRIGATION_GAL]])</f>
        <v>0</v>
      </c>
      <c r="X5785" t="str">
        <f>IFERROR(INDEX(Crosswalk_API!$H$2:$H$527, MATCH(POTABLE_NONPOTABLE_API[[#This Row],[PWSID]], CW_PWSID_LIST, 0)), "")</f>
        <v>No</v>
      </c>
    </row>
    <row r="5786" spans="1:24" x14ac:dyDescent="0.25">
      <c r="A5786" t="s">
        <v>2410</v>
      </c>
      <c r="B5786" t="s">
        <v>2411</v>
      </c>
      <c r="C5786" t="s">
        <v>2420</v>
      </c>
      <c r="D5786" t="s">
        <v>2421</v>
      </c>
      <c r="E5786" s="9">
        <v>45108</v>
      </c>
      <c r="F5786" s="9">
        <v>45138</v>
      </c>
      <c r="G5786">
        <v>23384986</v>
      </c>
      <c r="H5786">
        <v>399739</v>
      </c>
      <c r="I5786">
        <v>592573</v>
      </c>
      <c r="J5786">
        <v>80156</v>
      </c>
      <c r="K5786">
        <v>3097</v>
      </c>
      <c r="L5786">
        <v>46630</v>
      </c>
      <c r="M5786">
        <v>0</v>
      </c>
      <c r="T5786" s="9">
        <v>45108</v>
      </c>
      <c r="U5786" s="9">
        <v>45473</v>
      </c>
      <c r="V5786">
        <f>SUM(POTABLE_NONPOTABLE_API[[#This Row],[RESIDENTIAL_SINGLEFAMILY_GAL]:[OTHER_GAL]])</f>
        <v>24507181</v>
      </c>
      <c r="W5786">
        <f>SUM(POTABLE_NONPOTABLE_API[[#This Row],[NONPOTABLE_DEMAND_RESIDENTIAL_RECYCLED_WATER_GAL]:[NONPOTABLE_DEMAND_NONRESIDENTIAL_METERED_IRRIGATION_GAL]])</f>
        <v>0</v>
      </c>
      <c r="X5786" t="str">
        <f>IFERROR(INDEX(Crosswalk_API!$H$2:$H$527, MATCH(POTABLE_NONPOTABLE_API[[#This Row],[PWSID]], CW_PWSID_LIST, 0)), "")</f>
        <v>No</v>
      </c>
    </row>
    <row r="5787" spans="1:24" x14ac:dyDescent="0.25">
      <c r="A5787" t="s">
        <v>2410</v>
      </c>
      <c r="B5787" t="s">
        <v>2411</v>
      </c>
      <c r="C5787" t="s">
        <v>2420</v>
      </c>
      <c r="D5787" t="s">
        <v>2421</v>
      </c>
      <c r="E5787" s="9">
        <v>45139</v>
      </c>
      <c r="F5787" s="9">
        <v>45169</v>
      </c>
      <c r="G5787">
        <v>32333863</v>
      </c>
      <c r="H5787">
        <v>443153</v>
      </c>
      <c r="I5787">
        <v>2189920</v>
      </c>
      <c r="J5787">
        <v>80156</v>
      </c>
      <c r="K5787">
        <v>3097</v>
      </c>
      <c r="L5787">
        <v>46630</v>
      </c>
      <c r="M5787">
        <v>0</v>
      </c>
      <c r="T5787" s="9">
        <v>45108</v>
      </c>
      <c r="U5787" s="9">
        <v>45473</v>
      </c>
      <c r="V5787">
        <f>SUM(POTABLE_NONPOTABLE_API[[#This Row],[RESIDENTIAL_SINGLEFAMILY_GAL]:[OTHER_GAL]])</f>
        <v>35096819</v>
      </c>
      <c r="W5787">
        <f>SUM(POTABLE_NONPOTABLE_API[[#This Row],[NONPOTABLE_DEMAND_RESIDENTIAL_RECYCLED_WATER_GAL]:[NONPOTABLE_DEMAND_NONRESIDENTIAL_METERED_IRRIGATION_GAL]])</f>
        <v>0</v>
      </c>
      <c r="X5787" t="str">
        <f>IFERROR(INDEX(Crosswalk_API!$H$2:$H$527, MATCH(POTABLE_NONPOTABLE_API[[#This Row],[PWSID]], CW_PWSID_LIST, 0)), "")</f>
        <v>No</v>
      </c>
    </row>
    <row r="5788" spans="1:24" x14ac:dyDescent="0.25">
      <c r="A5788" t="s">
        <v>2410</v>
      </c>
      <c r="B5788" t="s">
        <v>2411</v>
      </c>
      <c r="C5788" t="s">
        <v>2420</v>
      </c>
      <c r="D5788" t="s">
        <v>2421</v>
      </c>
      <c r="E5788" s="9">
        <v>45170</v>
      </c>
      <c r="F5788" s="9">
        <v>45199</v>
      </c>
      <c r="G5788">
        <v>27155863</v>
      </c>
      <c r="H5788">
        <v>398467</v>
      </c>
      <c r="I5788">
        <v>840475</v>
      </c>
      <c r="J5788">
        <v>50894</v>
      </c>
      <c r="K5788">
        <v>1657</v>
      </c>
      <c r="L5788">
        <v>30612</v>
      </c>
      <c r="M5788">
        <v>0</v>
      </c>
      <c r="T5788" s="9">
        <v>45108</v>
      </c>
      <c r="U5788" s="9">
        <v>45473</v>
      </c>
      <c r="V5788">
        <f>SUM(POTABLE_NONPOTABLE_API[[#This Row],[RESIDENTIAL_SINGLEFAMILY_GAL]:[OTHER_GAL]])</f>
        <v>28477968</v>
      </c>
      <c r="W5788">
        <f>SUM(POTABLE_NONPOTABLE_API[[#This Row],[NONPOTABLE_DEMAND_RESIDENTIAL_RECYCLED_WATER_GAL]:[NONPOTABLE_DEMAND_NONRESIDENTIAL_METERED_IRRIGATION_GAL]])</f>
        <v>0</v>
      </c>
      <c r="X5788" t="str">
        <f>IFERROR(INDEX(Crosswalk_API!$H$2:$H$527, MATCH(POTABLE_NONPOTABLE_API[[#This Row],[PWSID]], CW_PWSID_LIST, 0)), "")</f>
        <v>No</v>
      </c>
    </row>
    <row r="5789" spans="1:24" x14ac:dyDescent="0.25">
      <c r="A5789" t="s">
        <v>2410</v>
      </c>
      <c r="B5789" t="s">
        <v>2411</v>
      </c>
      <c r="C5789" t="s">
        <v>2420</v>
      </c>
      <c r="D5789" t="s">
        <v>2421</v>
      </c>
      <c r="E5789" s="9">
        <v>45200</v>
      </c>
      <c r="F5789" s="9">
        <v>45230</v>
      </c>
      <c r="G5789">
        <v>21176299</v>
      </c>
      <c r="H5789">
        <v>269811</v>
      </c>
      <c r="I5789">
        <v>1424222</v>
      </c>
      <c r="J5789">
        <v>50894</v>
      </c>
      <c r="K5789">
        <v>1657</v>
      </c>
      <c r="L5789">
        <v>30612</v>
      </c>
      <c r="M5789">
        <v>0</v>
      </c>
      <c r="T5789" s="9">
        <v>45108</v>
      </c>
      <c r="U5789" s="9">
        <v>45473</v>
      </c>
      <c r="V5789">
        <f>SUM(POTABLE_NONPOTABLE_API[[#This Row],[RESIDENTIAL_SINGLEFAMILY_GAL]:[OTHER_GAL]])</f>
        <v>22953495</v>
      </c>
      <c r="W5789">
        <f>SUM(POTABLE_NONPOTABLE_API[[#This Row],[NONPOTABLE_DEMAND_RESIDENTIAL_RECYCLED_WATER_GAL]:[NONPOTABLE_DEMAND_NONRESIDENTIAL_METERED_IRRIGATION_GAL]])</f>
        <v>0</v>
      </c>
      <c r="X5789" t="str">
        <f>IFERROR(INDEX(Crosswalk_API!$H$2:$H$527, MATCH(POTABLE_NONPOTABLE_API[[#This Row],[PWSID]], CW_PWSID_LIST, 0)), "")</f>
        <v>No</v>
      </c>
    </row>
    <row r="5790" spans="1:24" x14ac:dyDescent="0.25">
      <c r="A5790" t="s">
        <v>2410</v>
      </c>
      <c r="B5790" t="s">
        <v>2411</v>
      </c>
      <c r="C5790" t="s">
        <v>2420</v>
      </c>
      <c r="D5790" t="s">
        <v>2421</v>
      </c>
      <c r="E5790" s="9">
        <v>45231</v>
      </c>
      <c r="F5790" s="9">
        <v>45260</v>
      </c>
      <c r="G5790">
        <v>15783929</v>
      </c>
      <c r="H5790">
        <v>250917</v>
      </c>
      <c r="I5790">
        <v>706464</v>
      </c>
      <c r="J5790">
        <v>10954</v>
      </c>
      <c r="K5790">
        <v>1986</v>
      </c>
      <c r="L5790">
        <v>30503</v>
      </c>
      <c r="M5790">
        <v>0</v>
      </c>
      <c r="T5790" s="9">
        <v>45108</v>
      </c>
      <c r="U5790" s="9">
        <v>45473</v>
      </c>
      <c r="V5790">
        <f>SUM(POTABLE_NONPOTABLE_API[[#This Row],[RESIDENTIAL_SINGLEFAMILY_GAL]:[OTHER_GAL]])</f>
        <v>16784753</v>
      </c>
      <c r="W5790">
        <f>SUM(POTABLE_NONPOTABLE_API[[#This Row],[NONPOTABLE_DEMAND_RESIDENTIAL_RECYCLED_WATER_GAL]:[NONPOTABLE_DEMAND_NONRESIDENTIAL_METERED_IRRIGATION_GAL]])</f>
        <v>0</v>
      </c>
      <c r="X5790" t="str">
        <f>IFERROR(INDEX(Crosswalk_API!$H$2:$H$527, MATCH(POTABLE_NONPOTABLE_API[[#This Row],[PWSID]], CW_PWSID_LIST, 0)), "")</f>
        <v>No</v>
      </c>
    </row>
    <row r="5791" spans="1:24" x14ac:dyDescent="0.25">
      <c r="A5791" t="s">
        <v>2410</v>
      </c>
      <c r="B5791" t="s">
        <v>2411</v>
      </c>
      <c r="C5791" t="s">
        <v>2420</v>
      </c>
      <c r="D5791" t="s">
        <v>2421</v>
      </c>
      <c r="E5791" s="9">
        <v>45261</v>
      </c>
      <c r="F5791" s="9">
        <v>45291</v>
      </c>
      <c r="G5791">
        <v>16006407</v>
      </c>
      <c r="H5791">
        <v>210008</v>
      </c>
      <c r="I5791">
        <v>1140625</v>
      </c>
      <c r="J5791">
        <v>10954</v>
      </c>
      <c r="K5791">
        <v>1986</v>
      </c>
      <c r="L5791">
        <v>30503</v>
      </c>
      <c r="M5791">
        <v>0</v>
      </c>
      <c r="T5791" s="9">
        <v>45108</v>
      </c>
      <c r="U5791" s="9">
        <v>45473</v>
      </c>
      <c r="V5791">
        <f>SUM(POTABLE_NONPOTABLE_API[[#This Row],[RESIDENTIAL_SINGLEFAMILY_GAL]:[OTHER_GAL]])</f>
        <v>17400483</v>
      </c>
      <c r="W5791">
        <f>SUM(POTABLE_NONPOTABLE_API[[#This Row],[NONPOTABLE_DEMAND_RESIDENTIAL_RECYCLED_WATER_GAL]:[NONPOTABLE_DEMAND_NONRESIDENTIAL_METERED_IRRIGATION_GAL]])</f>
        <v>0</v>
      </c>
      <c r="X5791" t="str">
        <f>IFERROR(INDEX(Crosswalk_API!$H$2:$H$527, MATCH(POTABLE_NONPOTABLE_API[[#This Row],[PWSID]], CW_PWSID_LIST, 0)), "")</f>
        <v>No</v>
      </c>
    </row>
    <row r="5792" spans="1:24" x14ac:dyDescent="0.25">
      <c r="A5792" t="s">
        <v>2410</v>
      </c>
      <c r="B5792" t="s">
        <v>2411</v>
      </c>
      <c r="C5792" t="s">
        <v>2420</v>
      </c>
      <c r="D5792" t="s">
        <v>2421</v>
      </c>
      <c r="E5792" s="9">
        <v>45292</v>
      </c>
      <c r="F5792" s="9">
        <v>45322</v>
      </c>
      <c r="G5792">
        <v>12289221</v>
      </c>
      <c r="H5792">
        <v>369228</v>
      </c>
      <c r="I5792">
        <v>610824</v>
      </c>
      <c r="J5792">
        <v>0</v>
      </c>
      <c r="K5792">
        <v>0</v>
      </c>
      <c r="L5792">
        <v>0</v>
      </c>
      <c r="M5792">
        <v>0</v>
      </c>
      <c r="T5792" s="9">
        <v>45108</v>
      </c>
      <c r="U5792" s="9">
        <v>45473</v>
      </c>
      <c r="V5792">
        <f>SUM(POTABLE_NONPOTABLE_API[[#This Row],[RESIDENTIAL_SINGLEFAMILY_GAL]:[OTHER_GAL]])</f>
        <v>13269273</v>
      </c>
      <c r="W5792">
        <f>SUM(POTABLE_NONPOTABLE_API[[#This Row],[NONPOTABLE_DEMAND_RESIDENTIAL_RECYCLED_WATER_GAL]:[NONPOTABLE_DEMAND_NONRESIDENTIAL_METERED_IRRIGATION_GAL]])</f>
        <v>0</v>
      </c>
      <c r="X5792" t="str">
        <f>IFERROR(INDEX(Crosswalk_API!$H$2:$H$527, MATCH(POTABLE_NONPOTABLE_API[[#This Row],[PWSID]], CW_PWSID_LIST, 0)), "")</f>
        <v>No</v>
      </c>
    </row>
    <row r="5793" spans="1:24" x14ac:dyDescent="0.25">
      <c r="A5793" t="s">
        <v>2410</v>
      </c>
      <c r="B5793" t="s">
        <v>2411</v>
      </c>
      <c r="C5793" t="s">
        <v>2420</v>
      </c>
      <c r="D5793" t="s">
        <v>2421</v>
      </c>
      <c r="E5793" s="9">
        <v>45323</v>
      </c>
      <c r="F5793" s="9">
        <v>45351</v>
      </c>
      <c r="G5793">
        <v>13591085</v>
      </c>
      <c r="H5793">
        <v>177254</v>
      </c>
      <c r="I5793">
        <v>1004714</v>
      </c>
      <c r="J5793">
        <v>7</v>
      </c>
      <c r="K5793">
        <v>3964</v>
      </c>
      <c r="L5793">
        <v>0</v>
      </c>
      <c r="M5793">
        <v>0</v>
      </c>
      <c r="T5793" s="9">
        <v>45108</v>
      </c>
      <c r="U5793" s="9">
        <v>45473</v>
      </c>
      <c r="V5793">
        <f>SUM(POTABLE_NONPOTABLE_API[[#This Row],[RESIDENTIAL_SINGLEFAMILY_GAL]:[OTHER_GAL]])</f>
        <v>14777024</v>
      </c>
      <c r="W5793">
        <f>SUM(POTABLE_NONPOTABLE_API[[#This Row],[NONPOTABLE_DEMAND_RESIDENTIAL_RECYCLED_WATER_GAL]:[NONPOTABLE_DEMAND_NONRESIDENTIAL_METERED_IRRIGATION_GAL]])</f>
        <v>0</v>
      </c>
      <c r="X5793" t="str">
        <f>IFERROR(INDEX(Crosswalk_API!$H$2:$H$527, MATCH(POTABLE_NONPOTABLE_API[[#This Row],[PWSID]], CW_PWSID_LIST, 0)), "")</f>
        <v>No</v>
      </c>
    </row>
    <row r="5794" spans="1:24" x14ac:dyDescent="0.25">
      <c r="A5794" t="s">
        <v>2410</v>
      </c>
      <c r="B5794" t="s">
        <v>2411</v>
      </c>
      <c r="C5794" t="s">
        <v>2420</v>
      </c>
      <c r="D5794" t="s">
        <v>2421</v>
      </c>
      <c r="E5794" s="9">
        <v>45352</v>
      </c>
      <c r="F5794" s="9">
        <v>45382</v>
      </c>
      <c r="G5794">
        <v>10542387</v>
      </c>
      <c r="H5794">
        <v>311624</v>
      </c>
      <c r="I5794">
        <v>656811</v>
      </c>
      <c r="J5794">
        <v>0</v>
      </c>
      <c r="K5794">
        <v>0</v>
      </c>
      <c r="L5794">
        <v>0</v>
      </c>
      <c r="M5794">
        <v>0</v>
      </c>
      <c r="T5794" s="9">
        <v>45108</v>
      </c>
      <c r="U5794" s="9">
        <v>45473</v>
      </c>
      <c r="V5794">
        <f>SUM(POTABLE_NONPOTABLE_API[[#This Row],[RESIDENTIAL_SINGLEFAMILY_GAL]:[OTHER_GAL]])</f>
        <v>11510822</v>
      </c>
      <c r="W5794">
        <f>SUM(POTABLE_NONPOTABLE_API[[#This Row],[NONPOTABLE_DEMAND_RESIDENTIAL_RECYCLED_WATER_GAL]:[NONPOTABLE_DEMAND_NONRESIDENTIAL_METERED_IRRIGATION_GAL]])</f>
        <v>0</v>
      </c>
      <c r="X5794" t="str">
        <f>IFERROR(INDEX(Crosswalk_API!$H$2:$H$527, MATCH(POTABLE_NONPOTABLE_API[[#This Row],[PWSID]], CW_PWSID_LIST, 0)), "")</f>
        <v>No</v>
      </c>
    </row>
    <row r="5795" spans="1:24" x14ac:dyDescent="0.25">
      <c r="A5795" t="s">
        <v>2410</v>
      </c>
      <c r="B5795" t="s">
        <v>2411</v>
      </c>
      <c r="C5795" t="s">
        <v>2420</v>
      </c>
      <c r="D5795" t="s">
        <v>2421</v>
      </c>
      <c r="E5795" s="9">
        <v>45383</v>
      </c>
      <c r="F5795" s="9">
        <v>45412</v>
      </c>
      <c r="G5795">
        <v>11766511</v>
      </c>
      <c r="H5795">
        <v>153018</v>
      </c>
      <c r="I5795">
        <v>744597</v>
      </c>
      <c r="J5795">
        <v>15</v>
      </c>
      <c r="K5795">
        <v>3658</v>
      </c>
      <c r="L5795">
        <v>0</v>
      </c>
      <c r="M5795">
        <v>0</v>
      </c>
      <c r="T5795" s="9">
        <v>45108</v>
      </c>
      <c r="U5795" s="9">
        <v>45473</v>
      </c>
      <c r="V5795">
        <f>SUM(POTABLE_NONPOTABLE_API[[#This Row],[RESIDENTIAL_SINGLEFAMILY_GAL]:[OTHER_GAL]])</f>
        <v>12667799</v>
      </c>
      <c r="W5795">
        <f>SUM(POTABLE_NONPOTABLE_API[[#This Row],[NONPOTABLE_DEMAND_RESIDENTIAL_RECYCLED_WATER_GAL]:[NONPOTABLE_DEMAND_NONRESIDENTIAL_METERED_IRRIGATION_GAL]])</f>
        <v>0</v>
      </c>
      <c r="X5795" t="str">
        <f>IFERROR(INDEX(Crosswalk_API!$H$2:$H$527, MATCH(POTABLE_NONPOTABLE_API[[#This Row],[PWSID]], CW_PWSID_LIST, 0)), "")</f>
        <v>No</v>
      </c>
    </row>
    <row r="5796" spans="1:24" x14ac:dyDescent="0.25">
      <c r="A5796" t="s">
        <v>2410</v>
      </c>
      <c r="B5796" t="s">
        <v>2411</v>
      </c>
      <c r="C5796" t="s">
        <v>2420</v>
      </c>
      <c r="D5796" t="s">
        <v>2421</v>
      </c>
      <c r="E5796" s="9">
        <v>45413</v>
      </c>
      <c r="F5796" s="9">
        <v>45443</v>
      </c>
      <c r="G5796">
        <v>14209031</v>
      </c>
      <c r="H5796">
        <v>301526</v>
      </c>
      <c r="I5796">
        <v>1646580</v>
      </c>
      <c r="J5796">
        <v>0</v>
      </c>
      <c r="K5796">
        <v>0</v>
      </c>
      <c r="L5796">
        <v>0</v>
      </c>
      <c r="M5796">
        <v>0</v>
      </c>
      <c r="T5796" s="9">
        <v>45108</v>
      </c>
      <c r="U5796" s="9">
        <v>45473</v>
      </c>
      <c r="V5796">
        <f>SUM(POTABLE_NONPOTABLE_API[[#This Row],[RESIDENTIAL_SINGLEFAMILY_GAL]:[OTHER_GAL]])</f>
        <v>16157137</v>
      </c>
      <c r="W5796">
        <f>SUM(POTABLE_NONPOTABLE_API[[#This Row],[NONPOTABLE_DEMAND_RESIDENTIAL_RECYCLED_WATER_GAL]:[NONPOTABLE_DEMAND_NONRESIDENTIAL_METERED_IRRIGATION_GAL]])</f>
        <v>0</v>
      </c>
      <c r="X5796" t="str">
        <f>IFERROR(INDEX(Crosswalk_API!$H$2:$H$527, MATCH(POTABLE_NONPOTABLE_API[[#This Row],[PWSID]], CW_PWSID_LIST, 0)), "")</f>
        <v>No</v>
      </c>
    </row>
    <row r="5797" spans="1:24" x14ac:dyDescent="0.25">
      <c r="A5797" t="s">
        <v>2410</v>
      </c>
      <c r="B5797" t="s">
        <v>2411</v>
      </c>
      <c r="C5797" t="s">
        <v>2420</v>
      </c>
      <c r="D5797" t="s">
        <v>2421</v>
      </c>
      <c r="E5797" s="9">
        <v>45444</v>
      </c>
      <c r="F5797" s="9">
        <v>45473</v>
      </c>
      <c r="G5797">
        <v>18335387</v>
      </c>
      <c r="H5797">
        <v>246264</v>
      </c>
      <c r="I5797">
        <v>1647118</v>
      </c>
      <c r="J5797">
        <v>70596</v>
      </c>
      <c r="K5797">
        <v>15184</v>
      </c>
      <c r="L5797">
        <v>0</v>
      </c>
      <c r="M5797">
        <v>0</v>
      </c>
      <c r="T5797" s="9">
        <v>45108</v>
      </c>
      <c r="U5797" s="9">
        <v>45473</v>
      </c>
      <c r="V5797">
        <f>SUM(POTABLE_NONPOTABLE_API[[#This Row],[RESIDENTIAL_SINGLEFAMILY_GAL]:[OTHER_GAL]])</f>
        <v>20314549</v>
      </c>
      <c r="W5797">
        <f>SUM(POTABLE_NONPOTABLE_API[[#This Row],[NONPOTABLE_DEMAND_RESIDENTIAL_RECYCLED_WATER_GAL]:[NONPOTABLE_DEMAND_NONRESIDENTIAL_METERED_IRRIGATION_GAL]])</f>
        <v>0</v>
      </c>
      <c r="X5797" t="str">
        <f>IFERROR(INDEX(Crosswalk_API!$H$2:$H$527, MATCH(POTABLE_NONPOTABLE_API[[#This Row],[PWSID]], CW_PWSID_LIST, 0)), "")</f>
        <v>No</v>
      </c>
    </row>
    <row r="5798" spans="1:24" x14ac:dyDescent="0.25">
      <c r="A5798" t="s">
        <v>2410</v>
      </c>
      <c r="B5798" t="s">
        <v>2411</v>
      </c>
      <c r="C5798" t="s">
        <v>2422</v>
      </c>
      <c r="D5798" t="s">
        <v>2423</v>
      </c>
      <c r="E5798" s="9">
        <v>45108</v>
      </c>
      <c r="F5798" s="9">
        <v>45138</v>
      </c>
      <c r="G5798">
        <v>15037605</v>
      </c>
      <c r="H5798">
        <v>573372</v>
      </c>
      <c r="I5798">
        <v>2749274</v>
      </c>
      <c r="J5798">
        <v>71958</v>
      </c>
      <c r="K5798">
        <v>0</v>
      </c>
      <c r="L5798">
        <v>131551</v>
      </c>
      <c r="M5798">
        <v>0</v>
      </c>
      <c r="T5798" s="9">
        <v>45108</v>
      </c>
      <c r="U5798" s="9">
        <v>45473</v>
      </c>
      <c r="V5798">
        <f>SUM(POTABLE_NONPOTABLE_API[[#This Row],[RESIDENTIAL_SINGLEFAMILY_GAL]:[OTHER_GAL]])</f>
        <v>18563760</v>
      </c>
      <c r="W5798">
        <f>SUM(POTABLE_NONPOTABLE_API[[#This Row],[NONPOTABLE_DEMAND_RESIDENTIAL_RECYCLED_WATER_GAL]:[NONPOTABLE_DEMAND_NONRESIDENTIAL_METERED_IRRIGATION_GAL]])</f>
        <v>0</v>
      </c>
      <c r="X5798" t="str">
        <f>IFERROR(INDEX(Crosswalk_API!$H$2:$H$527, MATCH(POTABLE_NONPOTABLE_API[[#This Row],[PWSID]], CW_PWSID_LIST, 0)), "")</f>
        <v>No</v>
      </c>
    </row>
    <row r="5799" spans="1:24" x14ac:dyDescent="0.25">
      <c r="A5799" t="s">
        <v>2410</v>
      </c>
      <c r="B5799" t="s">
        <v>2411</v>
      </c>
      <c r="C5799" t="s">
        <v>2422</v>
      </c>
      <c r="D5799" t="s">
        <v>2423</v>
      </c>
      <c r="E5799" s="9">
        <v>45139</v>
      </c>
      <c r="F5799" s="9">
        <v>45169</v>
      </c>
      <c r="G5799">
        <v>14044717</v>
      </c>
      <c r="H5799">
        <v>711692</v>
      </c>
      <c r="I5799">
        <v>3977595</v>
      </c>
      <c r="J5799">
        <v>717998</v>
      </c>
      <c r="K5799">
        <v>0</v>
      </c>
      <c r="L5799">
        <v>131551</v>
      </c>
      <c r="M5799">
        <v>0</v>
      </c>
      <c r="T5799" s="9">
        <v>45108</v>
      </c>
      <c r="U5799" s="9">
        <v>45473</v>
      </c>
      <c r="V5799">
        <f>SUM(POTABLE_NONPOTABLE_API[[#This Row],[RESIDENTIAL_SINGLEFAMILY_GAL]:[OTHER_GAL]])</f>
        <v>19583553</v>
      </c>
      <c r="W5799">
        <f>SUM(POTABLE_NONPOTABLE_API[[#This Row],[NONPOTABLE_DEMAND_RESIDENTIAL_RECYCLED_WATER_GAL]:[NONPOTABLE_DEMAND_NONRESIDENTIAL_METERED_IRRIGATION_GAL]])</f>
        <v>0</v>
      </c>
      <c r="X5799" t="str">
        <f>IFERROR(INDEX(Crosswalk_API!$H$2:$H$527, MATCH(POTABLE_NONPOTABLE_API[[#This Row],[PWSID]], CW_PWSID_LIST, 0)), "")</f>
        <v>No</v>
      </c>
    </row>
    <row r="5800" spans="1:24" x14ac:dyDescent="0.25">
      <c r="A5800" t="s">
        <v>2410</v>
      </c>
      <c r="B5800" t="s">
        <v>2411</v>
      </c>
      <c r="C5800" t="s">
        <v>2422</v>
      </c>
      <c r="D5800" t="s">
        <v>2423</v>
      </c>
      <c r="E5800" s="9">
        <v>45170</v>
      </c>
      <c r="F5800" s="9">
        <v>45199</v>
      </c>
      <c r="G5800">
        <v>22337666</v>
      </c>
      <c r="H5800">
        <v>678174</v>
      </c>
      <c r="I5800">
        <v>2191072</v>
      </c>
      <c r="J5800">
        <v>73820</v>
      </c>
      <c r="K5800">
        <v>0</v>
      </c>
      <c r="L5800">
        <v>120727</v>
      </c>
      <c r="M5800">
        <v>0</v>
      </c>
      <c r="T5800" s="9">
        <v>45108</v>
      </c>
      <c r="U5800" s="9">
        <v>45473</v>
      </c>
      <c r="V5800">
        <f>SUM(POTABLE_NONPOTABLE_API[[#This Row],[RESIDENTIAL_SINGLEFAMILY_GAL]:[OTHER_GAL]])</f>
        <v>25401459</v>
      </c>
      <c r="W5800">
        <f>SUM(POTABLE_NONPOTABLE_API[[#This Row],[NONPOTABLE_DEMAND_RESIDENTIAL_RECYCLED_WATER_GAL]:[NONPOTABLE_DEMAND_NONRESIDENTIAL_METERED_IRRIGATION_GAL]])</f>
        <v>0</v>
      </c>
      <c r="X5800" t="str">
        <f>IFERROR(INDEX(Crosswalk_API!$H$2:$H$527, MATCH(POTABLE_NONPOTABLE_API[[#This Row],[PWSID]], CW_PWSID_LIST, 0)), "")</f>
        <v>No</v>
      </c>
    </row>
    <row r="5801" spans="1:24" x14ac:dyDescent="0.25">
      <c r="A5801" t="s">
        <v>2410</v>
      </c>
      <c r="B5801" t="s">
        <v>2411</v>
      </c>
      <c r="C5801" t="s">
        <v>2422</v>
      </c>
      <c r="D5801" t="s">
        <v>2423</v>
      </c>
      <c r="E5801" s="9">
        <v>45200</v>
      </c>
      <c r="F5801" s="9">
        <v>45230</v>
      </c>
      <c r="G5801">
        <v>12749181</v>
      </c>
      <c r="H5801">
        <v>751373</v>
      </c>
      <c r="I5801">
        <v>3343545</v>
      </c>
      <c r="J5801">
        <v>661180</v>
      </c>
      <c r="K5801">
        <v>0</v>
      </c>
      <c r="L5801">
        <v>120727</v>
      </c>
      <c r="M5801">
        <v>0</v>
      </c>
      <c r="T5801" s="9">
        <v>45108</v>
      </c>
      <c r="U5801" s="9">
        <v>45473</v>
      </c>
      <c r="V5801">
        <f>SUM(POTABLE_NONPOTABLE_API[[#This Row],[RESIDENTIAL_SINGLEFAMILY_GAL]:[OTHER_GAL]])</f>
        <v>17626006</v>
      </c>
      <c r="W5801">
        <f>SUM(POTABLE_NONPOTABLE_API[[#This Row],[NONPOTABLE_DEMAND_RESIDENTIAL_RECYCLED_WATER_GAL]:[NONPOTABLE_DEMAND_NONRESIDENTIAL_METERED_IRRIGATION_GAL]])</f>
        <v>0</v>
      </c>
      <c r="X5801" t="str">
        <f>IFERROR(INDEX(Crosswalk_API!$H$2:$H$527, MATCH(POTABLE_NONPOTABLE_API[[#This Row],[PWSID]], CW_PWSID_LIST, 0)), "")</f>
        <v>No</v>
      </c>
    </row>
    <row r="5802" spans="1:24" x14ac:dyDescent="0.25">
      <c r="A5802" t="s">
        <v>2410</v>
      </c>
      <c r="B5802" t="s">
        <v>2411</v>
      </c>
      <c r="C5802" t="s">
        <v>2422</v>
      </c>
      <c r="D5802" t="s">
        <v>2423</v>
      </c>
      <c r="E5802" s="9">
        <v>45231</v>
      </c>
      <c r="F5802" s="9">
        <v>45260</v>
      </c>
      <c r="G5802">
        <v>11454169</v>
      </c>
      <c r="H5802">
        <v>519553</v>
      </c>
      <c r="I5802">
        <v>1164617</v>
      </c>
      <c r="J5802">
        <v>77807</v>
      </c>
      <c r="K5802">
        <v>0</v>
      </c>
      <c r="L5802">
        <v>94959</v>
      </c>
      <c r="M5802">
        <v>0</v>
      </c>
      <c r="T5802" s="9">
        <v>45108</v>
      </c>
      <c r="U5802" s="9">
        <v>45473</v>
      </c>
      <c r="V5802">
        <f>SUM(POTABLE_NONPOTABLE_API[[#This Row],[RESIDENTIAL_SINGLEFAMILY_GAL]:[OTHER_GAL]])</f>
        <v>13311105</v>
      </c>
      <c r="W5802">
        <f>SUM(POTABLE_NONPOTABLE_API[[#This Row],[NONPOTABLE_DEMAND_RESIDENTIAL_RECYCLED_WATER_GAL]:[NONPOTABLE_DEMAND_NONRESIDENTIAL_METERED_IRRIGATION_GAL]])</f>
        <v>0</v>
      </c>
      <c r="X5802" t="str">
        <f>IFERROR(INDEX(Crosswalk_API!$H$2:$H$527, MATCH(POTABLE_NONPOTABLE_API[[#This Row],[PWSID]], CW_PWSID_LIST, 0)), "")</f>
        <v>No</v>
      </c>
    </row>
    <row r="5803" spans="1:24" x14ac:dyDescent="0.25">
      <c r="A5803" t="s">
        <v>2410</v>
      </c>
      <c r="B5803" t="s">
        <v>2411</v>
      </c>
      <c r="C5803" t="s">
        <v>2422</v>
      </c>
      <c r="D5803" t="s">
        <v>2423</v>
      </c>
      <c r="E5803" s="9">
        <v>45261</v>
      </c>
      <c r="F5803" s="9">
        <v>45291</v>
      </c>
      <c r="G5803">
        <v>8002874</v>
      </c>
      <c r="H5803">
        <v>527557</v>
      </c>
      <c r="I5803">
        <v>2007202</v>
      </c>
      <c r="J5803">
        <v>213711</v>
      </c>
      <c r="K5803">
        <v>0</v>
      </c>
      <c r="L5803">
        <v>94959</v>
      </c>
      <c r="M5803">
        <v>0</v>
      </c>
      <c r="T5803" s="9">
        <v>45108</v>
      </c>
      <c r="U5803" s="9">
        <v>45473</v>
      </c>
      <c r="V5803">
        <f>SUM(POTABLE_NONPOTABLE_API[[#This Row],[RESIDENTIAL_SINGLEFAMILY_GAL]:[OTHER_GAL]])</f>
        <v>10846303</v>
      </c>
      <c r="W5803">
        <f>SUM(POTABLE_NONPOTABLE_API[[#This Row],[NONPOTABLE_DEMAND_RESIDENTIAL_RECYCLED_WATER_GAL]:[NONPOTABLE_DEMAND_NONRESIDENTIAL_METERED_IRRIGATION_GAL]])</f>
        <v>0</v>
      </c>
      <c r="X5803" t="str">
        <f>IFERROR(INDEX(Crosswalk_API!$H$2:$H$527, MATCH(POTABLE_NONPOTABLE_API[[#This Row],[PWSID]], CW_PWSID_LIST, 0)), "")</f>
        <v>No</v>
      </c>
    </row>
    <row r="5804" spans="1:24" x14ac:dyDescent="0.25">
      <c r="A5804" t="s">
        <v>2410</v>
      </c>
      <c r="B5804" t="s">
        <v>2411</v>
      </c>
      <c r="C5804" t="s">
        <v>2422</v>
      </c>
      <c r="D5804" t="s">
        <v>2423</v>
      </c>
      <c r="E5804" s="9">
        <v>45292</v>
      </c>
      <c r="F5804" s="9">
        <v>45322</v>
      </c>
      <c r="G5804">
        <v>9273382</v>
      </c>
      <c r="H5804">
        <v>465308</v>
      </c>
      <c r="I5804">
        <v>61605</v>
      </c>
      <c r="J5804">
        <v>55105</v>
      </c>
      <c r="K5804">
        <v>0</v>
      </c>
      <c r="L5804">
        <v>0</v>
      </c>
      <c r="M5804">
        <v>0</v>
      </c>
      <c r="T5804" s="9">
        <v>45108</v>
      </c>
      <c r="U5804" s="9">
        <v>45473</v>
      </c>
      <c r="V5804">
        <f>SUM(POTABLE_NONPOTABLE_API[[#This Row],[RESIDENTIAL_SINGLEFAMILY_GAL]:[OTHER_GAL]])</f>
        <v>9855400</v>
      </c>
      <c r="W5804">
        <f>SUM(POTABLE_NONPOTABLE_API[[#This Row],[NONPOTABLE_DEMAND_RESIDENTIAL_RECYCLED_WATER_GAL]:[NONPOTABLE_DEMAND_NONRESIDENTIAL_METERED_IRRIGATION_GAL]])</f>
        <v>0</v>
      </c>
      <c r="X5804" t="str">
        <f>IFERROR(INDEX(Crosswalk_API!$H$2:$H$527, MATCH(POTABLE_NONPOTABLE_API[[#This Row],[PWSID]], CW_PWSID_LIST, 0)), "")</f>
        <v>No</v>
      </c>
    </row>
    <row r="5805" spans="1:24" x14ac:dyDescent="0.25">
      <c r="A5805" t="s">
        <v>2410</v>
      </c>
      <c r="B5805" t="s">
        <v>2411</v>
      </c>
      <c r="C5805" t="s">
        <v>2422</v>
      </c>
      <c r="D5805" t="s">
        <v>2423</v>
      </c>
      <c r="E5805" s="9">
        <v>45323</v>
      </c>
      <c r="F5805" s="9">
        <v>45351</v>
      </c>
      <c r="G5805">
        <v>5756122</v>
      </c>
      <c r="H5805">
        <v>431963</v>
      </c>
      <c r="I5805">
        <v>2016331</v>
      </c>
      <c r="J5805">
        <v>40227</v>
      </c>
      <c r="K5805">
        <v>0</v>
      </c>
      <c r="L5805">
        <v>0</v>
      </c>
      <c r="M5805">
        <v>0</v>
      </c>
      <c r="T5805" s="9">
        <v>45108</v>
      </c>
      <c r="U5805" s="9">
        <v>45473</v>
      </c>
      <c r="V5805">
        <f>SUM(POTABLE_NONPOTABLE_API[[#This Row],[RESIDENTIAL_SINGLEFAMILY_GAL]:[OTHER_GAL]])</f>
        <v>8244643</v>
      </c>
      <c r="W5805">
        <f>SUM(POTABLE_NONPOTABLE_API[[#This Row],[NONPOTABLE_DEMAND_RESIDENTIAL_RECYCLED_WATER_GAL]:[NONPOTABLE_DEMAND_NONRESIDENTIAL_METERED_IRRIGATION_GAL]])</f>
        <v>0</v>
      </c>
      <c r="X5805" t="str">
        <f>IFERROR(INDEX(Crosswalk_API!$H$2:$H$527, MATCH(POTABLE_NONPOTABLE_API[[#This Row],[PWSID]], CW_PWSID_LIST, 0)), "")</f>
        <v>No</v>
      </c>
    </row>
    <row r="5806" spans="1:24" x14ac:dyDescent="0.25">
      <c r="A5806" t="s">
        <v>2410</v>
      </c>
      <c r="B5806" t="s">
        <v>2411</v>
      </c>
      <c r="C5806" t="s">
        <v>2422</v>
      </c>
      <c r="D5806" t="s">
        <v>2423</v>
      </c>
      <c r="E5806" s="9">
        <v>45352</v>
      </c>
      <c r="F5806" s="9">
        <v>45382</v>
      </c>
      <c r="G5806">
        <v>7240011.6800000006</v>
      </c>
      <c r="H5806">
        <v>450310.95999999996</v>
      </c>
      <c r="I5806">
        <v>34355.64</v>
      </c>
      <c r="J5806">
        <v>35941.4</v>
      </c>
      <c r="K5806">
        <v>0</v>
      </c>
      <c r="L5806">
        <v>0</v>
      </c>
      <c r="M5806">
        <v>0</v>
      </c>
      <c r="T5806" s="9">
        <v>45108</v>
      </c>
      <c r="U5806" s="9">
        <v>45473</v>
      </c>
      <c r="V5806">
        <f>SUM(POTABLE_NONPOTABLE_API[[#This Row],[RESIDENTIAL_SINGLEFAMILY_GAL]:[OTHER_GAL]])</f>
        <v>7760619.6800000006</v>
      </c>
      <c r="W5806">
        <f>SUM(POTABLE_NONPOTABLE_API[[#This Row],[NONPOTABLE_DEMAND_RESIDENTIAL_RECYCLED_WATER_GAL]:[NONPOTABLE_DEMAND_NONRESIDENTIAL_METERED_IRRIGATION_GAL]])</f>
        <v>0</v>
      </c>
      <c r="X5806" t="str">
        <f>IFERROR(INDEX(Crosswalk_API!$H$2:$H$527, MATCH(POTABLE_NONPOTABLE_API[[#This Row],[PWSID]], CW_PWSID_LIST, 0)), "")</f>
        <v>No</v>
      </c>
    </row>
    <row r="5807" spans="1:24" x14ac:dyDescent="0.25">
      <c r="A5807" t="s">
        <v>2410</v>
      </c>
      <c r="B5807" t="s">
        <v>2411</v>
      </c>
      <c r="C5807" t="s">
        <v>2422</v>
      </c>
      <c r="D5807" t="s">
        <v>2423</v>
      </c>
      <c r="E5807" s="9">
        <v>45383</v>
      </c>
      <c r="F5807" s="9">
        <v>45412</v>
      </c>
      <c r="G5807">
        <v>5413246</v>
      </c>
      <c r="H5807">
        <v>432441</v>
      </c>
      <c r="I5807">
        <v>2222622</v>
      </c>
      <c r="J5807">
        <v>658</v>
      </c>
      <c r="K5807">
        <v>0</v>
      </c>
      <c r="L5807">
        <v>0.15657135999999999</v>
      </c>
      <c r="M5807">
        <v>0</v>
      </c>
      <c r="T5807" s="9">
        <v>45108</v>
      </c>
      <c r="U5807" s="9">
        <v>45473</v>
      </c>
      <c r="V5807">
        <f>SUM(POTABLE_NONPOTABLE_API[[#This Row],[RESIDENTIAL_SINGLEFAMILY_GAL]:[OTHER_GAL]])</f>
        <v>8068967.1565713603</v>
      </c>
      <c r="W5807">
        <f>SUM(POTABLE_NONPOTABLE_API[[#This Row],[NONPOTABLE_DEMAND_RESIDENTIAL_RECYCLED_WATER_GAL]:[NONPOTABLE_DEMAND_NONRESIDENTIAL_METERED_IRRIGATION_GAL]])</f>
        <v>0</v>
      </c>
      <c r="X5807" t="str">
        <f>IFERROR(INDEX(Crosswalk_API!$H$2:$H$527, MATCH(POTABLE_NONPOTABLE_API[[#This Row],[PWSID]], CW_PWSID_LIST, 0)), "")</f>
        <v>No</v>
      </c>
    </row>
    <row r="5808" spans="1:24" x14ac:dyDescent="0.25">
      <c r="A5808" t="s">
        <v>2410</v>
      </c>
      <c r="B5808" t="s">
        <v>2411</v>
      </c>
      <c r="C5808" t="s">
        <v>2422</v>
      </c>
      <c r="D5808" t="s">
        <v>2423</v>
      </c>
      <c r="E5808" s="9">
        <v>45413</v>
      </c>
      <c r="F5808" s="9">
        <v>45443</v>
      </c>
      <c r="G5808">
        <v>7971967</v>
      </c>
      <c r="H5808">
        <v>392603</v>
      </c>
      <c r="I5808">
        <v>46204</v>
      </c>
      <c r="J5808">
        <v>49286</v>
      </c>
      <c r="K5808">
        <v>0</v>
      </c>
      <c r="L5808">
        <v>0</v>
      </c>
      <c r="M5808">
        <v>0</v>
      </c>
      <c r="T5808" s="9">
        <v>45108</v>
      </c>
      <c r="U5808" s="9">
        <v>45473</v>
      </c>
      <c r="V5808">
        <f>SUM(POTABLE_NONPOTABLE_API[[#This Row],[RESIDENTIAL_SINGLEFAMILY_GAL]:[OTHER_GAL]])</f>
        <v>8460060</v>
      </c>
      <c r="W5808">
        <f>SUM(POTABLE_NONPOTABLE_API[[#This Row],[NONPOTABLE_DEMAND_RESIDENTIAL_RECYCLED_WATER_GAL]:[NONPOTABLE_DEMAND_NONRESIDENTIAL_METERED_IRRIGATION_GAL]])</f>
        <v>0</v>
      </c>
      <c r="X5808" t="str">
        <f>IFERROR(INDEX(Crosswalk_API!$H$2:$H$527, MATCH(POTABLE_NONPOTABLE_API[[#This Row],[PWSID]], CW_PWSID_LIST, 0)), "")</f>
        <v>No</v>
      </c>
    </row>
    <row r="5809" spans="1:24" x14ac:dyDescent="0.25">
      <c r="A5809" t="s">
        <v>2410</v>
      </c>
      <c r="B5809" t="s">
        <v>2411</v>
      </c>
      <c r="C5809" t="s">
        <v>2422</v>
      </c>
      <c r="D5809" t="s">
        <v>2423</v>
      </c>
      <c r="E5809" s="9">
        <v>45444</v>
      </c>
      <c r="F5809" s="9">
        <v>45473</v>
      </c>
      <c r="G5809">
        <v>7413368.1600000001</v>
      </c>
      <c r="H5809">
        <v>434730.12</v>
      </c>
      <c r="I5809">
        <v>3084273.2800000003</v>
      </c>
      <c r="J5809">
        <v>100733.16</v>
      </c>
      <c r="K5809">
        <v>0</v>
      </c>
      <c r="L5809">
        <v>13516.36</v>
      </c>
      <c r="M5809">
        <v>0</v>
      </c>
      <c r="T5809" s="9">
        <v>45108</v>
      </c>
      <c r="U5809" s="9">
        <v>45473</v>
      </c>
      <c r="V5809">
        <f>SUM(POTABLE_NONPOTABLE_API[[#This Row],[RESIDENTIAL_SINGLEFAMILY_GAL]:[OTHER_GAL]])</f>
        <v>11046621.08</v>
      </c>
      <c r="W5809">
        <f>SUM(POTABLE_NONPOTABLE_API[[#This Row],[NONPOTABLE_DEMAND_RESIDENTIAL_RECYCLED_WATER_GAL]:[NONPOTABLE_DEMAND_NONRESIDENTIAL_METERED_IRRIGATION_GAL]])</f>
        <v>0</v>
      </c>
      <c r="X5809" t="str">
        <f>IFERROR(INDEX(Crosswalk_API!$H$2:$H$527, MATCH(POTABLE_NONPOTABLE_API[[#This Row],[PWSID]], CW_PWSID_LIST, 0)), "")</f>
        <v>No</v>
      </c>
    </row>
    <row r="5810" spans="1:24" x14ac:dyDescent="0.25">
      <c r="A5810" t="s">
        <v>2410</v>
      </c>
      <c r="B5810" t="s">
        <v>2411</v>
      </c>
      <c r="C5810" t="s">
        <v>2424</v>
      </c>
      <c r="D5810" t="s">
        <v>2425</v>
      </c>
      <c r="E5810" s="9">
        <v>45108</v>
      </c>
      <c r="F5810" s="9">
        <v>45138</v>
      </c>
      <c r="G5810">
        <v>2320977</v>
      </c>
      <c r="H5810">
        <v>6900</v>
      </c>
      <c r="I5810">
        <v>41050</v>
      </c>
      <c r="J5810">
        <v>0</v>
      </c>
      <c r="K5810">
        <v>0</v>
      </c>
      <c r="L5810">
        <v>0</v>
      </c>
      <c r="M5810">
        <v>0</v>
      </c>
      <c r="T5810" s="9">
        <v>45108</v>
      </c>
      <c r="U5810" s="9">
        <v>45473</v>
      </c>
      <c r="V5810">
        <f>SUM(POTABLE_NONPOTABLE_API[[#This Row],[RESIDENTIAL_SINGLEFAMILY_GAL]:[OTHER_GAL]])</f>
        <v>2368927</v>
      </c>
      <c r="W5810">
        <f>SUM(POTABLE_NONPOTABLE_API[[#This Row],[NONPOTABLE_DEMAND_RESIDENTIAL_RECYCLED_WATER_GAL]:[NONPOTABLE_DEMAND_NONRESIDENTIAL_METERED_IRRIGATION_GAL]])</f>
        <v>0</v>
      </c>
      <c r="X5810" t="str">
        <f>IFERROR(INDEX(Crosswalk_API!$H$2:$H$527, MATCH(POTABLE_NONPOTABLE_API[[#This Row],[PWSID]], CW_PWSID_LIST, 0)), "")</f>
        <v>No</v>
      </c>
    </row>
    <row r="5811" spans="1:24" x14ac:dyDescent="0.25">
      <c r="A5811" t="s">
        <v>2410</v>
      </c>
      <c r="B5811" t="s">
        <v>2411</v>
      </c>
      <c r="C5811" t="s">
        <v>2424</v>
      </c>
      <c r="D5811" t="s">
        <v>2425</v>
      </c>
      <c r="E5811" s="9">
        <v>45139</v>
      </c>
      <c r="F5811" s="9">
        <v>45169</v>
      </c>
      <c r="G5811">
        <v>2417042</v>
      </c>
      <c r="H5811">
        <v>4331</v>
      </c>
      <c r="I5811">
        <v>39820</v>
      </c>
      <c r="J5811">
        <v>0</v>
      </c>
      <c r="K5811">
        <v>0</v>
      </c>
      <c r="L5811">
        <v>0</v>
      </c>
      <c r="M5811">
        <v>0</v>
      </c>
      <c r="T5811" s="9">
        <v>45108</v>
      </c>
      <c r="U5811" s="9">
        <v>45473</v>
      </c>
      <c r="V5811">
        <f>SUM(POTABLE_NONPOTABLE_API[[#This Row],[RESIDENTIAL_SINGLEFAMILY_GAL]:[OTHER_GAL]])</f>
        <v>2461193</v>
      </c>
      <c r="W5811">
        <f>SUM(POTABLE_NONPOTABLE_API[[#This Row],[NONPOTABLE_DEMAND_RESIDENTIAL_RECYCLED_WATER_GAL]:[NONPOTABLE_DEMAND_NONRESIDENTIAL_METERED_IRRIGATION_GAL]])</f>
        <v>0</v>
      </c>
      <c r="X5811" t="str">
        <f>IFERROR(INDEX(Crosswalk_API!$H$2:$H$527, MATCH(POTABLE_NONPOTABLE_API[[#This Row],[PWSID]], CW_PWSID_LIST, 0)), "")</f>
        <v>No</v>
      </c>
    </row>
    <row r="5812" spans="1:24" x14ac:dyDescent="0.25">
      <c r="A5812" t="s">
        <v>2410</v>
      </c>
      <c r="B5812" t="s">
        <v>2411</v>
      </c>
      <c r="C5812" t="s">
        <v>2424</v>
      </c>
      <c r="D5812" t="s">
        <v>2425</v>
      </c>
      <c r="E5812" s="9">
        <v>45170</v>
      </c>
      <c r="F5812" s="9">
        <v>45199</v>
      </c>
      <c r="G5812">
        <v>2409592</v>
      </c>
      <c r="H5812">
        <v>4331</v>
      </c>
      <c r="I5812">
        <v>39820</v>
      </c>
      <c r="J5812">
        <v>0</v>
      </c>
      <c r="K5812">
        <v>0</v>
      </c>
      <c r="L5812">
        <v>0</v>
      </c>
      <c r="M5812">
        <v>0</v>
      </c>
      <c r="T5812" s="9">
        <v>45108</v>
      </c>
      <c r="U5812" s="9">
        <v>45473</v>
      </c>
      <c r="V5812">
        <f>SUM(POTABLE_NONPOTABLE_API[[#This Row],[RESIDENTIAL_SINGLEFAMILY_GAL]:[OTHER_GAL]])</f>
        <v>2453743</v>
      </c>
      <c r="W5812">
        <f>SUM(POTABLE_NONPOTABLE_API[[#This Row],[NONPOTABLE_DEMAND_RESIDENTIAL_RECYCLED_WATER_GAL]:[NONPOTABLE_DEMAND_NONRESIDENTIAL_METERED_IRRIGATION_GAL]])</f>
        <v>0</v>
      </c>
      <c r="X5812" t="str">
        <f>IFERROR(INDEX(Crosswalk_API!$H$2:$H$527, MATCH(POTABLE_NONPOTABLE_API[[#This Row],[PWSID]], CW_PWSID_LIST, 0)), "")</f>
        <v>No</v>
      </c>
    </row>
    <row r="5813" spans="1:24" x14ac:dyDescent="0.25">
      <c r="A5813" t="s">
        <v>2410</v>
      </c>
      <c r="B5813" t="s">
        <v>2411</v>
      </c>
      <c r="C5813" t="s">
        <v>2424</v>
      </c>
      <c r="D5813" t="s">
        <v>2425</v>
      </c>
      <c r="E5813" s="9">
        <v>45200</v>
      </c>
      <c r="F5813" s="9">
        <v>45230</v>
      </c>
      <c r="G5813">
        <v>1678733</v>
      </c>
      <c r="H5813">
        <v>4391</v>
      </c>
      <c r="I5813">
        <v>30402</v>
      </c>
      <c r="J5813">
        <v>0</v>
      </c>
      <c r="K5813">
        <v>0</v>
      </c>
      <c r="L5813">
        <v>0</v>
      </c>
      <c r="M5813">
        <v>0</v>
      </c>
      <c r="T5813" s="9">
        <v>45108</v>
      </c>
      <c r="U5813" s="9">
        <v>45473</v>
      </c>
      <c r="V5813">
        <f>SUM(POTABLE_NONPOTABLE_API[[#This Row],[RESIDENTIAL_SINGLEFAMILY_GAL]:[OTHER_GAL]])</f>
        <v>1713526</v>
      </c>
      <c r="W5813">
        <f>SUM(POTABLE_NONPOTABLE_API[[#This Row],[NONPOTABLE_DEMAND_RESIDENTIAL_RECYCLED_WATER_GAL]:[NONPOTABLE_DEMAND_NONRESIDENTIAL_METERED_IRRIGATION_GAL]])</f>
        <v>0</v>
      </c>
      <c r="X5813" t="str">
        <f>IFERROR(INDEX(Crosswalk_API!$H$2:$H$527, MATCH(POTABLE_NONPOTABLE_API[[#This Row],[PWSID]], CW_PWSID_LIST, 0)), "")</f>
        <v>No</v>
      </c>
    </row>
    <row r="5814" spans="1:24" x14ac:dyDescent="0.25">
      <c r="A5814" t="s">
        <v>2410</v>
      </c>
      <c r="B5814" t="s">
        <v>2411</v>
      </c>
      <c r="C5814" t="s">
        <v>2424</v>
      </c>
      <c r="D5814" t="s">
        <v>2425</v>
      </c>
      <c r="E5814" s="9">
        <v>45231</v>
      </c>
      <c r="F5814" s="9">
        <v>45260</v>
      </c>
      <c r="G5814">
        <v>1654849</v>
      </c>
      <c r="H5814">
        <v>4391</v>
      </c>
      <c r="I5814">
        <v>30402</v>
      </c>
      <c r="J5814">
        <v>0</v>
      </c>
      <c r="K5814">
        <v>0</v>
      </c>
      <c r="L5814">
        <v>0</v>
      </c>
      <c r="M5814">
        <v>0</v>
      </c>
      <c r="T5814" s="9">
        <v>45108</v>
      </c>
      <c r="U5814" s="9">
        <v>45473</v>
      </c>
      <c r="V5814">
        <f>SUM(POTABLE_NONPOTABLE_API[[#This Row],[RESIDENTIAL_SINGLEFAMILY_GAL]:[OTHER_GAL]])</f>
        <v>1689642</v>
      </c>
      <c r="W5814">
        <f>SUM(POTABLE_NONPOTABLE_API[[#This Row],[NONPOTABLE_DEMAND_RESIDENTIAL_RECYCLED_WATER_GAL]:[NONPOTABLE_DEMAND_NONRESIDENTIAL_METERED_IRRIGATION_GAL]])</f>
        <v>0</v>
      </c>
      <c r="X5814" t="str">
        <f>IFERROR(INDEX(Crosswalk_API!$H$2:$H$527, MATCH(POTABLE_NONPOTABLE_API[[#This Row],[PWSID]], CW_PWSID_LIST, 0)), "")</f>
        <v>No</v>
      </c>
    </row>
    <row r="5815" spans="1:24" x14ac:dyDescent="0.25">
      <c r="A5815" t="s">
        <v>2410</v>
      </c>
      <c r="B5815" t="s">
        <v>2411</v>
      </c>
      <c r="C5815" t="s">
        <v>2424</v>
      </c>
      <c r="D5815" t="s">
        <v>2425</v>
      </c>
      <c r="E5815" s="9">
        <v>45261</v>
      </c>
      <c r="F5815" s="9">
        <v>45291</v>
      </c>
      <c r="G5815">
        <v>1671376</v>
      </c>
      <c r="H5815">
        <v>6601</v>
      </c>
      <c r="I5815">
        <v>21688</v>
      </c>
      <c r="J5815">
        <v>0</v>
      </c>
      <c r="K5815">
        <v>0</v>
      </c>
      <c r="L5815">
        <v>0</v>
      </c>
      <c r="M5815">
        <v>0</v>
      </c>
      <c r="T5815" s="9">
        <v>45108</v>
      </c>
      <c r="U5815" s="9">
        <v>45473</v>
      </c>
      <c r="V5815">
        <f>SUM(POTABLE_NONPOTABLE_API[[#This Row],[RESIDENTIAL_SINGLEFAMILY_GAL]:[OTHER_GAL]])</f>
        <v>1699665</v>
      </c>
      <c r="W5815">
        <f>SUM(POTABLE_NONPOTABLE_API[[#This Row],[NONPOTABLE_DEMAND_RESIDENTIAL_RECYCLED_WATER_GAL]:[NONPOTABLE_DEMAND_NONRESIDENTIAL_METERED_IRRIGATION_GAL]])</f>
        <v>0</v>
      </c>
      <c r="X5815" t="str">
        <f>IFERROR(INDEX(Crosswalk_API!$H$2:$H$527, MATCH(POTABLE_NONPOTABLE_API[[#This Row],[PWSID]], CW_PWSID_LIST, 0)), "")</f>
        <v>No</v>
      </c>
    </row>
    <row r="5816" spans="1:24" x14ac:dyDescent="0.25">
      <c r="A5816" t="s">
        <v>2410</v>
      </c>
      <c r="B5816" t="s">
        <v>2411</v>
      </c>
      <c r="C5816" t="s">
        <v>2424</v>
      </c>
      <c r="D5816" t="s">
        <v>2425</v>
      </c>
      <c r="E5816" s="9">
        <v>45292</v>
      </c>
      <c r="F5816" s="9">
        <v>45322</v>
      </c>
      <c r="G5816">
        <v>1671376</v>
      </c>
      <c r="H5816">
        <v>6601</v>
      </c>
      <c r="I5816">
        <v>21688</v>
      </c>
      <c r="J5816">
        <v>0</v>
      </c>
      <c r="K5816">
        <v>0</v>
      </c>
      <c r="L5816">
        <v>0</v>
      </c>
      <c r="M5816">
        <v>0</v>
      </c>
      <c r="T5816" s="9">
        <v>45108</v>
      </c>
      <c r="U5816" s="9">
        <v>45473</v>
      </c>
      <c r="V5816">
        <f>SUM(POTABLE_NONPOTABLE_API[[#This Row],[RESIDENTIAL_SINGLEFAMILY_GAL]:[OTHER_GAL]])</f>
        <v>1699665</v>
      </c>
      <c r="W5816">
        <f>SUM(POTABLE_NONPOTABLE_API[[#This Row],[NONPOTABLE_DEMAND_RESIDENTIAL_RECYCLED_WATER_GAL]:[NONPOTABLE_DEMAND_NONRESIDENTIAL_METERED_IRRIGATION_GAL]])</f>
        <v>0</v>
      </c>
      <c r="X5816" t="str">
        <f>IFERROR(INDEX(Crosswalk_API!$H$2:$H$527, MATCH(POTABLE_NONPOTABLE_API[[#This Row],[PWSID]], CW_PWSID_LIST, 0)), "")</f>
        <v>No</v>
      </c>
    </row>
    <row r="5817" spans="1:24" x14ac:dyDescent="0.25">
      <c r="A5817" t="s">
        <v>2410</v>
      </c>
      <c r="B5817" t="s">
        <v>2411</v>
      </c>
      <c r="C5817" t="s">
        <v>2424</v>
      </c>
      <c r="D5817" t="s">
        <v>2425</v>
      </c>
      <c r="E5817" s="9">
        <v>45323</v>
      </c>
      <c r="F5817" s="9">
        <v>45351</v>
      </c>
      <c r="G5817">
        <v>7383</v>
      </c>
      <c r="H5817">
        <v>0</v>
      </c>
      <c r="I5817">
        <v>0</v>
      </c>
      <c r="J5817">
        <v>0</v>
      </c>
      <c r="K5817">
        <v>0</v>
      </c>
      <c r="L5817">
        <v>0</v>
      </c>
      <c r="M5817">
        <v>0</v>
      </c>
      <c r="T5817" s="9">
        <v>45108</v>
      </c>
      <c r="U5817" s="9">
        <v>45473</v>
      </c>
      <c r="V5817">
        <f>SUM(POTABLE_NONPOTABLE_API[[#This Row],[RESIDENTIAL_SINGLEFAMILY_GAL]:[OTHER_GAL]])</f>
        <v>7383</v>
      </c>
      <c r="W5817">
        <f>SUM(POTABLE_NONPOTABLE_API[[#This Row],[NONPOTABLE_DEMAND_RESIDENTIAL_RECYCLED_WATER_GAL]:[NONPOTABLE_DEMAND_NONRESIDENTIAL_METERED_IRRIGATION_GAL]])</f>
        <v>0</v>
      </c>
      <c r="X5817" t="str">
        <f>IFERROR(INDEX(Crosswalk_API!$H$2:$H$527, MATCH(POTABLE_NONPOTABLE_API[[#This Row],[PWSID]], CW_PWSID_LIST, 0)), "")</f>
        <v>No</v>
      </c>
    </row>
    <row r="5818" spans="1:24" x14ac:dyDescent="0.25">
      <c r="A5818" t="s">
        <v>2410</v>
      </c>
      <c r="B5818" t="s">
        <v>2411</v>
      </c>
      <c r="C5818" t="s">
        <v>2424</v>
      </c>
      <c r="D5818" t="s">
        <v>2425</v>
      </c>
      <c r="E5818" s="9">
        <v>45352</v>
      </c>
      <c r="F5818" s="9">
        <v>45382</v>
      </c>
      <c r="G5818">
        <v>2987048.24</v>
      </c>
      <c r="H5818">
        <v>24541.879999999997</v>
      </c>
      <c r="I5818">
        <v>107382.88</v>
      </c>
      <c r="J5818">
        <v>0</v>
      </c>
      <c r="K5818">
        <v>0</v>
      </c>
      <c r="L5818">
        <v>0</v>
      </c>
      <c r="M5818">
        <v>0</v>
      </c>
      <c r="T5818" s="9">
        <v>45108</v>
      </c>
      <c r="U5818" s="9">
        <v>45473</v>
      </c>
      <c r="V5818">
        <f>SUM(POTABLE_NONPOTABLE_API[[#This Row],[RESIDENTIAL_SINGLEFAMILY_GAL]:[OTHER_GAL]])</f>
        <v>3118973</v>
      </c>
      <c r="W5818">
        <f>SUM(POTABLE_NONPOTABLE_API[[#This Row],[NONPOTABLE_DEMAND_RESIDENTIAL_RECYCLED_WATER_GAL]:[NONPOTABLE_DEMAND_NONRESIDENTIAL_METERED_IRRIGATION_GAL]])</f>
        <v>0</v>
      </c>
      <c r="X5818" t="str">
        <f>IFERROR(INDEX(Crosswalk_API!$H$2:$H$527, MATCH(POTABLE_NONPOTABLE_API[[#This Row],[PWSID]], CW_PWSID_LIST, 0)), "")</f>
        <v>No</v>
      </c>
    </row>
    <row r="5819" spans="1:24" x14ac:dyDescent="0.25">
      <c r="A5819" t="s">
        <v>2410</v>
      </c>
      <c r="B5819" t="s">
        <v>2411</v>
      </c>
      <c r="C5819" t="s">
        <v>2424</v>
      </c>
      <c r="D5819" t="s">
        <v>2425</v>
      </c>
      <c r="E5819" s="9">
        <v>45383</v>
      </c>
      <c r="F5819" s="9">
        <v>45412</v>
      </c>
      <c r="G5819">
        <v>1610000</v>
      </c>
      <c r="H5819">
        <v>18397.599999999999</v>
      </c>
      <c r="I5819">
        <v>16089.48</v>
      </c>
      <c r="J5819">
        <v>0</v>
      </c>
      <c r="K5819">
        <v>0</v>
      </c>
      <c r="L5819">
        <v>0</v>
      </c>
      <c r="M5819">
        <v>0</v>
      </c>
      <c r="T5819" s="9">
        <v>45108</v>
      </c>
      <c r="U5819" s="9">
        <v>45473</v>
      </c>
      <c r="V5819">
        <f>SUM(POTABLE_NONPOTABLE_API[[#This Row],[RESIDENTIAL_SINGLEFAMILY_GAL]:[OTHER_GAL]])</f>
        <v>1644487.08</v>
      </c>
      <c r="W5819">
        <f>SUM(POTABLE_NONPOTABLE_API[[#This Row],[NONPOTABLE_DEMAND_RESIDENTIAL_RECYCLED_WATER_GAL]:[NONPOTABLE_DEMAND_NONRESIDENTIAL_METERED_IRRIGATION_GAL]])</f>
        <v>0</v>
      </c>
      <c r="X5819" t="str">
        <f>IFERROR(INDEX(Crosswalk_API!$H$2:$H$527, MATCH(POTABLE_NONPOTABLE_API[[#This Row],[PWSID]], CW_PWSID_LIST, 0)), "")</f>
        <v>No</v>
      </c>
    </row>
    <row r="5820" spans="1:24" x14ac:dyDescent="0.25">
      <c r="A5820" t="s">
        <v>2410</v>
      </c>
      <c r="B5820" t="s">
        <v>2411</v>
      </c>
      <c r="C5820" t="s">
        <v>2424</v>
      </c>
      <c r="D5820" t="s">
        <v>2425</v>
      </c>
      <c r="E5820" s="9">
        <v>45413</v>
      </c>
      <c r="F5820" s="9">
        <v>45443</v>
      </c>
      <c r="G5820">
        <v>1610212</v>
      </c>
      <c r="H5820">
        <v>18367</v>
      </c>
      <c r="I5820">
        <v>16089</v>
      </c>
      <c r="J5820">
        <v>0</v>
      </c>
      <c r="K5820">
        <v>0</v>
      </c>
      <c r="L5820">
        <v>0</v>
      </c>
      <c r="M5820">
        <v>0</v>
      </c>
      <c r="T5820" s="9">
        <v>45108</v>
      </c>
      <c r="U5820" s="9">
        <v>45473</v>
      </c>
      <c r="V5820">
        <f>SUM(POTABLE_NONPOTABLE_API[[#This Row],[RESIDENTIAL_SINGLEFAMILY_GAL]:[OTHER_GAL]])</f>
        <v>1644668</v>
      </c>
      <c r="W5820">
        <f>SUM(POTABLE_NONPOTABLE_API[[#This Row],[NONPOTABLE_DEMAND_RESIDENTIAL_RECYCLED_WATER_GAL]:[NONPOTABLE_DEMAND_NONRESIDENTIAL_METERED_IRRIGATION_GAL]])</f>
        <v>0</v>
      </c>
      <c r="X5820" t="str">
        <f>IFERROR(INDEX(Crosswalk_API!$H$2:$H$527, MATCH(POTABLE_NONPOTABLE_API[[#This Row],[PWSID]], CW_PWSID_LIST, 0)), "")</f>
        <v>No</v>
      </c>
    </row>
    <row r="5821" spans="1:24" x14ac:dyDescent="0.25">
      <c r="A5821" t="s">
        <v>2410</v>
      </c>
      <c r="B5821" t="s">
        <v>2411</v>
      </c>
      <c r="C5821" t="s">
        <v>2424</v>
      </c>
      <c r="D5821" t="s">
        <v>2425</v>
      </c>
      <c r="E5821" s="9">
        <v>45444</v>
      </c>
      <c r="F5821" s="9">
        <v>45473</v>
      </c>
      <c r="G5821">
        <v>2214166.02</v>
      </c>
      <c r="H5821">
        <v>11792.220000000001</v>
      </c>
      <c r="I5821">
        <v>6111.16</v>
      </c>
      <c r="J5821">
        <v>0</v>
      </c>
      <c r="K5821">
        <v>0</v>
      </c>
      <c r="L5821">
        <v>0</v>
      </c>
      <c r="M5821">
        <v>0</v>
      </c>
      <c r="T5821" s="9">
        <v>45108</v>
      </c>
      <c r="U5821" s="9">
        <v>45473</v>
      </c>
      <c r="V5821">
        <f>SUM(POTABLE_NONPOTABLE_API[[#This Row],[RESIDENTIAL_SINGLEFAMILY_GAL]:[OTHER_GAL]])</f>
        <v>2232069.4000000004</v>
      </c>
      <c r="W5821">
        <f>SUM(POTABLE_NONPOTABLE_API[[#This Row],[NONPOTABLE_DEMAND_RESIDENTIAL_RECYCLED_WATER_GAL]:[NONPOTABLE_DEMAND_NONRESIDENTIAL_METERED_IRRIGATION_GAL]])</f>
        <v>0</v>
      </c>
      <c r="X5821" t="str">
        <f>IFERROR(INDEX(Crosswalk_API!$H$2:$H$527, MATCH(POTABLE_NONPOTABLE_API[[#This Row],[PWSID]], CW_PWSID_LIST, 0)), "")</f>
        <v>No</v>
      </c>
    </row>
    <row r="5822" spans="1:24" x14ac:dyDescent="0.25">
      <c r="A5822" t="s">
        <v>2410</v>
      </c>
      <c r="B5822" t="s">
        <v>2411</v>
      </c>
      <c r="C5822" t="s">
        <v>2426</v>
      </c>
      <c r="D5822" t="s">
        <v>2427</v>
      </c>
      <c r="E5822" s="9">
        <v>45108</v>
      </c>
      <c r="F5822" s="9">
        <v>45138</v>
      </c>
      <c r="G5822">
        <v>80743</v>
      </c>
      <c r="H5822">
        <v>0</v>
      </c>
      <c r="I5822">
        <v>0</v>
      </c>
      <c r="J5822">
        <v>0</v>
      </c>
      <c r="K5822">
        <v>0</v>
      </c>
      <c r="L5822">
        <v>0</v>
      </c>
      <c r="M5822">
        <v>0</v>
      </c>
      <c r="T5822" s="9">
        <v>45108</v>
      </c>
      <c r="U5822" s="9">
        <v>45473</v>
      </c>
      <c r="V5822">
        <f>SUM(POTABLE_NONPOTABLE_API[[#This Row],[RESIDENTIAL_SINGLEFAMILY_GAL]:[OTHER_GAL]])</f>
        <v>80743</v>
      </c>
      <c r="W5822">
        <f>SUM(POTABLE_NONPOTABLE_API[[#This Row],[NONPOTABLE_DEMAND_RESIDENTIAL_RECYCLED_WATER_GAL]:[NONPOTABLE_DEMAND_NONRESIDENTIAL_METERED_IRRIGATION_GAL]])</f>
        <v>0</v>
      </c>
      <c r="X5822" t="str">
        <f>IFERROR(INDEX(Crosswalk_API!$H$2:$H$527, MATCH(POTABLE_NONPOTABLE_API[[#This Row],[PWSID]], CW_PWSID_LIST, 0)), "")</f>
        <v>No</v>
      </c>
    </row>
    <row r="5823" spans="1:24" x14ac:dyDescent="0.25">
      <c r="A5823" t="s">
        <v>2410</v>
      </c>
      <c r="B5823" t="s">
        <v>2411</v>
      </c>
      <c r="C5823" t="s">
        <v>2426</v>
      </c>
      <c r="D5823" t="s">
        <v>2427</v>
      </c>
      <c r="E5823" s="9">
        <v>45139</v>
      </c>
      <c r="F5823" s="9">
        <v>45169</v>
      </c>
      <c r="G5823">
        <v>84202</v>
      </c>
      <c r="H5823">
        <v>0</v>
      </c>
      <c r="I5823">
        <v>0</v>
      </c>
      <c r="J5823">
        <v>0</v>
      </c>
      <c r="K5823">
        <v>0</v>
      </c>
      <c r="L5823">
        <v>0</v>
      </c>
      <c r="M5823">
        <v>0</v>
      </c>
      <c r="T5823" s="9">
        <v>45108</v>
      </c>
      <c r="U5823" s="9">
        <v>45473</v>
      </c>
      <c r="V5823">
        <f>SUM(POTABLE_NONPOTABLE_API[[#This Row],[RESIDENTIAL_SINGLEFAMILY_GAL]:[OTHER_GAL]])</f>
        <v>84202</v>
      </c>
      <c r="W5823">
        <f>SUM(POTABLE_NONPOTABLE_API[[#This Row],[NONPOTABLE_DEMAND_RESIDENTIAL_RECYCLED_WATER_GAL]:[NONPOTABLE_DEMAND_NONRESIDENTIAL_METERED_IRRIGATION_GAL]])</f>
        <v>0</v>
      </c>
      <c r="X5823" t="str">
        <f>IFERROR(INDEX(Crosswalk_API!$H$2:$H$527, MATCH(POTABLE_NONPOTABLE_API[[#This Row],[PWSID]], CW_PWSID_LIST, 0)), "")</f>
        <v>No</v>
      </c>
    </row>
    <row r="5824" spans="1:24" x14ac:dyDescent="0.25">
      <c r="A5824" t="s">
        <v>2410</v>
      </c>
      <c r="B5824" t="s">
        <v>2411</v>
      </c>
      <c r="C5824" t="s">
        <v>2426</v>
      </c>
      <c r="D5824" t="s">
        <v>2427</v>
      </c>
      <c r="E5824" s="9">
        <v>45170</v>
      </c>
      <c r="F5824" s="9">
        <v>45199</v>
      </c>
      <c r="G5824">
        <v>84202</v>
      </c>
      <c r="H5824">
        <v>0</v>
      </c>
      <c r="I5824">
        <v>0</v>
      </c>
      <c r="J5824">
        <v>0</v>
      </c>
      <c r="K5824">
        <v>0</v>
      </c>
      <c r="L5824">
        <v>0</v>
      </c>
      <c r="M5824">
        <v>0</v>
      </c>
      <c r="T5824" s="9">
        <v>45108</v>
      </c>
      <c r="U5824" s="9">
        <v>45473</v>
      </c>
      <c r="V5824">
        <f>SUM(POTABLE_NONPOTABLE_API[[#This Row],[RESIDENTIAL_SINGLEFAMILY_GAL]:[OTHER_GAL]])</f>
        <v>84202</v>
      </c>
      <c r="W5824">
        <f>SUM(POTABLE_NONPOTABLE_API[[#This Row],[NONPOTABLE_DEMAND_RESIDENTIAL_RECYCLED_WATER_GAL]:[NONPOTABLE_DEMAND_NONRESIDENTIAL_METERED_IRRIGATION_GAL]])</f>
        <v>0</v>
      </c>
      <c r="X5824" t="str">
        <f>IFERROR(INDEX(Crosswalk_API!$H$2:$H$527, MATCH(POTABLE_NONPOTABLE_API[[#This Row],[PWSID]], CW_PWSID_LIST, 0)), "")</f>
        <v>No</v>
      </c>
    </row>
    <row r="5825" spans="1:24" x14ac:dyDescent="0.25">
      <c r="A5825" t="s">
        <v>2410</v>
      </c>
      <c r="B5825" t="s">
        <v>2411</v>
      </c>
      <c r="C5825" t="s">
        <v>2426</v>
      </c>
      <c r="D5825" t="s">
        <v>2427</v>
      </c>
      <c r="E5825" s="9">
        <v>45200</v>
      </c>
      <c r="F5825" s="9">
        <v>45230</v>
      </c>
      <c r="G5825">
        <v>45822</v>
      </c>
      <c r="H5825">
        <v>0</v>
      </c>
      <c r="I5825">
        <v>0</v>
      </c>
      <c r="J5825">
        <v>0</v>
      </c>
      <c r="K5825">
        <v>0</v>
      </c>
      <c r="L5825">
        <v>0</v>
      </c>
      <c r="M5825">
        <v>0</v>
      </c>
      <c r="T5825" s="9">
        <v>45108</v>
      </c>
      <c r="U5825" s="9">
        <v>45473</v>
      </c>
      <c r="V5825">
        <f>SUM(POTABLE_NONPOTABLE_API[[#This Row],[RESIDENTIAL_SINGLEFAMILY_GAL]:[OTHER_GAL]])</f>
        <v>45822</v>
      </c>
      <c r="W5825">
        <f>SUM(POTABLE_NONPOTABLE_API[[#This Row],[NONPOTABLE_DEMAND_RESIDENTIAL_RECYCLED_WATER_GAL]:[NONPOTABLE_DEMAND_NONRESIDENTIAL_METERED_IRRIGATION_GAL]])</f>
        <v>0</v>
      </c>
      <c r="X5825" t="str">
        <f>IFERROR(INDEX(Crosswalk_API!$H$2:$H$527, MATCH(POTABLE_NONPOTABLE_API[[#This Row],[PWSID]], CW_PWSID_LIST, 0)), "")</f>
        <v>No</v>
      </c>
    </row>
    <row r="5826" spans="1:24" x14ac:dyDescent="0.25">
      <c r="A5826" t="s">
        <v>2410</v>
      </c>
      <c r="B5826" t="s">
        <v>2411</v>
      </c>
      <c r="C5826" t="s">
        <v>2426</v>
      </c>
      <c r="D5826" t="s">
        <v>2427</v>
      </c>
      <c r="E5826" s="9">
        <v>45231</v>
      </c>
      <c r="F5826" s="9">
        <v>45260</v>
      </c>
      <c r="G5826">
        <v>45822</v>
      </c>
      <c r="H5826">
        <v>0</v>
      </c>
      <c r="I5826">
        <v>0</v>
      </c>
      <c r="J5826">
        <v>0</v>
      </c>
      <c r="K5826">
        <v>0</v>
      </c>
      <c r="L5826">
        <v>0</v>
      </c>
      <c r="M5826">
        <v>0</v>
      </c>
      <c r="T5826" s="9">
        <v>45108</v>
      </c>
      <c r="U5826" s="9">
        <v>45473</v>
      </c>
      <c r="V5826">
        <f>SUM(POTABLE_NONPOTABLE_API[[#This Row],[RESIDENTIAL_SINGLEFAMILY_GAL]:[OTHER_GAL]])</f>
        <v>45822</v>
      </c>
      <c r="W5826">
        <f>SUM(POTABLE_NONPOTABLE_API[[#This Row],[NONPOTABLE_DEMAND_RESIDENTIAL_RECYCLED_WATER_GAL]:[NONPOTABLE_DEMAND_NONRESIDENTIAL_METERED_IRRIGATION_GAL]])</f>
        <v>0</v>
      </c>
      <c r="X5826" t="str">
        <f>IFERROR(INDEX(Crosswalk_API!$H$2:$H$527, MATCH(POTABLE_NONPOTABLE_API[[#This Row],[PWSID]], CW_PWSID_LIST, 0)), "")</f>
        <v>No</v>
      </c>
    </row>
    <row r="5827" spans="1:24" x14ac:dyDescent="0.25">
      <c r="A5827" t="s">
        <v>2410</v>
      </c>
      <c r="B5827" t="s">
        <v>2411</v>
      </c>
      <c r="C5827" t="s">
        <v>2426</v>
      </c>
      <c r="D5827" t="s">
        <v>2427</v>
      </c>
      <c r="E5827" s="9">
        <v>45261</v>
      </c>
      <c r="F5827" s="9">
        <v>45291</v>
      </c>
      <c r="G5827">
        <v>35040</v>
      </c>
      <c r="H5827">
        <v>0</v>
      </c>
      <c r="I5827">
        <v>0</v>
      </c>
      <c r="J5827">
        <v>0</v>
      </c>
      <c r="K5827">
        <v>0</v>
      </c>
      <c r="L5827">
        <v>0</v>
      </c>
      <c r="M5827">
        <v>0</v>
      </c>
      <c r="T5827" s="9">
        <v>45108</v>
      </c>
      <c r="U5827" s="9">
        <v>45473</v>
      </c>
      <c r="V5827">
        <f>SUM(POTABLE_NONPOTABLE_API[[#This Row],[RESIDENTIAL_SINGLEFAMILY_GAL]:[OTHER_GAL]])</f>
        <v>35040</v>
      </c>
      <c r="W5827">
        <f>SUM(POTABLE_NONPOTABLE_API[[#This Row],[NONPOTABLE_DEMAND_RESIDENTIAL_RECYCLED_WATER_GAL]:[NONPOTABLE_DEMAND_NONRESIDENTIAL_METERED_IRRIGATION_GAL]])</f>
        <v>0</v>
      </c>
      <c r="X5827" t="str">
        <f>IFERROR(INDEX(Crosswalk_API!$H$2:$H$527, MATCH(POTABLE_NONPOTABLE_API[[#This Row],[PWSID]], CW_PWSID_LIST, 0)), "")</f>
        <v>No</v>
      </c>
    </row>
    <row r="5828" spans="1:24" x14ac:dyDescent="0.25">
      <c r="A5828" t="s">
        <v>2410</v>
      </c>
      <c r="B5828" t="s">
        <v>2411</v>
      </c>
      <c r="C5828" t="s">
        <v>2426</v>
      </c>
      <c r="D5828" t="s">
        <v>2427</v>
      </c>
      <c r="E5828" s="9">
        <v>45292</v>
      </c>
      <c r="F5828" s="9">
        <v>45322</v>
      </c>
      <c r="G5828">
        <v>35040</v>
      </c>
      <c r="H5828">
        <v>0</v>
      </c>
      <c r="I5828">
        <v>0</v>
      </c>
      <c r="J5828">
        <v>0</v>
      </c>
      <c r="K5828">
        <v>0</v>
      </c>
      <c r="L5828">
        <v>0</v>
      </c>
      <c r="M5828">
        <v>0</v>
      </c>
      <c r="T5828" s="9">
        <v>45108</v>
      </c>
      <c r="U5828" s="9">
        <v>45473</v>
      </c>
      <c r="V5828">
        <f>SUM(POTABLE_NONPOTABLE_API[[#This Row],[RESIDENTIAL_SINGLEFAMILY_GAL]:[OTHER_GAL]])</f>
        <v>35040</v>
      </c>
      <c r="W5828">
        <f>SUM(POTABLE_NONPOTABLE_API[[#This Row],[NONPOTABLE_DEMAND_RESIDENTIAL_RECYCLED_WATER_GAL]:[NONPOTABLE_DEMAND_NONRESIDENTIAL_METERED_IRRIGATION_GAL]])</f>
        <v>0</v>
      </c>
      <c r="X5828" t="str">
        <f>IFERROR(INDEX(Crosswalk_API!$H$2:$H$527, MATCH(POTABLE_NONPOTABLE_API[[#This Row],[PWSID]], CW_PWSID_LIST, 0)), "")</f>
        <v>No</v>
      </c>
    </row>
    <row r="5829" spans="1:24" x14ac:dyDescent="0.25">
      <c r="A5829" t="s">
        <v>2410</v>
      </c>
      <c r="B5829" t="s">
        <v>2411</v>
      </c>
      <c r="C5829" t="s">
        <v>2426</v>
      </c>
      <c r="D5829" t="s">
        <v>2427</v>
      </c>
      <c r="E5829" s="9">
        <v>45323</v>
      </c>
      <c r="F5829" s="9">
        <v>45351</v>
      </c>
      <c r="G5829">
        <v>34632</v>
      </c>
      <c r="H5829">
        <v>0</v>
      </c>
      <c r="I5829">
        <v>0</v>
      </c>
      <c r="J5829">
        <v>0</v>
      </c>
      <c r="K5829">
        <v>0</v>
      </c>
      <c r="L5829">
        <v>0</v>
      </c>
      <c r="M5829">
        <v>0</v>
      </c>
      <c r="T5829" s="9">
        <v>45108</v>
      </c>
      <c r="U5829" s="9">
        <v>45473</v>
      </c>
      <c r="V5829">
        <f>SUM(POTABLE_NONPOTABLE_API[[#This Row],[RESIDENTIAL_SINGLEFAMILY_GAL]:[OTHER_GAL]])</f>
        <v>34632</v>
      </c>
      <c r="W5829">
        <f>SUM(POTABLE_NONPOTABLE_API[[#This Row],[NONPOTABLE_DEMAND_RESIDENTIAL_RECYCLED_WATER_GAL]:[NONPOTABLE_DEMAND_NONRESIDENTIAL_METERED_IRRIGATION_GAL]])</f>
        <v>0</v>
      </c>
      <c r="X5829" t="str">
        <f>IFERROR(INDEX(Crosswalk_API!$H$2:$H$527, MATCH(POTABLE_NONPOTABLE_API[[#This Row],[PWSID]], CW_PWSID_LIST, 0)), "")</f>
        <v>No</v>
      </c>
    </row>
    <row r="5830" spans="1:24" x14ac:dyDescent="0.25">
      <c r="A5830" t="s">
        <v>2410</v>
      </c>
      <c r="B5830" t="s">
        <v>2411</v>
      </c>
      <c r="C5830" t="s">
        <v>2426</v>
      </c>
      <c r="D5830" t="s">
        <v>2427</v>
      </c>
      <c r="E5830" s="9">
        <v>45352</v>
      </c>
      <c r="F5830" s="9">
        <v>45382</v>
      </c>
      <c r="G5830">
        <v>31566</v>
      </c>
      <c r="H5830">
        <v>0</v>
      </c>
      <c r="I5830">
        <v>0</v>
      </c>
      <c r="J5830">
        <v>0</v>
      </c>
      <c r="K5830">
        <v>0</v>
      </c>
      <c r="L5830">
        <v>0</v>
      </c>
      <c r="M5830">
        <v>0</v>
      </c>
      <c r="T5830" s="9">
        <v>45108</v>
      </c>
      <c r="U5830" s="9">
        <v>45473</v>
      </c>
      <c r="V5830">
        <f>SUM(POTABLE_NONPOTABLE_API[[#This Row],[RESIDENTIAL_SINGLEFAMILY_GAL]:[OTHER_GAL]])</f>
        <v>31566</v>
      </c>
      <c r="W5830">
        <f>SUM(POTABLE_NONPOTABLE_API[[#This Row],[NONPOTABLE_DEMAND_RESIDENTIAL_RECYCLED_WATER_GAL]:[NONPOTABLE_DEMAND_NONRESIDENTIAL_METERED_IRRIGATION_GAL]])</f>
        <v>0</v>
      </c>
      <c r="X5830" t="str">
        <f>IFERROR(INDEX(Crosswalk_API!$H$2:$H$527, MATCH(POTABLE_NONPOTABLE_API[[#This Row],[PWSID]], CW_PWSID_LIST, 0)), "")</f>
        <v>No</v>
      </c>
    </row>
    <row r="5831" spans="1:24" x14ac:dyDescent="0.25">
      <c r="A5831" t="s">
        <v>2410</v>
      </c>
      <c r="B5831" t="s">
        <v>2411</v>
      </c>
      <c r="C5831" t="s">
        <v>2426</v>
      </c>
      <c r="D5831" t="s">
        <v>2427</v>
      </c>
      <c r="E5831" s="9">
        <v>45383</v>
      </c>
      <c r="F5831" s="9">
        <v>45412</v>
      </c>
      <c r="G5831">
        <v>49611</v>
      </c>
      <c r="H5831">
        <v>0</v>
      </c>
      <c r="I5831">
        <v>0</v>
      </c>
      <c r="J5831">
        <v>0</v>
      </c>
      <c r="K5831">
        <v>0</v>
      </c>
      <c r="L5831">
        <v>0</v>
      </c>
      <c r="M5831">
        <v>0</v>
      </c>
      <c r="T5831" s="9">
        <v>45108</v>
      </c>
      <c r="U5831" s="9">
        <v>45473</v>
      </c>
      <c r="V5831">
        <f>SUM(POTABLE_NONPOTABLE_API[[#This Row],[RESIDENTIAL_SINGLEFAMILY_GAL]:[OTHER_GAL]])</f>
        <v>49611</v>
      </c>
      <c r="W5831">
        <f>SUM(POTABLE_NONPOTABLE_API[[#This Row],[NONPOTABLE_DEMAND_RESIDENTIAL_RECYCLED_WATER_GAL]:[NONPOTABLE_DEMAND_NONRESIDENTIAL_METERED_IRRIGATION_GAL]])</f>
        <v>0</v>
      </c>
      <c r="X5831" t="str">
        <f>IFERROR(INDEX(Crosswalk_API!$H$2:$H$527, MATCH(POTABLE_NONPOTABLE_API[[#This Row],[PWSID]], CW_PWSID_LIST, 0)), "")</f>
        <v>No</v>
      </c>
    </row>
    <row r="5832" spans="1:24" x14ac:dyDescent="0.25">
      <c r="A5832" t="s">
        <v>2410</v>
      </c>
      <c r="B5832" t="s">
        <v>2411</v>
      </c>
      <c r="C5832" t="s">
        <v>2426</v>
      </c>
      <c r="D5832" t="s">
        <v>2427</v>
      </c>
      <c r="E5832" s="9">
        <v>45413</v>
      </c>
      <c r="F5832" s="9">
        <v>45443</v>
      </c>
      <c r="G5832">
        <v>49611</v>
      </c>
      <c r="H5832">
        <v>0</v>
      </c>
      <c r="I5832">
        <v>0</v>
      </c>
      <c r="J5832">
        <v>0</v>
      </c>
      <c r="K5832">
        <v>0</v>
      </c>
      <c r="L5832">
        <v>0</v>
      </c>
      <c r="M5832">
        <v>0</v>
      </c>
      <c r="T5832" s="9">
        <v>45108</v>
      </c>
      <c r="U5832" s="9">
        <v>45473</v>
      </c>
      <c r="V5832">
        <f>SUM(POTABLE_NONPOTABLE_API[[#This Row],[RESIDENTIAL_SINGLEFAMILY_GAL]:[OTHER_GAL]])</f>
        <v>49611</v>
      </c>
      <c r="W5832">
        <f>SUM(POTABLE_NONPOTABLE_API[[#This Row],[NONPOTABLE_DEMAND_RESIDENTIAL_RECYCLED_WATER_GAL]:[NONPOTABLE_DEMAND_NONRESIDENTIAL_METERED_IRRIGATION_GAL]])</f>
        <v>0</v>
      </c>
      <c r="X5832" t="str">
        <f>IFERROR(INDEX(Crosswalk_API!$H$2:$H$527, MATCH(POTABLE_NONPOTABLE_API[[#This Row],[PWSID]], CW_PWSID_LIST, 0)), "")</f>
        <v>No</v>
      </c>
    </row>
    <row r="5833" spans="1:24" x14ac:dyDescent="0.25">
      <c r="A5833" t="s">
        <v>2410</v>
      </c>
      <c r="B5833" t="s">
        <v>2411</v>
      </c>
      <c r="C5833" t="s">
        <v>2426</v>
      </c>
      <c r="D5833" t="s">
        <v>2427</v>
      </c>
      <c r="E5833" s="9">
        <v>45444</v>
      </c>
      <c r="F5833" s="9">
        <v>45473</v>
      </c>
      <c r="G5833">
        <v>81517</v>
      </c>
      <c r="H5833">
        <v>0</v>
      </c>
      <c r="I5833">
        <v>0</v>
      </c>
      <c r="J5833">
        <v>0</v>
      </c>
      <c r="K5833">
        <v>0</v>
      </c>
      <c r="L5833">
        <v>0</v>
      </c>
      <c r="M5833">
        <v>0</v>
      </c>
      <c r="T5833" s="9">
        <v>45108</v>
      </c>
      <c r="U5833" s="9">
        <v>45473</v>
      </c>
      <c r="V5833">
        <f>SUM(POTABLE_NONPOTABLE_API[[#This Row],[RESIDENTIAL_SINGLEFAMILY_GAL]:[OTHER_GAL]])</f>
        <v>81517</v>
      </c>
      <c r="W5833">
        <f>SUM(POTABLE_NONPOTABLE_API[[#This Row],[NONPOTABLE_DEMAND_RESIDENTIAL_RECYCLED_WATER_GAL]:[NONPOTABLE_DEMAND_NONRESIDENTIAL_METERED_IRRIGATION_GAL]])</f>
        <v>0</v>
      </c>
      <c r="X5833" t="str">
        <f>IFERROR(INDEX(Crosswalk_API!$H$2:$H$527, MATCH(POTABLE_NONPOTABLE_API[[#This Row],[PWSID]], CW_PWSID_LIST, 0)), "")</f>
        <v>No</v>
      </c>
    </row>
    <row r="5834" spans="1:24" x14ac:dyDescent="0.25">
      <c r="A5834" t="s">
        <v>2410</v>
      </c>
      <c r="B5834" t="s">
        <v>2411</v>
      </c>
      <c r="C5834" t="s">
        <v>2428</v>
      </c>
      <c r="D5834" t="s">
        <v>2429</v>
      </c>
      <c r="E5834" s="9">
        <v>45108</v>
      </c>
      <c r="F5834" s="9">
        <v>45138</v>
      </c>
      <c r="G5834">
        <v>426650</v>
      </c>
      <c r="H5834">
        <v>0</v>
      </c>
      <c r="I5834">
        <v>0</v>
      </c>
      <c r="J5834">
        <v>0</v>
      </c>
      <c r="K5834">
        <v>0</v>
      </c>
      <c r="L5834">
        <v>0</v>
      </c>
      <c r="M5834">
        <v>0</v>
      </c>
      <c r="T5834" s="9">
        <v>45108</v>
      </c>
      <c r="U5834" s="9">
        <v>45473</v>
      </c>
      <c r="V5834">
        <f>SUM(POTABLE_NONPOTABLE_API[[#This Row],[RESIDENTIAL_SINGLEFAMILY_GAL]:[OTHER_GAL]])</f>
        <v>426650</v>
      </c>
      <c r="W5834">
        <f>SUM(POTABLE_NONPOTABLE_API[[#This Row],[NONPOTABLE_DEMAND_RESIDENTIAL_RECYCLED_WATER_GAL]:[NONPOTABLE_DEMAND_NONRESIDENTIAL_METERED_IRRIGATION_GAL]])</f>
        <v>0</v>
      </c>
      <c r="X5834" t="str">
        <f>IFERROR(INDEX(Crosswalk_API!$H$2:$H$527, MATCH(POTABLE_NONPOTABLE_API[[#This Row],[PWSID]], CW_PWSID_LIST, 0)), "")</f>
        <v>No</v>
      </c>
    </row>
    <row r="5835" spans="1:24" x14ac:dyDescent="0.25">
      <c r="A5835" t="s">
        <v>2410</v>
      </c>
      <c r="B5835" t="s">
        <v>2411</v>
      </c>
      <c r="C5835" t="s">
        <v>2428</v>
      </c>
      <c r="D5835" t="s">
        <v>2429</v>
      </c>
      <c r="E5835" s="9">
        <v>45139</v>
      </c>
      <c r="F5835" s="9">
        <v>45169</v>
      </c>
      <c r="G5835">
        <v>425000</v>
      </c>
      <c r="H5835">
        <v>0</v>
      </c>
      <c r="I5835">
        <v>0</v>
      </c>
      <c r="J5835">
        <v>0</v>
      </c>
      <c r="K5835">
        <v>0</v>
      </c>
      <c r="L5835">
        <v>0</v>
      </c>
      <c r="M5835">
        <v>0</v>
      </c>
      <c r="T5835" s="9">
        <v>45108</v>
      </c>
      <c r="U5835" s="9">
        <v>45473</v>
      </c>
      <c r="V5835">
        <f>SUM(POTABLE_NONPOTABLE_API[[#This Row],[RESIDENTIAL_SINGLEFAMILY_GAL]:[OTHER_GAL]])</f>
        <v>425000</v>
      </c>
      <c r="W5835">
        <f>SUM(POTABLE_NONPOTABLE_API[[#This Row],[NONPOTABLE_DEMAND_RESIDENTIAL_RECYCLED_WATER_GAL]:[NONPOTABLE_DEMAND_NONRESIDENTIAL_METERED_IRRIGATION_GAL]])</f>
        <v>0</v>
      </c>
      <c r="X5835" t="str">
        <f>IFERROR(INDEX(Crosswalk_API!$H$2:$H$527, MATCH(POTABLE_NONPOTABLE_API[[#This Row],[PWSID]], CW_PWSID_LIST, 0)), "")</f>
        <v>No</v>
      </c>
    </row>
    <row r="5836" spans="1:24" x14ac:dyDescent="0.25">
      <c r="A5836" t="s">
        <v>2410</v>
      </c>
      <c r="B5836" t="s">
        <v>2411</v>
      </c>
      <c r="C5836" t="s">
        <v>2428</v>
      </c>
      <c r="D5836" t="s">
        <v>2429</v>
      </c>
      <c r="E5836" s="9">
        <v>45170</v>
      </c>
      <c r="F5836" s="9">
        <v>45199</v>
      </c>
      <c r="G5836">
        <v>281499</v>
      </c>
      <c r="H5836">
        <v>0</v>
      </c>
      <c r="I5836">
        <v>0</v>
      </c>
      <c r="J5836">
        <v>0</v>
      </c>
      <c r="K5836">
        <v>0</v>
      </c>
      <c r="L5836">
        <v>0</v>
      </c>
      <c r="M5836">
        <v>0</v>
      </c>
      <c r="T5836" s="9">
        <v>45108</v>
      </c>
      <c r="U5836" s="9">
        <v>45473</v>
      </c>
      <c r="V5836">
        <f>SUM(POTABLE_NONPOTABLE_API[[#This Row],[RESIDENTIAL_SINGLEFAMILY_GAL]:[OTHER_GAL]])</f>
        <v>281499</v>
      </c>
      <c r="W5836">
        <f>SUM(POTABLE_NONPOTABLE_API[[#This Row],[NONPOTABLE_DEMAND_RESIDENTIAL_RECYCLED_WATER_GAL]:[NONPOTABLE_DEMAND_NONRESIDENTIAL_METERED_IRRIGATION_GAL]])</f>
        <v>0</v>
      </c>
      <c r="X5836" t="str">
        <f>IFERROR(INDEX(Crosswalk_API!$H$2:$H$527, MATCH(POTABLE_NONPOTABLE_API[[#This Row],[PWSID]], CW_PWSID_LIST, 0)), "")</f>
        <v>No</v>
      </c>
    </row>
    <row r="5837" spans="1:24" x14ac:dyDescent="0.25">
      <c r="A5837" t="s">
        <v>2410</v>
      </c>
      <c r="B5837" t="s">
        <v>2411</v>
      </c>
      <c r="C5837" t="s">
        <v>2428</v>
      </c>
      <c r="D5837" t="s">
        <v>2429</v>
      </c>
      <c r="E5837" s="9">
        <v>45200</v>
      </c>
      <c r="F5837" s="9">
        <v>45230</v>
      </c>
      <c r="G5837">
        <v>281499</v>
      </c>
      <c r="H5837">
        <v>0</v>
      </c>
      <c r="I5837">
        <v>0</v>
      </c>
      <c r="J5837">
        <v>0</v>
      </c>
      <c r="K5837">
        <v>0</v>
      </c>
      <c r="L5837">
        <v>0</v>
      </c>
      <c r="M5837">
        <v>0</v>
      </c>
      <c r="T5837" s="9">
        <v>45108</v>
      </c>
      <c r="U5837" s="9">
        <v>45473</v>
      </c>
      <c r="V5837">
        <f>SUM(POTABLE_NONPOTABLE_API[[#This Row],[RESIDENTIAL_SINGLEFAMILY_GAL]:[OTHER_GAL]])</f>
        <v>281499</v>
      </c>
      <c r="W5837">
        <f>SUM(POTABLE_NONPOTABLE_API[[#This Row],[NONPOTABLE_DEMAND_RESIDENTIAL_RECYCLED_WATER_GAL]:[NONPOTABLE_DEMAND_NONRESIDENTIAL_METERED_IRRIGATION_GAL]])</f>
        <v>0</v>
      </c>
      <c r="X5837" t="str">
        <f>IFERROR(INDEX(Crosswalk_API!$H$2:$H$527, MATCH(POTABLE_NONPOTABLE_API[[#This Row],[PWSID]], CW_PWSID_LIST, 0)), "")</f>
        <v>No</v>
      </c>
    </row>
    <row r="5838" spans="1:24" x14ac:dyDescent="0.25">
      <c r="A5838" t="s">
        <v>2410</v>
      </c>
      <c r="B5838" t="s">
        <v>2411</v>
      </c>
      <c r="C5838" t="s">
        <v>2428</v>
      </c>
      <c r="D5838" t="s">
        <v>2429</v>
      </c>
      <c r="E5838" s="9">
        <v>45231</v>
      </c>
      <c r="F5838" s="9">
        <v>45260</v>
      </c>
      <c r="G5838">
        <v>249495</v>
      </c>
      <c r="H5838">
        <v>0</v>
      </c>
      <c r="I5838">
        <v>0</v>
      </c>
      <c r="J5838">
        <v>0</v>
      </c>
      <c r="K5838">
        <v>0</v>
      </c>
      <c r="L5838">
        <v>0</v>
      </c>
      <c r="M5838">
        <v>0</v>
      </c>
      <c r="T5838" s="9">
        <v>45108</v>
      </c>
      <c r="U5838" s="9">
        <v>45473</v>
      </c>
      <c r="V5838">
        <f>SUM(POTABLE_NONPOTABLE_API[[#This Row],[RESIDENTIAL_SINGLEFAMILY_GAL]:[OTHER_GAL]])</f>
        <v>249495</v>
      </c>
      <c r="W5838">
        <f>SUM(POTABLE_NONPOTABLE_API[[#This Row],[NONPOTABLE_DEMAND_RESIDENTIAL_RECYCLED_WATER_GAL]:[NONPOTABLE_DEMAND_NONRESIDENTIAL_METERED_IRRIGATION_GAL]])</f>
        <v>0</v>
      </c>
      <c r="X5838" t="str">
        <f>IFERROR(INDEX(Crosswalk_API!$H$2:$H$527, MATCH(POTABLE_NONPOTABLE_API[[#This Row],[PWSID]], CW_PWSID_LIST, 0)), "")</f>
        <v>No</v>
      </c>
    </row>
    <row r="5839" spans="1:24" x14ac:dyDescent="0.25">
      <c r="A5839" t="s">
        <v>2410</v>
      </c>
      <c r="B5839" t="s">
        <v>2411</v>
      </c>
      <c r="C5839" t="s">
        <v>2428</v>
      </c>
      <c r="D5839" t="s">
        <v>2429</v>
      </c>
      <c r="E5839" s="9">
        <v>45261</v>
      </c>
      <c r="F5839" s="9">
        <v>45291</v>
      </c>
      <c r="G5839">
        <v>249495.5</v>
      </c>
      <c r="H5839">
        <v>0</v>
      </c>
      <c r="I5839">
        <v>0</v>
      </c>
      <c r="J5839">
        <v>0</v>
      </c>
      <c r="K5839">
        <v>0</v>
      </c>
      <c r="L5839">
        <v>0</v>
      </c>
      <c r="M5839">
        <v>0</v>
      </c>
      <c r="T5839" s="9">
        <v>45108</v>
      </c>
      <c r="U5839" s="9">
        <v>45473</v>
      </c>
      <c r="V5839">
        <f>SUM(POTABLE_NONPOTABLE_API[[#This Row],[RESIDENTIAL_SINGLEFAMILY_GAL]:[OTHER_GAL]])</f>
        <v>249495.5</v>
      </c>
      <c r="W5839">
        <f>SUM(POTABLE_NONPOTABLE_API[[#This Row],[NONPOTABLE_DEMAND_RESIDENTIAL_RECYCLED_WATER_GAL]:[NONPOTABLE_DEMAND_NONRESIDENTIAL_METERED_IRRIGATION_GAL]])</f>
        <v>0</v>
      </c>
      <c r="X5839" t="str">
        <f>IFERROR(INDEX(Crosswalk_API!$H$2:$H$527, MATCH(POTABLE_NONPOTABLE_API[[#This Row],[PWSID]], CW_PWSID_LIST, 0)), "")</f>
        <v>No</v>
      </c>
    </row>
    <row r="5840" spans="1:24" x14ac:dyDescent="0.25">
      <c r="A5840" t="s">
        <v>2410</v>
      </c>
      <c r="B5840" t="s">
        <v>2411</v>
      </c>
      <c r="C5840" t="s">
        <v>2428</v>
      </c>
      <c r="D5840" t="s">
        <v>2429</v>
      </c>
      <c r="E5840" s="9">
        <v>45292</v>
      </c>
      <c r="F5840" s="9">
        <v>45322</v>
      </c>
      <c r="G5840">
        <v>197992</v>
      </c>
      <c r="H5840">
        <v>0</v>
      </c>
      <c r="I5840">
        <v>0</v>
      </c>
      <c r="J5840">
        <v>0</v>
      </c>
      <c r="K5840">
        <v>0</v>
      </c>
      <c r="L5840">
        <v>0</v>
      </c>
      <c r="M5840">
        <v>0</v>
      </c>
      <c r="T5840" s="9">
        <v>45108</v>
      </c>
      <c r="U5840" s="9">
        <v>45473</v>
      </c>
      <c r="V5840">
        <f>SUM(POTABLE_NONPOTABLE_API[[#This Row],[RESIDENTIAL_SINGLEFAMILY_GAL]:[OTHER_GAL]])</f>
        <v>197992</v>
      </c>
      <c r="W5840">
        <f>SUM(POTABLE_NONPOTABLE_API[[#This Row],[NONPOTABLE_DEMAND_RESIDENTIAL_RECYCLED_WATER_GAL]:[NONPOTABLE_DEMAND_NONRESIDENTIAL_METERED_IRRIGATION_GAL]])</f>
        <v>0</v>
      </c>
      <c r="X5840" t="str">
        <f>IFERROR(INDEX(Crosswalk_API!$H$2:$H$527, MATCH(POTABLE_NONPOTABLE_API[[#This Row],[PWSID]], CW_PWSID_LIST, 0)), "")</f>
        <v>No</v>
      </c>
    </row>
    <row r="5841" spans="1:24" x14ac:dyDescent="0.25">
      <c r="A5841" t="s">
        <v>2410</v>
      </c>
      <c r="B5841" t="s">
        <v>2411</v>
      </c>
      <c r="C5841" t="s">
        <v>2428</v>
      </c>
      <c r="D5841" t="s">
        <v>2429</v>
      </c>
      <c r="E5841" s="9">
        <v>45323</v>
      </c>
      <c r="F5841" s="9">
        <v>45351</v>
      </c>
      <c r="G5841">
        <v>197992</v>
      </c>
      <c r="H5841">
        <v>0</v>
      </c>
      <c r="I5841">
        <v>0</v>
      </c>
      <c r="J5841">
        <v>0</v>
      </c>
      <c r="K5841">
        <v>0</v>
      </c>
      <c r="L5841">
        <v>0</v>
      </c>
      <c r="M5841">
        <v>0</v>
      </c>
      <c r="T5841" s="9">
        <v>45108</v>
      </c>
      <c r="U5841" s="9">
        <v>45473</v>
      </c>
      <c r="V5841">
        <f>SUM(POTABLE_NONPOTABLE_API[[#This Row],[RESIDENTIAL_SINGLEFAMILY_GAL]:[OTHER_GAL]])</f>
        <v>197992</v>
      </c>
      <c r="W5841">
        <f>SUM(POTABLE_NONPOTABLE_API[[#This Row],[NONPOTABLE_DEMAND_RESIDENTIAL_RECYCLED_WATER_GAL]:[NONPOTABLE_DEMAND_NONRESIDENTIAL_METERED_IRRIGATION_GAL]])</f>
        <v>0</v>
      </c>
      <c r="X5841" t="str">
        <f>IFERROR(INDEX(Crosswalk_API!$H$2:$H$527, MATCH(POTABLE_NONPOTABLE_API[[#This Row],[PWSID]], CW_PWSID_LIST, 0)), "")</f>
        <v>No</v>
      </c>
    </row>
    <row r="5842" spans="1:24" x14ac:dyDescent="0.25">
      <c r="A5842" t="s">
        <v>2410</v>
      </c>
      <c r="B5842" t="s">
        <v>2411</v>
      </c>
      <c r="C5842" t="s">
        <v>2428</v>
      </c>
      <c r="D5842" t="s">
        <v>2429</v>
      </c>
      <c r="E5842" s="9">
        <v>45352</v>
      </c>
      <c r="F5842" s="9">
        <v>45382</v>
      </c>
      <c r="G5842">
        <v>176500</v>
      </c>
      <c r="H5842">
        <v>0</v>
      </c>
      <c r="I5842">
        <v>0</v>
      </c>
      <c r="J5842">
        <v>0</v>
      </c>
      <c r="K5842">
        <v>0</v>
      </c>
      <c r="L5842">
        <v>0</v>
      </c>
      <c r="M5842">
        <v>0</v>
      </c>
      <c r="T5842" s="9">
        <v>45108</v>
      </c>
      <c r="U5842" s="9">
        <v>45473</v>
      </c>
      <c r="V5842">
        <f>SUM(POTABLE_NONPOTABLE_API[[#This Row],[RESIDENTIAL_SINGLEFAMILY_GAL]:[OTHER_GAL]])</f>
        <v>176500</v>
      </c>
      <c r="W5842">
        <f>SUM(POTABLE_NONPOTABLE_API[[#This Row],[NONPOTABLE_DEMAND_RESIDENTIAL_RECYCLED_WATER_GAL]:[NONPOTABLE_DEMAND_NONRESIDENTIAL_METERED_IRRIGATION_GAL]])</f>
        <v>0</v>
      </c>
      <c r="X5842" t="str">
        <f>IFERROR(INDEX(Crosswalk_API!$H$2:$H$527, MATCH(POTABLE_NONPOTABLE_API[[#This Row],[PWSID]], CW_PWSID_LIST, 0)), "")</f>
        <v>No</v>
      </c>
    </row>
    <row r="5843" spans="1:24" x14ac:dyDescent="0.25">
      <c r="A5843" t="s">
        <v>2410</v>
      </c>
      <c r="B5843" t="s">
        <v>2411</v>
      </c>
      <c r="C5843" t="s">
        <v>2428</v>
      </c>
      <c r="D5843" t="s">
        <v>2429</v>
      </c>
      <c r="E5843" s="9">
        <v>45383</v>
      </c>
      <c r="F5843" s="9">
        <v>45412</v>
      </c>
      <c r="G5843">
        <v>176500</v>
      </c>
      <c r="H5843">
        <v>0</v>
      </c>
      <c r="I5843">
        <v>0</v>
      </c>
      <c r="J5843">
        <v>0</v>
      </c>
      <c r="K5843">
        <v>0</v>
      </c>
      <c r="L5843">
        <v>0</v>
      </c>
      <c r="M5843">
        <v>0</v>
      </c>
      <c r="T5843" s="9">
        <v>45108</v>
      </c>
      <c r="U5843" s="9">
        <v>45473</v>
      </c>
      <c r="V5843">
        <f>SUM(POTABLE_NONPOTABLE_API[[#This Row],[RESIDENTIAL_SINGLEFAMILY_GAL]:[OTHER_GAL]])</f>
        <v>176500</v>
      </c>
      <c r="W5843">
        <f>SUM(POTABLE_NONPOTABLE_API[[#This Row],[NONPOTABLE_DEMAND_RESIDENTIAL_RECYCLED_WATER_GAL]:[NONPOTABLE_DEMAND_NONRESIDENTIAL_METERED_IRRIGATION_GAL]])</f>
        <v>0</v>
      </c>
      <c r="X5843" t="str">
        <f>IFERROR(INDEX(Crosswalk_API!$H$2:$H$527, MATCH(POTABLE_NONPOTABLE_API[[#This Row],[PWSID]], CW_PWSID_LIST, 0)), "")</f>
        <v>No</v>
      </c>
    </row>
    <row r="5844" spans="1:24" x14ac:dyDescent="0.25">
      <c r="A5844" t="s">
        <v>2410</v>
      </c>
      <c r="B5844" t="s">
        <v>2411</v>
      </c>
      <c r="C5844" t="s">
        <v>2428</v>
      </c>
      <c r="D5844" t="s">
        <v>2429</v>
      </c>
      <c r="E5844" s="9">
        <v>45413</v>
      </c>
      <c r="F5844" s="9">
        <v>45443</v>
      </c>
      <c r="G5844">
        <v>245000</v>
      </c>
      <c r="H5844">
        <v>0</v>
      </c>
      <c r="I5844">
        <v>0</v>
      </c>
      <c r="J5844">
        <v>0</v>
      </c>
      <c r="K5844">
        <v>0</v>
      </c>
      <c r="L5844">
        <v>0</v>
      </c>
      <c r="M5844">
        <v>0</v>
      </c>
      <c r="T5844" s="9">
        <v>45108</v>
      </c>
      <c r="U5844" s="9">
        <v>45473</v>
      </c>
      <c r="V5844">
        <f>SUM(POTABLE_NONPOTABLE_API[[#This Row],[RESIDENTIAL_SINGLEFAMILY_GAL]:[OTHER_GAL]])</f>
        <v>245000</v>
      </c>
      <c r="W5844">
        <f>SUM(POTABLE_NONPOTABLE_API[[#This Row],[NONPOTABLE_DEMAND_RESIDENTIAL_RECYCLED_WATER_GAL]:[NONPOTABLE_DEMAND_NONRESIDENTIAL_METERED_IRRIGATION_GAL]])</f>
        <v>0</v>
      </c>
      <c r="X5844" t="str">
        <f>IFERROR(INDEX(Crosswalk_API!$H$2:$H$527, MATCH(POTABLE_NONPOTABLE_API[[#This Row],[PWSID]], CW_PWSID_LIST, 0)), "")</f>
        <v>No</v>
      </c>
    </row>
    <row r="5845" spans="1:24" x14ac:dyDescent="0.25">
      <c r="A5845" t="s">
        <v>2410</v>
      </c>
      <c r="B5845" t="s">
        <v>2411</v>
      </c>
      <c r="C5845" t="s">
        <v>2428</v>
      </c>
      <c r="D5845" t="s">
        <v>2429</v>
      </c>
      <c r="E5845" s="9">
        <v>45444</v>
      </c>
      <c r="F5845" s="9">
        <v>45473</v>
      </c>
      <c r="G5845">
        <v>246000</v>
      </c>
      <c r="H5845">
        <v>0</v>
      </c>
      <c r="I5845">
        <v>0</v>
      </c>
      <c r="J5845">
        <v>0</v>
      </c>
      <c r="K5845">
        <v>0</v>
      </c>
      <c r="L5845">
        <v>0</v>
      </c>
      <c r="M5845">
        <v>0</v>
      </c>
      <c r="T5845" s="9">
        <v>45108</v>
      </c>
      <c r="U5845" s="9">
        <v>45473</v>
      </c>
      <c r="V5845">
        <f>SUM(POTABLE_NONPOTABLE_API[[#This Row],[RESIDENTIAL_SINGLEFAMILY_GAL]:[OTHER_GAL]])</f>
        <v>246000</v>
      </c>
      <c r="W5845">
        <f>SUM(POTABLE_NONPOTABLE_API[[#This Row],[NONPOTABLE_DEMAND_RESIDENTIAL_RECYCLED_WATER_GAL]:[NONPOTABLE_DEMAND_NONRESIDENTIAL_METERED_IRRIGATION_GAL]])</f>
        <v>0</v>
      </c>
      <c r="X5845" t="str">
        <f>IFERROR(INDEX(Crosswalk_API!$H$2:$H$527, MATCH(POTABLE_NONPOTABLE_API[[#This Row],[PWSID]], CW_PWSID_LIST, 0)), "")</f>
        <v>No</v>
      </c>
    </row>
    <row r="5846" spans="1:24" x14ac:dyDescent="0.25">
      <c r="A5846" t="s">
        <v>2410</v>
      </c>
      <c r="B5846" t="s">
        <v>2411</v>
      </c>
      <c r="C5846" t="s">
        <v>2430</v>
      </c>
      <c r="D5846" t="s">
        <v>2431</v>
      </c>
      <c r="E5846" s="9">
        <v>45108</v>
      </c>
      <c r="F5846" s="9">
        <v>45138</v>
      </c>
      <c r="G5846">
        <v>2377150</v>
      </c>
      <c r="H5846">
        <v>0</v>
      </c>
      <c r="I5846">
        <v>25050</v>
      </c>
      <c r="J5846">
        <v>0</v>
      </c>
      <c r="K5846">
        <v>0</v>
      </c>
      <c r="L5846">
        <v>0</v>
      </c>
      <c r="M5846">
        <v>0</v>
      </c>
      <c r="T5846" s="9">
        <v>45108</v>
      </c>
      <c r="U5846" s="9">
        <v>45473</v>
      </c>
      <c r="V5846">
        <f>SUM(POTABLE_NONPOTABLE_API[[#This Row],[RESIDENTIAL_SINGLEFAMILY_GAL]:[OTHER_GAL]])</f>
        <v>2402200</v>
      </c>
      <c r="W5846">
        <f>SUM(POTABLE_NONPOTABLE_API[[#This Row],[NONPOTABLE_DEMAND_RESIDENTIAL_RECYCLED_WATER_GAL]:[NONPOTABLE_DEMAND_NONRESIDENTIAL_METERED_IRRIGATION_GAL]])</f>
        <v>0</v>
      </c>
      <c r="X5846" t="str">
        <f>IFERROR(INDEX(Crosswalk_API!$H$2:$H$527, MATCH(POTABLE_NONPOTABLE_API[[#This Row],[PWSID]], CW_PWSID_LIST, 0)), "")</f>
        <v>No</v>
      </c>
    </row>
    <row r="5847" spans="1:24" x14ac:dyDescent="0.25">
      <c r="A5847" t="s">
        <v>2410</v>
      </c>
      <c r="B5847" t="s">
        <v>2411</v>
      </c>
      <c r="C5847" t="s">
        <v>2430</v>
      </c>
      <c r="D5847" t="s">
        <v>2431</v>
      </c>
      <c r="E5847" s="9">
        <v>45139</v>
      </c>
      <c r="F5847" s="9">
        <v>45169</v>
      </c>
      <c r="G5847">
        <v>4626300</v>
      </c>
      <c r="H5847">
        <v>0</v>
      </c>
      <c r="I5847">
        <v>34900</v>
      </c>
      <c r="J5847">
        <v>24850</v>
      </c>
      <c r="K5847">
        <v>0</v>
      </c>
      <c r="L5847">
        <v>0</v>
      </c>
      <c r="M5847">
        <v>0</v>
      </c>
      <c r="T5847" s="9">
        <v>45108</v>
      </c>
      <c r="U5847" s="9">
        <v>45473</v>
      </c>
      <c r="V5847">
        <f>SUM(POTABLE_NONPOTABLE_API[[#This Row],[RESIDENTIAL_SINGLEFAMILY_GAL]:[OTHER_GAL]])</f>
        <v>4686050</v>
      </c>
      <c r="W5847">
        <f>SUM(POTABLE_NONPOTABLE_API[[#This Row],[NONPOTABLE_DEMAND_RESIDENTIAL_RECYCLED_WATER_GAL]:[NONPOTABLE_DEMAND_NONRESIDENTIAL_METERED_IRRIGATION_GAL]])</f>
        <v>0</v>
      </c>
      <c r="X5847" t="str">
        <f>IFERROR(INDEX(Crosswalk_API!$H$2:$H$527, MATCH(POTABLE_NONPOTABLE_API[[#This Row],[PWSID]], CW_PWSID_LIST, 0)), "")</f>
        <v>No</v>
      </c>
    </row>
    <row r="5848" spans="1:24" x14ac:dyDescent="0.25">
      <c r="A5848" t="s">
        <v>2410</v>
      </c>
      <c r="B5848" t="s">
        <v>2411</v>
      </c>
      <c r="C5848" t="s">
        <v>2430</v>
      </c>
      <c r="D5848" t="s">
        <v>2431</v>
      </c>
      <c r="E5848" s="9">
        <v>45170</v>
      </c>
      <c r="F5848" s="9">
        <v>45199</v>
      </c>
      <c r="G5848">
        <v>4624215</v>
      </c>
      <c r="H5848">
        <v>0</v>
      </c>
      <c r="I5848">
        <v>34879</v>
      </c>
      <c r="J5848">
        <v>24871</v>
      </c>
      <c r="K5848">
        <v>0</v>
      </c>
      <c r="L5848">
        <v>0</v>
      </c>
      <c r="M5848">
        <v>0</v>
      </c>
      <c r="T5848" s="9">
        <v>45108</v>
      </c>
      <c r="U5848" s="9">
        <v>45473</v>
      </c>
      <c r="V5848">
        <f>SUM(POTABLE_NONPOTABLE_API[[#This Row],[RESIDENTIAL_SINGLEFAMILY_GAL]:[OTHER_GAL]])</f>
        <v>4683965</v>
      </c>
      <c r="W5848">
        <f>SUM(POTABLE_NONPOTABLE_API[[#This Row],[NONPOTABLE_DEMAND_RESIDENTIAL_RECYCLED_WATER_GAL]:[NONPOTABLE_DEMAND_NONRESIDENTIAL_METERED_IRRIGATION_GAL]])</f>
        <v>0</v>
      </c>
      <c r="X5848" t="str">
        <f>IFERROR(INDEX(Crosswalk_API!$H$2:$H$527, MATCH(POTABLE_NONPOTABLE_API[[#This Row],[PWSID]], CW_PWSID_LIST, 0)), "")</f>
        <v>No</v>
      </c>
    </row>
    <row r="5849" spans="1:24" x14ac:dyDescent="0.25">
      <c r="A5849" t="s">
        <v>2410</v>
      </c>
      <c r="B5849" t="s">
        <v>2411</v>
      </c>
      <c r="C5849" t="s">
        <v>2430</v>
      </c>
      <c r="D5849" t="s">
        <v>2431</v>
      </c>
      <c r="E5849" s="9">
        <v>45200</v>
      </c>
      <c r="F5849" s="9">
        <v>45230</v>
      </c>
      <c r="G5849">
        <v>1861813</v>
      </c>
      <c r="H5849">
        <v>0</v>
      </c>
      <c r="I5849">
        <v>47027</v>
      </c>
      <c r="J5849">
        <v>16460</v>
      </c>
      <c r="K5849">
        <v>0</v>
      </c>
      <c r="L5849">
        <v>0</v>
      </c>
      <c r="M5849">
        <v>0</v>
      </c>
      <c r="T5849" s="9">
        <v>45108</v>
      </c>
      <c r="U5849" s="9">
        <v>45473</v>
      </c>
      <c r="V5849">
        <f>SUM(POTABLE_NONPOTABLE_API[[#This Row],[RESIDENTIAL_SINGLEFAMILY_GAL]:[OTHER_GAL]])</f>
        <v>1925300</v>
      </c>
      <c r="W5849">
        <f>SUM(POTABLE_NONPOTABLE_API[[#This Row],[NONPOTABLE_DEMAND_RESIDENTIAL_RECYCLED_WATER_GAL]:[NONPOTABLE_DEMAND_NONRESIDENTIAL_METERED_IRRIGATION_GAL]])</f>
        <v>0</v>
      </c>
      <c r="X5849" t="str">
        <f>IFERROR(INDEX(Crosswalk_API!$H$2:$H$527, MATCH(POTABLE_NONPOTABLE_API[[#This Row],[PWSID]], CW_PWSID_LIST, 0)), "")</f>
        <v>No</v>
      </c>
    </row>
    <row r="5850" spans="1:24" x14ac:dyDescent="0.25">
      <c r="A5850" t="s">
        <v>2410</v>
      </c>
      <c r="B5850" t="s">
        <v>2411</v>
      </c>
      <c r="C5850" t="s">
        <v>2430</v>
      </c>
      <c r="D5850" t="s">
        <v>2431</v>
      </c>
      <c r="E5850" s="9">
        <v>45231</v>
      </c>
      <c r="F5850" s="9">
        <v>45260</v>
      </c>
      <c r="G5850">
        <v>1853256</v>
      </c>
      <c r="H5850">
        <v>0</v>
      </c>
      <c r="I5850">
        <v>47027</v>
      </c>
      <c r="J5850">
        <v>16460</v>
      </c>
      <c r="K5850">
        <v>0</v>
      </c>
      <c r="L5850">
        <v>0</v>
      </c>
      <c r="M5850">
        <v>0</v>
      </c>
      <c r="T5850" s="9">
        <v>45108</v>
      </c>
      <c r="U5850" s="9">
        <v>45473</v>
      </c>
      <c r="V5850">
        <f>SUM(POTABLE_NONPOTABLE_API[[#This Row],[RESIDENTIAL_SINGLEFAMILY_GAL]:[OTHER_GAL]])</f>
        <v>1916743</v>
      </c>
      <c r="W5850">
        <f>SUM(POTABLE_NONPOTABLE_API[[#This Row],[NONPOTABLE_DEMAND_RESIDENTIAL_RECYCLED_WATER_GAL]:[NONPOTABLE_DEMAND_NONRESIDENTIAL_METERED_IRRIGATION_GAL]])</f>
        <v>0</v>
      </c>
      <c r="X5850" t="str">
        <f>IFERROR(INDEX(Crosswalk_API!$H$2:$H$527, MATCH(POTABLE_NONPOTABLE_API[[#This Row],[PWSID]], CW_PWSID_LIST, 0)), "")</f>
        <v>No</v>
      </c>
    </row>
    <row r="5851" spans="1:24" x14ac:dyDescent="0.25">
      <c r="A5851" t="s">
        <v>2410</v>
      </c>
      <c r="B5851" t="s">
        <v>2411</v>
      </c>
      <c r="C5851" t="s">
        <v>2430</v>
      </c>
      <c r="D5851" t="s">
        <v>2431</v>
      </c>
      <c r="E5851" s="9">
        <v>45261</v>
      </c>
      <c r="F5851" s="9">
        <v>45291</v>
      </c>
      <c r="G5851">
        <v>1268937</v>
      </c>
      <c r="H5851">
        <v>0</v>
      </c>
      <c r="I5851">
        <v>27425.5</v>
      </c>
      <c r="J5851">
        <v>21090</v>
      </c>
      <c r="K5851">
        <v>0</v>
      </c>
      <c r="L5851">
        <v>0</v>
      </c>
      <c r="M5851">
        <v>0</v>
      </c>
      <c r="T5851" s="9">
        <v>45108</v>
      </c>
      <c r="U5851" s="9">
        <v>45473</v>
      </c>
      <c r="V5851">
        <f>SUM(POTABLE_NONPOTABLE_API[[#This Row],[RESIDENTIAL_SINGLEFAMILY_GAL]:[OTHER_GAL]])</f>
        <v>1317452.5</v>
      </c>
      <c r="W5851">
        <f>SUM(POTABLE_NONPOTABLE_API[[#This Row],[NONPOTABLE_DEMAND_RESIDENTIAL_RECYCLED_WATER_GAL]:[NONPOTABLE_DEMAND_NONRESIDENTIAL_METERED_IRRIGATION_GAL]])</f>
        <v>0</v>
      </c>
      <c r="X5851" t="str">
        <f>IFERROR(INDEX(Crosswalk_API!$H$2:$H$527, MATCH(POTABLE_NONPOTABLE_API[[#This Row],[PWSID]], CW_PWSID_LIST, 0)), "")</f>
        <v>No</v>
      </c>
    </row>
    <row r="5852" spans="1:24" x14ac:dyDescent="0.25">
      <c r="A5852" t="s">
        <v>2410</v>
      </c>
      <c r="B5852" t="s">
        <v>2411</v>
      </c>
      <c r="C5852" t="s">
        <v>2430</v>
      </c>
      <c r="D5852" t="s">
        <v>2431</v>
      </c>
      <c r="E5852" s="9">
        <v>45292</v>
      </c>
      <c r="F5852" s="9">
        <v>45322</v>
      </c>
      <c r="G5852">
        <v>1268937</v>
      </c>
      <c r="H5852">
        <v>0</v>
      </c>
      <c r="I5852">
        <v>27426</v>
      </c>
      <c r="J5852">
        <v>42180</v>
      </c>
      <c r="K5852">
        <v>0</v>
      </c>
      <c r="L5852">
        <v>0</v>
      </c>
      <c r="M5852">
        <v>0</v>
      </c>
      <c r="T5852" s="9">
        <v>45108</v>
      </c>
      <c r="U5852" s="9">
        <v>45473</v>
      </c>
      <c r="V5852">
        <f>SUM(POTABLE_NONPOTABLE_API[[#This Row],[RESIDENTIAL_SINGLEFAMILY_GAL]:[OTHER_GAL]])</f>
        <v>1338543</v>
      </c>
      <c r="W5852">
        <f>SUM(POTABLE_NONPOTABLE_API[[#This Row],[NONPOTABLE_DEMAND_RESIDENTIAL_RECYCLED_WATER_GAL]:[NONPOTABLE_DEMAND_NONRESIDENTIAL_METERED_IRRIGATION_GAL]])</f>
        <v>0</v>
      </c>
      <c r="X5852" t="str">
        <f>IFERROR(INDEX(Crosswalk_API!$H$2:$H$527, MATCH(POTABLE_NONPOTABLE_API[[#This Row],[PWSID]], CW_PWSID_LIST, 0)), "")</f>
        <v>No</v>
      </c>
    </row>
    <row r="5853" spans="1:24" x14ac:dyDescent="0.25">
      <c r="A5853" t="s">
        <v>2410</v>
      </c>
      <c r="B5853" t="s">
        <v>2411</v>
      </c>
      <c r="C5853" t="s">
        <v>2430</v>
      </c>
      <c r="D5853" t="s">
        <v>2431</v>
      </c>
      <c r="E5853" s="9">
        <v>45323</v>
      </c>
      <c r="F5853" s="9">
        <v>45351</v>
      </c>
      <c r="G5853">
        <v>932558</v>
      </c>
      <c r="H5853">
        <v>0</v>
      </c>
      <c r="I5853">
        <v>16329</v>
      </c>
      <c r="J5853">
        <v>8883</v>
      </c>
      <c r="K5853">
        <v>0</v>
      </c>
      <c r="L5853">
        <v>0</v>
      </c>
      <c r="M5853">
        <v>0</v>
      </c>
      <c r="T5853" s="9">
        <v>45108</v>
      </c>
      <c r="U5853" s="9">
        <v>45473</v>
      </c>
      <c r="V5853">
        <f>SUM(POTABLE_NONPOTABLE_API[[#This Row],[RESIDENTIAL_SINGLEFAMILY_GAL]:[OTHER_GAL]])</f>
        <v>957770</v>
      </c>
      <c r="W5853">
        <f>SUM(POTABLE_NONPOTABLE_API[[#This Row],[NONPOTABLE_DEMAND_RESIDENTIAL_RECYCLED_WATER_GAL]:[NONPOTABLE_DEMAND_NONRESIDENTIAL_METERED_IRRIGATION_GAL]])</f>
        <v>0</v>
      </c>
      <c r="X5853" t="str">
        <f>IFERROR(INDEX(Crosswalk_API!$H$2:$H$527, MATCH(POTABLE_NONPOTABLE_API[[#This Row],[PWSID]], CW_PWSID_LIST, 0)), "")</f>
        <v>No</v>
      </c>
    </row>
    <row r="5854" spans="1:24" x14ac:dyDescent="0.25">
      <c r="A5854" t="s">
        <v>2410</v>
      </c>
      <c r="B5854" t="s">
        <v>2411</v>
      </c>
      <c r="C5854" t="s">
        <v>2430</v>
      </c>
      <c r="D5854" t="s">
        <v>2431</v>
      </c>
      <c r="E5854" s="9">
        <v>45352</v>
      </c>
      <c r="F5854" s="9">
        <v>45382</v>
      </c>
      <c r="G5854">
        <v>929566</v>
      </c>
      <c r="H5854">
        <v>0</v>
      </c>
      <c r="I5854">
        <v>16329</v>
      </c>
      <c r="J5854">
        <v>8883</v>
      </c>
      <c r="K5854">
        <v>0</v>
      </c>
      <c r="L5854">
        <v>0</v>
      </c>
      <c r="M5854">
        <v>0</v>
      </c>
      <c r="T5854" s="9">
        <v>45108</v>
      </c>
      <c r="U5854" s="9">
        <v>45473</v>
      </c>
      <c r="V5854">
        <f>SUM(POTABLE_NONPOTABLE_API[[#This Row],[RESIDENTIAL_SINGLEFAMILY_GAL]:[OTHER_GAL]])</f>
        <v>954778</v>
      </c>
      <c r="W5854">
        <f>SUM(POTABLE_NONPOTABLE_API[[#This Row],[NONPOTABLE_DEMAND_RESIDENTIAL_RECYCLED_WATER_GAL]:[NONPOTABLE_DEMAND_NONRESIDENTIAL_METERED_IRRIGATION_GAL]])</f>
        <v>0</v>
      </c>
      <c r="X5854" t="str">
        <f>IFERROR(INDEX(Crosswalk_API!$H$2:$H$527, MATCH(POTABLE_NONPOTABLE_API[[#This Row],[PWSID]], CW_PWSID_LIST, 0)), "")</f>
        <v>No</v>
      </c>
    </row>
    <row r="5855" spans="1:24" x14ac:dyDescent="0.25">
      <c r="A5855" t="s">
        <v>2410</v>
      </c>
      <c r="B5855" t="s">
        <v>2411</v>
      </c>
      <c r="C5855" t="s">
        <v>2430</v>
      </c>
      <c r="D5855" t="s">
        <v>2431</v>
      </c>
      <c r="E5855" s="9">
        <v>45383</v>
      </c>
      <c r="F5855" s="9">
        <v>45412</v>
      </c>
      <c r="G5855">
        <v>1335984</v>
      </c>
      <c r="H5855">
        <v>0</v>
      </c>
      <c r="I5855">
        <v>23185</v>
      </c>
      <c r="J5855">
        <v>10323</v>
      </c>
      <c r="K5855">
        <v>0</v>
      </c>
      <c r="L5855">
        <v>97</v>
      </c>
      <c r="M5855">
        <v>0</v>
      </c>
      <c r="T5855" s="9">
        <v>45108</v>
      </c>
      <c r="U5855" s="9">
        <v>45473</v>
      </c>
      <c r="V5855">
        <f>SUM(POTABLE_NONPOTABLE_API[[#This Row],[RESIDENTIAL_SINGLEFAMILY_GAL]:[OTHER_GAL]])</f>
        <v>1369589</v>
      </c>
      <c r="W5855">
        <f>SUM(POTABLE_NONPOTABLE_API[[#This Row],[NONPOTABLE_DEMAND_RESIDENTIAL_RECYCLED_WATER_GAL]:[NONPOTABLE_DEMAND_NONRESIDENTIAL_METERED_IRRIGATION_GAL]])</f>
        <v>0</v>
      </c>
      <c r="X5855" t="str">
        <f>IFERROR(INDEX(Crosswalk_API!$H$2:$H$527, MATCH(POTABLE_NONPOTABLE_API[[#This Row],[PWSID]], CW_PWSID_LIST, 0)), "")</f>
        <v>No</v>
      </c>
    </row>
    <row r="5856" spans="1:24" x14ac:dyDescent="0.25">
      <c r="A5856" t="s">
        <v>2410</v>
      </c>
      <c r="B5856" t="s">
        <v>2411</v>
      </c>
      <c r="C5856" t="s">
        <v>2430</v>
      </c>
      <c r="D5856" t="s">
        <v>2431</v>
      </c>
      <c r="E5856" s="9">
        <v>45413</v>
      </c>
      <c r="F5856" s="9">
        <v>45443</v>
      </c>
      <c r="G5856">
        <v>1335984</v>
      </c>
      <c r="H5856">
        <v>0</v>
      </c>
      <c r="I5856">
        <v>23184</v>
      </c>
      <c r="J5856">
        <v>10323</v>
      </c>
      <c r="K5856">
        <v>0</v>
      </c>
      <c r="L5856">
        <v>97</v>
      </c>
      <c r="M5856">
        <v>0</v>
      </c>
      <c r="T5856" s="9">
        <v>45108</v>
      </c>
      <c r="U5856" s="9">
        <v>45473</v>
      </c>
      <c r="V5856">
        <f>SUM(POTABLE_NONPOTABLE_API[[#This Row],[RESIDENTIAL_SINGLEFAMILY_GAL]:[OTHER_GAL]])</f>
        <v>1369588</v>
      </c>
      <c r="W5856">
        <f>SUM(POTABLE_NONPOTABLE_API[[#This Row],[NONPOTABLE_DEMAND_RESIDENTIAL_RECYCLED_WATER_GAL]:[NONPOTABLE_DEMAND_NONRESIDENTIAL_METERED_IRRIGATION_GAL]])</f>
        <v>0</v>
      </c>
      <c r="X5856" t="str">
        <f>IFERROR(INDEX(Crosswalk_API!$H$2:$H$527, MATCH(POTABLE_NONPOTABLE_API[[#This Row],[PWSID]], CW_PWSID_LIST, 0)), "")</f>
        <v>No</v>
      </c>
    </row>
    <row r="5857" spans="1:24" x14ac:dyDescent="0.25">
      <c r="A5857" t="s">
        <v>2410</v>
      </c>
      <c r="B5857" t="s">
        <v>2411</v>
      </c>
      <c r="C5857" t="s">
        <v>2430</v>
      </c>
      <c r="D5857" t="s">
        <v>2431</v>
      </c>
      <c r="E5857" s="9">
        <v>45444</v>
      </c>
      <c r="F5857" s="9">
        <v>45473</v>
      </c>
      <c r="G5857">
        <v>2817185</v>
      </c>
      <c r="H5857">
        <v>0</v>
      </c>
      <c r="I5857">
        <v>25657</v>
      </c>
      <c r="J5857">
        <v>8922</v>
      </c>
      <c r="K5857">
        <v>0</v>
      </c>
      <c r="L5857">
        <v>0</v>
      </c>
      <c r="M5857">
        <v>0</v>
      </c>
      <c r="T5857" s="9">
        <v>45108</v>
      </c>
      <c r="U5857" s="9">
        <v>45473</v>
      </c>
      <c r="V5857">
        <f>SUM(POTABLE_NONPOTABLE_API[[#This Row],[RESIDENTIAL_SINGLEFAMILY_GAL]:[OTHER_GAL]])</f>
        <v>2851764</v>
      </c>
      <c r="W5857">
        <f>SUM(POTABLE_NONPOTABLE_API[[#This Row],[NONPOTABLE_DEMAND_RESIDENTIAL_RECYCLED_WATER_GAL]:[NONPOTABLE_DEMAND_NONRESIDENTIAL_METERED_IRRIGATION_GAL]])</f>
        <v>0</v>
      </c>
      <c r="X5857" t="str">
        <f>IFERROR(INDEX(Crosswalk_API!$H$2:$H$527, MATCH(POTABLE_NONPOTABLE_API[[#This Row],[PWSID]], CW_PWSID_LIST, 0)), "")</f>
        <v>No</v>
      </c>
    </row>
    <row r="5858" spans="1:24" x14ac:dyDescent="0.25">
      <c r="A5858" t="s">
        <v>2410</v>
      </c>
      <c r="B5858" t="s">
        <v>2411</v>
      </c>
      <c r="C5858" t="s">
        <v>2432</v>
      </c>
      <c r="D5858" t="s">
        <v>2433</v>
      </c>
      <c r="E5858" s="9">
        <v>45108</v>
      </c>
      <c r="F5858" s="9">
        <v>45138</v>
      </c>
      <c r="G5858">
        <v>954500</v>
      </c>
      <c r="H5858">
        <v>0</v>
      </c>
      <c r="I5858">
        <v>8550</v>
      </c>
      <c r="J5858">
        <v>0</v>
      </c>
      <c r="K5858">
        <v>0</v>
      </c>
      <c r="L5858">
        <v>0</v>
      </c>
      <c r="M5858">
        <v>0</v>
      </c>
      <c r="T5858" s="9">
        <v>45108</v>
      </c>
      <c r="U5858" s="9">
        <v>45473</v>
      </c>
      <c r="V5858">
        <f>SUM(POTABLE_NONPOTABLE_API[[#This Row],[RESIDENTIAL_SINGLEFAMILY_GAL]:[OTHER_GAL]])</f>
        <v>963050</v>
      </c>
      <c r="W5858">
        <f>SUM(POTABLE_NONPOTABLE_API[[#This Row],[NONPOTABLE_DEMAND_RESIDENTIAL_RECYCLED_WATER_GAL]:[NONPOTABLE_DEMAND_NONRESIDENTIAL_METERED_IRRIGATION_GAL]])</f>
        <v>0</v>
      </c>
      <c r="X5858" t="str">
        <f>IFERROR(INDEX(Crosswalk_API!$H$2:$H$527, MATCH(POTABLE_NONPOTABLE_API[[#This Row],[PWSID]], CW_PWSID_LIST, 0)), "")</f>
        <v>No</v>
      </c>
    </row>
    <row r="5859" spans="1:24" x14ac:dyDescent="0.25">
      <c r="A5859" t="s">
        <v>2410</v>
      </c>
      <c r="B5859" t="s">
        <v>2411</v>
      </c>
      <c r="C5859" t="s">
        <v>2432</v>
      </c>
      <c r="D5859" t="s">
        <v>2433</v>
      </c>
      <c r="E5859" s="9">
        <v>45139</v>
      </c>
      <c r="F5859" s="9">
        <v>45169</v>
      </c>
      <c r="G5859">
        <v>1677050</v>
      </c>
      <c r="H5859">
        <v>0</v>
      </c>
      <c r="I5859">
        <v>12100</v>
      </c>
      <c r="J5859">
        <v>0</v>
      </c>
      <c r="K5859">
        <v>0</v>
      </c>
      <c r="L5859">
        <v>0</v>
      </c>
      <c r="M5859">
        <v>0</v>
      </c>
      <c r="T5859" s="9">
        <v>45108</v>
      </c>
      <c r="U5859" s="9">
        <v>45473</v>
      </c>
      <c r="V5859">
        <f>SUM(POTABLE_NONPOTABLE_API[[#This Row],[RESIDENTIAL_SINGLEFAMILY_GAL]:[OTHER_GAL]])</f>
        <v>1689150</v>
      </c>
      <c r="W5859">
        <f>SUM(POTABLE_NONPOTABLE_API[[#This Row],[NONPOTABLE_DEMAND_RESIDENTIAL_RECYCLED_WATER_GAL]:[NONPOTABLE_DEMAND_NONRESIDENTIAL_METERED_IRRIGATION_GAL]])</f>
        <v>0</v>
      </c>
      <c r="X5859" t="str">
        <f>IFERROR(INDEX(Crosswalk_API!$H$2:$H$527, MATCH(POTABLE_NONPOTABLE_API[[#This Row],[PWSID]], CW_PWSID_LIST, 0)), "")</f>
        <v>No</v>
      </c>
    </row>
    <row r="5860" spans="1:24" x14ac:dyDescent="0.25">
      <c r="A5860" t="s">
        <v>2410</v>
      </c>
      <c r="B5860" t="s">
        <v>2411</v>
      </c>
      <c r="C5860" t="s">
        <v>2432</v>
      </c>
      <c r="D5860" t="s">
        <v>2433</v>
      </c>
      <c r="E5860" s="9">
        <v>45170</v>
      </c>
      <c r="F5860" s="9">
        <v>45199</v>
      </c>
      <c r="G5860">
        <v>1677057</v>
      </c>
      <c r="H5860">
        <v>0</v>
      </c>
      <c r="I5860">
        <v>12106</v>
      </c>
      <c r="J5860">
        <v>0</v>
      </c>
      <c r="K5860">
        <v>0</v>
      </c>
      <c r="L5860">
        <v>0</v>
      </c>
      <c r="M5860">
        <v>0</v>
      </c>
      <c r="T5860" s="9">
        <v>45108</v>
      </c>
      <c r="U5860" s="9">
        <v>45473</v>
      </c>
      <c r="V5860">
        <f>SUM(POTABLE_NONPOTABLE_API[[#This Row],[RESIDENTIAL_SINGLEFAMILY_GAL]:[OTHER_GAL]])</f>
        <v>1689163</v>
      </c>
      <c r="W5860">
        <f>SUM(POTABLE_NONPOTABLE_API[[#This Row],[NONPOTABLE_DEMAND_RESIDENTIAL_RECYCLED_WATER_GAL]:[NONPOTABLE_DEMAND_NONRESIDENTIAL_METERED_IRRIGATION_GAL]])</f>
        <v>0</v>
      </c>
      <c r="X5860" t="str">
        <f>IFERROR(INDEX(Crosswalk_API!$H$2:$H$527, MATCH(POTABLE_NONPOTABLE_API[[#This Row],[PWSID]], CW_PWSID_LIST, 0)), "")</f>
        <v>No</v>
      </c>
    </row>
    <row r="5861" spans="1:24" x14ac:dyDescent="0.25">
      <c r="A5861" t="s">
        <v>2410</v>
      </c>
      <c r="B5861" t="s">
        <v>2411</v>
      </c>
      <c r="C5861" t="s">
        <v>2432</v>
      </c>
      <c r="D5861" t="s">
        <v>2433</v>
      </c>
      <c r="E5861" s="9">
        <v>45200</v>
      </c>
      <c r="F5861" s="9">
        <v>45230</v>
      </c>
      <c r="G5861">
        <v>706841.5</v>
      </c>
      <c r="H5861">
        <v>0</v>
      </c>
      <c r="I5861">
        <v>4533</v>
      </c>
      <c r="J5861">
        <v>0</v>
      </c>
      <c r="K5861">
        <v>0</v>
      </c>
      <c r="L5861">
        <v>0</v>
      </c>
      <c r="M5861">
        <v>0</v>
      </c>
      <c r="T5861" s="9">
        <v>45108</v>
      </c>
      <c r="U5861" s="9">
        <v>45473</v>
      </c>
      <c r="V5861">
        <f>SUM(POTABLE_NONPOTABLE_API[[#This Row],[RESIDENTIAL_SINGLEFAMILY_GAL]:[OTHER_GAL]])</f>
        <v>711374.5</v>
      </c>
      <c r="W5861">
        <f>SUM(POTABLE_NONPOTABLE_API[[#This Row],[NONPOTABLE_DEMAND_RESIDENTIAL_RECYCLED_WATER_GAL]:[NONPOTABLE_DEMAND_NONRESIDENTIAL_METERED_IRRIGATION_GAL]])</f>
        <v>0</v>
      </c>
      <c r="X5861" t="str">
        <f>IFERROR(INDEX(Crosswalk_API!$H$2:$H$527, MATCH(POTABLE_NONPOTABLE_API[[#This Row],[PWSID]], CW_PWSID_LIST, 0)), "")</f>
        <v>No</v>
      </c>
    </row>
    <row r="5862" spans="1:24" x14ac:dyDescent="0.25">
      <c r="A5862" t="s">
        <v>2410</v>
      </c>
      <c r="B5862" t="s">
        <v>2411</v>
      </c>
      <c r="C5862" t="s">
        <v>2432</v>
      </c>
      <c r="D5862" t="s">
        <v>2433</v>
      </c>
      <c r="E5862" s="9">
        <v>45231</v>
      </c>
      <c r="F5862" s="9">
        <v>45260</v>
      </c>
      <c r="G5862">
        <v>706841</v>
      </c>
      <c r="H5862">
        <v>0</v>
      </c>
      <c r="I5862">
        <v>4533</v>
      </c>
      <c r="J5862">
        <v>0</v>
      </c>
      <c r="K5862">
        <v>0</v>
      </c>
      <c r="L5862">
        <v>0</v>
      </c>
      <c r="M5862">
        <v>0</v>
      </c>
      <c r="T5862" s="9">
        <v>45108</v>
      </c>
      <c r="U5862" s="9">
        <v>45473</v>
      </c>
      <c r="V5862">
        <f>SUM(POTABLE_NONPOTABLE_API[[#This Row],[RESIDENTIAL_SINGLEFAMILY_GAL]:[OTHER_GAL]])</f>
        <v>711374</v>
      </c>
      <c r="W5862">
        <f>SUM(POTABLE_NONPOTABLE_API[[#This Row],[NONPOTABLE_DEMAND_RESIDENTIAL_RECYCLED_WATER_GAL]:[NONPOTABLE_DEMAND_NONRESIDENTIAL_METERED_IRRIGATION_GAL]])</f>
        <v>0</v>
      </c>
      <c r="X5862" t="str">
        <f>IFERROR(INDEX(Crosswalk_API!$H$2:$H$527, MATCH(POTABLE_NONPOTABLE_API[[#This Row],[PWSID]], CW_PWSID_LIST, 0)), "")</f>
        <v>No</v>
      </c>
    </row>
    <row r="5863" spans="1:24" x14ac:dyDescent="0.25">
      <c r="A5863" t="s">
        <v>2410</v>
      </c>
      <c r="B5863" t="s">
        <v>2411</v>
      </c>
      <c r="C5863" t="s">
        <v>2432</v>
      </c>
      <c r="D5863" t="s">
        <v>2433</v>
      </c>
      <c r="E5863" s="9">
        <v>45261</v>
      </c>
      <c r="F5863" s="9">
        <v>45291</v>
      </c>
      <c r="G5863">
        <v>512365</v>
      </c>
      <c r="H5863">
        <v>0</v>
      </c>
      <c r="I5863">
        <v>5677</v>
      </c>
      <c r="J5863">
        <v>0</v>
      </c>
      <c r="K5863">
        <v>0</v>
      </c>
      <c r="L5863">
        <v>0</v>
      </c>
      <c r="M5863">
        <v>0</v>
      </c>
      <c r="T5863" s="9">
        <v>45108</v>
      </c>
      <c r="U5863" s="9">
        <v>45473</v>
      </c>
      <c r="V5863">
        <f>SUM(POTABLE_NONPOTABLE_API[[#This Row],[RESIDENTIAL_SINGLEFAMILY_GAL]:[OTHER_GAL]])</f>
        <v>518042</v>
      </c>
      <c r="W5863">
        <f>SUM(POTABLE_NONPOTABLE_API[[#This Row],[NONPOTABLE_DEMAND_RESIDENTIAL_RECYCLED_WATER_GAL]:[NONPOTABLE_DEMAND_NONRESIDENTIAL_METERED_IRRIGATION_GAL]])</f>
        <v>0</v>
      </c>
      <c r="X5863" t="str">
        <f>IFERROR(INDEX(Crosswalk_API!$H$2:$H$527, MATCH(POTABLE_NONPOTABLE_API[[#This Row],[PWSID]], CW_PWSID_LIST, 0)), "")</f>
        <v>No</v>
      </c>
    </row>
    <row r="5864" spans="1:24" x14ac:dyDescent="0.25">
      <c r="A5864" t="s">
        <v>2410</v>
      </c>
      <c r="B5864" t="s">
        <v>2411</v>
      </c>
      <c r="C5864" t="s">
        <v>2432</v>
      </c>
      <c r="D5864" t="s">
        <v>2433</v>
      </c>
      <c r="E5864" s="9">
        <v>45292</v>
      </c>
      <c r="F5864" s="9">
        <v>45322</v>
      </c>
      <c r="G5864">
        <v>510009</v>
      </c>
      <c r="H5864">
        <v>0</v>
      </c>
      <c r="I5864">
        <v>5678</v>
      </c>
      <c r="J5864">
        <v>0</v>
      </c>
      <c r="K5864">
        <v>0</v>
      </c>
      <c r="L5864">
        <v>0</v>
      </c>
      <c r="M5864">
        <v>0</v>
      </c>
      <c r="T5864" s="9">
        <v>45108</v>
      </c>
      <c r="U5864" s="9">
        <v>45473</v>
      </c>
      <c r="V5864">
        <f>SUM(POTABLE_NONPOTABLE_API[[#This Row],[RESIDENTIAL_SINGLEFAMILY_GAL]:[OTHER_GAL]])</f>
        <v>515687</v>
      </c>
      <c r="W5864">
        <f>SUM(POTABLE_NONPOTABLE_API[[#This Row],[NONPOTABLE_DEMAND_RESIDENTIAL_RECYCLED_WATER_GAL]:[NONPOTABLE_DEMAND_NONRESIDENTIAL_METERED_IRRIGATION_GAL]])</f>
        <v>0</v>
      </c>
      <c r="X5864" t="str">
        <f>IFERROR(INDEX(Crosswalk_API!$H$2:$H$527, MATCH(POTABLE_NONPOTABLE_API[[#This Row],[PWSID]], CW_PWSID_LIST, 0)), "")</f>
        <v>No</v>
      </c>
    </row>
    <row r="5865" spans="1:24" x14ac:dyDescent="0.25">
      <c r="A5865" t="s">
        <v>2410</v>
      </c>
      <c r="B5865" t="s">
        <v>2411</v>
      </c>
      <c r="C5865" t="s">
        <v>2432</v>
      </c>
      <c r="D5865" t="s">
        <v>2433</v>
      </c>
      <c r="E5865" s="9">
        <v>45323</v>
      </c>
      <c r="F5865" s="9">
        <v>45351</v>
      </c>
      <c r="G5865">
        <v>458355.5</v>
      </c>
      <c r="H5865">
        <v>0</v>
      </c>
      <c r="I5865">
        <v>6279.5</v>
      </c>
      <c r="J5865">
        <v>0</v>
      </c>
      <c r="K5865">
        <v>0</v>
      </c>
      <c r="L5865">
        <v>0</v>
      </c>
      <c r="M5865">
        <v>0</v>
      </c>
      <c r="T5865" s="9">
        <v>45108</v>
      </c>
      <c r="U5865" s="9">
        <v>45473</v>
      </c>
      <c r="V5865">
        <f>SUM(POTABLE_NONPOTABLE_API[[#This Row],[RESIDENTIAL_SINGLEFAMILY_GAL]:[OTHER_GAL]])</f>
        <v>464635</v>
      </c>
      <c r="W5865">
        <f>SUM(POTABLE_NONPOTABLE_API[[#This Row],[NONPOTABLE_DEMAND_RESIDENTIAL_RECYCLED_WATER_GAL]:[NONPOTABLE_DEMAND_NONRESIDENTIAL_METERED_IRRIGATION_GAL]])</f>
        <v>0</v>
      </c>
      <c r="X5865" t="str">
        <f>IFERROR(INDEX(Crosswalk_API!$H$2:$H$527, MATCH(POTABLE_NONPOTABLE_API[[#This Row],[PWSID]], CW_PWSID_LIST, 0)), "")</f>
        <v>No</v>
      </c>
    </row>
    <row r="5866" spans="1:24" x14ac:dyDescent="0.25">
      <c r="A5866" t="s">
        <v>2410</v>
      </c>
      <c r="B5866" t="s">
        <v>2411</v>
      </c>
      <c r="C5866" t="s">
        <v>2432</v>
      </c>
      <c r="D5866" t="s">
        <v>2433</v>
      </c>
      <c r="E5866" s="9">
        <v>45352</v>
      </c>
      <c r="F5866" s="9">
        <v>45382</v>
      </c>
      <c r="G5866">
        <v>464635</v>
      </c>
      <c r="H5866">
        <v>0</v>
      </c>
      <c r="I5866">
        <v>10000</v>
      </c>
      <c r="J5866">
        <v>0</v>
      </c>
      <c r="K5866">
        <v>0</v>
      </c>
      <c r="L5866">
        <v>0</v>
      </c>
      <c r="M5866">
        <v>0</v>
      </c>
      <c r="T5866" s="9">
        <v>45108</v>
      </c>
      <c r="U5866" s="9">
        <v>45473</v>
      </c>
      <c r="V5866">
        <f>SUM(POTABLE_NONPOTABLE_API[[#This Row],[RESIDENTIAL_SINGLEFAMILY_GAL]:[OTHER_GAL]])</f>
        <v>474635</v>
      </c>
      <c r="W5866">
        <f>SUM(POTABLE_NONPOTABLE_API[[#This Row],[NONPOTABLE_DEMAND_RESIDENTIAL_RECYCLED_WATER_GAL]:[NONPOTABLE_DEMAND_NONRESIDENTIAL_METERED_IRRIGATION_GAL]])</f>
        <v>0</v>
      </c>
      <c r="X5866" t="str">
        <f>IFERROR(INDEX(Crosswalk_API!$H$2:$H$527, MATCH(POTABLE_NONPOTABLE_API[[#This Row],[PWSID]], CW_PWSID_LIST, 0)), "")</f>
        <v>No</v>
      </c>
    </row>
    <row r="5867" spans="1:24" x14ac:dyDescent="0.25">
      <c r="A5867" t="s">
        <v>2410</v>
      </c>
      <c r="B5867" t="s">
        <v>2411</v>
      </c>
      <c r="C5867" t="s">
        <v>2432</v>
      </c>
      <c r="D5867" t="s">
        <v>2433</v>
      </c>
      <c r="E5867" s="9">
        <v>45383</v>
      </c>
      <c r="F5867" s="9">
        <v>45412</v>
      </c>
      <c r="G5867">
        <v>525000</v>
      </c>
      <c r="H5867">
        <v>0</v>
      </c>
      <c r="I5867">
        <v>10000</v>
      </c>
      <c r="J5867">
        <v>0</v>
      </c>
      <c r="K5867">
        <v>0</v>
      </c>
      <c r="L5867">
        <v>0</v>
      </c>
      <c r="M5867">
        <v>0</v>
      </c>
      <c r="T5867" s="9">
        <v>45108</v>
      </c>
      <c r="U5867" s="9">
        <v>45473</v>
      </c>
      <c r="V5867">
        <f>SUM(POTABLE_NONPOTABLE_API[[#This Row],[RESIDENTIAL_SINGLEFAMILY_GAL]:[OTHER_GAL]])</f>
        <v>535000</v>
      </c>
      <c r="W5867">
        <f>SUM(POTABLE_NONPOTABLE_API[[#This Row],[NONPOTABLE_DEMAND_RESIDENTIAL_RECYCLED_WATER_GAL]:[NONPOTABLE_DEMAND_NONRESIDENTIAL_METERED_IRRIGATION_GAL]])</f>
        <v>0</v>
      </c>
      <c r="X5867" t="str">
        <f>IFERROR(INDEX(Crosswalk_API!$H$2:$H$527, MATCH(POTABLE_NONPOTABLE_API[[#This Row],[PWSID]], CW_PWSID_LIST, 0)), "")</f>
        <v>No</v>
      </c>
    </row>
    <row r="5868" spans="1:24" x14ac:dyDescent="0.25">
      <c r="A5868" t="s">
        <v>2410</v>
      </c>
      <c r="B5868" t="s">
        <v>2411</v>
      </c>
      <c r="C5868" t="s">
        <v>2432</v>
      </c>
      <c r="D5868" t="s">
        <v>2433</v>
      </c>
      <c r="E5868" s="9">
        <v>45413</v>
      </c>
      <c r="F5868" s="9">
        <v>45443</v>
      </c>
      <c r="G5868">
        <v>515000</v>
      </c>
      <c r="H5868">
        <v>0</v>
      </c>
      <c r="I5868">
        <v>10000</v>
      </c>
      <c r="J5868">
        <v>0</v>
      </c>
      <c r="K5868">
        <v>0</v>
      </c>
      <c r="L5868">
        <v>0</v>
      </c>
      <c r="M5868">
        <v>0</v>
      </c>
      <c r="T5868" s="9">
        <v>45108</v>
      </c>
      <c r="U5868" s="9">
        <v>45473</v>
      </c>
      <c r="V5868">
        <f>SUM(POTABLE_NONPOTABLE_API[[#This Row],[RESIDENTIAL_SINGLEFAMILY_GAL]:[OTHER_GAL]])</f>
        <v>525000</v>
      </c>
      <c r="W5868">
        <f>SUM(POTABLE_NONPOTABLE_API[[#This Row],[NONPOTABLE_DEMAND_RESIDENTIAL_RECYCLED_WATER_GAL]:[NONPOTABLE_DEMAND_NONRESIDENTIAL_METERED_IRRIGATION_GAL]])</f>
        <v>0</v>
      </c>
      <c r="X5868" t="str">
        <f>IFERROR(INDEX(Crosswalk_API!$H$2:$H$527, MATCH(POTABLE_NONPOTABLE_API[[#This Row],[PWSID]], CW_PWSID_LIST, 0)), "")</f>
        <v>No</v>
      </c>
    </row>
    <row r="5869" spans="1:24" x14ac:dyDescent="0.25">
      <c r="A5869" t="s">
        <v>2410</v>
      </c>
      <c r="B5869" t="s">
        <v>2411</v>
      </c>
      <c r="C5869" t="s">
        <v>2432</v>
      </c>
      <c r="D5869" t="s">
        <v>2433</v>
      </c>
      <c r="E5869" s="9">
        <v>45444</v>
      </c>
      <c r="F5869" s="9">
        <v>45473</v>
      </c>
      <c r="G5869">
        <v>1150000</v>
      </c>
      <c r="H5869">
        <v>0</v>
      </c>
      <c r="I5869">
        <v>10000</v>
      </c>
      <c r="J5869">
        <v>0</v>
      </c>
      <c r="K5869">
        <v>0</v>
      </c>
      <c r="L5869">
        <v>0</v>
      </c>
      <c r="M5869">
        <v>0</v>
      </c>
      <c r="T5869" s="9">
        <v>45108</v>
      </c>
      <c r="U5869" s="9">
        <v>45473</v>
      </c>
      <c r="V5869">
        <f>SUM(POTABLE_NONPOTABLE_API[[#This Row],[RESIDENTIAL_SINGLEFAMILY_GAL]:[OTHER_GAL]])</f>
        <v>1160000</v>
      </c>
      <c r="W5869">
        <f>SUM(POTABLE_NONPOTABLE_API[[#This Row],[NONPOTABLE_DEMAND_RESIDENTIAL_RECYCLED_WATER_GAL]:[NONPOTABLE_DEMAND_NONRESIDENTIAL_METERED_IRRIGATION_GAL]])</f>
        <v>0</v>
      </c>
      <c r="X5869" t="str">
        <f>IFERROR(INDEX(Crosswalk_API!$H$2:$H$527, MATCH(POTABLE_NONPOTABLE_API[[#This Row],[PWSID]], CW_PWSID_LIST, 0)), "")</f>
        <v>No</v>
      </c>
    </row>
    <row r="5870" spans="1:24" x14ac:dyDescent="0.25">
      <c r="A5870" t="s">
        <v>2434</v>
      </c>
      <c r="B5870" t="s">
        <v>2435</v>
      </c>
      <c r="C5870" t="s">
        <v>2436</v>
      </c>
      <c r="D5870" t="s">
        <v>2437</v>
      </c>
      <c r="E5870" s="9">
        <v>45108</v>
      </c>
      <c r="F5870" s="9">
        <v>45138</v>
      </c>
      <c r="G5870">
        <v>297091578</v>
      </c>
      <c r="H5870">
        <v>75187179</v>
      </c>
      <c r="I5870">
        <v>51302035</v>
      </c>
      <c r="J5870">
        <v>60040000</v>
      </c>
      <c r="K5870">
        <v>115952130</v>
      </c>
      <c r="L5870">
        <v>14144033</v>
      </c>
      <c r="M5870">
        <v>0</v>
      </c>
      <c r="N5870">
        <v>0</v>
      </c>
      <c r="O5870">
        <v>0</v>
      </c>
      <c r="Q5870">
        <v>309010000</v>
      </c>
      <c r="R5870">
        <v>21100000</v>
      </c>
      <c r="S5870">
        <v>0</v>
      </c>
      <c r="T5870" s="9">
        <v>45108</v>
      </c>
      <c r="U5870" s="9">
        <v>45473</v>
      </c>
      <c r="V5870">
        <f>SUM(POTABLE_NONPOTABLE_API[[#This Row],[RESIDENTIAL_SINGLEFAMILY_GAL]:[OTHER_GAL]])</f>
        <v>613716955</v>
      </c>
      <c r="W5870">
        <f>SUM(POTABLE_NONPOTABLE_API[[#This Row],[NONPOTABLE_DEMAND_RESIDENTIAL_RECYCLED_WATER_GAL]:[NONPOTABLE_DEMAND_NONRESIDENTIAL_METERED_IRRIGATION_GAL]])</f>
        <v>330110000</v>
      </c>
      <c r="X5870" t="str">
        <f>IFERROR(INDEX(Crosswalk_API!$H$2:$H$527, MATCH(POTABLE_NONPOTABLE_API[[#This Row],[PWSID]], CW_PWSID_LIST, 0)), "")</f>
        <v>No</v>
      </c>
    </row>
    <row r="5871" spans="1:24" x14ac:dyDescent="0.25">
      <c r="A5871" t="s">
        <v>2434</v>
      </c>
      <c r="B5871" t="s">
        <v>2435</v>
      </c>
      <c r="C5871" t="s">
        <v>2436</v>
      </c>
      <c r="D5871" t="s">
        <v>2437</v>
      </c>
      <c r="E5871" s="9">
        <v>45139</v>
      </c>
      <c r="F5871" s="9">
        <v>45169</v>
      </c>
      <c r="G5871">
        <v>282308736</v>
      </c>
      <c r="H5871">
        <v>73646708</v>
      </c>
      <c r="I5871">
        <v>53700000</v>
      </c>
      <c r="J5871">
        <v>58230000</v>
      </c>
      <c r="K5871">
        <v>112000000</v>
      </c>
      <c r="L5871">
        <v>14499479</v>
      </c>
      <c r="M5871">
        <v>0</v>
      </c>
      <c r="N5871">
        <v>0</v>
      </c>
      <c r="O5871">
        <v>0</v>
      </c>
      <c r="Q5871">
        <v>309791000</v>
      </c>
      <c r="R5871">
        <v>18900000</v>
      </c>
      <c r="S5871">
        <v>0</v>
      </c>
      <c r="T5871" s="9">
        <v>45108</v>
      </c>
      <c r="U5871" s="9">
        <v>45473</v>
      </c>
      <c r="V5871">
        <f>SUM(POTABLE_NONPOTABLE_API[[#This Row],[RESIDENTIAL_SINGLEFAMILY_GAL]:[OTHER_GAL]])</f>
        <v>594384923</v>
      </c>
      <c r="W5871">
        <f>SUM(POTABLE_NONPOTABLE_API[[#This Row],[NONPOTABLE_DEMAND_RESIDENTIAL_RECYCLED_WATER_GAL]:[NONPOTABLE_DEMAND_NONRESIDENTIAL_METERED_IRRIGATION_GAL]])</f>
        <v>328691000</v>
      </c>
      <c r="X5871" t="str">
        <f>IFERROR(INDEX(Crosswalk_API!$H$2:$H$527, MATCH(POTABLE_NONPOTABLE_API[[#This Row],[PWSID]], CW_PWSID_LIST, 0)), "")</f>
        <v>No</v>
      </c>
    </row>
    <row r="5872" spans="1:24" x14ac:dyDescent="0.25">
      <c r="A5872" t="s">
        <v>2434</v>
      </c>
      <c r="B5872" t="s">
        <v>2435</v>
      </c>
      <c r="C5872" t="s">
        <v>2436</v>
      </c>
      <c r="D5872" t="s">
        <v>2437</v>
      </c>
      <c r="E5872" s="9">
        <v>45170</v>
      </c>
      <c r="F5872" s="9">
        <v>45199</v>
      </c>
      <c r="G5872">
        <v>239241200</v>
      </c>
      <c r="H5872">
        <v>67116220</v>
      </c>
      <c r="I5872">
        <v>51350000</v>
      </c>
      <c r="J5872">
        <v>49070000</v>
      </c>
      <c r="K5872">
        <v>106892186</v>
      </c>
      <c r="L5872">
        <v>12874210</v>
      </c>
      <c r="M5872">
        <v>0</v>
      </c>
      <c r="N5872">
        <v>0</v>
      </c>
      <c r="O5872">
        <v>0</v>
      </c>
      <c r="Q5872">
        <v>311301000</v>
      </c>
      <c r="R5872">
        <v>15117902</v>
      </c>
      <c r="S5872">
        <v>0</v>
      </c>
      <c r="T5872" s="9">
        <v>45108</v>
      </c>
      <c r="U5872" s="9">
        <v>45473</v>
      </c>
      <c r="V5872">
        <f>SUM(POTABLE_NONPOTABLE_API[[#This Row],[RESIDENTIAL_SINGLEFAMILY_GAL]:[OTHER_GAL]])</f>
        <v>526543816</v>
      </c>
      <c r="W5872">
        <f>SUM(POTABLE_NONPOTABLE_API[[#This Row],[NONPOTABLE_DEMAND_RESIDENTIAL_RECYCLED_WATER_GAL]:[NONPOTABLE_DEMAND_NONRESIDENTIAL_METERED_IRRIGATION_GAL]])</f>
        <v>326418902</v>
      </c>
      <c r="X5872" t="str">
        <f>IFERROR(INDEX(Crosswalk_API!$H$2:$H$527, MATCH(POTABLE_NONPOTABLE_API[[#This Row],[PWSID]], CW_PWSID_LIST, 0)), "")</f>
        <v>No</v>
      </c>
    </row>
    <row r="5873" spans="1:24" x14ac:dyDescent="0.25">
      <c r="A5873" t="s">
        <v>2434</v>
      </c>
      <c r="B5873" t="s">
        <v>2435</v>
      </c>
      <c r="C5873" t="s">
        <v>2436</v>
      </c>
      <c r="D5873" t="s">
        <v>2437</v>
      </c>
      <c r="E5873" s="9">
        <v>45200</v>
      </c>
      <c r="F5873" s="9">
        <v>45230</v>
      </c>
      <c r="G5873">
        <v>213260433</v>
      </c>
      <c r="H5873">
        <v>63017399</v>
      </c>
      <c r="I5873">
        <v>46100000</v>
      </c>
      <c r="J5873">
        <v>39614047</v>
      </c>
      <c r="K5873">
        <v>109750304</v>
      </c>
      <c r="L5873">
        <v>7824911</v>
      </c>
      <c r="M5873">
        <v>0</v>
      </c>
      <c r="N5873">
        <v>0</v>
      </c>
      <c r="O5873">
        <v>0</v>
      </c>
      <c r="Q5873">
        <v>328001000</v>
      </c>
      <c r="R5873">
        <v>11319286</v>
      </c>
      <c r="S5873">
        <v>0</v>
      </c>
      <c r="T5873" s="9">
        <v>45108</v>
      </c>
      <c r="U5873" s="9">
        <v>45473</v>
      </c>
      <c r="V5873">
        <f>SUM(POTABLE_NONPOTABLE_API[[#This Row],[RESIDENTIAL_SINGLEFAMILY_GAL]:[OTHER_GAL]])</f>
        <v>479567094</v>
      </c>
      <c r="W5873">
        <f>SUM(POTABLE_NONPOTABLE_API[[#This Row],[NONPOTABLE_DEMAND_RESIDENTIAL_RECYCLED_WATER_GAL]:[NONPOTABLE_DEMAND_NONRESIDENTIAL_METERED_IRRIGATION_GAL]])</f>
        <v>339320286</v>
      </c>
      <c r="X5873" t="str">
        <f>IFERROR(INDEX(Crosswalk_API!$H$2:$H$527, MATCH(POTABLE_NONPOTABLE_API[[#This Row],[PWSID]], CW_PWSID_LIST, 0)), "")</f>
        <v>No</v>
      </c>
    </row>
    <row r="5874" spans="1:24" x14ac:dyDescent="0.25">
      <c r="A5874" t="s">
        <v>2434</v>
      </c>
      <c r="B5874" t="s">
        <v>2435</v>
      </c>
      <c r="C5874" t="s">
        <v>2436</v>
      </c>
      <c r="D5874" t="s">
        <v>2437</v>
      </c>
      <c r="E5874" s="9">
        <v>45231</v>
      </c>
      <c r="F5874" s="9">
        <v>45260</v>
      </c>
      <c r="G5874">
        <v>145602457</v>
      </c>
      <c r="H5874">
        <v>69998569</v>
      </c>
      <c r="I5874">
        <v>34800000</v>
      </c>
      <c r="J5874">
        <v>24200000</v>
      </c>
      <c r="K5874">
        <v>109174495</v>
      </c>
      <c r="L5874">
        <v>5674196</v>
      </c>
      <c r="M5874">
        <v>0</v>
      </c>
      <c r="N5874">
        <v>0</v>
      </c>
      <c r="O5874">
        <v>0</v>
      </c>
      <c r="P5874">
        <v>0</v>
      </c>
      <c r="Q5874">
        <v>345439000</v>
      </c>
      <c r="R5874">
        <v>5333151</v>
      </c>
      <c r="S5874">
        <v>0</v>
      </c>
      <c r="T5874" s="9">
        <v>45108</v>
      </c>
      <c r="U5874" s="9">
        <v>45473</v>
      </c>
      <c r="V5874">
        <f>SUM(POTABLE_NONPOTABLE_API[[#This Row],[RESIDENTIAL_SINGLEFAMILY_GAL]:[OTHER_GAL]])</f>
        <v>389449717</v>
      </c>
      <c r="W5874">
        <f>SUM(POTABLE_NONPOTABLE_API[[#This Row],[NONPOTABLE_DEMAND_RESIDENTIAL_RECYCLED_WATER_GAL]:[NONPOTABLE_DEMAND_NONRESIDENTIAL_METERED_IRRIGATION_GAL]])</f>
        <v>350772151</v>
      </c>
      <c r="X5874" t="str">
        <f>IFERROR(INDEX(Crosswalk_API!$H$2:$H$527, MATCH(POTABLE_NONPOTABLE_API[[#This Row],[PWSID]], CW_PWSID_LIST, 0)), "")</f>
        <v>No</v>
      </c>
    </row>
    <row r="5875" spans="1:24" x14ac:dyDescent="0.25">
      <c r="A5875" t="s">
        <v>2434</v>
      </c>
      <c r="B5875" t="s">
        <v>2435</v>
      </c>
      <c r="C5875" t="s">
        <v>2436</v>
      </c>
      <c r="D5875" t="s">
        <v>2437</v>
      </c>
      <c r="E5875" s="9">
        <v>45261</v>
      </c>
      <c r="F5875" s="9">
        <v>45291</v>
      </c>
      <c r="G5875">
        <v>119072296</v>
      </c>
      <c r="H5875">
        <v>46473923</v>
      </c>
      <c r="I5875">
        <v>32233030</v>
      </c>
      <c r="J5875">
        <v>13400000</v>
      </c>
      <c r="K5875">
        <v>104396170</v>
      </c>
      <c r="L5875">
        <v>2526722</v>
      </c>
      <c r="M5875">
        <v>0</v>
      </c>
      <c r="N5875">
        <v>0</v>
      </c>
      <c r="O5875">
        <v>0</v>
      </c>
      <c r="Q5875">
        <v>356181000</v>
      </c>
      <c r="R5875">
        <v>2657288</v>
      </c>
      <c r="S5875">
        <v>0</v>
      </c>
      <c r="T5875" s="9">
        <v>45108</v>
      </c>
      <c r="U5875" s="9">
        <v>45473</v>
      </c>
      <c r="V5875">
        <f>SUM(POTABLE_NONPOTABLE_API[[#This Row],[RESIDENTIAL_SINGLEFAMILY_GAL]:[OTHER_GAL]])</f>
        <v>318102141</v>
      </c>
      <c r="W5875">
        <f>SUM(POTABLE_NONPOTABLE_API[[#This Row],[NONPOTABLE_DEMAND_RESIDENTIAL_RECYCLED_WATER_GAL]:[NONPOTABLE_DEMAND_NONRESIDENTIAL_METERED_IRRIGATION_GAL]])</f>
        <v>358838288</v>
      </c>
      <c r="X5875" t="str">
        <f>IFERROR(INDEX(Crosswalk_API!$H$2:$H$527, MATCH(POTABLE_NONPOTABLE_API[[#This Row],[PWSID]], CW_PWSID_LIST, 0)), "")</f>
        <v>No</v>
      </c>
    </row>
    <row r="5876" spans="1:24" x14ac:dyDescent="0.25">
      <c r="A5876" t="s">
        <v>2434</v>
      </c>
      <c r="B5876" t="s">
        <v>2435</v>
      </c>
      <c r="C5876" t="s">
        <v>2436</v>
      </c>
      <c r="D5876" t="s">
        <v>2437</v>
      </c>
      <c r="E5876" s="9">
        <v>45292</v>
      </c>
      <c r="F5876" s="9">
        <v>45322</v>
      </c>
      <c r="G5876">
        <v>101475606</v>
      </c>
      <c r="H5876">
        <v>45488706</v>
      </c>
      <c r="I5876">
        <v>30664719</v>
      </c>
      <c r="J5876">
        <v>7200000</v>
      </c>
      <c r="K5876">
        <v>108272028</v>
      </c>
      <c r="L5876">
        <v>1501087</v>
      </c>
      <c r="M5876">
        <v>0</v>
      </c>
      <c r="N5876">
        <v>0</v>
      </c>
      <c r="O5876">
        <v>0</v>
      </c>
      <c r="P5876">
        <v>0</v>
      </c>
      <c r="Q5876">
        <v>364115000</v>
      </c>
      <c r="R5876">
        <v>1012189.9999999999</v>
      </c>
      <c r="S5876">
        <v>0</v>
      </c>
      <c r="T5876" s="9">
        <v>45108</v>
      </c>
      <c r="U5876" s="9">
        <v>45473</v>
      </c>
      <c r="V5876">
        <f>SUM(POTABLE_NONPOTABLE_API[[#This Row],[RESIDENTIAL_SINGLEFAMILY_GAL]:[OTHER_GAL]])</f>
        <v>294602146</v>
      </c>
      <c r="W5876">
        <f>SUM(POTABLE_NONPOTABLE_API[[#This Row],[NONPOTABLE_DEMAND_RESIDENTIAL_RECYCLED_WATER_GAL]:[NONPOTABLE_DEMAND_NONRESIDENTIAL_METERED_IRRIGATION_GAL]])</f>
        <v>365127190</v>
      </c>
      <c r="X5876" t="str">
        <f>IFERROR(INDEX(Crosswalk_API!$H$2:$H$527, MATCH(POTABLE_NONPOTABLE_API[[#This Row],[PWSID]], CW_PWSID_LIST, 0)), "")</f>
        <v>No</v>
      </c>
    </row>
    <row r="5877" spans="1:24" x14ac:dyDescent="0.25">
      <c r="A5877" t="s">
        <v>2434</v>
      </c>
      <c r="B5877" t="s">
        <v>2435</v>
      </c>
      <c r="C5877" t="s">
        <v>2436</v>
      </c>
      <c r="D5877" t="s">
        <v>2437</v>
      </c>
      <c r="E5877" s="9">
        <v>45323</v>
      </c>
      <c r="F5877" s="9">
        <v>45351</v>
      </c>
      <c r="G5877">
        <v>90115371</v>
      </c>
      <c r="H5877">
        <v>41508231</v>
      </c>
      <c r="I5877">
        <v>28813840</v>
      </c>
      <c r="J5877">
        <v>5882478</v>
      </c>
      <c r="K5877">
        <v>106337070</v>
      </c>
      <c r="L5877">
        <v>1172784</v>
      </c>
      <c r="M5877">
        <v>0</v>
      </c>
      <c r="N5877">
        <v>0</v>
      </c>
      <c r="O5877">
        <v>0</v>
      </c>
      <c r="Q5877">
        <v>348263000</v>
      </c>
      <c r="R5877">
        <v>751390</v>
      </c>
      <c r="S5877">
        <v>0</v>
      </c>
      <c r="T5877" s="9">
        <v>45108</v>
      </c>
      <c r="U5877" s="9">
        <v>45473</v>
      </c>
      <c r="V5877">
        <f>SUM(POTABLE_NONPOTABLE_API[[#This Row],[RESIDENTIAL_SINGLEFAMILY_GAL]:[OTHER_GAL]])</f>
        <v>273829774</v>
      </c>
      <c r="W5877">
        <f>SUM(POTABLE_NONPOTABLE_API[[#This Row],[NONPOTABLE_DEMAND_RESIDENTIAL_RECYCLED_WATER_GAL]:[NONPOTABLE_DEMAND_NONRESIDENTIAL_METERED_IRRIGATION_GAL]])</f>
        <v>349014390</v>
      </c>
      <c r="X5877" t="str">
        <f>IFERROR(INDEX(Crosswalk_API!$H$2:$H$527, MATCH(POTABLE_NONPOTABLE_API[[#This Row],[PWSID]], CW_PWSID_LIST, 0)), "")</f>
        <v>No</v>
      </c>
    </row>
    <row r="5878" spans="1:24" x14ac:dyDescent="0.25">
      <c r="A5878" t="s">
        <v>2434</v>
      </c>
      <c r="B5878" t="s">
        <v>2435</v>
      </c>
      <c r="C5878" t="s">
        <v>2436</v>
      </c>
      <c r="D5878" t="s">
        <v>2437</v>
      </c>
      <c r="E5878" s="9">
        <v>45352</v>
      </c>
      <c r="F5878" s="9">
        <v>45382</v>
      </c>
      <c r="G5878">
        <v>109540378</v>
      </c>
      <c r="H5878">
        <v>41290218</v>
      </c>
      <c r="I5878">
        <v>32898381.999999996</v>
      </c>
      <c r="J5878">
        <v>7022607</v>
      </c>
      <c r="K5878">
        <v>109777346</v>
      </c>
      <c r="L5878">
        <v>1759409</v>
      </c>
      <c r="M5878">
        <v>0</v>
      </c>
      <c r="N5878">
        <v>0</v>
      </c>
      <c r="O5878">
        <v>0</v>
      </c>
      <c r="Q5878">
        <v>361886000</v>
      </c>
      <c r="R5878">
        <v>995900</v>
      </c>
      <c r="S5878">
        <v>0</v>
      </c>
      <c r="T5878" s="9">
        <v>45108</v>
      </c>
      <c r="U5878" s="9">
        <v>45473</v>
      </c>
      <c r="V5878">
        <f>SUM(POTABLE_NONPOTABLE_API[[#This Row],[RESIDENTIAL_SINGLEFAMILY_GAL]:[OTHER_GAL]])</f>
        <v>302288340</v>
      </c>
      <c r="W5878">
        <f>SUM(POTABLE_NONPOTABLE_API[[#This Row],[NONPOTABLE_DEMAND_RESIDENTIAL_RECYCLED_WATER_GAL]:[NONPOTABLE_DEMAND_NONRESIDENTIAL_METERED_IRRIGATION_GAL]])</f>
        <v>362881900</v>
      </c>
      <c r="X5878" t="str">
        <f>IFERROR(INDEX(Crosswalk_API!$H$2:$H$527, MATCH(POTABLE_NONPOTABLE_API[[#This Row],[PWSID]], CW_PWSID_LIST, 0)), "")</f>
        <v>No</v>
      </c>
    </row>
    <row r="5879" spans="1:24" x14ac:dyDescent="0.25">
      <c r="A5879" t="s">
        <v>2434</v>
      </c>
      <c r="B5879" t="s">
        <v>2435</v>
      </c>
      <c r="C5879" t="s">
        <v>2436</v>
      </c>
      <c r="D5879" t="s">
        <v>2437</v>
      </c>
      <c r="E5879" s="9">
        <v>45383</v>
      </c>
      <c r="F5879" s="9">
        <v>45412</v>
      </c>
      <c r="G5879">
        <v>145388616</v>
      </c>
      <c r="H5879">
        <v>47618028</v>
      </c>
      <c r="I5879">
        <v>35471494</v>
      </c>
      <c r="J5879">
        <v>22363160</v>
      </c>
      <c r="K5879">
        <v>106133376</v>
      </c>
      <c r="L5879">
        <v>5240482</v>
      </c>
      <c r="M5879">
        <v>0</v>
      </c>
      <c r="N5879">
        <v>0</v>
      </c>
      <c r="O5879">
        <v>0</v>
      </c>
      <c r="Q5879">
        <v>334255166</v>
      </c>
      <c r="R5879">
        <v>5897600</v>
      </c>
      <c r="T5879" s="9">
        <v>45108</v>
      </c>
      <c r="U5879" s="9">
        <v>45473</v>
      </c>
      <c r="V5879">
        <f>SUM(POTABLE_NONPOTABLE_API[[#This Row],[RESIDENTIAL_SINGLEFAMILY_GAL]:[OTHER_GAL]])</f>
        <v>362215156</v>
      </c>
      <c r="W5879">
        <f>SUM(POTABLE_NONPOTABLE_API[[#This Row],[NONPOTABLE_DEMAND_RESIDENTIAL_RECYCLED_WATER_GAL]:[NONPOTABLE_DEMAND_NONRESIDENTIAL_METERED_IRRIGATION_GAL]])</f>
        <v>340152766</v>
      </c>
      <c r="X5879" t="str">
        <f>IFERROR(INDEX(Crosswalk_API!$H$2:$H$527, MATCH(POTABLE_NONPOTABLE_API[[#This Row],[PWSID]], CW_PWSID_LIST, 0)), "")</f>
        <v>No</v>
      </c>
    </row>
    <row r="5880" spans="1:24" x14ac:dyDescent="0.25">
      <c r="A5880" t="s">
        <v>2434</v>
      </c>
      <c r="B5880" t="s">
        <v>2435</v>
      </c>
      <c r="C5880" t="s">
        <v>2436</v>
      </c>
      <c r="D5880" t="s">
        <v>2437</v>
      </c>
      <c r="E5880" s="9">
        <v>45413</v>
      </c>
      <c r="F5880" s="9">
        <v>45443</v>
      </c>
      <c r="G5880">
        <v>227373476</v>
      </c>
      <c r="H5880">
        <v>57375169</v>
      </c>
      <c r="I5880">
        <v>42515649</v>
      </c>
      <c r="J5880">
        <v>45200000</v>
      </c>
      <c r="K5880">
        <v>120707058</v>
      </c>
      <c r="L5880">
        <v>10369771</v>
      </c>
      <c r="M5880">
        <v>0</v>
      </c>
      <c r="N5880">
        <v>0</v>
      </c>
      <c r="O5880">
        <v>0</v>
      </c>
      <c r="P5880">
        <v>0</v>
      </c>
      <c r="Q5880">
        <v>354178193</v>
      </c>
      <c r="R5880">
        <v>15580745</v>
      </c>
      <c r="S5880">
        <v>0</v>
      </c>
      <c r="T5880" s="9">
        <v>45108</v>
      </c>
      <c r="U5880" s="9">
        <v>45473</v>
      </c>
      <c r="V5880">
        <f>SUM(POTABLE_NONPOTABLE_API[[#This Row],[RESIDENTIAL_SINGLEFAMILY_GAL]:[OTHER_GAL]])</f>
        <v>503541123</v>
      </c>
      <c r="W5880">
        <f>SUM(POTABLE_NONPOTABLE_API[[#This Row],[NONPOTABLE_DEMAND_RESIDENTIAL_RECYCLED_WATER_GAL]:[NONPOTABLE_DEMAND_NONRESIDENTIAL_METERED_IRRIGATION_GAL]])</f>
        <v>369758938</v>
      </c>
      <c r="X5880" t="str">
        <f>IFERROR(INDEX(Crosswalk_API!$H$2:$H$527, MATCH(POTABLE_NONPOTABLE_API[[#This Row],[PWSID]], CW_PWSID_LIST, 0)), "")</f>
        <v>No</v>
      </c>
    </row>
    <row r="5881" spans="1:24" x14ac:dyDescent="0.25">
      <c r="A5881" t="s">
        <v>2434</v>
      </c>
      <c r="B5881" t="s">
        <v>2435</v>
      </c>
      <c r="C5881" t="s">
        <v>2436</v>
      </c>
      <c r="D5881" t="s">
        <v>2437</v>
      </c>
      <c r="E5881" s="9">
        <v>45444</v>
      </c>
      <c r="F5881" s="9">
        <v>45473</v>
      </c>
      <c r="G5881">
        <v>282160509</v>
      </c>
      <c r="H5881">
        <v>61465076</v>
      </c>
      <c r="I5881">
        <v>48299096</v>
      </c>
      <c r="J5881">
        <v>57700000</v>
      </c>
      <c r="K5881">
        <v>152919883</v>
      </c>
      <c r="L5881">
        <v>15540935</v>
      </c>
      <c r="M5881">
        <v>0</v>
      </c>
      <c r="N5881">
        <v>0</v>
      </c>
      <c r="O5881">
        <v>0</v>
      </c>
      <c r="Q5881">
        <v>342695360</v>
      </c>
      <c r="R5881">
        <v>18300000</v>
      </c>
      <c r="S5881">
        <v>0</v>
      </c>
      <c r="T5881" s="9">
        <v>45108</v>
      </c>
      <c r="U5881" s="9">
        <v>45473</v>
      </c>
      <c r="V5881">
        <f>SUM(POTABLE_NONPOTABLE_API[[#This Row],[RESIDENTIAL_SINGLEFAMILY_GAL]:[OTHER_GAL]])</f>
        <v>618085499</v>
      </c>
      <c r="W5881">
        <f>SUM(POTABLE_NONPOTABLE_API[[#This Row],[NONPOTABLE_DEMAND_RESIDENTIAL_RECYCLED_WATER_GAL]:[NONPOTABLE_DEMAND_NONRESIDENTIAL_METERED_IRRIGATION_GAL]])</f>
        <v>360995360</v>
      </c>
      <c r="X5881" t="str">
        <f>IFERROR(INDEX(Crosswalk_API!$H$2:$H$527, MATCH(POTABLE_NONPOTABLE_API[[#This Row],[PWSID]], CW_PWSID_LIST, 0)), "")</f>
        <v>No</v>
      </c>
    </row>
    <row r="5882" spans="1:24" x14ac:dyDescent="0.25">
      <c r="A5882" t="s">
        <v>2438</v>
      </c>
      <c r="B5882" t="s">
        <v>2439</v>
      </c>
      <c r="C5882" t="s">
        <v>2440</v>
      </c>
      <c r="D5882" t="s">
        <v>2441</v>
      </c>
      <c r="E5882" s="9">
        <v>45108</v>
      </c>
      <c r="F5882" s="9">
        <v>45138</v>
      </c>
      <c r="G5882">
        <v>131290606.52000001</v>
      </c>
      <c r="H5882">
        <v>76475600.115999997</v>
      </c>
      <c r="I5882">
        <v>43214215.987999998</v>
      </c>
      <c r="J5882">
        <v>10639543.596000001</v>
      </c>
      <c r="K5882">
        <v>3800852.2120000003</v>
      </c>
      <c r="L5882">
        <v>457807.82400000002</v>
      </c>
      <c r="M5882">
        <v>522140.29600000003</v>
      </c>
      <c r="T5882" s="9">
        <v>45108</v>
      </c>
      <c r="U5882" s="9">
        <v>45473</v>
      </c>
      <c r="V5882">
        <f>SUM(POTABLE_NONPOTABLE_API[[#This Row],[RESIDENTIAL_SINGLEFAMILY_GAL]:[OTHER_GAL]])</f>
        <v>265878626.25600004</v>
      </c>
      <c r="W5882">
        <f>SUM(POTABLE_NONPOTABLE_API[[#This Row],[NONPOTABLE_DEMAND_RESIDENTIAL_RECYCLED_WATER_GAL]:[NONPOTABLE_DEMAND_NONRESIDENTIAL_METERED_IRRIGATION_GAL]])</f>
        <v>0</v>
      </c>
      <c r="X5882" t="str">
        <f>IFERROR(INDEX(Crosswalk_API!$H$2:$H$527, MATCH(POTABLE_NONPOTABLE_API[[#This Row],[PWSID]], CW_PWSID_LIST, 0)), "")</f>
        <v>No</v>
      </c>
    </row>
    <row r="5883" spans="1:24" x14ac:dyDescent="0.25">
      <c r="A5883" t="s">
        <v>2438</v>
      </c>
      <c r="B5883" t="s">
        <v>2439</v>
      </c>
      <c r="C5883" t="s">
        <v>2440</v>
      </c>
      <c r="D5883" t="s">
        <v>2441</v>
      </c>
      <c r="E5883" s="9">
        <v>45139</v>
      </c>
      <c r="F5883" s="9">
        <v>45169</v>
      </c>
      <c r="G5883">
        <v>166042110.23199999</v>
      </c>
      <c r="H5883">
        <v>61918508.196000002</v>
      </c>
      <c r="I5883">
        <v>37120584.395999998</v>
      </c>
      <c r="J5883">
        <v>8433538.2479999997</v>
      </c>
      <c r="K5883">
        <v>86774.032000000007</v>
      </c>
      <c r="L5883">
        <v>21693.508000000002</v>
      </c>
      <c r="M5883">
        <v>1821506.62</v>
      </c>
      <c r="T5883" s="9">
        <v>45108</v>
      </c>
      <c r="U5883" s="9">
        <v>45473</v>
      </c>
      <c r="V5883">
        <f>SUM(POTABLE_NONPOTABLE_API[[#This Row],[RESIDENTIAL_SINGLEFAMILY_GAL]:[OTHER_GAL]])</f>
        <v>273623208.61200005</v>
      </c>
      <c r="W5883">
        <f>SUM(POTABLE_NONPOTABLE_API[[#This Row],[NONPOTABLE_DEMAND_RESIDENTIAL_RECYCLED_WATER_GAL]:[NONPOTABLE_DEMAND_NONRESIDENTIAL_METERED_IRRIGATION_GAL]])</f>
        <v>0</v>
      </c>
      <c r="X5883" t="str">
        <f>IFERROR(INDEX(Crosswalk_API!$H$2:$H$527, MATCH(POTABLE_NONPOTABLE_API[[#This Row],[PWSID]], CW_PWSID_LIST, 0)), "")</f>
        <v>No</v>
      </c>
    </row>
    <row r="5884" spans="1:24" x14ac:dyDescent="0.25">
      <c r="A5884" t="s">
        <v>2438</v>
      </c>
      <c r="B5884" t="s">
        <v>2439</v>
      </c>
      <c r="C5884" t="s">
        <v>2440</v>
      </c>
      <c r="D5884" t="s">
        <v>2441</v>
      </c>
      <c r="E5884" s="9">
        <v>45170</v>
      </c>
      <c r="F5884" s="9">
        <v>45199</v>
      </c>
      <c r="G5884">
        <v>165267128.36000001</v>
      </c>
      <c r="H5884">
        <v>76169646.848000005</v>
      </c>
      <c r="I5884">
        <v>61955910.796000004</v>
      </c>
      <c r="J5884">
        <v>13266702.220000001</v>
      </c>
      <c r="K5884">
        <v>3968415.8600000003</v>
      </c>
      <c r="L5884">
        <v>139137.67199999999</v>
      </c>
      <c r="M5884">
        <v>257329.88800000001</v>
      </c>
      <c r="T5884" s="9">
        <v>45108</v>
      </c>
      <c r="U5884" s="9">
        <v>45473</v>
      </c>
      <c r="V5884">
        <f>SUM(POTABLE_NONPOTABLE_API[[#This Row],[RESIDENTIAL_SINGLEFAMILY_GAL]:[OTHER_GAL]])</f>
        <v>320766941.75600004</v>
      </c>
      <c r="W5884">
        <f>SUM(POTABLE_NONPOTABLE_API[[#This Row],[NONPOTABLE_DEMAND_RESIDENTIAL_RECYCLED_WATER_GAL]:[NONPOTABLE_DEMAND_NONRESIDENTIAL_METERED_IRRIGATION_GAL]])</f>
        <v>0</v>
      </c>
      <c r="X5884" t="str">
        <f>IFERROR(INDEX(Crosswalk_API!$H$2:$H$527, MATCH(POTABLE_NONPOTABLE_API[[#This Row],[PWSID]], CW_PWSID_LIST, 0)), "")</f>
        <v>No</v>
      </c>
    </row>
    <row r="5885" spans="1:24" x14ac:dyDescent="0.25">
      <c r="A5885" t="s">
        <v>2438</v>
      </c>
      <c r="B5885" t="s">
        <v>2439</v>
      </c>
      <c r="C5885" t="s">
        <v>2440</v>
      </c>
      <c r="D5885" t="s">
        <v>2441</v>
      </c>
      <c r="E5885" s="9">
        <v>45200</v>
      </c>
      <c r="F5885" s="9">
        <v>45230</v>
      </c>
      <c r="G5885">
        <v>207605375.456</v>
      </c>
      <c r="H5885">
        <v>66222799.403999999</v>
      </c>
      <c r="I5885">
        <v>41116678.18</v>
      </c>
      <c r="J5885">
        <v>8963907.1160000004</v>
      </c>
      <c r="K5885">
        <v>0</v>
      </c>
      <c r="L5885">
        <v>267802.61599999998</v>
      </c>
      <c r="M5885">
        <v>801911.74400000006</v>
      </c>
      <c r="T5885" s="9">
        <v>45108</v>
      </c>
      <c r="U5885" s="9">
        <v>45473</v>
      </c>
      <c r="V5885">
        <f>SUM(POTABLE_NONPOTABLE_API[[#This Row],[RESIDENTIAL_SINGLEFAMILY_GAL]:[OTHER_GAL]])</f>
        <v>324176562.77200001</v>
      </c>
      <c r="W5885">
        <f>SUM(POTABLE_NONPOTABLE_API[[#This Row],[NONPOTABLE_DEMAND_RESIDENTIAL_RECYCLED_WATER_GAL]:[NONPOTABLE_DEMAND_NONRESIDENTIAL_METERED_IRRIGATION_GAL]])</f>
        <v>0</v>
      </c>
      <c r="X5885" t="str">
        <f>IFERROR(INDEX(Crosswalk_API!$H$2:$H$527, MATCH(POTABLE_NONPOTABLE_API[[#This Row],[PWSID]], CW_PWSID_LIST, 0)), "")</f>
        <v>No</v>
      </c>
    </row>
    <row r="5886" spans="1:24" x14ac:dyDescent="0.25">
      <c r="A5886" t="s">
        <v>2438</v>
      </c>
      <c r="B5886" t="s">
        <v>2439</v>
      </c>
      <c r="C5886" t="s">
        <v>2440</v>
      </c>
      <c r="D5886" t="s">
        <v>2441</v>
      </c>
      <c r="E5886" s="9">
        <v>45231</v>
      </c>
      <c r="F5886" s="9">
        <v>45260</v>
      </c>
      <c r="G5886">
        <v>92700099.944000006</v>
      </c>
      <c r="H5886">
        <v>114548454.708</v>
      </c>
      <c r="I5886">
        <v>50812180.152000003</v>
      </c>
      <c r="J5886">
        <v>12196239.808</v>
      </c>
      <c r="K5886">
        <v>3824041.824</v>
      </c>
      <c r="L5886">
        <v>790690.96400000004</v>
      </c>
      <c r="M5886">
        <v>683719.52800000005</v>
      </c>
      <c r="T5886" s="9">
        <v>45108</v>
      </c>
      <c r="U5886" s="9">
        <v>45473</v>
      </c>
      <c r="V5886">
        <f>SUM(POTABLE_NONPOTABLE_API[[#This Row],[RESIDENTIAL_SINGLEFAMILY_GAL]:[OTHER_GAL]])</f>
        <v>274871707.40000004</v>
      </c>
      <c r="W5886">
        <f>SUM(POTABLE_NONPOTABLE_API[[#This Row],[NONPOTABLE_DEMAND_RESIDENTIAL_RECYCLED_WATER_GAL]:[NONPOTABLE_DEMAND_NONRESIDENTIAL_METERED_IRRIGATION_GAL]])</f>
        <v>0</v>
      </c>
      <c r="X5886" t="str">
        <f>IFERROR(INDEX(Crosswalk_API!$H$2:$H$527, MATCH(POTABLE_NONPOTABLE_API[[#This Row],[PWSID]], CW_PWSID_LIST, 0)), "")</f>
        <v>No</v>
      </c>
    </row>
    <row r="5887" spans="1:24" x14ac:dyDescent="0.25">
      <c r="A5887" t="s">
        <v>2438</v>
      </c>
      <c r="B5887" t="s">
        <v>2439</v>
      </c>
      <c r="C5887" t="s">
        <v>2440</v>
      </c>
      <c r="D5887" t="s">
        <v>2441</v>
      </c>
      <c r="E5887" s="9">
        <v>45261</v>
      </c>
      <c r="F5887" s="9">
        <v>45291</v>
      </c>
      <c r="G5887">
        <v>110240423.24000001</v>
      </c>
      <c r="H5887">
        <v>3746244.4160000002</v>
      </c>
      <c r="I5887">
        <v>15195928.328</v>
      </c>
      <c r="J5887">
        <v>3453756.0840000003</v>
      </c>
      <c r="K5887">
        <v>0</v>
      </c>
      <c r="L5887">
        <v>0</v>
      </c>
      <c r="M5887">
        <v>358316.908</v>
      </c>
      <c r="T5887" s="9">
        <v>45108</v>
      </c>
      <c r="U5887" s="9">
        <v>45473</v>
      </c>
      <c r="V5887">
        <f>SUM(POTABLE_NONPOTABLE_API[[#This Row],[RESIDENTIAL_SINGLEFAMILY_GAL]:[OTHER_GAL]])</f>
        <v>132636352.068</v>
      </c>
      <c r="W5887">
        <f>SUM(POTABLE_NONPOTABLE_API[[#This Row],[NONPOTABLE_DEMAND_RESIDENTIAL_RECYCLED_WATER_GAL]:[NONPOTABLE_DEMAND_NONRESIDENTIAL_METERED_IRRIGATION_GAL]])</f>
        <v>0</v>
      </c>
      <c r="X5887" t="str">
        <f>IFERROR(INDEX(Crosswalk_API!$H$2:$H$527, MATCH(POTABLE_NONPOTABLE_API[[#This Row],[PWSID]], CW_PWSID_LIST, 0)), "")</f>
        <v>No</v>
      </c>
    </row>
    <row r="5888" spans="1:24" x14ac:dyDescent="0.25">
      <c r="A5888" t="s">
        <v>2438</v>
      </c>
      <c r="B5888" t="s">
        <v>2439</v>
      </c>
      <c r="C5888" t="s">
        <v>2440</v>
      </c>
      <c r="D5888" t="s">
        <v>2441</v>
      </c>
      <c r="E5888" s="9">
        <v>45292</v>
      </c>
      <c r="F5888" s="9">
        <v>45322</v>
      </c>
      <c r="G5888">
        <v>139877495.428</v>
      </c>
      <c r="H5888">
        <v>121565930.52000001</v>
      </c>
      <c r="I5888">
        <v>48598694.284000002</v>
      </c>
      <c r="J5888">
        <v>11518504.696</v>
      </c>
      <c r="K5888">
        <v>3113392.4240000001</v>
      </c>
      <c r="L5888">
        <v>118192.216</v>
      </c>
      <c r="M5888">
        <v>659781.86400000006</v>
      </c>
      <c r="T5888" s="9">
        <v>45108</v>
      </c>
      <c r="U5888" s="9">
        <v>45473</v>
      </c>
      <c r="V5888">
        <f>SUM(POTABLE_NONPOTABLE_API[[#This Row],[RESIDENTIAL_SINGLEFAMILY_GAL]:[OTHER_GAL]])</f>
        <v>324792209.56800002</v>
      </c>
      <c r="W5888">
        <f>SUM(POTABLE_NONPOTABLE_API[[#This Row],[NONPOTABLE_DEMAND_RESIDENTIAL_RECYCLED_WATER_GAL]:[NONPOTABLE_DEMAND_NONRESIDENTIAL_METERED_IRRIGATION_GAL]])</f>
        <v>0</v>
      </c>
      <c r="X5888" t="str">
        <f>IFERROR(INDEX(Crosswalk_API!$H$2:$H$527, MATCH(POTABLE_NONPOTABLE_API[[#This Row],[PWSID]], CW_PWSID_LIST, 0)), "")</f>
        <v>No</v>
      </c>
    </row>
    <row r="5889" spans="1:24" x14ac:dyDescent="0.25">
      <c r="A5889" t="s">
        <v>2438</v>
      </c>
      <c r="B5889" t="s">
        <v>2439</v>
      </c>
      <c r="C5889" t="s">
        <v>2440</v>
      </c>
      <c r="D5889" t="s">
        <v>2441</v>
      </c>
      <c r="E5889" s="9">
        <v>45323</v>
      </c>
      <c r="F5889" s="9">
        <v>45351</v>
      </c>
      <c r="G5889">
        <v>82746520.032000005</v>
      </c>
      <c r="H5889">
        <v>3450015.824</v>
      </c>
      <c r="I5889">
        <v>10076260.439999999</v>
      </c>
      <c r="J5889">
        <v>1453465.0360000001</v>
      </c>
      <c r="K5889">
        <v>0</v>
      </c>
      <c r="L5889">
        <v>748.05200000000002</v>
      </c>
      <c r="M5889">
        <v>32166.236000000001</v>
      </c>
      <c r="T5889" s="9">
        <v>45108</v>
      </c>
      <c r="U5889" s="9">
        <v>45473</v>
      </c>
      <c r="V5889">
        <f>SUM(POTABLE_NONPOTABLE_API[[#This Row],[RESIDENTIAL_SINGLEFAMILY_GAL]:[OTHER_GAL]])</f>
        <v>97727009.384000003</v>
      </c>
      <c r="W5889">
        <f>SUM(POTABLE_NONPOTABLE_API[[#This Row],[NONPOTABLE_DEMAND_RESIDENTIAL_RECYCLED_WATER_GAL]:[NONPOTABLE_DEMAND_NONRESIDENTIAL_METERED_IRRIGATION_GAL]])</f>
        <v>0</v>
      </c>
      <c r="X5889" t="str">
        <f>IFERROR(INDEX(Crosswalk_API!$H$2:$H$527, MATCH(POTABLE_NONPOTABLE_API[[#This Row],[PWSID]], CW_PWSID_LIST, 0)), "")</f>
        <v>No</v>
      </c>
    </row>
    <row r="5890" spans="1:24" x14ac:dyDescent="0.25">
      <c r="A5890" t="s">
        <v>2438</v>
      </c>
      <c r="B5890" t="s">
        <v>2439</v>
      </c>
      <c r="C5890" t="s">
        <v>2440</v>
      </c>
      <c r="D5890" t="s">
        <v>2441</v>
      </c>
      <c r="E5890" s="9">
        <v>45352</v>
      </c>
      <c r="F5890" s="9">
        <v>45382</v>
      </c>
      <c r="G5890">
        <v>87701616.480000004</v>
      </c>
      <c r="H5890">
        <v>78386124.923999995</v>
      </c>
      <c r="I5890">
        <v>25618536.844000001</v>
      </c>
      <c r="J5890">
        <v>2407979.3880000003</v>
      </c>
      <c r="K5890">
        <v>2105018.3280000002</v>
      </c>
      <c r="L5890">
        <v>829589.66800000006</v>
      </c>
      <c r="M5890">
        <v>0</v>
      </c>
      <c r="T5890" s="9">
        <v>45108</v>
      </c>
      <c r="U5890" s="9">
        <v>45473</v>
      </c>
      <c r="V5890">
        <f>SUM(POTABLE_NONPOTABLE_API[[#This Row],[RESIDENTIAL_SINGLEFAMILY_GAL]:[OTHER_GAL]])</f>
        <v>197048865.63200003</v>
      </c>
      <c r="W5890">
        <f>SUM(POTABLE_NONPOTABLE_API[[#This Row],[NONPOTABLE_DEMAND_RESIDENTIAL_RECYCLED_WATER_GAL]:[NONPOTABLE_DEMAND_NONRESIDENTIAL_METERED_IRRIGATION_GAL]])</f>
        <v>0</v>
      </c>
      <c r="X5890" t="str">
        <f>IFERROR(INDEX(Crosswalk_API!$H$2:$H$527, MATCH(POTABLE_NONPOTABLE_API[[#This Row],[PWSID]], CW_PWSID_LIST, 0)), "")</f>
        <v>No</v>
      </c>
    </row>
    <row r="5891" spans="1:24" x14ac:dyDescent="0.25">
      <c r="A5891" t="s">
        <v>2438</v>
      </c>
      <c r="B5891" t="s">
        <v>2439</v>
      </c>
      <c r="C5891" t="s">
        <v>2440</v>
      </c>
      <c r="D5891" t="s">
        <v>2441</v>
      </c>
      <c r="E5891" s="9">
        <v>45383</v>
      </c>
      <c r="F5891" s="9">
        <v>45412</v>
      </c>
      <c r="G5891">
        <v>119544694.016</v>
      </c>
      <c r="H5891">
        <v>34756740.075999998</v>
      </c>
      <c r="I5891">
        <v>24147118.560000002</v>
      </c>
      <c r="J5891">
        <v>2514950.824</v>
      </c>
      <c r="K5891">
        <v>0</v>
      </c>
      <c r="L5891">
        <v>748.05200000000002</v>
      </c>
      <c r="M5891">
        <v>130161.04800000001</v>
      </c>
      <c r="T5891" s="9">
        <v>45108</v>
      </c>
      <c r="U5891" s="9">
        <v>45473</v>
      </c>
      <c r="V5891">
        <f>SUM(POTABLE_NONPOTABLE_API[[#This Row],[RESIDENTIAL_SINGLEFAMILY_GAL]:[OTHER_GAL]])</f>
        <v>180964251.528</v>
      </c>
      <c r="W5891">
        <f>SUM(POTABLE_NONPOTABLE_API[[#This Row],[NONPOTABLE_DEMAND_RESIDENTIAL_RECYCLED_WATER_GAL]:[NONPOTABLE_DEMAND_NONRESIDENTIAL_METERED_IRRIGATION_GAL]])</f>
        <v>0</v>
      </c>
      <c r="X5891" t="str">
        <f>IFERROR(INDEX(Crosswalk_API!$H$2:$H$527, MATCH(POTABLE_NONPOTABLE_API[[#This Row],[PWSID]], CW_PWSID_LIST, 0)), "")</f>
        <v>No</v>
      </c>
    </row>
    <row r="5892" spans="1:24" x14ac:dyDescent="0.25">
      <c r="A5892" t="s">
        <v>2438</v>
      </c>
      <c r="B5892" t="s">
        <v>2439</v>
      </c>
      <c r="C5892" t="s">
        <v>2440</v>
      </c>
      <c r="D5892" t="s">
        <v>2441</v>
      </c>
      <c r="E5892" s="9">
        <v>45413</v>
      </c>
      <c r="F5892" s="9">
        <v>45443</v>
      </c>
      <c r="G5892">
        <v>85522541.004000008</v>
      </c>
      <c r="H5892">
        <v>105762583.96800001</v>
      </c>
      <c r="I5892">
        <v>41529602.884000003</v>
      </c>
      <c r="J5892">
        <v>8218847.324</v>
      </c>
      <c r="K5892">
        <v>2880000.2</v>
      </c>
      <c r="L5892">
        <v>952270.196</v>
      </c>
      <c r="M5892">
        <v>145122.08800000002</v>
      </c>
      <c r="T5892" s="9">
        <v>45108</v>
      </c>
      <c r="U5892" s="9">
        <v>45473</v>
      </c>
      <c r="V5892">
        <f>SUM(POTABLE_NONPOTABLE_API[[#This Row],[RESIDENTIAL_SINGLEFAMILY_GAL]:[OTHER_GAL]])</f>
        <v>244865845.57600001</v>
      </c>
      <c r="W5892">
        <f>SUM(POTABLE_NONPOTABLE_API[[#This Row],[NONPOTABLE_DEMAND_RESIDENTIAL_RECYCLED_WATER_GAL]:[NONPOTABLE_DEMAND_NONRESIDENTIAL_METERED_IRRIGATION_GAL]])</f>
        <v>0</v>
      </c>
      <c r="X5892" t="str">
        <f>IFERROR(INDEX(Crosswalk_API!$H$2:$H$527, MATCH(POTABLE_NONPOTABLE_API[[#This Row],[PWSID]], CW_PWSID_LIST, 0)), "")</f>
        <v>No</v>
      </c>
    </row>
    <row r="5893" spans="1:24" x14ac:dyDescent="0.25">
      <c r="A5893" t="s">
        <v>2438</v>
      </c>
      <c r="B5893" t="s">
        <v>2439</v>
      </c>
      <c r="C5893" t="s">
        <v>2440</v>
      </c>
      <c r="D5893" t="s">
        <v>2441</v>
      </c>
      <c r="E5893" s="9">
        <v>45444</v>
      </c>
      <c r="F5893" s="9">
        <v>45473</v>
      </c>
      <c r="G5893">
        <v>103567051.348</v>
      </c>
      <c r="H5893">
        <v>5094234.12</v>
      </c>
      <c r="I5893">
        <v>14459845.16</v>
      </c>
      <c r="J5893">
        <v>2233683.2719999999</v>
      </c>
      <c r="K5893">
        <v>0</v>
      </c>
      <c r="L5893">
        <v>0</v>
      </c>
      <c r="M5893">
        <v>787698.75600000005</v>
      </c>
      <c r="T5893" s="9">
        <v>45108</v>
      </c>
      <c r="U5893" s="9">
        <v>45473</v>
      </c>
      <c r="V5893">
        <f>SUM(POTABLE_NONPOTABLE_API[[#This Row],[RESIDENTIAL_SINGLEFAMILY_GAL]:[OTHER_GAL]])</f>
        <v>125354813.90000001</v>
      </c>
      <c r="W5893">
        <f>SUM(POTABLE_NONPOTABLE_API[[#This Row],[NONPOTABLE_DEMAND_RESIDENTIAL_RECYCLED_WATER_GAL]:[NONPOTABLE_DEMAND_NONRESIDENTIAL_METERED_IRRIGATION_GAL]])</f>
        <v>0</v>
      </c>
      <c r="X5893" t="str">
        <f>IFERROR(INDEX(Crosswalk_API!$H$2:$H$527, MATCH(POTABLE_NONPOTABLE_API[[#This Row],[PWSID]], CW_PWSID_LIST, 0)), "")</f>
        <v>No</v>
      </c>
    </row>
    <row r="5894" spans="1:24" x14ac:dyDescent="0.25">
      <c r="A5894" t="s">
        <v>2442</v>
      </c>
      <c r="B5894" t="s">
        <v>2443</v>
      </c>
      <c r="C5894" t="s">
        <v>2444</v>
      </c>
      <c r="D5894" t="s">
        <v>2445</v>
      </c>
      <c r="E5894" s="9">
        <v>45108</v>
      </c>
      <c r="F5894" s="9">
        <v>45138</v>
      </c>
      <c r="G5894">
        <v>43585997.832000002</v>
      </c>
      <c r="H5894">
        <v>11764613.804</v>
      </c>
      <c r="I5894">
        <v>8347512.2680000002</v>
      </c>
      <c r="J5894">
        <v>4437444.4639999997</v>
      </c>
      <c r="K5894">
        <v>2992.2080000000001</v>
      </c>
      <c r="L5894">
        <v>0</v>
      </c>
      <c r="M5894">
        <v>0</v>
      </c>
      <c r="N5894">
        <v>0</v>
      </c>
      <c r="O5894">
        <v>1858032</v>
      </c>
      <c r="P5894">
        <v>0</v>
      </c>
      <c r="Q5894">
        <v>0</v>
      </c>
      <c r="R5894">
        <v>0</v>
      </c>
      <c r="S5894">
        <v>0</v>
      </c>
      <c r="T5894" s="9">
        <v>45108</v>
      </c>
      <c r="U5894" s="9">
        <v>45473</v>
      </c>
      <c r="V5894">
        <f>SUM(POTABLE_NONPOTABLE_API[[#This Row],[RESIDENTIAL_SINGLEFAMILY_GAL]:[OTHER_GAL]])</f>
        <v>68138560.576000005</v>
      </c>
      <c r="W5894">
        <f>SUM(POTABLE_NONPOTABLE_API[[#This Row],[NONPOTABLE_DEMAND_RESIDENTIAL_RECYCLED_WATER_GAL]:[NONPOTABLE_DEMAND_NONRESIDENTIAL_METERED_IRRIGATION_GAL]])</f>
        <v>1858032</v>
      </c>
      <c r="X5894" t="str">
        <f>IFERROR(INDEX(Crosswalk_API!$H$2:$H$527, MATCH(POTABLE_NONPOTABLE_API[[#This Row],[PWSID]], CW_PWSID_LIST, 0)), "")</f>
        <v>No</v>
      </c>
    </row>
    <row r="5895" spans="1:24" x14ac:dyDescent="0.25">
      <c r="A5895" t="s">
        <v>2442</v>
      </c>
      <c r="B5895" t="s">
        <v>2443</v>
      </c>
      <c r="C5895" t="s">
        <v>2444</v>
      </c>
      <c r="D5895" t="s">
        <v>2445</v>
      </c>
      <c r="E5895" s="9">
        <v>45139</v>
      </c>
      <c r="F5895" s="9">
        <v>45169</v>
      </c>
      <c r="G5895">
        <v>45835390.196000002</v>
      </c>
      <c r="H5895">
        <v>13271190.532</v>
      </c>
      <c r="I5895">
        <v>9422462.9920000006</v>
      </c>
      <c r="J5895">
        <v>5144353.6040000003</v>
      </c>
      <c r="K5895">
        <v>4488.3119999999999</v>
      </c>
      <c r="L5895">
        <v>0</v>
      </c>
      <c r="M5895">
        <v>0</v>
      </c>
      <c r="N5895">
        <v>0</v>
      </c>
      <c r="O5895">
        <v>1235696</v>
      </c>
      <c r="P5895">
        <v>0</v>
      </c>
      <c r="Q5895">
        <v>0</v>
      </c>
      <c r="R5895">
        <v>0</v>
      </c>
      <c r="S5895">
        <v>0</v>
      </c>
      <c r="T5895" s="9">
        <v>45108</v>
      </c>
      <c r="U5895" s="9">
        <v>45473</v>
      </c>
      <c r="V5895">
        <f>SUM(POTABLE_NONPOTABLE_API[[#This Row],[RESIDENTIAL_SINGLEFAMILY_GAL]:[OTHER_GAL]])</f>
        <v>73677885.636000007</v>
      </c>
      <c r="W5895">
        <f>SUM(POTABLE_NONPOTABLE_API[[#This Row],[NONPOTABLE_DEMAND_RESIDENTIAL_RECYCLED_WATER_GAL]:[NONPOTABLE_DEMAND_NONRESIDENTIAL_METERED_IRRIGATION_GAL]])</f>
        <v>1235696</v>
      </c>
      <c r="X5895" t="str">
        <f>IFERROR(INDEX(Crosswalk_API!$H$2:$H$527, MATCH(POTABLE_NONPOTABLE_API[[#This Row],[PWSID]], CW_PWSID_LIST, 0)), "")</f>
        <v>No</v>
      </c>
    </row>
    <row r="5896" spans="1:24" x14ac:dyDescent="0.25">
      <c r="A5896" t="s">
        <v>2442</v>
      </c>
      <c r="B5896" t="s">
        <v>2443</v>
      </c>
      <c r="C5896" t="s">
        <v>2444</v>
      </c>
      <c r="D5896" t="s">
        <v>2445</v>
      </c>
      <c r="E5896" s="9">
        <v>45170</v>
      </c>
      <c r="F5896" s="9">
        <v>45199</v>
      </c>
      <c r="G5896">
        <v>36847545.416000001</v>
      </c>
      <c r="H5896">
        <v>10813839.712000001</v>
      </c>
      <c r="I5896">
        <v>7936083.6680000005</v>
      </c>
      <c r="J5896">
        <v>3871917.1520000002</v>
      </c>
      <c r="K5896">
        <v>5236.3640000000005</v>
      </c>
      <c r="L5896">
        <v>0</v>
      </c>
      <c r="M5896">
        <v>0</v>
      </c>
      <c r="N5896">
        <v>0</v>
      </c>
      <c r="O5896">
        <v>1405492</v>
      </c>
      <c r="P5896">
        <v>0</v>
      </c>
      <c r="Q5896">
        <v>0</v>
      </c>
      <c r="R5896">
        <v>0</v>
      </c>
      <c r="S5896">
        <v>0</v>
      </c>
      <c r="T5896" s="9">
        <v>45108</v>
      </c>
      <c r="U5896" s="9">
        <v>45473</v>
      </c>
      <c r="V5896">
        <f>SUM(POTABLE_NONPOTABLE_API[[#This Row],[RESIDENTIAL_SINGLEFAMILY_GAL]:[OTHER_GAL]])</f>
        <v>59474622.312000006</v>
      </c>
      <c r="W5896">
        <f>SUM(POTABLE_NONPOTABLE_API[[#This Row],[NONPOTABLE_DEMAND_RESIDENTIAL_RECYCLED_WATER_GAL]:[NONPOTABLE_DEMAND_NONRESIDENTIAL_METERED_IRRIGATION_GAL]])</f>
        <v>1405492</v>
      </c>
      <c r="X5896" t="str">
        <f>IFERROR(INDEX(Crosswalk_API!$H$2:$H$527, MATCH(POTABLE_NONPOTABLE_API[[#This Row],[PWSID]], CW_PWSID_LIST, 0)), "")</f>
        <v>No</v>
      </c>
    </row>
    <row r="5897" spans="1:24" x14ac:dyDescent="0.25">
      <c r="A5897" t="s">
        <v>2442</v>
      </c>
      <c r="B5897" t="s">
        <v>2443</v>
      </c>
      <c r="C5897" t="s">
        <v>2444</v>
      </c>
      <c r="D5897" t="s">
        <v>2445</v>
      </c>
      <c r="E5897" s="9">
        <v>45200</v>
      </c>
      <c r="F5897" s="9">
        <v>45230</v>
      </c>
      <c r="G5897">
        <v>32231316.524</v>
      </c>
      <c r="H5897">
        <v>9545143.5199999996</v>
      </c>
      <c r="I5897">
        <v>7989943.4120000005</v>
      </c>
      <c r="J5897">
        <v>3608602.8480000002</v>
      </c>
      <c r="K5897">
        <v>5236.3640000000005</v>
      </c>
      <c r="L5897">
        <v>0</v>
      </c>
      <c r="M5897">
        <v>0</v>
      </c>
      <c r="N5897">
        <v>0</v>
      </c>
      <c r="O5897">
        <v>2691304</v>
      </c>
      <c r="P5897">
        <v>0</v>
      </c>
      <c r="Q5897">
        <v>0</v>
      </c>
      <c r="R5897">
        <v>0</v>
      </c>
      <c r="S5897">
        <v>0</v>
      </c>
      <c r="T5897" s="9">
        <v>45108</v>
      </c>
      <c r="U5897" s="9">
        <v>45473</v>
      </c>
      <c r="V5897">
        <f>SUM(POTABLE_NONPOTABLE_API[[#This Row],[RESIDENTIAL_SINGLEFAMILY_GAL]:[OTHER_GAL]])</f>
        <v>53380242.667999998</v>
      </c>
      <c r="W5897">
        <f>SUM(POTABLE_NONPOTABLE_API[[#This Row],[NONPOTABLE_DEMAND_RESIDENTIAL_RECYCLED_WATER_GAL]:[NONPOTABLE_DEMAND_NONRESIDENTIAL_METERED_IRRIGATION_GAL]])</f>
        <v>2691304</v>
      </c>
      <c r="X5897" t="str">
        <f>IFERROR(INDEX(Crosswalk_API!$H$2:$H$527, MATCH(POTABLE_NONPOTABLE_API[[#This Row],[PWSID]], CW_PWSID_LIST, 0)), "")</f>
        <v>No</v>
      </c>
    </row>
    <row r="5898" spans="1:24" x14ac:dyDescent="0.25">
      <c r="A5898" t="s">
        <v>2442</v>
      </c>
      <c r="B5898" t="s">
        <v>2443</v>
      </c>
      <c r="C5898" t="s">
        <v>2444</v>
      </c>
      <c r="D5898" t="s">
        <v>2445</v>
      </c>
      <c r="E5898" s="9">
        <v>45231</v>
      </c>
      <c r="F5898" s="9">
        <v>45260</v>
      </c>
      <c r="G5898">
        <v>32403368.484000001</v>
      </c>
      <c r="H5898">
        <v>10052322.776000001</v>
      </c>
      <c r="I5898">
        <v>7175314.784</v>
      </c>
      <c r="J5898">
        <v>3078233.98</v>
      </c>
      <c r="K5898">
        <v>9724.6759999999995</v>
      </c>
      <c r="L5898">
        <v>0</v>
      </c>
      <c r="M5898">
        <v>0</v>
      </c>
      <c r="N5898">
        <v>0</v>
      </c>
      <c r="O5898">
        <v>1613436</v>
      </c>
      <c r="P5898">
        <v>0</v>
      </c>
      <c r="Q5898">
        <v>0</v>
      </c>
      <c r="R5898">
        <v>0</v>
      </c>
      <c r="S5898">
        <v>0</v>
      </c>
      <c r="T5898" s="9">
        <v>45108</v>
      </c>
      <c r="U5898" s="9">
        <v>45473</v>
      </c>
      <c r="V5898">
        <f>SUM(POTABLE_NONPOTABLE_API[[#This Row],[RESIDENTIAL_SINGLEFAMILY_GAL]:[OTHER_GAL]])</f>
        <v>52718964.700000003</v>
      </c>
      <c r="W5898">
        <f>SUM(POTABLE_NONPOTABLE_API[[#This Row],[NONPOTABLE_DEMAND_RESIDENTIAL_RECYCLED_WATER_GAL]:[NONPOTABLE_DEMAND_NONRESIDENTIAL_METERED_IRRIGATION_GAL]])</f>
        <v>1613436</v>
      </c>
      <c r="X5898" t="str">
        <f>IFERROR(INDEX(Crosswalk_API!$H$2:$H$527, MATCH(POTABLE_NONPOTABLE_API[[#This Row],[PWSID]], CW_PWSID_LIST, 0)), "")</f>
        <v>No</v>
      </c>
    </row>
    <row r="5899" spans="1:24" x14ac:dyDescent="0.25">
      <c r="A5899" t="s">
        <v>2442</v>
      </c>
      <c r="B5899" t="s">
        <v>2443</v>
      </c>
      <c r="C5899" t="s">
        <v>2444</v>
      </c>
      <c r="D5899" t="s">
        <v>2445</v>
      </c>
      <c r="E5899" s="9">
        <v>45261</v>
      </c>
      <c r="F5899" s="9">
        <v>45291</v>
      </c>
      <c r="G5899">
        <v>28665352.640000001</v>
      </c>
      <c r="H5899">
        <v>9468842.216</v>
      </c>
      <c r="I5899">
        <v>5792914.6880000001</v>
      </c>
      <c r="J5899">
        <v>1627761.152</v>
      </c>
      <c r="K5899">
        <v>14961.04</v>
      </c>
      <c r="L5899">
        <v>0</v>
      </c>
      <c r="M5899">
        <v>0</v>
      </c>
      <c r="N5899">
        <v>0</v>
      </c>
      <c r="O5899">
        <v>1151920</v>
      </c>
      <c r="P5899">
        <v>0</v>
      </c>
      <c r="Q5899">
        <v>0</v>
      </c>
      <c r="R5899">
        <v>0</v>
      </c>
      <c r="S5899">
        <v>0</v>
      </c>
      <c r="T5899" s="9">
        <v>45108</v>
      </c>
      <c r="U5899" s="9">
        <v>45473</v>
      </c>
      <c r="V5899">
        <f>SUM(POTABLE_NONPOTABLE_API[[#This Row],[RESIDENTIAL_SINGLEFAMILY_GAL]:[OTHER_GAL]])</f>
        <v>45569831.736000001</v>
      </c>
      <c r="W5899">
        <f>SUM(POTABLE_NONPOTABLE_API[[#This Row],[NONPOTABLE_DEMAND_RESIDENTIAL_RECYCLED_WATER_GAL]:[NONPOTABLE_DEMAND_NONRESIDENTIAL_METERED_IRRIGATION_GAL]])</f>
        <v>1151920</v>
      </c>
      <c r="X5899" t="str">
        <f>IFERROR(INDEX(Crosswalk_API!$H$2:$H$527, MATCH(POTABLE_NONPOTABLE_API[[#This Row],[PWSID]], CW_PWSID_LIST, 0)), "")</f>
        <v>No</v>
      </c>
    </row>
    <row r="5900" spans="1:24" x14ac:dyDescent="0.25">
      <c r="A5900" t="s">
        <v>2442</v>
      </c>
      <c r="B5900" t="s">
        <v>2443</v>
      </c>
      <c r="C5900" t="s">
        <v>2444</v>
      </c>
      <c r="D5900" t="s">
        <v>2445</v>
      </c>
      <c r="E5900" s="9">
        <v>45292</v>
      </c>
      <c r="F5900" s="9">
        <v>45322</v>
      </c>
      <c r="G5900">
        <v>28833664.34</v>
      </c>
      <c r="H5900">
        <v>8832998.0160000008</v>
      </c>
      <c r="I5900">
        <v>5900634.176</v>
      </c>
      <c r="J5900">
        <v>824353.304</v>
      </c>
      <c r="K5900">
        <v>14961.04</v>
      </c>
      <c r="L5900">
        <v>0</v>
      </c>
      <c r="M5900">
        <v>0</v>
      </c>
      <c r="N5900">
        <v>0</v>
      </c>
      <c r="O5900">
        <v>916300</v>
      </c>
      <c r="P5900">
        <v>0</v>
      </c>
      <c r="Q5900">
        <v>0</v>
      </c>
      <c r="R5900">
        <v>0</v>
      </c>
      <c r="S5900">
        <v>0</v>
      </c>
      <c r="T5900" s="9">
        <v>45108</v>
      </c>
      <c r="U5900" s="9">
        <v>45473</v>
      </c>
      <c r="V5900">
        <f>SUM(POTABLE_NONPOTABLE_API[[#This Row],[RESIDENTIAL_SINGLEFAMILY_GAL]:[OTHER_GAL]])</f>
        <v>44406610.875999995</v>
      </c>
      <c r="W5900">
        <f>SUM(POTABLE_NONPOTABLE_API[[#This Row],[NONPOTABLE_DEMAND_RESIDENTIAL_RECYCLED_WATER_GAL]:[NONPOTABLE_DEMAND_NONRESIDENTIAL_METERED_IRRIGATION_GAL]])</f>
        <v>916300</v>
      </c>
      <c r="X5900" t="str">
        <f>IFERROR(INDEX(Crosswalk_API!$H$2:$H$527, MATCH(POTABLE_NONPOTABLE_API[[#This Row],[PWSID]], CW_PWSID_LIST, 0)), "")</f>
        <v>No</v>
      </c>
    </row>
    <row r="5901" spans="1:24" x14ac:dyDescent="0.25">
      <c r="A5901" t="s">
        <v>2442</v>
      </c>
      <c r="B5901" t="s">
        <v>2443</v>
      </c>
      <c r="C5901" t="s">
        <v>2444</v>
      </c>
      <c r="D5901" t="s">
        <v>2445</v>
      </c>
      <c r="E5901" s="9">
        <v>45323</v>
      </c>
      <c r="F5901" s="9">
        <v>45351</v>
      </c>
      <c r="G5901">
        <v>25593103.076000001</v>
      </c>
      <c r="H5901">
        <v>8597361.6359999999</v>
      </c>
      <c r="I5901">
        <v>5798899.1040000003</v>
      </c>
      <c r="J5901">
        <v>635096.14800000004</v>
      </c>
      <c r="K5901">
        <v>20197.404000000002</v>
      </c>
      <c r="L5901">
        <v>0</v>
      </c>
      <c r="M5901">
        <v>0</v>
      </c>
      <c r="N5901">
        <v>0</v>
      </c>
      <c r="O5901">
        <v>2052512</v>
      </c>
      <c r="P5901">
        <v>0</v>
      </c>
      <c r="Q5901">
        <v>0</v>
      </c>
      <c r="R5901">
        <v>0</v>
      </c>
      <c r="S5901">
        <v>0</v>
      </c>
      <c r="T5901" s="9">
        <v>45108</v>
      </c>
      <c r="U5901" s="9">
        <v>45473</v>
      </c>
      <c r="V5901">
        <f>SUM(POTABLE_NONPOTABLE_API[[#This Row],[RESIDENTIAL_SINGLEFAMILY_GAL]:[OTHER_GAL]])</f>
        <v>40644657.368000001</v>
      </c>
      <c r="W5901">
        <f>SUM(POTABLE_NONPOTABLE_API[[#This Row],[NONPOTABLE_DEMAND_RESIDENTIAL_RECYCLED_WATER_GAL]:[NONPOTABLE_DEMAND_NONRESIDENTIAL_METERED_IRRIGATION_GAL]])</f>
        <v>2052512</v>
      </c>
      <c r="X5901" t="str">
        <f>IFERROR(INDEX(Crosswalk_API!$H$2:$H$527, MATCH(POTABLE_NONPOTABLE_API[[#This Row],[PWSID]], CW_PWSID_LIST, 0)), "")</f>
        <v>No</v>
      </c>
    </row>
    <row r="5902" spans="1:24" x14ac:dyDescent="0.25">
      <c r="A5902" t="s">
        <v>2442</v>
      </c>
      <c r="B5902" t="s">
        <v>2443</v>
      </c>
      <c r="C5902" t="s">
        <v>2444</v>
      </c>
      <c r="D5902" t="s">
        <v>2445</v>
      </c>
      <c r="E5902" s="9">
        <v>45352</v>
      </c>
      <c r="F5902" s="9">
        <v>45382</v>
      </c>
      <c r="G5902">
        <v>26772033.028000001</v>
      </c>
      <c r="H5902">
        <v>8631772.0280000009</v>
      </c>
      <c r="I5902">
        <v>5848270.5360000003</v>
      </c>
      <c r="J5902">
        <v>1251490.996</v>
      </c>
      <c r="K5902">
        <v>11220.78</v>
      </c>
      <c r="L5902">
        <v>0</v>
      </c>
      <c r="M5902">
        <v>0</v>
      </c>
      <c r="N5902">
        <v>0</v>
      </c>
      <c r="O5902">
        <v>5415520</v>
      </c>
      <c r="P5902">
        <v>0</v>
      </c>
      <c r="Q5902">
        <v>0</v>
      </c>
      <c r="R5902">
        <v>0</v>
      </c>
      <c r="S5902">
        <v>0</v>
      </c>
      <c r="T5902" s="9">
        <v>45108</v>
      </c>
      <c r="U5902" s="9">
        <v>45473</v>
      </c>
      <c r="V5902">
        <f>SUM(POTABLE_NONPOTABLE_API[[#This Row],[RESIDENTIAL_SINGLEFAMILY_GAL]:[OTHER_GAL]])</f>
        <v>42514787.368000001</v>
      </c>
      <c r="W5902">
        <f>SUM(POTABLE_NONPOTABLE_API[[#This Row],[NONPOTABLE_DEMAND_RESIDENTIAL_RECYCLED_WATER_GAL]:[NONPOTABLE_DEMAND_NONRESIDENTIAL_METERED_IRRIGATION_GAL]])</f>
        <v>5415520</v>
      </c>
      <c r="X5902" t="str">
        <f>IFERROR(INDEX(Crosswalk_API!$H$2:$H$527, MATCH(POTABLE_NONPOTABLE_API[[#This Row],[PWSID]], CW_PWSID_LIST, 0)), "")</f>
        <v>No</v>
      </c>
    </row>
    <row r="5903" spans="1:24" x14ac:dyDescent="0.25">
      <c r="A5903" t="s">
        <v>2442</v>
      </c>
      <c r="B5903" t="s">
        <v>2443</v>
      </c>
      <c r="C5903" t="s">
        <v>2444</v>
      </c>
      <c r="D5903" t="s">
        <v>2445</v>
      </c>
      <c r="E5903" s="9">
        <v>45383</v>
      </c>
      <c r="F5903" s="9">
        <v>45412</v>
      </c>
      <c r="G5903">
        <v>36298475.248000003</v>
      </c>
      <c r="H5903">
        <v>11084634.536</v>
      </c>
      <c r="I5903">
        <v>7028696.5920000002</v>
      </c>
      <c r="J5903">
        <v>3096187.2280000001</v>
      </c>
      <c r="K5903">
        <v>8228.5720000000001</v>
      </c>
      <c r="L5903">
        <v>0</v>
      </c>
      <c r="M5903">
        <v>0</v>
      </c>
      <c r="N5903">
        <v>0</v>
      </c>
      <c r="O5903">
        <v>5164940</v>
      </c>
      <c r="P5903">
        <v>0</v>
      </c>
      <c r="Q5903">
        <v>0</v>
      </c>
      <c r="R5903">
        <v>0</v>
      </c>
      <c r="S5903">
        <v>0</v>
      </c>
      <c r="T5903" s="9">
        <v>45108</v>
      </c>
      <c r="U5903" s="9">
        <v>45473</v>
      </c>
      <c r="V5903">
        <f>SUM(POTABLE_NONPOTABLE_API[[#This Row],[RESIDENTIAL_SINGLEFAMILY_GAL]:[OTHER_GAL]])</f>
        <v>57516222.175999999</v>
      </c>
      <c r="W5903">
        <f>SUM(POTABLE_NONPOTABLE_API[[#This Row],[NONPOTABLE_DEMAND_RESIDENTIAL_RECYCLED_WATER_GAL]:[NONPOTABLE_DEMAND_NONRESIDENTIAL_METERED_IRRIGATION_GAL]])</f>
        <v>5164940</v>
      </c>
      <c r="X5903" t="str">
        <f>IFERROR(INDEX(Crosswalk_API!$H$2:$H$527, MATCH(POTABLE_NONPOTABLE_API[[#This Row],[PWSID]], CW_PWSID_LIST, 0)), "")</f>
        <v>No</v>
      </c>
    </row>
    <row r="5904" spans="1:24" x14ac:dyDescent="0.25">
      <c r="A5904" t="s">
        <v>2442</v>
      </c>
      <c r="B5904" t="s">
        <v>2443</v>
      </c>
      <c r="C5904" t="s">
        <v>2444</v>
      </c>
      <c r="D5904" t="s">
        <v>2445</v>
      </c>
      <c r="E5904" s="9">
        <v>45413</v>
      </c>
      <c r="F5904" s="9">
        <v>45443</v>
      </c>
      <c r="G5904">
        <v>35172656.987999998</v>
      </c>
      <c r="H5904">
        <v>9943107.1840000004</v>
      </c>
      <c r="I5904">
        <v>6746680.9879999999</v>
      </c>
      <c r="J5904">
        <v>3500883.36</v>
      </c>
      <c r="K5904">
        <v>2992.2080000000001</v>
      </c>
      <c r="L5904">
        <v>0</v>
      </c>
      <c r="M5904">
        <v>0</v>
      </c>
      <c r="N5904">
        <v>0</v>
      </c>
      <c r="O5904">
        <v>4499220</v>
      </c>
      <c r="P5904">
        <v>0</v>
      </c>
      <c r="Q5904">
        <v>0</v>
      </c>
      <c r="R5904">
        <v>0</v>
      </c>
      <c r="S5904">
        <v>0</v>
      </c>
      <c r="T5904" s="9">
        <v>45108</v>
      </c>
      <c r="U5904" s="9">
        <v>45473</v>
      </c>
      <c r="V5904">
        <f>SUM(POTABLE_NONPOTABLE_API[[#This Row],[RESIDENTIAL_SINGLEFAMILY_GAL]:[OTHER_GAL]])</f>
        <v>55366320.727999993</v>
      </c>
      <c r="W5904">
        <f>SUM(POTABLE_NONPOTABLE_API[[#This Row],[NONPOTABLE_DEMAND_RESIDENTIAL_RECYCLED_WATER_GAL]:[NONPOTABLE_DEMAND_NONRESIDENTIAL_METERED_IRRIGATION_GAL]])</f>
        <v>4499220</v>
      </c>
      <c r="X5904" t="str">
        <f>IFERROR(INDEX(Crosswalk_API!$H$2:$H$527, MATCH(POTABLE_NONPOTABLE_API[[#This Row],[PWSID]], CW_PWSID_LIST, 0)), "")</f>
        <v>No</v>
      </c>
    </row>
    <row r="5905" spans="1:24" x14ac:dyDescent="0.25">
      <c r="A5905" t="s">
        <v>2442</v>
      </c>
      <c r="B5905" t="s">
        <v>2443</v>
      </c>
      <c r="C5905" t="s">
        <v>2444</v>
      </c>
      <c r="D5905" t="s">
        <v>2445</v>
      </c>
      <c r="E5905" s="9">
        <v>45444</v>
      </c>
      <c r="F5905" s="9">
        <v>45473</v>
      </c>
      <c r="G5905">
        <v>51637281.508000001</v>
      </c>
      <c r="H5905">
        <v>12876967.128</v>
      </c>
      <c r="I5905">
        <v>9179346.0920000002</v>
      </c>
      <c r="J5905">
        <v>5038130.22</v>
      </c>
      <c r="K5905">
        <v>5236.3640000000005</v>
      </c>
      <c r="L5905">
        <v>0</v>
      </c>
      <c r="M5905">
        <v>0</v>
      </c>
      <c r="N5905">
        <v>0</v>
      </c>
      <c r="O5905">
        <v>2443716</v>
      </c>
      <c r="P5905">
        <v>0</v>
      </c>
      <c r="Q5905">
        <v>0</v>
      </c>
      <c r="R5905">
        <v>0</v>
      </c>
      <c r="S5905">
        <v>0</v>
      </c>
      <c r="T5905" s="9">
        <v>45108</v>
      </c>
      <c r="U5905" s="9">
        <v>45473</v>
      </c>
      <c r="V5905">
        <f>SUM(POTABLE_NONPOTABLE_API[[#This Row],[RESIDENTIAL_SINGLEFAMILY_GAL]:[OTHER_GAL]])</f>
        <v>78736961.311999992</v>
      </c>
      <c r="W5905">
        <f>SUM(POTABLE_NONPOTABLE_API[[#This Row],[NONPOTABLE_DEMAND_RESIDENTIAL_RECYCLED_WATER_GAL]:[NONPOTABLE_DEMAND_NONRESIDENTIAL_METERED_IRRIGATION_GAL]])</f>
        <v>2443716</v>
      </c>
      <c r="X5905" t="str">
        <f>IFERROR(INDEX(Crosswalk_API!$H$2:$H$527, MATCH(POTABLE_NONPOTABLE_API[[#This Row],[PWSID]], CW_PWSID_LIST, 0)), "")</f>
        <v>No</v>
      </c>
    </row>
    <row r="5906" spans="1:24" x14ac:dyDescent="0.25">
      <c r="A5906" t="s">
        <v>2446</v>
      </c>
      <c r="B5906" t="s">
        <v>2447</v>
      </c>
      <c r="C5906" t="s">
        <v>2448</v>
      </c>
      <c r="D5906" t="s">
        <v>2449</v>
      </c>
      <c r="E5906" s="9">
        <v>45108</v>
      </c>
      <c r="F5906" s="9">
        <v>45138</v>
      </c>
      <c r="G5906">
        <v>27823000</v>
      </c>
      <c r="H5906">
        <v>27823000</v>
      </c>
      <c r="I5906">
        <v>31945000</v>
      </c>
      <c r="J5906">
        <v>12366000</v>
      </c>
      <c r="K5906">
        <v>2061000</v>
      </c>
      <c r="L5906">
        <v>1030000</v>
      </c>
      <c r="M5906">
        <v>0</v>
      </c>
      <c r="N5906">
        <v>0</v>
      </c>
      <c r="O5906">
        <v>0</v>
      </c>
      <c r="P5906">
        <v>0</v>
      </c>
      <c r="Q5906">
        <v>55688800</v>
      </c>
      <c r="R5906">
        <v>0</v>
      </c>
      <c r="S5906">
        <v>0</v>
      </c>
      <c r="T5906" s="9">
        <v>45108</v>
      </c>
      <c r="U5906" s="9">
        <v>45473</v>
      </c>
      <c r="V5906">
        <f>SUM(POTABLE_NONPOTABLE_API[[#This Row],[RESIDENTIAL_SINGLEFAMILY_GAL]:[OTHER_GAL]])</f>
        <v>103048000</v>
      </c>
      <c r="W5906">
        <f>SUM(POTABLE_NONPOTABLE_API[[#This Row],[NONPOTABLE_DEMAND_RESIDENTIAL_RECYCLED_WATER_GAL]:[NONPOTABLE_DEMAND_NONRESIDENTIAL_METERED_IRRIGATION_GAL]])</f>
        <v>55688800</v>
      </c>
      <c r="X5906" t="str">
        <f>IFERROR(INDEX(Crosswalk_API!$H$2:$H$527, MATCH(POTABLE_NONPOTABLE_API[[#This Row],[PWSID]], CW_PWSID_LIST, 0)), "")</f>
        <v>No</v>
      </c>
    </row>
    <row r="5907" spans="1:24" x14ac:dyDescent="0.25">
      <c r="A5907" t="s">
        <v>2446</v>
      </c>
      <c r="B5907" t="s">
        <v>2447</v>
      </c>
      <c r="C5907" t="s">
        <v>2448</v>
      </c>
      <c r="D5907" t="s">
        <v>2449</v>
      </c>
      <c r="E5907" s="9">
        <v>45139</v>
      </c>
      <c r="F5907" s="9">
        <v>45169</v>
      </c>
      <c r="G5907">
        <v>25914500</v>
      </c>
      <c r="H5907">
        <v>25914500</v>
      </c>
      <c r="I5907">
        <v>29753680</v>
      </c>
      <c r="J5907">
        <v>10557760</v>
      </c>
      <c r="K5907">
        <v>2879389</v>
      </c>
      <c r="L5907">
        <v>959796</v>
      </c>
      <c r="M5907">
        <v>0</v>
      </c>
      <c r="N5907">
        <v>0</v>
      </c>
      <c r="O5907">
        <v>0</v>
      </c>
      <c r="P5907">
        <v>0</v>
      </c>
      <c r="Q5907">
        <v>35452000</v>
      </c>
      <c r="R5907">
        <v>0</v>
      </c>
      <c r="S5907">
        <v>0</v>
      </c>
      <c r="T5907" s="9">
        <v>45108</v>
      </c>
      <c r="U5907" s="9">
        <v>45473</v>
      </c>
      <c r="V5907">
        <f>SUM(POTABLE_NONPOTABLE_API[[#This Row],[RESIDENTIAL_SINGLEFAMILY_GAL]:[OTHER_GAL]])</f>
        <v>95979625</v>
      </c>
      <c r="W5907">
        <f>SUM(POTABLE_NONPOTABLE_API[[#This Row],[NONPOTABLE_DEMAND_RESIDENTIAL_RECYCLED_WATER_GAL]:[NONPOTABLE_DEMAND_NONRESIDENTIAL_METERED_IRRIGATION_GAL]])</f>
        <v>35452000</v>
      </c>
      <c r="X5907" t="str">
        <f>IFERROR(INDEX(Crosswalk_API!$H$2:$H$527, MATCH(POTABLE_NONPOTABLE_API[[#This Row],[PWSID]], CW_PWSID_LIST, 0)), "")</f>
        <v>No</v>
      </c>
    </row>
    <row r="5908" spans="1:24" x14ac:dyDescent="0.25">
      <c r="A5908" t="s">
        <v>2446</v>
      </c>
      <c r="B5908" t="s">
        <v>2447</v>
      </c>
      <c r="C5908" t="s">
        <v>2448</v>
      </c>
      <c r="D5908" t="s">
        <v>2449</v>
      </c>
      <c r="E5908" s="9">
        <v>45170</v>
      </c>
      <c r="F5908" s="9">
        <v>45199</v>
      </c>
      <c r="G5908">
        <v>24046020</v>
      </c>
      <c r="H5908">
        <v>24046020</v>
      </c>
      <c r="I5908">
        <v>24904800</v>
      </c>
      <c r="J5908">
        <v>9446649</v>
      </c>
      <c r="K5908">
        <v>2576359</v>
      </c>
      <c r="L5908">
        <v>858786</v>
      </c>
      <c r="M5908">
        <v>0</v>
      </c>
      <c r="N5908">
        <v>0</v>
      </c>
      <c r="O5908">
        <v>0</v>
      </c>
      <c r="P5908">
        <v>0</v>
      </c>
      <c r="Q5908">
        <v>28988000</v>
      </c>
      <c r="R5908">
        <v>0</v>
      </c>
      <c r="S5908">
        <v>0</v>
      </c>
      <c r="T5908" s="9">
        <v>45108</v>
      </c>
      <c r="U5908" s="9">
        <v>45473</v>
      </c>
      <c r="V5908">
        <f>SUM(POTABLE_NONPOTABLE_API[[#This Row],[RESIDENTIAL_SINGLEFAMILY_GAL]:[OTHER_GAL]])</f>
        <v>85878634</v>
      </c>
      <c r="W5908">
        <f>SUM(POTABLE_NONPOTABLE_API[[#This Row],[NONPOTABLE_DEMAND_RESIDENTIAL_RECYCLED_WATER_GAL]:[NONPOTABLE_DEMAND_NONRESIDENTIAL_METERED_IRRIGATION_GAL]])</f>
        <v>28988000</v>
      </c>
      <c r="X5908" t="str">
        <f>IFERROR(INDEX(Crosswalk_API!$H$2:$H$527, MATCH(POTABLE_NONPOTABLE_API[[#This Row],[PWSID]], CW_PWSID_LIST, 0)), "")</f>
        <v>No</v>
      </c>
    </row>
    <row r="5909" spans="1:24" x14ac:dyDescent="0.25">
      <c r="A5909" t="s">
        <v>2446</v>
      </c>
      <c r="B5909" t="s">
        <v>2447</v>
      </c>
      <c r="C5909" t="s">
        <v>2448</v>
      </c>
      <c r="D5909" t="s">
        <v>2449</v>
      </c>
      <c r="E5909" s="9">
        <v>45200</v>
      </c>
      <c r="F5909" s="9">
        <v>45230</v>
      </c>
      <c r="G5909">
        <v>19855000</v>
      </c>
      <c r="H5909">
        <v>19855000</v>
      </c>
      <c r="I5909">
        <v>21224000</v>
      </c>
      <c r="J5909">
        <v>4793000</v>
      </c>
      <c r="K5909">
        <v>2053999.9999999998</v>
      </c>
      <c r="L5909">
        <v>685000</v>
      </c>
      <c r="M5909">
        <v>0</v>
      </c>
      <c r="N5909">
        <v>0</v>
      </c>
      <c r="O5909">
        <v>0</v>
      </c>
      <c r="P5909">
        <v>0</v>
      </c>
      <c r="Q5909">
        <v>12094826</v>
      </c>
      <c r="R5909">
        <v>0</v>
      </c>
      <c r="S5909">
        <v>0</v>
      </c>
      <c r="T5909" s="9">
        <v>45108</v>
      </c>
      <c r="U5909" s="9">
        <v>45473</v>
      </c>
      <c r="V5909">
        <f>SUM(POTABLE_NONPOTABLE_API[[#This Row],[RESIDENTIAL_SINGLEFAMILY_GAL]:[OTHER_GAL]])</f>
        <v>68466000</v>
      </c>
      <c r="W5909">
        <f>SUM(POTABLE_NONPOTABLE_API[[#This Row],[NONPOTABLE_DEMAND_RESIDENTIAL_RECYCLED_WATER_GAL]:[NONPOTABLE_DEMAND_NONRESIDENTIAL_METERED_IRRIGATION_GAL]])</f>
        <v>12094826</v>
      </c>
      <c r="X5909" t="str">
        <f>IFERROR(INDEX(Crosswalk_API!$H$2:$H$527, MATCH(POTABLE_NONPOTABLE_API[[#This Row],[PWSID]], CW_PWSID_LIST, 0)), "")</f>
        <v>No</v>
      </c>
    </row>
    <row r="5910" spans="1:24" x14ac:dyDescent="0.25">
      <c r="A5910" t="s">
        <v>2446</v>
      </c>
      <c r="B5910" t="s">
        <v>2447</v>
      </c>
      <c r="C5910" t="s">
        <v>2448</v>
      </c>
      <c r="D5910" t="s">
        <v>2449</v>
      </c>
      <c r="E5910" s="9">
        <v>45231</v>
      </c>
      <c r="F5910" s="9">
        <v>45260</v>
      </c>
      <c r="G5910">
        <v>14934000</v>
      </c>
      <c r="H5910">
        <v>14934000</v>
      </c>
      <c r="I5910">
        <v>12600000</v>
      </c>
      <c r="J5910">
        <v>2800000</v>
      </c>
      <c r="K5910">
        <v>933000</v>
      </c>
      <c r="L5910">
        <v>467000</v>
      </c>
      <c r="M5910">
        <v>0</v>
      </c>
      <c r="N5910">
        <v>0</v>
      </c>
      <c r="O5910">
        <v>0</v>
      </c>
      <c r="P5910">
        <v>0</v>
      </c>
      <c r="Q5910">
        <v>30000</v>
      </c>
      <c r="R5910">
        <v>0</v>
      </c>
      <c r="S5910">
        <v>0</v>
      </c>
      <c r="T5910" s="9">
        <v>45108</v>
      </c>
      <c r="U5910" s="9">
        <v>45473</v>
      </c>
      <c r="V5910">
        <f>SUM(POTABLE_NONPOTABLE_API[[#This Row],[RESIDENTIAL_SINGLEFAMILY_GAL]:[OTHER_GAL]])</f>
        <v>46668000</v>
      </c>
      <c r="W5910">
        <f>SUM(POTABLE_NONPOTABLE_API[[#This Row],[NONPOTABLE_DEMAND_RESIDENTIAL_RECYCLED_WATER_GAL]:[NONPOTABLE_DEMAND_NONRESIDENTIAL_METERED_IRRIGATION_GAL]])</f>
        <v>30000</v>
      </c>
      <c r="X5910" t="str">
        <f>IFERROR(INDEX(Crosswalk_API!$H$2:$H$527, MATCH(POTABLE_NONPOTABLE_API[[#This Row],[PWSID]], CW_PWSID_LIST, 0)), "")</f>
        <v>No</v>
      </c>
    </row>
    <row r="5911" spans="1:24" x14ac:dyDescent="0.25">
      <c r="A5911" t="s">
        <v>2446</v>
      </c>
      <c r="B5911" t="s">
        <v>2447</v>
      </c>
      <c r="C5911" t="s">
        <v>2448</v>
      </c>
      <c r="D5911" t="s">
        <v>2449</v>
      </c>
      <c r="E5911" s="9">
        <v>45261</v>
      </c>
      <c r="F5911" s="9">
        <v>45291</v>
      </c>
      <c r="G5911">
        <v>15123000</v>
      </c>
      <c r="H5911">
        <v>15123000</v>
      </c>
      <c r="I5911">
        <v>11915000</v>
      </c>
      <c r="J5911">
        <v>2291000</v>
      </c>
      <c r="K5911">
        <v>917000</v>
      </c>
      <c r="L5911">
        <v>458000</v>
      </c>
      <c r="M5911">
        <v>0</v>
      </c>
      <c r="N5911">
        <v>0</v>
      </c>
      <c r="O5911">
        <v>0</v>
      </c>
      <c r="P5911">
        <v>0</v>
      </c>
      <c r="Q5911">
        <v>0</v>
      </c>
      <c r="R5911">
        <v>0</v>
      </c>
      <c r="S5911">
        <v>0</v>
      </c>
      <c r="T5911" s="9">
        <v>45108</v>
      </c>
      <c r="U5911" s="9">
        <v>45473</v>
      </c>
      <c r="V5911">
        <f>SUM(POTABLE_NONPOTABLE_API[[#This Row],[RESIDENTIAL_SINGLEFAMILY_GAL]:[OTHER_GAL]])</f>
        <v>45827000</v>
      </c>
      <c r="W5911">
        <f>SUM(POTABLE_NONPOTABLE_API[[#This Row],[NONPOTABLE_DEMAND_RESIDENTIAL_RECYCLED_WATER_GAL]:[NONPOTABLE_DEMAND_NONRESIDENTIAL_METERED_IRRIGATION_GAL]])</f>
        <v>0</v>
      </c>
      <c r="X5911" t="str">
        <f>IFERROR(INDEX(Crosswalk_API!$H$2:$H$527, MATCH(POTABLE_NONPOTABLE_API[[#This Row],[PWSID]], CW_PWSID_LIST, 0)), "")</f>
        <v>No</v>
      </c>
    </row>
    <row r="5912" spans="1:24" x14ac:dyDescent="0.25">
      <c r="A5912" t="s">
        <v>2446</v>
      </c>
      <c r="B5912" t="s">
        <v>2447</v>
      </c>
      <c r="C5912" t="s">
        <v>2448</v>
      </c>
      <c r="D5912" t="s">
        <v>2449</v>
      </c>
      <c r="E5912" s="9">
        <v>45292</v>
      </c>
      <c r="F5912" s="9">
        <v>45322</v>
      </c>
      <c r="G5912">
        <v>12641000</v>
      </c>
      <c r="H5912">
        <v>12641000</v>
      </c>
      <c r="I5912">
        <v>8307000</v>
      </c>
      <c r="J5912">
        <v>1806000</v>
      </c>
      <c r="K5912">
        <v>361000</v>
      </c>
      <c r="L5912">
        <v>361000</v>
      </c>
      <c r="M5912">
        <v>0</v>
      </c>
      <c r="N5912">
        <v>0</v>
      </c>
      <c r="O5912">
        <v>0</v>
      </c>
      <c r="P5912">
        <v>0</v>
      </c>
      <c r="Q5912">
        <v>101100</v>
      </c>
      <c r="R5912">
        <v>0</v>
      </c>
      <c r="S5912">
        <v>0</v>
      </c>
      <c r="T5912" s="9">
        <v>45108</v>
      </c>
      <c r="U5912" s="9">
        <v>45473</v>
      </c>
      <c r="V5912">
        <f>SUM(POTABLE_NONPOTABLE_API[[#This Row],[RESIDENTIAL_SINGLEFAMILY_GAL]:[OTHER_GAL]])</f>
        <v>36117000</v>
      </c>
      <c r="W5912">
        <f>SUM(POTABLE_NONPOTABLE_API[[#This Row],[NONPOTABLE_DEMAND_RESIDENTIAL_RECYCLED_WATER_GAL]:[NONPOTABLE_DEMAND_NONRESIDENTIAL_METERED_IRRIGATION_GAL]])</f>
        <v>101100</v>
      </c>
      <c r="X5912" t="str">
        <f>IFERROR(INDEX(Crosswalk_API!$H$2:$H$527, MATCH(POTABLE_NONPOTABLE_API[[#This Row],[PWSID]], CW_PWSID_LIST, 0)), "")</f>
        <v>No</v>
      </c>
    </row>
    <row r="5913" spans="1:24" x14ac:dyDescent="0.25">
      <c r="A5913" t="s">
        <v>2446</v>
      </c>
      <c r="B5913" t="s">
        <v>2447</v>
      </c>
      <c r="C5913" t="s">
        <v>2448</v>
      </c>
      <c r="D5913" t="s">
        <v>2449</v>
      </c>
      <c r="E5913" s="9">
        <v>45323</v>
      </c>
      <c r="F5913" s="9">
        <v>45351</v>
      </c>
      <c r="G5913">
        <v>13391000</v>
      </c>
      <c r="H5913">
        <v>13391000</v>
      </c>
      <c r="I5913">
        <v>9183000</v>
      </c>
      <c r="J5913">
        <v>1530000</v>
      </c>
      <c r="K5913">
        <v>383000</v>
      </c>
      <c r="L5913">
        <v>383000</v>
      </c>
      <c r="M5913">
        <v>0</v>
      </c>
      <c r="N5913">
        <v>0</v>
      </c>
      <c r="O5913">
        <v>0</v>
      </c>
      <c r="P5913">
        <v>0</v>
      </c>
      <c r="Q5913">
        <v>3763594</v>
      </c>
      <c r="R5913">
        <v>0</v>
      </c>
      <c r="S5913">
        <v>0</v>
      </c>
      <c r="T5913" s="9">
        <v>45108</v>
      </c>
      <c r="U5913" s="9">
        <v>45473</v>
      </c>
      <c r="V5913">
        <f>SUM(POTABLE_NONPOTABLE_API[[#This Row],[RESIDENTIAL_SINGLEFAMILY_GAL]:[OTHER_GAL]])</f>
        <v>38261000</v>
      </c>
      <c r="W5913">
        <f>SUM(POTABLE_NONPOTABLE_API[[#This Row],[NONPOTABLE_DEMAND_RESIDENTIAL_RECYCLED_WATER_GAL]:[NONPOTABLE_DEMAND_NONRESIDENTIAL_METERED_IRRIGATION_GAL]])</f>
        <v>3763594</v>
      </c>
      <c r="X5913" t="str">
        <f>IFERROR(INDEX(Crosswalk_API!$H$2:$H$527, MATCH(POTABLE_NONPOTABLE_API[[#This Row],[PWSID]], CW_PWSID_LIST, 0)), "")</f>
        <v>No</v>
      </c>
    </row>
    <row r="5914" spans="1:24" x14ac:dyDescent="0.25">
      <c r="A5914" t="s">
        <v>2446</v>
      </c>
      <c r="B5914" t="s">
        <v>2447</v>
      </c>
      <c r="C5914" t="s">
        <v>2448</v>
      </c>
      <c r="D5914" t="s">
        <v>2449</v>
      </c>
      <c r="E5914" s="9">
        <v>45352</v>
      </c>
      <c r="F5914" s="9">
        <v>45382</v>
      </c>
      <c r="G5914">
        <v>13335000</v>
      </c>
      <c r="H5914">
        <v>13335000</v>
      </c>
      <c r="I5914">
        <v>9144000</v>
      </c>
      <c r="J5914">
        <v>1524000</v>
      </c>
      <c r="K5914">
        <v>381000</v>
      </c>
      <c r="L5914">
        <v>381000</v>
      </c>
      <c r="M5914">
        <v>0</v>
      </c>
      <c r="N5914">
        <v>0</v>
      </c>
      <c r="O5914">
        <v>0</v>
      </c>
      <c r="P5914">
        <v>0</v>
      </c>
      <c r="Q5914">
        <v>638263</v>
      </c>
      <c r="R5914">
        <v>0</v>
      </c>
      <c r="S5914">
        <v>0</v>
      </c>
      <c r="T5914" s="9">
        <v>45108</v>
      </c>
      <c r="U5914" s="9">
        <v>45473</v>
      </c>
      <c r="V5914">
        <f>SUM(POTABLE_NONPOTABLE_API[[#This Row],[RESIDENTIAL_SINGLEFAMILY_GAL]:[OTHER_GAL]])</f>
        <v>38100000</v>
      </c>
      <c r="W5914">
        <f>SUM(POTABLE_NONPOTABLE_API[[#This Row],[NONPOTABLE_DEMAND_RESIDENTIAL_RECYCLED_WATER_GAL]:[NONPOTABLE_DEMAND_NONRESIDENTIAL_METERED_IRRIGATION_GAL]])</f>
        <v>638263</v>
      </c>
      <c r="X5914" t="str">
        <f>IFERROR(INDEX(Crosswalk_API!$H$2:$H$527, MATCH(POTABLE_NONPOTABLE_API[[#This Row],[PWSID]], CW_PWSID_LIST, 0)), "")</f>
        <v>No</v>
      </c>
    </row>
    <row r="5915" spans="1:24" x14ac:dyDescent="0.25">
      <c r="A5915" t="s">
        <v>2446</v>
      </c>
      <c r="B5915" t="s">
        <v>2447</v>
      </c>
      <c r="C5915" t="s">
        <v>2448</v>
      </c>
      <c r="D5915" t="s">
        <v>2449</v>
      </c>
      <c r="E5915" s="9">
        <v>45383</v>
      </c>
      <c r="F5915" s="9">
        <v>45412</v>
      </c>
      <c r="G5915">
        <v>14516000</v>
      </c>
      <c r="H5915">
        <v>14516000</v>
      </c>
      <c r="I5915">
        <v>9954000</v>
      </c>
      <c r="J5915">
        <v>1659000</v>
      </c>
      <c r="K5915">
        <v>415000</v>
      </c>
      <c r="L5915">
        <v>415000</v>
      </c>
      <c r="M5915">
        <v>0</v>
      </c>
      <c r="N5915">
        <v>0</v>
      </c>
      <c r="O5915">
        <v>0</v>
      </c>
      <c r="P5915">
        <v>0</v>
      </c>
      <c r="Q5915">
        <v>3189228</v>
      </c>
      <c r="R5915">
        <v>0</v>
      </c>
      <c r="S5915">
        <v>0</v>
      </c>
      <c r="T5915" s="9">
        <v>45108</v>
      </c>
      <c r="U5915" s="9">
        <v>45473</v>
      </c>
      <c r="V5915">
        <f>SUM(POTABLE_NONPOTABLE_API[[#This Row],[RESIDENTIAL_SINGLEFAMILY_GAL]:[OTHER_GAL]])</f>
        <v>41475000</v>
      </c>
      <c r="W5915">
        <f>SUM(POTABLE_NONPOTABLE_API[[#This Row],[NONPOTABLE_DEMAND_RESIDENTIAL_RECYCLED_WATER_GAL]:[NONPOTABLE_DEMAND_NONRESIDENTIAL_METERED_IRRIGATION_GAL]])</f>
        <v>3189228</v>
      </c>
      <c r="X5915" t="str">
        <f>IFERROR(INDEX(Crosswalk_API!$H$2:$H$527, MATCH(POTABLE_NONPOTABLE_API[[#This Row],[PWSID]], CW_PWSID_LIST, 0)), "")</f>
        <v>No</v>
      </c>
    </row>
    <row r="5916" spans="1:24" x14ac:dyDescent="0.25">
      <c r="A5916" t="s">
        <v>2446</v>
      </c>
      <c r="B5916" t="s">
        <v>2447</v>
      </c>
      <c r="C5916" t="s">
        <v>2448</v>
      </c>
      <c r="D5916" t="s">
        <v>2449</v>
      </c>
      <c r="E5916" s="9">
        <v>45413</v>
      </c>
      <c r="F5916" s="9">
        <v>45443</v>
      </c>
      <c r="G5916">
        <v>19820000</v>
      </c>
      <c r="H5916">
        <v>19820000</v>
      </c>
      <c r="I5916">
        <v>16216000.000000002</v>
      </c>
      <c r="J5916">
        <v>3003000</v>
      </c>
      <c r="K5916">
        <v>601000</v>
      </c>
      <c r="L5916">
        <v>601000</v>
      </c>
      <c r="M5916">
        <v>0</v>
      </c>
      <c r="N5916">
        <v>0</v>
      </c>
      <c r="O5916">
        <v>0</v>
      </c>
      <c r="P5916">
        <v>0</v>
      </c>
      <c r="Q5916">
        <v>32344549</v>
      </c>
      <c r="R5916">
        <v>0</v>
      </c>
      <c r="S5916">
        <v>0</v>
      </c>
      <c r="T5916" s="9">
        <v>45108</v>
      </c>
      <c r="U5916" s="9">
        <v>45473</v>
      </c>
      <c r="V5916">
        <f>SUM(POTABLE_NONPOTABLE_API[[#This Row],[RESIDENTIAL_SINGLEFAMILY_GAL]:[OTHER_GAL]])</f>
        <v>60061000</v>
      </c>
      <c r="W5916">
        <f>SUM(POTABLE_NONPOTABLE_API[[#This Row],[NONPOTABLE_DEMAND_RESIDENTIAL_RECYCLED_WATER_GAL]:[NONPOTABLE_DEMAND_NONRESIDENTIAL_METERED_IRRIGATION_GAL]])</f>
        <v>32344549</v>
      </c>
      <c r="X5916" t="str">
        <f>IFERROR(INDEX(Crosswalk_API!$H$2:$H$527, MATCH(POTABLE_NONPOTABLE_API[[#This Row],[PWSID]], CW_PWSID_LIST, 0)), "")</f>
        <v>No</v>
      </c>
    </row>
    <row r="5917" spans="1:24" x14ac:dyDescent="0.25">
      <c r="A5917" t="s">
        <v>2446</v>
      </c>
      <c r="B5917" t="s">
        <v>2447</v>
      </c>
      <c r="C5917" t="s">
        <v>2448</v>
      </c>
      <c r="D5917" t="s">
        <v>2449</v>
      </c>
      <c r="E5917" s="9">
        <v>45444</v>
      </c>
      <c r="F5917" s="9">
        <v>45473</v>
      </c>
      <c r="G5917">
        <v>28796000</v>
      </c>
      <c r="H5917">
        <v>28796000</v>
      </c>
      <c r="I5917">
        <v>25081000</v>
      </c>
      <c r="J5917">
        <v>8359999.9999999991</v>
      </c>
      <c r="K5917">
        <v>929000</v>
      </c>
      <c r="L5917">
        <v>929000</v>
      </c>
      <c r="M5917">
        <v>0</v>
      </c>
      <c r="N5917">
        <v>0</v>
      </c>
      <c r="O5917">
        <v>0</v>
      </c>
      <c r="P5917">
        <v>0</v>
      </c>
      <c r="Q5917">
        <v>66192608</v>
      </c>
      <c r="R5917">
        <v>0</v>
      </c>
      <c r="S5917">
        <v>0</v>
      </c>
      <c r="T5917" s="9">
        <v>45108</v>
      </c>
      <c r="U5917" s="9">
        <v>45473</v>
      </c>
      <c r="V5917">
        <f>SUM(POTABLE_NONPOTABLE_API[[#This Row],[RESIDENTIAL_SINGLEFAMILY_GAL]:[OTHER_GAL]])</f>
        <v>92891000</v>
      </c>
      <c r="W5917">
        <f>SUM(POTABLE_NONPOTABLE_API[[#This Row],[NONPOTABLE_DEMAND_RESIDENTIAL_RECYCLED_WATER_GAL]:[NONPOTABLE_DEMAND_NONRESIDENTIAL_METERED_IRRIGATION_GAL]])</f>
        <v>66192608</v>
      </c>
      <c r="X5917" t="str">
        <f>IFERROR(INDEX(Crosswalk_API!$H$2:$H$527, MATCH(POTABLE_NONPOTABLE_API[[#This Row],[PWSID]], CW_PWSID_LIST, 0)), "")</f>
        <v>No</v>
      </c>
    </row>
    <row r="5918" spans="1:24" x14ac:dyDescent="0.25">
      <c r="A5918" t="s">
        <v>2451</v>
      </c>
      <c r="B5918" t="s">
        <v>2452</v>
      </c>
      <c r="C5918" t="s">
        <v>2453</v>
      </c>
      <c r="D5918" t="s">
        <v>2454</v>
      </c>
      <c r="E5918" s="9">
        <v>45108</v>
      </c>
      <c r="F5918" s="9">
        <v>45138</v>
      </c>
      <c r="G5918">
        <v>287959625.19200003</v>
      </c>
      <c r="H5918">
        <v>63069012.171999998</v>
      </c>
      <c r="I5918">
        <v>65557033.124000005</v>
      </c>
      <c r="J5918">
        <v>95108079.332000002</v>
      </c>
      <c r="K5918">
        <v>0</v>
      </c>
      <c r="L5918">
        <v>0</v>
      </c>
      <c r="M5918">
        <v>0</v>
      </c>
      <c r="N5918">
        <v>0</v>
      </c>
      <c r="O5918">
        <v>0</v>
      </c>
      <c r="P5918">
        <v>0</v>
      </c>
      <c r="Q5918">
        <v>26943336.936000001</v>
      </c>
      <c r="R5918">
        <v>0</v>
      </c>
      <c r="S5918">
        <v>0</v>
      </c>
      <c r="T5918" s="9">
        <v>45108</v>
      </c>
      <c r="U5918" s="9">
        <v>45473</v>
      </c>
      <c r="V5918">
        <f>SUM(POTABLE_NONPOTABLE_API[[#This Row],[RESIDENTIAL_SINGLEFAMILY_GAL]:[OTHER_GAL]])</f>
        <v>511693749.82000005</v>
      </c>
      <c r="W5918">
        <f>SUM(POTABLE_NONPOTABLE_API[[#This Row],[NONPOTABLE_DEMAND_RESIDENTIAL_RECYCLED_WATER_GAL]:[NONPOTABLE_DEMAND_NONRESIDENTIAL_METERED_IRRIGATION_GAL]])</f>
        <v>26943336.936000001</v>
      </c>
      <c r="X5918" t="str">
        <f>IFERROR(INDEX(Crosswalk_API!$H$2:$H$527, MATCH(POTABLE_NONPOTABLE_API[[#This Row],[PWSID]], CW_PWSID_LIST, 0)), "")</f>
        <v>No</v>
      </c>
    </row>
    <row r="5919" spans="1:24" x14ac:dyDescent="0.25">
      <c r="A5919" t="s">
        <v>2451</v>
      </c>
      <c r="B5919" t="s">
        <v>2452</v>
      </c>
      <c r="C5919" t="s">
        <v>2453</v>
      </c>
      <c r="D5919" t="s">
        <v>2454</v>
      </c>
      <c r="E5919" s="9">
        <v>45139</v>
      </c>
      <c r="F5919" s="9">
        <v>45169</v>
      </c>
      <c r="G5919">
        <v>250683445.98000002</v>
      </c>
      <c r="H5919">
        <v>144193007.41600001</v>
      </c>
      <c r="I5919">
        <v>62011266.644000001</v>
      </c>
      <c r="J5919">
        <v>70346810.079999998</v>
      </c>
      <c r="K5919">
        <v>0</v>
      </c>
      <c r="L5919">
        <v>0</v>
      </c>
      <c r="M5919">
        <v>0</v>
      </c>
      <c r="N5919">
        <v>0</v>
      </c>
      <c r="O5919">
        <v>0</v>
      </c>
      <c r="P5919">
        <v>0</v>
      </c>
      <c r="Q5919">
        <v>26560334.311999999</v>
      </c>
      <c r="R5919">
        <v>0</v>
      </c>
      <c r="S5919">
        <v>0</v>
      </c>
      <c r="T5919" s="9">
        <v>45108</v>
      </c>
      <c r="U5919" s="9">
        <v>45473</v>
      </c>
      <c r="V5919">
        <f>SUM(POTABLE_NONPOTABLE_API[[#This Row],[RESIDENTIAL_SINGLEFAMILY_GAL]:[OTHER_GAL]])</f>
        <v>527234530.12</v>
      </c>
      <c r="W5919">
        <f>SUM(POTABLE_NONPOTABLE_API[[#This Row],[NONPOTABLE_DEMAND_RESIDENTIAL_RECYCLED_WATER_GAL]:[NONPOTABLE_DEMAND_NONRESIDENTIAL_METERED_IRRIGATION_GAL]])</f>
        <v>26560334.311999999</v>
      </c>
      <c r="X5919" t="str">
        <f>IFERROR(INDEX(Crosswalk_API!$H$2:$H$527, MATCH(POTABLE_NONPOTABLE_API[[#This Row],[PWSID]], CW_PWSID_LIST, 0)), "")</f>
        <v>No</v>
      </c>
    </row>
    <row r="5920" spans="1:24" x14ac:dyDescent="0.25">
      <c r="A5920" t="s">
        <v>2451</v>
      </c>
      <c r="B5920" t="s">
        <v>2452</v>
      </c>
      <c r="C5920" t="s">
        <v>2453</v>
      </c>
      <c r="D5920" t="s">
        <v>2454</v>
      </c>
      <c r="E5920" s="9">
        <v>45170</v>
      </c>
      <c r="F5920" s="9">
        <v>45199</v>
      </c>
      <c r="G5920">
        <v>329675493.02399999</v>
      </c>
      <c r="H5920">
        <v>77564763.828000009</v>
      </c>
      <c r="I5920">
        <v>73399610.291999996</v>
      </c>
      <c r="J5920">
        <v>105035477.42400001</v>
      </c>
      <c r="K5920">
        <v>0</v>
      </c>
      <c r="L5920">
        <v>0</v>
      </c>
      <c r="M5920">
        <v>0</v>
      </c>
      <c r="N5920">
        <v>12806650.24</v>
      </c>
      <c r="O5920">
        <v>0</v>
      </c>
      <c r="P5920">
        <v>0</v>
      </c>
      <c r="Q5920">
        <v>9531678.5840000007</v>
      </c>
      <c r="R5920">
        <v>0</v>
      </c>
      <c r="S5920">
        <v>0</v>
      </c>
      <c r="T5920" s="9">
        <v>45108</v>
      </c>
      <c r="U5920" s="9">
        <v>45473</v>
      </c>
      <c r="V5920">
        <f>SUM(POTABLE_NONPOTABLE_API[[#This Row],[RESIDENTIAL_SINGLEFAMILY_GAL]:[OTHER_GAL]])</f>
        <v>585675344.56799996</v>
      </c>
      <c r="W5920">
        <f>SUM(POTABLE_NONPOTABLE_API[[#This Row],[NONPOTABLE_DEMAND_RESIDENTIAL_RECYCLED_WATER_GAL]:[NONPOTABLE_DEMAND_NONRESIDENTIAL_METERED_IRRIGATION_GAL]])</f>
        <v>22338328.824000001</v>
      </c>
      <c r="X5920" t="str">
        <f>IFERROR(INDEX(Crosswalk_API!$H$2:$H$527, MATCH(POTABLE_NONPOTABLE_API[[#This Row],[PWSID]], CW_PWSID_LIST, 0)), "")</f>
        <v>No</v>
      </c>
    </row>
    <row r="5921" spans="1:24" x14ac:dyDescent="0.25">
      <c r="A5921" t="s">
        <v>2451</v>
      </c>
      <c r="B5921" t="s">
        <v>2452</v>
      </c>
      <c r="C5921" t="s">
        <v>2453</v>
      </c>
      <c r="D5921" t="s">
        <v>2454</v>
      </c>
      <c r="E5921" s="9">
        <v>45200</v>
      </c>
      <c r="F5921" s="9">
        <v>45230</v>
      </c>
      <c r="G5921">
        <v>214666986.336</v>
      </c>
      <c r="H5921">
        <v>96167320.964000002</v>
      </c>
      <c r="I5921">
        <v>61486882.192000002</v>
      </c>
      <c r="J5921">
        <v>67127194.272</v>
      </c>
      <c r="K5921">
        <v>0</v>
      </c>
      <c r="L5921">
        <v>0</v>
      </c>
      <c r="M5921">
        <v>0</v>
      </c>
      <c r="N5921">
        <v>10047834.464</v>
      </c>
      <c r="O5921">
        <v>0</v>
      </c>
      <c r="P5921">
        <v>83636701.912</v>
      </c>
      <c r="Q5921">
        <v>6461673.176</v>
      </c>
      <c r="R5921">
        <v>0</v>
      </c>
      <c r="S5921">
        <v>61069469.175999999</v>
      </c>
      <c r="T5921" s="9">
        <v>45108</v>
      </c>
      <c r="U5921" s="9">
        <v>45473</v>
      </c>
      <c r="V5921">
        <f>SUM(POTABLE_NONPOTABLE_API[[#This Row],[RESIDENTIAL_SINGLEFAMILY_GAL]:[OTHER_GAL]])</f>
        <v>439448383.764</v>
      </c>
      <c r="W5921">
        <f>SUM(POTABLE_NONPOTABLE_API[[#This Row],[NONPOTABLE_DEMAND_RESIDENTIAL_RECYCLED_WATER_GAL]:[NONPOTABLE_DEMAND_NONRESIDENTIAL_METERED_IRRIGATION_GAL]])</f>
        <v>161215678.72799999</v>
      </c>
      <c r="X5921" t="str">
        <f>IFERROR(INDEX(Crosswalk_API!$H$2:$H$527, MATCH(POTABLE_NONPOTABLE_API[[#This Row],[PWSID]], CW_PWSID_LIST, 0)), "")</f>
        <v>No</v>
      </c>
    </row>
    <row r="5922" spans="1:24" x14ac:dyDescent="0.25">
      <c r="A5922" t="s">
        <v>2451</v>
      </c>
      <c r="B5922" t="s">
        <v>2452</v>
      </c>
      <c r="C5922" t="s">
        <v>2453</v>
      </c>
      <c r="D5922" t="s">
        <v>2454</v>
      </c>
      <c r="E5922" s="9">
        <v>45231</v>
      </c>
      <c r="F5922" s="9">
        <v>45260</v>
      </c>
      <c r="G5922">
        <v>251388110.96400002</v>
      </c>
      <c r="H5922">
        <v>63430321.288000003</v>
      </c>
      <c r="I5922">
        <v>58861967.723999999</v>
      </c>
      <c r="J5922">
        <v>68479672.288000003</v>
      </c>
      <c r="K5922">
        <v>0</v>
      </c>
      <c r="L5922">
        <v>0</v>
      </c>
      <c r="M5922">
        <v>0</v>
      </c>
      <c r="N5922">
        <v>528124.71200000006</v>
      </c>
      <c r="O5922">
        <v>0</v>
      </c>
      <c r="P5922">
        <v>528124.71200000006</v>
      </c>
      <c r="Q5922">
        <v>11634452.756000001</v>
      </c>
      <c r="R5922">
        <v>0</v>
      </c>
      <c r="S5922">
        <v>11836426.796</v>
      </c>
      <c r="T5922" s="9">
        <v>45108</v>
      </c>
      <c r="U5922" s="9">
        <v>45473</v>
      </c>
      <c r="V5922">
        <f>SUM(POTABLE_NONPOTABLE_API[[#This Row],[RESIDENTIAL_SINGLEFAMILY_GAL]:[OTHER_GAL]])</f>
        <v>442160072.264</v>
      </c>
      <c r="W5922">
        <f>SUM(POTABLE_NONPOTABLE_API[[#This Row],[NONPOTABLE_DEMAND_RESIDENTIAL_RECYCLED_WATER_GAL]:[NONPOTABLE_DEMAND_NONRESIDENTIAL_METERED_IRRIGATION_GAL]])</f>
        <v>24527128.976000004</v>
      </c>
      <c r="X5922" t="str">
        <f>IFERROR(INDEX(Crosswalk_API!$H$2:$H$527, MATCH(POTABLE_NONPOTABLE_API[[#This Row],[PWSID]], CW_PWSID_LIST, 0)), "")</f>
        <v>No</v>
      </c>
    </row>
    <row r="5923" spans="1:24" x14ac:dyDescent="0.25">
      <c r="A5923" t="s">
        <v>2451</v>
      </c>
      <c r="B5923" t="s">
        <v>2452</v>
      </c>
      <c r="C5923" t="s">
        <v>2453</v>
      </c>
      <c r="D5923" t="s">
        <v>2454</v>
      </c>
      <c r="E5923" s="9">
        <v>45261</v>
      </c>
      <c r="F5923" s="9">
        <v>45291</v>
      </c>
      <c r="G5923">
        <v>188448511.78800002</v>
      </c>
      <c r="H5923">
        <v>92609585.65200001</v>
      </c>
      <c r="I5923">
        <v>58229863.784000002</v>
      </c>
      <c r="J5923">
        <v>48251598.156000003</v>
      </c>
      <c r="K5923">
        <v>0</v>
      </c>
      <c r="L5923">
        <v>0</v>
      </c>
      <c r="M5923">
        <v>0</v>
      </c>
      <c r="N5923">
        <v>347844.18</v>
      </c>
      <c r="O5923">
        <v>0</v>
      </c>
      <c r="P5923">
        <v>347844.18</v>
      </c>
      <c r="Q5923">
        <v>7202992.7080000006</v>
      </c>
      <c r="R5923">
        <v>0</v>
      </c>
      <c r="S5923">
        <v>7202992.7080000006</v>
      </c>
      <c r="T5923" s="9">
        <v>45108</v>
      </c>
      <c r="U5923" s="9">
        <v>45473</v>
      </c>
      <c r="V5923">
        <f>SUM(POTABLE_NONPOTABLE_API[[#This Row],[RESIDENTIAL_SINGLEFAMILY_GAL]:[OTHER_GAL]])</f>
        <v>387539559.38000005</v>
      </c>
      <c r="W5923">
        <f>SUM(POTABLE_NONPOTABLE_API[[#This Row],[NONPOTABLE_DEMAND_RESIDENTIAL_RECYCLED_WATER_GAL]:[NONPOTABLE_DEMAND_NONRESIDENTIAL_METERED_IRRIGATION_GAL]])</f>
        <v>15101673.776000001</v>
      </c>
      <c r="X5923" t="str">
        <f>IFERROR(INDEX(Crosswalk_API!$H$2:$H$527, MATCH(POTABLE_NONPOTABLE_API[[#This Row],[PWSID]], CW_PWSID_LIST, 0)), "")</f>
        <v>No</v>
      </c>
    </row>
    <row r="5924" spans="1:24" x14ac:dyDescent="0.25">
      <c r="A5924" t="s">
        <v>2451</v>
      </c>
      <c r="B5924" t="s">
        <v>2452</v>
      </c>
      <c r="C5924" t="s">
        <v>2453</v>
      </c>
      <c r="D5924" t="s">
        <v>2454</v>
      </c>
      <c r="E5924" s="9">
        <v>45292</v>
      </c>
      <c r="F5924" s="9">
        <v>45322</v>
      </c>
      <c r="G5924">
        <v>206163131.20000002</v>
      </c>
      <c r="H5924">
        <v>69129729.475999996</v>
      </c>
      <c r="I5924">
        <v>60854030.200000003</v>
      </c>
      <c r="J5924">
        <v>37730246.776000001</v>
      </c>
      <c r="K5924">
        <v>0</v>
      </c>
      <c r="L5924">
        <v>0</v>
      </c>
      <c r="M5924">
        <v>0</v>
      </c>
      <c r="N5924">
        <v>0</v>
      </c>
      <c r="O5924">
        <v>0</v>
      </c>
      <c r="P5924">
        <v>0</v>
      </c>
      <c r="Q5924">
        <v>0</v>
      </c>
      <c r="R5924">
        <v>0</v>
      </c>
      <c r="S5924">
        <v>2960041.764</v>
      </c>
      <c r="T5924" s="9">
        <v>45108</v>
      </c>
      <c r="U5924" s="9">
        <v>45473</v>
      </c>
      <c r="V5924">
        <f>SUM(POTABLE_NONPOTABLE_API[[#This Row],[RESIDENTIAL_SINGLEFAMILY_GAL]:[OTHER_GAL]])</f>
        <v>373877137.65200001</v>
      </c>
      <c r="W5924">
        <f>SUM(POTABLE_NONPOTABLE_API[[#This Row],[NONPOTABLE_DEMAND_RESIDENTIAL_RECYCLED_WATER_GAL]:[NONPOTABLE_DEMAND_NONRESIDENTIAL_METERED_IRRIGATION_GAL]])</f>
        <v>2960041.764</v>
      </c>
      <c r="X5924" t="str">
        <f>IFERROR(INDEX(Crosswalk_API!$H$2:$H$527, MATCH(POTABLE_NONPOTABLE_API[[#This Row],[PWSID]], CW_PWSID_LIST, 0)), "")</f>
        <v>No</v>
      </c>
    </row>
    <row r="5925" spans="1:24" x14ac:dyDescent="0.25">
      <c r="A5925" t="s">
        <v>2451</v>
      </c>
      <c r="B5925" t="s">
        <v>2452</v>
      </c>
      <c r="C5925" t="s">
        <v>2453</v>
      </c>
      <c r="D5925" t="s">
        <v>2454</v>
      </c>
      <c r="E5925" s="9">
        <v>45323</v>
      </c>
      <c r="F5925" s="9">
        <v>45351</v>
      </c>
      <c r="G5925">
        <v>109804308.92400001</v>
      </c>
      <c r="H5925">
        <v>72554311.532000005</v>
      </c>
      <c r="I5925">
        <v>42028553.568000004</v>
      </c>
      <c r="J5925">
        <v>17035388.196000002</v>
      </c>
      <c r="K5925">
        <v>0</v>
      </c>
      <c r="L5925">
        <v>0</v>
      </c>
      <c r="M5925">
        <v>0</v>
      </c>
      <c r="N5925">
        <v>0</v>
      </c>
      <c r="O5925">
        <v>0</v>
      </c>
      <c r="Q5925">
        <v>0</v>
      </c>
      <c r="R5925">
        <v>0</v>
      </c>
      <c r="S5925">
        <v>2960041.764</v>
      </c>
      <c r="T5925" s="9">
        <v>45108</v>
      </c>
      <c r="U5925" s="9">
        <v>45473</v>
      </c>
      <c r="V5925">
        <f>SUM(POTABLE_NONPOTABLE_API[[#This Row],[RESIDENTIAL_SINGLEFAMILY_GAL]:[OTHER_GAL]])</f>
        <v>241422562.22000006</v>
      </c>
      <c r="W5925">
        <f>SUM(POTABLE_NONPOTABLE_API[[#This Row],[NONPOTABLE_DEMAND_RESIDENTIAL_RECYCLED_WATER_GAL]:[NONPOTABLE_DEMAND_NONRESIDENTIAL_METERED_IRRIGATION_GAL]])</f>
        <v>2960041.764</v>
      </c>
      <c r="X5925" t="str">
        <f>IFERROR(INDEX(Crosswalk_API!$H$2:$H$527, MATCH(POTABLE_NONPOTABLE_API[[#This Row],[PWSID]], CW_PWSID_LIST, 0)), "")</f>
        <v>No</v>
      </c>
    </row>
    <row r="5926" spans="1:24" x14ac:dyDescent="0.25">
      <c r="A5926" t="s">
        <v>2451</v>
      </c>
      <c r="B5926" t="s">
        <v>2452</v>
      </c>
      <c r="C5926" t="s">
        <v>2453</v>
      </c>
      <c r="D5926" t="s">
        <v>2454</v>
      </c>
      <c r="E5926" s="9">
        <v>45352</v>
      </c>
      <c r="F5926" s="9">
        <v>45382</v>
      </c>
      <c r="G5926">
        <v>114193878.06</v>
      </c>
      <c r="H5926">
        <v>47130268.208000004</v>
      </c>
      <c r="I5926">
        <v>33234454.256000001</v>
      </c>
      <c r="J5926">
        <v>15189943.912</v>
      </c>
      <c r="K5926">
        <v>0</v>
      </c>
      <c r="L5926">
        <v>0</v>
      </c>
      <c r="M5926">
        <v>0</v>
      </c>
      <c r="N5926">
        <v>29174.028000000002</v>
      </c>
      <c r="O5926">
        <v>0</v>
      </c>
      <c r="Q5926">
        <v>4222753.54</v>
      </c>
      <c r="R5926">
        <v>0</v>
      </c>
      <c r="T5926" s="9">
        <v>45108</v>
      </c>
      <c r="U5926" s="9">
        <v>45473</v>
      </c>
      <c r="V5926">
        <f>SUM(POTABLE_NONPOTABLE_API[[#This Row],[RESIDENTIAL_SINGLEFAMILY_GAL]:[OTHER_GAL]])</f>
        <v>209748544.43600002</v>
      </c>
      <c r="W5926">
        <f>SUM(POTABLE_NONPOTABLE_API[[#This Row],[NONPOTABLE_DEMAND_RESIDENTIAL_RECYCLED_WATER_GAL]:[NONPOTABLE_DEMAND_NONRESIDENTIAL_METERED_IRRIGATION_GAL]])</f>
        <v>4251927.568</v>
      </c>
      <c r="X5926" t="str">
        <f>IFERROR(INDEX(Crosswalk_API!$H$2:$H$527, MATCH(POTABLE_NONPOTABLE_API[[#This Row],[PWSID]], CW_PWSID_LIST, 0)), "")</f>
        <v>No</v>
      </c>
    </row>
    <row r="5927" spans="1:24" x14ac:dyDescent="0.25">
      <c r="A5927" t="s">
        <v>2451</v>
      </c>
      <c r="B5927" t="s">
        <v>2452</v>
      </c>
      <c r="C5927" t="s">
        <v>2453</v>
      </c>
      <c r="D5927" t="s">
        <v>2454</v>
      </c>
      <c r="E5927" s="9">
        <v>45383</v>
      </c>
      <c r="F5927" s="9">
        <v>45412</v>
      </c>
      <c r="G5927">
        <v>114040527.40000001</v>
      </c>
      <c r="H5927">
        <v>70141095.780000001</v>
      </c>
      <c r="I5927">
        <v>39792626.140000001</v>
      </c>
      <c r="J5927">
        <v>17503668.748</v>
      </c>
      <c r="K5927">
        <v>0</v>
      </c>
      <c r="L5927">
        <v>0</v>
      </c>
      <c r="M5927">
        <v>0</v>
      </c>
      <c r="N5927">
        <v>0</v>
      </c>
      <c r="O5927">
        <v>0</v>
      </c>
      <c r="P5927">
        <v>0</v>
      </c>
      <c r="Q5927">
        <v>47875.328000000001</v>
      </c>
      <c r="R5927">
        <v>0</v>
      </c>
      <c r="S5927">
        <v>7458078.4400000004</v>
      </c>
      <c r="T5927" s="9">
        <v>45108</v>
      </c>
      <c r="U5927" s="9">
        <v>45473</v>
      </c>
      <c r="V5927">
        <f>SUM(POTABLE_NONPOTABLE_API[[#This Row],[RESIDENTIAL_SINGLEFAMILY_GAL]:[OTHER_GAL]])</f>
        <v>241477918.06799999</v>
      </c>
      <c r="W5927">
        <f>SUM(POTABLE_NONPOTABLE_API[[#This Row],[NONPOTABLE_DEMAND_RESIDENTIAL_RECYCLED_WATER_GAL]:[NONPOTABLE_DEMAND_NONRESIDENTIAL_METERED_IRRIGATION_GAL]])</f>
        <v>7505953.7680000002</v>
      </c>
      <c r="X5927" t="str">
        <f>IFERROR(INDEX(Crosswalk_API!$H$2:$H$527, MATCH(POTABLE_NONPOTABLE_API[[#This Row],[PWSID]], CW_PWSID_LIST, 0)), "")</f>
        <v>No</v>
      </c>
    </row>
    <row r="5928" spans="1:24" x14ac:dyDescent="0.25">
      <c r="A5928" t="s">
        <v>2451</v>
      </c>
      <c r="B5928" t="s">
        <v>2452</v>
      </c>
      <c r="C5928" t="s">
        <v>2453</v>
      </c>
      <c r="D5928" t="s">
        <v>2454</v>
      </c>
      <c r="E5928" s="9">
        <v>45413</v>
      </c>
      <c r="F5928" s="9">
        <v>45443</v>
      </c>
      <c r="G5928">
        <v>198240512.46799999</v>
      </c>
      <c r="H5928">
        <v>60402206.792000003</v>
      </c>
      <c r="I5928">
        <v>53948762.188000001</v>
      </c>
      <c r="J5928">
        <v>51729291.903999999</v>
      </c>
      <c r="K5928">
        <v>0</v>
      </c>
      <c r="L5928">
        <v>0</v>
      </c>
      <c r="M5928">
        <v>0</v>
      </c>
      <c r="N5928">
        <v>0</v>
      </c>
      <c r="O5928">
        <v>0</v>
      </c>
      <c r="P5928">
        <v>0</v>
      </c>
      <c r="Q5928">
        <v>16618401</v>
      </c>
      <c r="R5928">
        <v>0</v>
      </c>
      <c r="S5928">
        <v>51484458</v>
      </c>
      <c r="T5928" s="9">
        <v>45108</v>
      </c>
      <c r="U5928" s="9">
        <v>45473</v>
      </c>
      <c r="V5928">
        <f>SUM(POTABLE_NONPOTABLE_API[[#This Row],[RESIDENTIAL_SINGLEFAMILY_GAL]:[OTHER_GAL]])</f>
        <v>364320773.352</v>
      </c>
      <c r="W5928">
        <f>SUM(POTABLE_NONPOTABLE_API[[#This Row],[NONPOTABLE_DEMAND_RESIDENTIAL_RECYCLED_WATER_GAL]:[NONPOTABLE_DEMAND_NONRESIDENTIAL_METERED_IRRIGATION_GAL]])</f>
        <v>68102859</v>
      </c>
      <c r="X5928" t="str">
        <f>IFERROR(INDEX(Crosswalk_API!$H$2:$H$527, MATCH(POTABLE_NONPOTABLE_API[[#This Row],[PWSID]], CW_PWSID_LIST, 0)), "")</f>
        <v>No</v>
      </c>
    </row>
    <row r="5929" spans="1:24" x14ac:dyDescent="0.25">
      <c r="A5929" t="s">
        <v>2451</v>
      </c>
      <c r="B5929" t="s">
        <v>2452</v>
      </c>
      <c r="C5929" t="s">
        <v>2453</v>
      </c>
      <c r="D5929" t="s">
        <v>2454</v>
      </c>
      <c r="E5929" s="9">
        <v>45444</v>
      </c>
      <c r="F5929" s="9">
        <v>45473</v>
      </c>
      <c r="G5929">
        <v>190075524.88800001</v>
      </c>
      <c r="H5929">
        <v>89753523.115999997</v>
      </c>
      <c r="I5929">
        <v>53562767.355999999</v>
      </c>
      <c r="J5929">
        <v>51470465.912</v>
      </c>
      <c r="K5929">
        <v>0</v>
      </c>
      <c r="L5929">
        <v>0</v>
      </c>
      <c r="M5929">
        <v>0</v>
      </c>
      <c r="N5929">
        <v>0</v>
      </c>
      <c r="O5929">
        <v>0</v>
      </c>
      <c r="P5929">
        <v>0</v>
      </c>
      <c r="Q5929">
        <v>38150.652000000002</v>
      </c>
      <c r="R5929">
        <v>0</v>
      </c>
      <c r="S5929">
        <v>27098931.752</v>
      </c>
      <c r="T5929" s="9">
        <v>45108</v>
      </c>
      <c r="U5929" s="9">
        <v>45473</v>
      </c>
      <c r="V5929">
        <f>SUM(POTABLE_NONPOTABLE_API[[#This Row],[RESIDENTIAL_SINGLEFAMILY_GAL]:[OTHER_GAL]])</f>
        <v>384862281.27200001</v>
      </c>
      <c r="W5929">
        <f>SUM(POTABLE_NONPOTABLE_API[[#This Row],[NONPOTABLE_DEMAND_RESIDENTIAL_RECYCLED_WATER_GAL]:[NONPOTABLE_DEMAND_NONRESIDENTIAL_METERED_IRRIGATION_GAL]])</f>
        <v>27137082.403999999</v>
      </c>
      <c r="X5929" t="str">
        <f>IFERROR(INDEX(Crosswalk_API!$H$2:$H$527, MATCH(POTABLE_NONPOTABLE_API[[#This Row],[PWSID]], CW_PWSID_LIST, 0)), "")</f>
        <v>No</v>
      </c>
    </row>
    <row r="5930" spans="1:24" x14ac:dyDescent="0.25">
      <c r="A5930" t="s">
        <v>2455</v>
      </c>
      <c r="B5930" t="s">
        <v>2456</v>
      </c>
      <c r="C5930" t="s">
        <v>2457</v>
      </c>
      <c r="D5930" t="s">
        <v>2458</v>
      </c>
      <c r="E5930" s="9">
        <v>45108</v>
      </c>
      <c r="F5930" s="9">
        <v>45138</v>
      </c>
      <c r="G5930">
        <v>227997944.70000002</v>
      </c>
      <c r="H5930">
        <v>57936307.800000004</v>
      </c>
      <c r="I5930">
        <v>66669114.600000001</v>
      </c>
      <c r="J5930">
        <v>86317929.899999991</v>
      </c>
      <c r="K5930">
        <v>28316451.900000002</v>
      </c>
      <c r="L5930">
        <v>0</v>
      </c>
      <c r="M5930">
        <v>0</v>
      </c>
      <c r="T5930" s="9">
        <v>45108</v>
      </c>
      <c r="U5930" s="9">
        <v>45473</v>
      </c>
      <c r="V5930">
        <f>SUM(POTABLE_NONPOTABLE_API[[#This Row],[RESIDENTIAL_SINGLEFAMILY_GAL]:[OTHER_GAL]])</f>
        <v>467237748.89999998</v>
      </c>
      <c r="W5930">
        <f>SUM(POTABLE_NONPOTABLE_API[[#This Row],[NONPOTABLE_DEMAND_RESIDENTIAL_RECYCLED_WATER_GAL]:[NONPOTABLE_DEMAND_NONRESIDENTIAL_METERED_IRRIGATION_GAL]])</f>
        <v>0</v>
      </c>
      <c r="X5930" t="str">
        <f>IFERROR(INDEX(Crosswalk_API!$H$2:$H$527, MATCH(POTABLE_NONPOTABLE_API[[#This Row],[PWSID]], CW_PWSID_LIST, 0)), "")</f>
        <v>No</v>
      </c>
    </row>
    <row r="5931" spans="1:24" x14ac:dyDescent="0.25">
      <c r="A5931" t="s">
        <v>2455</v>
      </c>
      <c r="B5931" t="s">
        <v>2456</v>
      </c>
      <c r="C5931" t="s">
        <v>2457</v>
      </c>
      <c r="D5931" t="s">
        <v>2458</v>
      </c>
      <c r="E5931" s="9">
        <v>45139</v>
      </c>
      <c r="F5931" s="9">
        <v>45169</v>
      </c>
      <c r="G5931">
        <v>440876403</v>
      </c>
      <c r="H5931">
        <v>48682139.399999999</v>
      </c>
      <c r="I5931">
        <v>36071705.700000003</v>
      </c>
      <c r="J5931">
        <v>98798023.200000003</v>
      </c>
      <c r="K5931">
        <v>19420719.600000001</v>
      </c>
      <c r="L5931">
        <v>0</v>
      </c>
      <c r="M5931">
        <v>0</v>
      </c>
      <c r="T5931" s="9">
        <v>45108</v>
      </c>
      <c r="U5931" s="9">
        <v>45473</v>
      </c>
      <c r="V5931">
        <f>SUM(POTABLE_NONPOTABLE_API[[#This Row],[RESIDENTIAL_SINGLEFAMILY_GAL]:[OTHER_GAL]])</f>
        <v>643848990.89999998</v>
      </c>
      <c r="W5931">
        <f>SUM(POTABLE_NONPOTABLE_API[[#This Row],[NONPOTABLE_DEMAND_RESIDENTIAL_RECYCLED_WATER_GAL]:[NONPOTABLE_DEMAND_NONRESIDENTIAL_METERED_IRRIGATION_GAL]])</f>
        <v>0</v>
      </c>
      <c r="X5931" t="str">
        <f>IFERROR(INDEX(Crosswalk_API!$H$2:$H$527, MATCH(POTABLE_NONPOTABLE_API[[#This Row],[PWSID]], CW_PWSID_LIST, 0)), "")</f>
        <v>No</v>
      </c>
    </row>
    <row r="5932" spans="1:24" x14ac:dyDescent="0.25">
      <c r="A5932" t="s">
        <v>2455</v>
      </c>
      <c r="B5932" t="s">
        <v>2456</v>
      </c>
      <c r="C5932" t="s">
        <v>2457</v>
      </c>
      <c r="D5932" t="s">
        <v>2458</v>
      </c>
      <c r="E5932" s="9">
        <v>45170</v>
      </c>
      <c r="F5932" s="9">
        <v>45199</v>
      </c>
      <c r="G5932">
        <v>224739434.70000002</v>
      </c>
      <c r="H5932">
        <v>57610456.800000004</v>
      </c>
      <c r="I5932">
        <v>70220890.5</v>
      </c>
      <c r="J5932">
        <v>103164426.60000001</v>
      </c>
      <c r="K5932">
        <v>28479377.400000002</v>
      </c>
      <c r="L5932">
        <v>0</v>
      </c>
      <c r="M5932">
        <v>0</v>
      </c>
      <c r="T5932" s="9">
        <v>45108</v>
      </c>
      <c r="U5932" s="9">
        <v>45473</v>
      </c>
      <c r="V5932">
        <f>SUM(POTABLE_NONPOTABLE_API[[#This Row],[RESIDENTIAL_SINGLEFAMILY_GAL]:[OTHER_GAL]])</f>
        <v>484214586</v>
      </c>
      <c r="W5932">
        <f>SUM(POTABLE_NONPOTABLE_API[[#This Row],[NONPOTABLE_DEMAND_RESIDENTIAL_RECYCLED_WATER_GAL]:[NONPOTABLE_DEMAND_NONRESIDENTIAL_METERED_IRRIGATION_GAL]])</f>
        <v>0</v>
      </c>
      <c r="X5932" t="str">
        <f>IFERROR(INDEX(Crosswalk_API!$H$2:$H$527, MATCH(POTABLE_NONPOTABLE_API[[#This Row],[PWSID]], CW_PWSID_LIST, 0)), "")</f>
        <v>No</v>
      </c>
    </row>
    <row r="5933" spans="1:24" x14ac:dyDescent="0.25">
      <c r="A5933" t="s">
        <v>2455</v>
      </c>
      <c r="B5933" t="s">
        <v>2456</v>
      </c>
      <c r="C5933" t="s">
        <v>2457</v>
      </c>
      <c r="D5933" t="s">
        <v>2458</v>
      </c>
      <c r="E5933" s="9">
        <v>45200</v>
      </c>
      <c r="F5933" s="9">
        <v>45230</v>
      </c>
      <c r="G5933">
        <v>336213061.80000001</v>
      </c>
      <c r="H5933">
        <v>36136875.899999999</v>
      </c>
      <c r="I5933">
        <v>28251281.699999999</v>
      </c>
      <c r="J5933">
        <v>51451872.899999999</v>
      </c>
      <c r="K5933">
        <v>13587986.700000001</v>
      </c>
      <c r="L5933">
        <v>0</v>
      </c>
      <c r="M5933">
        <v>0</v>
      </c>
      <c r="T5933" s="9">
        <v>45108</v>
      </c>
      <c r="U5933" s="9">
        <v>45473</v>
      </c>
      <c r="V5933">
        <f>SUM(POTABLE_NONPOTABLE_API[[#This Row],[RESIDENTIAL_SINGLEFAMILY_GAL]:[OTHER_GAL]])</f>
        <v>465641078.99999994</v>
      </c>
      <c r="W5933">
        <f>SUM(POTABLE_NONPOTABLE_API[[#This Row],[NONPOTABLE_DEMAND_RESIDENTIAL_RECYCLED_WATER_GAL]:[NONPOTABLE_DEMAND_NONRESIDENTIAL_METERED_IRRIGATION_GAL]])</f>
        <v>0</v>
      </c>
      <c r="X5933" t="str">
        <f>IFERROR(INDEX(Crosswalk_API!$H$2:$H$527, MATCH(POTABLE_NONPOTABLE_API[[#This Row],[PWSID]], CW_PWSID_LIST, 0)), "")</f>
        <v>No</v>
      </c>
    </row>
    <row r="5934" spans="1:24" x14ac:dyDescent="0.25">
      <c r="A5934" t="s">
        <v>2455</v>
      </c>
      <c r="B5934" t="s">
        <v>2456</v>
      </c>
      <c r="C5934" t="s">
        <v>2457</v>
      </c>
      <c r="D5934" t="s">
        <v>2458</v>
      </c>
      <c r="E5934" s="9">
        <v>45231</v>
      </c>
      <c r="F5934" s="9">
        <v>45260</v>
      </c>
      <c r="G5934">
        <v>323765553.60000002</v>
      </c>
      <c r="H5934">
        <v>81918941.400000006</v>
      </c>
      <c r="I5934">
        <v>72078241.200000003</v>
      </c>
      <c r="J5934">
        <v>71915315.700000003</v>
      </c>
      <c r="K5934">
        <v>29424345.300000001</v>
      </c>
      <c r="L5934">
        <v>0</v>
      </c>
      <c r="M5934">
        <v>0</v>
      </c>
      <c r="T5934" s="9">
        <v>45108</v>
      </c>
      <c r="U5934" s="9">
        <v>45473</v>
      </c>
      <c r="V5934">
        <f>SUM(POTABLE_NONPOTABLE_API[[#This Row],[RESIDENTIAL_SINGLEFAMILY_GAL]:[OTHER_GAL]])</f>
        <v>579102397.19999993</v>
      </c>
      <c r="W5934">
        <f>SUM(POTABLE_NONPOTABLE_API[[#This Row],[NONPOTABLE_DEMAND_RESIDENTIAL_RECYCLED_WATER_GAL]:[NONPOTABLE_DEMAND_NONRESIDENTIAL_METERED_IRRIGATION_GAL]])</f>
        <v>0</v>
      </c>
      <c r="X5934" t="str">
        <f>IFERROR(INDEX(Crosswalk_API!$H$2:$H$527, MATCH(POTABLE_NONPOTABLE_API[[#This Row],[PWSID]], CW_PWSID_LIST, 0)), "")</f>
        <v>No</v>
      </c>
    </row>
    <row r="5935" spans="1:24" x14ac:dyDescent="0.25">
      <c r="A5935" t="s">
        <v>2455</v>
      </c>
      <c r="B5935" t="s">
        <v>2456</v>
      </c>
      <c r="C5935" t="s">
        <v>2457</v>
      </c>
      <c r="D5935" t="s">
        <v>2458</v>
      </c>
      <c r="E5935" s="9">
        <v>45261</v>
      </c>
      <c r="F5935" s="9">
        <v>45291</v>
      </c>
      <c r="G5935">
        <v>156017458.80000001</v>
      </c>
      <c r="H5935">
        <v>15575677.799999999</v>
      </c>
      <c r="I5935">
        <v>14109348.299999999</v>
      </c>
      <c r="J5935">
        <v>15510507.6</v>
      </c>
      <c r="K5935">
        <v>16357720.200000001</v>
      </c>
      <c r="L5935">
        <v>0</v>
      </c>
      <c r="M5935">
        <v>0</v>
      </c>
      <c r="T5935" s="9">
        <v>45108</v>
      </c>
      <c r="U5935" s="9">
        <v>45473</v>
      </c>
      <c r="V5935">
        <f>SUM(POTABLE_NONPOTABLE_API[[#This Row],[RESIDENTIAL_SINGLEFAMILY_GAL]:[OTHER_GAL]])</f>
        <v>217570712.70000002</v>
      </c>
      <c r="W5935">
        <f>SUM(POTABLE_NONPOTABLE_API[[#This Row],[NONPOTABLE_DEMAND_RESIDENTIAL_RECYCLED_WATER_GAL]:[NONPOTABLE_DEMAND_NONRESIDENTIAL_METERED_IRRIGATION_GAL]])</f>
        <v>0</v>
      </c>
      <c r="X5935" t="str">
        <f>IFERROR(INDEX(Crosswalk_API!$H$2:$H$527, MATCH(POTABLE_NONPOTABLE_API[[#This Row],[PWSID]], CW_PWSID_LIST, 0)), "")</f>
        <v>No</v>
      </c>
    </row>
    <row r="5936" spans="1:24" x14ac:dyDescent="0.25">
      <c r="A5936" t="s">
        <v>2455</v>
      </c>
      <c r="B5936" t="s">
        <v>2456</v>
      </c>
      <c r="C5936" t="s">
        <v>2457</v>
      </c>
      <c r="D5936" t="s">
        <v>2458</v>
      </c>
      <c r="E5936" s="9">
        <v>45292</v>
      </c>
      <c r="F5936" s="9">
        <v>45322</v>
      </c>
      <c r="G5936">
        <v>165337920</v>
      </c>
      <c r="H5936">
        <v>55301884</v>
      </c>
      <c r="I5936">
        <v>55945988</v>
      </c>
      <c r="J5936">
        <v>19910264</v>
      </c>
      <c r="K5936">
        <v>22600072</v>
      </c>
      <c r="L5936">
        <v>0</v>
      </c>
      <c r="M5936">
        <v>0</v>
      </c>
      <c r="T5936" s="9">
        <v>45108</v>
      </c>
      <c r="U5936" s="9">
        <v>45473</v>
      </c>
      <c r="V5936">
        <f>SUM(POTABLE_NONPOTABLE_API[[#This Row],[RESIDENTIAL_SINGLEFAMILY_GAL]:[OTHER_GAL]])</f>
        <v>319096128</v>
      </c>
      <c r="W5936">
        <f>SUM(POTABLE_NONPOTABLE_API[[#This Row],[NONPOTABLE_DEMAND_RESIDENTIAL_RECYCLED_WATER_GAL]:[NONPOTABLE_DEMAND_NONRESIDENTIAL_METERED_IRRIGATION_GAL]])</f>
        <v>0</v>
      </c>
      <c r="X5936" t="str">
        <f>IFERROR(INDEX(Crosswalk_API!$H$2:$H$527, MATCH(POTABLE_NONPOTABLE_API[[#This Row],[PWSID]], CW_PWSID_LIST, 0)), "")</f>
        <v>No</v>
      </c>
    </row>
    <row r="5937" spans="1:24" x14ac:dyDescent="0.25">
      <c r="A5937" t="s">
        <v>2455</v>
      </c>
      <c r="B5937" t="s">
        <v>2456</v>
      </c>
      <c r="C5937" t="s">
        <v>2457</v>
      </c>
      <c r="D5937" t="s">
        <v>2458</v>
      </c>
      <c r="E5937" s="9">
        <v>45323</v>
      </c>
      <c r="F5937" s="9">
        <v>45351</v>
      </c>
      <c r="G5937">
        <v>189947868</v>
      </c>
      <c r="H5937">
        <v>33745272</v>
      </c>
      <c r="I5937">
        <v>12905428</v>
      </c>
      <c r="J5937">
        <v>7426892</v>
      </c>
      <c r="K5937">
        <v>14235188</v>
      </c>
      <c r="L5937">
        <v>0</v>
      </c>
      <c r="M5937">
        <v>0</v>
      </c>
      <c r="T5937" s="9">
        <v>45108</v>
      </c>
      <c r="U5937" s="9">
        <v>45473</v>
      </c>
      <c r="V5937">
        <f>SUM(POTABLE_NONPOTABLE_API[[#This Row],[RESIDENTIAL_SINGLEFAMILY_GAL]:[OTHER_GAL]])</f>
        <v>258260648</v>
      </c>
      <c r="W5937">
        <f>SUM(POTABLE_NONPOTABLE_API[[#This Row],[NONPOTABLE_DEMAND_RESIDENTIAL_RECYCLED_WATER_GAL]:[NONPOTABLE_DEMAND_NONRESIDENTIAL_METERED_IRRIGATION_GAL]])</f>
        <v>0</v>
      </c>
      <c r="X5937" t="str">
        <f>IFERROR(INDEX(Crosswalk_API!$H$2:$H$527, MATCH(POTABLE_NONPOTABLE_API[[#This Row],[PWSID]], CW_PWSID_LIST, 0)), "")</f>
        <v>No</v>
      </c>
    </row>
    <row r="5938" spans="1:24" x14ac:dyDescent="0.25">
      <c r="A5938" t="s">
        <v>2455</v>
      </c>
      <c r="B5938" t="s">
        <v>2456</v>
      </c>
      <c r="C5938" t="s">
        <v>2457</v>
      </c>
      <c r="D5938" t="s">
        <v>2458</v>
      </c>
      <c r="E5938" s="9">
        <v>45352</v>
      </c>
      <c r="F5938" s="9">
        <v>45382</v>
      </c>
      <c r="G5938">
        <v>85295188</v>
      </c>
      <c r="H5938">
        <v>37368584</v>
      </c>
      <c r="I5938">
        <v>43741668</v>
      </c>
      <c r="J5938">
        <v>7862228</v>
      </c>
      <c r="K5938">
        <v>18652876</v>
      </c>
      <c r="L5938">
        <v>0</v>
      </c>
      <c r="M5938">
        <v>0</v>
      </c>
      <c r="T5938" s="9">
        <v>45108</v>
      </c>
      <c r="U5938" s="9">
        <v>45473</v>
      </c>
      <c r="V5938">
        <f>SUM(POTABLE_NONPOTABLE_API[[#This Row],[RESIDENTIAL_SINGLEFAMILY_GAL]:[OTHER_GAL]])</f>
        <v>192920544</v>
      </c>
      <c r="W5938">
        <f>SUM(POTABLE_NONPOTABLE_API[[#This Row],[NONPOTABLE_DEMAND_RESIDENTIAL_RECYCLED_WATER_GAL]:[NONPOTABLE_DEMAND_NONRESIDENTIAL_METERED_IRRIGATION_GAL]])</f>
        <v>0</v>
      </c>
      <c r="X5938" t="str">
        <f>IFERROR(INDEX(Crosswalk_API!$H$2:$H$527, MATCH(POTABLE_NONPOTABLE_API[[#This Row],[PWSID]], CW_PWSID_LIST, 0)), "")</f>
        <v>No</v>
      </c>
    </row>
    <row r="5939" spans="1:24" x14ac:dyDescent="0.25">
      <c r="A5939" t="s">
        <v>2455</v>
      </c>
      <c r="B5939" t="s">
        <v>2456</v>
      </c>
      <c r="C5939" t="s">
        <v>2457</v>
      </c>
      <c r="D5939" t="s">
        <v>2458</v>
      </c>
      <c r="E5939" s="9">
        <v>45383</v>
      </c>
      <c r="F5939" s="9">
        <v>45412</v>
      </c>
      <c r="G5939">
        <v>155977448</v>
      </c>
      <c r="H5939">
        <v>24894188</v>
      </c>
      <c r="I5939">
        <v>16364904</v>
      </c>
      <c r="J5939">
        <v>7286268</v>
      </c>
      <c r="K5939">
        <v>13000988</v>
      </c>
      <c r="L5939">
        <v>0</v>
      </c>
      <c r="M5939">
        <v>0</v>
      </c>
      <c r="T5939" s="9">
        <v>45108</v>
      </c>
      <c r="U5939" s="9">
        <v>45473</v>
      </c>
      <c r="V5939">
        <f>SUM(POTABLE_NONPOTABLE_API[[#This Row],[RESIDENTIAL_SINGLEFAMILY_GAL]:[OTHER_GAL]])</f>
        <v>217523796</v>
      </c>
      <c r="W5939">
        <f>SUM(POTABLE_NONPOTABLE_API[[#This Row],[NONPOTABLE_DEMAND_RESIDENTIAL_RECYCLED_WATER_GAL]:[NONPOTABLE_DEMAND_NONRESIDENTIAL_METERED_IRRIGATION_GAL]])</f>
        <v>0</v>
      </c>
      <c r="X5939" t="str">
        <f>IFERROR(INDEX(Crosswalk_API!$H$2:$H$527, MATCH(POTABLE_NONPOTABLE_API[[#This Row],[PWSID]], CW_PWSID_LIST, 0)), "")</f>
        <v>No</v>
      </c>
    </row>
    <row r="5940" spans="1:24" x14ac:dyDescent="0.25">
      <c r="A5940" t="s">
        <v>2455</v>
      </c>
      <c r="B5940" t="s">
        <v>2456</v>
      </c>
      <c r="C5940" t="s">
        <v>2457</v>
      </c>
      <c r="D5940" t="s">
        <v>2458</v>
      </c>
      <c r="E5940" s="9">
        <v>45413</v>
      </c>
      <c r="F5940" s="9">
        <v>45443</v>
      </c>
      <c r="G5940">
        <v>225756872</v>
      </c>
      <c r="H5940">
        <v>64414020</v>
      </c>
      <c r="I5940">
        <v>60881336</v>
      </c>
      <c r="J5940">
        <v>45623512</v>
      </c>
      <c r="K5940">
        <v>19513824</v>
      </c>
      <c r="L5940">
        <v>0</v>
      </c>
      <c r="M5940">
        <v>0</v>
      </c>
      <c r="T5940" s="9">
        <v>45108</v>
      </c>
      <c r="U5940" s="9">
        <v>45473</v>
      </c>
      <c r="V5940">
        <f>SUM(POTABLE_NONPOTABLE_API[[#This Row],[RESIDENTIAL_SINGLEFAMILY_GAL]:[OTHER_GAL]])</f>
        <v>416189564</v>
      </c>
      <c r="W5940">
        <f>SUM(POTABLE_NONPOTABLE_API[[#This Row],[NONPOTABLE_DEMAND_RESIDENTIAL_RECYCLED_WATER_GAL]:[NONPOTABLE_DEMAND_NONRESIDENTIAL_METERED_IRRIGATION_GAL]])</f>
        <v>0</v>
      </c>
      <c r="X5940" t="str">
        <f>IFERROR(INDEX(Crosswalk_API!$H$2:$H$527, MATCH(POTABLE_NONPOTABLE_API[[#This Row],[PWSID]], CW_PWSID_LIST, 0)), "")</f>
        <v>No</v>
      </c>
    </row>
    <row r="5941" spans="1:24" x14ac:dyDescent="0.25">
      <c r="A5941" t="s">
        <v>2455</v>
      </c>
      <c r="B5941" t="s">
        <v>2456</v>
      </c>
      <c r="C5941" t="s">
        <v>2457</v>
      </c>
      <c r="D5941" t="s">
        <v>2458</v>
      </c>
      <c r="E5941" s="9">
        <v>45444</v>
      </c>
      <c r="F5941" s="9">
        <v>45473</v>
      </c>
      <c r="G5941">
        <v>257424200</v>
      </c>
      <c r="H5941">
        <v>25027332</v>
      </c>
      <c r="I5941">
        <v>18731308</v>
      </c>
      <c r="J5941">
        <v>78548228</v>
      </c>
      <c r="K5941">
        <v>17107508</v>
      </c>
      <c r="L5941">
        <v>0</v>
      </c>
      <c r="M5941">
        <v>0</v>
      </c>
      <c r="T5941" s="9">
        <v>45108</v>
      </c>
      <c r="U5941" s="9">
        <v>45473</v>
      </c>
      <c r="V5941">
        <f>SUM(POTABLE_NONPOTABLE_API[[#This Row],[RESIDENTIAL_SINGLEFAMILY_GAL]:[OTHER_GAL]])</f>
        <v>396838576</v>
      </c>
      <c r="W5941">
        <f>SUM(POTABLE_NONPOTABLE_API[[#This Row],[NONPOTABLE_DEMAND_RESIDENTIAL_RECYCLED_WATER_GAL]:[NONPOTABLE_DEMAND_NONRESIDENTIAL_METERED_IRRIGATION_GAL]])</f>
        <v>0</v>
      </c>
      <c r="X5941" t="str">
        <f>IFERROR(INDEX(Crosswalk_API!$H$2:$H$527, MATCH(POTABLE_NONPOTABLE_API[[#This Row],[PWSID]], CW_PWSID_LIST, 0)), "")</f>
        <v>No</v>
      </c>
    </row>
    <row r="5942" spans="1:24" x14ac:dyDescent="0.25">
      <c r="A5942" t="s">
        <v>2459</v>
      </c>
      <c r="B5942" t="s">
        <v>2460</v>
      </c>
      <c r="C5942" t="s">
        <v>2461</v>
      </c>
      <c r="D5942" t="s">
        <v>2462</v>
      </c>
      <c r="E5942" s="9">
        <v>45108</v>
      </c>
      <c r="F5942" s="9">
        <v>45138</v>
      </c>
      <c r="G5942">
        <v>181792272.90000001</v>
      </c>
      <c r="H5942">
        <v>64160061.899999999</v>
      </c>
      <c r="I5942">
        <v>32487344.699999999</v>
      </c>
      <c r="J5942">
        <v>87458408.399999991</v>
      </c>
      <c r="K5942">
        <v>3356265.3000000003</v>
      </c>
      <c r="L5942">
        <v>12349752.9</v>
      </c>
      <c r="M5942">
        <v>12740774.1</v>
      </c>
      <c r="N5942">
        <v>0</v>
      </c>
      <c r="O5942">
        <v>0</v>
      </c>
      <c r="P5942">
        <v>0</v>
      </c>
      <c r="Q5942">
        <v>0</v>
      </c>
      <c r="R5942">
        <v>0</v>
      </c>
      <c r="S5942">
        <v>0</v>
      </c>
      <c r="T5942" s="9">
        <v>45108</v>
      </c>
      <c r="U5942" s="9">
        <v>45473</v>
      </c>
      <c r="V5942">
        <f>SUM(POTABLE_NONPOTABLE_API[[#This Row],[RESIDENTIAL_SINGLEFAMILY_GAL]:[OTHER_GAL]])</f>
        <v>381604106.09999996</v>
      </c>
      <c r="W5942">
        <f>SUM(POTABLE_NONPOTABLE_API[[#This Row],[NONPOTABLE_DEMAND_RESIDENTIAL_RECYCLED_WATER_GAL]:[NONPOTABLE_DEMAND_NONRESIDENTIAL_METERED_IRRIGATION_GAL]])</f>
        <v>0</v>
      </c>
      <c r="X5942" t="str">
        <f>IFERROR(INDEX(Crosswalk_API!$H$2:$H$527, MATCH(POTABLE_NONPOTABLE_API[[#This Row],[PWSID]], CW_PWSID_LIST, 0)), "")</f>
        <v>No</v>
      </c>
    </row>
    <row r="5943" spans="1:24" x14ac:dyDescent="0.25">
      <c r="A5943" t="s">
        <v>2459</v>
      </c>
      <c r="B5943" t="s">
        <v>2460</v>
      </c>
      <c r="C5943" t="s">
        <v>2461</v>
      </c>
      <c r="D5943" t="s">
        <v>2462</v>
      </c>
      <c r="E5943" s="9">
        <v>45139</v>
      </c>
      <c r="F5943" s="9">
        <v>45169</v>
      </c>
      <c r="G5943">
        <v>208186203.90000001</v>
      </c>
      <c r="H5943">
        <v>64029721.5</v>
      </c>
      <c r="I5943">
        <v>34507620.899999999</v>
      </c>
      <c r="J5943">
        <v>111832063.2</v>
      </c>
      <c r="K5943">
        <v>3779871.6</v>
      </c>
      <c r="L5943">
        <v>16390305.299999999</v>
      </c>
      <c r="M5943">
        <v>17921805</v>
      </c>
      <c r="N5943">
        <v>0</v>
      </c>
      <c r="O5943">
        <v>0</v>
      </c>
      <c r="P5943">
        <v>0</v>
      </c>
      <c r="Q5943">
        <v>0</v>
      </c>
      <c r="R5943">
        <v>0</v>
      </c>
      <c r="S5943">
        <v>0</v>
      </c>
      <c r="T5943" s="9">
        <v>45108</v>
      </c>
      <c r="U5943" s="9">
        <v>45473</v>
      </c>
      <c r="V5943">
        <f>SUM(POTABLE_NONPOTABLE_API[[#This Row],[RESIDENTIAL_SINGLEFAMILY_GAL]:[OTHER_GAL]])</f>
        <v>438725786.39999998</v>
      </c>
      <c r="W5943">
        <f>SUM(POTABLE_NONPOTABLE_API[[#This Row],[NONPOTABLE_DEMAND_RESIDENTIAL_RECYCLED_WATER_GAL]:[NONPOTABLE_DEMAND_NONRESIDENTIAL_METERED_IRRIGATION_GAL]])</f>
        <v>0</v>
      </c>
      <c r="X5943" t="str">
        <f>IFERROR(INDEX(Crosswalk_API!$H$2:$H$527, MATCH(POTABLE_NONPOTABLE_API[[#This Row],[PWSID]], CW_PWSID_LIST, 0)), "")</f>
        <v>No</v>
      </c>
    </row>
    <row r="5944" spans="1:24" x14ac:dyDescent="0.25">
      <c r="A5944" t="s">
        <v>2459</v>
      </c>
      <c r="B5944" t="s">
        <v>2460</v>
      </c>
      <c r="C5944" t="s">
        <v>2461</v>
      </c>
      <c r="D5944" t="s">
        <v>2462</v>
      </c>
      <c r="E5944" s="9">
        <v>45170</v>
      </c>
      <c r="F5944" s="9">
        <v>45199</v>
      </c>
      <c r="G5944">
        <v>203363609.09999999</v>
      </c>
      <c r="H5944">
        <v>64942104.300000004</v>
      </c>
      <c r="I5944">
        <v>35452588.799999997</v>
      </c>
      <c r="J5944">
        <v>103588032.89999999</v>
      </c>
      <c r="K5944">
        <v>3812456.6999999997</v>
      </c>
      <c r="L5944">
        <v>1531499.7</v>
      </c>
      <c r="M5944">
        <v>19616230.199999999</v>
      </c>
      <c r="N5944">
        <v>0</v>
      </c>
      <c r="O5944">
        <v>0</v>
      </c>
      <c r="P5944">
        <v>0</v>
      </c>
      <c r="Q5944">
        <v>0</v>
      </c>
      <c r="R5944">
        <v>0</v>
      </c>
      <c r="S5944">
        <v>0</v>
      </c>
      <c r="T5944" s="9">
        <v>45108</v>
      </c>
      <c r="U5944" s="9">
        <v>45473</v>
      </c>
      <c r="V5944">
        <f>SUM(POTABLE_NONPOTABLE_API[[#This Row],[RESIDENTIAL_SINGLEFAMILY_GAL]:[OTHER_GAL]])</f>
        <v>412690291.49999994</v>
      </c>
      <c r="W5944">
        <f>SUM(POTABLE_NONPOTABLE_API[[#This Row],[NONPOTABLE_DEMAND_RESIDENTIAL_RECYCLED_WATER_GAL]:[NONPOTABLE_DEMAND_NONRESIDENTIAL_METERED_IRRIGATION_GAL]])</f>
        <v>0</v>
      </c>
      <c r="X5944" t="str">
        <f>IFERROR(INDEX(Crosswalk_API!$H$2:$H$527, MATCH(POTABLE_NONPOTABLE_API[[#This Row],[PWSID]], CW_PWSID_LIST, 0)), "")</f>
        <v>No</v>
      </c>
    </row>
    <row r="5945" spans="1:24" x14ac:dyDescent="0.25">
      <c r="A5945" t="s">
        <v>2459</v>
      </c>
      <c r="B5945" t="s">
        <v>2460</v>
      </c>
      <c r="C5945" t="s">
        <v>2461</v>
      </c>
      <c r="D5945" t="s">
        <v>2462</v>
      </c>
      <c r="E5945" s="9">
        <v>45200</v>
      </c>
      <c r="F5945" s="9">
        <v>45230</v>
      </c>
      <c r="G5945">
        <v>179218050</v>
      </c>
      <c r="H5945">
        <v>63019583.399999999</v>
      </c>
      <c r="I5945">
        <v>32943536.099999998</v>
      </c>
      <c r="J5945">
        <v>85405547.100000009</v>
      </c>
      <c r="K5945">
        <v>3779871.6</v>
      </c>
      <c r="L5945">
        <v>13750912.200000001</v>
      </c>
      <c r="M5945">
        <v>14695880.1</v>
      </c>
      <c r="N5945">
        <v>0</v>
      </c>
      <c r="O5945">
        <v>0</v>
      </c>
      <c r="P5945">
        <v>0</v>
      </c>
      <c r="Q5945">
        <v>0</v>
      </c>
      <c r="R5945">
        <v>0</v>
      </c>
      <c r="S5945">
        <v>0</v>
      </c>
      <c r="T5945" s="9">
        <v>45108</v>
      </c>
      <c r="U5945" s="9">
        <v>45473</v>
      </c>
      <c r="V5945">
        <f>SUM(POTABLE_NONPOTABLE_API[[#This Row],[RESIDENTIAL_SINGLEFAMILY_GAL]:[OTHER_GAL]])</f>
        <v>378117500.40000004</v>
      </c>
      <c r="W5945">
        <f>SUM(POTABLE_NONPOTABLE_API[[#This Row],[NONPOTABLE_DEMAND_RESIDENTIAL_RECYCLED_WATER_GAL]:[NONPOTABLE_DEMAND_NONRESIDENTIAL_METERED_IRRIGATION_GAL]])</f>
        <v>0</v>
      </c>
      <c r="X5945" t="str">
        <f>IFERROR(INDEX(Crosswalk_API!$H$2:$H$527, MATCH(POTABLE_NONPOTABLE_API[[#This Row],[PWSID]], CW_PWSID_LIST, 0)), "")</f>
        <v>No</v>
      </c>
    </row>
    <row r="5946" spans="1:24" x14ac:dyDescent="0.25">
      <c r="A5946" t="s">
        <v>2459</v>
      </c>
      <c r="B5946" t="s">
        <v>2460</v>
      </c>
      <c r="C5946" t="s">
        <v>2461</v>
      </c>
      <c r="D5946" t="s">
        <v>2462</v>
      </c>
      <c r="E5946" s="9">
        <v>45231</v>
      </c>
      <c r="F5946" s="9">
        <v>45260</v>
      </c>
      <c r="G5946">
        <v>169507690.20000002</v>
      </c>
      <c r="H5946">
        <v>59793658.5</v>
      </c>
      <c r="I5946">
        <v>30792919.5</v>
      </c>
      <c r="J5946">
        <v>79866080.099999994</v>
      </c>
      <c r="K5946">
        <v>3258510</v>
      </c>
      <c r="L5946">
        <v>13392476.1</v>
      </c>
      <c r="M5946">
        <v>13327305.9</v>
      </c>
      <c r="N5946">
        <v>0</v>
      </c>
      <c r="O5946">
        <v>0</v>
      </c>
      <c r="P5946">
        <v>0</v>
      </c>
      <c r="Q5946">
        <v>0</v>
      </c>
      <c r="R5946">
        <v>0</v>
      </c>
      <c r="S5946">
        <v>0</v>
      </c>
      <c r="T5946" s="9">
        <v>45108</v>
      </c>
      <c r="U5946" s="9">
        <v>45473</v>
      </c>
      <c r="V5946">
        <f>SUM(POTABLE_NONPOTABLE_API[[#This Row],[RESIDENTIAL_SINGLEFAMILY_GAL]:[OTHER_GAL]])</f>
        <v>356611334.40000004</v>
      </c>
      <c r="W5946">
        <f>SUM(POTABLE_NONPOTABLE_API[[#This Row],[NONPOTABLE_DEMAND_RESIDENTIAL_RECYCLED_WATER_GAL]:[NONPOTABLE_DEMAND_NONRESIDENTIAL_METERED_IRRIGATION_GAL]])</f>
        <v>0</v>
      </c>
      <c r="X5946" t="str">
        <f>IFERROR(INDEX(Crosswalk_API!$H$2:$H$527, MATCH(POTABLE_NONPOTABLE_API[[#This Row],[PWSID]], CW_PWSID_LIST, 0)), "")</f>
        <v>No</v>
      </c>
    </row>
    <row r="5947" spans="1:24" x14ac:dyDescent="0.25">
      <c r="A5947" t="s">
        <v>2459</v>
      </c>
      <c r="B5947" t="s">
        <v>2460</v>
      </c>
      <c r="C5947" t="s">
        <v>2461</v>
      </c>
      <c r="D5947" t="s">
        <v>2462</v>
      </c>
      <c r="E5947" s="9">
        <v>45261</v>
      </c>
      <c r="F5947" s="9">
        <v>45291</v>
      </c>
      <c r="G5947">
        <v>169116669</v>
      </c>
      <c r="H5947">
        <v>64876934.100000001</v>
      </c>
      <c r="I5947">
        <v>31868227.800000001</v>
      </c>
      <c r="J5947">
        <v>69536603.400000006</v>
      </c>
      <c r="K5947">
        <v>3356265.3000000003</v>
      </c>
      <c r="L5947">
        <v>11958731.700000001</v>
      </c>
      <c r="M5947">
        <v>14761050.299999999</v>
      </c>
      <c r="N5947">
        <v>0</v>
      </c>
      <c r="O5947">
        <v>0</v>
      </c>
      <c r="P5947">
        <v>0</v>
      </c>
      <c r="Q5947">
        <v>0</v>
      </c>
      <c r="R5947">
        <v>0</v>
      </c>
      <c r="S5947">
        <v>0</v>
      </c>
      <c r="T5947" s="9">
        <v>45108</v>
      </c>
      <c r="U5947" s="9">
        <v>45473</v>
      </c>
      <c r="V5947">
        <f>SUM(POTABLE_NONPOTABLE_API[[#This Row],[RESIDENTIAL_SINGLEFAMILY_GAL]:[OTHER_GAL]])</f>
        <v>350713431.30000001</v>
      </c>
      <c r="W5947">
        <f>SUM(POTABLE_NONPOTABLE_API[[#This Row],[NONPOTABLE_DEMAND_RESIDENTIAL_RECYCLED_WATER_GAL]:[NONPOTABLE_DEMAND_NONRESIDENTIAL_METERED_IRRIGATION_GAL]])</f>
        <v>0</v>
      </c>
      <c r="X5947" t="str">
        <f>IFERROR(INDEX(Crosswalk_API!$H$2:$H$527, MATCH(POTABLE_NONPOTABLE_API[[#This Row],[PWSID]], CW_PWSID_LIST, 0)), "")</f>
        <v>No</v>
      </c>
    </row>
    <row r="5948" spans="1:24" x14ac:dyDescent="0.25">
      <c r="A5948" t="s">
        <v>2459</v>
      </c>
      <c r="B5948" t="s">
        <v>2460</v>
      </c>
      <c r="C5948" t="s">
        <v>2461</v>
      </c>
      <c r="D5948" t="s">
        <v>2462</v>
      </c>
      <c r="E5948" s="9">
        <v>45292</v>
      </c>
      <c r="F5948" s="9">
        <v>45322</v>
      </c>
      <c r="G5948">
        <v>146209343.69999999</v>
      </c>
      <c r="H5948">
        <v>61390328.399999999</v>
      </c>
      <c r="I5948">
        <v>29131079.400000002</v>
      </c>
      <c r="J5948">
        <v>44055055.199999996</v>
      </c>
      <c r="K5948">
        <v>2867488.8000000003</v>
      </c>
      <c r="L5948">
        <v>7983349.5</v>
      </c>
      <c r="M5948">
        <v>9580019.4000000004</v>
      </c>
      <c r="N5948">
        <v>0</v>
      </c>
      <c r="O5948">
        <v>0</v>
      </c>
      <c r="Q5948">
        <v>0</v>
      </c>
      <c r="R5948">
        <v>0</v>
      </c>
      <c r="S5948">
        <v>0</v>
      </c>
      <c r="T5948" s="9">
        <v>45108</v>
      </c>
      <c r="U5948" s="9">
        <v>45473</v>
      </c>
      <c r="V5948">
        <f>SUM(POTABLE_NONPOTABLE_API[[#This Row],[RESIDENTIAL_SINGLEFAMILY_GAL]:[OTHER_GAL]])</f>
        <v>291636645</v>
      </c>
      <c r="W5948">
        <f>SUM(POTABLE_NONPOTABLE_API[[#This Row],[NONPOTABLE_DEMAND_RESIDENTIAL_RECYCLED_WATER_GAL]:[NONPOTABLE_DEMAND_NONRESIDENTIAL_METERED_IRRIGATION_GAL]])</f>
        <v>0</v>
      </c>
      <c r="X5948" t="str">
        <f>IFERROR(INDEX(Crosswalk_API!$H$2:$H$527, MATCH(POTABLE_NONPOTABLE_API[[#This Row],[PWSID]], CW_PWSID_LIST, 0)), "")</f>
        <v>No</v>
      </c>
    </row>
    <row r="5949" spans="1:24" x14ac:dyDescent="0.25">
      <c r="A5949" t="s">
        <v>2459</v>
      </c>
      <c r="B5949" t="s">
        <v>2460</v>
      </c>
      <c r="C5949" t="s">
        <v>2461</v>
      </c>
      <c r="D5949" t="s">
        <v>2462</v>
      </c>
      <c r="E5949" s="9">
        <v>45323</v>
      </c>
      <c r="F5949" s="9">
        <v>45351</v>
      </c>
      <c r="G5949">
        <v>135423675.59999999</v>
      </c>
      <c r="H5949">
        <v>59141956.5</v>
      </c>
      <c r="I5949">
        <v>27925430.699999999</v>
      </c>
      <c r="J5949">
        <v>21701676.599999998</v>
      </c>
      <c r="K5949">
        <v>2769733.5</v>
      </c>
      <c r="L5949">
        <v>5800147.7999999998</v>
      </c>
      <c r="M5949">
        <v>8211445.2000000002</v>
      </c>
      <c r="N5949">
        <v>0</v>
      </c>
      <c r="O5949">
        <v>0</v>
      </c>
      <c r="P5949">
        <v>0</v>
      </c>
      <c r="Q5949">
        <v>0</v>
      </c>
      <c r="R5949">
        <v>0</v>
      </c>
      <c r="S5949">
        <v>0</v>
      </c>
      <c r="T5949" s="9">
        <v>45108</v>
      </c>
      <c r="U5949" s="9">
        <v>45473</v>
      </c>
      <c r="V5949">
        <f>SUM(POTABLE_NONPOTABLE_API[[#This Row],[RESIDENTIAL_SINGLEFAMILY_GAL]:[OTHER_GAL]])</f>
        <v>252762620.69999999</v>
      </c>
      <c r="W5949">
        <f>SUM(POTABLE_NONPOTABLE_API[[#This Row],[NONPOTABLE_DEMAND_RESIDENTIAL_RECYCLED_WATER_GAL]:[NONPOTABLE_DEMAND_NONRESIDENTIAL_METERED_IRRIGATION_GAL]])</f>
        <v>0</v>
      </c>
      <c r="X5949" t="str">
        <f>IFERROR(INDEX(Crosswalk_API!$H$2:$H$527, MATCH(POTABLE_NONPOTABLE_API[[#This Row],[PWSID]], CW_PWSID_LIST, 0)), "")</f>
        <v>No</v>
      </c>
    </row>
    <row r="5950" spans="1:24" x14ac:dyDescent="0.25">
      <c r="A5950" t="s">
        <v>2459</v>
      </c>
      <c r="B5950" t="s">
        <v>2460</v>
      </c>
      <c r="C5950" t="s">
        <v>2461</v>
      </c>
      <c r="D5950" t="s">
        <v>2462</v>
      </c>
      <c r="E5950" s="9">
        <v>45352</v>
      </c>
      <c r="F5950" s="9">
        <v>45382</v>
      </c>
      <c r="G5950">
        <v>114243360.60000001</v>
      </c>
      <c r="H5950">
        <v>60738626.399999999</v>
      </c>
      <c r="I5950">
        <v>29098494.300000001</v>
      </c>
      <c r="J5950">
        <v>11730636</v>
      </c>
      <c r="K5950">
        <v>2737148.4</v>
      </c>
      <c r="L5950">
        <v>7038381.6000000006</v>
      </c>
      <c r="M5950">
        <v>5474296.7999999998</v>
      </c>
      <c r="N5950">
        <v>0</v>
      </c>
      <c r="O5950">
        <v>0</v>
      </c>
      <c r="P5950">
        <v>0</v>
      </c>
      <c r="Q5950">
        <v>0</v>
      </c>
      <c r="R5950">
        <v>0</v>
      </c>
      <c r="S5950">
        <v>0</v>
      </c>
      <c r="T5950" s="9">
        <v>45108</v>
      </c>
      <c r="U5950" s="9">
        <v>45473</v>
      </c>
      <c r="V5950">
        <f>SUM(POTABLE_NONPOTABLE_API[[#This Row],[RESIDENTIAL_SINGLEFAMILY_GAL]:[OTHER_GAL]])</f>
        <v>225586647.30000001</v>
      </c>
      <c r="W5950">
        <f>SUM(POTABLE_NONPOTABLE_API[[#This Row],[NONPOTABLE_DEMAND_RESIDENTIAL_RECYCLED_WATER_GAL]:[NONPOTABLE_DEMAND_NONRESIDENTIAL_METERED_IRRIGATION_GAL]])</f>
        <v>0</v>
      </c>
      <c r="X5950" t="str">
        <f>IFERROR(INDEX(Crosswalk_API!$H$2:$H$527, MATCH(POTABLE_NONPOTABLE_API[[#This Row],[PWSID]], CW_PWSID_LIST, 0)), "")</f>
        <v>No</v>
      </c>
    </row>
    <row r="5951" spans="1:24" x14ac:dyDescent="0.25">
      <c r="A5951" t="s">
        <v>2459</v>
      </c>
      <c r="B5951" t="s">
        <v>2460</v>
      </c>
      <c r="C5951" t="s">
        <v>2461</v>
      </c>
      <c r="D5951" t="s">
        <v>2462</v>
      </c>
      <c r="E5951" s="9">
        <v>45383</v>
      </c>
      <c r="F5951" s="9">
        <v>45412</v>
      </c>
      <c r="G5951">
        <v>117534455.7</v>
      </c>
      <c r="H5951">
        <v>58164403.5</v>
      </c>
      <c r="I5951">
        <v>27958015.800000001</v>
      </c>
      <c r="J5951">
        <v>16650986.1</v>
      </c>
      <c r="K5951">
        <v>2834903.6999999997</v>
      </c>
      <c r="L5951">
        <v>6810285.8999999994</v>
      </c>
      <c r="M5951">
        <v>4529328.9000000004</v>
      </c>
      <c r="N5951">
        <v>0</v>
      </c>
      <c r="O5951">
        <v>0</v>
      </c>
      <c r="P5951">
        <v>0</v>
      </c>
      <c r="Q5951">
        <v>0</v>
      </c>
      <c r="R5951">
        <v>0</v>
      </c>
      <c r="S5951">
        <v>0</v>
      </c>
      <c r="T5951" s="9">
        <v>45108</v>
      </c>
      <c r="U5951" s="9">
        <v>45473</v>
      </c>
      <c r="V5951">
        <f>SUM(POTABLE_NONPOTABLE_API[[#This Row],[RESIDENTIAL_SINGLEFAMILY_GAL]:[OTHER_GAL]])</f>
        <v>229953050.69999999</v>
      </c>
      <c r="W5951">
        <f>SUM(POTABLE_NONPOTABLE_API[[#This Row],[NONPOTABLE_DEMAND_RESIDENTIAL_RECYCLED_WATER_GAL]:[NONPOTABLE_DEMAND_NONRESIDENTIAL_METERED_IRRIGATION_GAL]])</f>
        <v>0</v>
      </c>
      <c r="X5951" t="str">
        <f>IFERROR(INDEX(Crosswalk_API!$H$2:$H$527, MATCH(POTABLE_NONPOTABLE_API[[#This Row],[PWSID]], CW_PWSID_LIST, 0)), "")</f>
        <v>No</v>
      </c>
    </row>
    <row r="5952" spans="1:24" x14ac:dyDescent="0.25">
      <c r="A5952" t="s">
        <v>2459</v>
      </c>
      <c r="B5952" t="s">
        <v>2460</v>
      </c>
      <c r="C5952" t="s">
        <v>2461</v>
      </c>
      <c r="D5952" t="s">
        <v>2462</v>
      </c>
      <c r="E5952" s="9">
        <v>45413</v>
      </c>
      <c r="F5952" s="9">
        <v>45443</v>
      </c>
      <c r="G5952">
        <v>135065239.5</v>
      </c>
      <c r="H5952">
        <v>58131818.399999999</v>
      </c>
      <c r="I5952">
        <v>28479377.400000002</v>
      </c>
      <c r="J5952">
        <v>44934852.899999999</v>
      </c>
      <c r="K5952">
        <v>2900073.9</v>
      </c>
      <c r="L5952">
        <v>9645189.5999999996</v>
      </c>
      <c r="M5952">
        <v>6484434.8999999994</v>
      </c>
      <c r="N5952">
        <v>0</v>
      </c>
      <c r="O5952">
        <v>0</v>
      </c>
      <c r="P5952">
        <v>0</v>
      </c>
      <c r="Q5952">
        <v>75060000</v>
      </c>
      <c r="R5952">
        <v>0</v>
      </c>
      <c r="S5952">
        <v>0</v>
      </c>
      <c r="T5952" s="9">
        <v>45108</v>
      </c>
      <c r="U5952" s="9">
        <v>45473</v>
      </c>
      <c r="V5952">
        <f>SUM(POTABLE_NONPOTABLE_API[[#This Row],[RESIDENTIAL_SINGLEFAMILY_GAL]:[OTHER_GAL]])</f>
        <v>279156551.70000005</v>
      </c>
      <c r="W5952">
        <f>SUM(POTABLE_NONPOTABLE_API[[#This Row],[NONPOTABLE_DEMAND_RESIDENTIAL_RECYCLED_WATER_GAL]:[NONPOTABLE_DEMAND_NONRESIDENTIAL_METERED_IRRIGATION_GAL]])</f>
        <v>75060000</v>
      </c>
      <c r="X5952" t="str">
        <f>IFERROR(INDEX(Crosswalk_API!$H$2:$H$527, MATCH(POTABLE_NONPOTABLE_API[[#This Row],[PWSID]], CW_PWSID_LIST, 0)), "")</f>
        <v>No</v>
      </c>
    </row>
    <row r="5953" spans="1:24" x14ac:dyDescent="0.25">
      <c r="A5953" t="s">
        <v>2459</v>
      </c>
      <c r="B5953" t="s">
        <v>2460</v>
      </c>
      <c r="C5953" t="s">
        <v>2461</v>
      </c>
      <c r="D5953" t="s">
        <v>2462</v>
      </c>
      <c r="E5953" s="9">
        <v>45444</v>
      </c>
      <c r="F5953" s="9">
        <v>45473</v>
      </c>
      <c r="G5953">
        <v>170224562.40000001</v>
      </c>
      <c r="H5953">
        <v>60836381.699999996</v>
      </c>
      <c r="I5953">
        <v>30401898.300000001</v>
      </c>
      <c r="J5953">
        <v>79279548.299999997</v>
      </c>
      <c r="K5953">
        <v>3193339.8000000003</v>
      </c>
      <c r="L5953">
        <v>11763221.1</v>
      </c>
      <c r="M5953">
        <v>10524987.299999999</v>
      </c>
      <c r="N5953">
        <v>0</v>
      </c>
      <c r="O5953">
        <v>0</v>
      </c>
      <c r="P5953">
        <v>0</v>
      </c>
      <c r="Q5953">
        <v>0</v>
      </c>
      <c r="R5953">
        <v>0</v>
      </c>
      <c r="S5953">
        <v>0</v>
      </c>
      <c r="T5953" s="9">
        <v>45108</v>
      </c>
      <c r="U5953" s="9">
        <v>45473</v>
      </c>
      <c r="V5953">
        <f>SUM(POTABLE_NONPOTABLE_API[[#This Row],[RESIDENTIAL_SINGLEFAMILY_GAL]:[OTHER_GAL]])</f>
        <v>355698951.60000002</v>
      </c>
      <c r="W5953">
        <f>SUM(POTABLE_NONPOTABLE_API[[#This Row],[NONPOTABLE_DEMAND_RESIDENTIAL_RECYCLED_WATER_GAL]:[NONPOTABLE_DEMAND_NONRESIDENTIAL_METERED_IRRIGATION_GAL]])</f>
        <v>0</v>
      </c>
      <c r="X5953" t="str">
        <f>IFERROR(INDEX(Crosswalk_API!$H$2:$H$527, MATCH(POTABLE_NONPOTABLE_API[[#This Row],[PWSID]], CW_PWSID_LIST, 0)), "")</f>
        <v>No</v>
      </c>
    </row>
    <row r="5954" spans="1:24" x14ac:dyDescent="0.25">
      <c r="A5954" t="s">
        <v>2463</v>
      </c>
      <c r="B5954" t="s">
        <v>2464</v>
      </c>
      <c r="C5954" t="s">
        <v>2465</v>
      </c>
      <c r="D5954" t="s">
        <v>2466</v>
      </c>
      <c r="E5954" s="9">
        <v>45108</v>
      </c>
      <c r="F5954" s="9">
        <v>45138</v>
      </c>
      <c r="G5954">
        <v>193983348.53600001</v>
      </c>
      <c r="H5954">
        <v>49698330.723999999</v>
      </c>
      <c r="I5954">
        <v>111518844.10800001</v>
      </c>
      <c r="J5954">
        <v>50776273.656000003</v>
      </c>
      <c r="K5954">
        <v>0</v>
      </c>
      <c r="L5954">
        <v>75104.420800000007</v>
      </c>
      <c r="M5954">
        <v>0</v>
      </c>
      <c r="N5954">
        <v>0</v>
      </c>
      <c r="O5954">
        <v>0</v>
      </c>
      <c r="P5954">
        <v>0</v>
      </c>
      <c r="Q5954">
        <v>0</v>
      </c>
      <c r="R5954">
        <v>35937166.131999999</v>
      </c>
      <c r="T5954" s="9">
        <v>45108</v>
      </c>
      <c r="U5954" s="9">
        <v>45473</v>
      </c>
      <c r="V5954">
        <f>SUM(POTABLE_NONPOTABLE_API[[#This Row],[RESIDENTIAL_SINGLEFAMILY_GAL]:[OTHER_GAL]])</f>
        <v>406051901.44480002</v>
      </c>
      <c r="W5954">
        <f>SUM(POTABLE_NONPOTABLE_API[[#This Row],[NONPOTABLE_DEMAND_RESIDENTIAL_RECYCLED_WATER_GAL]:[NONPOTABLE_DEMAND_NONRESIDENTIAL_METERED_IRRIGATION_GAL]])</f>
        <v>35937166.131999999</v>
      </c>
      <c r="X5954" t="str">
        <f>IFERROR(INDEX(Crosswalk_API!$H$2:$H$527, MATCH(POTABLE_NONPOTABLE_API[[#This Row],[PWSID]], CW_PWSID_LIST, 0)), "")</f>
        <v>No</v>
      </c>
    </row>
    <row r="5955" spans="1:24" x14ac:dyDescent="0.25">
      <c r="A5955" t="s">
        <v>2463</v>
      </c>
      <c r="B5955" t="s">
        <v>2464</v>
      </c>
      <c r="C5955" t="s">
        <v>2465</v>
      </c>
      <c r="D5955" t="s">
        <v>2466</v>
      </c>
      <c r="E5955" s="9">
        <v>45139</v>
      </c>
      <c r="F5955" s="9">
        <v>45169</v>
      </c>
      <c r="G5955">
        <v>193428293.95199999</v>
      </c>
      <c r="H5955">
        <v>50210746.344000004</v>
      </c>
      <c r="I5955">
        <v>66513043.579999998</v>
      </c>
      <c r="J5955">
        <v>51880398.408</v>
      </c>
      <c r="K5955">
        <v>0</v>
      </c>
      <c r="L5955">
        <v>98593.253600000011</v>
      </c>
      <c r="M5955">
        <v>0</v>
      </c>
      <c r="N5955">
        <v>0</v>
      </c>
      <c r="O5955">
        <v>0</v>
      </c>
      <c r="P5955">
        <v>0</v>
      </c>
      <c r="Q5955">
        <v>0</v>
      </c>
      <c r="R5955">
        <v>33959316.644000001</v>
      </c>
      <c r="T5955" s="9">
        <v>45108</v>
      </c>
      <c r="U5955" s="9">
        <v>45473</v>
      </c>
      <c r="V5955">
        <f>SUM(POTABLE_NONPOTABLE_API[[#This Row],[RESIDENTIAL_SINGLEFAMILY_GAL]:[OTHER_GAL]])</f>
        <v>362131075.53759998</v>
      </c>
      <c r="W5955">
        <f>SUM(POTABLE_NONPOTABLE_API[[#This Row],[NONPOTABLE_DEMAND_RESIDENTIAL_RECYCLED_WATER_GAL]:[NONPOTABLE_DEMAND_NONRESIDENTIAL_METERED_IRRIGATION_GAL]])</f>
        <v>33959316.644000001</v>
      </c>
      <c r="X5955" t="str">
        <f>IFERROR(INDEX(Crosswalk_API!$H$2:$H$527, MATCH(POTABLE_NONPOTABLE_API[[#This Row],[PWSID]], CW_PWSID_LIST, 0)), "")</f>
        <v>No</v>
      </c>
    </row>
    <row r="5956" spans="1:24" x14ac:dyDescent="0.25">
      <c r="A5956" t="s">
        <v>2463</v>
      </c>
      <c r="B5956" t="s">
        <v>2464</v>
      </c>
      <c r="C5956" t="s">
        <v>2465</v>
      </c>
      <c r="D5956" t="s">
        <v>2466</v>
      </c>
      <c r="E5956" s="9">
        <v>45170</v>
      </c>
      <c r="F5956" s="9">
        <v>45199</v>
      </c>
      <c r="G5956">
        <v>177758100.65600002</v>
      </c>
      <c r="H5956">
        <v>47701779.936000004</v>
      </c>
      <c r="I5956">
        <v>59787308.048</v>
      </c>
      <c r="J5956">
        <v>45181592.748000003</v>
      </c>
      <c r="K5956">
        <v>0</v>
      </c>
      <c r="L5956">
        <v>44509.094000000005</v>
      </c>
      <c r="M5956">
        <v>0</v>
      </c>
      <c r="N5956">
        <v>0</v>
      </c>
      <c r="O5956">
        <v>0</v>
      </c>
      <c r="P5956">
        <v>0</v>
      </c>
      <c r="Q5956">
        <v>0</v>
      </c>
      <c r="R5956">
        <v>23945892.572000001</v>
      </c>
      <c r="S5956">
        <v>0</v>
      </c>
      <c r="T5956" s="9">
        <v>45108</v>
      </c>
      <c r="U5956" s="9">
        <v>45473</v>
      </c>
      <c r="V5956">
        <f>SUM(POTABLE_NONPOTABLE_API[[#This Row],[RESIDENTIAL_SINGLEFAMILY_GAL]:[OTHER_GAL]])</f>
        <v>330473290.48199999</v>
      </c>
      <c r="W5956">
        <f>SUM(POTABLE_NONPOTABLE_API[[#This Row],[NONPOTABLE_DEMAND_RESIDENTIAL_RECYCLED_WATER_GAL]:[NONPOTABLE_DEMAND_NONRESIDENTIAL_METERED_IRRIGATION_GAL]])</f>
        <v>23945892.572000001</v>
      </c>
      <c r="X5956" t="str">
        <f>IFERROR(INDEX(Crosswalk_API!$H$2:$H$527, MATCH(POTABLE_NONPOTABLE_API[[#This Row],[PWSID]], CW_PWSID_LIST, 0)), "")</f>
        <v>No</v>
      </c>
    </row>
    <row r="5957" spans="1:24" x14ac:dyDescent="0.25">
      <c r="A5957" t="s">
        <v>2463</v>
      </c>
      <c r="B5957" t="s">
        <v>2464</v>
      </c>
      <c r="C5957" t="s">
        <v>2465</v>
      </c>
      <c r="D5957" t="s">
        <v>2466</v>
      </c>
      <c r="E5957" s="9">
        <v>45200</v>
      </c>
      <c r="F5957" s="9">
        <v>45230</v>
      </c>
      <c r="G5957">
        <v>170032219.59999999</v>
      </c>
      <c r="H5957">
        <v>48597198.18</v>
      </c>
      <c r="I5957">
        <v>56337292.223999999</v>
      </c>
      <c r="J5957">
        <v>36790693.464000002</v>
      </c>
      <c r="K5957">
        <v>0</v>
      </c>
      <c r="L5957">
        <v>44658.704400000002</v>
      </c>
      <c r="M5957">
        <v>0</v>
      </c>
      <c r="N5957">
        <v>0</v>
      </c>
      <c r="O5957">
        <v>0</v>
      </c>
      <c r="P5957">
        <v>0</v>
      </c>
      <c r="Q5957">
        <v>0</v>
      </c>
      <c r="R5957">
        <v>16482577.768000001</v>
      </c>
      <c r="S5957">
        <v>0</v>
      </c>
      <c r="T5957" s="9">
        <v>45108</v>
      </c>
      <c r="U5957" s="9">
        <v>45473</v>
      </c>
      <c r="V5957">
        <f>SUM(POTABLE_NONPOTABLE_API[[#This Row],[RESIDENTIAL_SINGLEFAMILY_GAL]:[OTHER_GAL]])</f>
        <v>311802062.1724</v>
      </c>
      <c r="W5957">
        <f>SUM(POTABLE_NONPOTABLE_API[[#This Row],[NONPOTABLE_DEMAND_RESIDENTIAL_RECYCLED_WATER_GAL]:[NONPOTABLE_DEMAND_NONRESIDENTIAL_METERED_IRRIGATION_GAL]])</f>
        <v>16482577.768000001</v>
      </c>
      <c r="X5957" t="str">
        <f>IFERROR(INDEX(Crosswalk_API!$H$2:$H$527, MATCH(POTABLE_NONPOTABLE_API[[#This Row],[PWSID]], CW_PWSID_LIST, 0)), "")</f>
        <v>No</v>
      </c>
    </row>
    <row r="5958" spans="1:24" x14ac:dyDescent="0.25">
      <c r="A5958" t="s">
        <v>2463</v>
      </c>
      <c r="B5958" t="s">
        <v>2464</v>
      </c>
      <c r="C5958" t="s">
        <v>2465</v>
      </c>
      <c r="D5958" t="s">
        <v>2466</v>
      </c>
      <c r="E5958" s="9">
        <v>45231</v>
      </c>
      <c r="F5958" s="9">
        <v>45260</v>
      </c>
      <c r="G5958">
        <v>143463656.71599999</v>
      </c>
      <c r="H5958">
        <v>44150029.039999999</v>
      </c>
      <c r="I5958">
        <v>48372034.528000005</v>
      </c>
      <c r="J5958">
        <v>27232085.008000001</v>
      </c>
      <c r="K5958">
        <v>0</v>
      </c>
      <c r="L5958">
        <v>5161.5588000000007</v>
      </c>
      <c r="M5958">
        <v>0</v>
      </c>
      <c r="N5958">
        <v>0</v>
      </c>
      <c r="O5958">
        <v>0</v>
      </c>
      <c r="P5958">
        <v>0</v>
      </c>
      <c r="Q5958">
        <v>0</v>
      </c>
      <c r="R5958">
        <v>6727231.6359999999</v>
      </c>
      <c r="S5958">
        <v>0</v>
      </c>
      <c r="T5958" s="9">
        <v>45108</v>
      </c>
      <c r="U5958" s="9">
        <v>45473</v>
      </c>
      <c r="V5958">
        <f>SUM(POTABLE_NONPOTABLE_API[[#This Row],[RESIDENTIAL_SINGLEFAMILY_GAL]:[OTHER_GAL]])</f>
        <v>263222966.85080001</v>
      </c>
      <c r="W5958">
        <f>SUM(POTABLE_NONPOTABLE_API[[#This Row],[NONPOTABLE_DEMAND_RESIDENTIAL_RECYCLED_WATER_GAL]:[NONPOTABLE_DEMAND_NONRESIDENTIAL_METERED_IRRIGATION_GAL]])</f>
        <v>6727231.6359999999</v>
      </c>
      <c r="X5958" t="str">
        <f>IFERROR(INDEX(Crosswalk_API!$H$2:$H$527, MATCH(POTABLE_NONPOTABLE_API[[#This Row],[PWSID]], CW_PWSID_LIST, 0)), "")</f>
        <v>No</v>
      </c>
    </row>
    <row r="5959" spans="1:24" x14ac:dyDescent="0.25">
      <c r="A5959" t="s">
        <v>2463</v>
      </c>
      <c r="B5959" t="s">
        <v>2464</v>
      </c>
      <c r="C5959" t="s">
        <v>2465</v>
      </c>
      <c r="D5959" t="s">
        <v>2466</v>
      </c>
      <c r="E5959" s="9">
        <v>45261</v>
      </c>
      <c r="F5959" s="9">
        <v>45291</v>
      </c>
      <c r="G5959">
        <v>81141948.491999999</v>
      </c>
      <c r="H5959">
        <v>28992999.416000001</v>
      </c>
      <c r="I5959">
        <v>56067245.452</v>
      </c>
      <c r="J5959">
        <v>14002037.336000001</v>
      </c>
      <c r="K5959">
        <v>0</v>
      </c>
      <c r="L5959">
        <v>5385.9744000000001</v>
      </c>
      <c r="M5959">
        <v>0</v>
      </c>
      <c r="N5959">
        <v>0</v>
      </c>
      <c r="O5959">
        <v>0</v>
      </c>
      <c r="P5959">
        <v>0</v>
      </c>
      <c r="Q5959">
        <v>0</v>
      </c>
      <c r="R5959">
        <v>1603823.4880000001</v>
      </c>
      <c r="T5959" s="9">
        <v>45108</v>
      </c>
      <c r="U5959" s="9">
        <v>45473</v>
      </c>
      <c r="V5959">
        <f>SUM(POTABLE_NONPOTABLE_API[[#This Row],[RESIDENTIAL_SINGLEFAMILY_GAL]:[OTHER_GAL]])</f>
        <v>180209616.67039999</v>
      </c>
      <c r="W5959">
        <f>SUM(POTABLE_NONPOTABLE_API[[#This Row],[NONPOTABLE_DEMAND_RESIDENTIAL_RECYCLED_WATER_GAL]:[NONPOTABLE_DEMAND_NONRESIDENTIAL_METERED_IRRIGATION_GAL]])</f>
        <v>1603823.4880000001</v>
      </c>
      <c r="X5959" t="str">
        <f>IFERROR(INDEX(Crosswalk_API!$H$2:$H$527, MATCH(POTABLE_NONPOTABLE_API[[#This Row],[PWSID]], CW_PWSID_LIST, 0)), "")</f>
        <v>No</v>
      </c>
    </row>
    <row r="5960" spans="1:24" x14ac:dyDescent="0.25">
      <c r="A5960" t="s">
        <v>2463</v>
      </c>
      <c r="B5960" t="s">
        <v>2464</v>
      </c>
      <c r="C5960" t="s">
        <v>2465</v>
      </c>
      <c r="D5960" t="s">
        <v>2466</v>
      </c>
      <c r="E5960" s="9">
        <v>45292</v>
      </c>
      <c r="F5960" s="9">
        <v>45322</v>
      </c>
      <c r="G5960">
        <v>141371489.92135999</v>
      </c>
      <c r="H5960">
        <v>45187629.52764</v>
      </c>
      <c r="I5960">
        <v>47249881.722800002</v>
      </c>
      <c r="J5960">
        <v>18504637.1292</v>
      </c>
      <c r="K5960">
        <v>0</v>
      </c>
      <c r="L5960">
        <v>860.25979999999993</v>
      </c>
      <c r="M5960">
        <v>0</v>
      </c>
      <c r="N5960">
        <v>0</v>
      </c>
      <c r="O5960">
        <v>0</v>
      </c>
      <c r="P5960">
        <v>0</v>
      </c>
      <c r="Q5960">
        <v>0</v>
      </c>
      <c r="R5960">
        <v>243618.09484000001</v>
      </c>
      <c r="S5960">
        <v>0</v>
      </c>
      <c r="T5960" s="9">
        <v>45108</v>
      </c>
      <c r="U5960" s="9">
        <v>45473</v>
      </c>
      <c r="V5960">
        <f>SUM(POTABLE_NONPOTABLE_API[[#This Row],[RESIDENTIAL_SINGLEFAMILY_GAL]:[OTHER_GAL]])</f>
        <v>252314498.56080002</v>
      </c>
      <c r="W5960">
        <f>SUM(POTABLE_NONPOTABLE_API[[#This Row],[NONPOTABLE_DEMAND_RESIDENTIAL_RECYCLED_WATER_GAL]:[NONPOTABLE_DEMAND_NONRESIDENTIAL_METERED_IRRIGATION_GAL]])</f>
        <v>243618.09484000001</v>
      </c>
      <c r="X5960" t="str">
        <f>IFERROR(INDEX(Crosswalk_API!$H$2:$H$527, MATCH(POTABLE_NONPOTABLE_API[[#This Row],[PWSID]], CW_PWSID_LIST, 0)), "")</f>
        <v>No</v>
      </c>
    </row>
    <row r="5961" spans="1:24" x14ac:dyDescent="0.25">
      <c r="A5961" t="s">
        <v>2463</v>
      </c>
      <c r="B5961" t="s">
        <v>2464</v>
      </c>
      <c r="C5961" t="s">
        <v>2465</v>
      </c>
      <c r="D5961" t="s">
        <v>2466</v>
      </c>
      <c r="E5961" s="9">
        <v>45323</v>
      </c>
      <c r="F5961" s="9">
        <v>45351</v>
      </c>
      <c r="G5961">
        <v>132151950.99540001</v>
      </c>
      <c r="H5961">
        <v>42102827.651080005</v>
      </c>
      <c r="I5961">
        <v>43953493.338040002</v>
      </c>
      <c r="J5961">
        <v>15363013.222720001</v>
      </c>
      <c r="K5961">
        <v>0</v>
      </c>
      <c r="L5961">
        <v>24199.482200000002</v>
      </c>
      <c r="M5961">
        <v>0</v>
      </c>
      <c r="N5961">
        <v>0</v>
      </c>
      <c r="O5961">
        <v>0</v>
      </c>
      <c r="P5961">
        <v>0</v>
      </c>
      <c r="Q5961">
        <v>0</v>
      </c>
      <c r="R5961">
        <v>1434068.04764</v>
      </c>
      <c r="S5961">
        <v>0</v>
      </c>
      <c r="T5961" s="9">
        <v>45108</v>
      </c>
      <c r="U5961" s="9">
        <v>45473</v>
      </c>
      <c r="V5961">
        <f>SUM(POTABLE_NONPOTABLE_API[[#This Row],[RESIDENTIAL_SINGLEFAMILY_GAL]:[OTHER_GAL]])</f>
        <v>233595484.68944001</v>
      </c>
      <c r="W5961">
        <f>SUM(POTABLE_NONPOTABLE_API[[#This Row],[NONPOTABLE_DEMAND_RESIDENTIAL_RECYCLED_WATER_GAL]:[NONPOTABLE_DEMAND_NONRESIDENTIAL_METERED_IRRIGATION_GAL]])</f>
        <v>1434068.04764</v>
      </c>
      <c r="X5961" t="str">
        <f>IFERROR(INDEX(Crosswalk_API!$H$2:$H$527, MATCH(POTABLE_NONPOTABLE_API[[#This Row],[PWSID]], CW_PWSID_LIST, 0)), "")</f>
        <v>No</v>
      </c>
    </row>
    <row r="5962" spans="1:24" x14ac:dyDescent="0.25">
      <c r="A5962" t="s">
        <v>2463</v>
      </c>
      <c r="B5962" t="s">
        <v>2464</v>
      </c>
      <c r="C5962" t="s">
        <v>2465</v>
      </c>
      <c r="D5962" t="s">
        <v>2466</v>
      </c>
      <c r="E5962" s="9">
        <v>45352</v>
      </c>
      <c r="F5962" s="9">
        <v>45382</v>
      </c>
      <c r="G5962">
        <v>142245281.98203999</v>
      </c>
      <c r="H5962">
        <v>45572135.736160003</v>
      </c>
      <c r="I5962">
        <v>50583425.850400001</v>
      </c>
      <c r="J5962">
        <v>19032357.893120002</v>
      </c>
      <c r="K5962">
        <v>0</v>
      </c>
      <c r="L5962">
        <v>191538.71460000001</v>
      </c>
      <c r="M5962">
        <v>0</v>
      </c>
      <c r="N5962">
        <v>0</v>
      </c>
      <c r="O5962">
        <v>0</v>
      </c>
      <c r="P5962">
        <v>0</v>
      </c>
      <c r="Q5962">
        <v>0</v>
      </c>
      <c r="R5962">
        <v>3270356.1751600001</v>
      </c>
      <c r="S5962">
        <v>0</v>
      </c>
      <c r="T5962" s="9">
        <v>45108</v>
      </c>
      <c r="U5962" s="9">
        <v>45473</v>
      </c>
      <c r="V5962">
        <f>SUM(POTABLE_NONPOTABLE_API[[#This Row],[RESIDENTIAL_SINGLEFAMILY_GAL]:[OTHER_GAL]])</f>
        <v>257624740.17631999</v>
      </c>
      <c r="W5962">
        <f>SUM(POTABLE_NONPOTABLE_API[[#This Row],[NONPOTABLE_DEMAND_RESIDENTIAL_RECYCLED_WATER_GAL]:[NONPOTABLE_DEMAND_NONRESIDENTIAL_METERED_IRRIGATION_GAL]])</f>
        <v>3270356.1751600001</v>
      </c>
      <c r="X5962" t="str">
        <f>IFERROR(INDEX(Crosswalk_API!$H$2:$H$527, MATCH(POTABLE_NONPOTABLE_API[[#This Row],[PWSID]], CW_PWSID_LIST, 0)), "")</f>
        <v>No</v>
      </c>
    </row>
    <row r="5963" spans="1:24" x14ac:dyDescent="0.25">
      <c r="A5963" t="s">
        <v>2463</v>
      </c>
      <c r="B5963" t="s">
        <v>2464</v>
      </c>
      <c r="C5963" t="s">
        <v>2465</v>
      </c>
      <c r="D5963" t="s">
        <v>2466</v>
      </c>
      <c r="E5963" s="9">
        <v>45383</v>
      </c>
      <c r="F5963" s="9">
        <v>45412</v>
      </c>
      <c r="G5963">
        <v>154348838.14724001</v>
      </c>
      <c r="H5963">
        <v>44525940.131039999</v>
      </c>
      <c r="I5963">
        <v>48586179.37404</v>
      </c>
      <c r="J5963">
        <v>27123004.065360002</v>
      </c>
      <c r="K5963">
        <v>0</v>
      </c>
      <c r="L5963">
        <v>1067372.9572399999</v>
      </c>
      <c r="M5963">
        <v>0</v>
      </c>
      <c r="N5963">
        <v>0</v>
      </c>
      <c r="O5963">
        <v>0</v>
      </c>
      <c r="P5963">
        <v>0</v>
      </c>
      <c r="Q5963">
        <v>0</v>
      </c>
      <c r="R5963">
        <v>11533188.95676</v>
      </c>
      <c r="S5963">
        <v>0</v>
      </c>
      <c r="T5963" s="9">
        <v>45108</v>
      </c>
      <c r="U5963" s="9">
        <v>45473</v>
      </c>
      <c r="V5963">
        <f>SUM(POTABLE_NONPOTABLE_API[[#This Row],[RESIDENTIAL_SINGLEFAMILY_GAL]:[OTHER_GAL]])</f>
        <v>275651334.67492002</v>
      </c>
      <c r="W5963">
        <f>SUM(POTABLE_NONPOTABLE_API[[#This Row],[NONPOTABLE_DEMAND_RESIDENTIAL_RECYCLED_WATER_GAL]:[NONPOTABLE_DEMAND_NONRESIDENTIAL_METERED_IRRIGATION_GAL]])</f>
        <v>11533188.95676</v>
      </c>
      <c r="X5963" t="str">
        <f>IFERROR(INDEX(Crosswalk_API!$H$2:$H$527, MATCH(POTABLE_NONPOTABLE_API[[#This Row],[PWSID]], CW_PWSID_LIST, 0)), "")</f>
        <v>No</v>
      </c>
    </row>
    <row r="5964" spans="1:24" x14ac:dyDescent="0.25">
      <c r="A5964" t="s">
        <v>2463</v>
      </c>
      <c r="B5964" t="s">
        <v>2464</v>
      </c>
      <c r="C5964" t="s">
        <v>2465</v>
      </c>
      <c r="D5964" t="s">
        <v>2466</v>
      </c>
      <c r="E5964" s="9">
        <v>45413</v>
      </c>
      <c r="F5964" s="9">
        <v>45443</v>
      </c>
      <c r="G5964">
        <v>179661631.1778</v>
      </c>
      <c r="H5964">
        <v>48539837.552639998</v>
      </c>
      <c r="I5964">
        <v>59923969.667880006</v>
      </c>
      <c r="J5964">
        <v>43900007.620039999</v>
      </c>
      <c r="K5964">
        <v>0</v>
      </c>
      <c r="L5964">
        <v>3300719.6058400003</v>
      </c>
      <c r="M5964">
        <v>0</v>
      </c>
      <c r="N5964">
        <v>0</v>
      </c>
      <c r="O5964">
        <v>0</v>
      </c>
      <c r="P5964">
        <v>0</v>
      </c>
      <c r="Q5964">
        <v>0</v>
      </c>
      <c r="R5964">
        <v>25564452.6844</v>
      </c>
      <c r="S5964">
        <v>0</v>
      </c>
      <c r="T5964" s="9">
        <v>45108</v>
      </c>
      <c r="U5964" s="9">
        <v>45473</v>
      </c>
      <c r="V5964">
        <f>SUM(POTABLE_NONPOTABLE_API[[#This Row],[RESIDENTIAL_SINGLEFAMILY_GAL]:[OTHER_GAL]])</f>
        <v>335326165.62420005</v>
      </c>
      <c r="W5964">
        <f>SUM(POTABLE_NONPOTABLE_API[[#This Row],[NONPOTABLE_DEMAND_RESIDENTIAL_RECYCLED_WATER_GAL]:[NONPOTABLE_DEMAND_NONRESIDENTIAL_METERED_IRRIGATION_GAL]])</f>
        <v>25564452.6844</v>
      </c>
      <c r="X5964" t="str">
        <f>IFERROR(INDEX(Crosswalk_API!$H$2:$H$527, MATCH(POTABLE_NONPOTABLE_API[[#This Row],[PWSID]], CW_PWSID_LIST, 0)), "")</f>
        <v>No</v>
      </c>
    </row>
    <row r="5965" spans="1:24" x14ac:dyDescent="0.25">
      <c r="A5965" t="s">
        <v>2463</v>
      </c>
      <c r="B5965" t="s">
        <v>2464</v>
      </c>
      <c r="C5965" t="s">
        <v>2465</v>
      </c>
      <c r="D5965" t="s">
        <v>2466</v>
      </c>
      <c r="E5965" s="9">
        <v>45444</v>
      </c>
      <c r="F5965" s="9">
        <v>45473</v>
      </c>
      <c r="G5965">
        <v>192904223.68184</v>
      </c>
      <c r="H5965">
        <v>50787457.033399999</v>
      </c>
      <c r="I5965">
        <v>61938196.924640007</v>
      </c>
      <c r="J5965">
        <v>57415938.324880004</v>
      </c>
      <c r="K5965">
        <v>0</v>
      </c>
      <c r="L5965">
        <v>7465080.2067200011</v>
      </c>
      <c r="M5965">
        <v>0</v>
      </c>
      <c r="N5965">
        <v>0</v>
      </c>
      <c r="O5965">
        <v>0</v>
      </c>
      <c r="P5965">
        <v>0</v>
      </c>
      <c r="Q5965">
        <v>0</v>
      </c>
      <c r="R5965">
        <v>23683475.930400003</v>
      </c>
      <c r="S5965">
        <v>0</v>
      </c>
      <c r="T5965" s="9">
        <v>45108</v>
      </c>
      <c r="U5965" s="9">
        <v>45473</v>
      </c>
      <c r="V5965">
        <f>SUM(POTABLE_NONPOTABLE_API[[#This Row],[RESIDENTIAL_SINGLEFAMILY_GAL]:[OTHER_GAL]])</f>
        <v>370510896.17148</v>
      </c>
      <c r="W5965">
        <f>SUM(POTABLE_NONPOTABLE_API[[#This Row],[NONPOTABLE_DEMAND_RESIDENTIAL_RECYCLED_WATER_GAL]:[NONPOTABLE_DEMAND_NONRESIDENTIAL_METERED_IRRIGATION_GAL]])</f>
        <v>23683475.930400003</v>
      </c>
      <c r="X5965" t="str">
        <f>IFERROR(INDEX(Crosswalk_API!$H$2:$H$527, MATCH(POTABLE_NONPOTABLE_API[[#This Row],[PWSID]], CW_PWSID_LIST, 0)), "")</f>
        <v>No</v>
      </c>
    </row>
    <row r="5966" spans="1:24" x14ac:dyDescent="0.25">
      <c r="A5966" t="s">
        <v>2463</v>
      </c>
      <c r="B5966" t="s">
        <v>2464</v>
      </c>
      <c r="C5966" t="s">
        <v>2467</v>
      </c>
      <c r="D5966" t="s">
        <v>2468</v>
      </c>
      <c r="E5966" s="9">
        <v>45108</v>
      </c>
      <c r="F5966" s="9">
        <v>45138</v>
      </c>
      <c r="G5966">
        <v>4999231.5159999998</v>
      </c>
      <c r="H5966">
        <v>1048544.4884</v>
      </c>
      <c r="I5966">
        <v>1835195.9716000003</v>
      </c>
      <c r="J5966">
        <v>87372.473599999998</v>
      </c>
      <c r="K5966">
        <v>0</v>
      </c>
      <c r="L5966">
        <v>396691.97560000001</v>
      </c>
      <c r="M5966">
        <v>0</v>
      </c>
      <c r="T5966" s="9">
        <v>45108</v>
      </c>
      <c r="U5966" s="9">
        <v>45473</v>
      </c>
      <c r="V5966">
        <f>SUM(POTABLE_NONPOTABLE_API[[#This Row],[RESIDENTIAL_SINGLEFAMILY_GAL]:[OTHER_GAL]])</f>
        <v>8367036.4252000004</v>
      </c>
      <c r="W5966">
        <f>SUM(POTABLE_NONPOTABLE_API[[#This Row],[NONPOTABLE_DEMAND_RESIDENTIAL_RECYCLED_WATER_GAL]:[NONPOTABLE_DEMAND_NONRESIDENTIAL_METERED_IRRIGATION_GAL]])</f>
        <v>0</v>
      </c>
      <c r="X5966" t="str">
        <f>IFERROR(INDEX(Crosswalk_API!$H$2:$H$527, MATCH(POTABLE_NONPOTABLE_API[[#This Row],[PWSID]], CW_PWSID_LIST, 0)), "")</f>
        <v>No</v>
      </c>
    </row>
    <row r="5967" spans="1:24" x14ac:dyDescent="0.25">
      <c r="A5967" t="s">
        <v>2463</v>
      </c>
      <c r="B5967" t="s">
        <v>2464</v>
      </c>
      <c r="C5967" t="s">
        <v>2467</v>
      </c>
      <c r="D5967" t="s">
        <v>2468</v>
      </c>
      <c r="E5967" s="9">
        <v>45139</v>
      </c>
      <c r="F5967" s="9">
        <v>45169</v>
      </c>
      <c r="G5967">
        <v>4814238.2564000003</v>
      </c>
      <c r="H5967">
        <v>1026850.9804000001</v>
      </c>
      <c r="I5967">
        <v>1904914.4180000001</v>
      </c>
      <c r="J5967">
        <v>74057.148000000001</v>
      </c>
      <c r="K5967">
        <v>0</v>
      </c>
      <c r="L5967">
        <v>582508.09240000008</v>
      </c>
      <c r="M5967">
        <v>0</v>
      </c>
      <c r="T5967" s="9">
        <v>45108</v>
      </c>
      <c r="U5967" s="9">
        <v>45473</v>
      </c>
      <c r="V5967">
        <f>SUM(POTABLE_NONPOTABLE_API[[#This Row],[RESIDENTIAL_SINGLEFAMILY_GAL]:[OTHER_GAL]])</f>
        <v>8402568.8951999992</v>
      </c>
      <c r="W5967">
        <f>SUM(POTABLE_NONPOTABLE_API[[#This Row],[NONPOTABLE_DEMAND_RESIDENTIAL_RECYCLED_WATER_GAL]:[NONPOTABLE_DEMAND_NONRESIDENTIAL_METERED_IRRIGATION_GAL]])</f>
        <v>0</v>
      </c>
      <c r="X5967" t="str">
        <f>IFERROR(INDEX(Crosswalk_API!$H$2:$H$527, MATCH(POTABLE_NONPOTABLE_API[[#This Row],[PWSID]], CW_PWSID_LIST, 0)), "")</f>
        <v>No</v>
      </c>
    </row>
    <row r="5968" spans="1:24" x14ac:dyDescent="0.25">
      <c r="A5968" t="s">
        <v>2463</v>
      </c>
      <c r="B5968" t="s">
        <v>2464</v>
      </c>
      <c r="C5968" t="s">
        <v>2467</v>
      </c>
      <c r="D5968" t="s">
        <v>2468</v>
      </c>
      <c r="E5968" s="9">
        <v>45170</v>
      </c>
      <c r="F5968" s="9">
        <v>45199</v>
      </c>
      <c r="G5968">
        <v>4413581.6052000001</v>
      </c>
      <c r="H5968">
        <v>964613.054</v>
      </c>
      <c r="I5968">
        <v>1936931.0436000002</v>
      </c>
      <c r="J5968">
        <v>53710.133600000001</v>
      </c>
      <c r="K5968">
        <v>0</v>
      </c>
      <c r="L5968">
        <v>812683.69280000008</v>
      </c>
      <c r="M5968">
        <v>0</v>
      </c>
      <c r="T5968" s="9">
        <v>45108</v>
      </c>
      <c r="U5968" s="9">
        <v>45473</v>
      </c>
      <c r="V5968">
        <f>SUM(POTABLE_NONPOTABLE_API[[#This Row],[RESIDENTIAL_SINGLEFAMILY_GAL]:[OTHER_GAL]])</f>
        <v>8181519.5292000007</v>
      </c>
      <c r="W5968">
        <f>SUM(POTABLE_NONPOTABLE_API[[#This Row],[NONPOTABLE_DEMAND_RESIDENTIAL_RECYCLED_WATER_GAL]:[NONPOTABLE_DEMAND_NONRESIDENTIAL_METERED_IRRIGATION_GAL]])</f>
        <v>0</v>
      </c>
      <c r="X5968" t="str">
        <f>IFERROR(INDEX(Crosswalk_API!$H$2:$H$527, MATCH(POTABLE_NONPOTABLE_API[[#This Row],[PWSID]], CW_PWSID_LIST, 0)), "")</f>
        <v>No</v>
      </c>
    </row>
    <row r="5969" spans="1:24" x14ac:dyDescent="0.25">
      <c r="A5969" t="s">
        <v>2463</v>
      </c>
      <c r="B5969" t="s">
        <v>2464</v>
      </c>
      <c r="C5969" t="s">
        <v>2467</v>
      </c>
      <c r="D5969" t="s">
        <v>2468</v>
      </c>
      <c r="E5969" s="9">
        <v>45200</v>
      </c>
      <c r="F5969" s="9">
        <v>45230</v>
      </c>
      <c r="G5969">
        <v>4209737.4352000002</v>
      </c>
      <c r="H5969">
        <v>900579.80280000006</v>
      </c>
      <c r="I5969">
        <v>1741764.2768000001</v>
      </c>
      <c r="J5969">
        <v>40020.781999999999</v>
      </c>
      <c r="K5969">
        <v>0</v>
      </c>
      <c r="L5969">
        <v>568968.35120000003</v>
      </c>
      <c r="M5969">
        <v>0</v>
      </c>
      <c r="T5969" s="9">
        <v>45108</v>
      </c>
      <c r="U5969" s="9">
        <v>45473</v>
      </c>
      <c r="V5969">
        <f>SUM(POTABLE_NONPOTABLE_API[[#This Row],[RESIDENTIAL_SINGLEFAMILY_GAL]:[OTHER_GAL]])</f>
        <v>7461070.648</v>
      </c>
      <c r="W5969">
        <f>SUM(POTABLE_NONPOTABLE_API[[#This Row],[NONPOTABLE_DEMAND_RESIDENTIAL_RECYCLED_WATER_GAL]:[NONPOTABLE_DEMAND_NONRESIDENTIAL_METERED_IRRIGATION_GAL]])</f>
        <v>0</v>
      </c>
      <c r="X5969" t="str">
        <f>IFERROR(INDEX(Crosswalk_API!$H$2:$H$527, MATCH(POTABLE_NONPOTABLE_API[[#This Row],[PWSID]], CW_PWSID_LIST, 0)), "")</f>
        <v>No</v>
      </c>
    </row>
    <row r="5970" spans="1:24" x14ac:dyDescent="0.25">
      <c r="A5970" t="s">
        <v>2463</v>
      </c>
      <c r="B5970" t="s">
        <v>2464</v>
      </c>
      <c r="C5970" t="s">
        <v>2467</v>
      </c>
      <c r="D5970" t="s">
        <v>2468</v>
      </c>
      <c r="E5970" s="9">
        <v>45231</v>
      </c>
      <c r="F5970" s="9">
        <v>45260</v>
      </c>
      <c r="G5970">
        <v>3627678.1740000001</v>
      </c>
      <c r="H5970">
        <v>742591.22040000011</v>
      </c>
      <c r="I5970">
        <v>1337516.976</v>
      </c>
      <c r="J5970">
        <v>17953.248</v>
      </c>
      <c r="K5970">
        <v>0</v>
      </c>
      <c r="L5970">
        <v>187686.24680000002</v>
      </c>
      <c r="M5970">
        <v>0</v>
      </c>
      <c r="T5970" s="9">
        <v>45108</v>
      </c>
      <c r="U5970" s="9">
        <v>45473</v>
      </c>
      <c r="V5970">
        <f>SUM(POTABLE_NONPOTABLE_API[[#This Row],[RESIDENTIAL_SINGLEFAMILY_GAL]:[OTHER_GAL]])</f>
        <v>5913425.8651999999</v>
      </c>
      <c r="W5970">
        <f>SUM(POTABLE_NONPOTABLE_API[[#This Row],[NONPOTABLE_DEMAND_RESIDENTIAL_RECYCLED_WATER_GAL]:[NONPOTABLE_DEMAND_NONRESIDENTIAL_METERED_IRRIGATION_GAL]])</f>
        <v>0</v>
      </c>
      <c r="X5970" t="str">
        <f>IFERROR(INDEX(Crosswalk_API!$H$2:$H$527, MATCH(POTABLE_NONPOTABLE_API[[#This Row],[PWSID]], CW_PWSID_LIST, 0)), "")</f>
        <v>No</v>
      </c>
    </row>
    <row r="5971" spans="1:24" x14ac:dyDescent="0.25">
      <c r="A5971" t="s">
        <v>2463</v>
      </c>
      <c r="B5971" t="s">
        <v>2464</v>
      </c>
      <c r="C5971" t="s">
        <v>2467</v>
      </c>
      <c r="D5971" t="s">
        <v>2468</v>
      </c>
      <c r="E5971" s="9">
        <v>45261</v>
      </c>
      <c r="F5971" s="9">
        <v>45291</v>
      </c>
      <c r="G5971">
        <v>1464311.79</v>
      </c>
      <c r="H5971">
        <v>297051.44920000003</v>
      </c>
      <c r="I5971">
        <v>633001.60240000009</v>
      </c>
      <c r="J5971">
        <v>7181.2992000000004</v>
      </c>
      <c r="K5971">
        <v>0</v>
      </c>
      <c r="L5971">
        <v>75104.420800000007</v>
      </c>
      <c r="M5971">
        <v>0</v>
      </c>
      <c r="T5971" s="9">
        <v>45108</v>
      </c>
      <c r="U5971" s="9">
        <v>45473</v>
      </c>
      <c r="V5971">
        <f>SUM(POTABLE_NONPOTABLE_API[[#This Row],[RESIDENTIAL_SINGLEFAMILY_GAL]:[OTHER_GAL]])</f>
        <v>2476650.5616000001</v>
      </c>
      <c r="W5971">
        <f>SUM(POTABLE_NONPOTABLE_API[[#This Row],[NONPOTABLE_DEMAND_RESIDENTIAL_RECYCLED_WATER_GAL]:[NONPOTABLE_DEMAND_NONRESIDENTIAL_METERED_IRRIGATION_GAL]])</f>
        <v>0</v>
      </c>
      <c r="X5971" t="str">
        <f>IFERROR(INDEX(Crosswalk_API!$H$2:$H$527, MATCH(POTABLE_NONPOTABLE_API[[#This Row],[PWSID]], CW_PWSID_LIST, 0)), "")</f>
        <v>No</v>
      </c>
    </row>
    <row r="5972" spans="1:24" x14ac:dyDescent="0.25">
      <c r="A5972" t="s">
        <v>2463</v>
      </c>
      <c r="B5972" t="s">
        <v>2464</v>
      </c>
      <c r="C5972" t="s">
        <v>2467</v>
      </c>
      <c r="D5972" t="s">
        <v>2468</v>
      </c>
      <c r="E5972" s="9">
        <v>45292</v>
      </c>
      <c r="F5972" s="9">
        <v>45322</v>
      </c>
      <c r="G5972">
        <v>3195812.7933600005</v>
      </c>
      <c r="H5972">
        <v>540968.76483999996</v>
      </c>
      <c r="I5972">
        <v>1277889.7510800001</v>
      </c>
      <c r="J5972">
        <v>1084.6754000000001</v>
      </c>
      <c r="K5972">
        <v>0</v>
      </c>
      <c r="L5972">
        <v>105437.92939999999</v>
      </c>
      <c r="M5972">
        <v>0</v>
      </c>
      <c r="N5972">
        <v>0</v>
      </c>
      <c r="O5972">
        <v>0</v>
      </c>
      <c r="P5972">
        <v>0</v>
      </c>
      <c r="Q5972">
        <v>0</v>
      </c>
      <c r="R5972">
        <v>12679.481400000001</v>
      </c>
      <c r="S5972">
        <v>0</v>
      </c>
      <c r="T5972" s="9">
        <v>45108</v>
      </c>
      <c r="U5972" s="9">
        <v>45473</v>
      </c>
      <c r="V5972">
        <f>SUM(POTABLE_NONPOTABLE_API[[#This Row],[RESIDENTIAL_SINGLEFAMILY_GAL]:[OTHER_GAL]])</f>
        <v>5121193.9140800005</v>
      </c>
      <c r="W5972">
        <f>SUM(POTABLE_NONPOTABLE_API[[#This Row],[NONPOTABLE_DEMAND_RESIDENTIAL_RECYCLED_WATER_GAL]:[NONPOTABLE_DEMAND_NONRESIDENTIAL_METERED_IRRIGATION_GAL]])</f>
        <v>12679.481400000001</v>
      </c>
      <c r="X5972" t="str">
        <f>IFERROR(INDEX(Crosswalk_API!$H$2:$H$527, MATCH(POTABLE_NONPOTABLE_API[[#This Row],[PWSID]], CW_PWSID_LIST, 0)), "")</f>
        <v>No</v>
      </c>
    </row>
    <row r="5973" spans="1:24" x14ac:dyDescent="0.25">
      <c r="A5973" t="s">
        <v>2463</v>
      </c>
      <c r="B5973" t="s">
        <v>2464</v>
      </c>
      <c r="C5973" t="s">
        <v>2467</v>
      </c>
      <c r="D5973" t="s">
        <v>2468</v>
      </c>
      <c r="E5973" s="9">
        <v>45323</v>
      </c>
      <c r="F5973" s="9">
        <v>45351</v>
      </c>
      <c r="G5973">
        <v>3024030.1320799999</v>
      </c>
      <c r="H5973">
        <v>479942.68268000003</v>
      </c>
      <c r="I5973">
        <v>1411304.8252800002</v>
      </c>
      <c r="J5973">
        <v>1189.4026800000001</v>
      </c>
      <c r="K5973">
        <v>0</v>
      </c>
      <c r="L5973">
        <v>108632.11144000001</v>
      </c>
      <c r="M5973">
        <v>0</v>
      </c>
      <c r="N5973">
        <v>0</v>
      </c>
      <c r="O5973">
        <v>0</v>
      </c>
      <c r="P5973">
        <v>0</v>
      </c>
      <c r="Q5973">
        <v>0</v>
      </c>
      <c r="R5973">
        <v>15020.88416</v>
      </c>
      <c r="T5973" s="9">
        <v>45108</v>
      </c>
      <c r="U5973" s="9">
        <v>45473</v>
      </c>
      <c r="V5973">
        <f>SUM(POTABLE_NONPOTABLE_API[[#This Row],[RESIDENTIAL_SINGLEFAMILY_GAL]:[OTHER_GAL]])</f>
        <v>5025099.1541600004</v>
      </c>
      <c r="W5973">
        <f>SUM(POTABLE_NONPOTABLE_API[[#This Row],[NONPOTABLE_DEMAND_RESIDENTIAL_RECYCLED_WATER_GAL]:[NONPOTABLE_DEMAND_NONRESIDENTIAL_METERED_IRRIGATION_GAL]])</f>
        <v>15020.88416</v>
      </c>
      <c r="X5973" t="str">
        <f>IFERROR(INDEX(Crosswalk_API!$H$2:$H$527, MATCH(POTABLE_NONPOTABLE_API[[#This Row],[PWSID]], CW_PWSID_LIST, 0)), "")</f>
        <v>No</v>
      </c>
    </row>
    <row r="5974" spans="1:24" x14ac:dyDescent="0.25">
      <c r="A5974" t="s">
        <v>2463</v>
      </c>
      <c r="B5974" t="s">
        <v>2464</v>
      </c>
      <c r="C5974" t="s">
        <v>2467</v>
      </c>
      <c r="D5974" t="s">
        <v>2468</v>
      </c>
      <c r="E5974" s="9">
        <v>45352</v>
      </c>
      <c r="F5974" s="9">
        <v>45382</v>
      </c>
      <c r="G5974">
        <v>3239873.0561600002</v>
      </c>
      <c r="H5974">
        <v>486981.85200000001</v>
      </c>
      <c r="I5974">
        <v>1724005.52232</v>
      </c>
      <c r="J5974">
        <v>1451.2208800000001</v>
      </c>
      <c r="K5974">
        <v>0</v>
      </c>
      <c r="L5974">
        <v>126091.64512</v>
      </c>
      <c r="M5974">
        <v>0</v>
      </c>
      <c r="N5974">
        <v>0</v>
      </c>
      <c r="O5974">
        <v>0</v>
      </c>
      <c r="P5974">
        <v>0</v>
      </c>
      <c r="Q5974">
        <v>0</v>
      </c>
      <c r="R5974">
        <v>19202.494840000003</v>
      </c>
      <c r="S5974">
        <v>0</v>
      </c>
      <c r="T5974" s="9">
        <v>45108</v>
      </c>
      <c r="U5974" s="9">
        <v>45473</v>
      </c>
      <c r="V5974">
        <f>SUM(POTABLE_NONPOTABLE_API[[#This Row],[RESIDENTIAL_SINGLEFAMILY_GAL]:[OTHER_GAL]])</f>
        <v>5578403.29648</v>
      </c>
      <c r="W5974">
        <f>SUM(POTABLE_NONPOTABLE_API[[#This Row],[NONPOTABLE_DEMAND_RESIDENTIAL_RECYCLED_WATER_GAL]:[NONPOTABLE_DEMAND_NONRESIDENTIAL_METERED_IRRIGATION_GAL]])</f>
        <v>19202.494840000003</v>
      </c>
      <c r="X5974" t="str">
        <f>IFERROR(INDEX(Crosswalk_API!$H$2:$H$527, MATCH(POTABLE_NONPOTABLE_API[[#This Row],[PWSID]], CW_PWSID_LIST, 0)), "")</f>
        <v>No</v>
      </c>
    </row>
    <row r="5975" spans="1:24" x14ac:dyDescent="0.25">
      <c r="A5975" t="s">
        <v>2463</v>
      </c>
      <c r="B5975" t="s">
        <v>2464</v>
      </c>
      <c r="C5975" t="s">
        <v>2467</v>
      </c>
      <c r="D5975" t="s">
        <v>2468</v>
      </c>
      <c r="E5975" s="9">
        <v>45383</v>
      </c>
      <c r="F5975" s="9">
        <v>45412</v>
      </c>
      <c r="G5975">
        <v>3593970.9508799999</v>
      </c>
      <c r="H5975">
        <v>604515.78223999997</v>
      </c>
      <c r="I5975">
        <v>1840701.63432</v>
      </c>
      <c r="J5975">
        <v>19082.806520000002</v>
      </c>
      <c r="K5975">
        <v>0</v>
      </c>
      <c r="L5975">
        <v>289929.99416</v>
      </c>
      <c r="M5975">
        <v>0</v>
      </c>
      <c r="N5975">
        <v>0</v>
      </c>
      <c r="O5975">
        <v>0</v>
      </c>
      <c r="P5975">
        <v>0</v>
      </c>
      <c r="Q5975">
        <v>0</v>
      </c>
      <c r="R5975">
        <v>20773.404040000001</v>
      </c>
      <c r="S5975">
        <v>0</v>
      </c>
      <c r="T5975" s="9">
        <v>45108</v>
      </c>
      <c r="U5975" s="9">
        <v>45473</v>
      </c>
      <c r="V5975">
        <f>SUM(POTABLE_NONPOTABLE_API[[#This Row],[RESIDENTIAL_SINGLEFAMILY_GAL]:[OTHER_GAL]])</f>
        <v>6348201.1681200005</v>
      </c>
      <c r="W5975">
        <f>SUM(POTABLE_NONPOTABLE_API[[#This Row],[NONPOTABLE_DEMAND_RESIDENTIAL_RECYCLED_WATER_GAL]:[NONPOTABLE_DEMAND_NONRESIDENTIAL_METERED_IRRIGATION_GAL]])</f>
        <v>20773.404040000001</v>
      </c>
      <c r="X5975" t="str">
        <f>IFERROR(INDEX(Crosswalk_API!$H$2:$H$527, MATCH(POTABLE_NONPOTABLE_API[[#This Row],[PWSID]], CW_PWSID_LIST, 0)), "")</f>
        <v>No</v>
      </c>
    </row>
    <row r="5976" spans="1:24" x14ac:dyDescent="0.25">
      <c r="A5976" t="s">
        <v>2463</v>
      </c>
      <c r="B5976" t="s">
        <v>2464</v>
      </c>
      <c r="C5976" t="s">
        <v>2467</v>
      </c>
      <c r="D5976" t="s">
        <v>2468</v>
      </c>
      <c r="E5976" s="9">
        <v>45413</v>
      </c>
      <c r="F5976" s="9">
        <v>45443</v>
      </c>
      <c r="G5976">
        <v>4455150.8548400002</v>
      </c>
      <c r="H5976">
        <v>831190.49928000011</v>
      </c>
      <c r="I5976">
        <v>2169148.82596</v>
      </c>
      <c r="J5976">
        <v>47112.314959999996</v>
      </c>
      <c r="K5976">
        <v>0</v>
      </c>
      <c r="L5976">
        <v>559842.11679999996</v>
      </c>
      <c r="M5976">
        <v>0</v>
      </c>
      <c r="N5976">
        <v>0</v>
      </c>
      <c r="O5976">
        <v>0</v>
      </c>
      <c r="P5976">
        <v>0</v>
      </c>
      <c r="Q5976">
        <v>0</v>
      </c>
      <c r="R5976">
        <v>24857.767959999997</v>
      </c>
      <c r="S5976">
        <v>0</v>
      </c>
      <c r="T5976" s="9">
        <v>45108</v>
      </c>
      <c r="U5976" s="9">
        <v>45473</v>
      </c>
      <c r="V5976">
        <f>SUM(POTABLE_NONPOTABLE_API[[#This Row],[RESIDENTIAL_SINGLEFAMILY_GAL]:[OTHER_GAL]])</f>
        <v>8062444.6118400004</v>
      </c>
      <c r="W5976">
        <f>SUM(POTABLE_NONPOTABLE_API[[#This Row],[NONPOTABLE_DEMAND_RESIDENTIAL_RECYCLED_WATER_GAL]:[NONPOTABLE_DEMAND_NONRESIDENTIAL_METERED_IRRIGATION_GAL]])</f>
        <v>24857.767959999997</v>
      </c>
      <c r="X5976" t="str">
        <f>IFERROR(INDEX(Crosswalk_API!$H$2:$H$527, MATCH(POTABLE_NONPOTABLE_API[[#This Row],[PWSID]], CW_PWSID_LIST, 0)), "")</f>
        <v>No</v>
      </c>
    </row>
    <row r="5977" spans="1:24" x14ac:dyDescent="0.25">
      <c r="A5977" t="s">
        <v>2463</v>
      </c>
      <c r="B5977" t="s">
        <v>2464</v>
      </c>
      <c r="C5977" t="s">
        <v>2467</v>
      </c>
      <c r="D5977" t="s">
        <v>2468</v>
      </c>
      <c r="E5977" s="9">
        <v>45444</v>
      </c>
      <c r="F5977" s="9">
        <v>45473</v>
      </c>
      <c r="G5977">
        <v>4625983.4900799999</v>
      </c>
      <c r="H5977">
        <v>849480.37067999993</v>
      </c>
      <c r="I5977">
        <v>2310605.4591600001</v>
      </c>
      <c r="J5977">
        <v>54877.094720000001</v>
      </c>
      <c r="K5977">
        <v>0</v>
      </c>
      <c r="L5977">
        <v>636382.79743999999</v>
      </c>
      <c r="M5977">
        <v>0</v>
      </c>
      <c r="N5977">
        <v>0</v>
      </c>
      <c r="O5977">
        <v>0</v>
      </c>
      <c r="P5977">
        <v>0</v>
      </c>
      <c r="Q5977">
        <v>0</v>
      </c>
      <c r="R5977">
        <v>25807.794000000002</v>
      </c>
      <c r="S5977">
        <v>0</v>
      </c>
      <c r="T5977" s="9">
        <v>45108</v>
      </c>
      <c r="U5977" s="9">
        <v>45473</v>
      </c>
      <c r="V5977">
        <f>SUM(POTABLE_NONPOTABLE_API[[#This Row],[RESIDENTIAL_SINGLEFAMILY_GAL]:[OTHER_GAL]])</f>
        <v>8477329.21208</v>
      </c>
      <c r="W5977">
        <f>SUM(POTABLE_NONPOTABLE_API[[#This Row],[NONPOTABLE_DEMAND_RESIDENTIAL_RECYCLED_WATER_GAL]:[NONPOTABLE_DEMAND_NONRESIDENTIAL_METERED_IRRIGATION_GAL]])</f>
        <v>25807.794000000002</v>
      </c>
      <c r="X5977" t="str">
        <f>IFERROR(INDEX(Crosswalk_API!$H$2:$H$527, MATCH(POTABLE_NONPOTABLE_API[[#This Row],[PWSID]], CW_PWSID_LIST, 0)), "")</f>
        <v>No</v>
      </c>
    </row>
    <row r="5978" spans="1:24" x14ac:dyDescent="0.25">
      <c r="A5978" t="s">
        <v>2469</v>
      </c>
      <c r="B5978" t="s">
        <v>2470</v>
      </c>
      <c r="C5978" t="s">
        <v>2471</v>
      </c>
      <c r="D5978" t="s">
        <v>2472</v>
      </c>
      <c r="E5978" s="9">
        <v>45108</v>
      </c>
      <c r="F5978" s="9">
        <v>45138</v>
      </c>
      <c r="G5978">
        <v>152921874.30000001</v>
      </c>
      <c r="H5978">
        <v>8895732.3000000007</v>
      </c>
      <c r="I5978">
        <v>27175973.400000002</v>
      </c>
      <c r="J5978">
        <v>4138307.6999999997</v>
      </c>
      <c r="K5978">
        <v>0</v>
      </c>
      <c r="L5978">
        <v>3421435.5</v>
      </c>
      <c r="M5978">
        <v>276289062.89999998</v>
      </c>
      <c r="N5978">
        <v>0</v>
      </c>
      <c r="O5978">
        <v>0</v>
      </c>
      <c r="P5978">
        <v>0</v>
      </c>
      <c r="Q5978">
        <v>0</v>
      </c>
      <c r="R5978">
        <v>0</v>
      </c>
      <c r="S5978">
        <v>3616713</v>
      </c>
      <c r="T5978" s="9">
        <v>45108</v>
      </c>
      <c r="U5978" s="9">
        <v>45473</v>
      </c>
      <c r="V5978">
        <f>SUM(POTABLE_NONPOTABLE_API[[#This Row],[RESIDENTIAL_SINGLEFAMILY_GAL]:[OTHER_GAL]])</f>
        <v>196553323.20000002</v>
      </c>
      <c r="W5978">
        <f>SUM(POTABLE_NONPOTABLE_API[[#This Row],[NONPOTABLE_DEMAND_RESIDENTIAL_RECYCLED_WATER_GAL]:[NONPOTABLE_DEMAND_NONRESIDENTIAL_METERED_IRRIGATION_GAL]])</f>
        <v>3616713</v>
      </c>
      <c r="X5978" t="str">
        <f>IFERROR(INDEX(Crosswalk_API!$H$2:$H$527, MATCH(POTABLE_NONPOTABLE_API[[#This Row],[PWSID]], CW_PWSID_LIST, 0)), "")</f>
        <v>No</v>
      </c>
    </row>
    <row r="5979" spans="1:24" x14ac:dyDescent="0.25">
      <c r="A5979" t="s">
        <v>2469</v>
      </c>
      <c r="B5979" t="s">
        <v>2470</v>
      </c>
      <c r="C5979" t="s">
        <v>2471</v>
      </c>
      <c r="D5979" t="s">
        <v>2472</v>
      </c>
      <c r="E5979" s="9">
        <v>45139</v>
      </c>
      <c r="F5979" s="9">
        <v>45169</v>
      </c>
      <c r="G5979">
        <v>177002263.20000002</v>
      </c>
      <c r="H5979">
        <v>10524987.299999999</v>
      </c>
      <c r="I5979">
        <v>36788577.899999999</v>
      </c>
      <c r="J5979">
        <v>4822594.8</v>
      </c>
      <c r="K5979">
        <v>0</v>
      </c>
      <c r="L5979">
        <v>5083275.5999999996</v>
      </c>
      <c r="M5979">
        <v>336538912.80000001</v>
      </c>
      <c r="N5979">
        <v>0</v>
      </c>
      <c r="O5979">
        <v>0</v>
      </c>
      <c r="P5979">
        <v>0</v>
      </c>
      <c r="Q5979">
        <v>0</v>
      </c>
      <c r="R5979">
        <v>0</v>
      </c>
      <c r="S5979">
        <v>3518964</v>
      </c>
      <c r="T5979" s="9">
        <v>45108</v>
      </c>
      <c r="U5979" s="9">
        <v>45473</v>
      </c>
      <c r="V5979">
        <f>SUM(POTABLE_NONPOTABLE_API[[#This Row],[RESIDENTIAL_SINGLEFAMILY_GAL]:[OTHER_GAL]])</f>
        <v>234221698.80000004</v>
      </c>
      <c r="W5979">
        <f>SUM(POTABLE_NONPOTABLE_API[[#This Row],[NONPOTABLE_DEMAND_RESIDENTIAL_RECYCLED_WATER_GAL]:[NONPOTABLE_DEMAND_NONRESIDENTIAL_METERED_IRRIGATION_GAL]])</f>
        <v>3518964</v>
      </c>
      <c r="X5979" t="str">
        <f>IFERROR(INDEX(Crosswalk_API!$H$2:$H$527, MATCH(POTABLE_NONPOTABLE_API[[#This Row],[PWSID]], CW_PWSID_LIST, 0)), "")</f>
        <v>No</v>
      </c>
    </row>
    <row r="5980" spans="1:24" x14ac:dyDescent="0.25">
      <c r="A5980" t="s">
        <v>2469</v>
      </c>
      <c r="B5980" t="s">
        <v>2470</v>
      </c>
      <c r="C5980" t="s">
        <v>2471</v>
      </c>
      <c r="D5980" t="s">
        <v>2472</v>
      </c>
      <c r="E5980" s="9">
        <v>45170</v>
      </c>
      <c r="F5980" s="9">
        <v>45199</v>
      </c>
      <c r="G5980">
        <v>150608332.19999999</v>
      </c>
      <c r="H5980">
        <v>9971040.5999999996</v>
      </c>
      <c r="I5980">
        <v>24015218.699999999</v>
      </c>
      <c r="J5980">
        <v>4138307.6999999997</v>
      </c>
      <c r="K5980">
        <v>0</v>
      </c>
      <c r="L5980">
        <v>3812456.6999999997</v>
      </c>
      <c r="M5980">
        <v>254294120.40000001</v>
      </c>
      <c r="N5980">
        <v>0</v>
      </c>
      <c r="O5980">
        <v>0</v>
      </c>
      <c r="P5980">
        <v>0</v>
      </c>
      <c r="Q5980">
        <v>0</v>
      </c>
      <c r="R5980">
        <v>0</v>
      </c>
      <c r="S5980">
        <v>3942543</v>
      </c>
      <c r="T5980" s="9">
        <v>45108</v>
      </c>
      <c r="U5980" s="9">
        <v>45473</v>
      </c>
      <c r="V5980">
        <f>SUM(POTABLE_NONPOTABLE_API[[#This Row],[RESIDENTIAL_SINGLEFAMILY_GAL]:[OTHER_GAL]])</f>
        <v>192545355.89999995</v>
      </c>
      <c r="W5980">
        <f>SUM(POTABLE_NONPOTABLE_API[[#This Row],[NONPOTABLE_DEMAND_RESIDENTIAL_RECYCLED_WATER_GAL]:[NONPOTABLE_DEMAND_NONRESIDENTIAL_METERED_IRRIGATION_GAL]])</f>
        <v>3942543</v>
      </c>
      <c r="X5980" t="str">
        <f>IFERROR(INDEX(Crosswalk_API!$H$2:$H$527, MATCH(POTABLE_NONPOTABLE_API[[#This Row],[PWSID]], CW_PWSID_LIST, 0)), "")</f>
        <v>No</v>
      </c>
    </row>
    <row r="5981" spans="1:24" x14ac:dyDescent="0.25">
      <c r="A5981" t="s">
        <v>2469</v>
      </c>
      <c r="B5981" t="s">
        <v>2470</v>
      </c>
      <c r="C5981" t="s">
        <v>2471</v>
      </c>
      <c r="D5981" t="s">
        <v>2472</v>
      </c>
      <c r="E5981" s="9">
        <v>45200</v>
      </c>
      <c r="F5981" s="9">
        <v>45230</v>
      </c>
      <c r="G5981">
        <v>118968200.10000001</v>
      </c>
      <c r="H5981">
        <v>8178860.1000000006</v>
      </c>
      <c r="I5981">
        <v>19322964.300000001</v>
      </c>
      <c r="J5981">
        <v>3779871.6</v>
      </c>
      <c r="K5981">
        <v>0</v>
      </c>
      <c r="L5981">
        <v>2346127.2000000002</v>
      </c>
      <c r="M5981">
        <v>221937116.09999999</v>
      </c>
      <c r="N5981">
        <v>0</v>
      </c>
      <c r="O5981">
        <v>0</v>
      </c>
      <c r="P5981">
        <v>0</v>
      </c>
      <c r="Q5981">
        <v>0</v>
      </c>
      <c r="R5981">
        <v>0</v>
      </c>
      <c r="S5981">
        <v>3356049</v>
      </c>
      <c r="T5981" s="9">
        <v>45108</v>
      </c>
      <c r="U5981" s="9">
        <v>45473</v>
      </c>
      <c r="V5981">
        <f>SUM(POTABLE_NONPOTABLE_API[[#This Row],[RESIDENTIAL_SINGLEFAMILY_GAL]:[OTHER_GAL]])</f>
        <v>152596023.29999998</v>
      </c>
      <c r="W5981">
        <f>SUM(POTABLE_NONPOTABLE_API[[#This Row],[NONPOTABLE_DEMAND_RESIDENTIAL_RECYCLED_WATER_GAL]:[NONPOTABLE_DEMAND_NONRESIDENTIAL_METERED_IRRIGATION_GAL]])</f>
        <v>3356049</v>
      </c>
      <c r="X5981" t="str">
        <f>IFERROR(INDEX(Crosswalk_API!$H$2:$H$527, MATCH(POTABLE_NONPOTABLE_API[[#This Row],[PWSID]], CW_PWSID_LIST, 0)), "")</f>
        <v>No</v>
      </c>
    </row>
    <row r="5982" spans="1:24" x14ac:dyDescent="0.25">
      <c r="A5982" t="s">
        <v>2469</v>
      </c>
      <c r="B5982" t="s">
        <v>2470</v>
      </c>
      <c r="C5982" t="s">
        <v>2471</v>
      </c>
      <c r="D5982" t="s">
        <v>2472</v>
      </c>
      <c r="E5982" s="9">
        <v>45231</v>
      </c>
      <c r="F5982" s="9">
        <v>45260</v>
      </c>
      <c r="G5982">
        <v>137443951.80000001</v>
      </c>
      <c r="H5982">
        <v>9612604.5</v>
      </c>
      <c r="I5982">
        <v>21832017</v>
      </c>
      <c r="J5982">
        <v>4073137.5</v>
      </c>
      <c r="K5982">
        <v>0</v>
      </c>
      <c r="L5982">
        <v>2118031.5</v>
      </c>
      <c r="M5982">
        <v>260289778.79999998</v>
      </c>
      <c r="N5982">
        <v>0</v>
      </c>
      <c r="O5982">
        <v>0</v>
      </c>
      <c r="P5982">
        <v>0</v>
      </c>
      <c r="Q5982">
        <v>0</v>
      </c>
      <c r="R5982">
        <v>0</v>
      </c>
      <c r="S5982">
        <v>3519190.8000000003</v>
      </c>
      <c r="T5982" s="9">
        <v>45108</v>
      </c>
      <c r="U5982" s="9">
        <v>45473</v>
      </c>
      <c r="V5982">
        <f>SUM(POTABLE_NONPOTABLE_API[[#This Row],[RESIDENTIAL_SINGLEFAMILY_GAL]:[OTHER_GAL]])</f>
        <v>175079742.30000001</v>
      </c>
      <c r="W5982">
        <f>SUM(POTABLE_NONPOTABLE_API[[#This Row],[NONPOTABLE_DEMAND_RESIDENTIAL_RECYCLED_WATER_GAL]:[NONPOTABLE_DEMAND_NONRESIDENTIAL_METERED_IRRIGATION_GAL]])</f>
        <v>3519190.8000000003</v>
      </c>
      <c r="X5982" t="str">
        <f>IFERROR(INDEX(Crosswalk_API!$H$2:$H$527, MATCH(POTABLE_NONPOTABLE_API[[#This Row],[PWSID]], CW_PWSID_LIST, 0)), "")</f>
        <v>No</v>
      </c>
    </row>
    <row r="5983" spans="1:24" x14ac:dyDescent="0.25">
      <c r="A5983" t="s">
        <v>2469</v>
      </c>
      <c r="B5983" t="s">
        <v>2470</v>
      </c>
      <c r="C5983" t="s">
        <v>2471</v>
      </c>
      <c r="D5983" t="s">
        <v>2472</v>
      </c>
      <c r="E5983" s="9">
        <v>45261</v>
      </c>
      <c r="F5983" s="9">
        <v>45291</v>
      </c>
      <c r="G5983">
        <v>90162971.700000003</v>
      </c>
      <c r="H5983">
        <v>7494573</v>
      </c>
      <c r="I5983">
        <v>13457646.299999999</v>
      </c>
      <c r="J5983">
        <v>2215786.7999999998</v>
      </c>
      <c r="K5983">
        <v>0</v>
      </c>
      <c r="L5983">
        <v>1661840.0999999999</v>
      </c>
      <c r="M5983">
        <v>168660477.59999999</v>
      </c>
      <c r="N5983">
        <v>0</v>
      </c>
      <c r="O5983">
        <v>0</v>
      </c>
      <c r="P5983">
        <v>0</v>
      </c>
      <c r="Q5983">
        <v>0</v>
      </c>
      <c r="R5983">
        <v>0</v>
      </c>
      <c r="S5983">
        <v>3877626.9</v>
      </c>
      <c r="T5983" s="9">
        <v>45108</v>
      </c>
      <c r="U5983" s="9">
        <v>45473</v>
      </c>
      <c r="V5983">
        <f>SUM(POTABLE_NONPOTABLE_API[[#This Row],[RESIDENTIAL_SINGLEFAMILY_GAL]:[OTHER_GAL]])</f>
        <v>114992817.89999999</v>
      </c>
      <c r="W5983">
        <f>SUM(POTABLE_NONPOTABLE_API[[#This Row],[NONPOTABLE_DEMAND_RESIDENTIAL_RECYCLED_WATER_GAL]:[NONPOTABLE_DEMAND_NONRESIDENTIAL_METERED_IRRIGATION_GAL]])</f>
        <v>3877626.9</v>
      </c>
      <c r="X5983" t="str">
        <f>IFERROR(INDEX(Crosswalk_API!$H$2:$H$527, MATCH(POTABLE_NONPOTABLE_API[[#This Row],[PWSID]], CW_PWSID_LIST, 0)), "")</f>
        <v>No</v>
      </c>
    </row>
    <row r="5984" spans="1:24" x14ac:dyDescent="0.25">
      <c r="A5984" t="s">
        <v>2469</v>
      </c>
      <c r="B5984" t="s">
        <v>2470</v>
      </c>
      <c r="C5984" t="s">
        <v>2471</v>
      </c>
      <c r="D5984" t="s">
        <v>2472</v>
      </c>
      <c r="E5984" s="9">
        <v>45292</v>
      </c>
      <c r="F5984" s="9">
        <v>45322</v>
      </c>
      <c r="G5984">
        <v>72273751.799999997</v>
      </c>
      <c r="H5984">
        <v>6191169</v>
      </c>
      <c r="I5984">
        <v>9449679</v>
      </c>
      <c r="J5984">
        <v>1368574.2</v>
      </c>
      <c r="K5984">
        <v>0</v>
      </c>
      <c r="L5984">
        <v>391021.2</v>
      </c>
      <c r="M5984">
        <v>91955152.200000003</v>
      </c>
      <c r="N5984">
        <v>0</v>
      </c>
      <c r="O5984">
        <v>0</v>
      </c>
      <c r="P5984">
        <v>0</v>
      </c>
      <c r="Q5984">
        <v>0</v>
      </c>
      <c r="R5984">
        <v>0</v>
      </c>
      <c r="S5984">
        <v>3747286.5</v>
      </c>
      <c r="T5984" s="9">
        <v>45108</v>
      </c>
      <c r="U5984" s="9">
        <v>45473</v>
      </c>
      <c r="V5984">
        <f>SUM(POTABLE_NONPOTABLE_API[[#This Row],[RESIDENTIAL_SINGLEFAMILY_GAL]:[OTHER_GAL]])</f>
        <v>89674195.200000003</v>
      </c>
      <c r="W5984">
        <f>SUM(POTABLE_NONPOTABLE_API[[#This Row],[NONPOTABLE_DEMAND_RESIDENTIAL_RECYCLED_WATER_GAL]:[NONPOTABLE_DEMAND_NONRESIDENTIAL_METERED_IRRIGATION_GAL]])</f>
        <v>3747286.5</v>
      </c>
      <c r="X5984" t="str">
        <f>IFERROR(INDEX(Crosswalk_API!$H$2:$H$527, MATCH(POTABLE_NONPOTABLE_API[[#This Row],[PWSID]], CW_PWSID_LIST, 0)), "")</f>
        <v>No</v>
      </c>
    </row>
    <row r="5985" spans="1:24" x14ac:dyDescent="0.25">
      <c r="A5985" t="s">
        <v>2469</v>
      </c>
      <c r="B5985" t="s">
        <v>2470</v>
      </c>
      <c r="C5985" t="s">
        <v>2471</v>
      </c>
      <c r="D5985" t="s">
        <v>2472</v>
      </c>
      <c r="E5985" s="9">
        <v>45323</v>
      </c>
      <c r="F5985" s="9">
        <v>45351</v>
      </c>
      <c r="G5985">
        <v>54612627.600000001</v>
      </c>
      <c r="H5985">
        <v>5572052.1000000006</v>
      </c>
      <c r="I5985">
        <v>5767562.7000000002</v>
      </c>
      <c r="J5985">
        <v>423606.3</v>
      </c>
      <c r="K5985">
        <v>0</v>
      </c>
      <c r="L5985">
        <v>97755.3</v>
      </c>
      <c r="M5985">
        <v>24471410.099999998</v>
      </c>
      <c r="N5985">
        <v>0</v>
      </c>
      <c r="O5985">
        <v>0</v>
      </c>
      <c r="P5985">
        <v>0</v>
      </c>
      <c r="Q5985">
        <v>0</v>
      </c>
      <c r="R5985">
        <v>0</v>
      </c>
      <c r="S5985">
        <v>3975382.1999999997</v>
      </c>
      <c r="T5985" s="9">
        <v>45108</v>
      </c>
      <c r="U5985" s="9">
        <v>45473</v>
      </c>
      <c r="V5985">
        <f>SUM(POTABLE_NONPOTABLE_API[[#This Row],[RESIDENTIAL_SINGLEFAMILY_GAL]:[OTHER_GAL]])</f>
        <v>66473604</v>
      </c>
      <c r="W5985">
        <f>SUM(POTABLE_NONPOTABLE_API[[#This Row],[NONPOTABLE_DEMAND_RESIDENTIAL_RECYCLED_WATER_GAL]:[NONPOTABLE_DEMAND_NONRESIDENTIAL_METERED_IRRIGATION_GAL]])</f>
        <v>3975382.1999999997</v>
      </c>
      <c r="X5985" t="str">
        <f>IFERROR(INDEX(Crosswalk_API!$H$2:$H$527, MATCH(POTABLE_NONPOTABLE_API[[#This Row],[PWSID]], CW_PWSID_LIST, 0)), "")</f>
        <v>No</v>
      </c>
    </row>
    <row r="5986" spans="1:24" x14ac:dyDescent="0.25">
      <c r="A5986" t="s">
        <v>2469</v>
      </c>
      <c r="B5986" t="s">
        <v>2470</v>
      </c>
      <c r="C5986" t="s">
        <v>2471</v>
      </c>
      <c r="D5986" t="s">
        <v>2472</v>
      </c>
      <c r="E5986" s="9">
        <v>45352</v>
      </c>
      <c r="F5986" s="9">
        <v>45382</v>
      </c>
      <c r="G5986">
        <v>47378735.399999999</v>
      </c>
      <c r="H5986">
        <v>4627084.2</v>
      </c>
      <c r="I5986">
        <v>5572052.1000000006</v>
      </c>
      <c r="J5986">
        <v>260680.80000000002</v>
      </c>
      <c r="K5986">
        <v>0</v>
      </c>
      <c r="L5986">
        <v>130340.40000000001</v>
      </c>
      <c r="M5986">
        <v>66278093.399999999</v>
      </c>
      <c r="N5986">
        <v>0</v>
      </c>
      <c r="O5986">
        <v>0</v>
      </c>
      <c r="P5986">
        <v>0</v>
      </c>
      <c r="Q5986">
        <v>0</v>
      </c>
      <c r="R5986">
        <v>0</v>
      </c>
      <c r="S5986">
        <v>3975382.1999999997</v>
      </c>
      <c r="T5986" s="9">
        <v>45108</v>
      </c>
      <c r="U5986" s="9">
        <v>45473</v>
      </c>
      <c r="V5986">
        <f>SUM(POTABLE_NONPOTABLE_API[[#This Row],[RESIDENTIAL_SINGLEFAMILY_GAL]:[OTHER_GAL]])</f>
        <v>57968892.899999999</v>
      </c>
      <c r="W5986">
        <f>SUM(POTABLE_NONPOTABLE_API[[#This Row],[NONPOTABLE_DEMAND_RESIDENTIAL_RECYCLED_WATER_GAL]:[NONPOTABLE_DEMAND_NONRESIDENTIAL_METERED_IRRIGATION_GAL]])</f>
        <v>3975382.1999999997</v>
      </c>
      <c r="X5986" t="str">
        <f>IFERROR(INDEX(Crosswalk_API!$H$2:$H$527, MATCH(POTABLE_NONPOTABLE_API[[#This Row],[PWSID]], CW_PWSID_LIST, 0)), "")</f>
        <v>No</v>
      </c>
    </row>
    <row r="5987" spans="1:24" x14ac:dyDescent="0.25">
      <c r="A5987" t="s">
        <v>2469</v>
      </c>
      <c r="B5987" t="s">
        <v>2470</v>
      </c>
      <c r="C5987" t="s">
        <v>2471</v>
      </c>
      <c r="D5987" t="s">
        <v>2472</v>
      </c>
      <c r="E5987" s="9">
        <v>45383</v>
      </c>
      <c r="F5987" s="9">
        <v>45412</v>
      </c>
      <c r="G5987">
        <v>52429425.899999999</v>
      </c>
      <c r="H5987">
        <v>5767562.7000000002</v>
      </c>
      <c r="I5987">
        <v>7820424</v>
      </c>
      <c r="J5987">
        <v>651702</v>
      </c>
      <c r="K5987">
        <v>0</v>
      </c>
      <c r="L5987">
        <v>619116.9</v>
      </c>
      <c r="M5987">
        <v>35973950.399999999</v>
      </c>
      <c r="N5987">
        <v>0</v>
      </c>
      <c r="O5987">
        <v>0</v>
      </c>
      <c r="P5987">
        <v>0</v>
      </c>
      <c r="Q5987">
        <v>0</v>
      </c>
      <c r="R5987">
        <v>0</v>
      </c>
      <c r="S5987">
        <v>3877626.9</v>
      </c>
      <c r="T5987" s="9">
        <v>45108</v>
      </c>
      <c r="U5987" s="9">
        <v>45473</v>
      </c>
      <c r="V5987">
        <f>SUM(POTABLE_NONPOTABLE_API[[#This Row],[RESIDENTIAL_SINGLEFAMILY_GAL]:[OTHER_GAL]])</f>
        <v>67288231.5</v>
      </c>
      <c r="W5987">
        <f>SUM(POTABLE_NONPOTABLE_API[[#This Row],[NONPOTABLE_DEMAND_RESIDENTIAL_RECYCLED_WATER_GAL]:[NONPOTABLE_DEMAND_NONRESIDENTIAL_METERED_IRRIGATION_GAL]])</f>
        <v>3877626.9</v>
      </c>
      <c r="X5987" t="str">
        <f>IFERROR(INDEX(Crosswalk_API!$H$2:$H$527, MATCH(POTABLE_NONPOTABLE_API[[#This Row],[PWSID]], CW_PWSID_LIST, 0)), "")</f>
        <v>No</v>
      </c>
    </row>
    <row r="5988" spans="1:24" x14ac:dyDescent="0.25">
      <c r="A5988" t="s">
        <v>2469</v>
      </c>
      <c r="B5988" t="s">
        <v>2470</v>
      </c>
      <c r="C5988" t="s">
        <v>2471</v>
      </c>
      <c r="D5988" t="s">
        <v>2472</v>
      </c>
      <c r="E5988" s="9">
        <v>45413</v>
      </c>
      <c r="F5988" s="9">
        <v>45443</v>
      </c>
      <c r="G5988">
        <v>84004387.799999997</v>
      </c>
      <c r="H5988">
        <v>6875456.1000000006</v>
      </c>
      <c r="I5988">
        <v>14435199.299999999</v>
      </c>
      <c r="J5988">
        <v>2085446.4000000001</v>
      </c>
      <c r="K5988">
        <v>0</v>
      </c>
      <c r="L5988">
        <v>1401159.3</v>
      </c>
      <c r="M5988">
        <v>163805297.69999999</v>
      </c>
      <c r="N5988">
        <v>0</v>
      </c>
      <c r="O5988">
        <v>0</v>
      </c>
      <c r="P5988">
        <v>0</v>
      </c>
      <c r="Q5988">
        <v>0</v>
      </c>
      <c r="R5988">
        <v>0</v>
      </c>
      <c r="S5988">
        <v>3910212</v>
      </c>
      <c r="T5988" s="9">
        <v>45108</v>
      </c>
      <c r="U5988" s="9">
        <v>45473</v>
      </c>
      <c r="V5988">
        <f>SUM(POTABLE_NONPOTABLE_API[[#This Row],[RESIDENTIAL_SINGLEFAMILY_GAL]:[OTHER_GAL]])</f>
        <v>108801648.89999999</v>
      </c>
      <c r="W5988">
        <f>SUM(POTABLE_NONPOTABLE_API[[#This Row],[NONPOTABLE_DEMAND_RESIDENTIAL_RECYCLED_WATER_GAL]:[NONPOTABLE_DEMAND_NONRESIDENTIAL_METERED_IRRIGATION_GAL]])</f>
        <v>3910212</v>
      </c>
      <c r="X5988" t="str">
        <f>IFERROR(INDEX(Crosswalk_API!$H$2:$H$527, MATCH(POTABLE_NONPOTABLE_API[[#This Row],[PWSID]], CW_PWSID_LIST, 0)), "")</f>
        <v>No</v>
      </c>
    </row>
    <row r="5989" spans="1:24" x14ac:dyDescent="0.25">
      <c r="A5989" t="s">
        <v>2469</v>
      </c>
      <c r="B5989" t="s">
        <v>2470</v>
      </c>
      <c r="C5989" t="s">
        <v>2471</v>
      </c>
      <c r="D5989" t="s">
        <v>2472</v>
      </c>
      <c r="E5989" s="9">
        <v>45444</v>
      </c>
      <c r="F5989" s="9">
        <v>45473</v>
      </c>
      <c r="G5989">
        <v>123562699.2</v>
      </c>
      <c r="H5989">
        <v>7918179.2999999998</v>
      </c>
      <c r="I5989">
        <v>23298346.5</v>
      </c>
      <c r="J5989">
        <v>2834903.6999999997</v>
      </c>
      <c r="K5989">
        <v>0</v>
      </c>
      <c r="L5989">
        <v>2509052.7000000002</v>
      </c>
      <c r="M5989">
        <v>228291210.59999999</v>
      </c>
      <c r="N5989">
        <v>0</v>
      </c>
      <c r="O5989">
        <v>0</v>
      </c>
      <c r="P5989">
        <v>0</v>
      </c>
      <c r="Q5989">
        <v>0</v>
      </c>
      <c r="R5989">
        <v>0</v>
      </c>
      <c r="S5989">
        <v>4073137.5</v>
      </c>
      <c r="T5989" s="9">
        <v>45108</v>
      </c>
      <c r="U5989" s="9">
        <v>45473</v>
      </c>
      <c r="V5989">
        <f>SUM(POTABLE_NONPOTABLE_API[[#This Row],[RESIDENTIAL_SINGLEFAMILY_GAL]:[OTHER_GAL]])</f>
        <v>160123181.39999998</v>
      </c>
      <c r="W5989">
        <f>SUM(POTABLE_NONPOTABLE_API[[#This Row],[NONPOTABLE_DEMAND_RESIDENTIAL_RECYCLED_WATER_GAL]:[NONPOTABLE_DEMAND_NONRESIDENTIAL_METERED_IRRIGATION_GAL]])</f>
        <v>4073137.5</v>
      </c>
      <c r="X5989" t="str">
        <f>IFERROR(INDEX(Crosswalk_API!$H$2:$H$527, MATCH(POTABLE_NONPOTABLE_API[[#This Row],[PWSID]], CW_PWSID_LIST, 0)), "")</f>
        <v>No</v>
      </c>
    </row>
    <row r="5990" spans="1:24" x14ac:dyDescent="0.25">
      <c r="A5990" t="s">
        <v>2473</v>
      </c>
      <c r="B5990" t="s">
        <v>2474</v>
      </c>
      <c r="C5990" t="s">
        <v>2475</v>
      </c>
      <c r="D5990" t="s">
        <v>2476</v>
      </c>
      <c r="E5990" s="9">
        <v>45108</v>
      </c>
      <c r="F5990" s="9">
        <v>45138</v>
      </c>
      <c r="G5990">
        <v>97764411.983999997</v>
      </c>
      <c r="H5990">
        <v>9764322.756000001</v>
      </c>
      <c r="I5990">
        <v>57549884.516000003</v>
      </c>
      <c r="J5990">
        <v>324654.56800000003</v>
      </c>
      <c r="K5990">
        <v>2835865.1320000002</v>
      </c>
      <c r="L5990">
        <v>0</v>
      </c>
      <c r="M5990">
        <v>0</v>
      </c>
      <c r="T5990" s="9">
        <v>45108</v>
      </c>
      <c r="U5990" s="9">
        <v>45473</v>
      </c>
      <c r="V5990">
        <f>SUM(POTABLE_NONPOTABLE_API[[#This Row],[RESIDENTIAL_SINGLEFAMILY_GAL]:[OTHER_GAL]])</f>
        <v>168239138.95599997</v>
      </c>
      <c r="W5990">
        <f>SUM(POTABLE_NONPOTABLE_API[[#This Row],[NONPOTABLE_DEMAND_RESIDENTIAL_RECYCLED_WATER_GAL]:[NONPOTABLE_DEMAND_NONRESIDENTIAL_METERED_IRRIGATION_GAL]])</f>
        <v>0</v>
      </c>
      <c r="X5990" t="str">
        <f>IFERROR(INDEX(Crosswalk_API!$H$2:$H$527, MATCH(POTABLE_NONPOTABLE_API[[#This Row],[PWSID]], CW_PWSID_LIST, 0)), "")</f>
        <v>No</v>
      </c>
    </row>
    <row r="5991" spans="1:24" x14ac:dyDescent="0.25">
      <c r="A5991" t="s">
        <v>2473</v>
      </c>
      <c r="B5991" t="s">
        <v>2474</v>
      </c>
      <c r="C5991" t="s">
        <v>2475</v>
      </c>
      <c r="D5991" t="s">
        <v>2476</v>
      </c>
      <c r="E5991" s="9">
        <v>45139</v>
      </c>
      <c r="F5991" s="9">
        <v>45169</v>
      </c>
      <c r="G5991">
        <v>90914499.820000008</v>
      </c>
      <c r="H5991">
        <v>18117071.388</v>
      </c>
      <c r="I5991">
        <v>66406072.144000001</v>
      </c>
      <c r="J5991">
        <v>288748.07199999999</v>
      </c>
      <c r="K5991">
        <v>4201060.0319999997</v>
      </c>
      <c r="L5991">
        <v>0</v>
      </c>
      <c r="M5991">
        <v>0</v>
      </c>
      <c r="T5991" s="9">
        <v>45108</v>
      </c>
      <c r="U5991" s="9">
        <v>45473</v>
      </c>
      <c r="V5991">
        <f>SUM(POTABLE_NONPOTABLE_API[[#This Row],[RESIDENTIAL_SINGLEFAMILY_GAL]:[OTHER_GAL]])</f>
        <v>179927451.456</v>
      </c>
      <c r="W5991">
        <f>SUM(POTABLE_NONPOTABLE_API[[#This Row],[NONPOTABLE_DEMAND_RESIDENTIAL_RECYCLED_WATER_GAL]:[NONPOTABLE_DEMAND_NONRESIDENTIAL_METERED_IRRIGATION_GAL]])</f>
        <v>0</v>
      </c>
      <c r="X5991" t="str">
        <f>IFERROR(INDEX(Crosswalk_API!$H$2:$H$527, MATCH(POTABLE_NONPOTABLE_API[[#This Row],[PWSID]], CW_PWSID_LIST, 0)), "")</f>
        <v>No</v>
      </c>
    </row>
    <row r="5992" spans="1:24" x14ac:dyDescent="0.25">
      <c r="A5992" t="s">
        <v>2473</v>
      </c>
      <c r="B5992" t="s">
        <v>2474</v>
      </c>
      <c r="C5992" t="s">
        <v>2475</v>
      </c>
      <c r="D5992" t="s">
        <v>2476</v>
      </c>
      <c r="E5992" s="9">
        <v>45170</v>
      </c>
      <c r="F5992" s="9">
        <v>45199</v>
      </c>
      <c r="G5992">
        <v>105293555.36400001</v>
      </c>
      <c r="H5992">
        <v>10082244.856000001</v>
      </c>
      <c r="I5992">
        <v>66229531.872000001</v>
      </c>
      <c r="J5992">
        <v>338867.55599999998</v>
      </c>
      <c r="K5992">
        <v>3864436.6320000002</v>
      </c>
      <c r="L5992">
        <v>0</v>
      </c>
      <c r="M5992">
        <v>0</v>
      </c>
      <c r="T5992" s="9">
        <v>45108</v>
      </c>
      <c r="U5992" s="9">
        <v>45473</v>
      </c>
      <c r="V5992">
        <f>SUM(POTABLE_NONPOTABLE_API[[#This Row],[RESIDENTIAL_SINGLEFAMILY_GAL]:[OTHER_GAL]])</f>
        <v>185808636.28</v>
      </c>
      <c r="W5992">
        <f>SUM(POTABLE_NONPOTABLE_API[[#This Row],[NONPOTABLE_DEMAND_RESIDENTIAL_RECYCLED_WATER_GAL]:[NONPOTABLE_DEMAND_NONRESIDENTIAL_METERED_IRRIGATION_GAL]])</f>
        <v>0</v>
      </c>
      <c r="X5992" t="str">
        <f>IFERROR(INDEX(Crosswalk_API!$H$2:$H$527, MATCH(POTABLE_NONPOTABLE_API[[#This Row],[PWSID]], CW_PWSID_LIST, 0)), "")</f>
        <v>No</v>
      </c>
    </row>
    <row r="5993" spans="1:24" x14ac:dyDescent="0.25">
      <c r="A5993" t="s">
        <v>2473</v>
      </c>
      <c r="B5993" t="s">
        <v>2474</v>
      </c>
      <c r="C5993" t="s">
        <v>2475</v>
      </c>
      <c r="D5993" t="s">
        <v>2476</v>
      </c>
      <c r="E5993" s="9">
        <v>45200</v>
      </c>
      <c r="F5993" s="9">
        <v>45230</v>
      </c>
      <c r="G5993">
        <v>84955517.588</v>
      </c>
      <c r="H5993">
        <v>18467159.723999999</v>
      </c>
      <c r="I5993">
        <v>57780284.532000005</v>
      </c>
      <c r="J5993">
        <v>371781.84399999998</v>
      </c>
      <c r="K5993">
        <v>3511356.088</v>
      </c>
      <c r="L5993">
        <v>0</v>
      </c>
      <c r="M5993">
        <v>0</v>
      </c>
      <c r="T5993" s="9">
        <v>45108</v>
      </c>
      <c r="U5993" s="9">
        <v>45473</v>
      </c>
      <c r="V5993">
        <f>SUM(POTABLE_NONPOTABLE_API[[#This Row],[RESIDENTIAL_SINGLEFAMILY_GAL]:[OTHER_GAL]])</f>
        <v>165086099.77600002</v>
      </c>
      <c r="W5993">
        <f>SUM(POTABLE_NONPOTABLE_API[[#This Row],[NONPOTABLE_DEMAND_RESIDENTIAL_RECYCLED_WATER_GAL]:[NONPOTABLE_DEMAND_NONRESIDENTIAL_METERED_IRRIGATION_GAL]])</f>
        <v>0</v>
      </c>
      <c r="X5993" t="str">
        <f>IFERROR(INDEX(Crosswalk_API!$H$2:$H$527, MATCH(POTABLE_NONPOTABLE_API[[#This Row],[PWSID]], CW_PWSID_LIST, 0)), "")</f>
        <v>No</v>
      </c>
    </row>
    <row r="5994" spans="1:24" x14ac:dyDescent="0.25">
      <c r="A5994" t="s">
        <v>2473</v>
      </c>
      <c r="B5994" t="s">
        <v>2474</v>
      </c>
      <c r="C5994" t="s">
        <v>2475</v>
      </c>
      <c r="D5994" t="s">
        <v>2476</v>
      </c>
      <c r="E5994" s="9">
        <v>45231</v>
      </c>
      <c r="F5994" s="9">
        <v>45260</v>
      </c>
      <c r="G5994">
        <v>85833730.636000007</v>
      </c>
      <c r="H5994">
        <v>8711065.540000001</v>
      </c>
      <c r="I5994">
        <v>48725115.072000004</v>
      </c>
      <c r="J5994">
        <v>325402.62</v>
      </c>
      <c r="K5994">
        <v>3540530.1159999999</v>
      </c>
      <c r="L5994">
        <v>0</v>
      </c>
      <c r="M5994">
        <v>0</v>
      </c>
      <c r="T5994" s="9">
        <v>45108</v>
      </c>
      <c r="U5994" s="9">
        <v>45473</v>
      </c>
      <c r="V5994">
        <f>SUM(POTABLE_NONPOTABLE_API[[#This Row],[RESIDENTIAL_SINGLEFAMILY_GAL]:[OTHER_GAL]])</f>
        <v>147135843.98400003</v>
      </c>
      <c r="W5994">
        <f>SUM(POTABLE_NONPOTABLE_API[[#This Row],[NONPOTABLE_DEMAND_RESIDENTIAL_RECYCLED_WATER_GAL]:[NONPOTABLE_DEMAND_NONRESIDENTIAL_METERED_IRRIGATION_GAL]])</f>
        <v>0</v>
      </c>
      <c r="X5994" t="str">
        <f>IFERROR(INDEX(Crosswalk_API!$H$2:$H$527, MATCH(POTABLE_NONPOTABLE_API[[#This Row],[PWSID]], CW_PWSID_LIST, 0)), "")</f>
        <v>No</v>
      </c>
    </row>
    <row r="5995" spans="1:24" x14ac:dyDescent="0.25">
      <c r="A5995" t="s">
        <v>2473</v>
      </c>
      <c r="B5995" t="s">
        <v>2474</v>
      </c>
      <c r="C5995" t="s">
        <v>2475</v>
      </c>
      <c r="D5995" t="s">
        <v>2476</v>
      </c>
      <c r="E5995" s="9">
        <v>45261</v>
      </c>
      <c r="F5995" s="9">
        <v>45291</v>
      </c>
      <c r="G5995">
        <v>79113231.46800001</v>
      </c>
      <c r="H5995">
        <v>17389216.791999999</v>
      </c>
      <c r="I5995">
        <v>31863274.940000001</v>
      </c>
      <c r="J5995">
        <v>263314.304</v>
      </c>
      <c r="K5995">
        <v>2579283.2960000001</v>
      </c>
      <c r="L5995">
        <v>0</v>
      </c>
      <c r="M5995">
        <v>0</v>
      </c>
      <c r="T5995" s="9">
        <v>45108</v>
      </c>
      <c r="U5995" s="9">
        <v>45473</v>
      </c>
      <c r="V5995">
        <f>SUM(POTABLE_NONPOTABLE_API[[#This Row],[RESIDENTIAL_SINGLEFAMILY_GAL]:[OTHER_GAL]])</f>
        <v>131208320.80000001</v>
      </c>
      <c r="W5995">
        <f>SUM(POTABLE_NONPOTABLE_API[[#This Row],[NONPOTABLE_DEMAND_RESIDENTIAL_RECYCLED_WATER_GAL]:[NONPOTABLE_DEMAND_NONRESIDENTIAL_METERED_IRRIGATION_GAL]])</f>
        <v>0</v>
      </c>
      <c r="X5995" t="str">
        <f>IFERROR(INDEX(Crosswalk_API!$H$2:$H$527, MATCH(POTABLE_NONPOTABLE_API[[#This Row],[PWSID]], CW_PWSID_LIST, 0)), "")</f>
        <v>No</v>
      </c>
    </row>
    <row r="5996" spans="1:24" x14ac:dyDescent="0.25">
      <c r="A5996" t="s">
        <v>2473</v>
      </c>
      <c r="B5996" t="s">
        <v>2474</v>
      </c>
      <c r="C5996" t="s">
        <v>2475</v>
      </c>
      <c r="D5996" t="s">
        <v>2476</v>
      </c>
      <c r="E5996" s="9">
        <v>45292</v>
      </c>
      <c r="F5996" s="9">
        <v>45322</v>
      </c>
      <c r="G5996">
        <v>78628493.772</v>
      </c>
      <c r="H5996">
        <v>8906307.1119999997</v>
      </c>
      <c r="I5996">
        <v>40267639.160000004</v>
      </c>
      <c r="J5996">
        <v>291740.28000000003</v>
      </c>
      <c r="K5996">
        <v>3458244.3960000002</v>
      </c>
      <c r="L5996">
        <v>0</v>
      </c>
      <c r="M5996">
        <v>0</v>
      </c>
      <c r="T5996" s="9">
        <v>45108</v>
      </c>
      <c r="U5996" s="9">
        <v>45473</v>
      </c>
      <c r="V5996">
        <f>SUM(POTABLE_NONPOTABLE_API[[#This Row],[RESIDENTIAL_SINGLEFAMILY_GAL]:[OTHER_GAL]])</f>
        <v>131552424.72</v>
      </c>
      <c r="W5996">
        <f>SUM(POTABLE_NONPOTABLE_API[[#This Row],[NONPOTABLE_DEMAND_RESIDENTIAL_RECYCLED_WATER_GAL]:[NONPOTABLE_DEMAND_NONRESIDENTIAL_METERED_IRRIGATION_GAL]])</f>
        <v>0</v>
      </c>
      <c r="X5996" t="str">
        <f>IFERROR(INDEX(Crosswalk_API!$H$2:$H$527, MATCH(POTABLE_NONPOTABLE_API[[#This Row],[PWSID]], CW_PWSID_LIST, 0)), "")</f>
        <v>No</v>
      </c>
    </row>
    <row r="5997" spans="1:24" x14ac:dyDescent="0.25">
      <c r="A5997" t="s">
        <v>2473</v>
      </c>
      <c r="B5997" t="s">
        <v>2474</v>
      </c>
      <c r="C5997" t="s">
        <v>2475</v>
      </c>
      <c r="D5997" t="s">
        <v>2476</v>
      </c>
      <c r="E5997" s="9">
        <v>45323</v>
      </c>
      <c r="F5997" s="9">
        <v>45351</v>
      </c>
      <c r="G5997">
        <v>77902883.332000002</v>
      </c>
      <c r="H5997">
        <v>14827138.692</v>
      </c>
      <c r="I5997">
        <v>26724905.752</v>
      </c>
      <c r="J5997">
        <v>311937.68400000001</v>
      </c>
      <c r="K5997">
        <v>2412467.7000000002</v>
      </c>
      <c r="L5997">
        <v>0</v>
      </c>
      <c r="M5997">
        <v>0</v>
      </c>
      <c r="T5997" s="9">
        <v>45108</v>
      </c>
      <c r="U5997" s="9">
        <v>45473</v>
      </c>
      <c r="V5997">
        <f>SUM(POTABLE_NONPOTABLE_API[[#This Row],[RESIDENTIAL_SINGLEFAMILY_GAL]:[OTHER_GAL]])</f>
        <v>122179333.16000001</v>
      </c>
      <c r="W5997">
        <f>SUM(POTABLE_NONPOTABLE_API[[#This Row],[NONPOTABLE_DEMAND_RESIDENTIAL_RECYCLED_WATER_GAL]:[NONPOTABLE_DEMAND_NONRESIDENTIAL_METERED_IRRIGATION_GAL]])</f>
        <v>0</v>
      </c>
      <c r="X5997" t="str">
        <f>IFERROR(INDEX(Crosswalk_API!$H$2:$H$527, MATCH(POTABLE_NONPOTABLE_API[[#This Row],[PWSID]], CW_PWSID_LIST, 0)), "")</f>
        <v>No</v>
      </c>
    </row>
    <row r="5998" spans="1:24" x14ac:dyDescent="0.25">
      <c r="A5998" t="s">
        <v>2473</v>
      </c>
      <c r="B5998" t="s">
        <v>2474</v>
      </c>
      <c r="C5998" t="s">
        <v>2475</v>
      </c>
      <c r="D5998" t="s">
        <v>2476</v>
      </c>
      <c r="E5998" s="9">
        <v>45352</v>
      </c>
      <c r="F5998" s="9">
        <v>45382</v>
      </c>
      <c r="G5998">
        <v>65972201.984000005</v>
      </c>
      <c r="H5998">
        <v>12386993.068</v>
      </c>
      <c r="I5998">
        <v>27789383.748</v>
      </c>
      <c r="J5998">
        <v>141381.82800000001</v>
      </c>
      <c r="K5998">
        <v>2688498.8880000003</v>
      </c>
      <c r="L5998">
        <v>0</v>
      </c>
      <c r="M5998">
        <v>0</v>
      </c>
      <c r="T5998" s="9">
        <v>45108</v>
      </c>
      <c r="U5998" s="9">
        <v>45473</v>
      </c>
      <c r="V5998">
        <f>SUM(POTABLE_NONPOTABLE_API[[#This Row],[RESIDENTIAL_SINGLEFAMILY_GAL]:[OTHER_GAL]])</f>
        <v>108978459.51599999</v>
      </c>
      <c r="W5998">
        <f>SUM(POTABLE_NONPOTABLE_API[[#This Row],[NONPOTABLE_DEMAND_RESIDENTIAL_RECYCLED_WATER_GAL]:[NONPOTABLE_DEMAND_NONRESIDENTIAL_METERED_IRRIGATION_GAL]])</f>
        <v>0</v>
      </c>
      <c r="X5998" t="str">
        <f>IFERROR(INDEX(Crosswalk_API!$H$2:$H$527, MATCH(POTABLE_NONPOTABLE_API[[#This Row],[PWSID]], CW_PWSID_LIST, 0)), "")</f>
        <v>No</v>
      </c>
    </row>
    <row r="5999" spans="1:24" x14ac:dyDescent="0.25">
      <c r="A5999" t="s">
        <v>2473</v>
      </c>
      <c r="B5999" t="s">
        <v>2474</v>
      </c>
      <c r="C5999" t="s">
        <v>2475</v>
      </c>
      <c r="D5999" t="s">
        <v>2476</v>
      </c>
      <c r="E5999" s="9">
        <v>45383</v>
      </c>
      <c r="F5999" s="9">
        <v>45412</v>
      </c>
      <c r="G5999">
        <v>72596950.496000007</v>
      </c>
      <c r="H5999">
        <v>13393123.007999999</v>
      </c>
      <c r="I5999">
        <v>30701550.184</v>
      </c>
      <c r="J5999">
        <v>183272.74</v>
      </c>
      <c r="K5999">
        <v>2805943.0520000001</v>
      </c>
      <c r="L5999">
        <v>0</v>
      </c>
      <c r="M5999">
        <v>0</v>
      </c>
      <c r="T5999" s="9">
        <v>45108</v>
      </c>
      <c r="U5999" s="9">
        <v>45473</v>
      </c>
      <c r="V5999">
        <f>SUM(POTABLE_NONPOTABLE_API[[#This Row],[RESIDENTIAL_SINGLEFAMILY_GAL]:[OTHER_GAL]])</f>
        <v>119680839.48</v>
      </c>
      <c r="W5999">
        <f>SUM(POTABLE_NONPOTABLE_API[[#This Row],[NONPOTABLE_DEMAND_RESIDENTIAL_RECYCLED_WATER_GAL]:[NONPOTABLE_DEMAND_NONRESIDENTIAL_METERED_IRRIGATION_GAL]])</f>
        <v>0</v>
      </c>
      <c r="X5999" t="str">
        <f>IFERROR(INDEX(Crosswalk_API!$H$2:$H$527, MATCH(POTABLE_NONPOTABLE_API[[#This Row],[PWSID]], CW_PWSID_LIST, 0)), "")</f>
        <v>No</v>
      </c>
    </row>
    <row r="6000" spans="1:24" x14ac:dyDescent="0.25">
      <c r="A6000" t="s">
        <v>2473</v>
      </c>
      <c r="B6000" t="s">
        <v>2474</v>
      </c>
      <c r="C6000" t="s">
        <v>2475</v>
      </c>
      <c r="D6000" t="s">
        <v>2476</v>
      </c>
      <c r="E6000" s="9">
        <v>45413</v>
      </c>
      <c r="F6000" s="9">
        <v>45443</v>
      </c>
      <c r="G6000">
        <v>75416358.483999997</v>
      </c>
      <c r="H6000">
        <v>13075948.960000001</v>
      </c>
      <c r="I6000">
        <v>38289041.620000005</v>
      </c>
      <c r="J6000">
        <v>302213.00800000003</v>
      </c>
      <c r="K6000">
        <v>2836613.1839999999</v>
      </c>
      <c r="L6000">
        <v>0</v>
      </c>
      <c r="M6000">
        <v>0</v>
      </c>
      <c r="T6000" s="9">
        <v>45108</v>
      </c>
      <c r="U6000" s="9">
        <v>45473</v>
      </c>
      <c r="V6000">
        <f>SUM(POTABLE_NONPOTABLE_API[[#This Row],[RESIDENTIAL_SINGLEFAMILY_GAL]:[OTHER_GAL]])</f>
        <v>129920175.25600001</v>
      </c>
      <c r="W6000">
        <f>SUM(POTABLE_NONPOTABLE_API[[#This Row],[NONPOTABLE_DEMAND_RESIDENTIAL_RECYCLED_WATER_GAL]:[NONPOTABLE_DEMAND_NONRESIDENTIAL_METERED_IRRIGATION_GAL]])</f>
        <v>0</v>
      </c>
      <c r="X6000" t="str">
        <f>IFERROR(INDEX(Crosswalk_API!$H$2:$H$527, MATCH(POTABLE_NONPOTABLE_API[[#This Row],[PWSID]], CW_PWSID_LIST, 0)), "")</f>
        <v>No</v>
      </c>
    </row>
    <row r="6001" spans="1:24" x14ac:dyDescent="0.25">
      <c r="A6001" t="s">
        <v>2473</v>
      </c>
      <c r="B6001" t="s">
        <v>2474</v>
      </c>
      <c r="C6001" t="s">
        <v>2475</v>
      </c>
      <c r="D6001" t="s">
        <v>2476</v>
      </c>
      <c r="E6001" s="9">
        <v>45444</v>
      </c>
      <c r="F6001" s="9">
        <v>45473</v>
      </c>
      <c r="G6001">
        <v>85331039.692000002</v>
      </c>
      <c r="H6001">
        <v>14024478.896</v>
      </c>
      <c r="I6001">
        <v>53301697.208000004</v>
      </c>
      <c r="J6001">
        <v>302213.00800000003</v>
      </c>
      <c r="K6001">
        <v>3450763.8760000002</v>
      </c>
      <c r="L6001">
        <v>0</v>
      </c>
      <c r="M6001">
        <v>0</v>
      </c>
      <c r="T6001" s="9">
        <v>45108</v>
      </c>
      <c r="U6001" s="9">
        <v>45473</v>
      </c>
      <c r="V6001">
        <f>SUM(POTABLE_NONPOTABLE_API[[#This Row],[RESIDENTIAL_SINGLEFAMILY_GAL]:[OTHER_GAL]])</f>
        <v>156410192.67999998</v>
      </c>
      <c r="W6001">
        <f>SUM(POTABLE_NONPOTABLE_API[[#This Row],[NONPOTABLE_DEMAND_RESIDENTIAL_RECYCLED_WATER_GAL]:[NONPOTABLE_DEMAND_NONRESIDENTIAL_METERED_IRRIGATION_GAL]])</f>
        <v>0</v>
      </c>
      <c r="X6001" t="str">
        <f>IFERROR(INDEX(Crosswalk_API!$H$2:$H$527, MATCH(POTABLE_NONPOTABLE_API[[#This Row],[PWSID]], CW_PWSID_LIST, 0)), "")</f>
        <v>No</v>
      </c>
    </row>
    <row r="6002" spans="1:24" x14ac:dyDescent="0.25">
      <c r="A6002" t="s">
        <v>2477</v>
      </c>
      <c r="B6002" t="s">
        <v>2478</v>
      </c>
      <c r="C6002" t="s">
        <v>2479</v>
      </c>
      <c r="D6002" t="s">
        <v>2480</v>
      </c>
      <c r="E6002" s="9">
        <v>45108</v>
      </c>
      <c r="F6002" s="9">
        <v>45138</v>
      </c>
      <c r="G6002">
        <v>42143939.085000001</v>
      </c>
      <c r="H6002">
        <v>11838166.83</v>
      </c>
      <c r="I6002">
        <v>3761949.7949999999</v>
      </c>
      <c r="J6002">
        <v>1945982.172</v>
      </c>
      <c r="K6002">
        <v>0</v>
      </c>
      <c r="L6002">
        <v>19876.911</v>
      </c>
      <c r="M6002">
        <v>0</v>
      </c>
      <c r="T6002" s="9">
        <v>45108</v>
      </c>
      <c r="U6002" s="9">
        <v>45473</v>
      </c>
      <c r="V6002">
        <f>SUM(POTABLE_NONPOTABLE_API[[#This Row],[RESIDENTIAL_SINGLEFAMILY_GAL]:[OTHER_GAL]])</f>
        <v>59709914.792999998</v>
      </c>
      <c r="W6002">
        <f>SUM(POTABLE_NONPOTABLE_API[[#This Row],[NONPOTABLE_DEMAND_RESIDENTIAL_RECYCLED_WATER_GAL]:[NONPOTABLE_DEMAND_NONRESIDENTIAL_METERED_IRRIGATION_GAL]])</f>
        <v>0</v>
      </c>
      <c r="X6002" t="str">
        <f>IFERROR(INDEX(Crosswalk_API!$H$2:$H$527, MATCH(POTABLE_NONPOTABLE_API[[#This Row],[PWSID]], CW_PWSID_LIST, 0)), "")</f>
        <v>No</v>
      </c>
    </row>
    <row r="6003" spans="1:24" x14ac:dyDescent="0.25">
      <c r="A6003" t="s">
        <v>2477</v>
      </c>
      <c r="B6003" t="s">
        <v>2478</v>
      </c>
      <c r="C6003" t="s">
        <v>2479</v>
      </c>
      <c r="D6003" t="s">
        <v>2480</v>
      </c>
      <c r="E6003" s="9">
        <v>45139</v>
      </c>
      <c r="F6003" s="9">
        <v>45169</v>
      </c>
      <c r="G6003">
        <v>53794089.887999997</v>
      </c>
      <c r="H6003">
        <v>15142947.672</v>
      </c>
      <c r="I6003">
        <v>10084110.897</v>
      </c>
      <c r="J6003">
        <v>614880.83700000006</v>
      </c>
      <c r="K6003">
        <v>0</v>
      </c>
      <c r="L6003">
        <v>16944.252</v>
      </c>
      <c r="M6003">
        <v>0</v>
      </c>
      <c r="T6003" s="9">
        <v>45108</v>
      </c>
      <c r="U6003" s="9">
        <v>45473</v>
      </c>
      <c r="V6003">
        <f>SUM(POTABLE_NONPOTABLE_API[[#This Row],[RESIDENTIAL_SINGLEFAMILY_GAL]:[OTHER_GAL]])</f>
        <v>79652973.546000004</v>
      </c>
      <c r="W6003">
        <f>SUM(POTABLE_NONPOTABLE_API[[#This Row],[NONPOTABLE_DEMAND_RESIDENTIAL_RECYCLED_WATER_GAL]:[NONPOTABLE_DEMAND_NONRESIDENTIAL_METERED_IRRIGATION_GAL]])</f>
        <v>0</v>
      </c>
      <c r="X6003" t="str">
        <f>IFERROR(INDEX(Crosswalk_API!$H$2:$H$527, MATCH(POTABLE_NONPOTABLE_API[[#This Row],[PWSID]], CW_PWSID_LIST, 0)), "")</f>
        <v>No</v>
      </c>
    </row>
    <row r="6004" spans="1:24" x14ac:dyDescent="0.25">
      <c r="A6004" t="s">
        <v>2477</v>
      </c>
      <c r="B6004" t="s">
        <v>2478</v>
      </c>
      <c r="C6004" t="s">
        <v>2479</v>
      </c>
      <c r="D6004" t="s">
        <v>2480</v>
      </c>
      <c r="E6004" s="9">
        <v>45170</v>
      </c>
      <c r="F6004" s="9">
        <v>45199</v>
      </c>
      <c r="G6004">
        <v>50862082.590000004</v>
      </c>
      <c r="H6004">
        <v>12861013.119000001</v>
      </c>
      <c r="I6004">
        <v>4788054.5940000005</v>
      </c>
      <c r="J6004">
        <v>2839139.7629999998</v>
      </c>
      <c r="K6004">
        <v>0</v>
      </c>
      <c r="L6004">
        <v>5865.3179999999993</v>
      </c>
      <c r="M6004">
        <v>0</v>
      </c>
      <c r="T6004" s="9">
        <v>45108</v>
      </c>
      <c r="U6004" s="9">
        <v>45473</v>
      </c>
      <c r="V6004">
        <f>SUM(POTABLE_NONPOTABLE_API[[#This Row],[RESIDENTIAL_SINGLEFAMILY_GAL]:[OTHER_GAL]])</f>
        <v>71356155.384000003</v>
      </c>
      <c r="W6004">
        <f>SUM(POTABLE_NONPOTABLE_API[[#This Row],[NONPOTABLE_DEMAND_RESIDENTIAL_RECYCLED_WATER_GAL]:[NONPOTABLE_DEMAND_NONRESIDENTIAL_METERED_IRRIGATION_GAL]])</f>
        <v>0</v>
      </c>
      <c r="X6004" t="str">
        <f>IFERROR(INDEX(Crosswalk_API!$H$2:$H$527, MATCH(POTABLE_NONPOTABLE_API[[#This Row],[PWSID]], CW_PWSID_LIST, 0)), "")</f>
        <v>No</v>
      </c>
    </row>
    <row r="6005" spans="1:24" x14ac:dyDescent="0.25">
      <c r="A6005" t="s">
        <v>2477</v>
      </c>
      <c r="B6005" t="s">
        <v>2478</v>
      </c>
      <c r="C6005" t="s">
        <v>2479</v>
      </c>
      <c r="D6005" t="s">
        <v>2480</v>
      </c>
      <c r="E6005" s="9">
        <v>45200</v>
      </c>
      <c r="F6005" s="9">
        <v>45230</v>
      </c>
      <c r="G6005">
        <v>53595972.479999997</v>
      </c>
      <c r="H6005">
        <v>14832737.520000001</v>
      </c>
      <c r="I6005">
        <v>10652069.189999999</v>
      </c>
      <c r="J6005">
        <v>726647.73</v>
      </c>
      <c r="K6005">
        <v>0</v>
      </c>
      <c r="L6005">
        <v>19876.911</v>
      </c>
      <c r="M6005">
        <v>0</v>
      </c>
      <c r="T6005" s="9">
        <v>45108</v>
      </c>
      <c r="U6005" s="9">
        <v>45473</v>
      </c>
      <c r="V6005">
        <f>SUM(POTABLE_NONPOTABLE_API[[#This Row],[RESIDENTIAL_SINGLEFAMILY_GAL]:[OTHER_GAL]])</f>
        <v>79827303.831</v>
      </c>
      <c r="W6005">
        <f>SUM(POTABLE_NONPOTABLE_API[[#This Row],[NONPOTABLE_DEMAND_RESIDENTIAL_RECYCLED_WATER_GAL]:[NONPOTABLE_DEMAND_NONRESIDENTIAL_METERED_IRRIGATION_GAL]])</f>
        <v>0</v>
      </c>
      <c r="X6005" t="str">
        <f>IFERROR(INDEX(Crosswalk_API!$H$2:$H$527, MATCH(POTABLE_NONPOTABLE_API[[#This Row],[PWSID]], CW_PWSID_LIST, 0)), "")</f>
        <v>No</v>
      </c>
    </row>
    <row r="6006" spans="1:24" x14ac:dyDescent="0.25">
      <c r="A6006" t="s">
        <v>2477</v>
      </c>
      <c r="B6006" t="s">
        <v>2478</v>
      </c>
      <c r="C6006" t="s">
        <v>2479</v>
      </c>
      <c r="D6006" t="s">
        <v>2480</v>
      </c>
      <c r="E6006" s="9">
        <v>45231</v>
      </c>
      <c r="F6006" s="9">
        <v>45260</v>
      </c>
      <c r="G6006">
        <v>38440642.469999999</v>
      </c>
      <c r="H6006">
        <v>10899715.950000001</v>
      </c>
      <c r="I6006">
        <v>3825490.74</v>
      </c>
      <c r="J6006">
        <v>2320059.12</v>
      </c>
      <c r="K6006">
        <v>0</v>
      </c>
      <c r="L6006">
        <v>6517.02</v>
      </c>
      <c r="M6006">
        <v>0</v>
      </c>
      <c r="T6006" s="9">
        <v>45108</v>
      </c>
      <c r="U6006" s="9">
        <v>45473</v>
      </c>
      <c r="V6006">
        <f>SUM(POTABLE_NONPOTABLE_API[[#This Row],[RESIDENTIAL_SINGLEFAMILY_GAL]:[OTHER_GAL]])</f>
        <v>55492425.300000004</v>
      </c>
      <c r="W6006">
        <f>SUM(POTABLE_NONPOTABLE_API[[#This Row],[NONPOTABLE_DEMAND_RESIDENTIAL_RECYCLED_WATER_GAL]:[NONPOTABLE_DEMAND_NONRESIDENTIAL_METERED_IRRIGATION_GAL]])</f>
        <v>0</v>
      </c>
      <c r="X6006" t="str">
        <f>IFERROR(INDEX(Crosswalk_API!$H$2:$H$527, MATCH(POTABLE_NONPOTABLE_API[[#This Row],[PWSID]], CW_PWSID_LIST, 0)), "")</f>
        <v>No</v>
      </c>
    </row>
    <row r="6007" spans="1:24" x14ac:dyDescent="0.25">
      <c r="A6007" t="s">
        <v>2477</v>
      </c>
      <c r="B6007" t="s">
        <v>2478</v>
      </c>
      <c r="C6007" t="s">
        <v>2479</v>
      </c>
      <c r="D6007" t="s">
        <v>2480</v>
      </c>
      <c r="E6007" s="9">
        <v>45261</v>
      </c>
      <c r="F6007" s="9">
        <v>45291</v>
      </c>
      <c r="G6007">
        <v>34190893.728</v>
      </c>
      <c r="H6007">
        <v>11577160.179000001</v>
      </c>
      <c r="I6007">
        <v>8778100.0889999997</v>
      </c>
      <c r="J6007">
        <v>345076.20899999997</v>
      </c>
      <c r="K6007">
        <v>0</v>
      </c>
      <c r="L6007">
        <v>14011.592999999999</v>
      </c>
      <c r="M6007">
        <v>0</v>
      </c>
      <c r="T6007" s="9">
        <v>45108</v>
      </c>
      <c r="U6007" s="9">
        <v>45473</v>
      </c>
      <c r="V6007">
        <f>SUM(POTABLE_NONPOTABLE_API[[#This Row],[RESIDENTIAL_SINGLEFAMILY_GAL]:[OTHER_GAL]])</f>
        <v>54905241.798000008</v>
      </c>
      <c r="W6007">
        <f>SUM(POTABLE_NONPOTABLE_API[[#This Row],[NONPOTABLE_DEMAND_RESIDENTIAL_RECYCLED_WATER_GAL]:[NONPOTABLE_DEMAND_NONRESIDENTIAL_METERED_IRRIGATION_GAL]])</f>
        <v>0</v>
      </c>
      <c r="X6007" t="str">
        <f>IFERROR(INDEX(Crosswalk_API!$H$2:$H$527, MATCH(POTABLE_NONPOTABLE_API[[#This Row],[PWSID]], CW_PWSID_LIST, 0)), "")</f>
        <v>No</v>
      </c>
    </row>
    <row r="6008" spans="1:24" x14ac:dyDescent="0.25">
      <c r="A6008" t="s">
        <v>2477</v>
      </c>
      <c r="B6008" t="s">
        <v>2478</v>
      </c>
      <c r="C6008" t="s">
        <v>2479</v>
      </c>
      <c r="D6008" t="s">
        <v>2480</v>
      </c>
      <c r="E6008" s="9">
        <v>45292</v>
      </c>
      <c r="F6008" s="9">
        <v>45322</v>
      </c>
      <c r="G6008">
        <v>25458086.927999999</v>
      </c>
      <c r="H6008">
        <v>9526905.686999999</v>
      </c>
      <c r="I6008">
        <v>3196924.1609999998</v>
      </c>
      <c r="J6008">
        <v>554924.25300000003</v>
      </c>
      <c r="K6008">
        <v>0</v>
      </c>
      <c r="L6008">
        <v>629869.98300000001</v>
      </c>
      <c r="M6008">
        <v>0</v>
      </c>
      <c r="T6008" s="9">
        <v>45108</v>
      </c>
      <c r="U6008" s="9">
        <v>45473</v>
      </c>
      <c r="V6008">
        <f>SUM(POTABLE_NONPOTABLE_API[[#This Row],[RESIDENTIAL_SINGLEFAMILY_GAL]:[OTHER_GAL]])</f>
        <v>39366711.011999995</v>
      </c>
      <c r="W6008">
        <f>SUM(POTABLE_NONPOTABLE_API[[#This Row],[NONPOTABLE_DEMAND_RESIDENTIAL_RECYCLED_WATER_GAL]:[NONPOTABLE_DEMAND_NONRESIDENTIAL_METERED_IRRIGATION_GAL]])</f>
        <v>0</v>
      </c>
      <c r="X6008" t="str">
        <f>IFERROR(INDEX(Crosswalk_API!$H$2:$H$527, MATCH(POTABLE_NONPOTABLE_API[[#This Row],[PWSID]], CW_PWSID_LIST, 0)), "")</f>
        <v>No</v>
      </c>
    </row>
    <row r="6009" spans="1:24" x14ac:dyDescent="0.25">
      <c r="A6009" t="s">
        <v>2477</v>
      </c>
      <c r="B6009" t="s">
        <v>2478</v>
      </c>
      <c r="C6009" t="s">
        <v>2479</v>
      </c>
      <c r="D6009" t="s">
        <v>2480</v>
      </c>
      <c r="E6009" s="9">
        <v>45323</v>
      </c>
      <c r="F6009" s="9">
        <v>45351</v>
      </c>
      <c r="G6009">
        <v>21635854.697999999</v>
      </c>
      <c r="H6009">
        <v>9851127.432</v>
      </c>
      <c r="I6009">
        <v>7217925.5010000002</v>
      </c>
      <c r="J6009">
        <v>70057.964999999997</v>
      </c>
      <c r="K6009">
        <v>0</v>
      </c>
      <c r="L6009">
        <v>14011.592999999999</v>
      </c>
      <c r="M6009">
        <v>0</v>
      </c>
      <c r="T6009" s="9">
        <v>45108</v>
      </c>
      <c r="U6009" s="9">
        <v>45473</v>
      </c>
      <c r="V6009">
        <f>SUM(POTABLE_NONPOTABLE_API[[#This Row],[RESIDENTIAL_SINGLEFAMILY_GAL]:[OTHER_GAL]])</f>
        <v>38788977.189000003</v>
      </c>
      <c r="W6009">
        <f>SUM(POTABLE_NONPOTABLE_API[[#This Row],[NONPOTABLE_DEMAND_RESIDENTIAL_RECYCLED_WATER_GAL]:[NONPOTABLE_DEMAND_NONRESIDENTIAL_METERED_IRRIGATION_GAL]])</f>
        <v>0</v>
      </c>
      <c r="X6009" t="str">
        <f>IFERROR(INDEX(Crosswalk_API!$H$2:$H$527, MATCH(POTABLE_NONPOTABLE_API[[#This Row],[PWSID]], CW_PWSID_LIST, 0)), "")</f>
        <v>No</v>
      </c>
    </row>
    <row r="6010" spans="1:24" x14ac:dyDescent="0.25">
      <c r="A6010" t="s">
        <v>2477</v>
      </c>
      <c r="B6010" t="s">
        <v>2478</v>
      </c>
      <c r="C6010" t="s">
        <v>2479</v>
      </c>
      <c r="D6010" t="s">
        <v>2480</v>
      </c>
      <c r="E6010" s="9">
        <v>45352</v>
      </c>
      <c r="F6010" s="9">
        <v>45382</v>
      </c>
      <c r="G6010">
        <v>21615000.234000001</v>
      </c>
      <c r="H6010">
        <v>8808078.3809999991</v>
      </c>
      <c r="I6010">
        <v>2739103.5060000001</v>
      </c>
      <c r="J6010">
        <v>128059.443</v>
      </c>
      <c r="K6010">
        <v>0</v>
      </c>
      <c r="L6010">
        <v>613903.28399999999</v>
      </c>
      <c r="M6010">
        <v>0</v>
      </c>
      <c r="T6010" s="9">
        <v>45108</v>
      </c>
      <c r="U6010" s="9">
        <v>45473</v>
      </c>
      <c r="V6010">
        <f>SUM(POTABLE_NONPOTABLE_API[[#This Row],[RESIDENTIAL_SINGLEFAMILY_GAL]:[OTHER_GAL]])</f>
        <v>33904144.848000005</v>
      </c>
      <c r="W6010">
        <f>SUM(POTABLE_NONPOTABLE_API[[#This Row],[NONPOTABLE_DEMAND_RESIDENTIAL_RECYCLED_WATER_GAL]:[NONPOTABLE_DEMAND_NONRESIDENTIAL_METERED_IRRIGATION_GAL]])</f>
        <v>0</v>
      </c>
      <c r="X6010" t="str">
        <f>IFERROR(INDEX(Crosswalk_API!$H$2:$H$527, MATCH(POTABLE_NONPOTABLE_API[[#This Row],[PWSID]], CW_PWSID_LIST, 0)), "")</f>
        <v>No</v>
      </c>
    </row>
    <row r="6011" spans="1:24" x14ac:dyDescent="0.25">
      <c r="A6011" t="s">
        <v>2477</v>
      </c>
      <c r="B6011" t="s">
        <v>2478</v>
      </c>
      <c r="C6011" t="s">
        <v>2479</v>
      </c>
      <c r="D6011" t="s">
        <v>2480</v>
      </c>
      <c r="E6011" s="9">
        <v>45383</v>
      </c>
      <c r="F6011" s="9">
        <v>45412</v>
      </c>
      <c r="G6011">
        <v>20789945.502</v>
      </c>
      <c r="H6011">
        <v>9770968.0860000011</v>
      </c>
      <c r="I6011">
        <v>5663942.0820000004</v>
      </c>
      <c r="J6011">
        <v>255141.33300000001</v>
      </c>
      <c r="K6011">
        <v>0</v>
      </c>
      <c r="L6011">
        <v>12056.486999999999</v>
      </c>
      <c r="M6011">
        <v>0</v>
      </c>
      <c r="T6011" s="9">
        <v>45108</v>
      </c>
      <c r="U6011" s="9">
        <v>45473</v>
      </c>
      <c r="V6011">
        <f>SUM(POTABLE_NONPOTABLE_API[[#This Row],[RESIDENTIAL_SINGLEFAMILY_GAL]:[OTHER_GAL]])</f>
        <v>36492053.490000002</v>
      </c>
      <c r="W6011">
        <f>SUM(POTABLE_NONPOTABLE_API[[#This Row],[NONPOTABLE_DEMAND_RESIDENTIAL_RECYCLED_WATER_GAL]:[NONPOTABLE_DEMAND_NONRESIDENTIAL_METERED_IRRIGATION_GAL]])</f>
        <v>0</v>
      </c>
      <c r="X6011" t="str">
        <f>IFERROR(INDEX(Crosswalk_API!$H$2:$H$527, MATCH(POTABLE_NONPOTABLE_API[[#This Row],[PWSID]], CW_PWSID_LIST, 0)), "")</f>
        <v>No</v>
      </c>
    </row>
    <row r="6012" spans="1:24" x14ac:dyDescent="0.25">
      <c r="A6012" t="s">
        <v>2477</v>
      </c>
      <c r="B6012" t="s">
        <v>2478</v>
      </c>
      <c r="C6012" t="s">
        <v>2479</v>
      </c>
      <c r="D6012" t="s">
        <v>2480</v>
      </c>
      <c r="E6012" s="9">
        <v>45413</v>
      </c>
      <c r="F6012" s="9">
        <v>45443</v>
      </c>
      <c r="G6012">
        <v>27378978.572999999</v>
      </c>
      <c r="H6012">
        <v>9604132.3739999998</v>
      </c>
      <c r="I6012">
        <v>3422087.202</v>
      </c>
      <c r="J6012">
        <v>362020.46100000001</v>
      </c>
      <c r="K6012">
        <v>0</v>
      </c>
      <c r="L6012">
        <v>727951.13399999996</v>
      </c>
      <c r="M6012">
        <v>0</v>
      </c>
      <c r="T6012" s="9">
        <v>45108</v>
      </c>
      <c r="U6012" s="9">
        <v>45473</v>
      </c>
      <c r="V6012">
        <f>SUM(POTABLE_NONPOTABLE_API[[#This Row],[RESIDENTIAL_SINGLEFAMILY_GAL]:[OTHER_GAL]])</f>
        <v>41495169.744000003</v>
      </c>
      <c r="W6012">
        <f>SUM(POTABLE_NONPOTABLE_API[[#This Row],[NONPOTABLE_DEMAND_RESIDENTIAL_RECYCLED_WATER_GAL]:[NONPOTABLE_DEMAND_NONRESIDENTIAL_METERED_IRRIGATION_GAL]])</f>
        <v>0</v>
      </c>
      <c r="X6012" t="str">
        <f>IFERROR(INDEX(Crosswalk_API!$H$2:$H$527, MATCH(POTABLE_NONPOTABLE_API[[#This Row],[PWSID]], CW_PWSID_LIST, 0)), "")</f>
        <v>No</v>
      </c>
    </row>
    <row r="6013" spans="1:24" x14ac:dyDescent="0.25">
      <c r="A6013" t="s">
        <v>2477</v>
      </c>
      <c r="B6013" t="s">
        <v>2478</v>
      </c>
      <c r="C6013" t="s">
        <v>2479</v>
      </c>
      <c r="D6013" t="s">
        <v>2480</v>
      </c>
      <c r="E6013" s="9">
        <v>45444</v>
      </c>
      <c r="F6013" s="9">
        <v>45473</v>
      </c>
      <c r="G6013">
        <v>43376959.269000001</v>
      </c>
      <c r="H6013">
        <v>14311050.068999998</v>
      </c>
      <c r="I6013">
        <v>9467926.6559999995</v>
      </c>
      <c r="J6013">
        <v>419044.386</v>
      </c>
      <c r="K6013">
        <v>0</v>
      </c>
      <c r="L6013">
        <v>11078.934000000001</v>
      </c>
      <c r="M6013">
        <v>0</v>
      </c>
      <c r="T6013" s="9">
        <v>45108</v>
      </c>
      <c r="U6013" s="9">
        <v>45473</v>
      </c>
      <c r="V6013">
        <f>SUM(POTABLE_NONPOTABLE_API[[#This Row],[RESIDENTIAL_SINGLEFAMILY_GAL]:[OTHER_GAL]])</f>
        <v>67586059.31400001</v>
      </c>
      <c r="W6013">
        <f>SUM(POTABLE_NONPOTABLE_API[[#This Row],[NONPOTABLE_DEMAND_RESIDENTIAL_RECYCLED_WATER_GAL]:[NONPOTABLE_DEMAND_NONRESIDENTIAL_METERED_IRRIGATION_GAL]])</f>
        <v>0</v>
      </c>
      <c r="X6013" t="str">
        <f>IFERROR(INDEX(Crosswalk_API!$H$2:$H$527, MATCH(POTABLE_NONPOTABLE_API[[#This Row],[PWSID]], CW_PWSID_LIST, 0)), "")</f>
        <v>No</v>
      </c>
    </row>
    <row r="6014" spans="1:24" x14ac:dyDescent="0.25">
      <c r="A6014" t="s">
        <v>2481</v>
      </c>
      <c r="B6014" t="s">
        <v>2482</v>
      </c>
      <c r="C6014" t="s">
        <v>2483</v>
      </c>
      <c r="D6014" t="s">
        <v>2484</v>
      </c>
      <c r="E6014" s="9">
        <v>45108</v>
      </c>
      <c r="F6014" s="9">
        <v>45138</v>
      </c>
      <c r="G6014">
        <v>100329522.89999999</v>
      </c>
      <c r="H6014">
        <v>0</v>
      </c>
      <c r="I6014">
        <v>13653156.9</v>
      </c>
      <c r="J6014">
        <v>0</v>
      </c>
      <c r="K6014">
        <v>0</v>
      </c>
      <c r="L6014">
        <v>0</v>
      </c>
      <c r="M6014">
        <v>0</v>
      </c>
      <c r="T6014" s="9">
        <v>45108</v>
      </c>
      <c r="U6014" s="9">
        <v>45473</v>
      </c>
      <c r="V6014">
        <f>SUM(POTABLE_NONPOTABLE_API[[#This Row],[RESIDENTIAL_SINGLEFAMILY_GAL]:[OTHER_GAL]])</f>
        <v>113982679.8</v>
      </c>
      <c r="W6014">
        <f>SUM(POTABLE_NONPOTABLE_API[[#This Row],[NONPOTABLE_DEMAND_RESIDENTIAL_RECYCLED_WATER_GAL]:[NONPOTABLE_DEMAND_NONRESIDENTIAL_METERED_IRRIGATION_GAL]])</f>
        <v>0</v>
      </c>
      <c r="X6014" t="str">
        <f>IFERROR(INDEX(Crosswalk_API!$H$2:$H$527, MATCH(POTABLE_NONPOTABLE_API[[#This Row],[PWSID]], CW_PWSID_LIST, 0)), "")</f>
        <v>No</v>
      </c>
    </row>
    <row r="6015" spans="1:24" x14ac:dyDescent="0.25">
      <c r="A6015" t="s">
        <v>2481</v>
      </c>
      <c r="B6015" t="s">
        <v>2482</v>
      </c>
      <c r="C6015" t="s">
        <v>2483</v>
      </c>
      <c r="D6015" t="s">
        <v>2484</v>
      </c>
      <c r="E6015" s="9">
        <v>45139</v>
      </c>
      <c r="F6015" s="9">
        <v>45169</v>
      </c>
      <c r="G6015">
        <v>95963119.5</v>
      </c>
      <c r="H6015">
        <v>0</v>
      </c>
      <c r="I6015">
        <v>14370029.1</v>
      </c>
      <c r="J6015">
        <v>0</v>
      </c>
      <c r="K6015">
        <v>0</v>
      </c>
      <c r="L6015">
        <v>0</v>
      </c>
      <c r="M6015">
        <v>0</v>
      </c>
      <c r="T6015" s="9">
        <v>45108</v>
      </c>
      <c r="U6015" s="9">
        <v>45473</v>
      </c>
      <c r="V6015">
        <f>SUM(POTABLE_NONPOTABLE_API[[#This Row],[RESIDENTIAL_SINGLEFAMILY_GAL]:[OTHER_GAL]])</f>
        <v>110333148.59999999</v>
      </c>
      <c r="W6015">
        <f>SUM(POTABLE_NONPOTABLE_API[[#This Row],[NONPOTABLE_DEMAND_RESIDENTIAL_RECYCLED_WATER_GAL]:[NONPOTABLE_DEMAND_NONRESIDENTIAL_METERED_IRRIGATION_GAL]])</f>
        <v>0</v>
      </c>
      <c r="X6015" t="str">
        <f>IFERROR(INDEX(Crosswalk_API!$H$2:$H$527, MATCH(POTABLE_NONPOTABLE_API[[#This Row],[PWSID]], CW_PWSID_LIST, 0)), "")</f>
        <v>No</v>
      </c>
    </row>
    <row r="6016" spans="1:24" x14ac:dyDescent="0.25">
      <c r="A6016" t="s">
        <v>2481</v>
      </c>
      <c r="B6016" t="s">
        <v>2482</v>
      </c>
      <c r="C6016" t="s">
        <v>2483</v>
      </c>
      <c r="D6016" t="s">
        <v>2484</v>
      </c>
      <c r="E6016" s="9">
        <v>45170</v>
      </c>
      <c r="F6016" s="9">
        <v>45199</v>
      </c>
      <c r="G6016">
        <v>86285344.799999997</v>
      </c>
      <c r="H6016">
        <v>0</v>
      </c>
      <c r="I6016">
        <v>9645189.5999999996</v>
      </c>
      <c r="J6016">
        <v>0</v>
      </c>
      <c r="K6016">
        <v>0</v>
      </c>
      <c r="L6016">
        <v>0</v>
      </c>
      <c r="M6016">
        <v>0</v>
      </c>
      <c r="T6016" s="9">
        <v>45108</v>
      </c>
      <c r="U6016" s="9">
        <v>45473</v>
      </c>
      <c r="V6016">
        <f>SUM(POTABLE_NONPOTABLE_API[[#This Row],[RESIDENTIAL_SINGLEFAMILY_GAL]:[OTHER_GAL]])</f>
        <v>95930534.399999991</v>
      </c>
      <c r="W6016">
        <f>SUM(POTABLE_NONPOTABLE_API[[#This Row],[NONPOTABLE_DEMAND_RESIDENTIAL_RECYCLED_WATER_GAL]:[NONPOTABLE_DEMAND_NONRESIDENTIAL_METERED_IRRIGATION_GAL]])</f>
        <v>0</v>
      </c>
      <c r="X6016" t="str">
        <f>IFERROR(INDEX(Crosswalk_API!$H$2:$H$527, MATCH(POTABLE_NONPOTABLE_API[[#This Row],[PWSID]], CW_PWSID_LIST, 0)), "")</f>
        <v>No</v>
      </c>
    </row>
    <row r="6017" spans="1:24" x14ac:dyDescent="0.25">
      <c r="A6017" t="s">
        <v>2481</v>
      </c>
      <c r="B6017" t="s">
        <v>2482</v>
      </c>
      <c r="C6017" t="s">
        <v>2483</v>
      </c>
      <c r="D6017" t="s">
        <v>2484</v>
      </c>
      <c r="E6017" s="9">
        <v>45200</v>
      </c>
      <c r="F6017" s="9">
        <v>45230</v>
      </c>
      <c r="G6017">
        <v>78497505.900000006</v>
      </c>
      <c r="H6017">
        <v>0</v>
      </c>
      <c r="I6017">
        <v>11730636</v>
      </c>
      <c r="J6017">
        <v>0</v>
      </c>
      <c r="K6017">
        <v>0</v>
      </c>
      <c r="L6017">
        <v>0</v>
      </c>
      <c r="M6017">
        <v>0</v>
      </c>
      <c r="T6017" s="9">
        <v>45108</v>
      </c>
      <c r="U6017" s="9">
        <v>45473</v>
      </c>
      <c r="V6017">
        <f>SUM(POTABLE_NONPOTABLE_API[[#This Row],[RESIDENTIAL_SINGLEFAMILY_GAL]:[OTHER_GAL]])</f>
        <v>90228141.900000006</v>
      </c>
      <c r="W6017">
        <f>SUM(POTABLE_NONPOTABLE_API[[#This Row],[NONPOTABLE_DEMAND_RESIDENTIAL_RECYCLED_WATER_GAL]:[NONPOTABLE_DEMAND_NONRESIDENTIAL_METERED_IRRIGATION_GAL]])</f>
        <v>0</v>
      </c>
      <c r="X6017" t="str">
        <f>IFERROR(INDEX(Crosswalk_API!$H$2:$H$527, MATCH(POTABLE_NONPOTABLE_API[[#This Row],[PWSID]], CW_PWSID_LIST, 0)), "")</f>
        <v>No</v>
      </c>
    </row>
    <row r="6018" spans="1:24" x14ac:dyDescent="0.25">
      <c r="A6018" t="s">
        <v>2481</v>
      </c>
      <c r="B6018" t="s">
        <v>2482</v>
      </c>
      <c r="C6018" t="s">
        <v>2483</v>
      </c>
      <c r="D6018" t="s">
        <v>2484</v>
      </c>
      <c r="E6018" s="9">
        <v>45231</v>
      </c>
      <c r="F6018" s="9">
        <v>45260</v>
      </c>
      <c r="G6018">
        <v>66701699.699999996</v>
      </c>
      <c r="H6018">
        <v>0</v>
      </c>
      <c r="I6018">
        <v>9971040.5999999996</v>
      </c>
      <c r="J6018">
        <v>0</v>
      </c>
      <c r="K6018">
        <v>0</v>
      </c>
      <c r="L6018">
        <v>0</v>
      </c>
      <c r="M6018">
        <v>0</v>
      </c>
      <c r="T6018" s="9">
        <v>45108</v>
      </c>
      <c r="U6018" s="9">
        <v>45473</v>
      </c>
      <c r="V6018">
        <f>SUM(POTABLE_NONPOTABLE_API[[#This Row],[RESIDENTIAL_SINGLEFAMILY_GAL]:[OTHER_GAL]])</f>
        <v>76672740.299999997</v>
      </c>
      <c r="W6018">
        <f>SUM(POTABLE_NONPOTABLE_API[[#This Row],[NONPOTABLE_DEMAND_RESIDENTIAL_RECYCLED_WATER_GAL]:[NONPOTABLE_DEMAND_NONRESIDENTIAL_METERED_IRRIGATION_GAL]])</f>
        <v>0</v>
      </c>
      <c r="X6018" t="str">
        <f>IFERROR(INDEX(Crosswalk_API!$H$2:$H$527, MATCH(POTABLE_NONPOTABLE_API[[#This Row],[PWSID]], CW_PWSID_LIST, 0)), "")</f>
        <v>No</v>
      </c>
    </row>
    <row r="6019" spans="1:24" x14ac:dyDescent="0.25">
      <c r="A6019" t="s">
        <v>2481</v>
      </c>
      <c r="B6019" t="s">
        <v>2482</v>
      </c>
      <c r="C6019" t="s">
        <v>2483</v>
      </c>
      <c r="D6019" t="s">
        <v>2484</v>
      </c>
      <c r="E6019" s="9">
        <v>45261</v>
      </c>
      <c r="F6019" s="9">
        <v>45291</v>
      </c>
      <c r="G6019">
        <v>55296914.699999996</v>
      </c>
      <c r="H6019">
        <v>0</v>
      </c>
      <c r="I6019">
        <v>10492402.200000001</v>
      </c>
      <c r="J6019">
        <v>0</v>
      </c>
      <c r="K6019">
        <v>0</v>
      </c>
      <c r="L6019">
        <v>0</v>
      </c>
      <c r="M6019">
        <v>0</v>
      </c>
      <c r="T6019" s="9">
        <v>45108</v>
      </c>
      <c r="U6019" s="9">
        <v>45473</v>
      </c>
      <c r="V6019">
        <f>SUM(POTABLE_NONPOTABLE_API[[#This Row],[RESIDENTIAL_SINGLEFAMILY_GAL]:[OTHER_GAL]])</f>
        <v>65789316.899999999</v>
      </c>
      <c r="W6019">
        <f>SUM(POTABLE_NONPOTABLE_API[[#This Row],[NONPOTABLE_DEMAND_RESIDENTIAL_RECYCLED_WATER_GAL]:[NONPOTABLE_DEMAND_NONRESIDENTIAL_METERED_IRRIGATION_GAL]])</f>
        <v>0</v>
      </c>
      <c r="X6019" t="str">
        <f>IFERROR(INDEX(Crosswalk_API!$H$2:$H$527, MATCH(POTABLE_NONPOTABLE_API[[#This Row],[PWSID]], CW_PWSID_LIST, 0)), "")</f>
        <v>No</v>
      </c>
    </row>
    <row r="6020" spans="1:24" x14ac:dyDescent="0.25">
      <c r="A6020" t="s">
        <v>2481</v>
      </c>
      <c r="B6020" t="s">
        <v>2482</v>
      </c>
      <c r="C6020" t="s">
        <v>2483</v>
      </c>
      <c r="D6020" t="s">
        <v>2484</v>
      </c>
      <c r="E6020" s="9">
        <v>45292</v>
      </c>
      <c r="F6020" s="9">
        <v>45322</v>
      </c>
      <c r="G6020">
        <v>38971779.600000001</v>
      </c>
      <c r="H6020">
        <v>0</v>
      </c>
      <c r="I6020">
        <v>6354094.5</v>
      </c>
      <c r="J6020">
        <v>0</v>
      </c>
      <c r="K6020">
        <v>0</v>
      </c>
      <c r="L6020">
        <v>0</v>
      </c>
      <c r="M6020">
        <v>0</v>
      </c>
      <c r="T6020" s="9">
        <v>45108</v>
      </c>
      <c r="U6020" s="9">
        <v>45473</v>
      </c>
      <c r="V6020">
        <f>SUM(POTABLE_NONPOTABLE_API[[#This Row],[RESIDENTIAL_SINGLEFAMILY_GAL]:[OTHER_GAL]])</f>
        <v>45325874.100000001</v>
      </c>
      <c r="W6020">
        <f>SUM(POTABLE_NONPOTABLE_API[[#This Row],[NONPOTABLE_DEMAND_RESIDENTIAL_RECYCLED_WATER_GAL]:[NONPOTABLE_DEMAND_NONRESIDENTIAL_METERED_IRRIGATION_GAL]])</f>
        <v>0</v>
      </c>
      <c r="X6020" t="str">
        <f>IFERROR(INDEX(Crosswalk_API!$H$2:$H$527, MATCH(POTABLE_NONPOTABLE_API[[#This Row],[PWSID]], CW_PWSID_LIST, 0)), "")</f>
        <v>No</v>
      </c>
    </row>
    <row r="6021" spans="1:24" x14ac:dyDescent="0.25">
      <c r="A6021" t="s">
        <v>2481</v>
      </c>
      <c r="B6021" t="s">
        <v>2482</v>
      </c>
      <c r="C6021" t="s">
        <v>2483</v>
      </c>
      <c r="D6021" t="s">
        <v>2484</v>
      </c>
      <c r="E6021" s="9">
        <v>45323</v>
      </c>
      <c r="F6021" s="9">
        <v>45351</v>
      </c>
      <c r="G6021">
        <v>27566994.599999998</v>
      </c>
      <c r="H6021">
        <v>0</v>
      </c>
      <c r="I6021">
        <v>5246201.1000000006</v>
      </c>
      <c r="J6021">
        <v>0</v>
      </c>
      <c r="K6021">
        <v>0</v>
      </c>
      <c r="L6021">
        <v>0</v>
      </c>
      <c r="M6021">
        <v>0</v>
      </c>
      <c r="T6021" s="9">
        <v>45108</v>
      </c>
      <c r="U6021" s="9">
        <v>45473</v>
      </c>
      <c r="V6021">
        <f>SUM(POTABLE_NONPOTABLE_API[[#This Row],[RESIDENTIAL_SINGLEFAMILY_GAL]:[OTHER_GAL]])</f>
        <v>32813195.699999999</v>
      </c>
      <c r="W6021">
        <f>SUM(POTABLE_NONPOTABLE_API[[#This Row],[NONPOTABLE_DEMAND_RESIDENTIAL_RECYCLED_WATER_GAL]:[NONPOTABLE_DEMAND_NONRESIDENTIAL_METERED_IRRIGATION_GAL]])</f>
        <v>0</v>
      </c>
      <c r="X6021" t="str">
        <f>IFERROR(INDEX(Crosswalk_API!$H$2:$H$527, MATCH(POTABLE_NONPOTABLE_API[[#This Row],[PWSID]], CW_PWSID_LIST, 0)), "")</f>
        <v>No</v>
      </c>
    </row>
    <row r="6022" spans="1:24" x14ac:dyDescent="0.25">
      <c r="A6022" t="s">
        <v>2481</v>
      </c>
      <c r="B6022" t="s">
        <v>2482</v>
      </c>
      <c r="C6022" t="s">
        <v>2483</v>
      </c>
      <c r="D6022" t="s">
        <v>2484</v>
      </c>
      <c r="E6022" s="9">
        <v>45352</v>
      </c>
      <c r="F6022" s="9">
        <v>45382</v>
      </c>
      <c r="G6022">
        <v>36241148.219999999</v>
      </c>
      <c r="H6022">
        <v>0</v>
      </c>
      <c r="I6022">
        <v>6901524.1799999997</v>
      </c>
      <c r="J6022">
        <v>0</v>
      </c>
      <c r="K6022">
        <v>0</v>
      </c>
      <c r="L6022">
        <v>0</v>
      </c>
      <c r="M6022">
        <v>0</v>
      </c>
      <c r="T6022" s="9">
        <v>45108</v>
      </c>
      <c r="U6022" s="9">
        <v>45473</v>
      </c>
      <c r="V6022">
        <f>SUM(POTABLE_NONPOTABLE_API[[#This Row],[RESIDENTIAL_SINGLEFAMILY_GAL]:[OTHER_GAL]])</f>
        <v>43142672.399999999</v>
      </c>
      <c r="W6022">
        <f>SUM(POTABLE_NONPOTABLE_API[[#This Row],[NONPOTABLE_DEMAND_RESIDENTIAL_RECYCLED_WATER_GAL]:[NONPOTABLE_DEMAND_NONRESIDENTIAL_METERED_IRRIGATION_GAL]])</f>
        <v>0</v>
      </c>
      <c r="X6022" t="str">
        <f>IFERROR(INDEX(Crosswalk_API!$H$2:$H$527, MATCH(POTABLE_NONPOTABLE_API[[#This Row],[PWSID]], CW_PWSID_LIST, 0)), "")</f>
        <v>No</v>
      </c>
    </row>
    <row r="6023" spans="1:24" x14ac:dyDescent="0.25">
      <c r="A6023" t="s">
        <v>2481</v>
      </c>
      <c r="B6023" t="s">
        <v>2482</v>
      </c>
      <c r="C6023" t="s">
        <v>2483</v>
      </c>
      <c r="D6023" t="s">
        <v>2484</v>
      </c>
      <c r="E6023" s="9">
        <v>45383</v>
      </c>
      <c r="F6023" s="9">
        <v>45412</v>
      </c>
      <c r="G6023">
        <v>44609001.899999999</v>
      </c>
      <c r="H6023">
        <v>0</v>
      </c>
      <c r="I6023">
        <v>7266477.2999999998</v>
      </c>
      <c r="J6023">
        <v>0</v>
      </c>
      <c r="K6023">
        <v>0</v>
      </c>
      <c r="L6023">
        <v>0</v>
      </c>
      <c r="M6023">
        <v>0</v>
      </c>
      <c r="T6023" s="9">
        <v>45108</v>
      </c>
      <c r="U6023" s="9">
        <v>45473</v>
      </c>
      <c r="V6023">
        <f>SUM(POTABLE_NONPOTABLE_API[[#This Row],[RESIDENTIAL_SINGLEFAMILY_GAL]:[OTHER_GAL]])</f>
        <v>51875479.199999996</v>
      </c>
      <c r="W6023">
        <f>SUM(POTABLE_NONPOTABLE_API[[#This Row],[NONPOTABLE_DEMAND_RESIDENTIAL_RECYCLED_WATER_GAL]:[NONPOTABLE_DEMAND_NONRESIDENTIAL_METERED_IRRIGATION_GAL]])</f>
        <v>0</v>
      </c>
      <c r="X6023" t="str">
        <f>IFERROR(INDEX(Crosswalk_API!$H$2:$H$527, MATCH(POTABLE_NONPOTABLE_API[[#This Row],[PWSID]], CW_PWSID_LIST, 0)), "")</f>
        <v>No</v>
      </c>
    </row>
    <row r="6024" spans="1:24" x14ac:dyDescent="0.25">
      <c r="A6024" t="s">
        <v>2481</v>
      </c>
      <c r="B6024" t="s">
        <v>2482</v>
      </c>
      <c r="C6024" t="s">
        <v>2483</v>
      </c>
      <c r="D6024" t="s">
        <v>2484</v>
      </c>
      <c r="E6024" s="9">
        <v>45413</v>
      </c>
      <c r="F6024" s="9">
        <v>45443</v>
      </c>
      <c r="G6024">
        <v>67777008</v>
      </c>
      <c r="H6024">
        <v>0</v>
      </c>
      <c r="I6024">
        <v>11013763.799999999</v>
      </c>
      <c r="J6024">
        <v>0</v>
      </c>
      <c r="K6024">
        <v>0</v>
      </c>
      <c r="L6024">
        <v>0</v>
      </c>
      <c r="M6024">
        <v>0</v>
      </c>
      <c r="T6024" s="9">
        <v>45108</v>
      </c>
      <c r="U6024" s="9">
        <v>45473</v>
      </c>
      <c r="V6024">
        <f>SUM(POTABLE_NONPOTABLE_API[[#This Row],[RESIDENTIAL_SINGLEFAMILY_GAL]:[OTHER_GAL]])</f>
        <v>78790771.799999997</v>
      </c>
      <c r="W6024">
        <f>SUM(POTABLE_NONPOTABLE_API[[#This Row],[NONPOTABLE_DEMAND_RESIDENTIAL_RECYCLED_WATER_GAL]:[NONPOTABLE_DEMAND_NONRESIDENTIAL_METERED_IRRIGATION_GAL]])</f>
        <v>0</v>
      </c>
      <c r="X6024" t="str">
        <f>IFERROR(INDEX(Crosswalk_API!$H$2:$H$527, MATCH(POTABLE_NONPOTABLE_API[[#This Row],[PWSID]], CW_PWSID_LIST, 0)), "")</f>
        <v>No</v>
      </c>
    </row>
    <row r="6025" spans="1:24" x14ac:dyDescent="0.25">
      <c r="A6025" t="s">
        <v>2481</v>
      </c>
      <c r="B6025" t="s">
        <v>2482</v>
      </c>
      <c r="C6025" t="s">
        <v>2483</v>
      </c>
      <c r="D6025" t="s">
        <v>2484</v>
      </c>
      <c r="E6025" s="9">
        <v>45444</v>
      </c>
      <c r="F6025" s="9">
        <v>45473</v>
      </c>
      <c r="G6025">
        <v>82277377.5</v>
      </c>
      <c r="H6025">
        <v>0</v>
      </c>
      <c r="I6025">
        <v>12284582.700000001</v>
      </c>
      <c r="J6025">
        <v>0</v>
      </c>
      <c r="K6025">
        <v>0</v>
      </c>
      <c r="L6025">
        <v>0</v>
      </c>
      <c r="M6025">
        <v>0</v>
      </c>
      <c r="T6025" s="9">
        <v>45108</v>
      </c>
      <c r="U6025" s="9">
        <v>45473</v>
      </c>
      <c r="V6025">
        <f>SUM(POTABLE_NONPOTABLE_API[[#This Row],[RESIDENTIAL_SINGLEFAMILY_GAL]:[OTHER_GAL]])</f>
        <v>94561960.200000003</v>
      </c>
      <c r="W6025">
        <f>SUM(POTABLE_NONPOTABLE_API[[#This Row],[NONPOTABLE_DEMAND_RESIDENTIAL_RECYCLED_WATER_GAL]:[NONPOTABLE_DEMAND_NONRESIDENTIAL_METERED_IRRIGATION_GAL]])</f>
        <v>0</v>
      </c>
      <c r="X6025" t="str">
        <f>IFERROR(INDEX(Crosswalk_API!$H$2:$H$527, MATCH(POTABLE_NONPOTABLE_API[[#This Row],[PWSID]], CW_PWSID_LIST, 0)), "")</f>
        <v>No</v>
      </c>
    </row>
    <row r="6026" spans="1:24" x14ac:dyDescent="0.25">
      <c r="A6026" t="s">
        <v>2485</v>
      </c>
      <c r="B6026" t="s">
        <v>2486</v>
      </c>
      <c r="C6026" t="s">
        <v>2487</v>
      </c>
      <c r="D6026" t="s">
        <v>2488</v>
      </c>
      <c r="E6026" s="9">
        <v>45108</v>
      </c>
      <c r="F6026" s="9">
        <v>45138</v>
      </c>
      <c r="G6026">
        <v>493479050</v>
      </c>
      <c r="H6026">
        <v>1954780</v>
      </c>
      <c r="I6026">
        <v>11574355</v>
      </c>
      <c r="J6026">
        <v>5967223</v>
      </c>
      <c r="K6026">
        <v>1080273</v>
      </c>
      <c r="L6026">
        <v>154325</v>
      </c>
      <c r="M6026">
        <v>0</v>
      </c>
      <c r="T6026" s="9">
        <v>45108</v>
      </c>
      <c r="U6026" s="9">
        <v>45473</v>
      </c>
      <c r="V6026">
        <f>SUM(POTABLE_NONPOTABLE_API[[#This Row],[RESIDENTIAL_SINGLEFAMILY_GAL]:[OTHER_GAL]])</f>
        <v>514210006</v>
      </c>
      <c r="W6026">
        <f>SUM(POTABLE_NONPOTABLE_API[[#This Row],[NONPOTABLE_DEMAND_RESIDENTIAL_RECYCLED_WATER_GAL]:[NONPOTABLE_DEMAND_NONRESIDENTIAL_METERED_IRRIGATION_GAL]])</f>
        <v>0</v>
      </c>
      <c r="X6026" t="str">
        <f>IFERROR(INDEX(Crosswalk_API!$H$2:$H$527, MATCH(POTABLE_NONPOTABLE_API[[#This Row],[PWSID]], CW_PWSID_LIST, 0)), "")</f>
        <v>No</v>
      </c>
    </row>
    <row r="6027" spans="1:24" x14ac:dyDescent="0.25">
      <c r="A6027" t="s">
        <v>2485</v>
      </c>
      <c r="B6027" t="s">
        <v>2486</v>
      </c>
      <c r="C6027" t="s">
        <v>2487</v>
      </c>
      <c r="D6027" t="s">
        <v>2488</v>
      </c>
      <c r="E6027" s="9">
        <v>45139</v>
      </c>
      <c r="F6027" s="9">
        <v>45169</v>
      </c>
      <c r="G6027">
        <v>461897849</v>
      </c>
      <c r="H6027">
        <v>1829870</v>
      </c>
      <c r="I6027">
        <v>10834760</v>
      </c>
      <c r="J6027">
        <v>5634075</v>
      </c>
      <c r="K6027">
        <v>1011244</v>
      </c>
      <c r="L6027">
        <v>144463</v>
      </c>
      <c r="M6027">
        <v>0</v>
      </c>
      <c r="T6027" s="9">
        <v>45108</v>
      </c>
      <c r="U6027" s="9">
        <v>45473</v>
      </c>
      <c r="V6027">
        <f>SUM(POTABLE_NONPOTABLE_API[[#This Row],[RESIDENTIAL_SINGLEFAMILY_GAL]:[OTHER_GAL]])</f>
        <v>481352261</v>
      </c>
      <c r="W6027">
        <f>SUM(POTABLE_NONPOTABLE_API[[#This Row],[NONPOTABLE_DEMAND_RESIDENTIAL_RECYCLED_WATER_GAL]:[NONPOTABLE_DEMAND_NONRESIDENTIAL_METERED_IRRIGATION_GAL]])</f>
        <v>0</v>
      </c>
      <c r="X6027" t="str">
        <f>IFERROR(INDEX(Crosswalk_API!$H$2:$H$527, MATCH(POTABLE_NONPOTABLE_API[[#This Row],[PWSID]], CW_PWSID_LIST, 0)), "")</f>
        <v>No</v>
      </c>
    </row>
    <row r="6028" spans="1:24" x14ac:dyDescent="0.25">
      <c r="A6028" t="s">
        <v>2485</v>
      </c>
      <c r="B6028" t="s">
        <v>2486</v>
      </c>
      <c r="C6028" t="s">
        <v>2487</v>
      </c>
      <c r="D6028" t="s">
        <v>2488</v>
      </c>
      <c r="E6028" s="9">
        <v>45170</v>
      </c>
      <c r="F6028" s="9">
        <v>45199</v>
      </c>
      <c r="G6028">
        <v>406638675</v>
      </c>
      <c r="H6028">
        <v>1610786</v>
      </c>
      <c r="I6028">
        <v>9537548</v>
      </c>
      <c r="J6028">
        <v>4959525</v>
      </c>
      <c r="K6028">
        <v>890171</v>
      </c>
      <c r="L6028">
        <v>127167</v>
      </c>
      <c r="M6028">
        <v>0</v>
      </c>
      <c r="T6028" s="9">
        <v>45108</v>
      </c>
      <c r="U6028" s="9">
        <v>45473</v>
      </c>
      <c r="V6028">
        <f>SUM(POTABLE_NONPOTABLE_API[[#This Row],[RESIDENTIAL_SINGLEFAMILY_GAL]:[OTHER_GAL]])</f>
        <v>423763872</v>
      </c>
      <c r="W6028">
        <f>SUM(POTABLE_NONPOTABLE_API[[#This Row],[NONPOTABLE_DEMAND_RESIDENTIAL_RECYCLED_WATER_GAL]:[NONPOTABLE_DEMAND_NONRESIDENTIAL_METERED_IRRIGATION_GAL]])</f>
        <v>0</v>
      </c>
      <c r="X6028" t="str">
        <f>IFERROR(INDEX(Crosswalk_API!$H$2:$H$527, MATCH(POTABLE_NONPOTABLE_API[[#This Row],[PWSID]], CW_PWSID_LIST, 0)), "")</f>
        <v>No</v>
      </c>
    </row>
    <row r="6029" spans="1:24" x14ac:dyDescent="0.25">
      <c r="A6029" t="s">
        <v>2485</v>
      </c>
      <c r="B6029" t="s">
        <v>2486</v>
      </c>
      <c r="C6029" t="s">
        <v>2487</v>
      </c>
      <c r="D6029" t="s">
        <v>2488</v>
      </c>
      <c r="E6029" s="9">
        <v>45200</v>
      </c>
      <c r="F6029" s="9">
        <v>45230</v>
      </c>
      <c r="G6029">
        <v>354540458</v>
      </c>
      <c r="H6029">
        <v>1404413</v>
      </c>
      <c r="I6029">
        <v>8278647</v>
      </c>
      <c r="J6029">
        <v>4324115</v>
      </c>
      <c r="K6029">
        <v>776123</v>
      </c>
      <c r="L6029">
        <v>110874</v>
      </c>
      <c r="M6029">
        <v>0</v>
      </c>
      <c r="T6029" s="9">
        <v>45108</v>
      </c>
      <c r="U6029" s="9">
        <v>45473</v>
      </c>
      <c r="V6029">
        <f>SUM(POTABLE_NONPOTABLE_API[[#This Row],[RESIDENTIAL_SINGLEFAMILY_GAL]:[OTHER_GAL]])</f>
        <v>369434630</v>
      </c>
      <c r="W6029">
        <f>SUM(POTABLE_NONPOTABLE_API[[#This Row],[NONPOTABLE_DEMAND_RESIDENTIAL_RECYCLED_WATER_GAL]:[NONPOTABLE_DEMAND_NONRESIDENTIAL_METERED_IRRIGATION_GAL]])</f>
        <v>0</v>
      </c>
      <c r="X6029" t="str">
        <f>IFERROR(INDEX(Crosswalk_API!$H$2:$H$527, MATCH(POTABLE_NONPOTABLE_API[[#This Row],[PWSID]], CW_PWSID_LIST, 0)), "")</f>
        <v>No</v>
      </c>
    </row>
    <row r="6030" spans="1:24" x14ac:dyDescent="0.25">
      <c r="A6030" t="s">
        <v>2485</v>
      </c>
      <c r="B6030" t="s">
        <v>2486</v>
      </c>
      <c r="C6030" t="s">
        <v>2487</v>
      </c>
      <c r="D6030" t="s">
        <v>2488</v>
      </c>
      <c r="E6030" s="9">
        <v>45231</v>
      </c>
      <c r="F6030" s="9">
        <v>45260</v>
      </c>
      <c r="G6030">
        <v>270995178</v>
      </c>
      <c r="H6030">
        <v>1073472</v>
      </c>
      <c r="I6030">
        <v>6327835</v>
      </c>
      <c r="J6030">
        <v>3305164</v>
      </c>
      <c r="K6030">
        <v>593234</v>
      </c>
      <c r="L6030">
        <v>84178</v>
      </c>
      <c r="M6030">
        <v>0</v>
      </c>
      <c r="T6030" s="9">
        <v>45108</v>
      </c>
      <c r="U6030" s="9">
        <v>45473</v>
      </c>
      <c r="V6030">
        <f>SUM(POTABLE_NONPOTABLE_API[[#This Row],[RESIDENTIAL_SINGLEFAMILY_GAL]:[OTHER_GAL]])</f>
        <v>282379061</v>
      </c>
      <c r="W6030">
        <f>SUM(POTABLE_NONPOTABLE_API[[#This Row],[NONPOTABLE_DEMAND_RESIDENTIAL_RECYCLED_WATER_GAL]:[NONPOTABLE_DEMAND_NONRESIDENTIAL_METERED_IRRIGATION_GAL]])</f>
        <v>0</v>
      </c>
      <c r="X6030" t="str">
        <f>IFERROR(INDEX(Crosswalk_API!$H$2:$H$527, MATCH(POTABLE_NONPOTABLE_API[[#This Row],[PWSID]], CW_PWSID_LIST, 0)), "")</f>
        <v>No</v>
      </c>
    </row>
    <row r="6031" spans="1:24" x14ac:dyDescent="0.25">
      <c r="A6031" t="s">
        <v>2485</v>
      </c>
      <c r="B6031" t="s">
        <v>2486</v>
      </c>
      <c r="C6031" t="s">
        <v>2487</v>
      </c>
      <c r="D6031" t="s">
        <v>2488</v>
      </c>
      <c r="E6031" s="9">
        <v>45261</v>
      </c>
      <c r="F6031" s="9">
        <v>45291</v>
      </c>
      <c r="G6031">
        <v>204878838</v>
      </c>
      <c r="H6031">
        <v>811401</v>
      </c>
      <c r="I6031">
        <v>4761645</v>
      </c>
      <c r="J6031">
        <v>2498262</v>
      </c>
      <c r="K6031">
        <v>448406</v>
      </c>
      <c r="L6031">
        <v>64058</v>
      </c>
      <c r="M6031">
        <v>0</v>
      </c>
      <c r="T6031" s="9">
        <v>45108</v>
      </c>
      <c r="U6031" s="9">
        <v>45473</v>
      </c>
      <c r="V6031">
        <f>SUM(POTABLE_NONPOTABLE_API[[#This Row],[RESIDENTIAL_SINGLEFAMILY_GAL]:[OTHER_GAL]])</f>
        <v>213462610</v>
      </c>
      <c r="W6031">
        <f>SUM(POTABLE_NONPOTABLE_API[[#This Row],[NONPOTABLE_DEMAND_RESIDENTIAL_RECYCLED_WATER_GAL]:[NONPOTABLE_DEMAND_NONRESIDENTIAL_METERED_IRRIGATION_GAL]])</f>
        <v>0</v>
      </c>
      <c r="X6031" t="str">
        <f>IFERROR(INDEX(Crosswalk_API!$H$2:$H$527, MATCH(POTABLE_NONPOTABLE_API[[#This Row],[PWSID]], CW_PWSID_LIST, 0)), "")</f>
        <v>No</v>
      </c>
    </row>
    <row r="6032" spans="1:24" x14ac:dyDescent="0.25">
      <c r="A6032" t="s">
        <v>2485</v>
      </c>
      <c r="B6032" t="s">
        <v>2486</v>
      </c>
      <c r="C6032" t="s">
        <v>2487</v>
      </c>
      <c r="D6032" t="s">
        <v>2488</v>
      </c>
      <c r="E6032" s="9">
        <v>45292</v>
      </c>
      <c r="F6032" s="9">
        <v>45322</v>
      </c>
      <c r="G6032">
        <v>152836567</v>
      </c>
      <c r="H6032">
        <v>605293</v>
      </c>
      <c r="I6032">
        <v>3552116</v>
      </c>
      <c r="J6032">
        <v>1847737</v>
      </c>
      <c r="K6032">
        <v>334504</v>
      </c>
      <c r="L6032">
        <v>47786</v>
      </c>
      <c r="M6032">
        <v>0</v>
      </c>
      <c r="T6032" s="9">
        <v>45108</v>
      </c>
      <c r="U6032" s="9">
        <v>45473</v>
      </c>
      <c r="V6032">
        <f>SUM(POTABLE_NONPOTABLE_API[[#This Row],[RESIDENTIAL_SINGLEFAMILY_GAL]:[OTHER_GAL]])</f>
        <v>159224003</v>
      </c>
      <c r="W6032">
        <f>SUM(POTABLE_NONPOTABLE_API[[#This Row],[NONPOTABLE_DEMAND_RESIDENTIAL_RECYCLED_WATER_GAL]:[NONPOTABLE_DEMAND_NONRESIDENTIAL_METERED_IRRIGATION_GAL]])</f>
        <v>0</v>
      </c>
      <c r="X6032" t="str">
        <f>IFERROR(INDEX(Crosswalk_API!$H$2:$H$527, MATCH(POTABLE_NONPOTABLE_API[[#This Row],[PWSID]], CW_PWSID_LIST, 0)), "")</f>
        <v>No</v>
      </c>
    </row>
    <row r="6033" spans="1:24" x14ac:dyDescent="0.25">
      <c r="A6033" t="s">
        <v>2485</v>
      </c>
      <c r="B6033" t="s">
        <v>2486</v>
      </c>
      <c r="C6033" t="s">
        <v>2487</v>
      </c>
      <c r="D6033" t="s">
        <v>2488</v>
      </c>
      <c r="E6033" s="9">
        <v>45323</v>
      </c>
      <c r="F6033" s="9">
        <v>45351</v>
      </c>
      <c r="G6033">
        <v>126716889</v>
      </c>
      <c r="H6033">
        <v>501849</v>
      </c>
      <c r="I6033">
        <v>2945062</v>
      </c>
      <c r="J6033">
        <v>1531960</v>
      </c>
      <c r="K6033">
        <v>277338</v>
      </c>
      <c r="L6033">
        <v>39620</v>
      </c>
      <c r="M6033">
        <v>0</v>
      </c>
      <c r="T6033" s="9">
        <v>45108</v>
      </c>
      <c r="U6033" s="9">
        <v>45473</v>
      </c>
      <c r="V6033">
        <f>SUM(POTABLE_NONPOTABLE_API[[#This Row],[RESIDENTIAL_SINGLEFAMILY_GAL]:[OTHER_GAL]])</f>
        <v>132012718</v>
      </c>
      <c r="W6033">
        <f>SUM(POTABLE_NONPOTABLE_API[[#This Row],[NONPOTABLE_DEMAND_RESIDENTIAL_RECYCLED_WATER_GAL]:[NONPOTABLE_DEMAND_NONRESIDENTIAL_METERED_IRRIGATION_GAL]])</f>
        <v>0</v>
      </c>
      <c r="X6033" t="str">
        <f>IFERROR(INDEX(Crosswalk_API!$H$2:$H$527, MATCH(POTABLE_NONPOTABLE_API[[#This Row],[PWSID]], CW_PWSID_LIST, 0)), "")</f>
        <v>No</v>
      </c>
    </row>
    <row r="6034" spans="1:24" x14ac:dyDescent="0.25">
      <c r="A6034" t="s">
        <v>2485</v>
      </c>
      <c r="B6034" t="s">
        <v>2486</v>
      </c>
      <c r="C6034" t="s">
        <v>2487</v>
      </c>
      <c r="D6034" t="s">
        <v>2488</v>
      </c>
      <c r="E6034" s="9">
        <v>45352</v>
      </c>
      <c r="F6034" s="9">
        <v>45382</v>
      </c>
      <c r="G6034">
        <v>197718897</v>
      </c>
      <c r="H6034">
        <v>783127</v>
      </c>
      <c r="I6034">
        <v>4616326</v>
      </c>
      <c r="J6034">
        <v>2411206</v>
      </c>
      <c r="K6034">
        <v>432780</v>
      </c>
      <c r="L6034">
        <v>61826</v>
      </c>
      <c r="M6034">
        <v>0</v>
      </c>
      <c r="T6034" s="9">
        <v>45108</v>
      </c>
      <c r="U6034" s="9">
        <v>45473</v>
      </c>
      <c r="V6034">
        <f>SUM(POTABLE_NONPOTABLE_API[[#This Row],[RESIDENTIAL_SINGLEFAMILY_GAL]:[OTHER_GAL]])</f>
        <v>206024162</v>
      </c>
      <c r="W6034">
        <f>SUM(POTABLE_NONPOTABLE_API[[#This Row],[NONPOTABLE_DEMAND_RESIDENTIAL_RECYCLED_WATER_GAL]:[NONPOTABLE_DEMAND_NONRESIDENTIAL_METERED_IRRIGATION_GAL]])</f>
        <v>0</v>
      </c>
      <c r="X6034" t="str">
        <f>IFERROR(INDEX(Crosswalk_API!$H$2:$H$527, MATCH(POTABLE_NONPOTABLE_API[[#This Row],[PWSID]], CW_PWSID_LIST, 0)), "")</f>
        <v>No</v>
      </c>
    </row>
    <row r="6035" spans="1:24" x14ac:dyDescent="0.25">
      <c r="A6035" t="s">
        <v>2485</v>
      </c>
      <c r="B6035" t="s">
        <v>2486</v>
      </c>
      <c r="C6035" t="s">
        <v>2487</v>
      </c>
      <c r="D6035" t="s">
        <v>2488</v>
      </c>
      <c r="E6035" s="9">
        <v>45383</v>
      </c>
      <c r="F6035" s="9">
        <v>45412</v>
      </c>
      <c r="G6035">
        <v>259075647</v>
      </c>
      <c r="H6035">
        <v>1026149</v>
      </c>
      <c r="I6035">
        <v>6048879</v>
      </c>
      <c r="J6035">
        <v>3159459</v>
      </c>
      <c r="K6035">
        <v>567082</v>
      </c>
      <c r="L6035">
        <v>81012</v>
      </c>
      <c r="M6035">
        <v>0</v>
      </c>
      <c r="T6035" s="9">
        <v>45108</v>
      </c>
      <c r="U6035" s="9">
        <v>45473</v>
      </c>
      <c r="V6035">
        <f>SUM(POTABLE_NONPOTABLE_API[[#This Row],[RESIDENTIAL_SINGLEFAMILY_GAL]:[OTHER_GAL]])</f>
        <v>269958228</v>
      </c>
      <c r="W6035">
        <f>SUM(POTABLE_NONPOTABLE_API[[#This Row],[NONPOTABLE_DEMAND_RESIDENTIAL_RECYCLED_WATER_GAL]:[NONPOTABLE_DEMAND_NONRESIDENTIAL_METERED_IRRIGATION_GAL]])</f>
        <v>0</v>
      </c>
      <c r="X6035" t="str">
        <f>IFERROR(INDEX(Crosswalk_API!$H$2:$H$527, MATCH(POTABLE_NONPOTABLE_API[[#This Row],[PWSID]], CW_PWSID_LIST, 0)), "")</f>
        <v>No</v>
      </c>
    </row>
    <row r="6036" spans="1:24" x14ac:dyDescent="0.25">
      <c r="A6036" t="s">
        <v>2485</v>
      </c>
      <c r="B6036" t="s">
        <v>2486</v>
      </c>
      <c r="C6036" t="s">
        <v>2487</v>
      </c>
      <c r="D6036" t="s">
        <v>2488</v>
      </c>
      <c r="E6036" s="9">
        <v>45413</v>
      </c>
      <c r="F6036" s="9">
        <v>45443</v>
      </c>
      <c r="G6036">
        <v>400416083</v>
      </c>
      <c r="H6036">
        <v>1586302</v>
      </c>
      <c r="I6036">
        <v>9392579</v>
      </c>
      <c r="J6036">
        <v>4884141</v>
      </c>
      <c r="K6036">
        <v>876641</v>
      </c>
      <c r="L6036">
        <v>125234</v>
      </c>
      <c r="M6036">
        <v>0</v>
      </c>
      <c r="T6036" s="9">
        <v>45108</v>
      </c>
      <c r="U6036" s="9">
        <v>45473</v>
      </c>
      <c r="V6036">
        <f>SUM(POTABLE_NONPOTABLE_API[[#This Row],[RESIDENTIAL_SINGLEFAMILY_GAL]:[OTHER_GAL]])</f>
        <v>417280980</v>
      </c>
      <c r="W6036">
        <f>SUM(POTABLE_NONPOTABLE_API[[#This Row],[NONPOTABLE_DEMAND_RESIDENTIAL_RECYCLED_WATER_GAL]:[NONPOTABLE_DEMAND_NONRESIDENTIAL_METERED_IRRIGATION_GAL]])</f>
        <v>0</v>
      </c>
      <c r="X6036" t="str">
        <f>IFERROR(INDEX(Crosswalk_API!$H$2:$H$527, MATCH(POTABLE_NONPOTABLE_API[[#This Row],[PWSID]], CW_PWSID_LIST, 0)), "")</f>
        <v>No</v>
      </c>
    </row>
    <row r="6037" spans="1:24" x14ac:dyDescent="0.25">
      <c r="A6037" t="s">
        <v>2485</v>
      </c>
      <c r="B6037" t="s">
        <v>2486</v>
      </c>
      <c r="C6037" t="s">
        <v>2487</v>
      </c>
      <c r="D6037" t="s">
        <v>2488</v>
      </c>
      <c r="E6037" s="9">
        <v>45444</v>
      </c>
      <c r="F6037" s="9">
        <v>45473</v>
      </c>
      <c r="G6037">
        <v>472900615</v>
      </c>
      <c r="H6037">
        <v>1873264</v>
      </c>
      <c r="I6037">
        <v>11091696</v>
      </c>
      <c r="J6037">
        <v>5767682</v>
      </c>
      <c r="K6037">
        <v>1035225</v>
      </c>
      <c r="L6037">
        <v>147889</v>
      </c>
      <c r="M6037">
        <v>0</v>
      </c>
      <c r="T6037" s="9">
        <v>45108</v>
      </c>
      <c r="U6037" s="9">
        <v>45473</v>
      </c>
      <c r="V6037">
        <f>SUM(POTABLE_NONPOTABLE_API[[#This Row],[RESIDENTIAL_SINGLEFAMILY_GAL]:[OTHER_GAL]])</f>
        <v>492816371</v>
      </c>
      <c r="W6037">
        <f>SUM(POTABLE_NONPOTABLE_API[[#This Row],[NONPOTABLE_DEMAND_RESIDENTIAL_RECYCLED_WATER_GAL]:[NONPOTABLE_DEMAND_NONRESIDENTIAL_METERED_IRRIGATION_GAL]])</f>
        <v>0</v>
      </c>
      <c r="X6037" t="str">
        <f>IFERROR(INDEX(Crosswalk_API!$H$2:$H$527, MATCH(POTABLE_NONPOTABLE_API[[#This Row],[PWSID]], CW_PWSID_LIST, 0)), "")</f>
        <v>No</v>
      </c>
    </row>
    <row r="6038" spans="1:24" x14ac:dyDescent="0.25">
      <c r="A6038" t="s">
        <v>2489</v>
      </c>
      <c r="B6038" t="s">
        <v>2490</v>
      </c>
      <c r="C6038" t="s">
        <v>2491</v>
      </c>
      <c r="D6038" t="s">
        <v>2492</v>
      </c>
      <c r="E6038" s="9">
        <v>45108</v>
      </c>
      <c r="F6038" s="9">
        <v>45138</v>
      </c>
      <c r="G6038">
        <v>117703898.22000001</v>
      </c>
      <c r="H6038">
        <v>10472851.140000001</v>
      </c>
      <c r="I6038">
        <v>18071696.460000001</v>
      </c>
      <c r="J6038">
        <v>15748378.83</v>
      </c>
      <c r="K6038">
        <v>2111514.48</v>
      </c>
      <c r="L6038">
        <v>2564447.37</v>
      </c>
      <c r="M6038">
        <v>47199517.350000001</v>
      </c>
      <c r="N6038">
        <v>0</v>
      </c>
      <c r="O6038">
        <v>0</v>
      </c>
      <c r="P6038">
        <v>0</v>
      </c>
      <c r="Q6038">
        <v>32174527.739999998</v>
      </c>
      <c r="R6038">
        <v>0</v>
      </c>
      <c r="S6038">
        <v>0</v>
      </c>
      <c r="T6038" s="9">
        <v>45108</v>
      </c>
      <c r="U6038" s="9">
        <v>45473</v>
      </c>
      <c r="V6038">
        <f>SUM(POTABLE_NONPOTABLE_API[[#This Row],[RESIDENTIAL_SINGLEFAMILY_GAL]:[OTHER_GAL]])</f>
        <v>166672786.50000003</v>
      </c>
      <c r="W6038">
        <f>SUM(POTABLE_NONPOTABLE_API[[#This Row],[NONPOTABLE_DEMAND_RESIDENTIAL_RECYCLED_WATER_GAL]:[NONPOTABLE_DEMAND_NONRESIDENTIAL_METERED_IRRIGATION_GAL]])</f>
        <v>32174527.739999998</v>
      </c>
      <c r="X6038" t="str">
        <f>IFERROR(INDEX(Crosswalk_API!$H$2:$H$527, MATCH(POTABLE_NONPOTABLE_API[[#This Row],[PWSID]], CW_PWSID_LIST, 0)), "")</f>
        <v>No</v>
      </c>
    </row>
    <row r="6039" spans="1:24" x14ac:dyDescent="0.25">
      <c r="A6039" t="s">
        <v>2489</v>
      </c>
      <c r="B6039" t="s">
        <v>2490</v>
      </c>
      <c r="C6039" t="s">
        <v>2491</v>
      </c>
      <c r="D6039" t="s">
        <v>2492</v>
      </c>
      <c r="E6039" s="9">
        <v>45139</v>
      </c>
      <c r="F6039" s="9">
        <v>45169</v>
      </c>
      <c r="G6039">
        <v>139268717.40000001</v>
      </c>
      <c r="H6039">
        <v>10935559.560000001</v>
      </c>
      <c r="I6039">
        <v>19476114.27</v>
      </c>
      <c r="J6039">
        <v>19850842.920000002</v>
      </c>
      <c r="K6039">
        <v>2698046.28</v>
      </c>
      <c r="L6039">
        <v>2241854.88</v>
      </c>
      <c r="M6039">
        <v>57199884.539999999</v>
      </c>
      <c r="N6039">
        <v>0</v>
      </c>
      <c r="O6039">
        <v>0</v>
      </c>
      <c r="P6039">
        <v>0</v>
      </c>
      <c r="Q6039">
        <v>32171269.23</v>
      </c>
      <c r="R6039">
        <v>0</v>
      </c>
      <c r="S6039">
        <v>0</v>
      </c>
      <c r="T6039" s="9">
        <v>45108</v>
      </c>
      <c r="U6039" s="9">
        <v>45473</v>
      </c>
      <c r="V6039">
        <f>SUM(POTABLE_NONPOTABLE_API[[#This Row],[RESIDENTIAL_SINGLEFAMILY_GAL]:[OTHER_GAL]])</f>
        <v>194471135.31000003</v>
      </c>
      <c r="W6039">
        <f>SUM(POTABLE_NONPOTABLE_API[[#This Row],[NONPOTABLE_DEMAND_RESIDENTIAL_RECYCLED_WATER_GAL]:[NONPOTABLE_DEMAND_NONRESIDENTIAL_METERED_IRRIGATION_GAL]])</f>
        <v>32171269.23</v>
      </c>
      <c r="X6039" t="str">
        <f>IFERROR(INDEX(Crosswalk_API!$H$2:$H$527, MATCH(POTABLE_NONPOTABLE_API[[#This Row],[PWSID]], CW_PWSID_LIST, 0)), "")</f>
        <v>No</v>
      </c>
    </row>
    <row r="6040" spans="1:24" x14ac:dyDescent="0.25">
      <c r="A6040" t="s">
        <v>2489</v>
      </c>
      <c r="B6040" t="s">
        <v>2490</v>
      </c>
      <c r="C6040" t="s">
        <v>2491</v>
      </c>
      <c r="D6040" t="s">
        <v>2492</v>
      </c>
      <c r="E6040" s="9">
        <v>45170</v>
      </c>
      <c r="F6040" s="9">
        <v>45199</v>
      </c>
      <c r="G6040">
        <v>159464962.38</v>
      </c>
      <c r="H6040">
        <v>13604279.25</v>
      </c>
      <c r="I6040">
        <v>22874740.199999999</v>
      </c>
      <c r="J6040">
        <v>21587628.75</v>
      </c>
      <c r="K6040">
        <v>3675599.28</v>
      </c>
      <c r="L6040">
        <v>1538016.72</v>
      </c>
      <c r="M6040">
        <v>50389598.639999993</v>
      </c>
      <c r="N6040">
        <v>0</v>
      </c>
      <c r="O6040">
        <v>0</v>
      </c>
      <c r="P6040">
        <v>0</v>
      </c>
      <c r="Q6040">
        <v>26739333.060000002</v>
      </c>
      <c r="R6040">
        <v>0</v>
      </c>
      <c r="S6040">
        <v>0</v>
      </c>
      <c r="T6040" s="9">
        <v>45108</v>
      </c>
      <c r="U6040" s="9">
        <v>45473</v>
      </c>
      <c r="V6040">
        <f>SUM(POTABLE_NONPOTABLE_API[[#This Row],[RESIDENTIAL_SINGLEFAMILY_GAL]:[OTHER_GAL]])</f>
        <v>222745226.57999998</v>
      </c>
      <c r="W6040">
        <f>SUM(POTABLE_NONPOTABLE_API[[#This Row],[NONPOTABLE_DEMAND_RESIDENTIAL_RECYCLED_WATER_GAL]:[NONPOTABLE_DEMAND_NONRESIDENTIAL_METERED_IRRIGATION_GAL]])</f>
        <v>26739333.060000002</v>
      </c>
      <c r="X6040" t="str">
        <f>IFERROR(INDEX(Crosswalk_API!$H$2:$H$527, MATCH(POTABLE_NONPOTABLE_API[[#This Row],[PWSID]], CW_PWSID_LIST, 0)), "")</f>
        <v>No</v>
      </c>
    </row>
    <row r="6041" spans="1:24" x14ac:dyDescent="0.25">
      <c r="A6041" t="s">
        <v>2489</v>
      </c>
      <c r="B6041" t="s">
        <v>2490</v>
      </c>
      <c r="C6041" t="s">
        <v>2491</v>
      </c>
      <c r="D6041" t="s">
        <v>2492</v>
      </c>
      <c r="E6041" s="9">
        <v>45200</v>
      </c>
      <c r="F6041" s="9">
        <v>45230</v>
      </c>
      <c r="G6041">
        <v>123693039.60000001</v>
      </c>
      <c r="H6041">
        <v>10678137.270000001</v>
      </c>
      <c r="I6041">
        <v>18625643.16</v>
      </c>
      <c r="J6041">
        <v>15429044.85</v>
      </c>
      <c r="K6041">
        <v>2681753.73</v>
      </c>
      <c r="L6041">
        <v>1808473.05</v>
      </c>
      <c r="M6041">
        <v>48913493.610000007</v>
      </c>
      <c r="N6041">
        <v>0</v>
      </c>
      <c r="O6041">
        <v>0</v>
      </c>
      <c r="P6041">
        <v>0</v>
      </c>
      <c r="Q6041">
        <v>27505082.91</v>
      </c>
      <c r="R6041">
        <v>0</v>
      </c>
      <c r="T6041" s="9">
        <v>45108</v>
      </c>
      <c r="U6041" s="9">
        <v>45473</v>
      </c>
      <c r="V6041">
        <f>SUM(POTABLE_NONPOTABLE_API[[#This Row],[RESIDENTIAL_SINGLEFAMILY_GAL]:[OTHER_GAL]])</f>
        <v>172916091.66</v>
      </c>
      <c r="W6041">
        <f>SUM(POTABLE_NONPOTABLE_API[[#This Row],[NONPOTABLE_DEMAND_RESIDENTIAL_RECYCLED_WATER_GAL]:[NONPOTABLE_DEMAND_NONRESIDENTIAL_METERED_IRRIGATION_GAL]])</f>
        <v>27505082.91</v>
      </c>
      <c r="X6041" t="str">
        <f>IFERROR(INDEX(Crosswalk_API!$H$2:$H$527, MATCH(POTABLE_NONPOTABLE_API[[#This Row],[PWSID]], CW_PWSID_LIST, 0)), "")</f>
        <v>No</v>
      </c>
    </row>
    <row r="6042" spans="1:24" x14ac:dyDescent="0.25">
      <c r="A6042" t="s">
        <v>2489</v>
      </c>
      <c r="B6042" t="s">
        <v>2490</v>
      </c>
      <c r="C6042" t="s">
        <v>2491</v>
      </c>
      <c r="D6042" t="s">
        <v>2492</v>
      </c>
      <c r="E6042" s="9">
        <v>45231</v>
      </c>
      <c r="F6042" s="9">
        <v>45260</v>
      </c>
      <c r="G6042">
        <v>121082973.08999999</v>
      </c>
      <c r="H6042">
        <v>10397905.41</v>
      </c>
      <c r="I6042">
        <v>18508336.800000001</v>
      </c>
      <c r="J6042">
        <v>14725206.689999999</v>
      </c>
      <c r="K6042">
        <v>2528603.7599999998</v>
      </c>
      <c r="L6042">
        <v>1339247.6100000001</v>
      </c>
      <c r="M6042">
        <v>47179966.289999999</v>
      </c>
      <c r="N6042">
        <v>0</v>
      </c>
      <c r="O6042">
        <v>0</v>
      </c>
      <c r="P6042">
        <v>0</v>
      </c>
      <c r="Q6042">
        <v>25986617.25</v>
      </c>
      <c r="R6042">
        <v>0</v>
      </c>
      <c r="S6042">
        <v>0</v>
      </c>
      <c r="T6042" s="9">
        <v>45108</v>
      </c>
      <c r="U6042" s="9">
        <v>45473</v>
      </c>
      <c r="V6042">
        <f>SUM(POTABLE_NONPOTABLE_API[[#This Row],[RESIDENTIAL_SINGLEFAMILY_GAL]:[OTHER_GAL]])</f>
        <v>168582273.35999998</v>
      </c>
      <c r="W6042">
        <f>SUM(POTABLE_NONPOTABLE_API[[#This Row],[NONPOTABLE_DEMAND_RESIDENTIAL_RECYCLED_WATER_GAL]:[NONPOTABLE_DEMAND_NONRESIDENTIAL_METERED_IRRIGATION_GAL]])</f>
        <v>25986617.25</v>
      </c>
      <c r="X6042" t="str">
        <f>IFERROR(INDEX(Crosswalk_API!$H$2:$H$527, MATCH(POTABLE_NONPOTABLE_API[[#This Row],[PWSID]], CW_PWSID_LIST, 0)), "")</f>
        <v>No</v>
      </c>
    </row>
    <row r="6043" spans="1:24" x14ac:dyDescent="0.25">
      <c r="A6043" t="s">
        <v>2489</v>
      </c>
      <c r="B6043" t="s">
        <v>2490</v>
      </c>
      <c r="C6043" t="s">
        <v>2491</v>
      </c>
      <c r="D6043" t="s">
        <v>2492</v>
      </c>
      <c r="E6043" s="9">
        <v>45261</v>
      </c>
      <c r="F6043" s="9">
        <v>45291</v>
      </c>
      <c r="G6043">
        <v>131940328.41000001</v>
      </c>
      <c r="H6043">
        <v>12587624.130000001</v>
      </c>
      <c r="I6043">
        <v>18889582.469999999</v>
      </c>
      <c r="J6043">
        <v>12265031.640000001</v>
      </c>
      <c r="K6043">
        <v>2769733.5</v>
      </c>
      <c r="L6043">
        <v>1179580.6200000001</v>
      </c>
      <c r="M6043">
        <v>37831301.100000001</v>
      </c>
      <c r="N6043">
        <v>0</v>
      </c>
      <c r="O6043">
        <v>0</v>
      </c>
      <c r="P6043">
        <v>0</v>
      </c>
      <c r="Q6043">
        <v>20375463.030000001</v>
      </c>
      <c r="R6043">
        <v>0</v>
      </c>
      <c r="S6043">
        <v>0</v>
      </c>
      <c r="T6043" s="9">
        <v>45108</v>
      </c>
      <c r="U6043" s="9">
        <v>45473</v>
      </c>
      <c r="V6043">
        <f>SUM(POTABLE_NONPOTABLE_API[[#This Row],[RESIDENTIAL_SINGLEFAMILY_GAL]:[OTHER_GAL]])</f>
        <v>179631880.77000004</v>
      </c>
      <c r="W6043">
        <f>SUM(POTABLE_NONPOTABLE_API[[#This Row],[NONPOTABLE_DEMAND_RESIDENTIAL_RECYCLED_WATER_GAL]:[NONPOTABLE_DEMAND_NONRESIDENTIAL_METERED_IRRIGATION_GAL]])</f>
        <v>20375463.030000001</v>
      </c>
      <c r="X6043" t="str">
        <f>IFERROR(INDEX(Crosswalk_API!$H$2:$H$527, MATCH(POTABLE_NONPOTABLE_API[[#This Row],[PWSID]], CW_PWSID_LIST, 0)), "")</f>
        <v>No</v>
      </c>
    </row>
    <row r="6044" spans="1:24" x14ac:dyDescent="0.25">
      <c r="A6044" t="s">
        <v>2489</v>
      </c>
      <c r="B6044" t="s">
        <v>2490</v>
      </c>
      <c r="C6044" t="s">
        <v>2491</v>
      </c>
      <c r="D6044" t="s">
        <v>2492</v>
      </c>
      <c r="E6044" s="9">
        <v>45292</v>
      </c>
      <c r="F6044" s="9">
        <v>45322</v>
      </c>
      <c r="G6044">
        <v>79178534.49000001</v>
      </c>
      <c r="H6044">
        <v>9413835.3900000006</v>
      </c>
      <c r="I6044">
        <v>11870751.93</v>
      </c>
      <c r="J6044">
        <v>6246563.6700000009</v>
      </c>
      <c r="K6044">
        <v>1850833.68</v>
      </c>
      <c r="L6044">
        <v>866763.66</v>
      </c>
      <c r="M6044">
        <v>8074587.7800000003</v>
      </c>
      <c r="N6044">
        <v>0</v>
      </c>
      <c r="O6044">
        <v>0</v>
      </c>
      <c r="P6044">
        <v>0</v>
      </c>
      <c r="Q6044">
        <v>5598120.1799999997</v>
      </c>
      <c r="R6044">
        <v>0</v>
      </c>
      <c r="S6044">
        <v>0</v>
      </c>
      <c r="T6044" s="9">
        <v>45108</v>
      </c>
      <c r="U6044" s="9">
        <v>45473</v>
      </c>
      <c r="V6044">
        <f>SUM(POTABLE_NONPOTABLE_API[[#This Row],[RESIDENTIAL_SINGLEFAMILY_GAL]:[OTHER_GAL]])</f>
        <v>109427282.82000001</v>
      </c>
      <c r="W6044">
        <f>SUM(POTABLE_NONPOTABLE_API[[#This Row],[NONPOTABLE_DEMAND_RESIDENTIAL_RECYCLED_WATER_GAL]:[NONPOTABLE_DEMAND_NONRESIDENTIAL_METERED_IRRIGATION_GAL]])</f>
        <v>5598120.1799999997</v>
      </c>
      <c r="X6044" t="str">
        <f>IFERROR(INDEX(Crosswalk_API!$H$2:$H$527, MATCH(POTABLE_NONPOTABLE_API[[#This Row],[PWSID]], CW_PWSID_LIST, 0)), "")</f>
        <v>No</v>
      </c>
    </row>
    <row r="6045" spans="1:24" x14ac:dyDescent="0.25">
      <c r="A6045" t="s">
        <v>2489</v>
      </c>
      <c r="B6045" t="s">
        <v>2490</v>
      </c>
      <c r="C6045" t="s">
        <v>2491</v>
      </c>
      <c r="D6045" t="s">
        <v>2492</v>
      </c>
      <c r="E6045" s="9">
        <v>45323</v>
      </c>
      <c r="F6045" s="9">
        <v>45351</v>
      </c>
      <c r="G6045">
        <v>78279185.729999989</v>
      </c>
      <c r="H6045">
        <v>10384871.370000001</v>
      </c>
      <c r="I6045">
        <v>12551780.520000001</v>
      </c>
      <c r="J6045">
        <v>4275165.12</v>
      </c>
      <c r="K6045">
        <v>2007242.1600000001</v>
      </c>
      <c r="L6045">
        <v>550688.18999999994</v>
      </c>
      <c r="M6045">
        <v>6552863.6099999994</v>
      </c>
      <c r="N6045">
        <v>0</v>
      </c>
      <c r="O6045">
        <v>0</v>
      </c>
      <c r="P6045">
        <v>0</v>
      </c>
      <c r="Q6045">
        <v>4897540.5299999993</v>
      </c>
      <c r="R6045">
        <v>0</v>
      </c>
      <c r="T6045" s="9">
        <v>45108</v>
      </c>
      <c r="U6045" s="9">
        <v>45473</v>
      </c>
      <c r="V6045">
        <f>SUM(POTABLE_NONPOTABLE_API[[#This Row],[RESIDENTIAL_SINGLEFAMILY_GAL]:[OTHER_GAL]])</f>
        <v>108048933.08999999</v>
      </c>
      <c r="W6045">
        <f>SUM(POTABLE_NONPOTABLE_API[[#This Row],[NONPOTABLE_DEMAND_RESIDENTIAL_RECYCLED_WATER_GAL]:[NONPOTABLE_DEMAND_NONRESIDENTIAL_METERED_IRRIGATION_GAL]])</f>
        <v>4897540.5299999993</v>
      </c>
      <c r="X6045" t="str">
        <f>IFERROR(INDEX(Crosswalk_API!$H$2:$H$527, MATCH(POTABLE_NONPOTABLE_API[[#This Row],[PWSID]], CW_PWSID_LIST, 0)), "")</f>
        <v>No</v>
      </c>
    </row>
    <row r="6046" spans="1:24" x14ac:dyDescent="0.25">
      <c r="A6046" t="s">
        <v>2489</v>
      </c>
      <c r="B6046" t="s">
        <v>2490</v>
      </c>
      <c r="C6046" t="s">
        <v>2491</v>
      </c>
      <c r="D6046" t="s">
        <v>2492</v>
      </c>
      <c r="E6046" s="9">
        <v>45352</v>
      </c>
      <c r="F6046" s="9">
        <v>45382</v>
      </c>
      <c r="G6046">
        <v>52611902.460000001</v>
      </c>
      <c r="H6046">
        <v>8084363.3099999996</v>
      </c>
      <c r="I6046">
        <v>9417093.9000000004</v>
      </c>
      <c r="J6046">
        <v>2486243.13</v>
      </c>
      <c r="K6046">
        <v>1264301.8799999999</v>
      </c>
      <c r="L6046">
        <v>426864.81</v>
      </c>
      <c r="M6046">
        <v>4868213.9399999995</v>
      </c>
      <c r="N6046">
        <v>0</v>
      </c>
      <c r="O6046">
        <v>0</v>
      </c>
      <c r="P6046">
        <v>0</v>
      </c>
      <c r="Q6046">
        <v>2730631.3800000004</v>
      </c>
      <c r="R6046">
        <v>0</v>
      </c>
      <c r="S6046">
        <v>0</v>
      </c>
      <c r="T6046" s="9">
        <v>45108</v>
      </c>
      <c r="U6046" s="9">
        <v>45473</v>
      </c>
      <c r="V6046">
        <f>SUM(POTABLE_NONPOTABLE_API[[#This Row],[RESIDENTIAL_SINGLEFAMILY_GAL]:[OTHER_GAL]])</f>
        <v>74290769.489999995</v>
      </c>
      <c r="W6046">
        <f>SUM(POTABLE_NONPOTABLE_API[[#This Row],[NONPOTABLE_DEMAND_RESIDENTIAL_RECYCLED_WATER_GAL]:[NONPOTABLE_DEMAND_NONRESIDENTIAL_METERED_IRRIGATION_GAL]])</f>
        <v>2730631.3800000004</v>
      </c>
      <c r="X6046" t="str">
        <f>IFERROR(INDEX(Crosswalk_API!$H$2:$H$527, MATCH(POTABLE_NONPOTABLE_API[[#This Row],[PWSID]], CW_PWSID_LIST, 0)), "")</f>
        <v>No</v>
      </c>
    </row>
    <row r="6047" spans="1:24" x14ac:dyDescent="0.25">
      <c r="A6047" t="s">
        <v>2489</v>
      </c>
      <c r="B6047" t="s">
        <v>2490</v>
      </c>
      <c r="C6047" t="s">
        <v>2491</v>
      </c>
      <c r="D6047" t="s">
        <v>2492</v>
      </c>
      <c r="E6047" s="9">
        <v>45383</v>
      </c>
      <c r="F6047" s="9">
        <v>45412</v>
      </c>
      <c r="G6047">
        <v>67532619.75</v>
      </c>
      <c r="H6047">
        <v>8690446.1699999999</v>
      </c>
      <c r="I6047">
        <v>12128174.219999999</v>
      </c>
      <c r="J6047">
        <v>5454745.7399999993</v>
      </c>
      <c r="K6047">
        <v>1296886.98</v>
      </c>
      <c r="L6047">
        <v>661477.52999999991</v>
      </c>
      <c r="M6047">
        <v>8856630.1799999997</v>
      </c>
      <c r="N6047">
        <v>0</v>
      </c>
      <c r="O6047">
        <v>0</v>
      </c>
      <c r="P6047">
        <v>0</v>
      </c>
      <c r="Q6047">
        <v>7341423.0300000003</v>
      </c>
      <c r="R6047">
        <v>0</v>
      </c>
      <c r="S6047">
        <v>0</v>
      </c>
      <c r="T6047" s="9">
        <v>45108</v>
      </c>
      <c r="U6047" s="9">
        <v>45473</v>
      </c>
      <c r="V6047">
        <f>SUM(POTABLE_NONPOTABLE_API[[#This Row],[RESIDENTIAL_SINGLEFAMILY_GAL]:[OTHER_GAL]])</f>
        <v>95764350.390000001</v>
      </c>
      <c r="W6047">
        <f>SUM(POTABLE_NONPOTABLE_API[[#This Row],[NONPOTABLE_DEMAND_RESIDENTIAL_RECYCLED_WATER_GAL]:[NONPOTABLE_DEMAND_NONRESIDENTIAL_METERED_IRRIGATION_GAL]])</f>
        <v>7341423.0300000003</v>
      </c>
      <c r="X6047" t="str">
        <f>IFERROR(INDEX(Crosswalk_API!$H$2:$H$527, MATCH(POTABLE_NONPOTABLE_API[[#This Row],[PWSID]], CW_PWSID_LIST, 0)), "")</f>
        <v>No</v>
      </c>
    </row>
    <row r="6048" spans="1:24" x14ac:dyDescent="0.25">
      <c r="A6048" t="s">
        <v>2489</v>
      </c>
      <c r="B6048" t="s">
        <v>2490</v>
      </c>
      <c r="C6048" t="s">
        <v>2491</v>
      </c>
      <c r="D6048" t="s">
        <v>2492</v>
      </c>
      <c r="E6048" s="9">
        <v>45413</v>
      </c>
      <c r="F6048" s="9">
        <v>45443</v>
      </c>
      <c r="G6048">
        <v>83502577.25999999</v>
      </c>
      <c r="H6048">
        <v>8749099.3499999996</v>
      </c>
      <c r="I6048">
        <v>14904424.74</v>
      </c>
      <c r="J6048">
        <v>7934471.8500000006</v>
      </c>
      <c r="K6048">
        <v>1456553.97</v>
      </c>
      <c r="L6048">
        <v>566980.74</v>
      </c>
      <c r="M6048">
        <v>18847221.84</v>
      </c>
      <c r="N6048">
        <v>0</v>
      </c>
      <c r="O6048">
        <v>0</v>
      </c>
      <c r="P6048">
        <v>0</v>
      </c>
      <c r="Q6048">
        <v>20033319.48</v>
      </c>
      <c r="R6048">
        <v>0</v>
      </c>
      <c r="S6048">
        <v>0</v>
      </c>
      <c r="T6048" s="9">
        <v>45108</v>
      </c>
      <c r="U6048" s="9">
        <v>45473</v>
      </c>
      <c r="V6048">
        <f>SUM(POTABLE_NONPOTABLE_API[[#This Row],[RESIDENTIAL_SINGLEFAMILY_GAL]:[OTHER_GAL]])</f>
        <v>117114107.90999997</v>
      </c>
      <c r="W6048">
        <f>SUM(POTABLE_NONPOTABLE_API[[#This Row],[NONPOTABLE_DEMAND_RESIDENTIAL_RECYCLED_WATER_GAL]:[NONPOTABLE_DEMAND_NONRESIDENTIAL_METERED_IRRIGATION_GAL]])</f>
        <v>20033319.48</v>
      </c>
      <c r="X6048" t="str">
        <f>IFERROR(INDEX(Crosswalk_API!$H$2:$H$527, MATCH(POTABLE_NONPOTABLE_API[[#This Row],[PWSID]], CW_PWSID_LIST, 0)), "")</f>
        <v>No</v>
      </c>
    </row>
    <row r="6049" spans="1:24" x14ac:dyDescent="0.25">
      <c r="A6049" t="s">
        <v>2489</v>
      </c>
      <c r="B6049" t="s">
        <v>2490</v>
      </c>
      <c r="C6049" t="s">
        <v>2491</v>
      </c>
      <c r="D6049" t="s">
        <v>2492</v>
      </c>
      <c r="E6049" s="9">
        <v>45444</v>
      </c>
      <c r="F6049" s="9">
        <v>45473</v>
      </c>
      <c r="G6049">
        <v>141663722.25</v>
      </c>
      <c r="H6049">
        <v>12730998.57</v>
      </c>
      <c r="I6049">
        <v>17260327.469999999</v>
      </c>
      <c r="J6049">
        <v>15314997</v>
      </c>
      <c r="K6049">
        <v>2825128.17</v>
      </c>
      <c r="L6049">
        <v>1091600.8500000001</v>
      </c>
      <c r="M6049">
        <v>43413128.729999997</v>
      </c>
      <c r="N6049">
        <v>0</v>
      </c>
      <c r="O6049">
        <v>0</v>
      </c>
      <c r="P6049">
        <v>0</v>
      </c>
      <c r="Q6049">
        <v>29714352.689999998</v>
      </c>
      <c r="R6049">
        <v>0</v>
      </c>
      <c r="S6049">
        <v>0</v>
      </c>
      <c r="T6049" s="9">
        <v>45108</v>
      </c>
      <c r="U6049" s="9">
        <v>45473</v>
      </c>
      <c r="V6049">
        <f>SUM(POTABLE_NONPOTABLE_API[[#This Row],[RESIDENTIAL_SINGLEFAMILY_GAL]:[OTHER_GAL]])</f>
        <v>190886774.30999997</v>
      </c>
      <c r="W6049">
        <f>SUM(POTABLE_NONPOTABLE_API[[#This Row],[NONPOTABLE_DEMAND_RESIDENTIAL_RECYCLED_WATER_GAL]:[NONPOTABLE_DEMAND_NONRESIDENTIAL_METERED_IRRIGATION_GAL]])</f>
        <v>29714352.689999998</v>
      </c>
      <c r="X6049" t="str">
        <f>IFERROR(INDEX(Crosswalk_API!$H$2:$H$527, MATCH(POTABLE_NONPOTABLE_API[[#This Row],[PWSID]], CW_PWSID_LIST, 0)), "")</f>
        <v>No</v>
      </c>
    </row>
    <row r="6050" spans="1:24" x14ac:dyDescent="0.25">
      <c r="A6050" t="s">
        <v>2493</v>
      </c>
      <c r="B6050" t="s">
        <v>2494</v>
      </c>
      <c r="C6050" t="s">
        <v>2495</v>
      </c>
      <c r="D6050" t="s">
        <v>2496</v>
      </c>
      <c r="E6050" s="9">
        <v>45108</v>
      </c>
      <c r="F6050" s="9">
        <v>45138</v>
      </c>
      <c r="G6050">
        <v>230518208.21600002</v>
      </c>
      <c r="H6050">
        <v>12381756.704</v>
      </c>
      <c r="I6050">
        <v>16622463.492000001</v>
      </c>
      <c r="J6050">
        <v>41350070.403999999</v>
      </c>
      <c r="K6050">
        <v>0</v>
      </c>
      <c r="L6050">
        <v>84529.876000000004</v>
      </c>
      <c r="M6050">
        <v>2526919.656</v>
      </c>
      <c r="N6050">
        <v>0</v>
      </c>
      <c r="O6050">
        <v>0</v>
      </c>
      <c r="P6050">
        <v>0</v>
      </c>
      <c r="Q6050">
        <v>1651738.719</v>
      </c>
      <c r="R6050">
        <v>20202.761999999999</v>
      </c>
      <c r="S6050">
        <v>798986.652</v>
      </c>
      <c r="T6050" s="9">
        <v>45108</v>
      </c>
      <c r="U6050" s="9">
        <v>45473</v>
      </c>
      <c r="V6050">
        <f>SUM(POTABLE_NONPOTABLE_API[[#This Row],[RESIDENTIAL_SINGLEFAMILY_GAL]:[OTHER_GAL]])</f>
        <v>300957028.69200003</v>
      </c>
      <c r="W6050">
        <f>SUM(POTABLE_NONPOTABLE_API[[#This Row],[NONPOTABLE_DEMAND_RESIDENTIAL_RECYCLED_WATER_GAL]:[NONPOTABLE_DEMAND_NONRESIDENTIAL_METERED_IRRIGATION_GAL]])</f>
        <v>2470928.1330000004</v>
      </c>
      <c r="X6050" t="str">
        <f>IFERROR(INDEX(Crosswalk_API!$H$2:$H$527, MATCH(POTABLE_NONPOTABLE_API[[#This Row],[PWSID]], CW_PWSID_LIST, 0)), "")</f>
        <v>No</v>
      </c>
    </row>
    <row r="6051" spans="1:24" x14ac:dyDescent="0.25">
      <c r="A6051" t="s">
        <v>2493</v>
      </c>
      <c r="B6051" t="s">
        <v>2494</v>
      </c>
      <c r="C6051" t="s">
        <v>2495</v>
      </c>
      <c r="D6051" t="s">
        <v>2496</v>
      </c>
      <c r="E6051" s="9">
        <v>45139</v>
      </c>
      <c r="F6051" s="9">
        <v>45169</v>
      </c>
      <c r="G6051">
        <v>316080395.97600001</v>
      </c>
      <c r="H6051">
        <v>48431130.636</v>
      </c>
      <c r="I6051">
        <v>53558279.044</v>
      </c>
      <c r="J6051">
        <v>156391491.38</v>
      </c>
      <c r="K6051">
        <v>2681766.42</v>
      </c>
      <c r="L6051">
        <v>725610.44000000006</v>
      </c>
      <c r="M6051">
        <v>3492654.7880000002</v>
      </c>
      <c r="N6051">
        <v>0</v>
      </c>
      <c r="O6051">
        <v>0</v>
      </c>
      <c r="P6051">
        <v>0</v>
      </c>
      <c r="Q6051">
        <v>2922231.7680000002</v>
      </c>
      <c r="R6051">
        <v>195510.6</v>
      </c>
      <c r="S6051">
        <v>2767126.6920000003</v>
      </c>
      <c r="T6051" s="9">
        <v>45108</v>
      </c>
      <c r="U6051" s="9">
        <v>45473</v>
      </c>
      <c r="V6051">
        <f>SUM(POTABLE_NONPOTABLE_API[[#This Row],[RESIDENTIAL_SINGLEFAMILY_GAL]:[OTHER_GAL]])</f>
        <v>577868673.89600003</v>
      </c>
      <c r="W6051">
        <f>SUM(POTABLE_NONPOTABLE_API[[#This Row],[NONPOTABLE_DEMAND_RESIDENTIAL_RECYCLED_WATER_GAL]:[NONPOTABLE_DEMAND_NONRESIDENTIAL_METERED_IRRIGATION_GAL]])</f>
        <v>5884869.0600000005</v>
      </c>
      <c r="X6051" t="str">
        <f>IFERROR(INDEX(Crosswalk_API!$H$2:$H$527, MATCH(POTABLE_NONPOTABLE_API[[#This Row],[PWSID]], CW_PWSID_LIST, 0)), "")</f>
        <v>No</v>
      </c>
    </row>
    <row r="6052" spans="1:24" x14ac:dyDescent="0.25">
      <c r="A6052" t="s">
        <v>2493</v>
      </c>
      <c r="B6052" t="s">
        <v>2494</v>
      </c>
      <c r="C6052" t="s">
        <v>2495</v>
      </c>
      <c r="D6052" t="s">
        <v>2496</v>
      </c>
      <c r="E6052" s="9">
        <v>45170</v>
      </c>
      <c r="F6052" s="9">
        <v>45199</v>
      </c>
      <c r="G6052">
        <v>257697181.53200001</v>
      </c>
      <c r="H6052">
        <v>13337019.108000001</v>
      </c>
      <c r="I6052">
        <v>18866619.491999999</v>
      </c>
      <c r="J6052">
        <v>52909717.960000001</v>
      </c>
      <c r="K6052">
        <v>0</v>
      </c>
      <c r="L6052">
        <v>62088.315999999999</v>
      </c>
      <c r="M6052">
        <v>3914556.1159999999</v>
      </c>
      <c r="N6052">
        <v>0</v>
      </c>
      <c r="O6052">
        <v>0</v>
      </c>
      <c r="P6052">
        <v>0</v>
      </c>
      <c r="Q6052">
        <v>1717234.7699999998</v>
      </c>
      <c r="R6052">
        <v>156408.47999999998</v>
      </c>
      <c r="S6052">
        <v>1717234.7699999998</v>
      </c>
      <c r="T6052" s="9">
        <v>45108</v>
      </c>
      <c r="U6052" s="9">
        <v>45473</v>
      </c>
      <c r="V6052">
        <f>SUM(POTABLE_NONPOTABLE_API[[#This Row],[RESIDENTIAL_SINGLEFAMILY_GAL]:[OTHER_GAL]])</f>
        <v>342872626.40799993</v>
      </c>
      <c r="W6052">
        <f>SUM(POTABLE_NONPOTABLE_API[[#This Row],[NONPOTABLE_DEMAND_RESIDENTIAL_RECYCLED_WATER_GAL]:[NONPOTABLE_DEMAND_NONRESIDENTIAL_METERED_IRRIGATION_GAL]])</f>
        <v>3590878.0199999996</v>
      </c>
      <c r="X6052" t="str">
        <f>IFERROR(INDEX(Crosswalk_API!$H$2:$H$527, MATCH(POTABLE_NONPOTABLE_API[[#This Row],[PWSID]], CW_PWSID_LIST, 0)), "")</f>
        <v>No</v>
      </c>
    </row>
    <row r="6053" spans="1:24" x14ac:dyDescent="0.25">
      <c r="A6053" t="s">
        <v>2493</v>
      </c>
      <c r="B6053" t="s">
        <v>2494</v>
      </c>
      <c r="C6053" t="s">
        <v>2495</v>
      </c>
      <c r="D6053" t="s">
        <v>2496</v>
      </c>
      <c r="E6053" s="9">
        <v>45200</v>
      </c>
      <c r="F6053" s="9">
        <v>45230</v>
      </c>
      <c r="G6053">
        <v>208878559.96000001</v>
      </c>
      <c r="H6053">
        <v>46768211.039999999</v>
      </c>
      <c r="I6053">
        <v>52172138.688000001</v>
      </c>
      <c r="J6053">
        <v>110866542.764</v>
      </c>
      <c r="K6053">
        <v>2830628.7680000002</v>
      </c>
      <c r="L6053">
        <v>533361.076</v>
      </c>
      <c r="M6053">
        <v>2141672.8760000002</v>
      </c>
      <c r="N6053">
        <v>0</v>
      </c>
      <c r="O6053">
        <v>0</v>
      </c>
      <c r="P6053">
        <v>0</v>
      </c>
      <c r="Q6053">
        <v>3669082.26</v>
      </c>
      <c r="R6053">
        <v>234612.72</v>
      </c>
      <c r="S6053">
        <v>3669082.26</v>
      </c>
      <c r="T6053" s="9">
        <v>45108</v>
      </c>
      <c r="U6053" s="9">
        <v>45473</v>
      </c>
      <c r="V6053">
        <f>SUM(POTABLE_NONPOTABLE_API[[#This Row],[RESIDENTIAL_SINGLEFAMILY_GAL]:[OTHER_GAL]])</f>
        <v>422049442.296</v>
      </c>
      <c r="W6053">
        <f>SUM(POTABLE_NONPOTABLE_API[[#This Row],[NONPOTABLE_DEMAND_RESIDENTIAL_RECYCLED_WATER_GAL]:[NONPOTABLE_DEMAND_NONRESIDENTIAL_METERED_IRRIGATION_GAL]])</f>
        <v>7572777.2400000002</v>
      </c>
      <c r="X6053" t="str">
        <f>IFERROR(INDEX(Crosswalk_API!$H$2:$H$527, MATCH(POTABLE_NONPOTABLE_API[[#This Row],[PWSID]], CW_PWSID_LIST, 0)), "")</f>
        <v>No</v>
      </c>
    </row>
    <row r="6054" spans="1:24" x14ac:dyDescent="0.25">
      <c r="A6054" t="s">
        <v>2493</v>
      </c>
      <c r="B6054" t="s">
        <v>2494</v>
      </c>
      <c r="C6054" t="s">
        <v>2495</v>
      </c>
      <c r="D6054" t="s">
        <v>2496</v>
      </c>
      <c r="E6054" s="9">
        <v>45231</v>
      </c>
      <c r="F6054" s="9">
        <v>45260</v>
      </c>
      <c r="G6054">
        <v>309951605.94</v>
      </c>
      <c r="H6054">
        <v>13651949</v>
      </c>
      <c r="I6054">
        <v>19200250.684</v>
      </c>
      <c r="J6054">
        <v>82068036.868000001</v>
      </c>
      <c r="K6054">
        <v>0</v>
      </c>
      <c r="L6054">
        <v>139137.67199999999</v>
      </c>
      <c r="M6054">
        <v>3887626.2439999999</v>
      </c>
      <c r="N6054">
        <v>0</v>
      </c>
      <c r="O6054">
        <v>0</v>
      </c>
      <c r="P6054">
        <v>0</v>
      </c>
      <c r="Q6054">
        <v>1362057.18</v>
      </c>
      <c r="R6054">
        <v>224837.18999999997</v>
      </c>
      <c r="S6054">
        <v>1361405.4779999999</v>
      </c>
      <c r="T6054" s="9">
        <v>45108</v>
      </c>
      <c r="U6054" s="9">
        <v>45473</v>
      </c>
      <c r="V6054">
        <f>SUM(POTABLE_NONPOTABLE_API[[#This Row],[RESIDENTIAL_SINGLEFAMILY_GAL]:[OTHER_GAL]])</f>
        <v>425010980.16399997</v>
      </c>
      <c r="W6054">
        <f>SUM(POTABLE_NONPOTABLE_API[[#This Row],[NONPOTABLE_DEMAND_RESIDENTIAL_RECYCLED_WATER_GAL]:[NONPOTABLE_DEMAND_NONRESIDENTIAL_METERED_IRRIGATION_GAL]])</f>
        <v>2948299.8479999998</v>
      </c>
      <c r="X6054" t="str">
        <f>IFERROR(INDEX(Crosswalk_API!$H$2:$H$527, MATCH(POTABLE_NONPOTABLE_API[[#This Row],[PWSID]], CW_PWSID_LIST, 0)), "")</f>
        <v>No</v>
      </c>
    </row>
    <row r="6055" spans="1:24" x14ac:dyDescent="0.25">
      <c r="A6055" t="s">
        <v>2493</v>
      </c>
      <c r="B6055" t="s">
        <v>2494</v>
      </c>
      <c r="C6055" t="s">
        <v>2495</v>
      </c>
      <c r="D6055" t="s">
        <v>2496</v>
      </c>
      <c r="E6055" s="9">
        <v>45261</v>
      </c>
      <c r="F6055" s="9">
        <v>45291</v>
      </c>
      <c r="G6055">
        <v>195929779.84</v>
      </c>
      <c r="H6055">
        <v>46399421.403999999</v>
      </c>
      <c r="I6055">
        <v>48419161.803999998</v>
      </c>
      <c r="J6055">
        <v>95173907.908000007</v>
      </c>
      <c r="K6055">
        <v>2656332.6520000002</v>
      </c>
      <c r="L6055">
        <v>712893.55599999998</v>
      </c>
      <c r="M6055">
        <v>1738472.848</v>
      </c>
      <c r="N6055">
        <v>0</v>
      </c>
      <c r="O6055">
        <v>0</v>
      </c>
      <c r="P6055">
        <v>0</v>
      </c>
      <c r="Q6055">
        <v>1042723.2000000001</v>
      </c>
      <c r="R6055">
        <v>208544.64000000001</v>
      </c>
      <c r="S6055">
        <v>1042723.2000000001</v>
      </c>
      <c r="T6055" s="9">
        <v>45108</v>
      </c>
      <c r="U6055" s="9">
        <v>45473</v>
      </c>
      <c r="V6055">
        <f>SUM(POTABLE_NONPOTABLE_API[[#This Row],[RESIDENTIAL_SINGLEFAMILY_GAL]:[OTHER_GAL]])</f>
        <v>389291497.16400003</v>
      </c>
      <c r="W6055">
        <f>SUM(POTABLE_NONPOTABLE_API[[#This Row],[NONPOTABLE_DEMAND_RESIDENTIAL_RECYCLED_WATER_GAL]:[NONPOTABLE_DEMAND_NONRESIDENTIAL_METERED_IRRIGATION_GAL]])</f>
        <v>2293991.04</v>
      </c>
      <c r="X6055" t="str">
        <f>IFERROR(INDEX(Crosswalk_API!$H$2:$H$527, MATCH(POTABLE_NONPOTABLE_API[[#This Row],[PWSID]], CW_PWSID_LIST, 0)), "")</f>
        <v>No</v>
      </c>
    </row>
    <row r="6056" spans="1:24" x14ac:dyDescent="0.25">
      <c r="A6056" t="s">
        <v>2493</v>
      </c>
      <c r="B6056" t="s">
        <v>2494</v>
      </c>
      <c r="C6056" t="s">
        <v>2495</v>
      </c>
      <c r="D6056" t="s">
        <v>2496</v>
      </c>
      <c r="E6056" s="9">
        <v>45292</v>
      </c>
      <c r="F6056" s="9">
        <v>45322</v>
      </c>
      <c r="G6056">
        <v>24390983.512000002</v>
      </c>
      <c r="H6056">
        <v>13497102.236</v>
      </c>
      <c r="I6056">
        <v>14394764.636</v>
      </c>
      <c r="J6056">
        <v>48318922.836000003</v>
      </c>
      <c r="K6056">
        <v>0</v>
      </c>
      <c r="L6056">
        <v>21693.508000000002</v>
      </c>
      <c r="M6056">
        <v>1953911.824</v>
      </c>
      <c r="N6056">
        <v>0</v>
      </c>
      <c r="O6056">
        <v>0</v>
      </c>
      <c r="P6056">
        <v>0</v>
      </c>
      <c r="Q6056">
        <v>527878.62</v>
      </c>
      <c r="R6056">
        <v>267197.82</v>
      </c>
      <c r="S6056">
        <v>527878.62</v>
      </c>
      <c r="T6056" s="9">
        <v>45108</v>
      </c>
      <c r="U6056" s="9">
        <v>45473</v>
      </c>
      <c r="V6056">
        <f>SUM(POTABLE_NONPOTABLE_API[[#This Row],[RESIDENTIAL_SINGLEFAMILY_GAL]:[OTHER_GAL]])</f>
        <v>100623466.728</v>
      </c>
      <c r="W6056">
        <f>SUM(POTABLE_NONPOTABLE_API[[#This Row],[NONPOTABLE_DEMAND_RESIDENTIAL_RECYCLED_WATER_GAL]:[NONPOTABLE_DEMAND_NONRESIDENTIAL_METERED_IRRIGATION_GAL]])</f>
        <v>1322955.06</v>
      </c>
      <c r="X6056" t="str">
        <f>IFERROR(INDEX(Crosswalk_API!$H$2:$H$527, MATCH(POTABLE_NONPOTABLE_API[[#This Row],[PWSID]], CW_PWSID_LIST, 0)), "")</f>
        <v>No</v>
      </c>
    </row>
    <row r="6057" spans="1:24" x14ac:dyDescent="0.25">
      <c r="A6057" t="s">
        <v>2493</v>
      </c>
      <c r="B6057" t="s">
        <v>2494</v>
      </c>
      <c r="C6057" t="s">
        <v>2495</v>
      </c>
      <c r="D6057" t="s">
        <v>2496</v>
      </c>
      <c r="E6057" s="9">
        <v>45323</v>
      </c>
      <c r="F6057" s="9">
        <v>45351</v>
      </c>
      <c r="G6057">
        <v>141767074.78</v>
      </c>
      <c r="H6057">
        <v>41928314.600000001</v>
      </c>
      <c r="I6057">
        <v>43125945.851999998</v>
      </c>
      <c r="J6057">
        <v>29787430.640000001</v>
      </c>
      <c r="K6057">
        <v>2175335.216</v>
      </c>
      <c r="L6057">
        <v>142877.932</v>
      </c>
      <c r="M6057">
        <v>536353.28399999999</v>
      </c>
      <c r="N6057">
        <v>0</v>
      </c>
      <c r="O6057">
        <v>0</v>
      </c>
      <c r="P6057">
        <v>0</v>
      </c>
      <c r="Q6057">
        <v>262310.05499999999</v>
      </c>
      <c r="R6057">
        <v>198769.11</v>
      </c>
      <c r="S6057">
        <v>262310.05499999999</v>
      </c>
      <c r="T6057" s="9">
        <v>45108</v>
      </c>
      <c r="U6057" s="9">
        <v>45473</v>
      </c>
      <c r="V6057">
        <f>SUM(POTABLE_NONPOTABLE_API[[#This Row],[RESIDENTIAL_SINGLEFAMILY_GAL]:[OTHER_GAL]])</f>
        <v>258926979.01999998</v>
      </c>
      <c r="W6057">
        <f>SUM(POTABLE_NONPOTABLE_API[[#This Row],[NONPOTABLE_DEMAND_RESIDENTIAL_RECYCLED_WATER_GAL]:[NONPOTABLE_DEMAND_NONRESIDENTIAL_METERED_IRRIGATION_GAL]])</f>
        <v>723389.22</v>
      </c>
      <c r="X6057" t="str">
        <f>IFERROR(INDEX(Crosswalk_API!$H$2:$H$527, MATCH(POTABLE_NONPOTABLE_API[[#This Row],[PWSID]], CW_PWSID_LIST, 0)), "")</f>
        <v>No</v>
      </c>
    </row>
    <row r="6058" spans="1:24" x14ac:dyDescent="0.25">
      <c r="A6058" t="s">
        <v>2493</v>
      </c>
      <c r="B6058" t="s">
        <v>2494</v>
      </c>
      <c r="C6058" t="s">
        <v>2495</v>
      </c>
      <c r="D6058" t="s">
        <v>2496</v>
      </c>
      <c r="E6058" s="9">
        <v>45352</v>
      </c>
      <c r="F6058" s="9">
        <v>45382</v>
      </c>
      <c r="G6058">
        <v>122297525.376</v>
      </c>
      <c r="H6058">
        <v>7689974.5600000005</v>
      </c>
      <c r="I6058">
        <v>6064457.5640000002</v>
      </c>
      <c r="J6058">
        <v>8116364.2000000002</v>
      </c>
      <c r="K6058">
        <v>0</v>
      </c>
      <c r="L6058">
        <v>59096.108</v>
      </c>
      <c r="M6058">
        <v>384498.728</v>
      </c>
      <c r="N6058">
        <v>0</v>
      </c>
      <c r="O6058">
        <v>0</v>
      </c>
      <c r="P6058">
        <v>0</v>
      </c>
      <c r="Q6058">
        <v>433381.83</v>
      </c>
      <c r="R6058">
        <v>0</v>
      </c>
      <c r="S6058">
        <v>433381.83</v>
      </c>
      <c r="T6058" s="9">
        <v>45108</v>
      </c>
      <c r="U6058" s="9">
        <v>45473</v>
      </c>
      <c r="V6058">
        <f>SUM(POTABLE_NONPOTABLE_API[[#This Row],[RESIDENTIAL_SINGLEFAMILY_GAL]:[OTHER_GAL]])</f>
        <v>144227417.808</v>
      </c>
      <c r="W6058">
        <f>SUM(POTABLE_NONPOTABLE_API[[#This Row],[NONPOTABLE_DEMAND_RESIDENTIAL_RECYCLED_WATER_GAL]:[NONPOTABLE_DEMAND_NONRESIDENTIAL_METERED_IRRIGATION_GAL]])</f>
        <v>866763.66</v>
      </c>
      <c r="X6058" t="str">
        <f>IFERROR(INDEX(Crosswalk_API!$H$2:$H$527, MATCH(POTABLE_NONPOTABLE_API[[#This Row],[PWSID]], CW_PWSID_LIST, 0)), "")</f>
        <v>No</v>
      </c>
    </row>
    <row r="6059" spans="1:24" x14ac:dyDescent="0.25">
      <c r="A6059" t="s">
        <v>2493</v>
      </c>
      <c r="B6059" t="s">
        <v>2494</v>
      </c>
      <c r="C6059" t="s">
        <v>2495</v>
      </c>
      <c r="D6059" t="s">
        <v>2496</v>
      </c>
      <c r="E6059" s="9">
        <v>45383</v>
      </c>
      <c r="F6059" s="9">
        <v>45412</v>
      </c>
      <c r="G6059">
        <v>145113111.37600002</v>
      </c>
      <c r="H6059">
        <v>35143482.960000001</v>
      </c>
      <c r="I6059">
        <v>35915472.623999998</v>
      </c>
      <c r="J6059">
        <v>22597902.868000001</v>
      </c>
      <c r="K6059">
        <v>1738472.848</v>
      </c>
      <c r="L6059">
        <v>86774.032000000007</v>
      </c>
      <c r="M6059">
        <v>703168.88</v>
      </c>
      <c r="N6059">
        <v>0</v>
      </c>
      <c r="O6059">
        <v>0</v>
      </c>
      <c r="P6059">
        <v>0</v>
      </c>
      <c r="Q6059">
        <v>697321.14</v>
      </c>
      <c r="R6059">
        <v>0</v>
      </c>
      <c r="S6059">
        <v>697321.14</v>
      </c>
      <c r="T6059" s="9">
        <v>45108</v>
      </c>
      <c r="U6059" s="9">
        <v>45473</v>
      </c>
      <c r="V6059">
        <f>SUM(POTABLE_NONPOTABLE_API[[#This Row],[RESIDENTIAL_SINGLEFAMILY_GAL]:[OTHER_GAL]])</f>
        <v>240595216.70800003</v>
      </c>
      <c r="W6059">
        <f>SUM(POTABLE_NONPOTABLE_API[[#This Row],[NONPOTABLE_DEMAND_RESIDENTIAL_RECYCLED_WATER_GAL]:[NONPOTABLE_DEMAND_NONRESIDENTIAL_METERED_IRRIGATION_GAL]])</f>
        <v>1394642.28</v>
      </c>
      <c r="X6059" t="str">
        <f>IFERROR(INDEX(Crosswalk_API!$H$2:$H$527, MATCH(POTABLE_NONPOTABLE_API[[#This Row],[PWSID]], CW_PWSID_LIST, 0)), "")</f>
        <v>No</v>
      </c>
    </row>
    <row r="6060" spans="1:24" x14ac:dyDescent="0.25">
      <c r="A6060" t="s">
        <v>2493</v>
      </c>
      <c r="B6060" t="s">
        <v>2494</v>
      </c>
      <c r="C6060" t="s">
        <v>2495</v>
      </c>
      <c r="D6060" t="s">
        <v>2496</v>
      </c>
      <c r="E6060" s="9">
        <v>45413</v>
      </c>
      <c r="F6060" s="9">
        <v>45443</v>
      </c>
      <c r="G6060">
        <v>199602715.16</v>
      </c>
      <c r="H6060">
        <v>19987201.388</v>
      </c>
      <c r="I6060">
        <v>10922307.252</v>
      </c>
      <c r="J6060">
        <v>34297436.148000002</v>
      </c>
      <c r="K6060">
        <v>0</v>
      </c>
      <c r="L6060">
        <v>293236.38400000002</v>
      </c>
      <c r="M6060">
        <v>407688.34</v>
      </c>
      <c r="N6060">
        <v>0</v>
      </c>
      <c r="O6060">
        <v>0</v>
      </c>
      <c r="P6060">
        <v>0</v>
      </c>
      <c r="Q6060">
        <v>1395293.9820000001</v>
      </c>
      <c r="R6060">
        <v>0</v>
      </c>
      <c r="S6060">
        <v>1395293.9820000001</v>
      </c>
      <c r="T6060" s="9">
        <v>45108</v>
      </c>
      <c r="U6060" s="9">
        <v>45473</v>
      </c>
      <c r="V6060">
        <f>SUM(POTABLE_NONPOTABLE_API[[#This Row],[RESIDENTIAL_SINGLEFAMILY_GAL]:[OTHER_GAL]])</f>
        <v>265102896.33200002</v>
      </c>
      <c r="W6060">
        <f>SUM(POTABLE_NONPOTABLE_API[[#This Row],[NONPOTABLE_DEMAND_RESIDENTIAL_RECYCLED_WATER_GAL]:[NONPOTABLE_DEMAND_NONRESIDENTIAL_METERED_IRRIGATION_GAL]])</f>
        <v>2790587.9640000002</v>
      </c>
      <c r="X6060" t="str">
        <f>IFERROR(INDEX(Crosswalk_API!$H$2:$H$527, MATCH(POTABLE_NONPOTABLE_API[[#This Row],[PWSID]], CW_PWSID_LIST, 0)), "")</f>
        <v>No</v>
      </c>
    </row>
    <row r="6061" spans="1:24" x14ac:dyDescent="0.25">
      <c r="A6061" t="s">
        <v>2493</v>
      </c>
      <c r="B6061" t="s">
        <v>2494</v>
      </c>
      <c r="C6061" t="s">
        <v>2495</v>
      </c>
      <c r="D6061" t="s">
        <v>2496</v>
      </c>
      <c r="E6061" s="9">
        <v>45444</v>
      </c>
      <c r="F6061" s="9">
        <v>45473</v>
      </c>
      <c r="G6061">
        <v>216630622.836</v>
      </c>
      <c r="H6061">
        <v>39004179.332000002</v>
      </c>
      <c r="I6061">
        <v>50288543.752000004</v>
      </c>
      <c r="J6061">
        <v>90538229.664000005</v>
      </c>
      <c r="K6061">
        <v>2378805.36</v>
      </c>
      <c r="L6061">
        <v>428633.79600000003</v>
      </c>
      <c r="M6061">
        <v>2492509.264</v>
      </c>
      <c r="N6061">
        <v>0</v>
      </c>
      <c r="O6061">
        <v>0</v>
      </c>
      <c r="P6061">
        <v>0</v>
      </c>
      <c r="Q6061">
        <v>2323317.63</v>
      </c>
      <c r="R6061">
        <v>0</v>
      </c>
      <c r="S6061">
        <v>2323317.63</v>
      </c>
      <c r="T6061" s="9">
        <v>45108</v>
      </c>
      <c r="U6061" s="9">
        <v>45473</v>
      </c>
      <c r="V6061">
        <f>SUM(POTABLE_NONPOTABLE_API[[#This Row],[RESIDENTIAL_SINGLEFAMILY_GAL]:[OTHER_GAL]])</f>
        <v>399269014.74000001</v>
      </c>
      <c r="W6061">
        <f>SUM(POTABLE_NONPOTABLE_API[[#This Row],[NONPOTABLE_DEMAND_RESIDENTIAL_RECYCLED_WATER_GAL]:[NONPOTABLE_DEMAND_NONRESIDENTIAL_METERED_IRRIGATION_GAL]])</f>
        <v>4646635.26</v>
      </c>
      <c r="X6061" t="str">
        <f>IFERROR(INDEX(Crosswalk_API!$H$2:$H$527, MATCH(POTABLE_NONPOTABLE_API[[#This Row],[PWSID]], CW_PWSID_LIST, 0)), "")</f>
        <v>No</v>
      </c>
    </row>
    <row r="6062" spans="1:24" x14ac:dyDescent="0.25">
      <c r="A6062" t="s">
        <v>2497</v>
      </c>
      <c r="B6062" t="s">
        <v>2498</v>
      </c>
      <c r="C6062" t="s">
        <v>2499</v>
      </c>
      <c r="D6062" t="s">
        <v>2500</v>
      </c>
      <c r="E6062" s="9">
        <v>45108</v>
      </c>
      <c r="F6062" s="9">
        <v>45138</v>
      </c>
      <c r="G6062">
        <v>240124.69200000001</v>
      </c>
      <c r="H6062">
        <v>243864.95200000002</v>
      </c>
      <c r="I6062">
        <v>84287507.151999995</v>
      </c>
      <c r="J6062">
        <v>0</v>
      </c>
      <c r="K6062">
        <v>23704271.776000001</v>
      </c>
      <c r="L6062">
        <v>102483.124</v>
      </c>
      <c r="M6062">
        <v>0</v>
      </c>
      <c r="N6062">
        <v>0</v>
      </c>
      <c r="O6062">
        <v>0</v>
      </c>
      <c r="P6062">
        <v>0</v>
      </c>
      <c r="Q6062">
        <v>5217663</v>
      </c>
      <c r="R6062">
        <v>0</v>
      </c>
      <c r="S6062">
        <v>0</v>
      </c>
      <c r="T6062" s="9">
        <v>45108</v>
      </c>
      <c r="U6062" s="9">
        <v>45473</v>
      </c>
      <c r="V6062">
        <f>SUM(POTABLE_NONPOTABLE_API[[#This Row],[RESIDENTIAL_SINGLEFAMILY_GAL]:[OTHER_GAL]])</f>
        <v>108578251.69599999</v>
      </c>
      <c r="W6062">
        <f>SUM(POTABLE_NONPOTABLE_API[[#This Row],[NONPOTABLE_DEMAND_RESIDENTIAL_RECYCLED_WATER_GAL]:[NONPOTABLE_DEMAND_NONRESIDENTIAL_METERED_IRRIGATION_GAL]])</f>
        <v>5217663</v>
      </c>
      <c r="X6062" t="str">
        <f>IFERROR(INDEX(Crosswalk_API!$H$2:$H$527, MATCH(POTABLE_NONPOTABLE_API[[#This Row],[PWSID]], CW_PWSID_LIST, 0)), "")</f>
        <v>No</v>
      </c>
    </row>
    <row r="6063" spans="1:24" x14ac:dyDescent="0.25">
      <c r="A6063" t="s">
        <v>2497</v>
      </c>
      <c r="B6063" t="s">
        <v>2498</v>
      </c>
      <c r="C6063" t="s">
        <v>2499</v>
      </c>
      <c r="D6063" t="s">
        <v>2500</v>
      </c>
      <c r="E6063" s="9">
        <v>45139</v>
      </c>
      <c r="F6063" s="9">
        <v>45169</v>
      </c>
      <c r="G6063">
        <v>228155.86000000002</v>
      </c>
      <c r="H6063">
        <v>247605.212</v>
      </c>
      <c r="I6063">
        <v>95545689.752000004</v>
      </c>
      <c r="J6063">
        <v>0</v>
      </c>
      <c r="K6063">
        <v>26769788.872000001</v>
      </c>
      <c r="L6063">
        <v>99490.915999999997</v>
      </c>
      <c r="M6063">
        <v>0</v>
      </c>
      <c r="N6063">
        <v>0</v>
      </c>
      <c r="O6063">
        <v>0</v>
      </c>
      <c r="P6063">
        <v>0</v>
      </c>
      <c r="Q6063">
        <v>9283325</v>
      </c>
      <c r="R6063">
        <v>0</v>
      </c>
      <c r="S6063">
        <v>0</v>
      </c>
      <c r="T6063" s="9">
        <v>45108</v>
      </c>
      <c r="U6063" s="9">
        <v>45473</v>
      </c>
      <c r="V6063">
        <f>SUM(POTABLE_NONPOTABLE_API[[#This Row],[RESIDENTIAL_SINGLEFAMILY_GAL]:[OTHER_GAL]])</f>
        <v>122890730.612</v>
      </c>
      <c r="W6063">
        <f>SUM(POTABLE_NONPOTABLE_API[[#This Row],[NONPOTABLE_DEMAND_RESIDENTIAL_RECYCLED_WATER_GAL]:[NONPOTABLE_DEMAND_NONRESIDENTIAL_METERED_IRRIGATION_GAL]])</f>
        <v>9283325</v>
      </c>
      <c r="X6063" t="str">
        <f>IFERROR(INDEX(Crosswalk_API!$H$2:$H$527, MATCH(POTABLE_NONPOTABLE_API[[#This Row],[PWSID]], CW_PWSID_LIST, 0)), "")</f>
        <v>No</v>
      </c>
    </row>
    <row r="6064" spans="1:24" x14ac:dyDescent="0.25">
      <c r="A6064" t="s">
        <v>2497</v>
      </c>
      <c r="B6064" t="s">
        <v>2498</v>
      </c>
      <c r="C6064" t="s">
        <v>2499</v>
      </c>
      <c r="D6064" t="s">
        <v>2500</v>
      </c>
      <c r="E6064" s="9">
        <v>45170</v>
      </c>
      <c r="F6064" s="9">
        <v>45199</v>
      </c>
      <c r="G6064">
        <v>209454.56</v>
      </c>
      <c r="H6064">
        <v>244613.00400000002</v>
      </c>
      <c r="I6064">
        <v>93299289.596000001</v>
      </c>
      <c r="J6064">
        <v>0</v>
      </c>
      <c r="K6064">
        <v>31847565.848000001</v>
      </c>
      <c r="L6064">
        <v>161579.23200000002</v>
      </c>
      <c r="M6064">
        <v>0</v>
      </c>
      <c r="N6064">
        <v>0</v>
      </c>
      <c r="O6064">
        <v>0</v>
      </c>
      <c r="P6064">
        <v>0</v>
      </c>
      <c r="Q6064">
        <v>17911357</v>
      </c>
      <c r="R6064">
        <v>0</v>
      </c>
      <c r="S6064">
        <v>0</v>
      </c>
      <c r="T6064" s="9">
        <v>45108</v>
      </c>
      <c r="U6064" s="9">
        <v>45473</v>
      </c>
      <c r="V6064">
        <f>SUM(POTABLE_NONPOTABLE_API[[#This Row],[RESIDENTIAL_SINGLEFAMILY_GAL]:[OTHER_GAL]])</f>
        <v>125762502.23999999</v>
      </c>
      <c r="W6064">
        <f>SUM(POTABLE_NONPOTABLE_API[[#This Row],[NONPOTABLE_DEMAND_RESIDENTIAL_RECYCLED_WATER_GAL]:[NONPOTABLE_DEMAND_NONRESIDENTIAL_METERED_IRRIGATION_GAL]])</f>
        <v>17911357</v>
      </c>
      <c r="X6064" t="str">
        <f>IFERROR(INDEX(Crosswalk_API!$H$2:$H$527, MATCH(POTABLE_NONPOTABLE_API[[#This Row],[PWSID]], CW_PWSID_LIST, 0)), "")</f>
        <v>No</v>
      </c>
    </row>
    <row r="6065" spans="1:24" x14ac:dyDescent="0.25">
      <c r="A6065" t="s">
        <v>2497</v>
      </c>
      <c r="B6065" t="s">
        <v>2498</v>
      </c>
      <c r="C6065" t="s">
        <v>2499</v>
      </c>
      <c r="D6065" t="s">
        <v>2500</v>
      </c>
      <c r="E6065" s="9">
        <v>45200</v>
      </c>
      <c r="F6065" s="9">
        <v>45230</v>
      </c>
      <c r="G6065">
        <v>202722.092</v>
      </c>
      <c r="H6065">
        <v>285007.81200000003</v>
      </c>
      <c r="I6065">
        <v>80485158.835999995</v>
      </c>
      <c r="J6065">
        <v>0</v>
      </c>
      <c r="K6065">
        <v>25194391.359999999</v>
      </c>
      <c r="L6065">
        <v>151106.50400000002</v>
      </c>
      <c r="M6065">
        <v>0</v>
      </c>
      <c r="N6065">
        <v>0</v>
      </c>
      <c r="O6065">
        <v>0</v>
      </c>
      <c r="P6065">
        <v>0</v>
      </c>
      <c r="Q6065">
        <v>15026869</v>
      </c>
      <c r="R6065">
        <v>0</v>
      </c>
      <c r="S6065">
        <v>0</v>
      </c>
      <c r="T6065" s="9">
        <v>45108</v>
      </c>
      <c r="U6065" s="9">
        <v>45473</v>
      </c>
      <c r="V6065">
        <f>SUM(POTABLE_NONPOTABLE_API[[#This Row],[RESIDENTIAL_SINGLEFAMILY_GAL]:[OTHER_GAL]])</f>
        <v>106318386.60399999</v>
      </c>
      <c r="W6065">
        <f>SUM(POTABLE_NONPOTABLE_API[[#This Row],[NONPOTABLE_DEMAND_RESIDENTIAL_RECYCLED_WATER_GAL]:[NONPOTABLE_DEMAND_NONRESIDENTIAL_METERED_IRRIGATION_GAL]])</f>
        <v>15026869</v>
      </c>
      <c r="X6065" t="str">
        <f>IFERROR(INDEX(Crosswalk_API!$H$2:$H$527, MATCH(POTABLE_NONPOTABLE_API[[#This Row],[PWSID]], CW_PWSID_LIST, 0)), "")</f>
        <v>No</v>
      </c>
    </row>
    <row r="6066" spans="1:24" x14ac:dyDescent="0.25">
      <c r="A6066" t="s">
        <v>2497</v>
      </c>
      <c r="B6066" t="s">
        <v>2498</v>
      </c>
      <c r="C6066" t="s">
        <v>2499</v>
      </c>
      <c r="D6066" t="s">
        <v>2500</v>
      </c>
      <c r="E6066" s="9">
        <v>45231</v>
      </c>
      <c r="F6066" s="9">
        <v>45260</v>
      </c>
      <c r="G6066">
        <v>294732.48800000001</v>
      </c>
      <c r="H6066">
        <v>260322.09600000002</v>
      </c>
      <c r="I6066">
        <v>79959278.280000001</v>
      </c>
      <c r="J6066">
        <v>0</v>
      </c>
      <c r="K6066">
        <v>26821404.460000001</v>
      </c>
      <c r="L6066">
        <v>166067.54399999999</v>
      </c>
      <c r="M6066">
        <v>0</v>
      </c>
      <c r="N6066">
        <v>0</v>
      </c>
      <c r="O6066">
        <v>0</v>
      </c>
      <c r="P6066">
        <v>0</v>
      </c>
      <c r="Q6066">
        <v>11900011.216</v>
      </c>
      <c r="R6066">
        <v>0</v>
      </c>
      <c r="S6066">
        <v>0</v>
      </c>
      <c r="T6066" s="9">
        <v>45108</v>
      </c>
      <c r="U6066" s="9">
        <v>45473</v>
      </c>
      <c r="V6066">
        <f>SUM(POTABLE_NONPOTABLE_API[[#This Row],[RESIDENTIAL_SINGLEFAMILY_GAL]:[OTHER_GAL]])</f>
        <v>107501804.868</v>
      </c>
      <c r="W6066">
        <f>SUM(POTABLE_NONPOTABLE_API[[#This Row],[NONPOTABLE_DEMAND_RESIDENTIAL_RECYCLED_WATER_GAL]:[NONPOTABLE_DEMAND_NONRESIDENTIAL_METERED_IRRIGATION_GAL]])</f>
        <v>11900011.216</v>
      </c>
      <c r="X6066" t="str">
        <f>IFERROR(INDEX(Crosswalk_API!$H$2:$H$527, MATCH(POTABLE_NONPOTABLE_API[[#This Row],[PWSID]], CW_PWSID_LIST, 0)), "")</f>
        <v>No</v>
      </c>
    </row>
    <row r="6067" spans="1:24" x14ac:dyDescent="0.25">
      <c r="A6067" t="s">
        <v>2497</v>
      </c>
      <c r="B6067" t="s">
        <v>2498</v>
      </c>
      <c r="C6067" t="s">
        <v>2499</v>
      </c>
      <c r="D6067" t="s">
        <v>2500</v>
      </c>
      <c r="E6067" s="9">
        <v>45261</v>
      </c>
      <c r="F6067" s="9">
        <v>45291</v>
      </c>
      <c r="G6067">
        <v>207210.40400000001</v>
      </c>
      <c r="H6067">
        <v>252841.576</v>
      </c>
      <c r="I6067">
        <v>103775757.85600001</v>
      </c>
      <c r="J6067">
        <v>0</v>
      </c>
      <c r="K6067">
        <v>30724739.796</v>
      </c>
      <c r="L6067">
        <v>152602.60800000001</v>
      </c>
      <c r="M6067">
        <v>0</v>
      </c>
      <c r="N6067">
        <v>0</v>
      </c>
      <c r="O6067">
        <v>0</v>
      </c>
      <c r="P6067">
        <v>0</v>
      </c>
      <c r="Q6067">
        <v>10237839.672</v>
      </c>
      <c r="R6067">
        <v>0</v>
      </c>
      <c r="S6067">
        <v>0</v>
      </c>
      <c r="T6067" s="9">
        <v>45108</v>
      </c>
      <c r="U6067" s="9">
        <v>45473</v>
      </c>
      <c r="V6067">
        <f>SUM(POTABLE_NONPOTABLE_API[[#This Row],[RESIDENTIAL_SINGLEFAMILY_GAL]:[OTHER_GAL]])</f>
        <v>135113152.24000001</v>
      </c>
      <c r="W6067">
        <f>SUM(POTABLE_NONPOTABLE_API[[#This Row],[NONPOTABLE_DEMAND_RESIDENTIAL_RECYCLED_WATER_GAL]:[NONPOTABLE_DEMAND_NONRESIDENTIAL_METERED_IRRIGATION_GAL]])</f>
        <v>10237839.672</v>
      </c>
      <c r="X6067" t="str">
        <f>IFERROR(INDEX(Crosswalk_API!$H$2:$H$527, MATCH(POTABLE_NONPOTABLE_API[[#This Row],[PWSID]], CW_PWSID_LIST, 0)), "")</f>
        <v>No</v>
      </c>
    </row>
    <row r="6068" spans="1:24" x14ac:dyDescent="0.25">
      <c r="A6068" t="s">
        <v>2497</v>
      </c>
      <c r="B6068" t="s">
        <v>2498</v>
      </c>
      <c r="C6068" t="s">
        <v>2499</v>
      </c>
      <c r="D6068" t="s">
        <v>2500</v>
      </c>
      <c r="E6068" s="9">
        <v>45292</v>
      </c>
      <c r="F6068" s="9">
        <v>45322</v>
      </c>
      <c r="G6068">
        <v>278275.34399999998</v>
      </c>
      <c r="H6068">
        <v>261070.14800000002</v>
      </c>
      <c r="I6068">
        <v>76840649.491999999</v>
      </c>
      <c r="J6068">
        <v>0</v>
      </c>
      <c r="K6068">
        <v>26237923.900000002</v>
      </c>
      <c r="L6068">
        <v>154846.764</v>
      </c>
      <c r="M6068">
        <v>0</v>
      </c>
      <c r="N6068">
        <v>0</v>
      </c>
      <c r="O6068">
        <v>0</v>
      </c>
      <c r="P6068">
        <v>0</v>
      </c>
      <c r="Q6068">
        <v>10366504.616</v>
      </c>
      <c r="R6068">
        <v>0</v>
      </c>
      <c r="S6068">
        <v>0</v>
      </c>
      <c r="T6068" s="9">
        <v>45108</v>
      </c>
      <c r="U6068" s="9">
        <v>45473</v>
      </c>
      <c r="V6068">
        <f>SUM(POTABLE_NONPOTABLE_API[[#This Row],[RESIDENTIAL_SINGLEFAMILY_GAL]:[OTHER_GAL]])</f>
        <v>103772765.648</v>
      </c>
      <c r="W6068">
        <f>SUM(POTABLE_NONPOTABLE_API[[#This Row],[NONPOTABLE_DEMAND_RESIDENTIAL_RECYCLED_WATER_GAL]:[NONPOTABLE_DEMAND_NONRESIDENTIAL_METERED_IRRIGATION_GAL]])</f>
        <v>10366504.616</v>
      </c>
      <c r="X6068" t="str">
        <f>IFERROR(INDEX(Crosswalk_API!$H$2:$H$527, MATCH(POTABLE_NONPOTABLE_API[[#This Row],[PWSID]], CW_PWSID_LIST, 0)), "")</f>
        <v>No</v>
      </c>
    </row>
    <row r="6069" spans="1:24" x14ac:dyDescent="0.25">
      <c r="A6069" t="s">
        <v>2497</v>
      </c>
      <c r="B6069" t="s">
        <v>2498</v>
      </c>
      <c r="C6069" t="s">
        <v>2499</v>
      </c>
      <c r="D6069" t="s">
        <v>2500</v>
      </c>
      <c r="E6069" s="9">
        <v>45323</v>
      </c>
      <c r="F6069" s="9">
        <v>45351</v>
      </c>
      <c r="G6069">
        <v>188509.10399999999</v>
      </c>
      <c r="H6069">
        <v>263314.304</v>
      </c>
      <c r="I6069">
        <v>71441958.208000004</v>
      </c>
      <c r="J6069">
        <v>0</v>
      </c>
      <c r="K6069">
        <v>28752126.672000002</v>
      </c>
      <c r="L6069">
        <v>192997.416</v>
      </c>
      <c r="M6069">
        <v>0</v>
      </c>
      <c r="N6069">
        <v>0</v>
      </c>
      <c r="O6069">
        <v>0</v>
      </c>
      <c r="P6069">
        <v>0</v>
      </c>
      <c r="Q6069">
        <v>4486067.8440000005</v>
      </c>
      <c r="R6069">
        <v>0</v>
      </c>
      <c r="S6069">
        <v>0</v>
      </c>
      <c r="T6069" s="9">
        <v>45108</v>
      </c>
      <c r="U6069" s="9">
        <v>45473</v>
      </c>
      <c r="V6069">
        <f>SUM(POTABLE_NONPOTABLE_API[[#This Row],[RESIDENTIAL_SINGLEFAMILY_GAL]:[OTHER_GAL]])</f>
        <v>100838905.70400001</v>
      </c>
      <c r="W6069">
        <f>SUM(POTABLE_NONPOTABLE_API[[#This Row],[NONPOTABLE_DEMAND_RESIDENTIAL_RECYCLED_WATER_GAL]:[NONPOTABLE_DEMAND_NONRESIDENTIAL_METERED_IRRIGATION_GAL]])</f>
        <v>4486067.8440000005</v>
      </c>
      <c r="X6069" t="str">
        <f>IFERROR(INDEX(Crosswalk_API!$H$2:$H$527, MATCH(POTABLE_NONPOTABLE_API[[#This Row],[PWSID]], CW_PWSID_LIST, 0)), "")</f>
        <v>No</v>
      </c>
    </row>
    <row r="6070" spans="1:24" x14ac:dyDescent="0.25">
      <c r="A6070" t="s">
        <v>2497</v>
      </c>
      <c r="B6070" t="s">
        <v>2498</v>
      </c>
      <c r="C6070" t="s">
        <v>2499</v>
      </c>
      <c r="D6070" t="s">
        <v>2500</v>
      </c>
      <c r="E6070" s="9">
        <v>45352</v>
      </c>
      <c r="F6070" s="9">
        <v>45382</v>
      </c>
      <c r="G6070">
        <v>185516.89600000001</v>
      </c>
      <c r="H6070">
        <v>250597.42</v>
      </c>
      <c r="I6070">
        <v>71349199.760000005</v>
      </c>
      <c r="J6070">
        <v>0</v>
      </c>
      <c r="K6070">
        <v>26641871.98</v>
      </c>
      <c r="L6070">
        <v>104727.28</v>
      </c>
      <c r="M6070">
        <v>0</v>
      </c>
      <c r="N6070">
        <v>0</v>
      </c>
      <c r="O6070">
        <v>0</v>
      </c>
      <c r="P6070">
        <v>0</v>
      </c>
      <c r="Q6070">
        <v>6091387.4359999998</v>
      </c>
      <c r="R6070">
        <v>0</v>
      </c>
      <c r="S6070">
        <v>0</v>
      </c>
      <c r="T6070" s="9">
        <v>45108</v>
      </c>
      <c r="U6070" s="9">
        <v>45473</v>
      </c>
      <c r="V6070">
        <f>SUM(POTABLE_NONPOTABLE_API[[#This Row],[RESIDENTIAL_SINGLEFAMILY_GAL]:[OTHER_GAL]])</f>
        <v>98531913.33600001</v>
      </c>
      <c r="W6070">
        <f>SUM(POTABLE_NONPOTABLE_API[[#This Row],[NONPOTABLE_DEMAND_RESIDENTIAL_RECYCLED_WATER_GAL]:[NONPOTABLE_DEMAND_NONRESIDENTIAL_METERED_IRRIGATION_GAL]])</f>
        <v>6091387.4359999998</v>
      </c>
      <c r="X6070" t="str">
        <f>IFERROR(INDEX(Crosswalk_API!$H$2:$H$527, MATCH(POTABLE_NONPOTABLE_API[[#This Row],[PWSID]], CW_PWSID_LIST, 0)), "")</f>
        <v>No</v>
      </c>
    </row>
    <row r="6071" spans="1:24" x14ac:dyDescent="0.25">
      <c r="A6071" t="s">
        <v>2497</v>
      </c>
      <c r="B6071" t="s">
        <v>2498</v>
      </c>
      <c r="C6071" t="s">
        <v>2499</v>
      </c>
      <c r="D6071" t="s">
        <v>2500</v>
      </c>
      <c r="E6071" s="9">
        <v>45383</v>
      </c>
      <c r="F6071" s="9">
        <v>45412</v>
      </c>
      <c r="G6071">
        <v>172800.01200000002</v>
      </c>
      <c r="H6071">
        <v>252841.576</v>
      </c>
      <c r="I6071">
        <v>60186019.763999999</v>
      </c>
      <c r="J6071">
        <v>0</v>
      </c>
      <c r="K6071">
        <v>17356302.504000001</v>
      </c>
      <c r="L6071">
        <v>82285.72</v>
      </c>
      <c r="M6071">
        <v>0</v>
      </c>
      <c r="N6071">
        <v>0</v>
      </c>
      <c r="O6071">
        <v>0</v>
      </c>
      <c r="P6071">
        <v>0</v>
      </c>
      <c r="Q6071">
        <v>9390296.756000001</v>
      </c>
      <c r="R6071">
        <v>0</v>
      </c>
      <c r="S6071">
        <v>0</v>
      </c>
      <c r="T6071" s="9">
        <v>45108</v>
      </c>
      <c r="U6071" s="9">
        <v>45473</v>
      </c>
      <c r="V6071">
        <f>SUM(POTABLE_NONPOTABLE_API[[#This Row],[RESIDENTIAL_SINGLEFAMILY_GAL]:[OTHER_GAL]])</f>
        <v>78050249.576000005</v>
      </c>
      <c r="W6071">
        <f>SUM(POTABLE_NONPOTABLE_API[[#This Row],[NONPOTABLE_DEMAND_RESIDENTIAL_RECYCLED_WATER_GAL]:[NONPOTABLE_DEMAND_NONRESIDENTIAL_METERED_IRRIGATION_GAL]])</f>
        <v>9390296.756000001</v>
      </c>
      <c r="X6071" t="str">
        <f>IFERROR(INDEX(Crosswalk_API!$H$2:$H$527, MATCH(POTABLE_NONPOTABLE_API[[#This Row],[PWSID]], CW_PWSID_LIST, 0)), "")</f>
        <v>No</v>
      </c>
    </row>
    <row r="6072" spans="1:24" x14ac:dyDescent="0.25">
      <c r="A6072" t="s">
        <v>2497</v>
      </c>
      <c r="B6072" t="s">
        <v>2498</v>
      </c>
      <c r="C6072" t="s">
        <v>2499</v>
      </c>
      <c r="D6072" t="s">
        <v>2500</v>
      </c>
      <c r="E6072" s="9">
        <v>45413</v>
      </c>
      <c r="F6072" s="9">
        <v>45443</v>
      </c>
      <c r="G6072">
        <v>164571.44</v>
      </c>
      <c r="H6072">
        <v>253589.628</v>
      </c>
      <c r="I6072">
        <v>72344856.972000003</v>
      </c>
      <c r="J6072">
        <v>0</v>
      </c>
      <c r="K6072">
        <v>24907139.392000001</v>
      </c>
      <c r="L6072">
        <v>4952104.24</v>
      </c>
      <c r="M6072">
        <v>0</v>
      </c>
      <c r="N6072">
        <v>0</v>
      </c>
      <c r="O6072">
        <v>0</v>
      </c>
      <c r="P6072">
        <v>0</v>
      </c>
      <c r="Q6072">
        <v>5715865.3320000004</v>
      </c>
      <c r="R6072">
        <v>0</v>
      </c>
      <c r="S6072">
        <v>0</v>
      </c>
      <c r="T6072" s="9">
        <v>45108</v>
      </c>
      <c r="U6072" s="9">
        <v>45473</v>
      </c>
      <c r="V6072">
        <f>SUM(POTABLE_NONPOTABLE_API[[#This Row],[RESIDENTIAL_SINGLEFAMILY_GAL]:[OTHER_GAL]])</f>
        <v>102622261.67200001</v>
      </c>
      <c r="W6072">
        <f>SUM(POTABLE_NONPOTABLE_API[[#This Row],[NONPOTABLE_DEMAND_RESIDENTIAL_RECYCLED_WATER_GAL]:[NONPOTABLE_DEMAND_NONRESIDENTIAL_METERED_IRRIGATION_GAL]])</f>
        <v>5715865.3320000004</v>
      </c>
      <c r="X6072" t="str">
        <f>IFERROR(INDEX(Crosswalk_API!$H$2:$H$527, MATCH(POTABLE_NONPOTABLE_API[[#This Row],[PWSID]], CW_PWSID_LIST, 0)), "")</f>
        <v>No</v>
      </c>
    </row>
    <row r="6073" spans="1:24" x14ac:dyDescent="0.25">
      <c r="A6073" t="s">
        <v>2497</v>
      </c>
      <c r="B6073" t="s">
        <v>2498</v>
      </c>
      <c r="C6073" t="s">
        <v>2499</v>
      </c>
      <c r="D6073" t="s">
        <v>2500</v>
      </c>
      <c r="E6073" s="9">
        <v>45444</v>
      </c>
      <c r="F6073" s="9">
        <v>45473</v>
      </c>
      <c r="G6073">
        <v>154098.712</v>
      </c>
      <c r="H6073">
        <v>286503.91600000003</v>
      </c>
      <c r="I6073">
        <v>74268846.716000006</v>
      </c>
      <c r="J6073">
        <v>0</v>
      </c>
      <c r="K6073">
        <v>25795077.116</v>
      </c>
      <c r="L6073">
        <v>94254.551999999996</v>
      </c>
      <c r="M6073">
        <v>0</v>
      </c>
      <c r="N6073">
        <v>0</v>
      </c>
      <c r="O6073">
        <v>0</v>
      </c>
      <c r="P6073">
        <v>0</v>
      </c>
      <c r="Q6073">
        <v>9141943.4920000006</v>
      </c>
      <c r="R6073">
        <v>0</v>
      </c>
      <c r="S6073">
        <v>0</v>
      </c>
      <c r="T6073" s="9">
        <v>45108</v>
      </c>
      <c r="U6073" s="9">
        <v>45473</v>
      </c>
      <c r="V6073">
        <f>SUM(POTABLE_NONPOTABLE_API[[#This Row],[RESIDENTIAL_SINGLEFAMILY_GAL]:[OTHER_GAL]])</f>
        <v>100598781.01200001</v>
      </c>
      <c r="W6073">
        <f>SUM(POTABLE_NONPOTABLE_API[[#This Row],[NONPOTABLE_DEMAND_RESIDENTIAL_RECYCLED_WATER_GAL]:[NONPOTABLE_DEMAND_NONRESIDENTIAL_METERED_IRRIGATION_GAL]])</f>
        <v>9141943.4920000006</v>
      </c>
      <c r="X6073" t="str">
        <f>IFERROR(INDEX(Crosswalk_API!$H$2:$H$527, MATCH(POTABLE_NONPOTABLE_API[[#This Row],[PWSID]], CW_PWSID_LIST, 0)), "")</f>
        <v>No</v>
      </c>
    </row>
    <row r="6074" spans="1:24" x14ac:dyDescent="0.25">
      <c r="A6074" t="s">
        <v>2501</v>
      </c>
      <c r="B6074" t="s">
        <v>2502</v>
      </c>
      <c r="C6074" t="s">
        <v>2503</v>
      </c>
      <c r="D6074" t="s">
        <v>2504</v>
      </c>
      <c r="E6074" s="9">
        <v>45108</v>
      </c>
      <c r="F6074" s="9">
        <v>45138</v>
      </c>
      <c r="G6074">
        <v>342883099.13600004</v>
      </c>
      <c r="H6074">
        <v>51489915.263999999</v>
      </c>
      <c r="I6074">
        <v>139936591.53600001</v>
      </c>
      <c r="J6074">
        <v>48921104.696000002</v>
      </c>
      <c r="K6074">
        <v>0</v>
      </c>
      <c r="L6074">
        <v>2915906.696</v>
      </c>
      <c r="M6074">
        <v>0</v>
      </c>
      <c r="N6074">
        <v>0</v>
      </c>
      <c r="O6074">
        <v>0</v>
      </c>
      <c r="P6074">
        <v>0</v>
      </c>
      <c r="Q6074">
        <v>39571345.439999998</v>
      </c>
      <c r="R6074">
        <v>94017789.029999986</v>
      </c>
      <c r="S6074">
        <v>14568798.210000001</v>
      </c>
      <c r="T6074" s="9">
        <v>45108</v>
      </c>
      <c r="U6074" s="9">
        <v>45473</v>
      </c>
      <c r="V6074">
        <f>SUM(POTABLE_NONPOTABLE_API[[#This Row],[RESIDENTIAL_SINGLEFAMILY_GAL]:[OTHER_GAL]])</f>
        <v>586146617.32800007</v>
      </c>
      <c r="W6074">
        <f>SUM(POTABLE_NONPOTABLE_API[[#This Row],[NONPOTABLE_DEMAND_RESIDENTIAL_RECYCLED_WATER_GAL]:[NONPOTABLE_DEMAND_NONRESIDENTIAL_METERED_IRRIGATION_GAL]])</f>
        <v>148157932.67999998</v>
      </c>
      <c r="X6074" t="str">
        <f>IFERROR(INDEX(Crosswalk_API!$H$2:$H$527, MATCH(POTABLE_NONPOTABLE_API[[#This Row],[PWSID]], CW_PWSID_LIST, 0)), "")</f>
        <v>No</v>
      </c>
    </row>
    <row r="6075" spans="1:24" x14ac:dyDescent="0.25">
      <c r="A6075" t="s">
        <v>2501</v>
      </c>
      <c r="B6075" t="s">
        <v>2502</v>
      </c>
      <c r="C6075" t="s">
        <v>2503</v>
      </c>
      <c r="D6075" t="s">
        <v>2504</v>
      </c>
      <c r="E6075" s="9">
        <v>45139</v>
      </c>
      <c r="F6075" s="9">
        <v>45169</v>
      </c>
      <c r="G6075">
        <v>420775509.74000001</v>
      </c>
      <c r="H6075">
        <v>60542840.568000004</v>
      </c>
      <c r="I6075">
        <v>141181350.06400001</v>
      </c>
      <c r="J6075">
        <v>64861344.763999999</v>
      </c>
      <c r="K6075">
        <v>0</v>
      </c>
      <c r="L6075">
        <v>1671148.1680000001</v>
      </c>
      <c r="M6075">
        <v>0</v>
      </c>
      <c r="N6075">
        <v>0</v>
      </c>
      <c r="O6075">
        <v>0</v>
      </c>
      <c r="P6075">
        <v>0</v>
      </c>
      <c r="Q6075">
        <v>27599579.699999999</v>
      </c>
      <c r="R6075">
        <v>106220908.98</v>
      </c>
      <c r="S6075">
        <v>9211807.7699999996</v>
      </c>
      <c r="T6075" s="9">
        <v>45108</v>
      </c>
      <c r="U6075" s="9">
        <v>45473</v>
      </c>
      <c r="V6075">
        <f>SUM(POTABLE_NONPOTABLE_API[[#This Row],[RESIDENTIAL_SINGLEFAMILY_GAL]:[OTHER_GAL]])</f>
        <v>689032193.3039999</v>
      </c>
      <c r="W6075">
        <f>SUM(POTABLE_NONPOTABLE_API[[#This Row],[NONPOTABLE_DEMAND_RESIDENTIAL_RECYCLED_WATER_GAL]:[NONPOTABLE_DEMAND_NONRESIDENTIAL_METERED_IRRIGATION_GAL]])</f>
        <v>143032296.45000002</v>
      </c>
      <c r="X6075" t="str">
        <f>IFERROR(INDEX(Crosswalk_API!$H$2:$H$527, MATCH(POTABLE_NONPOTABLE_API[[#This Row],[PWSID]], CW_PWSID_LIST, 0)), "")</f>
        <v>No</v>
      </c>
    </row>
    <row r="6076" spans="1:24" x14ac:dyDescent="0.25">
      <c r="A6076" t="s">
        <v>2501</v>
      </c>
      <c r="B6076" t="s">
        <v>2502</v>
      </c>
      <c r="C6076" t="s">
        <v>2503</v>
      </c>
      <c r="D6076" t="s">
        <v>2504</v>
      </c>
      <c r="E6076" s="9">
        <v>45170</v>
      </c>
      <c r="F6076" s="9">
        <v>45199</v>
      </c>
      <c r="G6076">
        <v>218170861.90400001</v>
      </c>
      <c r="H6076">
        <v>55854798.684</v>
      </c>
      <c r="I6076">
        <v>141334700.72400001</v>
      </c>
      <c r="J6076">
        <v>31157113.852000002</v>
      </c>
      <c r="K6076">
        <v>0</v>
      </c>
      <c r="L6076">
        <v>1517797.5080000001</v>
      </c>
      <c r="M6076">
        <v>0</v>
      </c>
      <c r="N6076">
        <v>0</v>
      </c>
      <c r="O6076">
        <v>0</v>
      </c>
      <c r="P6076">
        <v>0</v>
      </c>
      <c r="Q6076">
        <v>26514495.870000001</v>
      </c>
      <c r="R6076">
        <v>72580051.74000001</v>
      </c>
      <c r="S6076">
        <v>7279511.3399999999</v>
      </c>
      <c r="T6076" s="9">
        <v>45108</v>
      </c>
      <c r="U6076" s="9">
        <v>45473</v>
      </c>
      <c r="V6076">
        <f>SUM(POTABLE_NONPOTABLE_API[[#This Row],[RESIDENTIAL_SINGLEFAMILY_GAL]:[OTHER_GAL]])</f>
        <v>448035272.67200005</v>
      </c>
      <c r="W6076">
        <f>SUM(POTABLE_NONPOTABLE_API[[#This Row],[NONPOTABLE_DEMAND_RESIDENTIAL_RECYCLED_WATER_GAL]:[NONPOTABLE_DEMAND_NONRESIDENTIAL_METERED_IRRIGATION_GAL]])</f>
        <v>106374058.95000002</v>
      </c>
      <c r="X6076" t="str">
        <f>IFERROR(INDEX(Crosswalk_API!$H$2:$H$527, MATCH(POTABLE_NONPOTABLE_API[[#This Row],[PWSID]], CW_PWSID_LIST, 0)), "")</f>
        <v>No</v>
      </c>
    </row>
    <row r="6077" spans="1:24" x14ac:dyDescent="0.25">
      <c r="A6077" t="s">
        <v>2501</v>
      </c>
      <c r="B6077" t="s">
        <v>2502</v>
      </c>
      <c r="C6077" t="s">
        <v>2503</v>
      </c>
      <c r="D6077" t="s">
        <v>2504</v>
      </c>
      <c r="E6077" s="9">
        <v>45200</v>
      </c>
      <c r="F6077" s="9">
        <v>45230</v>
      </c>
      <c r="G6077">
        <v>201517728.28</v>
      </c>
      <c r="H6077">
        <v>12975709.992000001</v>
      </c>
      <c r="I6077">
        <v>142679698.22</v>
      </c>
      <c r="J6077">
        <v>23644427.616</v>
      </c>
      <c r="K6077">
        <v>0</v>
      </c>
      <c r="L6077">
        <v>172800.01200000002</v>
      </c>
      <c r="M6077">
        <v>0</v>
      </c>
      <c r="N6077">
        <v>0</v>
      </c>
      <c r="O6077">
        <v>0</v>
      </c>
      <c r="P6077">
        <v>0</v>
      </c>
      <c r="Q6077">
        <v>29241070</v>
      </c>
      <c r="R6077">
        <v>78963473</v>
      </c>
      <c r="S6077">
        <v>4586407</v>
      </c>
      <c r="T6077" s="9">
        <v>45108</v>
      </c>
      <c r="U6077" s="9">
        <v>45473</v>
      </c>
      <c r="V6077">
        <f>SUM(POTABLE_NONPOTABLE_API[[#This Row],[RESIDENTIAL_SINGLEFAMILY_GAL]:[OTHER_GAL]])</f>
        <v>380990364.12</v>
      </c>
      <c r="W6077">
        <f>SUM(POTABLE_NONPOTABLE_API[[#This Row],[NONPOTABLE_DEMAND_RESIDENTIAL_RECYCLED_WATER_GAL]:[NONPOTABLE_DEMAND_NONRESIDENTIAL_METERED_IRRIGATION_GAL]])</f>
        <v>112790950</v>
      </c>
      <c r="X6077" t="str">
        <f>IFERROR(INDEX(Crosswalk_API!$H$2:$H$527, MATCH(POTABLE_NONPOTABLE_API[[#This Row],[PWSID]], CW_PWSID_LIST, 0)), "")</f>
        <v>No</v>
      </c>
    </row>
    <row r="6078" spans="1:24" x14ac:dyDescent="0.25">
      <c r="A6078" t="s">
        <v>2501</v>
      </c>
      <c r="B6078" t="s">
        <v>2502</v>
      </c>
      <c r="C6078" t="s">
        <v>2503</v>
      </c>
      <c r="D6078" t="s">
        <v>2504</v>
      </c>
      <c r="E6078" s="9">
        <v>45231</v>
      </c>
      <c r="F6078" s="9">
        <v>45260</v>
      </c>
      <c r="G6078">
        <v>731701827.43599999</v>
      </c>
      <c r="H6078">
        <v>117159156.18800001</v>
      </c>
      <c r="I6078">
        <v>295933859.51200002</v>
      </c>
      <c r="J6078">
        <v>77267039.131999999</v>
      </c>
      <c r="K6078">
        <v>0</v>
      </c>
      <c r="L6078">
        <v>3827034.0320000001</v>
      </c>
      <c r="M6078">
        <v>0</v>
      </c>
      <c r="N6078">
        <v>0</v>
      </c>
      <c r="O6078">
        <v>0</v>
      </c>
      <c r="P6078">
        <v>0</v>
      </c>
      <c r="Q6078">
        <v>18279871</v>
      </c>
      <c r="R6078">
        <v>71341818</v>
      </c>
      <c r="S6078">
        <v>2428733</v>
      </c>
      <c r="T6078" s="9">
        <v>45108</v>
      </c>
      <c r="U6078" s="9">
        <v>45473</v>
      </c>
      <c r="V6078">
        <f>SUM(POTABLE_NONPOTABLE_API[[#This Row],[RESIDENTIAL_SINGLEFAMILY_GAL]:[OTHER_GAL]])</f>
        <v>1225888916.3</v>
      </c>
      <c r="W6078">
        <f>SUM(POTABLE_NONPOTABLE_API[[#This Row],[NONPOTABLE_DEMAND_RESIDENTIAL_RECYCLED_WATER_GAL]:[NONPOTABLE_DEMAND_NONRESIDENTIAL_METERED_IRRIGATION_GAL]])</f>
        <v>92050422</v>
      </c>
      <c r="X6078" t="str">
        <f>IFERROR(INDEX(Crosswalk_API!$H$2:$H$527, MATCH(POTABLE_NONPOTABLE_API[[#This Row],[PWSID]], CW_PWSID_LIST, 0)), "")</f>
        <v>No</v>
      </c>
    </row>
    <row r="6079" spans="1:24" x14ac:dyDescent="0.25">
      <c r="A6079" t="s">
        <v>2501</v>
      </c>
      <c r="B6079" t="s">
        <v>2502</v>
      </c>
      <c r="C6079" t="s">
        <v>2503</v>
      </c>
      <c r="D6079" t="s">
        <v>2504</v>
      </c>
      <c r="E6079" s="9">
        <v>45261</v>
      </c>
      <c r="F6079" s="9">
        <v>45291</v>
      </c>
      <c r="G6079">
        <v>171178983.31600001</v>
      </c>
      <c r="H6079">
        <v>29528604.648000002</v>
      </c>
      <c r="I6079">
        <v>65338601.940000005</v>
      </c>
      <c r="J6079">
        <v>11677091.720000001</v>
      </c>
      <c r="K6079">
        <v>0</v>
      </c>
      <c r="L6079">
        <v>1273184.504</v>
      </c>
      <c r="M6079">
        <v>0</v>
      </c>
      <c r="N6079">
        <v>0</v>
      </c>
      <c r="O6079">
        <v>0</v>
      </c>
      <c r="P6079">
        <v>0</v>
      </c>
      <c r="Q6079">
        <v>19648748</v>
      </c>
      <c r="R6079">
        <v>59751298</v>
      </c>
      <c r="S6079">
        <v>1260754</v>
      </c>
      <c r="T6079" s="9">
        <v>45108</v>
      </c>
      <c r="U6079" s="9">
        <v>45473</v>
      </c>
      <c r="V6079">
        <f>SUM(POTABLE_NONPOTABLE_API[[#This Row],[RESIDENTIAL_SINGLEFAMILY_GAL]:[OTHER_GAL]])</f>
        <v>278996466.12800002</v>
      </c>
      <c r="W6079">
        <f>SUM(POTABLE_NONPOTABLE_API[[#This Row],[NONPOTABLE_DEMAND_RESIDENTIAL_RECYCLED_WATER_GAL]:[NONPOTABLE_DEMAND_NONRESIDENTIAL_METERED_IRRIGATION_GAL]])</f>
        <v>80660800</v>
      </c>
      <c r="X6079" t="str">
        <f>IFERROR(INDEX(Crosswalk_API!$H$2:$H$527, MATCH(POTABLE_NONPOTABLE_API[[#This Row],[PWSID]], CW_PWSID_LIST, 0)), "")</f>
        <v>No</v>
      </c>
    </row>
    <row r="6080" spans="1:24" x14ac:dyDescent="0.25">
      <c r="A6080" t="s">
        <v>2501</v>
      </c>
      <c r="B6080" t="s">
        <v>2502</v>
      </c>
      <c r="C6080" t="s">
        <v>2503</v>
      </c>
      <c r="D6080" t="s">
        <v>2504</v>
      </c>
      <c r="E6080" s="9">
        <v>45292</v>
      </c>
      <c r="F6080" s="9">
        <v>45322</v>
      </c>
      <c r="G6080">
        <v>262884922.15200001</v>
      </c>
      <c r="H6080">
        <v>42787078.296000004</v>
      </c>
      <c r="I6080">
        <v>103255113.664</v>
      </c>
      <c r="J6080">
        <v>13403595.736</v>
      </c>
      <c r="K6080">
        <v>0</v>
      </c>
      <c r="L6080">
        <v>1226805.28</v>
      </c>
      <c r="M6080">
        <v>0</v>
      </c>
      <c r="N6080">
        <v>0</v>
      </c>
      <c r="O6080">
        <v>0</v>
      </c>
      <c r="P6080">
        <v>0</v>
      </c>
      <c r="Q6080">
        <v>20533388</v>
      </c>
      <c r="R6080">
        <v>62861920</v>
      </c>
      <c r="S6080">
        <v>392633</v>
      </c>
      <c r="T6080" s="9">
        <v>45108</v>
      </c>
      <c r="U6080" s="9">
        <v>45473</v>
      </c>
      <c r="V6080">
        <f>SUM(POTABLE_NONPOTABLE_API[[#This Row],[RESIDENTIAL_SINGLEFAMILY_GAL]:[OTHER_GAL]])</f>
        <v>423557515.12799996</v>
      </c>
      <c r="W6080">
        <f>SUM(POTABLE_NONPOTABLE_API[[#This Row],[NONPOTABLE_DEMAND_RESIDENTIAL_RECYCLED_WATER_GAL]:[NONPOTABLE_DEMAND_NONRESIDENTIAL_METERED_IRRIGATION_GAL]])</f>
        <v>83787941</v>
      </c>
      <c r="X6080" t="str">
        <f>IFERROR(INDEX(Crosswalk_API!$H$2:$H$527, MATCH(POTABLE_NONPOTABLE_API[[#This Row],[PWSID]], CW_PWSID_LIST, 0)), "")</f>
        <v>No</v>
      </c>
    </row>
    <row r="6081" spans="1:24" x14ac:dyDescent="0.25">
      <c r="A6081" t="s">
        <v>2501</v>
      </c>
      <c r="B6081" t="s">
        <v>2502</v>
      </c>
      <c r="C6081" t="s">
        <v>2503</v>
      </c>
      <c r="D6081" t="s">
        <v>2504</v>
      </c>
      <c r="E6081" s="9">
        <v>45323</v>
      </c>
      <c r="F6081" s="9">
        <v>45351</v>
      </c>
      <c r="G6081">
        <v>251250469.396</v>
      </c>
      <c r="H6081">
        <v>42132532.796000004</v>
      </c>
      <c r="I6081">
        <v>96580993.719999999</v>
      </c>
      <c r="J6081">
        <v>8325070.7080000006</v>
      </c>
      <c r="K6081">
        <v>0</v>
      </c>
      <c r="L6081">
        <v>9368603.2479999997</v>
      </c>
      <c r="M6081">
        <v>0</v>
      </c>
      <c r="N6081">
        <v>0</v>
      </c>
      <c r="O6081">
        <v>0</v>
      </c>
      <c r="P6081">
        <v>0</v>
      </c>
      <c r="Q6081">
        <v>18963296</v>
      </c>
      <c r="R6081">
        <v>61370408</v>
      </c>
      <c r="S6081">
        <v>158532</v>
      </c>
      <c r="T6081" s="9">
        <v>45108</v>
      </c>
      <c r="U6081" s="9">
        <v>45473</v>
      </c>
      <c r="V6081">
        <f>SUM(POTABLE_NONPOTABLE_API[[#This Row],[RESIDENTIAL_SINGLEFAMILY_GAL]:[OTHER_GAL]])</f>
        <v>407657669.86800009</v>
      </c>
      <c r="W6081">
        <f>SUM(POTABLE_NONPOTABLE_API[[#This Row],[NONPOTABLE_DEMAND_RESIDENTIAL_RECYCLED_WATER_GAL]:[NONPOTABLE_DEMAND_NONRESIDENTIAL_METERED_IRRIGATION_GAL]])</f>
        <v>80492236</v>
      </c>
      <c r="X6081" t="str">
        <f>IFERROR(INDEX(Crosswalk_API!$H$2:$H$527, MATCH(POTABLE_NONPOTABLE_API[[#This Row],[PWSID]], CW_PWSID_LIST, 0)), "")</f>
        <v>No</v>
      </c>
    </row>
    <row r="6082" spans="1:24" x14ac:dyDescent="0.25">
      <c r="A6082" t="s">
        <v>2501</v>
      </c>
      <c r="B6082" t="s">
        <v>2502</v>
      </c>
      <c r="C6082" t="s">
        <v>2503</v>
      </c>
      <c r="D6082" t="s">
        <v>2504</v>
      </c>
      <c r="E6082" s="9">
        <v>45352</v>
      </c>
      <c r="F6082" s="9">
        <v>45382</v>
      </c>
      <c r="G6082">
        <v>207196939.06400001</v>
      </c>
      <c r="H6082">
        <v>36413675.256000005</v>
      </c>
      <c r="I6082">
        <v>83009834.335999995</v>
      </c>
      <c r="J6082">
        <v>7851553.7920000004</v>
      </c>
      <c r="K6082">
        <v>0</v>
      </c>
      <c r="L6082">
        <v>3370722.3119999999</v>
      </c>
      <c r="M6082">
        <v>0</v>
      </c>
      <c r="N6082">
        <v>0</v>
      </c>
      <c r="O6082">
        <v>0</v>
      </c>
      <c r="P6082">
        <v>0</v>
      </c>
      <c r="Q6082">
        <v>10817576</v>
      </c>
      <c r="R6082">
        <v>54971268</v>
      </c>
      <c r="S6082">
        <v>2389135</v>
      </c>
      <c r="T6082" s="9">
        <v>45108</v>
      </c>
      <c r="U6082" s="9">
        <v>45473</v>
      </c>
      <c r="V6082">
        <f>SUM(POTABLE_NONPOTABLE_API[[#This Row],[RESIDENTIAL_SINGLEFAMILY_GAL]:[OTHER_GAL]])</f>
        <v>337842724.75999999</v>
      </c>
      <c r="W6082">
        <f>SUM(POTABLE_NONPOTABLE_API[[#This Row],[NONPOTABLE_DEMAND_RESIDENTIAL_RECYCLED_WATER_GAL]:[NONPOTABLE_DEMAND_NONRESIDENTIAL_METERED_IRRIGATION_GAL]])</f>
        <v>68177979</v>
      </c>
      <c r="X6082" t="str">
        <f>IFERROR(INDEX(Crosswalk_API!$H$2:$H$527, MATCH(POTABLE_NONPOTABLE_API[[#This Row],[PWSID]], CW_PWSID_LIST, 0)), "")</f>
        <v>No</v>
      </c>
    </row>
    <row r="6083" spans="1:24" x14ac:dyDescent="0.25">
      <c r="A6083" t="s">
        <v>2501</v>
      </c>
      <c r="B6083" t="s">
        <v>2502</v>
      </c>
      <c r="C6083" t="s">
        <v>2503</v>
      </c>
      <c r="D6083" t="s">
        <v>2504</v>
      </c>
      <c r="E6083" s="9">
        <v>45383</v>
      </c>
      <c r="F6083" s="9">
        <v>45412</v>
      </c>
      <c r="G6083">
        <v>267165275.69600001</v>
      </c>
      <c r="H6083">
        <v>41885675.636</v>
      </c>
      <c r="I6083">
        <v>93084598.672000006</v>
      </c>
      <c r="J6083">
        <v>21507243.052000001</v>
      </c>
      <c r="K6083">
        <v>0</v>
      </c>
      <c r="L6083">
        <v>6583605.6519999998</v>
      </c>
      <c r="M6083">
        <v>0</v>
      </c>
      <c r="N6083">
        <v>0</v>
      </c>
      <c r="O6083">
        <v>0</v>
      </c>
      <c r="P6083">
        <v>0</v>
      </c>
      <c r="Q6083">
        <v>3392928</v>
      </c>
      <c r="R6083">
        <v>13893352</v>
      </c>
      <c r="S6083">
        <v>5518018</v>
      </c>
      <c r="T6083" s="9">
        <v>45108</v>
      </c>
      <c r="U6083" s="9">
        <v>45473</v>
      </c>
      <c r="V6083">
        <f>SUM(POTABLE_NONPOTABLE_API[[#This Row],[RESIDENTIAL_SINGLEFAMILY_GAL]:[OTHER_GAL]])</f>
        <v>430226398.708</v>
      </c>
      <c r="W6083">
        <f>SUM(POTABLE_NONPOTABLE_API[[#This Row],[NONPOTABLE_DEMAND_RESIDENTIAL_RECYCLED_WATER_GAL]:[NONPOTABLE_DEMAND_NONRESIDENTIAL_METERED_IRRIGATION_GAL]])</f>
        <v>22804298</v>
      </c>
      <c r="X6083" t="str">
        <f>IFERROR(INDEX(Crosswalk_API!$H$2:$H$527, MATCH(POTABLE_NONPOTABLE_API[[#This Row],[PWSID]], CW_PWSID_LIST, 0)), "")</f>
        <v>No</v>
      </c>
    </row>
    <row r="6084" spans="1:24" x14ac:dyDescent="0.25">
      <c r="A6084" t="s">
        <v>2501</v>
      </c>
      <c r="B6084" t="s">
        <v>2502</v>
      </c>
      <c r="C6084" t="s">
        <v>2503</v>
      </c>
      <c r="D6084" t="s">
        <v>2504</v>
      </c>
      <c r="E6084" s="9">
        <v>45413</v>
      </c>
      <c r="F6084" s="9">
        <v>45443</v>
      </c>
      <c r="G6084">
        <v>280058699.96799999</v>
      </c>
      <c r="H6084">
        <v>45285571.976000004</v>
      </c>
      <c r="I6084">
        <v>143632716.46799999</v>
      </c>
      <c r="J6084">
        <v>31457082.704</v>
      </c>
      <c r="K6084">
        <v>0</v>
      </c>
      <c r="L6084">
        <v>18714016.884</v>
      </c>
      <c r="M6084">
        <v>0</v>
      </c>
      <c r="N6084">
        <v>0</v>
      </c>
      <c r="O6084">
        <v>0</v>
      </c>
      <c r="P6084">
        <v>0</v>
      </c>
      <c r="Q6084">
        <v>7885416</v>
      </c>
      <c r="R6084">
        <v>26936976</v>
      </c>
      <c r="S6084">
        <v>9664870</v>
      </c>
      <c r="T6084" s="9">
        <v>45108</v>
      </c>
      <c r="U6084" s="9">
        <v>45473</v>
      </c>
      <c r="V6084">
        <f>SUM(POTABLE_NONPOTABLE_API[[#This Row],[RESIDENTIAL_SINGLEFAMILY_GAL]:[OTHER_GAL]])</f>
        <v>519148088</v>
      </c>
      <c r="W6084">
        <f>SUM(POTABLE_NONPOTABLE_API[[#This Row],[NONPOTABLE_DEMAND_RESIDENTIAL_RECYCLED_WATER_GAL]:[NONPOTABLE_DEMAND_NONRESIDENTIAL_METERED_IRRIGATION_GAL]])</f>
        <v>44487262</v>
      </c>
      <c r="X6084" t="str">
        <f>IFERROR(INDEX(Crosswalk_API!$H$2:$H$527, MATCH(POTABLE_NONPOTABLE_API[[#This Row],[PWSID]], CW_PWSID_LIST, 0)), "")</f>
        <v>No</v>
      </c>
    </row>
    <row r="6085" spans="1:24" x14ac:dyDescent="0.25">
      <c r="A6085" t="s">
        <v>2501</v>
      </c>
      <c r="B6085" t="s">
        <v>2502</v>
      </c>
      <c r="C6085" t="s">
        <v>2503</v>
      </c>
      <c r="D6085" t="s">
        <v>2504</v>
      </c>
      <c r="E6085" s="9">
        <v>45444</v>
      </c>
      <c r="F6085" s="9">
        <v>45473</v>
      </c>
      <c r="G6085">
        <v>380784649.81999999</v>
      </c>
      <c r="H6085">
        <v>56530289.640000001</v>
      </c>
      <c r="I6085">
        <v>158050670.71599999</v>
      </c>
      <c r="J6085">
        <v>49538247.596000001</v>
      </c>
      <c r="K6085">
        <v>0</v>
      </c>
      <c r="L6085">
        <v>8029590.1680000005</v>
      </c>
      <c r="M6085">
        <v>0</v>
      </c>
      <c r="N6085">
        <v>0</v>
      </c>
      <c r="O6085">
        <v>0</v>
      </c>
      <c r="P6085">
        <v>0</v>
      </c>
      <c r="Q6085">
        <v>19836212</v>
      </c>
      <c r="R6085">
        <v>59760712</v>
      </c>
      <c r="S6085">
        <v>11952973</v>
      </c>
      <c r="T6085" s="9">
        <v>45108</v>
      </c>
      <c r="U6085" s="9">
        <v>45473</v>
      </c>
      <c r="V6085">
        <f>SUM(POTABLE_NONPOTABLE_API[[#This Row],[RESIDENTIAL_SINGLEFAMILY_GAL]:[OTHER_GAL]])</f>
        <v>652933447.93999994</v>
      </c>
      <c r="W6085">
        <f>SUM(POTABLE_NONPOTABLE_API[[#This Row],[NONPOTABLE_DEMAND_RESIDENTIAL_RECYCLED_WATER_GAL]:[NONPOTABLE_DEMAND_NONRESIDENTIAL_METERED_IRRIGATION_GAL]])</f>
        <v>91549897</v>
      </c>
      <c r="X6085" t="str">
        <f>IFERROR(INDEX(Crosswalk_API!$H$2:$H$527, MATCH(POTABLE_NONPOTABLE_API[[#This Row],[PWSID]], CW_PWSID_LIST, 0)), "")</f>
        <v>No</v>
      </c>
    </row>
    <row r="6086" spans="1:24" x14ac:dyDescent="0.25">
      <c r="A6086" t="s">
        <v>2505</v>
      </c>
      <c r="B6086" t="s">
        <v>2506</v>
      </c>
      <c r="C6086" t="s">
        <v>2507</v>
      </c>
      <c r="D6086" t="s">
        <v>2508</v>
      </c>
      <c r="E6086" s="9">
        <v>45108</v>
      </c>
      <c r="F6086" s="9">
        <v>45138</v>
      </c>
      <c r="G6086">
        <v>207364502.71200001</v>
      </c>
      <c r="H6086">
        <v>105855342.41600001</v>
      </c>
      <c r="I6086">
        <v>40403784.623999998</v>
      </c>
      <c r="J6086">
        <v>52882788.088</v>
      </c>
      <c r="K6086">
        <v>14467325.68</v>
      </c>
      <c r="L6086">
        <v>1205111.7720000001</v>
      </c>
      <c r="M6086">
        <v>15774920.576000001</v>
      </c>
      <c r="T6086" s="9">
        <v>45108</v>
      </c>
      <c r="U6086" s="9">
        <v>45473</v>
      </c>
      <c r="V6086">
        <f>SUM(POTABLE_NONPOTABLE_API[[#This Row],[RESIDENTIAL_SINGLEFAMILY_GAL]:[OTHER_GAL]])</f>
        <v>422178855.29200006</v>
      </c>
      <c r="W6086">
        <f>SUM(POTABLE_NONPOTABLE_API[[#This Row],[NONPOTABLE_DEMAND_RESIDENTIAL_RECYCLED_WATER_GAL]:[NONPOTABLE_DEMAND_NONRESIDENTIAL_METERED_IRRIGATION_GAL]])</f>
        <v>0</v>
      </c>
      <c r="X6086" t="str">
        <f>IFERROR(INDEX(Crosswalk_API!$H$2:$H$527, MATCH(POTABLE_NONPOTABLE_API[[#This Row],[PWSID]], CW_PWSID_LIST, 0)), "")</f>
        <v>No</v>
      </c>
    </row>
    <row r="6087" spans="1:24" x14ac:dyDescent="0.25">
      <c r="A6087" t="s">
        <v>2505</v>
      </c>
      <c r="B6087" t="s">
        <v>2506</v>
      </c>
      <c r="C6087" t="s">
        <v>2507</v>
      </c>
      <c r="D6087" t="s">
        <v>2508</v>
      </c>
      <c r="E6087" s="9">
        <v>45139</v>
      </c>
      <c r="F6087" s="9">
        <v>45169</v>
      </c>
      <c r="G6087">
        <v>212636773.208</v>
      </c>
      <c r="H6087">
        <v>74421449.324000001</v>
      </c>
      <c r="I6087">
        <v>35192106.340000004</v>
      </c>
      <c r="J6087">
        <v>52414507.535999998</v>
      </c>
      <c r="K6087">
        <v>16206546.58</v>
      </c>
      <c r="L6087">
        <v>571511.728</v>
      </c>
      <c r="M6087">
        <v>22419866.492000002</v>
      </c>
      <c r="T6087" s="9">
        <v>45108</v>
      </c>
      <c r="U6087" s="9">
        <v>45473</v>
      </c>
      <c r="V6087">
        <f>SUM(POTABLE_NONPOTABLE_API[[#This Row],[RESIDENTIAL_SINGLEFAMILY_GAL]:[OTHER_GAL]])</f>
        <v>391442894.71599996</v>
      </c>
      <c r="W6087">
        <f>SUM(POTABLE_NONPOTABLE_API[[#This Row],[NONPOTABLE_DEMAND_RESIDENTIAL_RECYCLED_WATER_GAL]:[NONPOTABLE_DEMAND_NONRESIDENTIAL_METERED_IRRIGATION_GAL]])</f>
        <v>0</v>
      </c>
      <c r="X6087" t="str">
        <f>IFERROR(INDEX(Crosswalk_API!$H$2:$H$527, MATCH(POTABLE_NONPOTABLE_API[[#This Row],[PWSID]], CW_PWSID_LIST, 0)), "")</f>
        <v>No</v>
      </c>
    </row>
    <row r="6088" spans="1:24" x14ac:dyDescent="0.25">
      <c r="A6088" t="s">
        <v>2505</v>
      </c>
      <c r="B6088" t="s">
        <v>2506</v>
      </c>
      <c r="C6088" t="s">
        <v>2507</v>
      </c>
      <c r="D6088" t="s">
        <v>2508</v>
      </c>
      <c r="E6088" s="9">
        <v>45170</v>
      </c>
      <c r="F6088" s="9">
        <v>45199</v>
      </c>
      <c r="G6088">
        <v>206711453.31600001</v>
      </c>
      <c r="H6088">
        <v>116782886.03200001</v>
      </c>
      <c r="I6088">
        <v>54294362.212000005</v>
      </c>
      <c r="J6088">
        <v>72166072.544</v>
      </c>
      <c r="K6088">
        <v>14967024.416000001</v>
      </c>
      <c r="L6088">
        <v>1359958.5360000001</v>
      </c>
      <c r="M6088">
        <v>20721788.452</v>
      </c>
      <c r="T6088" s="9">
        <v>45108</v>
      </c>
      <c r="U6088" s="9">
        <v>45473</v>
      </c>
      <c r="V6088">
        <f>SUM(POTABLE_NONPOTABLE_API[[#This Row],[RESIDENTIAL_SINGLEFAMILY_GAL]:[OTHER_GAL]])</f>
        <v>466281757.05600011</v>
      </c>
      <c r="W6088">
        <f>SUM(POTABLE_NONPOTABLE_API[[#This Row],[NONPOTABLE_DEMAND_RESIDENTIAL_RECYCLED_WATER_GAL]:[NONPOTABLE_DEMAND_NONRESIDENTIAL_METERED_IRRIGATION_GAL]])</f>
        <v>0</v>
      </c>
      <c r="X6088" t="str">
        <f>IFERROR(INDEX(Crosswalk_API!$H$2:$H$527, MATCH(POTABLE_NONPOTABLE_API[[#This Row],[PWSID]], CW_PWSID_LIST, 0)), "")</f>
        <v>No</v>
      </c>
    </row>
    <row r="6089" spans="1:24" x14ac:dyDescent="0.25">
      <c r="A6089" t="s">
        <v>2505</v>
      </c>
      <c r="B6089" t="s">
        <v>2506</v>
      </c>
      <c r="C6089" t="s">
        <v>2507</v>
      </c>
      <c r="D6089" t="s">
        <v>2508</v>
      </c>
      <c r="E6089" s="9">
        <v>45200</v>
      </c>
      <c r="F6089" s="9">
        <v>45230</v>
      </c>
      <c r="G6089">
        <v>181603087.93600002</v>
      </c>
      <c r="H6089">
        <v>73267205.088</v>
      </c>
      <c r="I6089">
        <v>41558028.859999999</v>
      </c>
      <c r="J6089">
        <v>46337333.088</v>
      </c>
      <c r="K6089">
        <v>15452510.164000001</v>
      </c>
      <c r="L6089">
        <v>436862.36800000002</v>
      </c>
      <c r="M6089">
        <v>18167938.923999999</v>
      </c>
      <c r="T6089" s="9">
        <v>45108</v>
      </c>
      <c r="U6089" s="9">
        <v>45473</v>
      </c>
      <c r="V6089">
        <f>SUM(POTABLE_NONPOTABLE_API[[#This Row],[RESIDENTIAL_SINGLEFAMILY_GAL]:[OTHER_GAL]])</f>
        <v>358655027.50399995</v>
      </c>
      <c r="W6089">
        <f>SUM(POTABLE_NONPOTABLE_API[[#This Row],[NONPOTABLE_DEMAND_RESIDENTIAL_RECYCLED_WATER_GAL]:[NONPOTABLE_DEMAND_NONRESIDENTIAL_METERED_IRRIGATION_GAL]])</f>
        <v>0</v>
      </c>
      <c r="X6089" t="str">
        <f>IFERROR(INDEX(Crosswalk_API!$H$2:$H$527, MATCH(POTABLE_NONPOTABLE_API[[#This Row],[PWSID]], CW_PWSID_LIST, 0)), "")</f>
        <v>No</v>
      </c>
    </row>
    <row r="6090" spans="1:24" x14ac:dyDescent="0.25">
      <c r="A6090" t="s">
        <v>2505</v>
      </c>
      <c r="B6090" t="s">
        <v>2506</v>
      </c>
      <c r="C6090" t="s">
        <v>2507</v>
      </c>
      <c r="D6090" t="s">
        <v>2508</v>
      </c>
      <c r="E6090" s="9">
        <v>45231</v>
      </c>
      <c r="F6090" s="9">
        <v>45260</v>
      </c>
      <c r="G6090">
        <v>116576423.68000001</v>
      </c>
      <c r="H6090">
        <v>91782240.140000001</v>
      </c>
      <c r="I6090">
        <v>36233394.723999999</v>
      </c>
      <c r="J6090">
        <v>48374278.684</v>
      </c>
      <c r="K6090">
        <v>13538993.148</v>
      </c>
      <c r="L6090">
        <v>671002.64399999997</v>
      </c>
      <c r="M6090">
        <v>15106162.088</v>
      </c>
      <c r="T6090" s="9">
        <v>45108</v>
      </c>
      <c r="U6090" s="9">
        <v>45473</v>
      </c>
      <c r="V6090">
        <f>SUM(POTABLE_NONPOTABLE_API[[#This Row],[RESIDENTIAL_SINGLEFAMILY_GAL]:[OTHER_GAL]])</f>
        <v>307176333.01999998</v>
      </c>
      <c r="W6090">
        <f>SUM(POTABLE_NONPOTABLE_API[[#This Row],[NONPOTABLE_DEMAND_RESIDENTIAL_RECYCLED_WATER_GAL]:[NONPOTABLE_DEMAND_NONRESIDENTIAL_METERED_IRRIGATION_GAL]])</f>
        <v>0</v>
      </c>
      <c r="X6090" t="str">
        <f>IFERROR(INDEX(Crosswalk_API!$H$2:$H$527, MATCH(POTABLE_NONPOTABLE_API[[#This Row],[PWSID]], CW_PWSID_LIST, 0)), "")</f>
        <v>No</v>
      </c>
    </row>
    <row r="6091" spans="1:24" x14ac:dyDescent="0.25">
      <c r="A6091" t="s">
        <v>2505</v>
      </c>
      <c r="B6091" t="s">
        <v>2506</v>
      </c>
      <c r="C6091" t="s">
        <v>2507</v>
      </c>
      <c r="D6091" t="s">
        <v>2508</v>
      </c>
      <c r="E6091" s="9">
        <v>45261</v>
      </c>
      <c r="F6091" s="9">
        <v>45291</v>
      </c>
      <c r="G6091">
        <v>99669700.428000003</v>
      </c>
      <c r="H6091">
        <v>69025002.195999995</v>
      </c>
      <c r="I6091">
        <v>33232210.100000001</v>
      </c>
      <c r="J6091">
        <v>39209893.631999999</v>
      </c>
      <c r="K6091">
        <v>13422297.036</v>
      </c>
      <c r="L6091">
        <v>473516.91600000003</v>
      </c>
      <c r="M6091">
        <v>17479731.083999999</v>
      </c>
      <c r="T6091" s="9">
        <v>45108</v>
      </c>
      <c r="U6091" s="9">
        <v>45473</v>
      </c>
      <c r="V6091">
        <f>SUM(POTABLE_NONPOTABLE_API[[#This Row],[RESIDENTIAL_SINGLEFAMILY_GAL]:[OTHER_GAL]])</f>
        <v>255032620.30800003</v>
      </c>
      <c r="W6091">
        <f>SUM(POTABLE_NONPOTABLE_API[[#This Row],[NONPOTABLE_DEMAND_RESIDENTIAL_RECYCLED_WATER_GAL]:[NONPOTABLE_DEMAND_NONRESIDENTIAL_METERED_IRRIGATION_GAL]])</f>
        <v>0</v>
      </c>
      <c r="X6091" t="str">
        <f>IFERROR(INDEX(Crosswalk_API!$H$2:$H$527, MATCH(POTABLE_NONPOTABLE_API[[#This Row],[PWSID]], CW_PWSID_LIST, 0)), "")</f>
        <v>No</v>
      </c>
    </row>
    <row r="6092" spans="1:24" x14ac:dyDescent="0.25">
      <c r="A6092" t="s">
        <v>2505</v>
      </c>
      <c r="B6092" t="s">
        <v>2506</v>
      </c>
      <c r="C6092" t="s">
        <v>2507</v>
      </c>
      <c r="D6092" t="s">
        <v>2508</v>
      </c>
      <c r="E6092" s="9">
        <v>45292</v>
      </c>
      <c r="F6092" s="9">
        <v>45322</v>
      </c>
      <c r="G6092">
        <v>148431470.04800001</v>
      </c>
      <c r="H6092">
        <v>102382136.98</v>
      </c>
      <c r="I6092">
        <v>37379410.388000004</v>
      </c>
      <c r="J6092">
        <v>33640646.491999999</v>
      </c>
      <c r="K6092">
        <v>11717486.528000001</v>
      </c>
      <c r="L6092">
        <v>369537.68800000002</v>
      </c>
      <c r="M6092">
        <v>10728561.784</v>
      </c>
      <c r="T6092" s="9">
        <v>45108</v>
      </c>
      <c r="U6092" s="9">
        <v>45473</v>
      </c>
      <c r="V6092">
        <f>SUM(POTABLE_NONPOTABLE_API[[#This Row],[RESIDENTIAL_SINGLEFAMILY_GAL]:[OTHER_GAL]])</f>
        <v>333920688.12400001</v>
      </c>
      <c r="W6092">
        <f>SUM(POTABLE_NONPOTABLE_API[[#This Row],[NONPOTABLE_DEMAND_RESIDENTIAL_RECYCLED_WATER_GAL]:[NONPOTABLE_DEMAND_NONRESIDENTIAL_METERED_IRRIGATION_GAL]])</f>
        <v>0</v>
      </c>
      <c r="X6092" t="str">
        <f>IFERROR(INDEX(Crosswalk_API!$H$2:$H$527, MATCH(POTABLE_NONPOTABLE_API[[#This Row],[PWSID]], CW_PWSID_LIST, 0)), "")</f>
        <v>No</v>
      </c>
    </row>
    <row r="6093" spans="1:24" x14ac:dyDescent="0.25">
      <c r="A6093" t="s">
        <v>2505</v>
      </c>
      <c r="B6093" t="s">
        <v>2506</v>
      </c>
      <c r="C6093" t="s">
        <v>2507</v>
      </c>
      <c r="D6093" t="s">
        <v>2508</v>
      </c>
      <c r="E6093" s="9">
        <v>45323</v>
      </c>
      <c r="F6093" s="9">
        <v>45351</v>
      </c>
      <c r="G6093">
        <v>107492828.244</v>
      </c>
      <c r="H6093">
        <v>67961272.252000004</v>
      </c>
      <c r="I6093">
        <v>28307783.784000002</v>
      </c>
      <c r="J6093">
        <v>13109611.300000001</v>
      </c>
      <c r="K6093">
        <v>13030317.788000001</v>
      </c>
      <c r="L6093">
        <v>222919.49600000001</v>
      </c>
      <c r="M6093">
        <v>7404218.6960000005</v>
      </c>
      <c r="T6093" s="9">
        <v>45108</v>
      </c>
      <c r="U6093" s="9">
        <v>45473</v>
      </c>
      <c r="V6093">
        <f>SUM(POTABLE_NONPOTABLE_API[[#This Row],[RESIDENTIAL_SINGLEFAMILY_GAL]:[OTHER_GAL]])</f>
        <v>230124732.86399999</v>
      </c>
      <c r="W6093">
        <f>SUM(POTABLE_NONPOTABLE_API[[#This Row],[NONPOTABLE_DEMAND_RESIDENTIAL_RECYCLED_WATER_GAL]:[NONPOTABLE_DEMAND_NONRESIDENTIAL_METERED_IRRIGATION_GAL]])</f>
        <v>0</v>
      </c>
      <c r="X6093" t="str">
        <f>IFERROR(INDEX(Crosswalk_API!$H$2:$H$527, MATCH(POTABLE_NONPOTABLE_API[[#This Row],[PWSID]], CW_PWSID_LIST, 0)), "")</f>
        <v>No</v>
      </c>
    </row>
    <row r="6094" spans="1:24" x14ac:dyDescent="0.25">
      <c r="A6094" t="s">
        <v>2505</v>
      </c>
      <c r="B6094" t="s">
        <v>2506</v>
      </c>
      <c r="C6094" t="s">
        <v>2507</v>
      </c>
      <c r="D6094" t="s">
        <v>2508</v>
      </c>
      <c r="E6094" s="9">
        <v>45352</v>
      </c>
      <c r="F6094" s="9">
        <v>45382</v>
      </c>
      <c r="G6094">
        <v>124810232.044</v>
      </c>
      <c r="H6094">
        <v>105644391.752</v>
      </c>
      <c r="I6094">
        <v>38285301.359999999</v>
      </c>
      <c r="J6094">
        <v>11222276.104</v>
      </c>
      <c r="K6094">
        <v>13081185.324000001</v>
      </c>
      <c r="L6094">
        <v>154846.764</v>
      </c>
      <c r="M6094">
        <v>6164696.5320000006</v>
      </c>
      <c r="T6094" s="9">
        <v>45108</v>
      </c>
      <c r="U6094" s="9">
        <v>45473</v>
      </c>
      <c r="V6094">
        <f>SUM(POTABLE_NONPOTABLE_API[[#This Row],[RESIDENTIAL_SINGLEFAMILY_GAL]:[OTHER_GAL]])</f>
        <v>293198233.34799999</v>
      </c>
      <c r="W6094">
        <f>SUM(POTABLE_NONPOTABLE_API[[#This Row],[NONPOTABLE_DEMAND_RESIDENTIAL_RECYCLED_WATER_GAL]:[NONPOTABLE_DEMAND_NONRESIDENTIAL_METERED_IRRIGATION_GAL]])</f>
        <v>0</v>
      </c>
      <c r="X6094" t="str">
        <f>IFERROR(INDEX(Crosswalk_API!$H$2:$H$527, MATCH(POTABLE_NONPOTABLE_API[[#This Row],[PWSID]], CW_PWSID_LIST, 0)), "")</f>
        <v>No</v>
      </c>
    </row>
    <row r="6095" spans="1:24" x14ac:dyDescent="0.25">
      <c r="A6095" t="s">
        <v>2505</v>
      </c>
      <c r="B6095" t="s">
        <v>2506</v>
      </c>
      <c r="C6095" t="s">
        <v>2507</v>
      </c>
      <c r="D6095" t="s">
        <v>2508</v>
      </c>
      <c r="E6095" s="9">
        <v>45383</v>
      </c>
      <c r="F6095" s="9">
        <v>45412</v>
      </c>
      <c r="G6095">
        <v>68241043.700000003</v>
      </c>
      <c r="H6095">
        <v>55646840.228</v>
      </c>
      <c r="I6095">
        <v>25548219.956</v>
      </c>
      <c r="J6095">
        <v>7113226.4680000003</v>
      </c>
      <c r="K6095">
        <v>11341216.372</v>
      </c>
      <c r="L6095">
        <v>198233.78</v>
      </c>
      <c r="M6095">
        <v>7551584.9400000004</v>
      </c>
      <c r="T6095" s="9">
        <v>45108</v>
      </c>
      <c r="U6095" s="9">
        <v>45473</v>
      </c>
      <c r="V6095">
        <f>SUM(POTABLE_NONPOTABLE_API[[#This Row],[RESIDENTIAL_SINGLEFAMILY_GAL]:[OTHER_GAL]])</f>
        <v>168088780.50400001</v>
      </c>
      <c r="W6095">
        <f>SUM(POTABLE_NONPOTABLE_API[[#This Row],[NONPOTABLE_DEMAND_RESIDENTIAL_RECYCLED_WATER_GAL]:[NONPOTABLE_DEMAND_NONRESIDENTIAL_METERED_IRRIGATION_GAL]])</f>
        <v>0</v>
      </c>
      <c r="X6095" t="str">
        <f>IFERROR(INDEX(Crosswalk_API!$H$2:$H$527, MATCH(POTABLE_NONPOTABLE_API[[#This Row],[PWSID]], CW_PWSID_LIST, 0)), "")</f>
        <v>No</v>
      </c>
    </row>
    <row r="6096" spans="1:24" x14ac:dyDescent="0.25">
      <c r="A6096" t="s">
        <v>2505</v>
      </c>
      <c r="B6096" t="s">
        <v>2506</v>
      </c>
      <c r="C6096" t="s">
        <v>2507</v>
      </c>
      <c r="D6096" t="s">
        <v>2508</v>
      </c>
      <c r="E6096" s="9">
        <v>45413</v>
      </c>
      <c r="F6096" s="9">
        <v>45443</v>
      </c>
      <c r="G6096">
        <v>109856672.56400001</v>
      </c>
      <c r="H6096">
        <v>87946229.483999997</v>
      </c>
      <c r="I6096">
        <v>33199295.812000003</v>
      </c>
      <c r="J6096">
        <v>21610474.228</v>
      </c>
      <c r="K6096">
        <v>11917216.412</v>
      </c>
      <c r="L6096">
        <v>168311.7</v>
      </c>
      <c r="M6096">
        <v>7963013.54</v>
      </c>
      <c r="T6096" s="9">
        <v>45108</v>
      </c>
      <c r="U6096" s="9">
        <v>45473</v>
      </c>
      <c r="V6096">
        <f>SUM(POTABLE_NONPOTABLE_API[[#This Row],[RESIDENTIAL_SINGLEFAMILY_GAL]:[OTHER_GAL]])</f>
        <v>264698200.19999999</v>
      </c>
      <c r="W6096">
        <f>SUM(POTABLE_NONPOTABLE_API[[#This Row],[NONPOTABLE_DEMAND_RESIDENTIAL_RECYCLED_WATER_GAL]:[NONPOTABLE_DEMAND_NONRESIDENTIAL_METERED_IRRIGATION_GAL]])</f>
        <v>0</v>
      </c>
      <c r="X6096" t="str">
        <f>IFERROR(INDEX(Crosswalk_API!$H$2:$H$527, MATCH(POTABLE_NONPOTABLE_API[[#This Row],[PWSID]], CW_PWSID_LIST, 0)), "")</f>
        <v>No</v>
      </c>
    </row>
    <row r="6097" spans="1:24" x14ac:dyDescent="0.25">
      <c r="A6097" t="s">
        <v>2505</v>
      </c>
      <c r="B6097" t="s">
        <v>2506</v>
      </c>
      <c r="C6097" t="s">
        <v>2507</v>
      </c>
      <c r="D6097" t="s">
        <v>2508</v>
      </c>
      <c r="E6097" s="9">
        <v>45444</v>
      </c>
      <c r="F6097" s="9">
        <v>45473</v>
      </c>
      <c r="G6097">
        <v>115667540.5</v>
      </c>
      <c r="H6097">
        <v>68395890.464000002</v>
      </c>
      <c r="I6097">
        <v>32347264.584000003</v>
      </c>
      <c r="J6097">
        <v>33566589.344000004</v>
      </c>
      <c r="K6097">
        <v>14920645.192</v>
      </c>
      <c r="L6097">
        <v>356820.804</v>
      </c>
      <c r="M6097">
        <v>16442182.960000001</v>
      </c>
      <c r="T6097" s="9">
        <v>45108</v>
      </c>
      <c r="U6097" s="9">
        <v>45473</v>
      </c>
      <c r="V6097">
        <f>SUM(POTABLE_NONPOTABLE_API[[#This Row],[RESIDENTIAL_SINGLEFAMILY_GAL]:[OTHER_GAL]])</f>
        <v>265254750.88799998</v>
      </c>
      <c r="W6097">
        <f>SUM(POTABLE_NONPOTABLE_API[[#This Row],[NONPOTABLE_DEMAND_RESIDENTIAL_RECYCLED_WATER_GAL]:[NONPOTABLE_DEMAND_NONRESIDENTIAL_METERED_IRRIGATION_GAL]])</f>
        <v>0</v>
      </c>
      <c r="X6097" t="str">
        <f>IFERROR(INDEX(Crosswalk_API!$H$2:$H$527, MATCH(POTABLE_NONPOTABLE_API[[#This Row],[PWSID]], CW_PWSID_LIST, 0)), "")</f>
        <v>No</v>
      </c>
    </row>
    <row r="6098" spans="1:24" x14ac:dyDescent="0.25">
      <c r="A6098" t="s">
        <v>2509</v>
      </c>
      <c r="B6098" t="s">
        <v>2510</v>
      </c>
      <c r="C6098" t="s">
        <v>2511</v>
      </c>
      <c r="D6098" t="s">
        <v>2512</v>
      </c>
      <c r="E6098" s="9">
        <v>45108</v>
      </c>
      <c r="F6098" s="9">
        <v>45138</v>
      </c>
      <c r="G6098">
        <v>283284300.19200003</v>
      </c>
      <c r="H6098">
        <v>42537228.928000003</v>
      </c>
      <c r="I6098">
        <v>36035160.943999998</v>
      </c>
      <c r="J6098">
        <v>20783128.716000002</v>
      </c>
      <c r="K6098">
        <v>4016291.1880000001</v>
      </c>
      <c r="L6098">
        <v>3722306.7520000003</v>
      </c>
      <c r="M6098">
        <v>0</v>
      </c>
      <c r="N6098">
        <v>2504478.0959999999</v>
      </c>
      <c r="O6098">
        <v>0</v>
      </c>
      <c r="P6098">
        <v>2597236.5440000002</v>
      </c>
      <c r="Q6098">
        <v>81774052.431999996</v>
      </c>
      <c r="R6098">
        <v>0</v>
      </c>
      <c r="S6098">
        <v>99010666.615999997</v>
      </c>
      <c r="T6098" s="9">
        <v>45108</v>
      </c>
      <c r="U6098" s="9">
        <v>45473</v>
      </c>
      <c r="V6098">
        <f>SUM(POTABLE_NONPOTABLE_API[[#This Row],[RESIDENTIAL_SINGLEFAMILY_GAL]:[OTHER_GAL]])</f>
        <v>390378416.72000003</v>
      </c>
      <c r="W6098">
        <f>SUM(POTABLE_NONPOTABLE_API[[#This Row],[NONPOTABLE_DEMAND_RESIDENTIAL_RECYCLED_WATER_GAL]:[NONPOTABLE_DEMAND_NONRESIDENTIAL_METERED_IRRIGATION_GAL]])</f>
        <v>185886433.68799999</v>
      </c>
      <c r="X6098" t="str">
        <f>IFERROR(INDEX(Crosswalk_API!$H$2:$H$527, MATCH(POTABLE_NONPOTABLE_API[[#This Row],[PWSID]], CW_PWSID_LIST, 0)), "")</f>
        <v>No</v>
      </c>
    </row>
    <row r="6099" spans="1:24" x14ac:dyDescent="0.25">
      <c r="A6099" t="s">
        <v>2509</v>
      </c>
      <c r="B6099" t="s">
        <v>2510</v>
      </c>
      <c r="C6099" t="s">
        <v>2511</v>
      </c>
      <c r="D6099" t="s">
        <v>2512</v>
      </c>
      <c r="E6099" s="9">
        <v>45139</v>
      </c>
      <c r="F6099" s="9">
        <v>45169</v>
      </c>
      <c r="G6099">
        <v>362111027.74400002</v>
      </c>
      <c r="H6099">
        <v>50690995.728</v>
      </c>
      <c r="I6099">
        <v>43213467.936000004</v>
      </c>
      <c r="J6099">
        <v>37728002.620000005</v>
      </c>
      <c r="K6099">
        <v>4515241.8720000004</v>
      </c>
      <c r="L6099">
        <v>3284696.3319999999</v>
      </c>
      <c r="M6099">
        <v>0</v>
      </c>
      <c r="N6099">
        <v>2834369.0279999999</v>
      </c>
      <c r="O6099">
        <v>0</v>
      </c>
      <c r="P6099">
        <v>3009413.196</v>
      </c>
      <c r="Q6099">
        <v>70185978.900000006</v>
      </c>
      <c r="R6099">
        <v>0</v>
      </c>
      <c r="S6099">
        <v>105093825.48</v>
      </c>
      <c r="T6099" s="9">
        <v>45108</v>
      </c>
      <c r="U6099" s="9">
        <v>45473</v>
      </c>
      <c r="V6099">
        <f>SUM(POTABLE_NONPOTABLE_API[[#This Row],[RESIDENTIAL_SINGLEFAMILY_GAL]:[OTHER_GAL]])</f>
        <v>501543432.23199999</v>
      </c>
      <c r="W6099">
        <f>SUM(POTABLE_NONPOTABLE_API[[#This Row],[NONPOTABLE_DEMAND_RESIDENTIAL_RECYCLED_WATER_GAL]:[NONPOTABLE_DEMAND_NONRESIDENTIAL_METERED_IRRIGATION_GAL]])</f>
        <v>181123586.60400003</v>
      </c>
      <c r="X6099" t="str">
        <f>IFERROR(INDEX(Crosswalk_API!$H$2:$H$527, MATCH(POTABLE_NONPOTABLE_API[[#This Row],[PWSID]], CW_PWSID_LIST, 0)), "")</f>
        <v>No</v>
      </c>
    </row>
    <row r="6100" spans="1:24" x14ac:dyDescent="0.25">
      <c r="A6100" t="s">
        <v>2509</v>
      </c>
      <c r="B6100" t="s">
        <v>2510</v>
      </c>
      <c r="C6100" t="s">
        <v>2511</v>
      </c>
      <c r="D6100" t="s">
        <v>2512</v>
      </c>
      <c r="E6100" s="9">
        <v>45170</v>
      </c>
      <c r="F6100" s="9">
        <v>45199</v>
      </c>
      <c r="G6100">
        <v>303917070.45600003</v>
      </c>
      <c r="H6100">
        <v>49226309.912</v>
      </c>
      <c r="I6100">
        <v>45377582.372000001</v>
      </c>
      <c r="J6100">
        <v>34649020.588</v>
      </c>
      <c r="K6100">
        <v>4276613.284</v>
      </c>
      <c r="L6100">
        <v>1849184.544</v>
      </c>
      <c r="M6100">
        <v>0</v>
      </c>
      <c r="N6100">
        <v>2005527.412</v>
      </c>
      <c r="O6100">
        <v>0</v>
      </c>
      <c r="P6100">
        <v>2155137.8119999999</v>
      </c>
      <c r="Q6100">
        <v>60374528.868000001</v>
      </c>
      <c r="R6100">
        <v>0</v>
      </c>
      <c r="S6100">
        <v>89571746.480000004</v>
      </c>
      <c r="T6100" s="9">
        <v>45108</v>
      </c>
      <c r="U6100" s="9">
        <v>45473</v>
      </c>
      <c r="V6100">
        <f>SUM(POTABLE_NONPOTABLE_API[[#This Row],[RESIDENTIAL_SINGLEFAMILY_GAL]:[OTHER_GAL]])</f>
        <v>439295781.15600002</v>
      </c>
      <c r="W6100">
        <f>SUM(POTABLE_NONPOTABLE_API[[#This Row],[NONPOTABLE_DEMAND_RESIDENTIAL_RECYCLED_WATER_GAL]:[NONPOTABLE_DEMAND_NONRESIDENTIAL_METERED_IRRIGATION_GAL]])</f>
        <v>154106940.572</v>
      </c>
      <c r="X6100" t="str">
        <f>IFERROR(INDEX(Crosswalk_API!$H$2:$H$527, MATCH(POTABLE_NONPOTABLE_API[[#This Row],[PWSID]], CW_PWSID_LIST, 0)), "")</f>
        <v>No</v>
      </c>
    </row>
    <row r="6101" spans="1:24" x14ac:dyDescent="0.25">
      <c r="A6101" t="s">
        <v>2509</v>
      </c>
      <c r="B6101" t="s">
        <v>2510</v>
      </c>
      <c r="C6101" t="s">
        <v>2511</v>
      </c>
      <c r="D6101" t="s">
        <v>2512</v>
      </c>
      <c r="E6101" s="9">
        <v>45200</v>
      </c>
      <c r="F6101" s="9">
        <v>45230</v>
      </c>
      <c r="G6101">
        <v>306169455.028</v>
      </c>
      <c r="H6101">
        <v>47181135.744000003</v>
      </c>
      <c r="I6101">
        <v>41014195.056000002</v>
      </c>
      <c r="J6101">
        <v>28804490.311999999</v>
      </c>
      <c r="K6101">
        <v>4396301.6040000003</v>
      </c>
      <c r="L6101">
        <v>2030961.1800000002</v>
      </c>
      <c r="M6101">
        <v>0</v>
      </c>
      <c r="N6101">
        <v>1493111.7920000001</v>
      </c>
      <c r="O6101">
        <v>0</v>
      </c>
      <c r="P6101">
        <v>1618036.476</v>
      </c>
      <c r="Q6101">
        <v>56884118.236000001</v>
      </c>
      <c r="R6101">
        <v>0</v>
      </c>
      <c r="S6101">
        <v>80052036.728</v>
      </c>
      <c r="T6101" s="9">
        <v>45108</v>
      </c>
      <c r="U6101" s="9">
        <v>45473</v>
      </c>
      <c r="V6101">
        <f>SUM(POTABLE_NONPOTABLE_API[[#This Row],[RESIDENTIAL_SINGLEFAMILY_GAL]:[OTHER_GAL]])</f>
        <v>429596538.92399997</v>
      </c>
      <c r="W6101">
        <f>SUM(POTABLE_NONPOTABLE_API[[#This Row],[NONPOTABLE_DEMAND_RESIDENTIAL_RECYCLED_WATER_GAL]:[NONPOTABLE_DEMAND_NONRESIDENTIAL_METERED_IRRIGATION_GAL]])</f>
        <v>140047303.23199999</v>
      </c>
      <c r="X6101" t="str">
        <f>IFERROR(INDEX(Crosswalk_API!$H$2:$H$527, MATCH(POTABLE_NONPOTABLE_API[[#This Row],[PWSID]], CW_PWSID_LIST, 0)), "")</f>
        <v>No</v>
      </c>
    </row>
    <row r="6102" spans="1:24" x14ac:dyDescent="0.25">
      <c r="A6102" t="s">
        <v>2509</v>
      </c>
      <c r="B6102" t="s">
        <v>2510</v>
      </c>
      <c r="C6102" t="s">
        <v>2511</v>
      </c>
      <c r="D6102" t="s">
        <v>2512</v>
      </c>
      <c r="E6102" s="9">
        <v>45231</v>
      </c>
      <c r="F6102" s="9">
        <v>45260</v>
      </c>
      <c r="G6102">
        <v>264992932.68799999</v>
      </c>
      <c r="H6102">
        <v>45137457.68</v>
      </c>
      <c r="I6102">
        <v>40857852.188000001</v>
      </c>
      <c r="J6102">
        <v>24729103.015999999</v>
      </c>
      <c r="K6102">
        <v>4145704.1839999999</v>
      </c>
      <c r="L6102">
        <v>1722015.7040000001</v>
      </c>
      <c r="M6102">
        <v>0</v>
      </c>
      <c r="N6102">
        <v>1537246.86</v>
      </c>
      <c r="O6102">
        <v>0</v>
      </c>
      <c r="P6102">
        <v>1612800.112</v>
      </c>
      <c r="Q6102">
        <v>38318963.700000003</v>
      </c>
      <c r="R6102">
        <v>0</v>
      </c>
      <c r="S6102">
        <v>59708014.535999998</v>
      </c>
      <c r="T6102" s="9">
        <v>45108</v>
      </c>
      <c r="U6102" s="9">
        <v>45473</v>
      </c>
      <c r="V6102">
        <f>SUM(POTABLE_NONPOTABLE_API[[#This Row],[RESIDENTIAL_SINGLEFAMILY_GAL]:[OTHER_GAL]])</f>
        <v>381585065.45999998</v>
      </c>
      <c r="W6102">
        <f>SUM(POTABLE_NONPOTABLE_API[[#This Row],[NONPOTABLE_DEMAND_RESIDENTIAL_RECYCLED_WATER_GAL]:[NONPOTABLE_DEMAND_NONRESIDENTIAL_METERED_IRRIGATION_GAL]])</f>
        <v>101177025.208</v>
      </c>
      <c r="X6102" t="str">
        <f>IFERROR(INDEX(Crosswalk_API!$H$2:$H$527, MATCH(POTABLE_NONPOTABLE_API[[#This Row],[PWSID]], CW_PWSID_LIST, 0)), "")</f>
        <v>No</v>
      </c>
    </row>
    <row r="6103" spans="1:24" x14ac:dyDescent="0.25">
      <c r="A6103" t="s">
        <v>2509</v>
      </c>
      <c r="B6103" t="s">
        <v>2510</v>
      </c>
      <c r="C6103" t="s">
        <v>2511</v>
      </c>
      <c r="D6103" t="s">
        <v>2512</v>
      </c>
      <c r="E6103" s="9">
        <v>45261</v>
      </c>
      <c r="F6103" s="9">
        <v>45291</v>
      </c>
      <c r="G6103">
        <v>249968308.26800001</v>
      </c>
      <c r="H6103">
        <v>41860241.868000001</v>
      </c>
      <c r="I6103">
        <v>36091264.844000004</v>
      </c>
      <c r="J6103">
        <v>19158359.772</v>
      </c>
      <c r="K6103">
        <v>4049953.5279999999</v>
      </c>
      <c r="L6103">
        <v>1153496.1840000001</v>
      </c>
      <c r="M6103">
        <v>0</v>
      </c>
      <c r="N6103">
        <v>1087667.608</v>
      </c>
      <c r="O6103">
        <v>0</v>
      </c>
      <c r="P6103">
        <v>1141527.352</v>
      </c>
      <c r="Q6103">
        <v>25965632.971999999</v>
      </c>
      <c r="R6103">
        <v>0</v>
      </c>
      <c r="S6103">
        <v>44399878.408</v>
      </c>
      <c r="T6103" s="9">
        <v>45108</v>
      </c>
      <c r="U6103" s="9">
        <v>45473</v>
      </c>
      <c r="V6103">
        <f>SUM(POTABLE_NONPOTABLE_API[[#This Row],[RESIDENTIAL_SINGLEFAMILY_GAL]:[OTHER_GAL]])</f>
        <v>352281624.46400005</v>
      </c>
      <c r="W6103">
        <f>SUM(POTABLE_NONPOTABLE_API[[#This Row],[NONPOTABLE_DEMAND_RESIDENTIAL_RECYCLED_WATER_GAL]:[NONPOTABLE_DEMAND_NONRESIDENTIAL_METERED_IRRIGATION_GAL]])</f>
        <v>72594706.340000004</v>
      </c>
      <c r="X6103" t="str">
        <f>IFERROR(INDEX(Crosswalk_API!$H$2:$H$527, MATCH(POTABLE_NONPOTABLE_API[[#This Row],[PWSID]], CW_PWSID_LIST, 0)), "")</f>
        <v>No</v>
      </c>
    </row>
    <row r="6104" spans="1:24" x14ac:dyDescent="0.25">
      <c r="A6104" t="s">
        <v>2509</v>
      </c>
      <c r="B6104" t="s">
        <v>2510</v>
      </c>
      <c r="C6104" t="s">
        <v>2511</v>
      </c>
      <c r="D6104" t="s">
        <v>2512</v>
      </c>
      <c r="E6104" s="9">
        <v>45292</v>
      </c>
      <c r="F6104" s="9">
        <v>45322</v>
      </c>
      <c r="G6104">
        <v>223396005.12400001</v>
      </c>
      <c r="H6104">
        <v>39966174.204000004</v>
      </c>
      <c r="I6104">
        <v>34604137.468000002</v>
      </c>
      <c r="J6104">
        <v>12906889.208000001</v>
      </c>
      <c r="K6104">
        <v>3991605.4720000001</v>
      </c>
      <c r="L6104">
        <v>1002389.68</v>
      </c>
      <c r="M6104">
        <v>0</v>
      </c>
      <c r="N6104">
        <v>273787.03200000001</v>
      </c>
      <c r="O6104">
        <v>0</v>
      </c>
      <c r="P6104">
        <v>13215086.632000001</v>
      </c>
      <c r="Q6104">
        <v>11196094.284</v>
      </c>
      <c r="R6104">
        <v>0</v>
      </c>
      <c r="S6104">
        <v>23833684.772</v>
      </c>
      <c r="T6104" s="9">
        <v>45108</v>
      </c>
      <c r="U6104" s="9">
        <v>45473</v>
      </c>
      <c r="V6104">
        <f>SUM(POTABLE_NONPOTABLE_API[[#This Row],[RESIDENTIAL_SINGLEFAMILY_GAL]:[OTHER_GAL]])</f>
        <v>315867201.15600002</v>
      </c>
      <c r="W6104">
        <f>SUM(POTABLE_NONPOTABLE_API[[#This Row],[NONPOTABLE_DEMAND_RESIDENTIAL_RECYCLED_WATER_GAL]:[NONPOTABLE_DEMAND_NONRESIDENTIAL_METERED_IRRIGATION_GAL]])</f>
        <v>48518652.719999999</v>
      </c>
      <c r="X6104" t="str">
        <f>IFERROR(INDEX(Crosswalk_API!$H$2:$H$527, MATCH(POTABLE_NONPOTABLE_API[[#This Row],[PWSID]], CW_PWSID_LIST, 0)), "")</f>
        <v>No</v>
      </c>
    </row>
    <row r="6105" spans="1:24" x14ac:dyDescent="0.25">
      <c r="A6105" t="s">
        <v>2509</v>
      </c>
      <c r="B6105" t="s">
        <v>2510</v>
      </c>
      <c r="C6105" t="s">
        <v>2511</v>
      </c>
      <c r="D6105" t="s">
        <v>2512</v>
      </c>
      <c r="E6105" s="9">
        <v>45323</v>
      </c>
      <c r="F6105" s="9">
        <v>45351</v>
      </c>
      <c r="G6105">
        <v>180932085.292</v>
      </c>
      <c r="H6105">
        <v>34502402.395999998</v>
      </c>
      <c r="I6105">
        <v>31892448.968000002</v>
      </c>
      <c r="J6105">
        <v>6003117.2999999998</v>
      </c>
      <c r="K6105">
        <v>3655730.1240000003</v>
      </c>
      <c r="L6105">
        <v>465288.34400000004</v>
      </c>
      <c r="M6105">
        <v>0</v>
      </c>
      <c r="N6105">
        <v>119688.32000000001</v>
      </c>
      <c r="O6105">
        <v>0</v>
      </c>
      <c r="P6105">
        <v>6137766.6600000001</v>
      </c>
      <c r="Q6105">
        <v>5224395.1680000005</v>
      </c>
      <c r="R6105">
        <v>0</v>
      </c>
      <c r="S6105">
        <v>11193102.075999999</v>
      </c>
      <c r="T6105" s="9">
        <v>45108</v>
      </c>
      <c r="U6105" s="9">
        <v>45473</v>
      </c>
      <c r="V6105">
        <f>SUM(POTABLE_NONPOTABLE_API[[#This Row],[RESIDENTIAL_SINGLEFAMILY_GAL]:[OTHER_GAL]])</f>
        <v>257451072.42400002</v>
      </c>
      <c r="W6105">
        <f>SUM(POTABLE_NONPOTABLE_API[[#This Row],[NONPOTABLE_DEMAND_RESIDENTIAL_RECYCLED_WATER_GAL]:[NONPOTABLE_DEMAND_NONRESIDENTIAL_METERED_IRRIGATION_GAL]])</f>
        <v>22674952.223999999</v>
      </c>
      <c r="X6105" t="str">
        <f>IFERROR(INDEX(Crosswalk_API!$H$2:$H$527, MATCH(POTABLE_NONPOTABLE_API[[#This Row],[PWSID]], CW_PWSID_LIST, 0)), "")</f>
        <v>No</v>
      </c>
    </row>
    <row r="6106" spans="1:24" x14ac:dyDescent="0.25">
      <c r="A6106" t="s">
        <v>2509</v>
      </c>
      <c r="B6106" t="s">
        <v>2510</v>
      </c>
      <c r="C6106" t="s">
        <v>2511</v>
      </c>
      <c r="D6106" t="s">
        <v>2512</v>
      </c>
      <c r="E6106" s="9">
        <v>45352</v>
      </c>
      <c r="F6106" s="9">
        <v>45382</v>
      </c>
      <c r="G6106">
        <v>177825425.336</v>
      </c>
      <c r="H6106">
        <v>30545955.368000001</v>
      </c>
      <c r="I6106">
        <v>27988365.580000002</v>
      </c>
      <c r="J6106">
        <v>31136168.396000002</v>
      </c>
      <c r="K6106">
        <v>3147802.8160000001</v>
      </c>
      <c r="L6106">
        <v>1600831.28</v>
      </c>
      <c r="M6106">
        <v>0</v>
      </c>
      <c r="N6106">
        <v>350088.33600000001</v>
      </c>
      <c r="O6106">
        <v>0</v>
      </c>
      <c r="P6106">
        <v>361309.11600000004</v>
      </c>
      <c r="Q6106">
        <v>11039751.416000001</v>
      </c>
      <c r="R6106">
        <v>0</v>
      </c>
      <c r="S6106">
        <v>13574899.644000001</v>
      </c>
      <c r="T6106" s="9">
        <v>45108</v>
      </c>
      <c r="U6106" s="9">
        <v>45473</v>
      </c>
      <c r="V6106">
        <f>SUM(POTABLE_NONPOTABLE_API[[#This Row],[RESIDENTIAL_SINGLEFAMILY_GAL]:[OTHER_GAL]])</f>
        <v>272244548.77599996</v>
      </c>
      <c r="W6106">
        <f>SUM(POTABLE_NONPOTABLE_API[[#This Row],[NONPOTABLE_DEMAND_RESIDENTIAL_RECYCLED_WATER_GAL]:[NONPOTABLE_DEMAND_NONRESIDENTIAL_METERED_IRRIGATION_GAL]])</f>
        <v>25326048.512000002</v>
      </c>
      <c r="X6106" t="str">
        <f>IFERROR(INDEX(Crosswalk_API!$H$2:$H$527, MATCH(POTABLE_NONPOTABLE_API[[#This Row],[PWSID]], CW_PWSID_LIST, 0)), "")</f>
        <v>No</v>
      </c>
    </row>
    <row r="6107" spans="1:24" x14ac:dyDescent="0.25">
      <c r="A6107" t="s">
        <v>2509</v>
      </c>
      <c r="B6107" t="s">
        <v>2510</v>
      </c>
      <c r="C6107" t="s">
        <v>2511</v>
      </c>
      <c r="D6107" t="s">
        <v>2512</v>
      </c>
      <c r="E6107" s="9">
        <v>45383</v>
      </c>
      <c r="F6107" s="9">
        <v>45412</v>
      </c>
      <c r="G6107">
        <v>165686037.48000002</v>
      </c>
      <c r="H6107">
        <v>33334693.223999999</v>
      </c>
      <c r="I6107">
        <v>31697955.448000003</v>
      </c>
      <c r="J6107">
        <v>35050724.512000002</v>
      </c>
      <c r="K6107">
        <v>3352769.0640000002</v>
      </c>
      <c r="L6107">
        <v>1969620.916</v>
      </c>
      <c r="M6107">
        <v>0</v>
      </c>
      <c r="N6107">
        <v>642576.66800000006</v>
      </c>
      <c r="O6107">
        <v>0</v>
      </c>
      <c r="P6107">
        <v>688955.89199999999</v>
      </c>
      <c r="Q6107">
        <v>21212510.563999999</v>
      </c>
      <c r="R6107">
        <v>0</v>
      </c>
      <c r="S6107">
        <v>27243305.788000003</v>
      </c>
      <c r="T6107" s="9">
        <v>45108</v>
      </c>
      <c r="U6107" s="9">
        <v>45473</v>
      </c>
      <c r="V6107">
        <f>SUM(POTABLE_NONPOTABLE_API[[#This Row],[RESIDENTIAL_SINGLEFAMILY_GAL]:[OTHER_GAL]])</f>
        <v>271091800.64400005</v>
      </c>
      <c r="W6107">
        <f>SUM(POTABLE_NONPOTABLE_API[[#This Row],[NONPOTABLE_DEMAND_RESIDENTIAL_RECYCLED_WATER_GAL]:[NONPOTABLE_DEMAND_NONRESIDENTIAL_METERED_IRRIGATION_GAL]])</f>
        <v>49787348.912</v>
      </c>
      <c r="X6107" t="str">
        <f>IFERROR(INDEX(Crosswalk_API!$H$2:$H$527, MATCH(POTABLE_NONPOTABLE_API[[#This Row],[PWSID]], CW_PWSID_LIST, 0)), "")</f>
        <v>No</v>
      </c>
    </row>
    <row r="6108" spans="1:24" x14ac:dyDescent="0.25">
      <c r="A6108" t="s">
        <v>2509</v>
      </c>
      <c r="B6108" t="s">
        <v>2510</v>
      </c>
      <c r="C6108" t="s">
        <v>2511</v>
      </c>
      <c r="D6108" t="s">
        <v>2512</v>
      </c>
      <c r="E6108" s="9">
        <v>45413</v>
      </c>
      <c r="F6108" s="9">
        <v>45443</v>
      </c>
      <c r="G6108">
        <v>242724920.752</v>
      </c>
      <c r="H6108">
        <v>37573903.908</v>
      </c>
      <c r="I6108">
        <v>33591275.060000002</v>
      </c>
      <c r="J6108">
        <v>36792189.568000004</v>
      </c>
      <c r="K6108">
        <v>3200914.5079999999</v>
      </c>
      <c r="L6108">
        <v>1264207.8800000001</v>
      </c>
      <c r="M6108">
        <v>0</v>
      </c>
      <c r="N6108">
        <v>91262.343999999997</v>
      </c>
      <c r="O6108">
        <v>0</v>
      </c>
      <c r="P6108">
        <v>1093652.024</v>
      </c>
      <c r="Q6108">
        <v>44316096.583999999</v>
      </c>
      <c r="R6108">
        <v>0</v>
      </c>
      <c r="S6108">
        <v>57613468.936000004</v>
      </c>
      <c r="T6108" s="9">
        <v>45108</v>
      </c>
      <c r="U6108" s="9">
        <v>45473</v>
      </c>
      <c r="V6108">
        <f>SUM(POTABLE_NONPOTABLE_API[[#This Row],[RESIDENTIAL_SINGLEFAMILY_GAL]:[OTHER_GAL]])</f>
        <v>355147411.67600006</v>
      </c>
      <c r="W6108">
        <f>SUM(POTABLE_NONPOTABLE_API[[#This Row],[NONPOTABLE_DEMAND_RESIDENTIAL_RECYCLED_WATER_GAL]:[NONPOTABLE_DEMAND_NONRESIDENTIAL_METERED_IRRIGATION_GAL]])</f>
        <v>103114479.88800001</v>
      </c>
      <c r="X6108" t="str">
        <f>IFERROR(INDEX(Crosswalk_API!$H$2:$H$527, MATCH(POTABLE_NONPOTABLE_API[[#This Row],[PWSID]], CW_PWSID_LIST, 0)), "")</f>
        <v>No</v>
      </c>
    </row>
    <row r="6109" spans="1:24" x14ac:dyDescent="0.25">
      <c r="A6109" t="s">
        <v>2509</v>
      </c>
      <c r="B6109" t="s">
        <v>2510</v>
      </c>
      <c r="C6109" t="s">
        <v>2511</v>
      </c>
      <c r="D6109" t="s">
        <v>2512</v>
      </c>
      <c r="E6109" s="9">
        <v>45444</v>
      </c>
      <c r="F6109" s="9">
        <v>45473</v>
      </c>
      <c r="G6109">
        <v>277463707.57999998</v>
      </c>
      <c r="H6109">
        <v>44741738.171999998</v>
      </c>
      <c r="I6109">
        <v>35346205.052000001</v>
      </c>
      <c r="J6109">
        <v>42157966.564000003</v>
      </c>
      <c r="K6109">
        <v>4161413.2760000001</v>
      </c>
      <c r="L6109">
        <v>2190296.2560000001</v>
      </c>
      <c r="M6109">
        <v>0</v>
      </c>
      <c r="N6109">
        <v>1233537.7480000001</v>
      </c>
      <c r="O6109">
        <v>0</v>
      </c>
      <c r="P6109">
        <v>1282161.128</v>
      </c>
      <c r="Q6109">
        <v>58148326.116000004</v>
      </c>
      <c r="R6109">
        <v>0</v>
      </c>
      <c r="S6109">
        <v>80356493.892000005</v>
      </c>
      <c r="T6109" s="9">
        <v>45108</v>
      </c>
      <c r="U6109" s="9">
        <v>45473</v>
      </c>
      <c r="V6109">
        <f>SUM(POTABLE_NONPOTABLE_API[[#This Row],[RESIDENTIAL_SINGLEFAMILY_GAL]:[OTHER_GAL]])</f>
        <v>406061326.89999998</v>
      </c>
      <c r="W6109">
        <f>SUM(POTABLE_NONPOTABLE_API[[#This Row],[NONPOTABLE_DEMAND_RESIDENTIAL_RECYCLED_WATER_GAL]:[NONPOTABLE_DEMAND_NONRESIDENTIAL_METERED_IRRIGATION_GAL]])</f>
        <v>141020518.884</v>
      </c>
      <c r="X6109" t="str">
        <f>IFERROR(INDEX(Crosswalk_API!$H$2:$H$527, MATCH(POTABLE_NONPOTABLE_API[[#This Row],[PWSID]], CW_PWSID_LIST, 0)), "")</f>
        <v>No</v>
      </c>
    </row>
    <row r="6110" spans="1:24" x14ac:dyDescent="0.25">
      <c r="A6110" t="s">
        <v>2513</v>
      </c>
      <c r="B6110" t="s">
        <v>2514</v>
      </c>
      <c r="C6110" t="s">
        <v>2515</v>
      </c>
      <c r="D6110" t="s">
        <v>2516</v>
      </c>
      <c r="E6110" s="9">
        <v>45108</v>
      </c>
      <c r="F6110" s="9">
        <v>45138</v>
      </c>
      <c r="G6110">
        <v>69271747.150000006</v>
      </c>
      <c r="H6110">
        <v>10583514.5</v>
      </c>
      <c r="I6110">
        <v>14616591.98</v>
      </c>
      <c r="J6110">
        <v>6838953.2000000002</v>
      </c>
      <c r="K6110">
        <v>1756448.54</v>
      </c>
      <c r="L6110">
        <v>1518994.39</v>
      </c>
      <c r="M6110">
        <v>0</v>
      </c>
      <c r="T6110" s="9">
        <v>45108</v>
      </c>
      <c r="U6110" s="9">
        <v>45473</v>
      </c>
      <c r="V6110">
        <f>SUM(POTABLE_NONPOTABLE_API[[#This Row],[RESIDENTIAL_SINGLEFAMILY_GAL]:[OTHER_GAL]])</f>
        <v>104586249.76000002</v>
      </c>
      <c r="W6110">
        <f>SUM(POTABLE_NONPOTABLE_API[[#This Row],[NONPOTABLE_DEMAND_RESIDENTIAL_RECYCLED_WATER_GAL]:[NONPOTABLE_DEMAND_NONRESIDENTIAL_METERED_IRRIGATION_GAL]])</f>
        <v>0</v>
      </c>
      <c r="X6110" t="str">
        <f>IFERROR(INDEX(Crosswalk_API!$H$2:$H$527, MATCH(POTABLE_NONPOTABLE_API[[#This Row],[PWSID]], CW_PWSID_LIST, 0)), "")</f>
        <v>No</v>
      </c>
    </row>
    <row r="6111" spans="1:24" x14ac:dyDescent="0.25">
      <c r="A6111" t="s">
        <v>2513</v>
      </c>
      <c r="B6111" t="s">
        <v>2514</v>
      </c>
      <c r="C6111" t="s">
        <v>2515</v>
      </c>
      <c r="D6111" t="s">
        <v>2516</v>
      </c>
      <c r="E6111" s="9">
        <v>45139</v>
      </c>
      <c r="F6111" s="9">
        <v>45169</v>
      </c>
      <c r="G6111">
        <v>76346336.730000004</v>
      </c>
      <c r="H6111">
        <v>11178103.630000001</v>
      </c>
      <c r="I6111">
        <v>10563848.322000001</v>
      </c>
      <c r="J6111">
        <v>14860449.439999999</v>
      </c>
      <c r="K6111">
        <v>0</v>
      </c>
      <c r="L6111">
        <v>1621978.71</v>
      </c>
      <c r="M6111">
        <v>0</v>
      </c>
      <c r="T6111" s="9">
        <v>45108</v>
      </c>
      <c r="U6111" s="9">
        <v>45473</v>
      </c>
      <c r="V6111">
        <f>SUM(POTABLE_NONPOTABLE_API[[#This Row],[RESIDENTIAL_SINGLEFAMILY_GAL]:[OTHER_GAL]])</f>
        <v>114570716.83199999</v>
      </c>
      <c r="W6111">
        <f>SUM(POTABLE_NONPOTABLE_API[[#This Row],[NONPOTABLE_DEMAND_RESIDENTIAL_RECYCLED_WATER_GAL]:[NONPOTABLE_DEMAND_NONRESIDENTIAL_METERED_IRRIGATION_GAL]])</f>
        <v>0</v>
      </c>
      <c r="X6111" t="str">
        <f>IFERROR(INDEX(Crosswalk_API!$H$2:$H$527, MATCH(POTABLE_NONPOTABLE_API[[#This Row],[PWSID]], CW_PWSID_LIST, 0)), "")</f>
        <v>No</v>
      </c>
    </row>
    <row r="6112" spans="1:24" x14ac:dyDescent="0.25">
      <c r="A6112" t="s">
        <v>2513</v>
      </c>
      <c r="B6112" t="s">
        <v>2514</v>
      </c>
      <c r="C6112" t="s">
        <v>2515</v>
      </c>
      <c r="D6112" t="s">
        <v>2516</v>
      </c>
      <c r="E6112" s="9">
        <v>45170</v>
      </c>
      <c r="F6112" s="9">
        <v>45199</v>
      </c>
      <c r="G6112">
        <v>52220358.119999997</v>
      </c>
      <c r="H6112">
        <v>8847816.9299999997</v>
      </c>
      <c r="I6112">
        <v>8821268.5999999996</v>
      </c>
      <c r="J6112">
        <v>5914241.2400000002</v>
      </c>
      <c r="K6112">
        <v>2183676</v>
      </c>
      <c r="L6112">
        <v>1037817.42</v>
      </c>
      <c r="M6112">
        <v>0</v>
      </c>
      <c r="T6112" s="9">
        <v>45108</v>
      </c>
      <c r="U6112" s="9">
        <v>45473</v>
      </c>
      <c r="V6112">
        <f>SUM(POTABLE_NONPOTABLE_API[[#This Row],[RESIDENTIAL_SINGLEFAMILY_GAL]:[OTHER_GAL]])</f>
        <v>79025178.309999987</v>
      </c>
      <c r="W6112">
        <f>SUM(POTABLE_NONPOTABLE_API[[#This Row],[NONPOTABLE_DEMAND_RESIDENTIAL_RECYCLED_WATER_GAL]:[NONPOTABLE_DEMAND_NONRESIDENTIAL_METERED_IRRIGATION_GAL]])</f>
        <v>0</v>
      </c>
      <c r="X6112" t="str">
        <f>IFERROR(INDEX(Crosswalk_API!$H$2:$H$527, MATCH(POTABLE_NONPOTABLE_API[[#This Row],[PWSID]], CW_PWSID_LIST, 0)), "")</f>
        <v>No</v>
      </c>
    </row>
    <row r="6113" spans="1:24" x14ac:dyDescent="0.25">
      <c r="A6113" t="s">
        <v>2513</v>
      </c>
      <c r="B6113" t="s">
        <v>2514</v>
      </c>
      <c r="C6113" t="s">
        <v>2515</v>
      </c>
      <c r="D6113" t="s">
        <v>2516</v>
      </c>
      <c r="E6113" s="9">
        <v>45200</v>
      </c>
      <c r="F6113" s="9">
        <v>45230</v>
      </c>
      <c r="G6113">
        <v>52110409.439999998</v>
      </c>
      <c r="H6113">
        <v>8700458.1600000001</v>
      </c>
      <c r="I6113">
        <v>8028587.7999999998</v>
      </c>
      <c r="J6113">
        <v>7074791.5599999996</v>
      </c>
      <c r="K6113">
        <v>7006868.4299999997</v>
      </c>
      <c r="L6113">
        <v>1046150.72</v>
      </c>
      <c r="M6113">
        <v>0</v>
      </c>
      <c r="T6113" s="9">
        <v>45108</v>
      </c>
      <c r="U6113" s="9">
        <v>45473</v>
      </c>
      <c r="V6113">
        <f>SUM(POTABLE_NONPOTABLE_API[[#This Row],[RESIDENTIAL_SINGLEFAMILY_GAL]:[OTHER_GAL]])</f>
        <v>83967266.109999985</v>
      </c>
      <c r="W6113">
        <f>SUM(POTABLE_NONPOTABLE_API[[#This Row],[NONPOTABLE_DEMAND_RESIDENTIAL_RECYCLED_WATER_GAL]:[NONPOTABLE_DEMAND_NONRESIDENTIAL_METERED_IRRIGATION_GAL]])</f>
        <v>0</v>
      </c>
      <c r="X6113" t="str">
        <f>IFERROR(INDEX(Crosswalk_API!$H$2:$H$527, MATCH(POTABLE_NONPOTABLE_API[[#This Row],[PWSID]], CW_PWSID_LIST, 0)), "")</f>
        <v>No</v>
      </c>
    </row>
    <row r="6114" spans="1:24" x14ac:dyDescent="0.25">
      <c r="A6114" t="s">
        <v>2513</v>
      </c>
      <c r="B6114" t="s">
        <v>2514</v>
      </c>
      <c r="C6114" t="s">
        <v>2515</v>
      </c>
      <c r="D6114" t="s">
        <v>2516</v>
      </c>
      <c r="E6114" s="9">
        <v>45231</v>
      </c>
      <c r="F6114" s="9">
        <v>45260</v>
      </c>
      <c r="G6114">
        <v>50737539.520000003</v>
      </c>
      <c r="H6114">
        <v>9772805.6699999999</v>
      </c>
      <c r="I6114">
        <v>5699064</v>
      </c>
      <c r="J6114">
        <v>2952247.06</v>
      </c>
      <c r="K6114">
        <v>1049487.03</v>
      </c>
      <c r="L6114">
        <v>1505955.8400000001</v>
      </c>
      <c r="M6114">
        <v>0</v>
      </c>
      <c r="T6114" s="9">
        <v>45108</v>
      </c>
      <c r="U6114" s="9">
        <v>45473</v>
      </c>
      <c r="V6114">
        <f>SUM(POTABLE_NONPOTABLE_API[[#This Row],[RESIDENTIAL_SINGLEFAMILY_GAL]:[OTHER_GAL]])</f>
        <v>71717099.120000005</v>
      </c>
      <c r="W6114">
        <f>SUM(POTABLE_NONPOTABLE_API[[#This Row],[NONPOTABLE_DEMAND_RESIDENTIAL_RECYCLED_WATER_GAL]:[NONPOTABLE_DEMAND_NONRESIDENTIAL_METERED_IRRIGATION_GAL]])</f>
        <v>0</v>
      </c>
      <c r="X6114" t="str">
        <f>IFERROR(INDEX(Crosswalk_API!$H$2:$H$527, MATCH(POTABLE_NONPOTABLE_API[[#This Row],[PWSID]], CW_PWSID_LIST, 0)), "")</f>
        <v>No</v>
      </c>
    </row>
    <row r="6115" spans="1:24" x14ac:dyDescent="0.25">
      <c r="A6115" t="s">
        <v>2513</v>
      </c>
      <c r="B6115" t="s">
        <v>2514</v>
      </c>
      <c r="C6115" t="s">
        <v>2515</v>
      </c>
      <c r="D6115" t="s">
        <v>2516</v>
      </c>
      <c r="E6115" s="9">
        <v>45261</v>
      </c>
      <c r="F6115" s="9">
        <v>45291</v>
      </c>
      <c r="G6115">
        <v>30481114.219999999</v>
      </c>
      <c r="H6115">
        <v>5851427.3200000003</v>
      </c>
      <c r="I6115">
        <v>3982142.5</v>
      </c>
      <c r="J6115">
        <v>1295955.21</v>
      </c>
      <c r="K6115">
        <v>4090408.18</v>
      </c>
      <c r="L6115">
        <v>583690.01</v>
      </c>
      <c r="M6115">
        <v>0</v>
      </c>
      <c r="T6115" s="9">
        <v>45108</v>
      </c>
      <c r="U6115" s="9">
        <v>45473</v>
      </c>
      <c r="V6115">
        <f>SUM(POTABLE_NONPOTABLE_API[[#This Row],[RESIDENTIAL_SINGLEFAMILY_GAL]:[OTHER_GAL]])</f>
        <v>46284737.439999998</v>
      </c>
      <c r="W6115">
        <f>SUM(POTABLE_NONPOTABLE_API[[#This Row],[NONPOTABLE_DEMAND_RESIDENTIAL_RECYCLED_WATER_GAL]:[NONPOTABLE_DEMAND_NONRESIDENTIAL_METERED_IRRIGATION_GAL]])</f>
        <v>0</v>
      </c>
      <c r="X6115" t="str">
        <f>IFERROR(INDEX(Crosswalk_API!$H$2:$H$527, MATCH(POTABLE_NONPOTABLE_API[[#This Row],[PWSID]], CW_PWSID_LIST, 0)), "")</f>
        <v>No</v>
      </c>
    </row>
    <row r="6116" spans="1:24" x14ac:dyDescent="0.25">
      <c r="A6116" t="s">
        <v>2513</v>
      </c>
      <c r="B6116" t="s">
        <v>2514</v>
      </c>
      <c r="C6116" t="s">
        <v>2515</v>
      </c>
      <c r="D6116" t="s">
        <v>2516</v>
      </c>
      <c r="E6116" s="9">
        <v>45292</v>
      </c>
      <c r="F6116" s="9">
        <v>45322</v>
      </c>
      <c r="G6116">
        <v>29353792.379999999</v>
      </c>
      <c r="H6116">
        <v>5966141.0899999999</v>
      </c>
      <c r="I6116">
        <v>4235694.84</v>
      </c>
      <c r="J6116">
        <v>3619292.51</v>
      </c>
      <c r="K6116">
        <v>5351661.25</v>
      </c>
      <c r="L6116">
        <v>287341.73</v>
      </c>
      <c r="M6116">
        <v>0</v>
      </c>
      <c r="T6116" s="9">
        <v>45108</v>
      </c>
      <c r="U6116" s="9">
        <v>45473</v>
      </c>
      <c r="V6116">
        <f>SUM(POTABLE_NONPOTABLE_API[[#This Row],[RESIDENTIAL_SINGLEFAMILY_GAL]:[OTHER_GAL]])</f>
        <v>48813923.799999997</v>
      </c>
      <c r="W6116">
        <f>SUM(POTABLE_NONPOTABLE_API[[#This Row],[NONPOTABLE_DEMAND_RESIDENTIAL_RECYCLED_WATER_GAL]:[NONPOTABLE_DEMAND_NONRESIDENTIAL_METERED_IRRIGATION_GAL]])</f>
        <v>0</v>
      </c>
      <c r="X6116" t="str">
        <f>IFERROR(INDEX(Crosswalk_API!$H$2:$H$527, MATCH(POTABLE_NONPOTABLE_API[[#This Row],[PWSID]], CW_PWSID_LIST, 0)), "")</f>
        <v>No</v>
      </c>
    </row>
    <row r="6117" spans="1:24" x14ac:dyDescent="0.25">
      <c r="A6117" t="s">
        <v>2513</v>
      </c>
      <c r="B6117" t="s">
        <v>2514</v>
      </c>
      <c r="C6117" t="s">
        <v>2515</v>
      </c>
      <c r="D6117" t="s">
        <v>2516</v>
      </c>
      <c r="E6117" s="9">
        <v>45323</v>
      </c>
      <c r="F6117" s="9">
        <v>45351</v>
      </c>
      <c r="G6117">
        <v>25423527.170000002</v>
      </c>
      <c r="H6117">
        <v>6297617.8899999997</v>
      </c>
      <c r="I6117">
        <v>3581785.18</v>
      </c>
      <c r="J6117">
        <v>550977.69999999995</v>
      </c>
      <c r="K6117">
        <v>2528109.06</v>
      </c>
      <c r="L6117">
        <v>0</v>
      </c>
      <c r="M6117">
        <v>0</v>
      </c>
      <c r="T6117" s="9">
        <v>45108</v>
      </c>
      <c r="U6117" s="9">
        <v>45473</v>
      </c>
      <c r="V6117">
        <f>SUM(POTABLE_NONPOTABLE_API[[#This Row],[RESIDENTIAL_SINGLEFAMILY_GAL]:[OTHER_GAL]])</f>
        <v>38382017.000000007</v>
      </c>
      <c r="W6117">
        <f>SUM(POTABLE_NONPOTABLE_API[[#This Row],[NONPOTABLE_DEMAND_RESIDENTIAL_RECYCLED_WATER_GAL]:[NONPOTABLE_DEMAND_NONRESIDENTIAL_METERED_IRRIGATION_GAL]])</f>
        <v>0</v>
      </c>
      <c r="X6117" t="str">
        <f>IFERROR(INDEX(Crosswalk_API!$H$2:$H$527, MATCH(POTABLE_NONPOTABLE_API[[#This Row],[PWSID]], CW_PWSID_LIST, 0)), "")</f>
        <v>No</v>
      </c>
    </row>
    <row r="6118" spans="1:24" x14ac:dyDescent="0.25">
      <c r="A6118" t="s">
        <v>2513</v>
      </c>
      <c r="B6118" t="s">
        <v>2514</v>
      </c>
      <c r="C6118" t="s">
        <v>2515</v>
      </c>
      <c r="D6118" t="s">
        <v>2516</v>
      </c>
      <c r="E6118" s="9">
        <v>45352</v>
      </c>
      <c r="F6118" s="9">
        <v>45382</v>
      </c>
      <c r="G6118">
        <v>26845903.16</v>
      </c>
      <c r="H6118">
        <v>5994297.7699999996</v>
      </c>
      <c r="I6118">
        <v>2746932.98</v>
      </c>
      <c r="J6118">
        <v>3799169</v>
      </c>
      <c r="K6118">
        <v>3667130.44</v>
      </c>
      <c r="L6118">
        <v>323330.52</v>
      </c>
      <c r="M6118">
        <v>0</v>
      </c>
      <c r="T6118" s="9">
        <v>45108</v>
      </c>
      <c r="U6118" s="9">
        <v>45473</v>
      </c>
      <c r="V6118">
        <f>SUM(POTABLE_NONPOTABLE_API[[#This Row],[RESIDENTIAL_SINGLEFAMILY_GAL]:[OTHER_GAL]])</f>
        <v>43376763.869999997</v>
      </c>
      <c r="W6118">
        <f>SUM(POTABLE_NONPOTABLE_API[[#This Row],[NONPOTABLE_DEMAND_RESIDENTIAL_RECYCLED_WATER_GAL]:[NONPOTABLE_DEMAND_NONRESIDENTIAL_METERED_IRRIGATION_GAL]])</f>
        <v>0</v>
      </c>
      <c r="X6118" t="str">
        <f>IFERROR(INDEX(Crosswalk_API!$H$2:$H$527, MATCH(POTABLE_NONPOTABLE_API[[#This Row],[PWSID]], CW_PWSID_LIST, 0)), "")</f>
        <v>No</v>
      </c>
    </row>
    <row r="6119" spans="1:24" x14ac:dyDescent="0.25">
      <c r="A6119" t="s">
        <v>2513</v>
      </c>
      <c r="B6119" t="s">
        <v>2514</v>
      </c>
      <c r="C6119" t="s">
        <v>2515</v>
      </c>
      <c r="D6119" t="s">
        <v>2516</v>
      </c>
      <c r="E6119" s="9">
        <v>45383</v>
      </c>
      <c r="F6119" s="9">
        <v>45412</v>
      </c>
      <c r="G6119">
        <v>34689116.18</v>
      </c>
      <c r="H6119">
        <v>10519556.060000001</v>
      </c>
      <c r="I6119">
        <v>5637783.5999999996</v>
      </c>
      <c r="J6119">
        <v>2782835.73</v>
      </c>
      <c r="K6119">
        <v>1588264.01</v>
      </c>
      <c r="L6119">
        <v>3274126.36</v>
      </c>
      <c r="M6119">
        <v>0</v>
      </c>
      <c r="T6119" s="9">
        <v>45108</v>
      </c>
      <c r="U6119" s="9">
        <v>45473</v>
      </c>
      <c r="V6119">
        <f>SUM(POTABLE_NONPOTABLE_API[[#This Row],[RESIDENTIAL_SINGLEFAMILY_GAL]:[OTHER_GAL]])</f>
        <v>58491681.939999998</v>
      </c>
      <c r="W6119">
        <f>SUM(POTABLE_NONPOTABLE_API[[#This Row],[NONPOTABLE_DEMAND_RESIDENTIAL_RECYCLED_WATER_GAL]:[NONPOTABLE_DEMAND_NONRESIDENTIAL_METERED_IRRIGATION_GAL]])</f>
        <v>0</v>
      </c>
      <c r="X6119" t="str">
        <f>IFERROR(INDEX(Crosswalk_API!$H$2:$H$527, MATCH(POTABLE_NONPOTABLE_API[[#This Row],[PWSID]], CW_PWSID_LIST, 0)), "")</f>
        <v>No</v>
      </c>
    </row>
    <row r="6120" spans="1:24" x14ac:dyDescent="0.25">
      <c r="A6120" t="s">
        <v>2513</v>
      </c>
      <c r="B6120" t="s">
        <v>2514</v>
      </c>
      <c r="C6120" t="s">
        <v>2515</v>
      </c>
      <c r="D6120" t="s">
        <v>2516</v>
      </c>
      <c r="E6120" s="9">
        <v>45413</v>
      </c>
      <c r="F6120" s="9">
        <v>45443</v>
      </c>
      <c r="G6120">
        <v>47037300.310000002</v>
      </c>
      <c r="H6120">
        <v>7509147.9500000002</v>
      </c>
      <c r="I6120">
        <v>334516.59999999998</v>
      </c>
      <c r="J6120">
        <v>11603300</v>
      </c>
      <c r="K6120">
        <v>14218859</v>
      </c>
      <c r="L6120">
        <v>826343.12</v>
      </c>
      <c r="M6120">
        <v>0</v>
      </c>
      <c r="T6120" s="9">
        <v>45108</v>
      </c>
      <c r="U6120" s="9">
        <v>45473</v>
      </c>
      <c r="V6120">
        <f>SUM(POTABLE_NONPOTABLE_API[[#This Row],[RESIDENTIAL_SINGLEFAMILY_GAL]:[OTHER_GAL]])</f>
        <v>81529466.980000019</v>
      </c>
      <c r="W6120">
        <f>SUM(POTABLE_NONPOTABLE_API[[#This Row],[NONPOTABLE_DEMAND_RESIDENTIAL_RECYCLED_WATER_GAL]:[NONPOTABLE_DEMAND_NONRESIDENTIAL_METERED_IRRIGATION_GAL]])</f>
        <v>0</v>
      </c>
      <c r="X6120" t="str">
        <f>IFERROR(INDEX(Crosswalk_API!$H$2:$H$527, MATCH(POTABLE_NONPOTABLE_API[[#This Row],[PWSID]], CW_PWSID_LIST, 0)), "")</f>
        <v>No</v>
      </c>
    </row>
    <row r="6121" spans="1:24" x14ac:dyDescent="0.25">
      <c r="A6121" t="s">
        <v>2513</v>
      </c>
      <c r="B6121" t="s">
        <v>2514</v>
      </c>
      <c r="C6121" t="s">
        <v>2515</v>
      </c>
      <c r="D6121" t="s">
        <v>2516</v>
      </c>
      <c r="E6121" s="9">
        <v>45444</v>
      </c>
      <c r="F6121" s="9">
        <v>45473</v>
      </c>
      <c r="G6121">
        <v>64056777.439999998</v>
      </c>
      <c r="H6121">
        <v>938009.17</v>
      </c>
      <c r="I6121">
        <v>8892984.3000000007</v>
      </c>
      <c r="J6121">
        <v>10932555.6</v>
      </c>
      <c r="K6121">
        <v>5377678.5</v>
      </c>
      <c r="L6121">
        <v>0</v>
      </c>
      <c r="M6121">
        <v>0</v>
      </c>
      <c r="T6121" s="9">
        <v>45108</v>
      </c>
      <c r="U6121" s="9">
        <v>45473</v>
      </c>
      <c r="V6121">
        <f>SUM(POTABLE_NONPOTABLE_API[[#This Row],[RESIDENTIAL_SINGLEFAMILY_GAL]:[OTHER_GAL]])</f>
        <v>90198005.00999999</v>
      </c>
      <c r="W6121">
        <f>SUM(POTABLE_NONPOTABLE_API[[#This Row],[NONPOTABLE_DEMAND_RESIDENTIAL_RECYCLED_WATER_GAL]:[NONPOTABLE_DEMAND_NONRESIDENTIAL_METERED_IRRIGATION_GAL]])</f>
        <v>0</v>
      </c>
      <c r="X6121" t="str">
        <f>IFERROR(INDEX(Crosswalk_API!$H$2:$H$527, MATCH(POTABLE_NONPOTABLE_API[[#This Row],[PWSID]], CW_PWSID_LIST, 0)), "")</f>
        <v>No</v>
      </c>
    </row>
    <row r="6122" spans="1:24" x14ac:dyDescent="0.25">
      <c r="A6122" t="s">
        <v>2517</v>
      </c>
      <c r="B6122" t="s">
        <v>2518</v>
      </c>
      <c r="C6122" t="s">
        <v>2519</v>
      </c>
      <c r="D6122" t="s">
        <v>2520</v>
      </c>
      <c r="E6122" s="9">
        <v>45108</v>
      </c>
      <c r="F6122" s="9">
        <v>45138</v>
      </c>
      <c r="G6122">
        <v>84223647</v>
      </c>
      <c r="H6122">
        <v>22087428</v>
      </c>
      <c r="I6122">
        <v>30071470</v>
      </c>
      <c r="J6122">
        <v>11329934</v>
      </c>
      <c r="K6122">
        <v>15625088</v>
      </c>
      <c r="L6122">
        <v>1187226</v>
      </c>
      <c r="M6122">
        <v>29646620</v>
      </c>
      <c r="T6122" s="9">
        <v>45108</v>
      </c>
      <c r="U6122" s="9">
        <v>45473</v>
      </c>
      <c r="V6122">
        <f>SUM(POTABLE_NONPOTABLE_API[[#This Row],[RESIDENTIAL_SINGLEFAMILY_GAL]:[OTHER_GAL]])</f>
        <v>164524793</v>
      </c>
      <c r="W6122">
        <f>SUM(POTABLE_NONPOTABLE_API[[#This Row],[NONPOTABLE_DEMAND_RESIDENTIAL_RECYCLED_WATER_GAL]:[NONPOTABLE_DEMAND_NONRESIDENTIAL_METERED_IRRIGATION_GAL]])</f>
        <v>0</v>
      </c>
      <c r="X6122" t="str">
        <f>IFERROR(INDEX(Crosswalk_API!$H$2:$H$527, MATCH(POTABLE_NONPOTABLE_API[[#This Row],[PWSID]], CW_PWSID_LIST, 0)), "")</f>
        <v>No</v>
      </c>
    </row>
    <row r="6123" spans="1:24" x14ac:dyDescent="0.25">
      <c r="A6123" t="s">
        <v>2517</v>
      </c>
      <c r="B6123" t="s">
        <v>2518</v>
      </c>
      <c r="C6123" t="s">
        <v>2519</v>
      </c>
      <c r="D6123" t="s">
        <v>2520</v>
      </c>
      <c r="E6123" s="9">
        <v>45139</v>
      </c>
      <c r="F6123" s="9">
        <v>45169</v>
      </c>
      <c r="G6123">
        <v>95134999</v>
      </c>
      <c r="H6123">
        <v>24948901</v>
      </c>
      <c r="I6123">
        <v>33967292</v>
      </c>
      <c r="J6123">
        <v>12797751</v>
      </c>
      <c r="K6123">
        <v>17649351</v>
      </c>
      <c r="L6123">
        <v>1341034</v>
      </c>
      <c r="M6123">
        <v>33171720</v>
      </c>
      <c r="T6123" s="9">
        <v>45108</v>
      </c>
      <c r="U6123" s="9">
        <v>45473</v>
      </c>
      <c r="V6123">
        <f>SUM(POTABLE_NONPOTABLE_API[[#This Row],[RESIDENTIAL_SINGLEFAMILY_GAL]:[OTHER_GAL]])</f>
        <v>185839328</v>
      </c>
      <c r="W6123">
        <f>SUM(POTABLE_NONPOTABLE_API[[#This Row],[NONPOTABLE_DEMAND_RESIDENTIAL_RECYCLED_WATER_GAL]:[NONPOTABLE_DEMAND_NONRESIDENTIAL_METERED_IRRIGATION_GAL]])</f>
        <v>0</v>
      </c>
      <c r="X6123" t="str">
        <f>IFERROR(INDEX(Crosswalk_API!$H$2:$H$527, MATCH(POTABLE_NONPOTABLE_API[[#This Row],[PWSID]], CW_PWSID_LIST, 0)), "")</f>
        <v>No</v>
      </c>
    </row>
    <row r="6124" spans="1:24" x14ac:dyDescent="0.25">
      <c r="A6124" t="s">
        <v>2517</v>
      </c>
      <c r="B6124" t="s">
        <v>2518</v>
      </c>
      <c r="C6124" t="s">
        <v>2519</v>
      </c>
      <c r="D6124" t="s">
        <v>2520</v>
      </c>
      <c r="E6124" s="9">
        <v>45170</v>
      </c>
      <c r="F6124" s="9">
        <v>45199</v>
      </c>
      <c r="G6124">
        <v>88432156</v>
      </c>
      <c r="H6124">
        <v>23191099</v>
      </c>
      <c r="I6124">
        <v>31574089</v>
      </c>
      <c r="J6124">
        <v>11896071</v>
      </c>
      <c r="K6124">
        <v>16405846</v>
      </c>
      <c r="L6124">
        <v>1246550</v>
      </c>
      <c r="M6124">
        <v>26532340</v>
      </c>
      <c r="T6124" s="9">
        <v>45108</v>
      </c>
      <c r="U6124" s="9">
        <v>45473</v>
      </c>
      <c r="V6124">
        <f>SUM(POTABLE_NONPOTABLE_API[[#This Row],[RESIDENTIAL_SINGLEFAMILY_GAL]:[OTHER_GAL]])</f>
        <v>172745811</v>
      </c>
      <c r="W6124">
        <f>SUM(POTABLE_NONPOTABLE_API[[#This Row],[NONPOTABLE_DEMAND_RESIDENTIAL_RECYCLED_WATER_GAL]:[NONPOTABLE_DEMAND_NONRESIDENTIAL_METERED_IRRIGATION_GAL]])</f>
        <v>0</v>
      </c>
      <c r="X6124" t="str">
        <f>IFERROR(INDEX(Crosswalk_API!$H$2:$H$527, MATCH(POTABLE_NONPOTABLE_API[[#This Row],[PWSID]], CW_PWSID_LIST, 0)), "")</f>
        <v>No</v>
      </c>
    </row>
    <row r="6125" spans="1:24" x14ac:dyDescent="0.25">
      <c r="A6125" t="s">
        <v>2517</v>
      </c>
      <c r="B6125" t="s">
        <v>2518</v>
      </c>
      <c r="C6125" t="s">
        <v>2519</v>
      </c>
      <c r="D6125" t="s">
        <v>2520</v>
      </c>
      <c r="E6125" s="9">
        <v>45200</v>
      </c>
      <c r="F6125" s="9">
        <v>45230</v>
      </c>
      <c r="G6125">
        <v>86849197</v>
      </c>
      <c r="H6125">
        <v>22775972</v>
      </c>
      <c r="I6125">
        <v>31008904</v>
      </c>
      <c r="J6125">
        <v>11683129</v>
      </c>
      <c r="K6125">
        <v>16112177</v>
      </c>
      <c r="L6125">
        <v>1224236</v>
      </c>
      <c r="M6125">
        <v>14496510</v>
      </c>
      <c r="T6125" s="9">
        <v>45108</v>
      </c>
      <c r="U6125" s="9">
        <v>45473</v>
      </c>
      <c r="V6125">
        <f>SUM(POTABLE_NONPOTABLE_API[[#This Row],[RESIDENTIAL_SINGLEFAMILY_GAL]:[OTHER_GAL]])</f>
        <v>169653615</v>
      </c>
      <c r="W6125">
        <f>SUM(POTABLE_NONPOTABLE_API[[#This Row],[NONPOTABLE_DEMAND_RESIDENTIAL_RECYCLED_WATER_GAL]:[NONPOTABLE_DEMAND_NONRESIDENTIAL_METERED_IRRIGATION_GAL]])</f>
        <v>0</v>
      </c>
      <c r="X6125" t="str">
        <f>IFERROR(INDEX(Crosswalk_API!$H$2:$H$527, MATCH(POTABLE_NONPOTABLE_API[[#This Row],[PWSID]], CW_PWSID_LIST, 0)), "")</f>
        <v>No</v>
      </c>
    </row>
    <row r="6126" spans="1:24" x14ac:dyDescent="0.25">
      <c r="A6126" t="s">
        <v>2517</v>
      </c>
      <c r="B6126" t="s">
        <v>2518</v>
      </c>
      <c r="C6126" t="s">
        <v>2519</v>
      </c>
      <c r="D6126" t="s">
        <v>2520</v>
      </c>
      <c r="E6126" s="9">
        <v>45231</v>
      </c>
      <c r="F6126" s="9">
        <v>45260</v>
      </c>
      <c r="G6126">
        <v>72488667</v>
      </c>
      <c r="H6126">
        <v>19009961</v>
      </c>
      <c r="I6126">
        <v>25881576</v>
      </c>
      <c r="J6126">
        <v>9751321</v>
      </c>
      <c r="K6126">
        <v>13448026</v>
      </c>
      <c r="L6126">
        <v>1021809</v>
      </c>
      <c r="M6126">
        <v>11628100</v>
      </c>
      <c r="T6126" s="9">
        <v>45108</v>
      </c>
      <c r="U6126" s="9">
        <v>45473</v>
      </c>
      <c r="V6126">
        <f>SUM(POTABLE_NONPOTABLE_API[[#This Row],[RESIDENTIAL_SINGLEFAMILY_GAL]:[OTHER_GAL]])</f>
        <v>141601360</v>
      </c>
      <c r="W6126">
        <f>SUM(POTABLE_NONPOTABLE_API[[#This Row],[NONPOTABLE_DEMAND_RESIDENTIAL_RECYCLED_WATER_GAL]:[NONPOTABLE_DEMAND_NONRESIDENTIAL_METERED_IRRIGATION_GAL]])</f>
        <v>0</v>
      </c>
      <c r="X6126" t="str">
        <f>IFERROR(INDEX(Crosswalk_API!$H$2:$H$527, MATCH(POTABLE_NONPOTABLE_API[[#This Row],[PWSID]], CW_PWSID_LIST, 0)), "")</f>
        <v>No</v>
      </c>
    </row>
    <row r="6127" spans="1:24" x14ac:dyDescent="0.25">
      <c r="A6127" t="s">
        <v>2517</v>
      </c>
      <c r="B6127" t="s">
        <v>2518</v>
      </c>
      <c r="C6127" t="s">
        <v>2519</v>
      </c>
      <c r="D6127" t="s">
        <v>2520</v>
      </c>
      <c r="E6127" s="9">
        <v>45261</v>
      </c>
      <c r="F6127" s="9">
        <v>45291</v>
      </c>
      <c r="G6127">
        <v>63371558</v>
      </c>
      <c r="H6127">
        <v>16619023</v>
      </c>
      <c r="I6127">
        <v>22626376</v>
      </c>
      <c r="J6127">
        <v>8524869</v>
      </c>
      <c r="K6127">
        <v>11756629</v>
      </c>
      <c r="L6127">
        <v>893293</v>
      </c>
      <c r="M6127">
        <v>6037150</v>
      </c>
      <c r="T6127" s="9">
        <v>45108</v>
      </c>
      <c r="U6127" s="9">
        <v>45473</v>
      </c>
      <c r="V6127">
        <f>SUM(POTABLE_NONPOTABLE_API[[#This Row],[RESIDENTIAL_SINGLEFAMILY_GAL]:[OTHER_GAL]])</f>
        <v>123791748</v>
      </c>
      <c r="W6127">
        <f>SUM(POTABLE_NONPOTABLE_API[[#This Row],[NONPOTABLE_DEMAND_RESIDENTIAL_RECYCLED_WATER_GAL]:[NONPOTABLE_DEMAND_NONRESIDENTIAL_METERED_IRRIGATION_GAL]])</f>
        <v>0</v>
      </c>
      <c r="X6127" t="str">
        <f>IFERROR(INDEX(Crosswalk_API!$H$2:$H$527, MATCH(POTABLE_NONPOTABLE_API[[#This Row],[PWSID]], CW_PWSID_LIST, 0)), "")</f>
        <v>No</v>
      </c>
    </row>
    <row r="6128" spans="1:24" x14ac:dyDescent="0.25">
      <c r="A6128" t="s">
        <v>2517</v>
      </c>
      <c r="B6128" t="s">
        <v>2518</v>
      </c>
      <c r="C6128" t="s">
        <v>2519</v>
      </c>
      <c r="D6128" t="s">
        <v>2520</v>
      </c>
      <c r="E6128" s="9">
        <v>45292</v>
      </c>
      <c r="F6128" s="9">
        <v>45322</v>
      </c>
      <c r="G6128">
        <v>64059663</v>
      </c>
      <c r="H6128">
        <v>16799477</v>
      </c>
      <c r="I6128">
        <v>22872059</v>
      </c>
      <c r="J6128">
        <v>8617435</v>
      </c>
      <c r="K6128">
        <v>11884285</v>
      </c>
      <c r="L6128">
        <v>902992</v>
      </c>
      <c r="M6128">
        <v>6540</v>
      </c>
      <c r="T6128" s="9">
        <v>45108</v>
      </c>
      <c r="U6128" s="9">
        <v>45473</v>
      </c>
      <c r="V6128">
        <f>SUM(POTABLE_NONPOTABLE_API[[#This Row],[RESIDENTIAL_SINGLEFAMILY_GAL]:[OTHER_GAL]])</f>
        <v>125135911</v>
      </c>
      <c r="W6128">
        <f>SUM(POTABLE_NONPOTABLE_API[[#This Row],[NONPOTABLE_DEMAND_RESIDENTIAL_RECYCLED_WATER_GAL]:[NONPOTABLE_DEMAND_NONRESIDENTIAL_METERED_IRRIGATION_GAL]])</f>
        <v>0</v>
      </c>
      <c r="X6128" t="str">
        <f>IFERROR(INDEX(Crosswalk_API!$H$2:$H$527, MATCH(POTABLE_NONPOTABLE_API[[#This Row],[PWSID]], CW_PWSID_LIST, 0)), "")</f>
        <v>No</v>
      </c>
    </row>
    <row r="6129" spans="1:24" x14ac:dyDescent="0.25">
      <c r="A6129" t="s">
        <v>2517</v>
      </c>
      <c r="B6129" t="s">
        <v>2518</v>
      </c>
      <c r="C6129" t="s">
        <v>2519</v>
      </c>
      <c r="D6129" t="s">
        <v>2520</v>
      </c>
      <c r="E6129" s="9">
        <v>45323</v>
      </c>
      <c r="F6129" s="9">
        <v>45351</v>
      </c>
      <c r="G6129">
        <v>63521265</v>
      </c>
      <c r="H6129">
        <v>16658283</v>
      </c>
      <c r="I6129">
        <v>22679828</v>
      </c>
      <c r="J6129">
        <v>8545008</v>
      </c>
      <c r="K6129">
        <v>11784402</v>
      </c>
      <c r="L6129">
        <v>895403</v>
      </c>
      <c r="M6129">
        <v>5236120</v>
      </c>
      <c r="T6129" s="9">
        <v>45108</v>
      </c>
      <c r="U6129" s="9">
        <v>45473</v>
      </c>
      <c r="V6129">
        <f>SUM(POTABLE_NONPOTABLE_API[[#This Row],[RESIDENTIAL_SINGLEFAMILY_GAL]:[OTHER_GAL]])</f>
        <v>124084189</v>
      </c>
      <c r="W6129">
        <f>SUM(POTABLE_NONPOTABLE_API[[#This Row],[NONPOTABLE_DEMAND_RESIDENTIAL_RECYCLED_WATER_GAL]:[NONPOTABLE_DEMAND_NONRESIDENTIAL_METERED_IRRIGATION_GAL]])</f>
        <v>0</v>
      </c>
      <c r="X6129" t="str">
        <f>IFERROR(INDEX(Crosswalk_API!$H$2:$H$527, MATCH(POTABLE_NONPOTABLE_API[[#This Row],[PWSID]], CW_PWSID_LIST, 0)), "")</f>
        <v>No</v>
      </c>
    </row>
    <row r="6130" spans="1:24" x14ac:dyDescent="0.25">
      <c r="A6130" t="s">
        <v>2517</v>
      </c>
      <c r="B6130" t="s">
        <v>2518</v>
      </c>
      <c r="C6130" t="s">
        <v>2519</v>
      </c>
      <c r="D6130" t="s">
        <v>2520</v>
      </c>
      <c r="E6130" s="9">
        <v>45352</v>
      </c>
      <c r="F6130" s="9">
        <v>45382</v>
      </c>
      <c r="G6130">
        <v>69210313</v>
      </c>
      <c r="H6130">
        <v>18150221</v>
      </c>
      <c r="I6130">
        <v>24711063</v>
      </c>
      <c r="J6130">
        <v>9310310</v>
      </c>
      <c r="K6130">
        <v>12839829</v>
      </c>
      <c r="L6130">
        <v>975597</v>
      </c>
      <c r="M6130">
        <v>11225940</v>
      </c>
      <c r="T6130" s="9">
        <v>45108</v>
      </c>
      <c r="U6130" s="9">
        <v>45473</v>
      </c>
      <c r="V6130">
        <f>SUM(POTABLE_NONPOTABLE_API[[#This Row],[RESIDENTIAL_SINGLEFAMILY_GAL]:[OTHER_GAL]])</f>
        <v>135197333</v>
      </c>
      <c r="W6130">
        <f>SUM(POTABLE_NONPOTABLE_API[[#This Row],[NONPOTABLE_DEMAND_RESIDENTIAL_RECYCLED_WATER_GAL]:[NONPOTABLE_DEMAND_NONRESIDENTIAL_METERED_IRRIGATION_GAL]])</f>
        <v>0</v>
      </c>
      <c r="X6130" t="str">
        <f>IFERROR(INDEX(Crosswalk_API!$H$2:$H$527, MATCH(POTABLE_NONPOTABLE_API[[#This Row],[PWSID]], CW_PWSID_LIST, 0)), "")</f>
        <v>No</v>
      </c>
    </row>
    <row r="6131" spans="1:24" x14ac:dyDescent="0.25">
      <c r="A6131" t="s">
        <v>2517</v>
      </c>
      <c r="B6131" t="s">
        <v>2518</v>
      </c>
      <c r="C6131" t="s">
        <v>2519</v>
      </c>
      <c r="D6131" t="s">
        <v>2520</v>
      </c>
      <c r="E6131" s="9">
        <v>45383</v>
      </c>
      <c r="F6131" s="9">
        <v>45412</v>
      </c>
      <c r="G6131">
        <v>72062058</v>
      </c>
      <c r="H6131">
        <v>18898084</v>
      </c>
      <c r="I6131">
        <v>25729259</v>
      </c>
      <c r="J6131">
        <v>9693933</v>
      </c>
      <c r="K6131">
        <v>13368882</v>
      </c>
      <c r="L6131">
        <v>1015795</v>
      </c>
      <c r="M6131">
        <v>11923560</v>
      </c>
      <c r="T6131" s="9">
        <v>45108</v>
      </c>
      <c r="U6131" s="9">
        <v>45473</v>
      </c>
      <c r="V6131">
        <f>SUM(POTABLE_NONPOTABLE_API[[#This Row],[RESIDENTIAL_SINGLEFAMILY_GAL]:[OTHER_GAL]])</f>
        <v>140768011</v>
      </c>
      <c r="W6131">
        <f>SUM(POTABLE_NONPOTABLE_API[[#This Row],[NONPOTABLE_DEMAND_RESIDENTIAL_RECYCLED_WATER_GAL]:[NONPOTABLE_DEMAND_NONRESIDENTIAL_METERED_IRRIGATION_GAL]])</f>
        <v>0</v>
      </c>
      <c r="X6131" t="str">
        <f>IFERROR(INDEX(Crosswalk_API!$H$2:$H$527, MATCH(POTABLE_NONPOTABLE_API[[#This Row],[PWSID]], CW_PWSID_LIST, 0)), "")</f>
        <v>No</v>
      </c>
    </row>
    <row r="6132" spans="1:24" x14ac:dyDescent="0.25">
      <c r="A6132" t="s">
        <v>2517</v>
      </c>
      <c r="B6132" t="s">
        <v>2518</v>
      </c>
      <c r="C6132" t="s">
        <v>2519</v>
      </c>
      <c r="D6132" t="s">
        <v>2520</v>
      </c>
      <c r="E6132" s="9">
        <v>45413</v>
      </c>
      <c r="F6132" s="9">
        <v>45443</v>
      </c>
      <c r="G6132">
        <v>83873341</v>
      </c>
      <c r="H6132">
        <v>21995561</v>
      </c>
      <c r="I6132">
        <v>29946395</v>
      </c>
      <c r="J6132">
        <v>11282810</v>
      </c>
      <c r="K6132">
        <v>15560099</v>
      </c>
      <c r="L6132">
        <v>1182288</v>
      </c>
      <c r="M6132">
        <v>25443400</v>
      </c>
      <c r="T6132" s="9">
        <v>45108</v>
      </c>
      <c r="U6132" s="9">
        <v>45473</v>
      </c>
      <c r="V6132">
        <f>SUM(POTABLE_NONPOTABLE_API[[#This Row],[RESIDENTIAL_SINGLEFAMILY_GAL]:[OTHER_GAL]])</f>
        <v>163840494</v>
      </c>
      <c r="W6132">
        <f>SUM(POTABLE_NONPOTABLE_API[[#This Row],[NONPOTABLE_DEMAND_RESIDENTIAL_RECYCLED_WATER_GAL]:[NONPOTABLE_DEMAND_NONRESIDENTIAL_METERED_IRRIGATION_GAL]])</f>
        <v>0</v>
      </c>
      <c r="X6132" t="str">
        <f>IFERROR(INDEX(Crosswalk_API!$H$2:$H$527, MATCH(POTABLE_NONPOTABLE_API[[#This Row],[PWSID]], CW_PWSID_LIST, 0)), "")</f>
        <v>No</v>
      </c>
    </row>
    <row r="6133" spans="1:24" x14ac:dyDescent="0.25">
      <c r="A6133" t="s">
        <v>2517</v>
      </c>
      <c r="B6133" t="s">
        <v>2518</v>
      </c>
      <c r="C6133" t="s">
        <v>2519</v>
      </c>
      <c r="D6133" t="s">
        <v>2520</v>
      </c>
      <c r="E6133" s="9">
        <v>45444</v>
      </c>
      <c r="F6133" s="9">
        <v>45473</v>
      </c>
      <c r="G6133">
        <v>90247049</v>
      </c>
      <c r="H6133">
        <v>23667050</v>
      </c>
      <c r="I6133">
        <v>32222084</v>
      </c>
      <c r="J6133">
        <v>12140214</v>
      </c>
      <c r="K6133">
        <v>16742543</v>
      </c>
      <c r="L6133">
        <v>1272133</v>
      </c>
      <c r="M6133">
        <v>29939860</v>
      </c>
      <c r="T6133" s="9">
        <v>45108</v>
      </c>
      <c r="U6133" s="9">
        <v>45473</v>
      </c>
      <c r="V6133">
        <f>SUM(POTABLE_NONPOTABLE_API[[#This Row],[RESIDENTIAL_SINGLEFAMILY_GAL]:[OTHER_GAL]])</f>
        <v>176291073</v>
      </c>
      <c r="W6133">
        <f>SUM(POTABLE_NONPOTABLE_API[[#This Row],[NONPOTABLE_DEMAND_RESIDENTIAL_RECYCLED_WATER_GAL]:[NONPOTABLE_DEMAND_NONRESIDENTIAL_METERED_IRRIGATION_GAL]])</f>
        <v>0</v>
      </c>
      <c r="X6133" t="str">
        <f>IFERROR(INDEX(Crosswalk_API!$H$2:$H$527, MATCH(POTABLE_NONPOTABLE_API[[#This Row],[PWSID]], CW_PWSID_LIST, 0)), "")</f>
        <v>No</v>
      </c>
    </row>
    <row r="6134" spans="1:24" x14ac:dyDescent="0.25">
      <c r="A6134" t="s">
        <v>2521</v>
      </c>
      <c r="B6134" t="s">
        <v>2522</v>
      </c>
      <c r="C6134" t="s">
        <v>2523</v>
      </c>
      <c r="D6134" t="s">
        <v>2524</v>
      </c>
      <c r="E6134" s="9">
        <v>45108</v>
      </c>
      <c r="F6134" s="9">
        <v>45138</v>
      </c>
      <c r="G6134">
        <v>79507644</v>
      </c>
      <c r="H6134">
        <v>0</v>
      </c>
      <c r="I6134">
        <v>41057226</v>
      </c>
      <c r="J6134">
        <v>0</v>
      </c>
      <c r="K6134">
        <v>288703986</v>
      </c>
      <c r="L6134">
        <v>0</v>
      </c>
      <c r="M6134">
        <v>0</v>
      </c>
      <c r="N6134">
        <v>0</v>
      </c>
      <c r="O6134">
        <v>0</v>
      </c>
      <c r="P6134">
        <v>0</v>
      </c>
      <c r="Q6134">
        <v>0</v>
      </c>
      <c r="R6134">
        <v>100036257</v>
      </c>
      <c r="S6134">
        <v>0</v>
      </c>
      <c r="T6134" s="9">
        <v>45108</v>
      </c>
      <c r="U6134" s="9">
        <v>45473</v>
      </c>
      <c r="V6134">
        <f>SUM(POTABLE_NONPOTABLE_API[[#This Row],[RESIDENTIAL_SINGLEFAMILY_GAL]:[OTHER_GAL]])</f>
        <v>409268856</v>
      </c>
      <c r="W6134">
        <f>SUM(POTABLE_NONPOTABLE_API[[#This Row],[NONPOTABLE_DEMAND_RESIDENTIAL_RECYCLED_WATER_GAL]:[NONPOTABLE_DEMAND_NONRESIDENTIAL_METERED_IRRIGATION_GAL]])</f>
        <v>100036257</v>
      </c>
      <c r="X6134" t="str">
        <f>IFERROR(INDEX(Crosswalk_API!$H$2:$H$527, MATCH(POTABLE_NONPOTABLE_API[[#This Row],[PWSID]], CW_PWSID_LIST, 0)), "")</f>
        <v>No</v>
      </c>
    </row>
    <row r="6135" spans="1:24" x14ac:dyDescent="0.25">
      <c r="A6135" t="s">
        <v>2521</v>
      </c>
      <c r="B6135" t="s">
        <v>2522</v>
      </c>
      <c r="C6135" t="s">
        <v>2523</v>
      </c>
      <c r="D6135" t="s">
        <v>2524</v>
      </c>
      <c r="E6135" s="9">
        <v>45139</v>
      </c>
      <c r="F6135" s="9">
        <v>45169</v>
      </c>
      <c r="G6135">
        <v>127081890</v>
      </c>
      <c r="H6135">
        <v>0</v>
      </c>
      <c r="I6135">
        <v>53113713</v>
      </c>
      <c r="J6135">
        <v>0</v>
      </c>
      <c r="K6135">
        <v>314446215</v>
      </c>
      <c r="L6135">
        <v>0</v>
      </c>
      <c r="M6135">
        <v>0</v>
      </c>
      <c r="N6135">
        <v>0</v>
      </c>
      <c r="O6135">
        <v>0</v>
      </c>
      <c r="P6135">
        <v>0</v>
      </c>
      <c r="Q6135">
        <v>0</v>
      </c>
      <c r="R6135">
        <v>106227426</v>
      </c>
      <c r="S6135">
        <v>0</v>
      </c>
      <c r="T6135" s="9">
        <v>45108</v>
      </c>
      <c r="U6135" s="9">
        <v>45473</v>
      </c>
      <c r="V6135">
        <f>SUM(POTABLE_NONPOTABLE_API[[#This Row],[RESIDENTIAL_SINGLEFAMILY_GAL]:[OTHER_GAL]])</f>
        <v>494641818</v>
      </c>
      <c r="W6135">
        <f>SUM(POTABLE_NONPOTABLE_API[[#This Row],[NONPOTABLE_DEMAND_RESIDENTIAL_RECYCLED_WATER_GAL]:[NONPOTABLE_DEMAND_NONRESIDENTIAL_METERED_IRRIGATION_GAL]])</f>
        <v>106227426</v>
      </c>
      <c r="X6135" t="str">
        <f>IFERROR(INDEX(Crosswalk_API!$H$2:$H$527, MATCH(POTABLE_NONPOTABLE_API[[#This Row],[PWSID]], CW_PWSID_LIST, 0)), "")</f>
        <v>No</v>
      </c>
    </row>
    <row r="6136" spans="1:24" x14ac:dyDescent="0.25">
      <c r="A6136" t="s">
        <v>2521</v>
      </c>
      <c r="B6136" t="s">
        <v>2522</v>
      </c>
      <c r="C6136" t="s">
        <v>2523</v>
      </c>
      <c r="D6136" t="s">
        <v>2524</v>
      </c>
      <c r="E6136" s="9">
        <v>45170</v>
      </c>
      <c r="F6136" s="9">
        <v>45199</v>
      </c>
      <c r="G6136">
        <v>78530091</v>
      </c>
      <c r="H6136">
        <v>0</v>
      </c>
      <c r="I6136">
        <v>37798716</v>
      </c>
      <c r="J6136">
        <v>0</v>
      </c>
      <c r="K6136">
        <v>257748141</v>
      </c>
      <c r="L6136">
        <v>0</v>
      </c>
      <c r="M6136">
        <v>0</v>
      </c>
      <c r="N6136">
        <v>0</v>
      </c>
      <c r="O6136">
        <v>0</v>
      </c>
      <c r="P6136">
        <v>0</v>
      </c>
      <c r="Q6136">
        <v>0</v>
      </c>
      <c r="R6136">
        <v>21832017</v>
      </c>
      <c r="S6136">
        <v>0</v>
      </c>
      <c r="T6136" s="9">
        <v>45108</v>
      </c>
      <c r="U6136" s="9">
        <v>45473</v>
      </c>
      <c r="V6136">
        <f>SUM(POTABLE_NONPOTABLE_API[[#This Row],[RESIDENTIAL_SINGLEFAMILY_GAL]:[OTHER_GAL]])</f>
        <v>374076948</v>
      </c>
      <c r="W6136">
        <f>SUM(POTABLE_NONPOTABLE_API[[#This Row],[NONPOTABLE_DEMAND_RESIDENTIAL_RECYCLED_WATER_GAL]:[NONPOTABLE_DEMAND_NONRESIDENTIAL_METERED_IRRIGATION_GAL]])</f>
        <v>21832017</v>
      </c>
      <c r="X6136" t="str">
        <f>IFERROR(INDEX(Crosswalk_API!$H$2:$H$527, MATCH(POTABLE_NONPOTABLE_API[[#This Row],[PWSID]], CW_PWSID_LIST, 0)), "")</f>
        <v>No</v>
      </c>
    </row>
    <row r="6137" spans="1:24" x14ac:dyDescent="0.25">
      <c r="A6137" t="s">
        <v>2521</v>
      </c>
      <c r="B6137" t="s">
        <v>2522</v>
      </c>
      <c r="C6137" t="s">
        <v>2523</v>
      </c>
      <c r="D6137" t="s">
        <v>2524</v>
      </c>
      <c r="E6137" s="9">
        <v>45200</v>
      </c>
      <c r="F6137" s="9">
        <v>45230</v>
      </c>
      <c r="G6137">
        <v>71035518</v>
      </c>
      <c r="H6137">
        <v>0</v>
      </c>
      <c r="I6137">
        <v>35843610</v>
      </c>
      <c r="J6137">
        <v>0</v>
      </c>
      <c r="K6137">
        <v>280557711</v>
      </c>
      <c r="L6137">
        <v>0</v>
      </c>
      <c r="M6137">
        <v>0</v>
      </c>
      <c r="N6137">
        <v>0</v>
      </c>
      <c r="O6137">
        <v>0</v>
      </c>
      <c r="P6137">
        <v>0</v>
      </c>
      <c r="Q6137">
        <v>0</v>
      </c>
      <c r="R6137">
        <v>117958062</v>
      </c>
      <c r="S6137">
        <v>0</v>
      </c>
      <c r="T6137" s="9">
        <v>45108</v>
      </c>
      <c r="U6137" s="9">
        <v>45473</v>
      </c>
      <c r="V6137">
        <f>SUM(POTABLE_NONPOTABLE_API[[#This Row],[RESIDENTIAL_SINGLEFAMILY_GAL]:[OTHER_GAL]])</f>
        <v>387436839</v>
      </c>
      <c r="W6137">
        <f>SUM(POTABLE_NONPOTABLE_API[[#This Row],[NONPOTABLE_DEMAND_RESIDENTIAL_RECYCLED_WATER_GAL]:[NONPOTABLE_DEMAND_NONRESIDENTIAL_METERED_IRRIGATION_GAL]])</f>
        <v>117958062</v>
      </c>
      <c r="X6137" t="str">
        <f>IFERROR(INDEX(Crosswalk_API!$H$2:$H$527, MATCH(POTABLE_NONPOTABLE_API[[#This Row],[PWSID]], CW_PWSID_LIST, 0)), "")</f>
        <v>No</v>
      </c>
    </row>
    <row r="6138" spans="1:24" x14ac:dyDescent="0.25">
      <c r="A6138" t="s">
        <v>2521</v>
      </c>
      <c r="B6138" t="s">
        <v>2522</v>
      </c>
      <c r="C6138" t="s">
        <v>2523</v>
      </c>
      <c r="D6138" t="s">
        <v>2524</v>
      </c>
      <c r="E6138" s="9">
        <v>45231</v>
      </c>
      <c r="F6138" s="9">
        <v>45260</v>
      </c>
      <c r="G6138">
        <v>70057965</v>
      </c>
      <c r="H6138">
        <v>0</v>
      </c>
      <c r="I6138">
        <v>29000739</v>
      </c>
      <c r="J6138">
        <v>0</v>
      </c>
      <c r="K6138">
        <v>216365064</v>
      </c>
      <c r="L6138">
        <v>0</v>
      </c>
      <c r="M6138">
        <v>0</v>
      </c>
      <c r="N6138">
        <v>0</v>
      </c>
      <c r="O6138">
        <v>0</v>
      </c>
      <c r="P6138">
        <v>0</v>
      </c>
      <c r="Q6138">
        <v>0</v>
      </c>
      <c r="R6138">
        <v>86676366</v>
      </c>
      <c r="S6138">
        <v>0</v>
      </c>
      <c r="T6138" s="9">
        <v>45108</v>
      </c>
      <c r="U6138" s="9">
        <v>45473</v>
      </c>
      <c r="V6138">
        <f>SUM(POTABLE_NONPOTABLE_API[[#This Row],[RESIDENTIAL_SINGLEFAMILY_GAL]:[OTHER_GAL]])</f>
        <v>315423768</v>
      </c>
      <c r="W6138">
        <f>SUM(POTABLE_NONPOTABLE_API[[#This Row],[NONPOTABLE_DEMAND_RESIDENTIAL_RECYCLED_WATER_GAL]:[NONPOTABLE_DEMAND_NONRESIDENTIAL_METERED_IRRIGATION_GAL]])</f>
        <v>86676366</v>
      </c>
      <c r="X6138" t="str">
        <f>IFERROR(INDEX(Crosswalk_API!$H$2:$H$527, MATCH(POTABLE_NONPOTABLE_API[[#This Row],[PWSID]], CW_PWSID_LIST, 0)), "")</f>
        <v>No</v>
      </c>
    </row>
    <row r="6139" spans="1:24" x14ac:dyDescent="0.25">
      <c r="A6139" t="s">
        <v>2521</v>
      </c>
      <c r="B6139" t="s">
        <v>2522</v>
      </c>
      <c r="C6139" t="s">
        <v>2523</v>
      </c>
      <c r="D6139" t="s">
        <v>2524</v>
      </c>
      <c r="E6139" s="9">
        <v>45261</v>
      </c>
      <c r="F6139" s="9">
        <v>45291</v>
      </c>
      <c r="G6139">
        <v>49855203</v>
      </c>
      <c r="H6139">
        <v>0</v>
      </c>
      <c r="I6139">
        <v>19551060</v>
      </c>
      <c r="J6139">
        <v>0</v>
      </c>
      <c r="K6139">
        <v>214409958</v>
      </c>
      <c r="L6139">
        <v>0</v>
      </c>
      <c r="M6139">
        <v>0</v>
      </c>
      <c r="N6139">
        <v>0</v>
      </c>
      <c r="O6139">
        <v>0</v>
      </c>
      <c r="P6139">
        <v>0</v>
      </c>
      <c r="Q6139">
        <v>0</v>
      </c>
      <c r="R6139">
        <v>32585100</v>
      </c>
      <c r="S6139">
        <v>0</v>
      </c>
      <c r="T6139" s="9">
        <v>45108</v>
      </c>
      <c r="U6139" s="9">
        <v>45473</v>
      </c>
      <c r="V6139">
        <f>SUM(POTABLE_NONPOTABLE_API[[#This Row],[RESIDENTIAL_SINGLEFAMILY_GAL]:[OTHER_GAL]])</f>
        <v>283816221</v>
      </c>
      <c r="W6139">
        <f>SUM(POTABLE_NONPOTABLE_API[[#This Row],[NONPOTABLE_DEMAND_RESIDENTIAL_RECYCLED_WATER_GAL]:[NONPOTABLE_DEMAND_NONRESIDENTIAL_METERED_IRRIGATION_GAL]])</f>
        <v>32585100</v>
      </c>
      <c r="X6139" t="str">
        <f>IFERROR(INDEX(Crosswalk_API!$H$2:$H$527, MATCH(POTABLE_NONPOTABLE_API[[#This Row],[PWSID]], CW_PWSID_LIST, 0)), "")</f>
        <v>No</v>
      </c>
    </row>
    <row r="6140" spans="1:24" x14ac:dyDescent="0.25">
      <c r="A6140" t="s">
        <v>2521</v>
      </c>
      <c r="B6140" t="s">
        <v>2522</v>
      </c>
      <c r="C6140" t="s">
        <v>2523</v>
      </c>
      <c r="D6140" t="s">
        <v>2524</v>
      </c>
      <c r="E6140" s="9">
        <v>45292</v>
      </c>
      <c r="F6140" s="9">
        <v>45322</v>
      </c>
      <c r="G6140">
        <v>39903713</v>
      </c>
      <c r="H6140">
        <v>0</v>
      </c>
      <c r="I6140">
        <v>13604279</v>
      </c>
      <c r="J6140">
        <v>0</v>
      </c>
      <c r="K6140">
        <v>182857806</v>
      </c>
      <c r="L6140">
        <v>0</v>
      </c>
      <c r="M6140">
        <v>0</v>
      </c>
      <c r="N6140">
        <v>0</v>
      </c>
      <c r="O6140">
        <v>0</v>
      </c>
      <c r="P6140">
        <v>0</v>
      </c>
      <c r="Q6140">
        <v>0</v>
      </c>
      <c r="R6140">
        <v>20854464</v>
      </c>
      <c r="S6140">
        <v>0</v>
      </c>
      <c r="T6140" s="9">
        <v>45108</v>
      </c>
      <c r="U6140" s="9">
        <v>45473</v>
      </c>
      <c r="V6140">
        <f>SUM(POTABLE_NONPOTABLE_API[[#This Row],[RESIDENTIAL_SINGLEFAMILY_GAL]:[OTHER_GAL]])</f>
        <v>236365798</v>
      </c>
      <c r="W6140">
        <f>SUM(POTABLE_NONPOTABLE_API[[#This Row],[NONPOTABLE_DEMAND_RESIDENTIAL_RECYCLED_WATER_GAL]:[NONPOTABLE_DEMAND_NONRESIDENTIAL_METERED_IRRIGATION_GAL]])</f>
        <v>20854464</v>
      </c>
      <c r="X6140" t="str">
        <f>IFERROR(INDEX(Crosswalk_API!$H$2:$H$527, MATCH(POTABLE_NONPOTABLE_API[[#This Row],[PWSID]], CW_PWSID_LIST, 0)), "")</f>
        <v>No</v>
      </c>
    </row>
    <row r="6141" spans="1:24" x14ac:dyDescent="0.25">
      <c r="A6141" t="s">
        <v>2521</v>
      </c>
      <c r="B6141" t="s">
        <v>2522</v>
      </c>
      <c r="C6141" t="s">
        <v>2523</v>
      </c>
      <c r="D6141" t="s">
        <v>2524</v>
      </c>
      <c r="E6141" s="9">
        <v>45323</v>
      </c>
      <c r="F6141" s="9">
        <v>45351</v>
      </c>
      <c r="G6141">
        <v>42145568</v>
      </c>
      <c r="H6141">
        <v>0</v>
      </c>
      <c r="I6141">
        <v>15543093</v>
      </c>
      <c r="J6141">
        <v>0</v>
      </c>
      <c r="K6141">
        <v>96683250</v>
      </c>
      <c r="L6141">
        <v>0</v>
      </c>
      <c r="M6141">
        <v>0</v>
      </c>
      <c r="N6141">
        <v>0</v>
      </c>
      <c r="O6141">
        <v>0</v>
      </c>
      <c r="P6141">
        <v>0</v>
      </c>
      <c r="Q6141">
        <v>0</v>
      </c>
      <c r="R6141">
        <v>30629994</v>
      </c>
      <c r="S6141">
        <v>0</v>
      </c>
      <c r="T6141" s="9">
        <v>45108</v>
      </c>
      <c r="U6141" s="9">
        <v>45473</v>
      </c>
      <c r="V6141">
        <f>SUM(POTABLE_NONPOTABLE_API[[#This Row],[RESIDENTIAL_SINGLEFAMILY_GAL]:[OTHER_GAL]])</f>
        <v>154371911</v>
      </c>
      <c r="W6141">
        <f>SUM(POTABLE_NONPOTABLE_API[[#This Row],[NONPOTABLE_DEMAND_RESIDENTIAL_RECYCLED_WATER_GAL]:[NONPOTABLE_DEMAND_NONRESIDENTIAL_METERED_IRRIGATION_GAL]])</f>
        <v>30629994</v>
      </c>
      <c r="X6141" t="str">
        <f>IFERROR(INDEX(Crosswalk_API!$H$2:$H$527, MATCH(POTABLE_NONPOTABLE_API[[#This Row],[PWSID]], CW_PWSID_LIST, 0)), "")</f>
        <v>No</v>
      </c>
    </row>
    <row r="6142" spans="1:24" x14ac:dyDescent="0.25">
      <c r="A6142" t="s">
        <v>2521</v>
      </c>
      <c r="B6142" t="s">
        <v>2522</v>
      </c>
      <c r="C6142" t="s">
        <v>2523</v>
      </c>
      <c r="D6142" t="s">
        <v>2524</v>
      </c>
      <c r="E6142" s="9">
        <v>45352</v>
      </c>
      <c r="F6142" s="9">
        <v>45382</v>
      </c>
      <c r="G6142">
        <v>35191908</v>
      </c>
      <c r="H6142">
        <v>0</v>
      </c>
      <c r="I6142">
        <v>10427232</v>
      </c>
      <c r="J6142">
        <v>0</v>
      </c>
      <c r="K6142">
        <v>65496051</v>
      </c>
      <c r="L6142">
        <v>0</v>
      </c>
      <c r="M6142">
        <v>0</v>
      </c>
      <c r="N6142">
        <v>0</v>
      </c>
      <c r="O6142">
        <v>0</v>
      </c>
      <c r="P6142">
        <v>0</v>
      </c>
      <c r="Q6142">
        <v>0</v>
      </c>
      <c r="R6142">
        <v>55720521</v>
      </c>
      <c r="S6142">
        <v>0</v>
      </c>
      <c r="T6142" s="9">
        <v>45108</v>
      </c>
      <c r="U6142" s="9">
        <v>45473</v>
      </c>
      <c r="V6142">
        <f>SUM(POTABLE_NONPOTABLE_API[[#This Row],[RESIDENTIAL_SINGLEFAMILY_GAL]:[OTHER_GAL]])</f>
        <v>111115191</v>
      </c>
      <c r="W6142">
        <f>SUM(POTABLE_NONPOTABLE_API[[#This Row],[NONPOTABLE_DEMAND_RESIDENTIAL_RECYCLED_WATER_GAL]:[NONPOTABLE_DEMAND_NONRESIDENTIAL_METERED_IRRIGATION_GAL]])</f>
        <v>55720521</v>
      </c>
      <c r="X6142" t="str">
        <f>IFERROR(INDEX(Crosswalk_API!$H$2:$H$527, MATCH(POTABLE_NONPOTABLE_API[[#This Row],[PWSID]], CW_PWSID_LIST, 0)), "")</f>
        <v>No</v>
      </c>
    </row>
    <row r="6143" spans="1:24" x14ac:dyDescent="0.25">
      <c r="A6143" t="s">
        <v>2521</v>
      </c>
      <c r="B6143" t="s">
        <v>2522</v>
      </c>
      <c r="C6143" t="s">
        <v>2523</v>
      </c>
      <c r="D6143" t="s">
        <v>2524</v>
      </c>
      <c r="E6143" s="9">
        <v>45383</v>
      </c>
      <c r="F6143" s="9">
        <v>45412</v>
      </c>
      <c r="G6143">
        <v>43833477</v>
      </c>
      <c r="H6143">
        <v>0</v>
      </c>
      <c r="I6143">
        <v>16615142</v>
      </c>
      <c r="J6143">
        <v>0</v>
      </c>
      <c r="K6143">
        <v>141409558</v>
      </c>
      <c r="L6143">
        <v>0</v>
      </c>
      <c r="M6143">
        <v>0</v>
      </c>
      <c r="N6143">
        <v>0</v>
      </c>
      <c r="O6143">
        <v>0</v>
      </c>
      <c r="P6143">
        <v>0</v>
      </c>
      <c r="Q6143">
        <v>0</v>
      </c>
      <c r="R6143">
        <v>46922544</v>
      </c>
      <c r="S6143">
        <v>0</v>
      </c>
      <c r="T6143" s="9">
        <v>45108</v>
      </c>
      <c r="U6143" s="9">
        <v>45473</v>
      </c>
      <c r="V6143">
        <f>SUM(POTABLE_NONPOTABLE_API[[#This Row],[RESIDENTIAL_SINGLEFAMILY_GAL]:[OTHER_GAL]])</f>
        <v>201858177</v>
      </c>
      <c r="W6143">
        <f>SUM(POTABLE_NONPOTABLE_API[[#This Row],[NONPOTABLE_DEMAND_RESIDENTIAL_RECYCLED_WATER_GAL]:[NONPOTABLE_DEMAND_NONRESIDENTIAL_METERED_IRRIGATION_GAL]])</f>
        <v>46922544</v>
      </c>
      <c r="X6143" t="str">
        <f>IFERROR(INDEX(Crosswalk_API!$H$2:$H$527, MATCH(POTABLE_NONPOTABLE_API[[#This Row],[PWSID]], CW_PWSID_LIST, 0)), "")</f>
        <v>No</v>
      </c>
    </row>
    <row r="6144" spans="1:24" x14ac:dyDescent="0.25">
      <c r="A6144" t="s">
        <v>2521</v>
      </c>
      <c r="B6144" t="s">
        <v>2522</v>
      </c>
      <c r="C6144" t="s">
        <v>2523</v>
      </c>
      <c r="D6144" t="s">
        <v>2524</v>
      </c>
      <c r="E6144" s="9">
        <v>45413</v>
      </c>
      <c r="F6144" s="9">
        <v>45443</v>
      </c>
      <c r="G6144">
        <v>72664773</v>
      </c>
      <c r="H6144">
        <v>0</v>
      </c>
      <c r="I6144">
        <v>34540206</v>
      </c>
      <c r="J6144">
        <v>0</v>
      </c>
      <c r="K6144">
        <v>157711884</v>
      </c>
      <c r="L6144">
        <v>0</v>
      </c>
      <c r="M6144">
        <v>0</v>
      </c>
      <c r="N6144">
        <v>0</v>
      </c>
      <c r="O6144">
        <v>0</v>
      </c>
      <c r="P6144">
        <v>0</v>
      </c>
      <c r="Q6144">
        <v>0</v>
      </c>
      <c r="R6144">
        <v>46596693</v>
      </c>
      <c r="S6144">
        <v>0</v>
      </c>
      <c r="T6144" s="9">
        <v>45108</v>
      </c>
      <c r="U6144" s="9">
        <v>45473</v>
      </c>
      <c r="V6144">
        <f>SUM(POTABLE_NONPOTABLE_API[[#This Row],[RESIDENTIAL_SINGLEFAMILY_GAL]:[OTHER_GAL]])</f>
        <v>264916863</v>
      </c>
      <c r="W6144">
        <f>SUM(POTABLE_NONPOTABLE_API[[#This Row],[NONPOTABLE_DEMAND_RESIDENTIAL_RECYCLED_WATER_GAL]:[NONPOTABLE_DEMAND_NONRESIDENTIAL_METERED_IRRIGATION_GAL]])</f>
        <v>46596693</v>
      </c>
      <c r="X6144" t="str">
        <f>IFERROR(INDEX(Crosswalk_API!$H$2:$H$527, MATCH(POTABLE_NONPOTABLE_API[[#This Row],[PWSID]], CW_PWSID_LIST, 0)), "")</f>
        <v>No</v>
      </c>
    </row>
    <row r="6145" spans="1:24" x14ac:dyDescent="0.25">
      <c r="A6145" t="s">
        <v>2521</v>
      </c>
      <c r="B6145" t="s">
        <v>2522</v>
      </c>
      <c r="C6145" t="s">
        <v>2523</v>
      </c>
      <c r="D6145" t="s">
        <v>2524</v>
      </c>
      <c r="E6145" s="9">
        <v>45444</v>
      </c>
      <c r="F6145" s="9">
        <v>45473</v>
      </c>
      <c r="G6145">
        <v>81136899</v>
      </c>
      <c r="H6145">
        <v>0</v>
      </c>
      <c r="I6145">
        <v>41383077</v>
      </c>
      <c r="J6145">
        <v>0</v>
      </c>
      <c r="K6145">
        <v>150543162</v>
      </c>
      <c r="L6145">
        <v>0</v>
      </c>
      <c r="M6145">
        <v>0</v>
      </c>
      <c r="N6145">
        <v>0</v>
      </c>
      <c r="O6145">
        <v>0</v>
      </c>
      <c r="P6145">
        <v>0</v>
      </c>
      <c r="Q6145">
        <v>0</v>
      </c>
      <c r="R6145">
        <v>21506166</v>
      </c>
      <c r="S6145">
        <v>0</v>
      </c>
      <c r="T6145" s="9">
        <v>45108</v>
      </c>
      <c r="U6145" s="9">
        <v>45473</v>
      </c>
      <c r="V6145">
        <f>SUM(POTABLE_NONPOTABLE_API[[#This Row],[RESIDENTIAL_SINGLEFAMILY_GAL]:[OTHER_GAL]])</f>
        <v>273063138</v>
      </c>
      <c r="W6145">
        <f>SUM(POTABLE_NONPOTABLE_API[[#This Row],[NONPOTABLE_DEMAND_RESIDENTIAL_RECYCLED_WATER_GAL]:[NONPOTABLE_DEMAND_NONRESIDENTIAL_METERED_IRRIGATION_GAL]])</f>
        <v>21506166</v>
      </c>
      <c r="X6145" t="str">
        <f>IFERROR(INDEX(Crosswalk_API!$H$2:$H$527, MATCH(POTABLE_NONPOTABLE_API[[#This Row],[PWSID]], CW_PWSID_LIST, 0)), "")</f>
        <v>No</v>
      </c>
    </row>
    <row r="6146" spans="1:24" x14ac:dyDescent="0.25">
      <c r="A6146" t="s">
        <v>2525</v>
      </c>
      <c r="B6146" t="s">
        <v>2526</v>
      </c>
      <c r="C6146" t="s">
        <v>2527</v>
      </c>
      <c r="D6146" t="s">
        <v>2528</v>
      </c>
      <c r="E6146" s="9">
        <v>45108</v>
      </c>
      <c r="F6146" s="9">
        <v>45138</v>
      </c>
      <c r="G6146">
        <v>207129750</v>
      </c>
      <c r="H6146">
        <v>0</v>
      </c>
      <c r="I6146">
        <v>99337489</v>
      </c>
      <c r="J6146">
        <v>50556542</v>
      </c>
      <c r="K6146">
        <v>0</v>
      </c>
      <c r="L6146">
        <v>0</v>
      </c>
      <c r="M6146">
        <v>0</v>
      </c>
      <c r="T6146" s="9">
        <v>45108</v>
      </c>
      <c r="U6146" s="9">
        <v>45473</v>
      </c>
      <c r="V6146">
        <f>SUM(POTABLE_NONPOTABLE_API[[#This Row],[RESIDENTIAL_SINGLEFAMILY_GAL]:[OTHER_GAL]])</f>
        <v>357023781</v>
      </c>
      <c r="W6146">
        <f>SUM(POTABLE_NONPOTABLE_API[[#This Row],[NONPOTABLE_DEMAND_RESIDENTIAL_RECYCLED_WATER_GAL]:[NONPOTABLE_DEMAND_NONRESIDENTIAL_METERED_IRRIGATION_GAL]])</f>
        <v>0</v>
      </c>
      <c r="X6146" t="str">
        <f>IFERROR(INDEX(Crosswalk_API!$H$2:$H$527, MATCH(POTABLE_NONPOTABLE_API[[#This Row],[PWSID]], CW_PWSID_LIST, 0)), "")</f>
        <v>No</v>
      </c>
    </row>
    <row r="6147" spans="1:24" x14ac:dyDescent="0.25">
      <c r="A6147" t="s">
        <v>2525</v>
      </c>
      <c r="B6147" t="s">
        <v>2526</v>
      </c>
      <c r="C6147" t="s">
        <v>2527</v>
      </c>
      <c r="D6147" t="s">
        <v>2528</v>
      </c>
      <c r="E6147" s="9">
        <v>45139</v>
      </c>
      <c r="F6147" s="9">
        <v>45169</v>
      </c>
      <c r="G6147">
        <v>200603651</v>
      </c>
      <c r="H6147">
        <v>0</v>
      </c>
      <c r="I6147">
        <v>104536157</v>
      </c>
      <c r="J6147">
        <v>49453848</v>
      </c>
      <c r="K6147">
        <v>0</v>
      </c>
      <c r="L6147">
        <v>0</v>
      </c>
      <c r="M6147">
        <v>0</v>
      </c>
      <c r="T6147" s="9">
        <v>45108</v>
      </c>
      <c r="U6147" s="9">
        <v>45473</v>
      </c>
      <c r="V6147">
        <f>SUM(POTABLE_NONPOTABLE_API[[#This Row],[RESIDENTIAL_SINGLEFAMILY_GAL]:[OTHER_GAL]])</f>
        <v>354593656</v>
      </c>
      <c r="W6147">
        <f>SUM(POTABLE_NONPOTABLE_API[[#This Row],[NONPOTABLE_DEMAND_RESIDENTIAL_RECYCLED_WATER_GAL]:[NONPOTABLE_DEMAND_NONRESIDENTIAL_METERED_IRRIGATION_GAL]])</f>
        <v>0</v>
      </c>
      <c r="X6147" t="str">
        <f>IFERROR(INDEX(Crosswalk_API!$H$2:$H$527, MATCH(POTABLE_NONPOTABLE_API[[#This Row],[PWSID]], CW_PWSID_LIST, 0)), "")</f>
        <v>No</v>
      </c>
    </row>
    <row r="6148" spans="1:24" x14ac:dyDescent="0.25">
      <c r="A6148" t="s">
        <v>2525</v>
      </c>
      <c r="B6148" t="s">
        <v>2526</v>
      </c>
      <c r="C6148" t="s">
        <v>2527</v>
      </c>
      <c r="D6148" t="s">
        <v>2528</v>
      </c>
      <c r="E6148" s="9">
        <v>45170</v>
      </c>
      <c r="F6148" s="9">
        <v>45199</v>
      </c>
      <c r="G6148">
        <v>177739214</v>
      </c>
      <c r="H6148">
        <v>0</v>
      </c>
      <c r="I6148">
        <v>94746781</v>
      </c>
      <c r="J6148">
        <v>43252105</v>
      </c>
      <c r="K6148">
        <v>0</v>
      </c>
      <c r="L6148">
        <v>0</v>
      </c>
      <c r="M6148">
        <v>0</v>
      </c>
      <c r="T6148" s="9">
        <v>45108</v>
      </c>
      <c r="U6148" s="9">
        <v>45473</v>
      </c>
      <c r="V6148">
        <f>SUM(POTABLE_NONPOTABLE_API[[#This Row],[RESIDENTIAL_SINGLEFAMILY_GAL]:[OTHER_GAL]])</f>
        <v>315738100</v>
      </c>
      <c r="W6148">
        <f>SUM(POTABLE_NONPOTABLE_API[[#This Row],[NONPOTABLE_DEMAND_RESIDENTIAL_RECYCLED_WATER_GAL]:[NONPOTABLE_DEMAND_NONRESIDENTIAL_METERED_IRRIGATION_GAL]])</f>
        <v>0</v>
      </c>
      <c r="X6148" t="str">
        <f>IFERROR(INDEX(Crosswalk_API!$H$2:$H$527, MATCH(POTABLE_NONPOTABLE_API[[#This Row],[PWSID]], CW_PWSID_LIST, 0)), "")</f>
        <v>No</v>
      </c>
    </row>
    <row r="6149" spans="1:24" x14ac:dyDescent="0.25">
      <c r="A6149" t="s">
        <v>2525</v>
      </c>
      <c r="B6149" t="s">
        <v>2526</v>
      </c>
      <c r="C6149" t="s">
        <v>2527</v>
      </c>
      <c r="D6149" t="s">
        <v>2528</v>
      </c>
      <c r="E6149" s="9">
        <v>45200</v>
      </c>
      <c r="F6149" s="9">
        <v>45230</v>
      </c>
      <c r="G6149">
        <v>150753827.40000001</v>
      </c>
      <c r="H6149">
        <v>0</v>
      </c>
      <c r="I6149">
        <v>78235960.439999998</v>
      </c>
      <c r="J6149">
        <v>25385960.600000001</v>
      </c>
      <c r="K6149">
        <v>0</v>
      </c>
      <c r="L6149">
        <v>0</v>
      </c>
      <c r="M6149">
        <v>0</v>
      </c>
      <c r="T6149" s="9">
        <v>45108</v>
      </c>
      <c r="U6149" s="9">
        <v>45473</v>
      </c>
      <c r="V6149">
        <f>SUM(POTABLE_NONPOTABLE_API[[#This Row],[RESIDENTIAL_SINGLEFAMILY_GAL]:[OTHER_GAL]])</f>
        <v>254375748.44</v>
      </c>
      <c r="W6149">
        <f>SUM(POTABLE_NONPOTABLE_API[[#This Row],[NONPOTABLE_DEMAND_RESIDENTIAL_RECYCLED_WATER_GAL]:[NONPOTABLE_DEMAND_NONRESIDENTIAL_METERED_IRRIGATION_GAL]])</f>
        <v>0</v>
      </c>
      <c r="X6149" t="str">
        <f>IFERROR(INDEX(Crosswalk_API!$H$2:$H$527, MATCH(POTABLE_NONPOTABLE_API[[#This Row],[PWSID]], CW_PWSID_LIST, 0)), "")</f>
        <v>No</v>
      </c>
    </row>
    <row r="6150" spans="1:24" x14ac:dyDescent="0.25">
      <c r="A6150" t="s">
        <v>2525</v>
      </c>
      <c r="B6150" t="s">
        <v>2526</v>
      </c>
      <c r="C6150" t="s">
        <v>2527</v>
      </c>
      <c r="D6150" t="s">
        <v>2528</v>
      </c>
      <c r="E6150" s="9">
        <v>45231</v>
      </c>
      <c r="F6150" s="9">
        <v>45260</v>
      </c>
      <c r="G6150">
        <v>113617923.76000001</v>
      </c>
      <c r="H6150">
        <v>0</v>
      </c>
      <c r="I6150">
        <v>59982853.039999999</v>
      </c>
      <c r="J6150">
        <v>14229712.640000001</v>
      </c>
      <c r="K6150">
        <v>0</v>
      </c>
      <c r="L6150">
        <v>0</v>
      </c>
      <c r="M6150">
        <v>0</v>
      </c>
      <c r="T6150" s="9">
        <v>45108</v>
      </c>
      <c r="U6150" s="9">
        <v>45473</v>
      </c>
      <c r="V6150">
        <f>SUM(POTABLE_NONPOTABLE_API[[#This Row],[RESIDENTIAL_SINGLEFAMILY_GAL]:[OTHER_GAL]])</f>
        <v>187830489.44</v>
      </c>
      <c r="W6150">
        <f>SUM(POTABLE_NONPOTABLE_API[[#This Row],[NONPOTABLE_DEMAND_RESIDENTIAL_RECYCLED_WATER_GAL]:[NONPOTABLE_DEMAND_NONRESIDENTIAL_METERED_IRRIGATION_GAL]])</f>
        <v>0</v>
      </c>
      <c r="X6150" t="str">
        <f>IFERROR(INDEX(Crosswalk_API!$H$2:$H$527, MATCH(POTABLE_NONPOTABLE_API[[#This Row],[PWSID]], CW_PWSID_LIST, 0)), "")</f>
        <v>No</v>
      </c>
    </row>
    <row r="6151" spans="1:24" x14ac:dyDescent="0.25">
      <c r="A6151" t="s">
        <v>2525</v>
      </c>
      <c r="B6151" t="s">
        <v>2526</v>
      </c>
      <c r="C6151" t="s">
        <v>2527</v>
      </c>
      <c r="D6151" t="s">
        <v>2528</v>
      </c>
      <c r="E6151" s="9">
        <v>45261</v>
      </c>
      <c r="F6151" s="9">
        <v>45291</v>
      </c>
      <c r="G6151">
        <v>94833287.560000002</v>
      </c>
      <c r="H6151">
        <v>0</v>
      </c>
      <c r="I6151">
        <v>52368459.880000003</v>
      </c>
      <c r="J6151">
        <v>8939901.5199999996</v>
      </c>
      <c r="K6151">
        <v>0</v>
      </c>
      <c r="L6151">
        <v>0</v>
      </c>
      <c r="M6151">
        <v>0</v>
      </c>
      <c r="T6151" s="9">
        <v>45108</v>
      </c>
      <c r="U6151" s="9">
        <v>45473</v>
      </c>
      <c r="V6151">
        <f>SUM(POTABLE_NONPOTABLE_API[[#This Row],[RESIDENTIAL_SINGLEFAMILY_GAL]:[OTHER_GAL]])</f>
        <v>156141648.96000001</v>
      </c>
      <c r="W6151">
        <f>SUM(POTABLE_NONPOTABLE_API[[#This Row],[NONPOTABLE_DEMAND_RESIDENTIAL_RECYCLED_WATER_GAL]:[NONPOTABLE_DEMAND_NONRESIDENTIAL_METERED_IRRIGATION_GAL]])</f>
        <v>0</v>
      </c>
      <c r="X6151" t="str">
        <f>IFERROR(INDEX(Crosswalk_API!$H$2:$H$527, MATCH(POTABLE_NONPOTABLE_API[[#This Row],[PWSID]], CW_PWSID_LIST, 0)), "")</f>
        <v>No</v>
      </c>
    </row>
    <row r="6152" spans="1:24" x14ac:dyDescent="0.25">
      <c r="A6152" t="s">
        <v>2525</v>
      </c>
      <c r="B6152" t="s">
        <v>2526</v>
      </c>
      <c r="C6152" t="s">
        <v>2527</v>
      </c>
      <c r="D6152" t="s">
        <v>2528</v>
      </c>
      <c r="E6152" s="9">
        <v>45292</v>
      </c>
      <c r="F6152" s="9">
        <v>45322</v>
      </c>
      <c r="G6152">
        <v>94833287.560000002</v>
      </c>
      <c r="H6152">
        <v>0</v>
      </c>
      <c r="I6152">
        <v>51265421.68</v>
      </c>
      <c r="J6152">
        <v>4062455.32</v>
      </c>
      <c r="K6152">
        <v>0</v>
      </c>
      <c r="L6152">
        <v>0</v>
      </c>
      <c r="M6152">
        <v>0</v>
      </c>
      <c r="T6152" s="9">
        <v>45108</v>
      </c>
      <c r="U6152" s="9">
        <v>45473</v>
      </c>
      <c r="V6152">
        <f>SUM(POTABLE_NONPOTABLE_API[[#This Row],[RESIDENTIAL_SINGLEFAMILY_GAL]:[OTHER_GAL]])</f>
        <v>150161164.56</v>
      </c>
      <c r="W6152">
        <f>SUM(POTABLE_NONPOTABLE_API[[#This Row],[NONPOTABLE_DEMAND_RESIDENTIAL_RECYCLED_WATER_GAL]:[NONPOTABLE_DEMAND_NONRESIDENTIAL_METERED_IRRIGATION_GAL]])</f>
        <v>0</v>
      </c>
      <c r="X6152" t="str">
        <f>IFERROR(INDEX(Crosswalk_API!$H$2:$H$527, MATCH(POTABLE_NONPOTABLE_API[[#This Row],[PWSID]], CW_PWSID_LIST, 0)), "")</f>
        <v>No</v>
      </c>
    </row>
    <row r="6153" spans="1:24" x14ac:dyDescent="0.25">
      <c r="A6153" t="s">
        <v>2525</v>
      </c>
      <c r="B6153" t="s">
        <v>2526</v>
      </c>
      <c r="C6153" t="s">
        <v>2527</v>
      </c>
      <c r="D6153" t="s">
        <v>2528</v>
      </c>
      <c r="E6153" s="9">
        <v>45323</v>
      </c>
      <c r="F6153" s="9">
        <v>45351</v>
      </c>
      <c r="G6153">
        <v>88126270.760000005</v>
      </c>
      <c r="H6153">
        <v>0</v>
      </c>
      <c r="I6153">
        <v>29480677.16</v>
      </c>
      <c r="J6153">
        <v>2519877.36</v>
      </c>
      <c r="K6153">
        <v>0</v>
      </c>
      <c r="L6153">
        <v>0</v>
      </c>
      <c r="M6153">
        <v>0</v>
      </c>
      <c r="T6153" s="9">
        <v>45108</v>
      </c>
      <c r="U6153" s="9">
        <v>45473</v>
      </c>
      <c r="V6153">
        <f>SUM(POTABLE_NONPOTABLE_API[[#This Row],[RESIDENTIAL_SINGLEFAMILY_GAL]:[OTHER_GAL]])</f>
        <v>120126825.28</v>
      </c>
      <c r="W6153">
        <f>SUM(POTABLE_NONPOTABLE_API[[#This Row],[NONPOTABLE_DEMAND_RESIDENTIAL_RECYCLED_WATER_GAL]:[NONPOTABLE_DEMAND_NONRESIDENTIAL_METERED_IRRIGATION_GAL]])</f>
        <v>0</v>
      </c>
      <c r="X6153" t="str">
        <f>IFERROR(INDEX(Crosswalk_API!$H$2:$H$527, MATCH(POTABLE_NONPOTABLE_API[[#This Row],[PWSID]], CW_PWSID_LIST, 0)), "")</f>
        <v>No</v>
      </c>
    </row>
    <row r="6154" spans="1:24" x14ac:dyDescent="0.25">
      <c r="A6154" t="s">
        <v>2525</v>
      </c>
      <c r="B6154" t="s">
        <v>2526</v>
      </c>
      <c r="C6154" t="s">
        <v>2527</v>
      </c>
      <c r="D6154" t="s">
        <v>2528</v>
      </c>
      <c r="E6154" s="9">
        <v>45352</v>
      </c>
      <c r="F6154" s="9">
        <v>45382</v>
      </c>
      <c r="G6154">
        <v>90073053</v>
      </c>
      <c r="H6154">
        <v>0</v>
      </c>
      <c r="I6154">
        <v>29480677</v>
      </c>
      <c r="J6154">
        <v>2519877</v>
      </c>
      <c r="K6154">
        <v>0</v>
      </c>
      <c r="L6154">
        <v>0</v>
      </c>
      <c r="M6154">
        <v>0</v>
      </c>
      <c r="T6154" s="9">
        <v>45108</v>
      </c>
      <c r="U6154" s="9">
        <v>45473</v>
      </c>
      <c r="V6154">
        <f>SUM(POTABLE_NONPOTABLE_API[[#This Row],[RESIDENTIAL_SINGLEFAMILY_GAL]:[OTHER_GAL]])</f>
        <v>122073607</v>
      </c>
      <c r="W6154">
        <f>SUM(POTABLE_NONPOTABLE_API[[#This Row],[NONPOTABLE_DEMAND_RESIDENTIAL_RECYCLED_WATER_GAL]:[NONPOTABLE_DEMAND_NONRESIDENTIAL_METERED_IRRIGATION_GAL]])</f>
        <v>0</v>
      </c>
      <c r="X6154" t="str">
        <f>IFERROR(INDEX(Crosswalk_API!$H$2:$H$527, MATCH(POTABLE_NONPOTABLE_API[[#This Row],[PWSID]], CW_PWSID_LIST, 0)), "")</f>
        <v>No</v>
      </c>
    </row>
    <row r="6155" spans="1:24" x14ac:dyDescent="0.25">
      <c r="A6155" t="s">
        <v>2525</v>
      </c>
      <c r="B6155" t="s">
        <v>2526</v>
      </c>
      <c r="C6155" t="s">
        <v>2527</v>
      </c>
      <c r="D6155" t="s">
        <v>2528</v>
      </c>
      <c r="E6155" s="9">
        <v>45383</v>
      </c>
      <c r="F6155" s="9">
        <v>45412</v>
      </c>
      <c r="G6155">
        <v>104729357.48</v>
      </c>
      <c r="H6155">
        <v>0</v>
      </c>
      <c r="I6155">
        <v>39496135.359999999</v>
      </c>
      <c r="J6155">
        <v>12784127.84</v>
      </c>
      <c r="K6155">
        <v>0</v>
      </c>
      <c r="L6155">
        <v>0</v>
      </c>
      <c r="M6155">
        <v>0</v>
      </c>
      <c r="T6155" s="9">
        <v>45108</v>
      </c>
      <c r="U6155" s="9">
        <v>45473</v>
      </c>
      <c r="V6155">
        <f>SUM(POTABLE_NONPOTABLE_API[[#This Row],[RESIDENTIAL_SINGLEFAMILY_GAL]:[OTHER_GAL]])</f>
        <v>157009620.68000001</v>
      </c>
      <c r="W6155">
        <f>SUM(POTABLE_NONPOTABLE_API[[#This Row],[NONPOTABLE_DEMAND_RESIDENTIAL_RECYCLED_WATER_GAL]:[NONPOTABLE_DEMAND_NONRESIDENTIAL_METERED_IRRIGATION_GAL]])</f>
        <v>0</v>
      </c>
      <c r="X6155" t="str">
        <f>IFERROR(INDEX(Crosswalk_API!$H$2:$H$527, MATCH(POTABLE_NONPOTABLE_API[[#This Row],[PWSID]], CW_PWSID_LIST, 0)), "")</f>
        <v>No</v>
      </c>
    </row>
    <row r="6156" spans="1:24" x14ac:dyDescent="0.25">
      <c r="A6156" t="s">
        <v>2525</v>
      </c>
      <c r="B6156" t="s">
        <v>2526</v>
      </c>
      <c r="C6156" t="s">
        <v>2527</v>
      </c>
      <c r="D6156" t="s">
        <v>2528</v>
      </c>
      <c r="E6156" s="9">
        <v>45413</v>
      </c>
      <c r="F6156" s="9">
        <v>45443</v>
      </c>
      <c r="G6156">
        <v>152052729.40000001</v>
      </c>
      <c r="H6156">
        <v>0</v>
      </c>
      <c r="I6156">
        <v>61885899.68</v>
      </c>
      <c r="J6156">
        <v>26750694.079999998</v>
      </c>
      <c r="K6156">
        <v>0</v>
      </c>
      <c r="L6156">
        <v>0</v>
      </c>
      <c r="M6156">
        <v>0</v>
      </c>
      <c r="T6156" s="9">
        <v>45108</v>
      </c>
      <c r="U6156" s="9">
        <v>45473</v>
      </c>
      <c r="V6156">
        <f>SUM(POTABLE_NONPOTABLE_API[[#This Row],[RESIDENTIAL_SINGLEFAMILY_GAL]:[OTHER_GAL]])</f>
        <v>240689323.16000003</v>
      </c>
      <c r="W6156">
        <f>SUM(POTABLE_NONPOTABLE_API[[#This Row],[NONPOTABLE_DEMAND_RESIDENTIAL_RECYCLED_WATER_GAL]:[NONPOTABLE_DEMAND_NONRESIDENTIAL_METERED_IRRIGATION_GAL]])</f>
        <v>0</v>
      </c>
      <c r="X6156" t="str">
        <f>IFERROR(INDEX(Crosswalk_API!$H$2:$H$527, MATCH(POTABLE_NONPOTABLE_API[[#This Row],[PWSID]], CW_PWSID_LIST, 0)), "")</f>
        <v>No</v>
      </c>
    </row>
    <row r="6157" spans="1:24" x14ac:dyDescent="0.25">
      <c r="A6157" t="s">
        <v>2525</v>
      </c>
      <c r="B6157" t="s">
        <v>2526</v>
      </c>
      <c r="C6157" t="s">
        <v>2527</v>
      </c>
      <c r="D6157" t="s">
        <v>2528</v>
      </c>
      <c r="E6157" s="9">
        <v>45444</v>
      </c>
      <c r="F6157" s="9">
        <v>45473</v>
      </c>
      <c r="G6157">
        <v>205548380.40000001</v>
      </c>
      <c r="H6157">
        <v>0</v>
      </c>
      <c r="I6157">
        <v>118410464.48</v>
      </c>
      <c r="J6157">
        <v>0</v>
      </c>
      <c r="K6157">
        <v>0</v>
      </c>
      <c r="L6157">
        <v>0</v>
      </c>
      <c r="M6157">
        <v>0</v>
      </c>
      <c r="T6157" s="9">
        <v>45108</v>
      </c>
      <c r="U6157" s="9">
        <v>45473</v>
      </c>
      <c r="V6157">
        <f>SUM(POTABLE_NONPOTABLE_API[[#This Row],[RESIDENTIAL_SINGLEFAMILY_GAL]:[OTHER_GAL]])</f>
        <v>323958844.88</v>
      </c>
      <c r="W6157">
        <f>SUM(POTABLE_NONPOTABLE_API[[#This Row],[NONPOTABLE_DEMAND_RESIDENTIAL_RECYCLED_WATER_GAL]:[NONPOTABLE_DEMAND_NONRESIDENTIAL_METERED_IRRIGATION_GAL]])</f>
        <v>0</v>
      </c>
      <c r="X6157" t="str">
        <f>IFERROR(INDEX(Crosswalk_API!$H$2:$H$527, MATCH(POTABLE_NONPOTABLE_API[[#This Row],[PWSID]], CW_PWSID_LIST, 0)), "")</f>
        <v>No</v>
      </c>
    </row>
    <row r="6158" spans="1:24" x14ac:dyDescent="0.25">
      <c r="A6158" t="s">
        <v>2529</v>
      </c>
      <c r="B6158" t="s">
        <v>2530</v>
      </c>
      <c r="C6158" t="s">
        <v>2531</v>
      </c>
      <c r="D6158" t="s">
        <v>2532</v>
      </c>
      <c r="E6158" s="9">
        <v>45108</v>
      </c>
      <c r="F6158" s="9">
        <v>45138</v>
      </c>
      <c r="G6158">
        <v>362968687.41000003</v>
      </c>
      <c r="H6158">
        <v>13131795.299999999</v>
      </c>
      <c r="I6158">
        <v>81404096.819999993</v>
      </c>
      <c r="J6158">
        <v>80420026.799999997</v>
      </c>
      <c r="K6158">
        <v>15227017.229999999</v>
      </c>
      <c r="L6158">
        <v>5865318</v>
      </c>
      <c r="M6158">
        <v>0</v>
      </c>
      <c r="T6158" s="9">
        <v>45108</v>
      </c>
      <c r="U6158" s="9">
        <v>45473</v>
      </c>
      <c r="V6158">
        <f>SUM(POTABLE_NONPOTABLE_API[[#This Row],[RESIDENTIAL_SINGLEFAMILY_GAL]:[OTHER_GAL]])</f>
        <v>559016941.56000006</v>
      </c>
      <c r="W6158">
        <f>SUM(POTABLE_NONPOTABLE_API[[#This Row],[NONPOTABLE_DEMAND_RESIDENTIAL_RECYCLED_WATER_GAL]:[NONPOTABLE_DEMAND_NONRESIDENTIAL_METERED_IRRIGATION_GAL]])</f>
        <v>0</v>
      </c>
      <c r="X6158" t="str">
        <f>IFERROR(INDEX(Crosswalk_API!$H$2:$H$527, MATCH(POTABLE_NONPOTABLE_API[[#This Row],[PWSID]], CW_PWSID_LIST, 0)), "")</f>
        <v>No</v>
      </c>
    </row>
    <row r="6159" spans="1:24" x14ac:dyDescent="0.25">
      <c r="A6159" t="s">
        <v>2529</v>
      </c>
      <c r="B6159" t="s">
        <v>2530</v>
      </c>
      <c r="C6159" t="s">
        <v>2531</v>
      </c>
      <c r="D6159" t="s">
        <v>2532</v>
      </c>
      <c r="E6159" s="9">
        <v>45139</v>
      </c>
      <c r="F6159" s="9">
        <v>45169</v>
      </c>
      <c r="G6159">
        <v>359778606.11999995</v>
      </c>
      <c r="H6159">
        <v>12628355.505000001</v>
      </c>
      <c r="I6159">
        <v>83926183.560000002</v>
      </c>
      <c r="J6159">
        <v>85819377.870000005</v>
      </c>
      <c r="K6159">
        <v>16797619.050000001</v>
      </c>
      <c r="L6159">
        <v>3740769.48</v>
      </c>
      <c r="M6159">
        <v>0</v>
      </c>
      <c r="T6159" s="9">
        <v>45108</v>
      </c>
      <c r="U6159" s="9">
        <v>45473</v>
      </c>
      <c r="V6159">
        <f>SUM(POTABLE_NONPOTABLE_API[[#This Row],[RESIDENTIAL_SINGLEFAMILY_GAL]:[OTHER_GAL]])</f>
        <v>562690911.58499992</v>
      </c>
      <c r="W6159">
        <f>SUM(POTABLE_NONPOTABLE_API[[#This Row],[NONPOTABLE_DEMAND_RESIDENTIAL_RECYCLED_WATER_GAL]:[NONPOTABLE_DEMAND_NONRESIDENTIAL_METERED_IRRIGATION_GAL]])</f>
        <v>0</v>
      </c>
      <c r="X6159" t="str">
        <f>IFERROR(INDEX(Crosswalk_API!$H$2:$H$527, MATCH(POTABLE_NONPOTABLE_API[[#This Row],[PWSID]], CW_PWSID_LIST, 0)), "")</f>
        <v>No</v>
      </c>
    </row>
    <row r="6160" spans="1:24" x14ac:dyDescent="0.25">
      <c r="A6160" t="s">
        <v>2529</v>
      </c>
      <c r="B6160" t="s">
        <v>2530</v>
      </c>
      <c r="C6160" t="s">
        <v>2531</v>
      </c>
      <c r="D6160" t="s">
        <v>2532</v>
      </c>
      <c r="E6160" s="9">
        <v>45170</v>
      </c>
      <c r="F6160" s="9">
        <v>45199</v>
      </c>
      <c r="G6160">
        <v>397538220</v>
      </c>
      <c r="H6160">
        <v>15966699</v>
      </c>
      <c r="I6160">
        <v>103164426.60000001</v>
      </c>
      <c r="J6160">
        <v>98407002</v>
      </c>
      <c r="K6160">
        <v>16976837.100000001</v>
      </c>
      <c r="L6160">
        <v>7168722</v>
      </c>
      <c r="M6160">
        <v>0</v>
      </c>
      <c r="T6160" s="9">
        <v>45108</v>
      </c>
      <c r="U6160" s="9">
        <v>45473</v>
      </c>
      <c r="V6160">
        <f>SUM(POTABLE_NONPOTABLE_API[[#This Row],[RESIDENTIAL_SINGLEFAMILY_GAL]:[OTHER_GAL]])</f>
        <v>639221906.70000005</v>
      </c>
      <c r="W6160">
        <f>SUM(POTABLE_NONPOTABLE_API[[#This Row],[NONPOTABLE_DEMAND_RESIDENTIAL_RECYCLED_WATER_GAL]:[NONPOTABLE_DEMAND_NONRESIDENTIAL_METERED_IRRIGATION_GAL]])</f>
        <v>0</v>
      </c>
      <c r="X6160" t="str">
        <f>IFERROR(INDEX(Crosswalk_API!$H$2:$H$527, MATCH(POTABLE_NONPOTABLE_API[[#This Row],[PWSID]], CW_PWSID_LIST, 0)), "")</f>
        <v>No</v>
      </c>
    </row>
    <row r="6161" spans="1:24" x14ac:dyDescent="0.25">
      <c r="A6161" t="s">
        <v>2529</v>
      </c>
      <c r="B6161" t="s">
        <v>2530</v>
      </c>
      <c r="C6161" t="s">
        <v>2531</v>
      </c>
      <c r="D6161" t="s">
        <v>2532</v>
      </c>
      <c r="E6161" s="9">
        <v>45200</v>
      </c>
      <c r="F6161" s="9">
        <v>45230</v>
      </c>
      <c r="G6161">
        <v>300282123.73199999</v>
      </c>
      <c r="H6161">
        <v>12035958.387</v>
      </c>
      <c r="I6161">
        <v>72342180.50999999</v>
      </c>
      <c r="J6161">
        <v>72355214.549999997</v>
      </c>
      <c r="K6161">
        <v>14024627.039999999</v>
      </c>
      <c r="L6161">
        <v>15271007.115</v>
      </c>
      <c r="M6161">
        <v>0</v>
      </c>
      <c r="T6161" s="9">
        <v>45108</v>
      </c>
      <c r="U6161" s="9">
        <v>45473</v>
      </c>
      <c r="V6161">
        <f>SUM(POTABLE_NONPOTABLE_API[[#This Row],[RESIDENTIAL_SINGLEFAMILY_GAL]:[OTHER_GAL]])</f>
        <v>486311111.33400005</v>
      </c>
      <c r="W6161">
        <f>SUM(POTABLE_NONPOTABLE_API[[#This Row],[NONPOTABLE_DEMAND_RESIDENTIAL_RECYCLED_WATER_GAL]:[NONPOTABLE_DEMAND_NONRESIDENTIAL_METERED_IRRIGATION_GAL]])</f>
        <v>0</v>
      </c>
      <c r="X6161" t="str">
        <f>IFERROR(INDEX(Crosswalk_API!$H$2:$H$527, MATCH(POTABLE_NONPOTABLE_API[[#This Row],[PWSID]], CW_PWSID_LIST, 0)), "")</f>
        <v>No</v>
      </c>
    </row>
    <row r="6162" spans="1:24" x14ac:dyDescent="0.25">
      <c r="A6162" t="s">
        <v>2529</v>
      </c>
      <c r="B6162" t="s">
        <v>2530</v>
      </c>
      <c r="C6162" t="s">
        <v>2531</v>
      </c>
      <c r="D6162" t="s">
        <v>2532</v>
      </c>
      <c r="E6162" s="9">
        <v>45231</v>
      </c>
      <c r="F6162" s="9">
        <v>45260</v>
      </c>
      <c r="G6162">
        <v>286877175</v>
      </c>
      <c r="H6162">
        <v>12139387</v>
      </c>
      <c r="I6162">
        <v>725999.38</v>
      </c>
      <c r="J6162">
        <v>654941.92000000004</v>
      </c>
      <c r="K6162">
        <v>126158.96</v>
      </c>
      <c r="L6162">
        <v>155609.76999999999</v>
      </c>
      <c r="M6162">
        <v>0</v>
      </c>
      <c r="T6162" s="9">
        <v>45108</v>
      </c>
      <c r="U6162" s="9">
        <v>45473</v>
      </c>
      <c r="V6162">
        <f>SUM(POTABLE_NONPOTABLE_API[[#This Row],[RESIDENTIAL_SINGLEFAMILY_GAL]:[OTHER_GAL]])</f>
        <v>300679272.02999997</v>
      </c>
      <c r="W6162">
        <f>SUM(POTABLE_NONPOTABLE_API[[#This Row],[NONPOTABLE_DEMAND_RESIDENTIAL_RECYCLED_WATER_GAL]:[NONPOTABLE_DEMAND_NONRESIDENTIAL_METERED_IRRIGATION_GAL]])</f>
        <v>0</v>
      </c>
      <c r="X6162" t="str">
        <f>IFERROR(INDEX(Crosswalk_API!$H$2:$H$527, MATCH(POTABLE_NONPOTABLE_API[[#This Row],[PWSID]], CW_PWSID_LIST, 0)), "")</f>
        <v>No</v>
      </c>
    </row>
    <row r="6163" spans="1:24" x14ac:dyDescent="0.25">
      <c r="A6163" t="s">
        <v>2529</v>
      </c>
      <c r="B6163" t="s">
        <v>2530</v>
      </c>
      <c r="C6163" t="s">
        <v>2531</v>
      </c>
      <c r="D6163" t="s">
        <v>2532</v>
      </c>
      <c r="E6163" s="9">
        <v>45261</v>
      </c>
      <c r="F6163" s="9">
        <v>45291</v>
      </c>
      <c r="G6163">
        <v>348575</v>
      </c>
      <c r="H6163">
        <v>17620</v>
      </c>
      <c r="I6163">
        <v>102073</v>
      </c>
      <c r="J6163">
        <v>86841</v>
      </c>
      <c r="K6163">
        <v>14969</v>
      </c>
      <c r="L6163">
        <v>15377</v>
      </c>
      <c r="M6163">
        <v>0</v>
      </c>
      <c r="T6163" s="9">
        <v>45108</v>
      </c>
      <c r="U6163" s="9">
        <v>45473</v>
      </c>
      <c r="V6163">
        <f>SUM(POTABLE_NONPOTABLE_API[[#This Row],[RESIDENTIAL_SINGLEFAMILY_GAL]:[OTHER_GAL]])</f>
        <v>585455</v>
      </c>
      <c r="W6163">
        <f>SUM(POTABLE_NONPOTABLE_API[[#This Row],[NONPOTABLE_DEMAND_RESIDENTIAL_RECYCLED_WATER_GAL]:[NONPOTABLE_DEMAND_NONRESIDENTIAL_METERED_IRRIGATION_GAL]])</f>
        <v>0</v>
      </c>
      <c r="X6163" t="str">
        <f>IFERROR(INDEX(Crosswalk_API!$H$2:$H$527, MATCH(POTABLE_NONPOTABLE_API[[#This Row],[PWSID]], CW_PWSID_LIST, 0)), "")</f>
        <v>No</v>
      </c>
    </row>
    <row r="6164" spans="1:24" x14ac:dyDescent="0.25">
      <c r="A6164" t="s">
        <v>2529</v>
      </c>
      <c r="B6164" t="s">
        <v>2530</v>
      </c>
      <c r="C6164" t="s">
        <v>2531</v>
      </c>
      <c r="D6164" t="s">
        <v>2532</v>
      </c>
      <c r="E6164" s="9">
        <v>45292</v>
      </c>
      <c r="F6164" s="9">
        <v>45322</v>
      </c>
      <c r="G6164">
        <v>268864101.78799999</v>
      </c>
      <c r="H6164">
        <v>13939200.968</v>
      </c>
      <c r="I6164">
        <v>65783692.880000003</v>
      </c>
      <c r="J6164">
        <v>43579265.364</v>
      </c>
      <c r="K6164">
        <v>12475263.204</v>
      </c>
      <c r="L6164">
        <v>9550379.8839999996</v>
      </c>
      <c r="M6164">
        <v>0</v>
      </c>
      <c r="T6164" s="9">
        <v>45108</v>
      </c>
      <c r="U6164" s="9">
        <v>45473</v>
      </c>
      <c r="V6164">
        <f>SUM(POTABLE_NONPOTABLE_API[[#This Row],[RESIDENTIAL_SINGLEFAMILY_GAL]:[OTHER_GAL]])</f>
        <v>414191904.088</v>
      </c>
      <c r="W6164">
        <f>SUM(POTABLE_NONPOTABLE_API[[#This Row],[NONPOTABLE_DEMAND_RESIDENTIAL_RECYCLED_WATER_GAL]:[NONPOTABLE_DEMAND_NONRESIDENTIAL_METERED_IRRIGATION_GAL]])</f>
        <v>0</v>
      </c>
      <c r="X6164" t="str">
        <f>IFERROR(INDEX(Crosswalk_API!$H$2:$H$527, MATCH(POTABLE_NONPOTABLE_API[[#This Row],[PWSID]], CW_PWSID_LIST, 0)), "")</f>
        <v>No</v>
      </c>
    </row>
    <row r="6165" spans="1:24" x14ac:dyDescent="0.25">
      <c r="A6165" t="s">
        <v>2529</v>
      </c>
      <c r="B6165" t="s">
        <v>2530</v>
      </c>
      <c r="C6165" t="s">
        <v>2531</v>
      </c>
      <c r="D6165" t="s">
        <v>2532</v>
      </c>
      <c r="E6165" s="9">
        <v>45323</v>
      </c>
      <c r="F6165" s="9">
        <v>45351</v>
      </c>
      <c r="G6165">
        <v>209359557.396</v>
      </c>
      <c r="H6165">
        <v>12339117.74</v>
      </c>
      <c r="I6165">
        <v>50025229.447999999</v>
      </c>
      <c r="J6165">
        <v>22466993.767999999</v>
      </c>
      <c r="K6165">
        <v>9316987.6600000001</v>
      </c>
      <c r="L6165">
        <v>5951501.7120000003</v>
      </c>
      <c r="M6165">
        <v>0</v>
      </c>
      <c r="T6165" s="9">
        <v>45108</v>
      </c>
      <c r="U6165" s="9">
        <v>45473</v>
      </c>
      <c r="V6165">
        <f>SUM(POTABLE_NONPOTABLE_API[[#This Row],[RESIDENTIAL_SINGLEFAMILY_GAL]:[OTHER_GAL]])</f>
        <v>309459387.72400004</v>
      </c>
      <c r="W6165">
        <f>SUM(POTABLE_NONPOTABLE_API[[#This Row],[NONPOTABLE_DEMAND_RESIDENTIAL_RECYCLED_WATER_GAL]:[NONPOTABLE_DEMAND_NONRESIDENTIAL_METERED_IRRIGATION_GAL]])</f>
        <v>0</v>
      </c>
      <c r="X6165" t="str">
        <f>IFERROR(INDEX(Crosswalk_API!$H$2:$H$527, MATCH(POTABLE_NONPOTABLE_API[[#This Row],[PWSID]], CW_PWSID_LIST, 0)), "")</f>
        <v>No</v>
      </c>
    </row>
    <row r="6166" spans="1:24" x14ac:dyDescent="0.25">
      <c r="A6166" t="s">
        <v>2529</v>
      </c>
      <c r="B6166" t="s">
        <v>2530</v>
      </c>
      <c r="C6166" t="s">
        <v>2531</v>
      </c>
      <c r="D6166" t="s">
        <v>2532</v>
      </c>
      <c r="E6166" s="9">
        <v>45352</v>
      </c>
      <c r="F6166" s="9">
        <v>45382</v>
      </c>
      <c r="G6166">
        <v>171316624.884</v>
      </c>
      <c r="H6166">
        <v>8929496.7239999995</v>
      </c>
      <c r="I6166">
        <v>41362039.236000001</v>
      </c>
      <c r="J6166">
        <v>16623211.544</v>
      </c>
      <c r="K6166">
        <v>9209268.1720000003</v>
      </c>
      <c r="L6166">
        <v>1552207.9000000001</v>
      </c>
      <c r="M6166">
        <v>0</v>
      </c>
      <c r="T6166" s="9">
        <v>45108</v>
      </c>
      <c r="U6166" s="9">
        <v>45473</v>
      </c>
      <c r="V6166">
        <f>SUM(POTABLE_NONPOTABLE_API[[#This Row],[RESIDENTIAL_SINGLEFAMILY_GAL]:[OTHER_GAL]])</f>
        <v>248992848.46000001</v>
      </c>
      <c r="W6166">
        <f>SUM(POTABLE_NONPOTABLE_API[[#This Row],[NONPOTABLE_DEMAND_RESIDENTIAL_RECYCLED_WATER_GAL]:[NONPOTABLE_DEMAND_NONRESIDENTIAL_METERED_IRRIGATION_GAL]])</f>
        <v>0</v>
      </c>
      <c r="X6166" t="str">
        <f>IFERROR(INDEX(Crosswalk_API!$H$2:$H$527, MATCH(POTABLE_NONPOTABLE_API[[#This Row],[PWSID]], CW_PWSID_LIST, 0)), "")</f>
        <v>No</v>
      </c>
    </row>
    <row r="6167" spans="1:24" x14ac:dyDescent="0.25">
      <c r="A6167" t="s">
        <v>2529</v>
      </c>
      <c r="B6167" t="s">
        <v>2530</v>
      </c>
      <c r="C6167" t="s">
        <v>2531</v>
      </c>
      <c r="D6167" t="s">
        <v>2532</v>
      </c>
      <c r="E6167" s="9">
        <v>45383</v>
      </c>
      <c r="F6167" s="9">
        <v>45412</v>
      </c>
      <c r="G6167">
        <v>193696096.56800002</v>
      </c>
      <c r="H6167">
        <v>9604239.6280000005</v>
      </c>
      <c r="I6167">
        <v>51660471.120000005</v>
      </c>
      <c r="J6167">
        <v>29277259.175999999</v>
      </c>
      <c r="K6167">
        <v>10844509.844000001</v>
      </c>
      <c r="L6167">
        <v>5256561.4040000001</v>
      </c>
      <c r="M6167">
        <v>0</v>
      </c>
      <c r="T6167" s="9">
        <v>45108</v>
      </c>
      <c r="U6167" s="9">
        <v>45473</v>
      </c>
      <c r="V6167">
        <f>SUM(POTABLE_NONPOTABLE_API[[#This Row],[RESIDENTIAL_SINGLEFAMILY_GAL]:[OTHER_GAL]])</f>
        <v>300339137.73999995</v>
      </c>
      <c r="W6167">
        <f>SUM(POTABLE_NONPOTABLE_API[[#This Row],[NONPOTABLE_DEMAND_RESIDENTIAL_RECYCLED_WATER_GAL]:[NONPOTABLE_DEMAND_NONRESIDENTIAL_METERED_IRRIGATION_GAL]])</f>
        <v>0</v>
      </c>
      <c r="X6167" t="str">
        <f>IFERROR(INDEX(Crosswalk_API!$H$2:$H$527, MATCH(POTABLE_NONPOTABLE_API[[#This Row],[PWSID]], CW_PWSID_LIST, 0)), "")</f>
        <v>No</v>
      </c>
    </row>
    <row r="6168" spans="1:24" x14ac:dyDescent="0.25">
      <c r="A6168" t="s">
        <v>2529</v>
      </c>
      <c r="B6168" t="s">
        <v>2530</v>
      </c>
      <c r="C6168" t="s">
        <v>2531</v>
      </c>
      <c r="D6168" t="s">
        <v>2532</v>
      </c>
      <c r="E6168" s="9">
        <v>45413</v>
      </c>
      <c r="F6168" s="9">
        <v>45443</v>
      </c>
      <c r="G6168">
        <v>262228880.54800001</v>
      </c>
      <c r="H6168">
        <v>12093008.632000001</v>
      </c>
      <c r="I6168">
        <v>67478778.711999997</v>
      </c>
      <c r="J6168">
        <v>57481063.732000001</v>
      </c>
      <c r="K6168">
        <v>13304104.82</v>
      </c>
      <c r="L6168">
        <v>5940280.932</v>
      </c>
      <c r="M6168">
        <v>0</v>
      </c>
      <c r="T6168" s="9">
        <v>45108</v>
      </c>
      <c r="U6168" s="9">
        <v>45473</v>
      </c>
      <c r="V6168">
        <f>SUM(POTABLE_NONPOTABLE_API[[#This Row],[RESIDENTIAL_SINGLEFAMILY_GAL]:[OTHER_GAL]])</f>
        <v>418526117.37599999</v>
      </c>
      <c r="W6168">
        <f>SUM(POTABLE_NONPOTABLE_API[[#This Row],[NONPOTABLE_DEMAND_RESIDENTIAL_RECYCLED_WATER_GAL]:[NONPOTABLE_DEMAND_NONRESIDENTIAL_METERED_IRRIGATION_GAL]])</f>
        <v>0</v>
      </c>
      <c r="X6168" t="str">
        <f>IFERROR(INDEX(Crosswalk_API!$H$2:$H$527, MATCH(POTABLE_NONPOTABLE_API[[#This Row],[PWSID]], CW_PWSID_LIST, 0)), "")</f>
        <v>No</v>
      </c>
    </row>
    <row r="6169" spans="1:24" x14ac:dyDescent="0.25">
      <c r="A6169" t="s">
        <v>2529</v>
      </c>
      <c r="B6169" t="s">
        <v>2530</v>
      </c>
      <c r="C6169" t="s">
        <v>2531</v>
      </c>
      <c r="D6169" t="s">
        <v>2532</v>
      </c>
      <c r="E6169" s="9">
        <v>45444</v>
      </c>
      <c r="F6169" s="9">
        <v>45473</v>
      </c>
      <c r="G6169">
        <v>350104045.09200001</v>
      </c>
      <c r="H6169">
        <v>15257268.592</v>
      </c>
      <c r="I6169">
        <v>55260097.344000004</v>
      </c>
      <c r="J6169">
        <v>77351569.008000001</v>
      </c>
      <c r="K6169">
        <v>16436198.544</v>
      </c>
      <c r="L6169">
        <v>39746246.916000001</v>
      </c>
      <c r="M6169">
        <v>0</v>
      </c>
      <c r="T6169" s="9">
        <v>45108</v>
      </c>
      <c r="U6169" s="9">
        <v>45473</v>
      </c>
      <c r="V6169">
        <f>SUM(POTABLE_NONPOTABLE_API[[#This Row],[RESIDENTIAL_SINGLEFAMILY_GAL]:[OTHER_GAL]])</f>
        <v>554155425.49600005</v>
      </c>
      <c r="W6169">
        <f>SUM(POTABLE_NONPOTABLE_API[[#This Row],[NONPOTABLE_DEMAND_RESIDENTIAL_RECYCLED_WATER_GAL]:[NONPOTABLE_DEMAND_NONRESIDENTIAL_METERED_IRRIGATION_GAL]])</f>
        <v>0</v>
      </c>
      <c r="X6169" t="str">
        <f>IFERROR(INDEX(Crosswalk_API!$H$2:$H$527, MATCH(POTABLE_NONPOTABLE_API[[#This Row],[PWSID]], CW_PWSID_LIST, 0)), "")</f>
        <v>No</v>
      </c>
    </row>
    <row r="6170" spans="1:24" x14ac:dyDescent="0.25">
      <c r="A6170" t="s">
        <v>2533</v>
      </c>
      <c r="B6170" t="s">
        <v>2534</v>
      </c>
      <c r="C6170" t="s">
        <v>2535</v>
      </c>
      <c r="D6170" t="s">
        <v>2536</v>
      </c>
      <c r="E6170" s="9">
        <v>45108</v>
      </c>
      <c r="F6170" s="9">
        <v>45138</v>
      </c>
      <c r="G6170">
        <v>14652842.576000001</v>
      </c>
      <c r="H6170">
        <v>2326441.7200000002</v>
      </c>
      <c r="I6170">
        <v>2176831.3199999998</v>
      </c>
      <c r="J6170">
        <v>3981132.7439999999</v>
      </c>
      <c r="K6170">
        <v>0</v>
      </c>
      <c r="L6170">
        <v>0</v>
      </c>
      <c r="M6170">
        <v>0</v>
      </c>
      <c r="T6170" s="9">
        <v>45108</v>
      </c>
      <c r="U6170" s="9">
        <v>45473</v>
      </c>
      <c r="V6170">
        <f>SUM(POTABLE_NONPOTABLE_API[[#This Row],[RESIDENTIAL_SINGLEFAMILY_GAL]:[OTHER_GAL]])</f>
        <v>23137248.359999999</v>
      </c>
      <c r="W6170">
        <f>SUM(POTABLE_NONPOTABLE_API[[#This Row],[NONPOTABLE_DEMAND_RESIDENTIAL_RECYCLED_WATER_GAL]:[NONPOTABLE_DEMAND_NONRESIDENTIAL_METERED_IRRIGATION_GAL]])</f>
        <v>0</v>
      </c>
      <c r="X6170" t="str">
        <f>IFERROR(INDEX(Crosswalk_API!$H$2:$H$527, MATCH(POTABLE_NONPOTABLE_API[[#This Row],[PWSID]], CW_PWSID_LIST, 0)), "")</f>
        <v>No</v>
      </c>
    </row>
    <row r="6171" spans="1:24" x14ac:dyDescent="0.25">
      <c r="A6171" t="s">
        <v>2533</v>
      </c>
      <c r="B6171" t="s">
        <v>2534</v>
      </c>
      <c r="C6171" t="s">
        <v>2535</v>
      </c>
      <c r="D6171" t="s">
        <v>2536</v>
      </c>
      <c r="E6171" s="9">
        <v>45139</v>
      </c>
      <c r="F6171" s="9">
        <v>45169</v>
      </c>
      <c r="G6171">
        <v>14652842.576000001</v>
      </c>
      <c r="H6171">
        <v>2326441.7200000002</v>
      </c>
      <c r="I6171">
        <v>2176831.3199999998</v>
      </c>
      <c r="J6171">
        <v>3981880.7960000001</v>
      </c>
      <c r="K6171">
        <v>0</v>
      </c>
      <c r="L6171">
        <v>0</v>
      </c>
      <c r="M6171">
        <v>0</v>
      </c>
      <c r="T6171" s="9">
        <v>45108</v>
      </c>
      <c r="U6171" s="9">
        <v>45473</v>
      </c>
      <c r="V6171">
        <f>SUM(POTABLE_NONPOTABLE_API[[#This Row],[RESIDENTIAL_SINGLEFAMILY_GAL]:[OTHER_GAL]])</f>
        <v>23137996.412</v>
      </c>
      <c r="W6171">
        <f>SUM(POTABLE_NONPOTABLE_API[[#This Row],[NONPOTABLE_DEMAND_RESIDENTIAL_RECYCLED_WATER_GAL]:[NONPOTABLE_DEMAND_NONRESIDENTIAL_METERED_IRRIGATION_GAL]])</f>
        <v>0</v>
      </c>
      <c r="X6171" t="str">
        <f>IFERROR(INDEX(Crosswalk_API!$H$2:$H$527, MATCH(POTABLE_NONPOTABLE_API[[#This Row],[PWSID]], CW_PWSID_LIST, 0)), "")</f>
        <v>No</v>
      </c>
    </row>
    <row r="6172" spans="1:24" x14ac:dyDescent="0.25">
      <c r="A6172" t="s">
        <v>2533</v>
      </c>
      <c r="B6172" t="s">
        <v>2534</v>
      </c>
      <c r="C6172" t="s">
        <v>2535</v>
      </c>
      <c r="D6172" t="s">
        <v>2536</v>
      </c>
      <c r="E6172" s="9">
        <v>45170</v>
      </c>
      <c r="F6172" s="9">
        <v>45199</v>
      </c>
      <c r="G6172">
        <v>14502484.124</v>
      </c>
      <c r="H6172">
        <v>2471563.8080000002</v>
      </c>
      <c r="I6172">
        <v>2491761.2120000003</v>
      </c>
      <c r="J6172">
        <v>3194182.04</v>
      </c>
      <c r="K6172">
        <v>0</v>
      </c>
      <c r="L6172">
        <v>0</v>
      </c>
      <c r="M6172">
        <v>0</v>
      </c>
      <c r="T6172" s="9">
        <v>45108</v>
      </c>
      <c r="U6172" s="9">
        <v>45473</v>
      </c>
      <c r="V6172">
        <f>SUM(POTABLE_NONPOTABLE_API[[#This Row],[RESIDENTIAL_SINGLEFAMILY_GAL]:[OTHER_GAL]])</f>
        <v>22659991.184</v>
      </c>
      <c r="W6172">
        <f>SUM(POTABLE_NONPOTABLE_API[[#This Row],[NONPOTABLE_DEMAND_RESIDENTIAL_RECYCLED_WATER_GAL]:[NONPOTABLE_DEMAND_NONRESIDENTIAL_METERED_IRRIGATION_GAL]])</f>
        <v>0</v>
      </c>
      <c r="X6172" t="str">
        <f>IFERROR(INDEX(Crosswalk_API!$H$2:$H$527, MATCH(POTABLE_NONPOTABLE_API[[#This Row],[PWSID]], CW_PWSID_LIST, 0)), "")</f>
        <v>No</v>
      </c>
    </row>
    <row r="6173" spans="1:24" x14ac:dyDescent="0.25">
      <c r="A6173" t="s">
        <v>2533</v>
      </c>
      <c r="B6173" t="s">
        <v>2534</v>
      </c>
      <c r="C6173" t="s">
        <v>2535</v>
      </c>
      <c r="D6173" t="s">
        <v>2536</v>
      </c>
      <c r="E6173" s="9">
        <v>45200</v>
      </c>
      <c r="F6173" s="9">
        <v>45230</v>
      </c>
      <c r="G6173">
        <v>14502484.124</v>
      </c>
      <c r="H6173">
        <v>2471563.8080000002</v>
      </c>
      <c r="I6173">
        <v>2491761.2120000003</v>
      </c>
      <c r="J6173">
        <v>3194182.04</v>
      </c>
      <c r="K6173">
        <v>0</v>
      </c>
      <c r="L6173">
        <v>0</v>
      </c>
      <c r="M6173">
        <v>0</v>
      </c>
      <c r="T6173" s="9">
        <v>45108</v>
      </c>
      <c r="U6173" s="9">
        <v>45473</v>
      </c>
      <c r="V6173">
        <f>SUM(POTABLE_NONPOTABLE_API[[#This Row],[RESIDENTIAL_SINGLEFAMILY_GAL]:[OTHER_GAL]])</f>
        <v>22659991.184</v>
      </c>
      <c r="W6173">
        <f>SUM(POTABLE_NONPOTABLE_API[[#This Row],[NONPOTABLE_DEMAND_RESIDENTIAL_RECYCLED_WATER_GAL]:[NONPOTABLE_DEMAND_NONRESIDENTIAL_METERED_IRRIGATION_GAL]])</f>
        <v>0</v>
      </c>
      <c r="X6173" t="str">
        <f>IFERROR(INDEX(Crosswalk_API!$H$2:$H$527, MATCH(POTABLE_NONPOTABLE_API[[#This Row],[PWSID]], CW_PWSID_LIST, 0)), "")</f>
        <v>No</v>
      </c>
    </row>
    <row r="6174" spans="1:24" x14ac:dyDescent="0.25">
      <c r="A6174" t="s">
        <v>2533</v>
      </c>
      <c r="B6174" t="s">
        <v>2534</v>
      </c>
      <c r="C6174" t="s">
        <v>2535</v>
      </c>
      <c r="D6174" t="s">
        <v>2536</v>
      </c>
      <c r="E6174" s="9">
        <v>45231</v>
      </c>
      <c r="F6174" s="9">
        <v>45260</v>
      </c>
      <c r="G6174">
        <v>14052904.872</v>
      </c>
      <c r="H6174">
        <v>2452862.5079999999</v>
      </c>
      <c r="I6174">
        <v>2093797.548</v>
      </c>
      <c r="J6174">
        <v>638836.40800000005</v>
      </c>
      <c r="K6174">
        <v>0</v>
      </c>
      <c r="L6174">
        <v>0</v>
      </c>
      <c r="M6174">
        <v>0</v>
      </c>
      <c r="T6174" s="9">
        <v>45108</v>
      </c>
      <c r="U6174" s="9">
        <v>45473</v>
      </c>
      <c r="V6174">
        <f>SUM(POTABLE_NONPOTABLE_API[[#This Row],[RESIDENTIAL_SINGLEFAMILY_GAL]:[OTHER_GAL]])</f>
        <v>19238401.335999999</v>
      </c>
      <c r="W6174">
        <f>SUM(POTABLE_NONPOTABLE_API[[#This Row],[NONPOTABLE_DEMAND_RESIDENTIAL_RECYCLED_WATER_GAL]:[NONPOTABLE_DEMAND_NONRESIDENTIAL_METERED_IRRIGATION_GAL]])</f>
        <v>0</v>
      </c>
      <c r="X6174" t="str">
        <f>IFERROR(INDEX(Crosswalk_API!$H$2:$H$527, MATCH(POTABLE_NONPOTABLE_API[[#This Row],[PWSID]], CW_PWSID_LIST, 0)), "")</f>
        <v>No</v>
      </c>
    </row>
    <row r="6175" spans="1:24" x14ac:dyDescent="0.25">
      <c r="A6175" t="s">
        <v>2533</v>
      </c>
      <c r="B6175" t="s">
        <v>2534</v>
      </c>
      <c r="C6175" t="s">
        <v>2535</v>
      </c>
      <c r="D6175" t="s">
        <v>2536</v>
      </c>
      <c r="E6175" s="9">
        <v>45261</v>
      </c>
      <c r="F6175" s="9">
        <v>45291</v>
      </c>
      <c r="G6175">
        <v>14052156.82</v>
      </c>
      <c r="H6175">
        <v>2452862.5079999999</v>
      </c>
      <c r="I6175">
        <v>2093049.496</v>
      </c>
      <c r="J6175">
        <v>638836.40800000005</v>
      </c>
      <c r="K6175">
        <v>0</v>
      </c>
      <c r="L6175">
        <v>0</v>
      </c>
      <c r="M6175">
        <v>0</v>
      </c>
      <c r="T6175" s="9">
        <v>45108</v>
      </c>
      <c r="U6175" s="9">
        <v>45473</v>
      </c>
      <c r="V6175">
        <f>SUM(POTABLE_NONPOTABLE_API[[#This Row],[RESIDENTIAL_SINGLEFAMILY_GAL]:[OTHER_GAL]])</f>
        <v>19236905.232000001</v>
      </c>
      <c r="W6175">
        <f>SUM(POTABLE_NONPOTABLE_API[[#This Row],[NONPOTABLE_DEMAND_RESIDENTIAL_RECYCLED_WATER_GAL]:[NONPOTABLE_DEMAND_NONRESIDENTIAL_METERED_IRRIGATION_GAL]])</f>
        <v>0</v>
      </c>
      <c r="X6175" t="str">
        <f>IFERROR(INDEX(Crosswalk_API!$H$2:$H$527, MATCH(POTABLE_NONPOTABLE_API[[#This Row],[PWSID]], CW_PWSID_LIST, 0)), "")</f>
        <v>No</v>
      </c>
    </row>
    <row r="6176" spans="1:24" x14ac:dyDescent="0.25">
      <c r="A6176" t="s">
        <v>2533</v>
      </c>
      <c r="B6176" t="s">
        <v>2534</v>
      </c>
      <c r="C6176" t="s">
        <v>2535</v>
      </c>
      <c r="D6176" t="s">
        <v>2536</v>
      </c>
      <c r="E6176" s="9">
        <v>45292</v>
      </c>
      <c r="F6176" s="9">
        <v>45322</v>
      </c>
      <c r="G6176">
        <v>12995159.344000001</v>
      </c>
      <c r="H6176">
        <v>2341402.7600000002</v>
      </c>
      <c r="I6176">
        <v>1872374.156</v>
      </c>
      <c r="J6176">
        <v>195241.57200000001</v>
      </c>
      <c r="K6176">
        <v>0</v>
      </c>
      <c r="L6176">
        <v>0</v>
      </c>
      <c r="M6176">
        <v>0</v>
      </c>
      <c r="T6176" s="9">
        <v>45108</v>
      </c>
      <c r="U6176" s="9">
        <v>45473</v>
      </c>
      <c r="V6176">
        <f>SUM(POTABLE_NONPOTABLE_API[[#This Row],[RESIDENTIAL_SINGLEFAMILY_GAL]:[OTHER_GAL]])</f>
        <v>17404177.832000002</v>
      </c>
      <c r="W6176">
        <f>SUM(POTABLE_NONPOTABLE_API[[#This Row],[NONPOTABLE_DEMAND_RESIDENTIAL_RECYCLED_WATER_GAL]:[NONPOTABLE_DEMAND_NONRESIDENTIAL_METERED_IRRIGATION_GAL]])</f>
        <v>0</v>
      </c>
      <c r="X6176" t="str">
        <f>IFERROR(INDEX(Crosswalk_API!$H$2:$H$527, MATCH(POTABLE_NONPOTABLE_API[[#This Row],[PWSID]], CW_PWSID_LIST, 0)), "")</f>
        <v>No</v>
      </c>
    </row>
    <row r="6177" spans="1:24" x14ac:dyDescent="0.25">
      <c r="A6177" t="s">
        <v>2533</v>
      </c>
      <c r="B6177" t="s">
        <v>2534</v>
      </c>
      <c r="C6177" t="s">
        <v>2535</v>
      </c>
      <c r="D6177" t="s">
        <v>2536</v>
      </c>
      <c r="E6177" s="9">
        <v>45323</v>
      </c>
      <c r="F6177" s="9">
        <v>45351</v>
      </c>
      <c r="G6177">
        <v>12995907.396</v>
      </c>
      <c r="H6177">
        <v>2341402.7600000002</v>
      </c>
      <c r="I6177">
        <v>1873122.2080000001</v>
      </c>
      <c r="J6177">
        <v>194493.52000000002</v>
      </c>
      <c r="K6177">
        <v>0</v>
      </c>
      <c r="L6177">
        <v>0</v>
      </c>
      <c r="M6177">
        <v>0</v>
      </c>
      <c r="T6177" s="9">
        <v>45108</v>
      </c>
      <c r="U6177" s="9">
        <v>45473</v>
      </c>
      <c r="V6177">
        <f>SUM(POTABLE_NONPOTABLE_API[[#This Row],[RESIDENTIAL_SINGLEFAMILY_GAL]:[OTHER_GAL]])</f>
        <v>17404925.884</v>
      </c>
      <c r="W6177">
        <f>SUM(POTABLE_NONPOTABLE_API[[#This Row],[NONPOTABLE_DEMAND_RESIDENTIAL_RECYCLED_WATER_GAL]:[NONPOTABLE_DEMAND_NONRESIDENTIAL_METERED_IRRIGATION_GAL]])</f>
        <v>0</v>
      </c>
      <c r="X6177" t="str">
        <f>IFERROR(INDEX(Crosswalk_API!$H$2:$H$527, MATCH(POTABLE_NONPOTABLE_API[[#This Row],[PWSID]], CW_PWSID_LIST, 0)), "")</f>
        <v>No</v>
      </c>
    </row>
    <row r="6178" spans="1:24" x14ac:dyDescent="0.25">
      <c r="A6178" t="s">
        <v>2533</v>
      </c>
      <c r="B6178" t="s">
        <v>2534</v>
      </c>
      <c r="C6178" t="s">
        <v>2535</v>
      </c>
      <c r="D6178" t="s">
        <v>2536</v>
      </c>
      <c r="E6178" s="9">
        <v>45352</v>
      </c>
      <c r="F6178" s="9">
        <v>45382</v>
      </c>
      <c r="G6178">
        <v>13780613.944</v>
      </c>
      <c r="H6178">
        <v>2329433.9279999998</v>
      </c>
      <c r="I6178">
        <v>2010763.7760000001</v>
      </c>
      <c r="J6178">
        <v>441350.68</v>
      </c>
      <c r="K6178">
        <v>0</v>
      </c>
      <c r="L6178">
        <v>0</v>
      </c>
      <c r="M6178">
        <v>0</v>
      </c>
      <c r="T6178" s="9">
        <v>45108</v>
      </c>
      <c r="U6178" s="9">
        <v>45473</v>
      </c>
      <c r="V6178">
        <f>SUM(POTABLE_NONPOTABLE_API[[#This Row],[RESIDENTIAL_SINGLEFAMILY_GAL]:[OTHER_GAL]])</f>
        <v>18562162.327999998</v>
      </c>
      <c r="W6178">
        <f>SUM(POTABLE_NONPOTABLE_API[[#This Row],[NONPOTABLE_DEMAND_RESIDENTIAL_RECYCLED_WATER_GAL]:[NONPOTABLE_DEMAND_NONRESIDENTIAL_METERED_IRRIGATION_GAL]])</f>
        <v>0</v>
      </c>
      <c r="X6178" t="str">
        <f>IFERROR(INDEX(Crosswalk_API!$H$2:$H$527, MATCH(POTABLE_NONPOTABLE_API[[#This Row],[PWSID]], CW_PWSID_LIST, 0)), "")</f>
        <v>No</v>
      </c>
    </row>
    <row r="6179" spans="1:24" x14ac:dyDescent="0.25">
      <c r="A6179" t="s">
        <v>2533</v>
      </c>
      <c r="B6179" t="s">
        <v>2534</v>
      </c>
      <c r="C6179" t="s">
        <v>2535</v>
      </c>
      <c r="D6179" t="s">
        <v>2536</v>
      </c>
      <c r="E6179" s="9">
        <v>45383</v>
      </c>
      <c r="F6179" s="9">
        <v>45412</v>
      </c>
      <c r="G6179">
        <v>13780613.944</v>
      </c>
      <c r="H6179">
        <v>2330181.98</v>
      </c>
      <c r="I6179">
        <v>2011511.828</v>
      </c>
      <c r="J6179">
        <v>441350.68</v>
      </c>
      <c r="K6179">
        <v>0</v>
      </c>
      <c r="L6179">
        <v>0</v>
      </c>
      <c r="M6179">
        <v>0</v>
      </c>
      <c r="T6179" s="9">
        <v>45108</v>
      </c>
      <c r="U6179" s="9">
        <v>45473</v>
      </c>
      <c r="V6179">
        <f>SUM(POTABLE_NONPOTABLE_API[[#This Row],[RESIDENTIAL_SINGLEFAMILY_GAL]:[OTHER_GAL]])</f>
        <v>18563658.432</v>
      </c>
      <c r="W6179">
        <f>SUM(POTABLE_NONPOTABLE_API[[#This Row],[NONPOTABLE_DEMAND_RESIDENTIAL_RECYCLED_WATER_GAL]:[NONPOTABLE_DEMAND_NONRESIDENTIAL_METERED_IRRIGATION_GAL]])</f>
        <v>0</v>
      </c>
      <c r="X6179" t="str">
        <f>IFERROR(INDEX(Crosswalk_API!$H$2:$H$527, MATCH(POTABLE_NONPOTABLE_API[[#This Row],[PWSID]], CW_PWSID_LIST, 0)), "")</f>
        <v>No</v>
      </c>
    </row>
    <row r="6180" spans="1:24" x14ac:dyDescent="0.25">
      <c r="A6180" t="s">
        <v>2533</v>
      </c>
      <c r="B6180" t="s">
        <v>2534</v>
      </c>
      <c r="C6180" t="s">
        <v>2535</v>
      </c>
      <c r="D6180" t="s">
        <v>2536</v>
      </c>
      <c r="E6180" s="9">
        <v>45413</v>
      </c>
      <c r="F6180" s="9">
        <v>45443</v>
      </c>
      <c r="G6180">
        <v>14414962.040000001</v>
      </c>
      <c r="H6180">
        <v>2484280.6920000003</v>
      </c>
      <c r="I6180">
        <v>2120727.42</v>
      </c>
      <c r="J6180">
        <v>2734878.1120000002</v>
      </c>
      <c r="K6180">
        <v>0</v>
      </c>
      <c r="L6180">
        <v>0</v>
      </c>
      <c r="M6180">
        <v>0</v>
      </c>
      <c r="T6180" s="9">
        <v>45108</v>
      </c>
      <c r="U6180" s="9">
        <v>45473</v>
      </c>
      <c r="V6180">
        <f>SUM(POTABLE_NONPOTABLE_API[[#This Row],[RESIDENTIAL_SINGLEFAMILY_GAL]:[OTHER_GAL]])</f>
        <v>21754848.264000002</v>
      </c>
      <c r="W6180">
        <f>SUM(POTABLE_NONPOTABLE_API[[#This Row],[NONPOTABLE_DEMAND_RESIDENTIAL_RECYCLED_WATER_GAL]:[NONPOTABLE_DEMAND_NONRESIDENTIAL_METERED_IRRIGATION_GAL]])</f>
        <v>0</v>
      </c>
      <c r="X6180" t="str">
        <f>IFERROR(INDEX(Crosswalk_API!$H$2:$H$527, MATCH(POTABLE_NONPOTABLE_API[[#This Row],[PWSID]], CW_PWSID_LIST, 0)), "")</f>
        <v>No</v>
      </c>
    </row>
    <row r="6181" spans="1:24" x14ac:dyDescent="0.25">
      <c r="A6181" t="s">
        <v>2533</v>
      </c>
      <c r="B6181" t="s">
        <v>2534</v>
      </c>
      <c r="C6181" t="s">
        <v>2535</v>
      </c>
      <c r="D6181" t="s">
        <v>2536</v>
      </c>
      <c r="E6181" s="9">
        <v>45444</v>
      </c>
      <c r="F6181" s="9">
        <v>45473</v>
      </c>
      <c r="G6181">
        <v>14414962.040000001</v>
      </c>
      <c r="H6181">
        <v>2483532.64</v>
      </c>
      <c r="I6181">
        <v>2119979.3680000002</v>
      </c>
      <c r="J6181">
        <v>2734878.1120000002</v>
      </c>
      <c r="K6181">
        <v>0</v>
      </c>
      <c r="L6181">
        <v>0</v>
      </c>
      <c r="M6181">
        <v>0</v>
      </c>
      <c r="T6181" s="9">
        <v>45108</v>
      </c>
      <c r="U6181" s="9">
        <v>45473</v>
      </c>
      <c r="V6181">
        <f>SUM(POTABLE_NONPOTABLE_API[[#This Row],[RESIDENTIAL_SINGLEFAMILY_GAL]:[OTHER_GAL]])</f>
        <v>21753352.16</v>
      </c>
      <c r="W6181">
        <f>SUM(POTABLE_NONPOTABLE_API[[#This Row],[NONPOTABLE_DEMAND_RESIDENTIAL_RECYCLED_WATER_GAL]:[NONPOTABLE_DEMAND_NONRESIDENTIAL_METERED_IRRIGATION_GAL]])</f>
        <v>0</v>
      </c>
      <c r="X6181" t="str">
        <f>IFERROR(INDEX(Crosswalk_API!$H$2:$H$527, MATCH(POTABLE_NONPOTABLE_API[[#This Row],[PWSID]], CW_PWSID_LIST, 0)), "")</f>
        <v>No</v>
      </c>
    </row>
    <row r="6182" spans="1:24" x14ac:dyDescent="0.25">
      <c r="A6182" t="s">
        <v>2537</v>
      </c>
      <c r="B6182" t="s">
        <v>2538</v>
      </c>
      <c r="C6182" t="s">
        <v>2539</v>
      </c>
      <c r="D6182" t="s">
        <v>2540</v>
      </c>
      <c r="E6182" s="9">
        <v>45108</v>
      </c>
      <c r="F6182" s="9">
        <v>45138</v>
      </c>
      <c r="G6182">
        <v>44104697.088800006</v>
      </c>
      <c r="H6182">
        <v>6534840.14212</v>
      </c>
      <c r="I6182">
        <v>8655193.5361199994</v>
      </c>
      <c r="J6182">
        <v>14234831.1184</v>
      </c>
      <c r="K6182">
        <v>0</v>
      </c>
      <c r="L6182">
        <v>952098.14404000004</v>
      </c>
      <c r="M6182">
        <v>0</v>
      </c>
      <c r="T6182" s="9">
        <v>45108</v>
      </c>
      <c r="U6182" s="9">
        <v>45473</v>
      </c>
      <c r="V6182">
        <f>SUM(POTABLE_NONPOTABLE_API[[#This Row],[RESIDENTIAL_SINGLEFAMILY_GAL]:[OTHER_GAL]])</f>
        <v>74481660.029479995</v>
      </c>
      <c r="W6182">
        <f>SUM(POTABLE_NONPOTABLE_API[[#This Row],[NONPOTABLE_DEMAND_RESIDENTIAL_RECYCLED_WATER_GAL]:[NONPOTABLE_DEMAND_NONRESIDENTIAL_METERED_IRRIGATION_GAL]])</f>
        <v>0</v>
      </c>
      <c r="X6182" t="str">
        <f>IFERROR(INDEX(Crosswalk_API!$H$2:$H$527, MATCH(POTABLE_NONPOTABLE_API[[#This Row],[PWSID]], CW_PWSID_LIST, 0)), "")</f>
        <v>No</v>
      </c>
    </row>
    <row r="6183" spans="1:24" x14ac:dyDescent="0.25">
      <c r="A6183" t="s">
        <v>2537</v>
      </c>
      <c r="B6183" t="s">
        <v>2538</v>
      </c>
      <c r="C6183" t="s">
        <v>2539</v>
      </c>
      <c r="D6183" t="s">
        <v>2540</v>
      </c>
      <c r="E6183" s="9">
        <v>45139</v>
      </c>
      <c r="F6183" s="9">
        <v>45169</v>
      </c>
      <c r="G6183">
        <v>41902626.494320005</v>
      </c>
      <c r="H6183">
        <v>6546734.1689199992</v>
      </c>
      <c r="I6183">
        <v>8582236.0245600007</v>
      </c>
      <c r="J6183">
        <v>14893169.242040001</v>
      </c>
      <c r="K6183">
        <v>0</v>
      </c>
      <c r="L6183">
        <v>471489.69507999998</v>
      </c>
      <c r="M6183">
        <v>0</v>
      </c>
      <c r="T6183" s="9">
        <v>45108</v>
      </c>
      <c r="U6183" s="9">
        <v>45473</v>
      </c>
      <c r="V6183">
        <f>SUM(POTABLE_NONPOTABLE_API[[#This Row],[RESIDENTIAL_SINGLEFAMILY_GAL]:[OTHER_GAL]])</f>
        <v>72396255.624919996</v>
      </c>
      <c r="W6183">
        <f>SUM(POTABLE_NONPOTABLE_API[[#This Row],[NONPOTABLE_DEMAND_RESIDENTIAL_RECYCLED_WATER_GAL]:[NONPOTABLE_DEMAND_NONRESIDENTIAL_METERED_IRRIGATION_GAL]])</f>
        <v>0</v>
      </c>
      <c r="X6183" t="str">
        <f>IFERROR(INDEX(Crosswalk_API!$H$2:$H$527, MATCH(POTABLE_NONPOTABLE_API[[#This Row],[PWSID]], CW_PWSID_LIST, 0)), "")</f>
        <v>No</v>
      </c>
    </row>
    <row r="6184" spans="1:24" x14ac:dyDescent="0.25">
      <c r="A6184" t="s">
        <v>2537</v>
      </c>
      <c r="B6184" t="s">
        <v>2538</v>
      </c>
      <c r="C6184" t="s">
        <v>2539</v>
      </c>
      <c r="D6184" t="s">
        <v>2540</v>
      </c>
      <c r="E6184" s="9">
        <v>45170</v>
      </c>
      <c r="F6184" s="9">
        <v>45199</v>
      </c>
      <c r="G6184">
        <v>35358705.000919998</v>
      </c>
      <c r="H6184">
        <v>6214367.1847999999</v>
      </c>
      <c r="I6184">
        <v>7784939.7614000011</v>
      </c>
      <c r="J6184">
        <v>12157767.49364</v>
      </c>
      <c r="K6184">
        <v>0</v>
      </c>
      <c r="L6184">
        <v>482014.78672000003</v>
      </c>
      <c r="M6184">
        <v>0</v>
      </c>
      <c r="T6184" s="9">
        <v>45108</v>
      </c>
      <c r="U6184" s="9">
        <v>45473</v>
      </c>
      <c r="V6184">
        <f>SUM(POTABLE_NONPOTABLE_API[[#This Row],[RESIDENTIAL_SINGLEFAMILY_GAL]:[OTHER_GAL]])</f>
        <v>61997794.227479994</v>
      </c>
      <c r="W6184">
        <f>SUM(POTABLE_NONPOTABLE_API[[#This Row],[NONPOTABLE_DEMAND_RESIDENTIAL_RECYCLED_WATER_GAL]:[NONPOTABLE_DEMAND_NONRESIDENTIAL_METERED_IRRIGATION_GAL]])</f>
        <v>0</v>
      </c>
      <c r="X6184" t="str">
        <f>IFERROR(INDEX(Crosswalk_API!$H$2:$H$527, MATCH(POTABLE_NONPOTABLE_API[[#This Row],[PWSID]], CW_PWSID_LIST, 0)), "")</f>
        <v>No</v>
      </c>
    </row>
    <row r="6185" spans="1:24" x14ac:dyDescent="0.25">
      <c r="A6185" t="s">
        <v>2537</v>
      </c>
      <c r="B6185" t="s">
        <v>2538</v>
      </c>
      <c r="C6185" t="s">
        <v>2539</v>
      </c>
      <c r="D6185" t="s">
        <v>2540</v>
      </c>
      <c r="E6185" s="9">
        <v>45200</v>
      </c>
      <c r="F6185" s="9">
        <v>45230</v>
      </c>
      <c r="G6185">
        <v>18088974.554880001</v>
      </c>
      <c r="H6185">
        <v>3249522.9269599998</v>
      </c>
      <c r="I6185">
        <v>4109057.1165200002</v>
      </c>
      <c r="J6185">
        <v>5823450.1706400001</v>
      </c>
      <c r="K6185">
        <v>0</v>
      </c>
      <c r="L6185">
        <v>253110.87472000002</v>
      </c>
      <c r="M6185">
        <v>0</v>
      </c>
      <c r="T6185" s="9">
        <v>45108</v>
      </c>
      <c r="U6185" s="9">
        <v>45473</v>
      </c>
      <c r="V6185">
        <f>SUM(POTABLE_NONPOTABLE_API[[#This Row],[RESIDENTIAL_SINGLEFAMILY_GAL]:[OTHER_GAL]])</f>
        <v>31524115.643719997</v>
      </c>
      <c r="W6185">
        <f>SUM(POTABLE_NONPOTABLE_API[[#This Row],[NONPOTABLE_DEMAND_RESIDENTIAL_RECYCLED_WATER_GAL]:[NONPOTABLE_DEMAND_NONRESIDENTIAL_METERED_IRRIGATION_GAL]])</f>
        <v>0</v>
      </c>
      <c r="X6185" t="str">
        <f>IFERROR(INDEX(Crosswalk_API!$H$2:$H$527, MATCH(POTABLE_NONPOTABLE_API[[#This Row],[PWSID]], CW_PWSID_LIST, 0)), "")</f>
        <v>No</v>
      </c>
    </row>
    <row r="6186" spans="1:24" x14ac:dyDescent="0.25">
      <c r="A6186" t="s">
        <v>2537</v>
      </c>
      <c r="B6186" t="s">
        <v>2538</v>
      </c>
      <c r="C6186" t="s">
        <v>2539</v>
      </c>
      <c r="D6186" t="s">
        <v>2540</v>
      </c>
      <c r="E6186" s="9">
        <v>45231</v>
      </c>
      <c r="F6186" s="9">
        <v>45260</v>
      </c>
      <c r="G6186">
        <v>27975558.929759998</v>
      </c>
      <c r="H6186">
        <v>5766837.59528</v>
      </c>
      <c r="I6186">
        <v>6981988.2251199996</v>
      </c>
      <c r="J6186">
        <v>7794245.5282800002</v>
      </c>
      <c r="K6186">
        <v>0</v>
      </c>
      <c r="L6186">
        <v>157307.85508000001</v>
      </c>
      <c r="M6186">
        <v>0</v>
      </c>
      <c r="T6186" s="9">
        <v>45108</v>
      </c>
      <c r="U6186" s="9">
        <v>45473</v>
      </c>
      <c r="V6186">
        <f>SUM(POTABLE_NONPOTABLE_API[[#This Row],[RESIDENTIAL_SINGLEFAMILY_GAL]:[OTHER_GAL]])</f>
        <v>48675938.13352</v>
      </c>
      <c r="W6186">
        <f>SUM(POTABLE_NONPOTABLE_API[[#This Row],[NONPOTABLE_DEMAND_RESIDENTIAL_RECYCLED_WATER_GAL]:[NONPOTABLE_DEMAND_NONRESIDENTIAL_METERED_IRRIGATION_GAL]])</f>
        <v>0</v>
      </c>
      <c r="X6186" t="str">
        <f>IFERROR(INDEX(Crosswalk_API!$H$2:$H$527, MATCH(POTABLE_NONPOTABLE_API[[#This Row],[PWSID]], CW_PWSID_LIST, 0)), "")</f>
        <v>No</v>
      </c>
    </row>
    <row r="6187" spans="1:24" x14ac:dyDescent="0.25">
      <c r="A6187" t="s">
        <v>2537</v>
      </c>
      <c r="B6187" t="s">
        <v>2538</v>
      </c>
      <c r="C6187" t="s">
        <v>2539</v>
      </c>
      <c r="D6187" t="s">
        <v>2540</v>
      </c>
      <c r="E6187" s="9">
        <v>45261</v>
      </c>
      <c r="F6187" s="9">
        <v>45291</v>
      </c>
      <c r="G6187">
        <v>22477877.924600001</v>
      </c>
      <c r="H6187">
        <v>5959012.1540799998</v>
      </c>
      <c r="I6187">
        <v>6671172.6191199999</v>
      </c>
      <c r="J6187">
        <v>4752583.8105600001</v>
      </c>
      <c r="K6187">
        <v>0</v>
      </c>
      <c r="L6187">
        <v>29787.430640000002</v>
      </c>
      <c r="M6187">
        <v>0</v>
      </c>
      <c r="T6187" s="9">
        <v>45108</v>
      </c>
      <c r="U6187" s="9">
        <v>45473</v>
      </c>
      <c r="V6187">
        <f>SUM(POTABLE_NONPOTABLE_API[[#This Row],[RESIDENTIAL_SINGLEFAMILY_GAL]:[OTHER_GAL]])</f>
        <v>39890433.939000003</v>
      </c>
      <c r="W6187">
        <f>SUM(POTABLE_NONPOTABLE_API[[#This Row],[NONPOTABLE_DEMAND_RESIDENTIAL_RECYCLED_WATER_GAL]:[NONPOTABLE_DEMAND_NONRESIDENTIAL_METERED_IRRIGATION_GAL]])</f>
        <v>0</v>
      </c>
      <c r="X6187" t="str">
        <f>IFERROR(INDEX(Crosswalk_API!$H$2:$H$527, MATCH(POTABLE_NONPOTABLE_API[[#This Row],[PWSID]], CW_PWSID_LIST, 0)), "")</f>
        <v>No</v>
      </c>
    </row>
    <row r="6188" spans="1:24" x14ac:dyDescent="0.25">
      <c r="A6188" t="s">
        <v>2537</v>
      </c>
      <c r="B6188" t="s">
        <v>2538</v>
      </c>
      <c r="C6188" t="s">
        <v>2539</v>
      </c>
      <c r="D6188" t="s">
        <v>2540</v>
      </c>
      <c r="E6188" s="9">
        <v>45292</v>
      </c>
      <c r="F6188" s="9">
        <v>45322</v>
      </c>
      <c r="G6188">
        <v>18142310.66248</v>
      </c>
      <c r="H6188">
        <v>5880893.0837199995</v>
      </c>
      <c r="I6188">
        <v>6413700.6012400007</v>
      </c>
      <c r="J6188">
        <v>2849494.6394400001</v>
      </c>
      <c r="K6188">
        <v>0</v>
      </c>
      <c r="L6188">
        <v>6979.3251600000003</v>
      </c>
      <c r="M6188">
        <v>0</v>
      </c>
      <c r="T6188" s="9">
        <v>45108</v>
      </c>
      <c r="U6188" s="9">
        <v>45473</v>
      </c>
      <c r="V6188">
        <f>SUM(POTABLE_NONPOTABLE_API[[#This Row],[RESIDENTIAL_SINGLEFAMILY_GAL]:[OTHER_GAL]])</f>
        <v>33293378.312040001</v>
      </c>
      <c r="W6188">
        <f>SUM(POTABLE_NONPOTABLE_API[[#This Row],[NONPOTABLE_DEMAND_RESIDENTIAL_RECYCLED_WATER_GAL]:[NONPOTABLE_DEMAND_NONRESIDENTIAL_METERED_IRRIGATION_GAL]])</f>
        <v>0</v>
      </c>
      <c r="X6188" t="str">
        <f>IFERROR(INDEX(Crosswalk_API!$H$2:$H$527, MATCH(POTABLE_NONPOTABLE_API[[#This Row],[PWSID]], CW_PWSID_LIST, 0)), "")</f>
        <v>No</v>
      </c>
    </row>
    <row r="6189" spans="1:24" x14ac:dyDescent="0.25">
      <c r="A6189" t="s">
        <v>2537</v>
      </c>
      <c r="B6189" t="s">
        <v>2538</v>
      </c>
      <c r="C6189" t="s">
        <v>2539</v>
      </c>
      <c r="D6189" t="s">
        <v>2540</v>
      </c>
      <c r="E6189" s="9">
        <v>45323</v>
      </c>
      <c r="F6189" s="9">
        <v>45351</v>
      </c>
      <c r="G6189">
        <v>15078529.047120001</v>
      </c>
      <c r="H6189">
        <v>5497725.8882800005</v>
      </c>
      <c r="I6189">
        <v>6165250.0904799998</v>
      </c>
      <c r="J6189">
        <v>2078193.18328</v>
      </c>
      <c r="K6189">
        <v>0</v>
      </c>
      <c r="L6189">
        <v>7697.4550799999997</v>
      </c>
      <c r="M6189">
        <v>0</v>
      </c>
      <c r="T6189" s="9">
        <v>45108</v>
      </c>
      <c r="U6189" s="9">
        <v>45473</v>
      </c>
      <c r="V6189">
        <f>SUM(POTABLE_NONPOTABLE_API[[#This Row],[RESIDENTIAL_SINGLEFAMILY_GAL]:[OTHER_GAL]])</f>
        <v>28827395.664239999</v>
      </c>
      <c r="W6189">
        <f>SUM(POTABLE_NONPOTABLE_API[[#This Row],[NONPOTABLE_DEMAND_RESIDENTIAL_RECYCLED_WATER_GAL]:[NONPOTABLE_DEMAND_NONRESIDENTIAL_METERED_IRRIGATION_GAL]])</f>
        <v>0</v>
      </c>
      <c r="X6189" t="str">
        <f>IFERROR(INDEX(Crosswalk_API!$H$2:$H$527, MATCH(POTABLE_NONPOTABLE_API[[#This Row],[PWSID]], CW_PWSID_LIST, 0)), "")</f>
        <v>No</v>
      </c>
    </row>
    <row r="6190" spans="1:24" x14ac:dyDescent="0.25">
      <c r="A6190" t="s">
        <v>2537</v>
      </c>
      <c r="B6190" t="s">
        <v>2538</v>
      </c>
      <c r="C6190" t="s">
        <v>2539</v>
      </c>
      <c r="D6190" t="s">
        <v>2540</v>
      </c>
      <c r="E6190" s="9">
        <v>45352</v>
      </c>
      <c r="F6190" s="9">
        <v>45382</v>
      </c>
      <c r="G6190">
        <v>17320373.566440001</v>
      </c>
      <c r="H6190">
        <v>5715693.2800400006</v>
      </c>
      <c r="I6190">
        <v>6833245.56544</v>
      </c>
      <c r="J6190">
        <v>3280185.5784400003</v>
      </c>
      <c r="K6190">
        <v>0</v>
      </c>
      <c r="L6190">
        <v>9305.7668799999992</v>
      </c>
      <c r="M6190">
        <v>0</v>
      </c>
      <c r="T6190" s="9">
        <v>45108</v>
      </c>
      <c r="U6190" s="9">
        <v>45473</v>
      </c>
      <c r="V6190">
        <f>SUM(POTABLE_NONPOTABLE_API[[#This Row],[RESIDENTIAL_SINGLEFAMILY_GAL]:[OTHER_GAL]])</f>
        <v>33158803.757239997</v>
      </c>
      <c r="W6190">
        <f>SUM(POTABLE_NONPOTABLE_API[[#This Row],[NONPOTABLE_DEMAND_RESIDENTIAL_RECYCLED_WATER_GAL]:[NONPOTABLE_DEMAND_NONRESIDENTIAL_METERED_IRRIGATION_GAL]])</f>
        <v>0</v>
      </c>
      <c r="X6190" t="str">
        <f>IFERROR(INDEX(Crosswalk_API!$H$2:$H$527, MATCH(POTABLE_NONPOTABLE_API[[#This Row],[PWSID]], CW_PWSID_LIST, 0)), "")</f>
        <v>No</v>
      </c>
    </row>
    <row r="6191" spans="1:24" x14ac:dyDescent="0.25">
      <c r="A6191" t="s">
        <v>2537</v>
      </c>
      <c r="B6191" t="s">
        <v>2538</v>
      </c>
      <c r="C6191" t="s">
        <v>2539</v>
      </c>
      <c r="D6191" t="s">
        <v>2540</v>
      </c>
      <c r="E6191" s="9">
        <v>45383</v>
      </c>
      <c r="F6191" s="9">
        <v>45412</v>
      </c>
      <c r="G6191">
        <v>23188639.532400001</v>
      </c>
      <c r="H6191">
        <v>5548316.6450400008</v>
      </c>
      <c r="I6191">
        <v>6786230.4972400004</v>
      </c>
      <c r="J6191">
        <v>5809910.4294400001</v>
      </c>
      <c r="K6191">
        <v>0</v>
      </c>
      <c r="L6191">
        <v>16973.299880000002</v>
      </c>
      <c r="M6191">
        <v>0</v>
      </c>
      <c r="T6191" s="9">
        <v>45108</v>
      </c>
      <c r="U6191" s="9">
        <v>45473</v>
      </c>
      <c r="V6191">
        <f>SUM(POTABLE_NONPOTABLE_API[[#This Row],[RESIDENTIAL_SINGLEFAMILY_GAL]:[OTHER_GAL]])</f>
        <v>41350070.403999999</v>
      </c>
      <c r="W6191">
        <f>SUM(POTABLE_NONPOTABLE_API[[#This Row],[NONPOTABLE_DEMAND_RESIDENTIAL_RECYCLED_WATER_GAL]:[NONPOTABLE_DEMAND_NONRESIDENTIAL_METERED_IRRIGATION_GAL]])</f>
        <v>0</v>
      </c>
      <c r="X6191" t="str">
        <f>IFERROR(INDEX(Crosswalk_API!$H$2:$H$527, MATCH(POTABLE_NONPOTABLE_API[[#This Row],[PWSID]], CW_PWSID_LIST, 0)), "")</f>
        <v>No</v>
      </c>
    </row>
    <row r="6192" spans="1:24" x14ac:dyDescent="0.25">
      <c r="A6192" t="s">
        <v>2537</v>
      </c>
      <c r="B6192" t="s">
        <v>2538</v>
      </c>
      <c r="C6192" t="s">
        <v>2539</v>
      </c>
      <c r="D6192" t="s">
        <v>2540</v>
      </c>
      <c r="E6192" s="9">
        <v>45413</v>
      </c>
      <c r="F6192" s="9">
        <v>45443</v>
      </c>
      <c r="G6192">
        <v>33772198.916720003</v>
      </c>
      <c r="H6192">
        <v>6114786.5025599999</v>
      </c>
      <c r="I6192">
        <v>7418199.7878800007</v>
      </c>
      <c r="J6192">
        <v>9174042.4033199996</v>
      </c>
      <c r="K6192">
        <v>0</v>
      </c>
      <c r="L6192">
        <v>58041.354680000004</v>
      </c>
      <c r="M6192">
        <v>0</v>
      </c>
      <c r="T6192" s="9">
        <v>45108</v>
      </c>
      <c r="U6192" s="9">
        <v>45473</v>
      </c>
      <c r="V6192">
        <f>SUM(POTABLE_NONPOTABLE_API[[#This Row],[RESIDENTIAL_SINGLEFAMILY_GAL]:[OTHER_GAL]])</f>
        <v>56537268.965160005</v>
      </c>
      <c r="W6192">
        <f>SUM(POTABLE_NONPOTABLE_API[[#This Row],[NONPOTABLE_DEMAND_RESIDENTIAL_RECYCLED_WATER_GAL]:[NONPOTABLE_DEMAND_NONRESIDENTIAL_METERED_IRRIGATION_GAL]])</f>
        <v>0</v>
      </c>
      <c r="X6192" t="str">
        <f>IFERROR(INDEX(Crosswalk_API!$H$2:$H$527, MATCH(POTABLE_NONPOTABLE_API[[#This Row],[PWSID]], CW_PWSID_LIST, 0)), "")</f>
        <v>No</v>
      </c>
    </row>
    <row r="6193" spans="1:24" x14ac:dyDescent="0.25">
      <c r="A6193" t="s">
        <v>2537</v>
      </c>
      <c r="B6193" t="s">
        <v>2538</v>
      </c>
      <c r="C6193" t="s">
        <v>2539</v>
      </c>
      <c r="D6193" t="s">
        <v>2540</v>
      </c>
      <c r="E6193" s="9">
        <v>45444</v>
      </c>
      <c r="F6193" s="9">
        <v>45473</v>
      </c>
      <c r="G6193">
        <v>39916645.681079999</v>
      </c>
      <c r="H6193">
        <v>6371675.039880001</v>
      </c>
      <c r="I6193">
        <v>7747716.6938800002</v>
      </c>
      <c r="J6193">
        <v>11720740.554200001</v>
      </c>
      <c r="K6193">
        <v>0</v>
      </c>
      <c r="L6193">
        <v>17481.97524</v>
      </c>
      <c r="M6193">
        <v>0</v>
      </c>
      <c r="T6193" s="9">
        <v>45108</v>
      </c>
      <c r="U6193" s="9">
        <v>45473</v>
      </c>
      <c r="V6193">
        <f>SUM(POTABLE_NONPOTABLE_API[[#This Row],[RESIDENTIAL_SINGLEFAMILY_GAL]:[OTHER_GAL]])</f>
        <v>65774259.944279999</v>
      </c>
      <c r="W6193">
        <f>SUM(POTABLE_NONPOTABLE_API[[#This Row],[NONPOTABLE_DEMAND_RESIDENTIAL_RECYCLED_WATER_GAL]:[NONPOTABLE_DEMAND_NONRESIDENTIAL_METERED_IRRIGATION_GAL]])</f>
        <v>0</v>
      </c>
      <c r="X6193" t="str">
        <f>IFERROR(INDEX(Crosswalk_API!$H$2:$H$527, MATCH(POTABLE_NONPOTABLE_API[[#This Row],[PWSID]], CW_PWSID_LIST, 0)), "")</f>
        <v>No</v>
      </c>
    </row>
    <row r="6194" spans="1:24" x14ac:dyDescent="0.25">
      <c r="A6194" t="s">
        <v>2537</v>
      </c>
      <c r="B6194" t="s">
        <v>2538</v>
      </c>
      <c r="C6194" t="s">
        <v>2541</v>
      </c>
      <c r="D6194" t="s">
        <v>2542</v>
      </c>
      <c r="E6194" s="9">
        <v>45108</v>
      </c>
      <c r="F6194" s="9">
        <v>45138</v>
      </c>
      <c r="G6194">
        <v>499353891.50852001</v>
      </c>
      <c r="H6194">
        <v>10840575.09048</v>
      </c>
      <c r="I6194">
        <v>36207377.475440003</v>
      </c>
      <c r="J6194">
        <v>85977775.529119998</v>
      </c>
      <c r="K6194">
        <v>3221657.9899599999</v>
      </c>
      <c r="L6194">
        <v>6475646.7873600004</v>
      </c>
      <c r="M6194">
        <v>12882098.76472</v>
      </c>
      <c r="N6194">
        <v>0</v>
      </c>
      <c r="O6194">
        <v>0</v>
      </c>
      <c r="P6194">
        <v>2924015.57968</v>
      </c>
      <c r="Q6194">
        <v>36524686.172800004</v>
      </c>
      <c r="R6194">
        <v>0</v>
      </c>
      <c r="S6194">
        <v>134424510.52984002</v>
      </c>
      <c r="T6194" s="9">
        <v>45108</v>
      </c>
      <c r="U6194" s="9">
        <v>45473</v>
      </c>
      <c r="V6194">
        <f>SUM(POTABLE_NONPOTABLE_API[[#This Row],[RESIDENTIAL_SINGLEFAMILY_GAL]:[OTHER_GAL]])</f>
        <v>642076924.38087988</v>
      </c>
      <c r="W6194">
        <f>SUM(POTABLE_NONPOTABLE_API[[#This Row],[NONPOTABLE_DEMAND_RESIDENTIAL_RECYCLED_WATER_GAL]:[NONPOTABLE_DEMAND_NONRESIDENTIAL_METERED_IRRIGATION_GAL]])</f>
        <v>173873212.28232002</v>
      </c>
      <c r="X6194" t="str">
        <f>IFERROR(INDEX(Crosswalk_API!$H$2:$H$527, MATCH(POTABLE_NONPOTABLE_API[[#This Row],[PWSID]], CW_PWSID_LIST, 0)), "")</f>
        <v>No</v>
      </c>
    </row>
    <row r="6195" spans="1:24" x14ac:dyDescent="0.25">
      <c r="A6195" t="s">
        <v>2537</v>
      </c>
      <c r="B6195" t="s">
        <v>2538</v>
      </c>
      <c r="C6195" t="s">
        <v>2541</v>
      </c>
      <c r="D6195" t="s">
        <v>2542</v>
      </c>
      <c r="E6195" s="9">
        <v>45139</v>
      </c>
      <c r="F6195" s="9">
        <v>45169</v>
      </c>
      <c r="G6195">
        <v>451093413.97528005</v>
      </c>
      <c r="H6195">
        <v>10093577.843800001</v>
      </c>
      <c r="I6195">
        <v>35630442.370439999</v>
      </c>
      <c r="J6195">
        <v>76314275.22168</v>
      </c>
      <c r="K6195">
        <v>3300592.4369999999</v>
      </c>
      <c r="L6195">
        <v>5879613.9147999994</v>
      </c>
      <c r="M6195">
        <v>10661020.168919999</v>
      </c>
      <c r="N6195">
        <v>0</v>
      </c>
      <c r="O6195">
        <v>0</v>
      </c>
      <c r="P6195">
        <v>2302130.0300000003</v>
      </c>
      <c r="Q6195">
        <v>21792946.552360002</v>
      </c>
      <c r="R6195">
        <v>0</v>
      </c>
      <c r="S6195">
        <v>113248736.79956</v>
      </c>
      <c r="T6195" s="9">
        <v>45108</v>
      </c>
      <c r="U6195" s="9">
        <v>45473</v>
      </c>
      <c r="V6195">
        <f>SUM(POTABLE_NONPOTABLE_API[[#This Row],[RESIDENTIAL_SINGLEFAMILY_GAL]:[OTHER_GAL]])</f>
        <v>582311915.76300013</v>
      </c>
      <c r="W6195">
        <f>SUM(POTABLE_NONPOTABLE_API[[#This Row],[NONPOTABLE_DEMAND_RESIDENTIAL_RECYCLED_WATER_GAL]:[NONPOTABLE_DEMAND_NONRESIDENTIAL_METERED_IRRIGATION_GAL]])</f>
        <v>137343813.38192001</v>
      </c>
      <c r="X6195" t="str">
        <f>IFERROR(INDEX(Crosswalk_API!$H$2:$H$527, MATCH(POTABLE_NONPOTABLE_API[[#This Row],[PWSID]], CW_PWSID_LIST, 0)), "")</f>
        <v>No</v>
      </c>
    </row>
    <row r="6196" spans="1:24" x14ac:dyDescent="0.25">
      <c r="A6196" t="s">
        <v>2537</v>
      </c>
      <c r="B6196" t="s">
        <v>2538</v>
      </c>
      <c r="C6196" t="s">
        <v>2541</v>
      </c>
      <c r="D6196" t="s">
        <v>2542</v>
      </c>
      <c r="E6196" s="9">
        <v>45170</v>
      </c>
      <c r="F6196" s="9">
        <v>45199</v>
      </c>
      <c r="G6196">
        <v>398936348.53508002</v>
      </c>
      <c r="H6196">
        <v>9550477.1307599992</v>
      </c>
      <c r="I6196">
        <v>34745145.270000003</v>
      </c>
      <c r="J6196">
        <v>62891589.198640004</v>
      </c>
      <c r="K6196">
        <v>3217349.2104400001</v>
      </c>
      <c r="L6196">
        <v>3095222.2409200002</v>
      </c>
      <c r="M6196">
        <v>8736641.4378800001</v>
      </c>
      <c r="N6196">
        <v>0</v>
      </c>
      <c r="O6196">
        <v>0</v>
      </c>
      <c r="P6196">
        <v>2110082.64004</v>
      </c>
      <c r="Q6196">
        <v>57968973.168480009</v>
      </c>
      <c r="R6196">
        <v>0</v>
      </c>
      <c r="S6196">
        <v>51525515.058679998</v>
      </c>
      <c r="T6196" s="9">
        <v>45108</v>
      </c>
      <c r="U6196" s="9">
        <v>45473</v>
      </c>
      <c r="V6196">
        <f>SUM(POTABLE_NONPOTABLE_API[[#This Row],[RESIDENTIAL_SINGLEFAMILY_GAL]:[OTHER_GAL]])</f>
        <v>512436131.58583999</v>
      </c>
      <c r="W6196">
        <f>SUM(POTABLE_NONPOTABLE_API[[#This Row],[NONPOTABLE_DEMAND_RESIDENTIAL_RECYCLED_WATER_GAL]:[NONPOTABLE_DEMAND_NONRESIDENTIAL_METERED_IRRIGATION_GAL]])</f>
        <v>111604570.86720002</v>
      </c>
      <c r="X6196" t="str">
        <f>IFERROR(INDEX(Crosswalk_API!$H$2:$H$527, MATCH(POTABLE_NONPOTABLE_API[[#This Row],[PWSID]], CW_PWSID_LIST, 0)), "")</f>
        <v>No</v>
      </c>
    </row>
    <row r="6197" spans="1:24" x14ac:dyDescent="0.25">
      <c r="A6197" t="s">
        <v>2537</v>
      </c>
      <c r="B6197" t="s">
        <v>2538</v>
      </c>
      <c r="C6197" t="s">
        <v>2541</v>
      </c>
      <c r="D6197" t="s">
        <v>2542</v>
      </c>
      <c r="E6197" s="9">
        <v>45200</v>
      </c>
      <c r="F6197" s="9">
        <v>45230</v>
      </c>
      <c r="G6197">
        <v>328961327.77960002</v>
      </c>
      <c r="H6197">
        <v>6981359.8614400001</v>
      </c>
      <c r="I6197">
        <v>33086399.804160003</v>
      </c>
      <c r="J6197">
        <v>50164052.938160002</v>
      </c>
      <c r="K6197">
        <v>3168247.0771599999</v>
      </c>
      <c r="L6197">
        <v>2446676.1179599999</v>
      </c>
      <c r="M6197">
        <v>9693788.9329199996</v>
      </c>
      <c r="N6197">
        <v>0</v>
      </c>
      <c r="O6197">
        <v>0</v>
      </c>
      <c r="P6197">
        <v>1678591.2853999999</v>
      </c>
      <c r="Q6197">
        <v>42399789.334040001</v>
      </c>
      <c r="R6197">
        <v>0</v>
      </c>
      <c r="S6197">
        <v>71876366.965440005</v>
      </c>
      <c r="T6197" s="9">
        <v>45108</v>
      </c>
      <c r="U6197" s="9">
        <v>45473</v>
      </c>
      <c r="V6197">
        <f>SUM(POTABLE_NONPOTABLE_API[[#This Row],[RESIDENTIAL_SINGLEFAMILY_GAL]:[OTHER_GAL]])</f>
        <v>424808063.57848001</v>
      </c>
      <c r="W6197">
        <f>SUM(POTABLE_NONPOTABLE_API[[#This Row],[NONPOTABLE_DEMAND_RESIDENTIAL_RECYCLED_WATER_GAL]:[NONPOTABLE_DEMAND_NONRESIDENTIAL_METERED_IRRIGATION_GAL]])</f>
        <v>115954747.58488001</v>
      </c>
      <c r="X6197" t="str">
        <f>IFERROR(INDEX(Crosswalk_API!$H$2:$H$527, MATCH(POTABLE_NONPOTABLE_API[[#This Row],[PWSID]], CW_PWSID_LIST, 0)), "")</f>
        <v>No</v>
      </c>
    </row>
    <row r="6198" spans="1:24" x14ac:dyDescent="0.25">
      <c r="A6198" t="s">
        <v>2537</v>
      </c>
      <c r="B6198" t="s">
        <v>2538</v>
      </c>
      <c r="C6198" t="s">
        <v>2541</v>
      </c>
      <c r="D6198" t="s">
        <v>2542</v>
      </c>
      <c r="E6198" s="9">
        <v>45231</v>
      </c>
      <c r="F6198" s="9">
        <v>45260</v>
      </c>
      <c r="G6198">
        <v>317714620.29728001</v>
      </c>
      <c r="H6198">
        <v>8441101.0537200011</v>
      </c>
      <c r="I6198">
        <v>30536485.029679999</v>
      </c>
      <c r="J6198">
        <v>49920554.531640008</v>
      </c>
      <c r="K6198">
        <v>10434973.81556</v>
      </c>
      <c r="L6198">
        <v>3060310.6540800002</v>
      </c>
      <c r="M6198">
        <v>10344085.49756</v>
      </c>
      <c r="N6198">
        <v>0</v>
      </c>
      <c r="O6198">
        <v>0</v>
      </c>
      <c r="P6198">
        <v>1293052.7651199999</v>
      </c>
      <c r="Q6198">
        <v>33875516.866752006</v>
      </c>
      <c r="R6198">
        <v>0</v>
      </c>
      <c r="S6198">
        <v>33322936.838768002</v>
      </c>
      <c r="T6198" s="9">
        <v>45108</v>
      </c>
      <c r="U6198" s="9">
        <v>45473</v>
      </c>
      <c r="V6198">
        <f>SUM(POTABLE_NONPOTABLE_API[[#This Row],[RESIDENTIAL_SINGLEFAMILY_GAL]:[OTHER_GAL]])</f>
        <v>420108045.38195997</v>
      </c>
      <c r="W6198">
        <f>SUM(POTABLE_NONPOTABLE_API[[#This Row],[NONPOTABLE_DEMAND_RESIDENTIAL_RECYCLED_WATER_GAL]:[NONPOTABLE_DEMAND_NONRESIDENTIAL_METERED_IRRIGATION_GAL]])</f>
        <v>68491506.470640004</v>
      </c>
      <c r="X6198" t="str">
        <f>IFERROR(INDEX(Crosswalk_API!$H$2:$H$527, MATCH(POTABLE_NONPOTABLE_API[[#This Row],[PWSID]], CW_PWSID_LIST, 0)), "")</f>
        <v>No</v>
      </c>
    </row>
    <row r="6199" spans="1:24" x14ac:dyDescent="0.25">
      <c r="A6199" t="s">
        <v>2537</v>
      </c>
      <c r="B6199" t="s">
        <v>2538</v>
      </c>
      <c r="C6199" t="s">
        <v>2541</v>
      </c>
      <c r="D6199" t="s">
        <v>2542</v>
      </c>
      <c r="E6199" s="9">
        <v>45261</v>
      </c>
      <c r="F6199" s="9">
        <v>45291</v>
      </c>
      <c r="G6199">
        <v>254901374.5846</v>
      </c>
      <c r="H6199">
        <v>7704262.3532000007</v>
      </c>
      <c r="I6199">
        <v>28576686.03644</v>
      </c>
      <c r="J6199">
        <v>35649951.566600002</v>
      </c>
      <c r="K6199">
        <v>11413941.987439999</v>
      </c>
      <c r="L6199">
        <v>1904749.8465600002</v>
      </c>
      <c r="M6199">
        <v>6357686.4674800001</v>
      </c>
      <c r="N6199">
        <v>0</v>
      </c>
      <c r="O6199">
        <v>0</v>
      </c>
      <c r="P6199">
        <v>924367.85640000005</v>
      </c>
      <c r="Q6199">
        <v>31754223.919440001</v>
      </c>
      <c r="R6199">
        <v>0</v>
      </c>
      <c r="S6199">
        <v>9972266.2509599999</v>
      </c>
      <c r="T6199" s="9">
        <v>45108</v>
      </c>
      <c r="U6199" s="9">
        <v>45473</v>
      </c>
      <c r="V6199">
        <f>SUM(POTABLE_NONPOTABLE_API[[#This Row],[RESIDENTIAL_SINGLEFAMILY_GAL]:[OTHER_GAL]])</f>
        <v>340150966.37484002</v>
      </c>
      <c r="W6199">
        <f>SUM(POTABLE_NONPOTABLE_API[[#This Row],[NONPOTABLE_DEMAND_RESIDENTIAL_RECYCLED_WATER_GAL]:[NONPOTABLE_DEMAND_NONRESIDENTIAL_METERED_IRRIGATION_GAL]])</f>
        <v>42650858.026800007</v>
      </c>
      <c r="X6199" t="str">
        <f>IFERROR(INDEX(Crosswalk_API!$H$2:$H$527, MATCH(POTABLE_NONPOTABLE_API[[#This Row],[PWSID]], CW_PWSID_LIST, 0)), "")</f>
        <v>No</v>
      </c>
    </row>
    <row r="6200" spans="1:24" x14ac:dyDescent="0.25">
      <c r="A6200" t="s">
        <v>2537</v>
      </c>
      <c r="B6200" t="s">
        <v>2538</v>
      </c>
      <c r="C6200" t="s">
        <v>2541</v>
      </c>
      <c r="D6200" t="s">
        <v>2542</v>
      </c>
      <c r="E6200" s="9">
        <v>45292</v>
      </c>
      <c r="F6200" s="9">
        <v>45322</v>
      </c>
      <c r="G6200">
        <v>203380961.24056002</v>
      </c>
      <c r="H6200">
        <v>7538972.7832800001</v>
      </c>
      <c r="I6200">
        <v>26139801.919160001</v>
      </c>
      <c r="J6200">
        <v>16380775.37132</v>
      </c>
      <c r="K6200">
        <v>14226692.31264</v>
      </c>
      <c r="L6200">
        <v>1854735.08984</v>
      </c>
      <c r="M6200">
        <v>2820335.5724800001</v>
      </c>
      <c r="N6200">
        <v>0</v>
      </c>
      <c r="O6200">
        <v>0</v>
      </c>
      <c r="P6200">
        <v>626269.1344000001</v>
      </c>
      <c r="Q6200">
        <v>21786431.019440003</v>
      </c>
      <c r="R6200">
        <v>0</v>
      </c>
      <c r="S6200">
        <v>2808980.1431200001</v>
      </c>
      <c r="T6200" s="9">
        <v>45108</v>
      </c>
      <c r="U6200" s="9">
        <v>45473</v>
      </c>
      <c r="V6200">
        <f>SUM(POTABLE_NONPOTABLE_API[[#This Row],[RESIDENTIAL_SINGLEFAMILY_GAL]:[OTHER_GAL]])</f>
        <v>269521938.71680003</v>
      </c>
      <c r="W6200">
        <f>SUM(POTABLE_NONPOTABLE_API[[#This Row],[NONPOTABLE_DEMAND_RESIDENTIAL_RECYCLED_WATER_GAL]:[NONPOTABLE_DEMAND_NONRESIDENTIAL_METERED_IRRIGATION_GAL]])</f>
        <v>25221680.296960004</v>
      </c>
      <c r="X6200" t="str">
        <f>IFERROR(INDEX(Crosswalk_API!$H$2:$H$527, MATCH(POTABLE_NONPOTABLE_API[[#This Row],[PWSID]], CW_PWSID_LIST, 0)), "")</f>
        <v>No</v>
      </c>
    </row>
    <row r="6201" spans="1:24" x14ac:dyDescent="0.25">
      <c r="A6201" t="s">
        <v>2537</v>
      </c>
      <c r="B6201" t="s">
        <v>2538</v>
      </c>
      <c r="C6201" t="s">
        <v>2541</v>
      </c>
      <c r="D6201" t="s">
        <v>2542</v>
      </c>
      <c r="E6201" s="9">
        <v>45323</v>
      </c>
      <c r="F6201" s="9">
        <v>45351</v>
      </c>
      <c r="G6201">
        <v>159570570.25012001</v>
      </c>
      <c r="H6201">
        <v>6310514.3083600001</v>
      </c>
      <c r="I6201">
        <v>24614815.631440002</v>
      </c>
      <c r="J6201">
        <v>10284181.4934</v>
      </c>
      <c r="K6201">
        <v>11747191.67292</v>
      </c>
      <c r="L6201">
        <v>1172294.7307600002</v>
      </c>
      <c r="M6201">
        <v>1640380.7892400001</v>
      </c>
      <c r="N6201">
        <v>0</v>
      </c>
      <c r="O6201">
        <v>0</v>
      </c>
      <c r="P6201">
        <v>386481.06579999998</v>
      </c>
      <c r="Q6201">
        <v>39327008.653119996</v>
      </c>
      <c r="R6201">
        <v>0</v>
      </c>
      <c r="S6201">
        <v>25966081.803199999</v>
      </c>
      <c r="T6201" s="9">
        <v>45108</v>
      </c>
      <c r="U6201" s="9">
        <v>45473</v>
      </c>
      <c r="V6201">
        <f>SUM(POTABLE_NONPOTABLE_API[[#This Row],[RESIDENTIAL_SINGLEFAMILY_GAL]:[OTHER_GAL]])</f>
        <v>213699568.08700004</v>
      </c>
      <c r="W6201">
        <f>SUM(POTABLE_NONPOTABLE_API[[#This Row],[NONPOTABLE_DEMAND_RESIDENTIAL_RECYCLED_WATER_GAL]:[NONPOTABLE_DEMAND_NONRESIDENTIAL_METERED_IRRIGATION_GAL]])</f>
        <v>65679571.522119991</v>
      </c>
      <c r="X6201" t="str">
        <f>IFERROR(INDEX(Crosswalk_API!$H$2:$H$527, MATCH(POTABLE_NONPOTABLE_API[[#This Row],[PWSID]], CW_PWSID_LIST, 0)), "")</f>
        <v>No</v>
      </c>
    </row>
    <row r="6202" spans="1:24" x14ac:dyDescent="0.25">
      <c r="A6202" t="s">
        <v>2537</v>
      </c>
      <c r="B6202" t="s">
        <v>2538</v>
      </c>
      <c r="C6202" t="s">
        <v>2541</v>
      </c>
      <c r="D6202" t="s">
        <v>2542</v>
      </c>
      <c r="E6202" s="9">
        <v>45352</v>
      </c>
      <c r="F6202" s="9">
        <v>45382</v>
      </c>
      <c r="G6202">
        <v>185017466.56272</v>
      </c>
      <c r="H6202">
        <v>7573974.1363600008</v>
      </c>
      <c r="I6202">
        <v>26522692.335360002</v>
      </c>
      <c r="J6202">
        <v>17212332.416080002</v>
      </c>
      <c r="K6202">
        <v>11748081.854800001</v>
      </c>
      <c r="L6202">
        <v>1151035.09292</v>
      </c>
      <c r="M6202">
        <v>2433577.72744</v>
      </c>
      <c r="N6202">
        <v>0</v>
      </c>
      <c r="O6202">
        <v>0</v>
      </c>
      <c r="P6202">
        <v>961067.28752000001</v>
      </c>
      <c r="Q6202">
        <v>44279950.71136</v>
      </c>
      <c r="R6202">
        <v>0</v>
      </c>
      <c r="S6202">
        <v>0</v>
      </c>
      <c r="T6202" s="9">
        <v>45108</v>
      </c>
      <c r="U6202" s="9">
        <v>45473</v>
      </c>
      <c r="V6202">
        <f>SUM(POTABLE_NONPOTABLE_API[[#This Row],[RESIDENTIAL_SINGLEFAMILY_GAL]:[OTHER_GAL]])</f>
        <v>249225582.39823997</v>
      </c>
      <c r="W6202">
        <f>SUM(POTABLE_NONPOTABLE_API[[#This Row],[NONPOTABLE_DEMAND_RESIDENTIAL_RECYCLED_WATER_GAL]:[NONPOTABLE_DEMAND_NONRESIDENTIAL_METERED_IRRIGATION_GAL]])</f>
        <v>45241017.998879999</v>
      </c>
      <c r="X6202" t="str">
        <f>IFERROR(INDEX(Crosswalk_API!$H$2:$H$527, MATCH(POTABLE_NONPOTABLE_API[[#This Row],[PWSID]], CW_PWSID_LIST, 0)), "")</f>
        <v>No</v>
      </c>
    </row>
    <row r="6203" spans="1:24" x14ac:dyDescent="0.25">
      <c r="A6203" t="s">
        <v>2537</v>
      </c>
      <c r="B6203" t="s">
        <v>2538</v>
      </c>
      <c r="C6203" t="s">
        <v>2541</v>
      </c>
      <c r="D6203" t="s">
        <v>2542</v>
      </c>
      <c r="E6203" s="9">
        <v>45383</v>
      </c>
      <c r="F6203" s="9">
        <v>45412</v>
      </c>
      <c r="G6203">
        <v>252957920.52756003</v>
      </c>
      <c r="H6203">
        <v>8313386.13576</v>
      </c>
      <c r="I6203">
        <v>27437500.087200001</v>
      </c>
      <c r="J6203">
        <v>27552221.34192</v>
      </c>
      <c r="K6203">
        <v>11782080.818200001</v>
      </c>
      <c r="L6203">
        <v>2359056.7872000001</v>
      </c>
      <c r="M6203">
        <v>5233753.2985200007</v>
      </c>
      <c r="N6203">
        <v>0</v>
      </c>
      <c r="O6203">
        <v>0</v>
      </c>
      <c r="P6203">
        <v>754133.66275999998</v>
      </c>
      <c r="Q6203">
        <v>43233972.041320004</v>
      </c>
      <c r="R6203">
        <v>0</v>
      </c>
      <c r="S6203">
        <v>27021889.876520004</v>
      </c>
      <c r="T6203" s="9">
        <v>45108</v>
      </c>
      <c r="U6203" s="9">
        <v>45473</v>
      </c>
      <c r="V6203">
        <f>SUM(POTABLE_NONPOTABLE_API[[#This Row],[RESIDENTIAL_SINGLEFAMILY_GAL]:[OTHER_GAL]])</f>
        <v>330402165.69784003</v>
      </c>
      <c r="W6203">
        <f>SUM(POTABLE_NONPOTABLE_API[[#This Row],[NONPOTABLE_DEMAND_RESIDENTIAL_RECYCLED_WATER_GAL]:[NONPOTABLE_DEMAND_NONRESIDENTIAL_METERED_IRRIGATION_GAL]])</f>
        <v>71009995.580600008</v>
      </c>
      <c r="X6203" t="str">
        <f>IFERROR(INDEX(Crosswalk_API!$H$2:$H$527, MATCH(POTABLE_NONPOTABLE_API[[#This Row],[PWSID]], CW_PWSID_LIST, 0)), "")</f>
        <v>No</v>
      </c>
    </row>
    <row r="6204" spans="1:24" x14ac:dyDescent="0.25">
      <c r="A6204" t="s">
        <v>2537</v>
      </c>
      <c r="B6204" t="s">
        <v>2538</v>
      </c>
      <c r="C6204" t="s">
        <v>2541</v>
      </c>
      <c r="D6204" t="s">
        <v>2542</v>
      </c>
      <c r="E6204" s="9">
        <v>45413</v>
      </c>
      <c r="F6204" s="9">
        <v>45443</v>
      </c>
      <c r="G6204">
        <v>363205936.49536002</v>
      </c>
      <c r="H6204">
        <v>9976253.3681199998</v>
      </c>
      <c r="I6204">
        <v>30489417.59784</v>
      </c>
      <c r="J6204">
        <v>51744724.216760002</v>
      </c>
      <c r="K6204">
        <v>11772169.1292</v>
      </c>
      <c r="L6204">
        <v>3706395.6859599999</v>
      </c>
      <c r="M6204">
        <v>8395484.8427600004</v>
      </c>
      <c r="N6204">
        <v>0</v>
      </c>
      <c r="O6204">
        <v>0</v>
      </c>
      <c r="P6204">
        <v>1048671.6572399999</v>
      </c>
      <c r="Q6204">
        <v>46222028.35272</v>
      </c>
      <c r="R6204">
        <v>0</v>
      </c>
      <c r="S6204">
        <v>66418542.170840003</v>
      </c>
      <c r="T6204" s="9">
        <v>45108</v>
      </c>
      <c r="U6204" s="9">
        <v>45473</v>
      </c>
      <c r="V6204">
        <f>SUM(POTABLE_NONPOTABLE_API[[#This Row],[RESIDENTIAL_SINGLEFAMILY_GAL]:[OTHER_GAL]])</f>
        <v>470894896.49324</v>
      </c>
      <c r="W6204">
        <f>SUM(POTABLE_NONPOTABLE_API[[#This Row],[NONPOTABLE_DEMAND_RESIDENTIAL_RECYCLED_WATER_GAL]:[NONPOTABLE_DEMAND_NONRESIDENTIAL_METERED_IRRIGATION_GAL]])</f>
        <v>113689242.18080001</v>
      </c>
      <c r="X6204" t="str">
        <f>IFERROR(INDEX(Crosswalk_API!$H$2:$H$527, MATCH(POTABLE_NONPOTABLE_API[[#This Row],[PWSID]], CW_PWSID_LIST, 0)), "")</f>
        <v>No</v>
      </c>
    </row>
    <row r="6205" spans="1:24" x14ac:dyDescent="0.25">
      <c r="A6205" t="s">
        <v>2537</v>
      </c>
      <c r="B6205" t="s">
        <v>2538</v>
      </c>
      <c r="C6205" t="s">
        <v>2541</v>
      </c>
      <c r="D6205" t="s">
        <v>2542</v>
      </c>
      <c r="E6205" s="9">
        <v>45444</v>
      </c>
      <c r="F6205" s="9">
        <v>45473</v>
      </c>
      <c r="G6205">
        <v>432183990.94784003</v>
      </c>
      <c r="H6205">
        <v>10075676.95944</v>
      </c>
      <c r="I6205">
        <v>33514599.73</v>
      </c>
      <c r="J6205">
        <v>71442466.883359998</v>
      </c>
      <c r="K6205">
        <v>12203660.48384</v>
      </c>
      <c r="L6205">
        <v>3070394.3950400003</v>
      </c>
      <c r="M6205">
        <v>10890058.730280001</v>
      </c>
      <c r="N6205">
        <v>0</v>
      </c>
      <c r="O6205">
        <v>0</v>
      </c>
      <c r="P6205">
        <v>1374627.8357199999</v>
      </c>
      <c r="Q6205">
        <v>43328465.969960004</v>
      </c>
      <c r="R6205">
        <v>0</v>
      </c>
      <c r="S6205">
        <v>96028445.110200003</v>
      </c>
      <c r="T6205" s="9">
        <v>45108</v>
      </c>
      <c r="U6205" s="9">
        <v>45473</v>
      </c>
      <c r="V6205">
        <f>SUM(POTABLE_NONPOTABLE_API[[#This Row],[RESIDENTIAL_SINGLEFAMILY_GAL]:[OTHER_GAL]])</f>
        <v>562490789.39952004</v>
      </c>
      <c r="W6205">
        <f>SUM(POTABLE_NONPOTABLE_API[[#This Row],[NONPOTABLE_DEMAND_RESIDENTIAL_RECYCLED_WATER_GAL]:[NONPOTABLE_DEMAND_NONRESIDENTIAL_METERED_IRRIGATION_GAL]])</f>
        <v>140731538.91588002</v>
      </c>
      <c r="X6205" t="str">
        <f>IFERROR(INDEX(Crosswalk_API!$H$2:$H$527, MATCH(POTABLE_NONPOTABLE_API[[#This Row],[PWSID]], CW_PWSID_LIST, 0)), "")</f>
        <v>No</v>
      </c>
    </row>
    <row r="6206" spans="1:24" x14ac:dyDescent="0.25">
      <c r="A6206" t="s">
        <v>2537</v>
      </c>
      <c r="B6206" t="s">
        <v>2538</v>
      </c>
      <c r="C6206" t="s">
        <v>2543</v>
      </c>
      <c r="D6206" t="s">
        <v>2544</v>
      </c>
      <c r="E6206" s="9">
        <v>45108</v>
      </c>
      <c r="F6206" s="9">
        <v>45138</v>
      </c>
      <c r="G6206">
        <v>722348.93328</v>
      </c>
      <c r="H6206">
        <v>0</v>
      </c>
      <c r="I6206">
        <v>310097.47608000005</v>
      </c>
      <c r="J6206">
        <v>4907.2211200000002</v>
      </c>
      <c r="K6206">
        <v>0</v>
      </c>
      <c r="L6206">
        <v>112.20780000000001</v>
      </c>
      <c r="M6206">
        <v>0</v>
      </c>
      <c r="T6206" s="9">
        <v>45108</v>
      </c>
      <c r="U6206" s="9">
        <v>45473</v>
      </c>
      <c r="V6206">
        <f>SUM(POTABLE_NONPOTABLE_API[[#This Row],[RESIDENTIAL_SINGLEFAMILY_GAL]:[OTHER_GAL]])</f>
        <v>1037465.83828</v>
      </c>
      <c r="W6206">
        <f>SUM(POTABLE_NONPOTABLE_API[[#This Row],[NONPOTABLE_DEMAND_RESIDENTIAL_RECYCLED_WATER_GAL]:[NONPOTABLE_DEMAND_NONRESIDENTIAL_METERED_IRRIGATION_GAL]])</f>
        <v>0</v>
      </c>
      <c r="X6206" t="str">
        <f>IFERROR(INDEX(Crosswalk_API!$H$2:$H$527, MATCH(POTABLE_NONPOTABLE_API[[#This Row],[PWSID]], CW_PWSID_LIST, 0)), "")</f>
        <v>No</v>
      </c>
    </row>
    <row r="6207" spans="1:24" x14ac:dyDescent="0.25">
      <c r="A6207" t="s">
        <v>2537</v>
      </c>
      <c r="B6207" t="s">
        <v>2538</v>
      </c>
      <c r="C6207" t="s">
        <v>2543</v>
      </c>
      <c r="D6207" t="s">
        <v>2544</v>
      </c>
      <c r="E6207" s="9">
        <v>45139</v>
      </c>
      <c r="F6207" s="9">
        <v>45169</v>
      </c>
      <c r="G6207">
        <v>718638.59536000004</v>
      </c>
      <c r="H6207">
        <v>0</v>
      </c>
      <c r="I6207">
        <v>306132.80048000003</v>
      </c>
      <c r="J6207">
        <v>5161.5588000000007</v>
      </c>
      <c r="K6207">
        <v>0</v>
      </c>
      <c r="L6207">
        <v>635.8442</v>
      </c>
      <c r="M6207">
        <v>0</v>
      </c>
      <c r="T6207" s="9">
        <v>45108</v>
      </c>
      <c r="U6207" s="9">
        <v>45473</v>
      </c>
      <c r="V6207">
        <f>SUM(POTABLE_NONPOTABLE_API[[#This Row],[RESIDENTIAL_SINGLEFAMILY_GAL]:[OTHER_GAL]])</f>
        <v>1030568.7988400002</v>
      </c>
      <c r="W6207">
        <f>SUM(POTABLE_NONPOTABLE_API[[#This Row],[NONPOTABLE_DEMAND_RESIDENTIAL_RECYCLED_WATER_GAL]:[NONPOTABLE_DEMAND_NONRESIDENTIAL_METERED_IRRIGATION_GAL]])</f>
        <v>0</v>
      </c>
      <c r="X6207" t="str">
        <f>IFERROR(INDEX(Crosswalk_API!$H$2:$H$527, MATCH(POTABLE_NONPOTABLE_API[[#This Row],[PWSID]], CW_PWSID_LIST, 0)), "")</f>
        <v>No</v>
      </c>
    </row>
    <row r="6208" spans="1:24" x14ac:dyDescent="0.25">
      <c r="A6208" t="s">
        <v>2537</v>
      </c>
      <c r="B6208" t="s">
        <v>2538</v>
      </c>
      <c r="C6208" t="s">
        <v>2543</v>
      </c>
      <c r="D6208" t="s">
        <v>2544</v>
      </c>
      <c r="E6208" s="9">
        <v>45170</v>
      </c>
      <c r="F6208" s="9">
        <v>45199</v>
      </c>
      <c r="G6208">
        <v>622334.38088000007</v>
      </c>
      <c r="H6208">
        <v>0</v>
      </c>
      <c r="I6208">
        <v>237319.497</v>
      </c>
      <c r="J6208">
        <v>4548.1561600000005</v>
      </c>
      <c r="K6208">
        <v>0</v>
      </c>
      <c r="L6208">
        <v>0</v>
      </c>
      <c r="M6208">
        <v>0</v>
      </c>
      <c r="T6208" s="9">
        <v>45108</v>
      </c>
      <c r="U6208" s="9">
        <v>45473</v>
      </c>
      <c r="V6208">
        <f>SUM(POTABLE_NONPOTABLE_API[[#This Row],[RESIDENTIAL_SINGLEFAMILY_GAL]:[OTHER_GAL]])</f>
        <v>864202.03404000006</v>
      </c>
      <c r="W6208">
        <f>SUM(POTABLE_NONPOTABLE_API[[#This Row],[NONPOTABLE_DEMAND_RESIDENTIAL_RECYCLED_WATER_GAL]:[NONPOTABLE_DEMAND_NONRESIDENTIAL_METERED_IRRIGATION_GAL]])</f>
        <v>0</v>
      </c>
      <c r="X6208" t="str">
        <f>IFERROR(INDEX(Crosswalk_API!$H$2:$H$527, MATCH(POTABLE_NONPOTABLE_API[[#This Row],[PWSID]], CW_PWSID_LIST, 0)), "")</f>
        <v>No</v>
      </c>
    </row>
    <row r="6209" spans="1:24" x14ac:dyDescent="0.25">
      <c r="A6209" t="s">
        <v>2537</v>
      </c>
      <c r="B6209" t="s">
        <v>2538</v>
      </c>
      <c r="C6209" t="s">
        <v>2543</v>
      </c>
      <c r="D6209" t="s">
        <v>2544</v>
      </c>
      <c r="E6209" s="9">
        <v>45200</v>
      </c>
      <c r="F6209" s="9">
        <v>45230</v>
      </c>
      <c r="G6209">
        <v>625693.13436000003</v>
      </c>
      <c r="H6209">
        <v>0</v>
      </c>
      <c r="I6209">
        <v>278776.53883999999</v>
      </c>
      <c r="J6209">
        <v>4667.8444800000007</v>
      </c>
      <c r="K6209">
        <v>0</v>
      </c>
      <c r="L6209">
        <v>359.06495999999999</v>
      </c>
      <c r="M6209">
        <v>0</v>
      </c>
      <c r="T6209" s="9">
        <v>45108</v>
      </c>
      <c r="U6209" s="9">
        <v>45473</v>
      </c>
      <c r="V6209">
        <f>SUM(POTABLE_NONPOTABLE_API[[#This Row],[RESIDENTIAL_SINGLEFAMILY_GAL]:[OTHER_GAL]])</f>
        <v>909496.58264000004</v>
      </c>
      <c r="W6209">
        <f>SUM(POTABLE_NONPOTABLE_API[[#This Row],[NONPOTABLE_DEMAND_RESIDENTIAL_RECYCLED_WATER_GAL]:[NONPOTABLE_DEMAND_NONRESIDENTIAL_METERED_IRRIGATION_GAL]])</f>
        <v>0</v>
      </c>
      <c r="X6209" t="str">
        <f>IFERROR(INDEX(Crosswalk_API!$H$2:$H$527, MATCH(POTABLE_NONPOTABLE_API[[#This Row],[PWSID]], CW_PWSID_LIST, 0)), "")</f>
        <v>No</v>
      </c>
    </row>
    <row r="6210" spans="1:24" x14ac:dyDescent="0.25">
      <c r="A6210" t="s">
        <v>2537</v>
      </c>
      <c r="B6210" t="s">
        <v>2538</v>
      </c>
      <c r="C6210" t="s">
        <v>2543</v>
      </c>
      <c r="D6210" t="s">
        <v>2544</v>
      </c>
      <c r="E6210" s="9">
        <v>45231</v>
      </c>
      <c r="F6210" s="9">
        <v>45260</v>
      </c>
      <c r="G6210">
        <v>561472.87016000005</v>
      </c>
      <c r="H6210">
        <v>0</v>
      </c>
      <c r="I6210">
        <v>227789.31451999999</v>
      </c>
      <c r="J6210">
        <v>6306.0783599999995</v>
      </c>
      <c r="K6210">
        <v>0</v>
      </c>
      <c r="L6210">
        <v>388.98704000000004</v>
      </c>
      <c r="M6210">
        <v>0</v>
      </c>
      <c r="T6210" s="9">
        <v>45108</v>
      </c>
      <c r="U6210" s="9">
        <v>45473</v>
      </c>
      <c r="V6210">
        <f>SUM(POTABLE_NONPOTABLE_API[[#This Row],[RESIDENTIAL_SINGLEFAMILY_GAL]:[OTHER_GAL]])</f>
        <v>795957.25008000014</v>
      </c>
      <c r="W6210">
        <f>SUM(POTABLE_NONPOTABLE_API[[#This Row],[NONPOTABLE_DEMAND_RESIDENTIAL_RECYCLED_WATER_GAL]:[NONPOTABLE_DEMAND_NONRESIDENTIAL_METERED_IRRIGATION_GAL]])</f>
        <v>0</v>
      </c>
      <c r="X6210" t="str">
        <f>IFERROR(INDEX(Crosswalk_API!$H$2:$H$527, MATCH(POTABLE_NONPOTABLE_API[[#This Row],[PWSID]], CW_PWSID_LIST, 0)), "")</f>
        <v>No</v>
      </c>
    </row>
    <row r="6211" spans="1:24" x14ac:dyDescent="0.25">
      <c r="A6211" t="s">
        <v>2537</v>
      </c>
      <c r="B6211" t="s">
        <v>2538</v>
      </c>
      <c r="C6211" t="s">
        <v>2543</v>
      </c>
      <c r="D6211" t="s">
        <v>2544</v>
      </c>
      <c r="E6211" s="9">
        <v>45261</v>
      </c>
      <c r="F6211" s="9">
        <v>45291</v>
      </c>
      <c r="G6211">
        <v>396512.44311999995</v>
      </c>
      <c r="H6211">
        <v>0</v>
      </c>
      <c r="I6211">
        <v>123174.24232</v>
      </c>
      <c r="J6211">
        <v>7061.6108800000002</v>
      </c>
      <c r="K6211">
        <v>0</v>
      </c>
      <c r="L6211">
        <v>0</v>
      </c>
      <c r="M6211">
        <v>0</v>
      </c>
      <c r="T6211" s="9">
        <v>45108</v>
      </c>
      <c r="U6211" s="9">
        <v>45473</v>
      </c>
      <c r="V6211">
        <f>SUM(POTABLE_NONPOTABLE_API[[#This Row],[RESIDENTIAL_SINGLEFAMILY_GAL]:[OTHER_GAL]])</f>
        <v>526748.29631999996</v>
      </c>
      <c r="W6211">
        <f>SUM(POTABLE_NONPOTABLE_API[[#This Row],[NONPOTABLE_DEMAND_RESIDENTIAL_RECYCLED_WATER_GAL]:[NONPOTABLE_DEMAND_NONRESIDENTIAL_METERED_IRRIGATION_GAL]])</f>
        <v>0</v>
      </c>
      <c r="X6211" t="str">
        <f>IFERROR(INDEX(Crosswalk_API!$H$2:$H$527, MATCH(POTABLE_NONPOTABLE_API[[#This Row],[PWSID]], CW_PWSID_LIST, 0)), "")</f>
        <v>No</v>
      </c>
    </row>
    <row r="6212" spans="1:24" x14ac:dyDescent="0.25">
      <c r="A6212" t="s">
        <v>2537</v>
      </c>
      <c r="B6212" t="s">
        <v>2538</v>
      </c>
      <c r="C6212" t="s">
        <v>2543</v>
      </c>
      <c r="D6212" t="s">
        <v>2544</v>
      </c>
      <c r="E6212" s="9">
        <v>45292</v>
      </c>
      <c r="F6212" s="9">
        <v>45322</v>
      </c>
      <c r="G6212">
        <v>265588.38208000001</v>
      </c>
      <c r="H6212">
        <v>0</v>
      </c>
      <c r="I6212">
        <v>81230.966679999998</v>
      </c>
      <c r="J6212">
        <v>5505.6627200000003</v>
      </c>
      <c r="K6212">
        <v>0</v>
      </c>
      <c r="L6212">
        <v>0</v>
      </c>
      <c r="M6212">
        <v>0</v>
      </c>
      <c r="T6212" s="9">
        <v>45108</v>
      </c>
      <c r="U6212" s="9">
        <v>45473</v>
      </c>
      <c r="V6212">
        <f>SUM(POTABLE_NONPOTABLE_API[[#This Row],[RESIDENTIAL_SINGLEFAMILY_GAL]:[OTHER_GAL]])</f>
        <v>352325.01148000004</v>
      </c>
      <c r="W6212">
        <f>SUM(POTABLE_NONPOTABLE_API[[#This Row],[NONPOTABLE_DEMAND_RESIDENTIAL_RECYCLED_WATER_GAL]:[NONPOTABLE_DEMAND_NONRESIDENTIAL_METERED_IRRIGATION_GAL]])</f>
        <v>0</v>
      </c>
      <c r="X6212" t="str">
        <f>IFERROR(INDEX(Crosswalk_API!$H$2:$H$527, MATCH(POTABLE_NONPOTABLE_API[[#This Row],[PWSID]], CW_PWSID_LIST, 0)), "")</f>
        <v>No</v>
      </c>
    </row>
    <row r="6213" spans="1:24" x14ac:dyDescent="0.25">
      <c r="A6213" t="s">
        <v>2537</v>
      </c>
      <c r="B6213" t="s">
        <v>2538</v>
      </c>
      <c r="C6213" t="s">
        <v>2543</v>
      </c>
      <c r="D6213" t="s">
        <v>2544</v>
      </c>
      <c r="E6213" s="9">
        <v>45323</v>
      </c>
      <c r="F6213" s="9">
        <v>45351</v>
      </c>
      <c r="G6213">
        <v>209776.22236000001</v>
      </c>
      <c r="H6213">
        <v>0</v>
      </c>
      <c r="I6213">
        <v>64646.653840000006</v>
      </c>
      <c r="J6213">
        <v>4495.79252</v>
      </c>
      <c r="K6213">
        <v>0</v>
      </c>
      <c r="L6213">
        <v>0</v>
      </c>
      <c r="M6213">
        <v>0</v>
      </c>
      <c r="T6213" s="9">
        <v>45108</v>
      </c>
      <c r="U6213" s="9">
        <v>45473</v>
      </c>
      <c r="V6213">
        <f>SUM(POTABLE_NONPOTABLE_API[[#This Row],[RESIDENTIAL_SINGLEFAMILY_GAL]:[OTHER_GAL]])</f>
        <v>278918.66872000002</v>
      </c>
      <c r="W6213">
        <f>SUM(POTABLE_NONPOTABLE_API[[#This Row],[NONPOTABLE_DEMAND_RESIDENTIAL_RECYCLED_WATER_GAL]:[NONPOTABLE_DEMAND_NONRESIDENTIAL_METERED_IRRIGATION_GAL]])</f>
        <v>0</v>
      </c>
      <c r="X6213" t="str">
        <f>IFERROR(INDEX(Crosswalk_API!$H$2:$H$527, MATCH(POTABLE_NONPOTABLE_API[[#This Row],[PWSID]], CW_PWSID_LIST, 0)), "")</f>
        <v>No</v>
      </c>
    </row>
    <row r="6214" spans="1:24" x14ac:dyDescent="0.25">
      <c r="A6214" t="s">
        <v>2537</v>
      </c>
      <c r="B6214" t="s">
        <v>2538</v>
      </c>
      <c r="C6214" t="s">
        <v>2543</v>
      </c>
      <c r="D6214" t="s">
        <v>2544</v>
      </c>
      <c r="E6214" s="9">
        <v>45352</v>
      </c>
      <c r="F6214" s="9">
        <v>45382</v>
      </c>
      <c r="G6214">
        <v>203470.144</v>
      </c>
      <c r="H6214">
        <v>0</v>
      </c>
      <c r="I6214">
        <v>72418.914120000001</v>
      </c>
      <c r="J6214">
        <v>4533.1951199999994</v>
      </c>
      <c r="K6214">
        <v>0</v>
      </c>
      <c r="L6214">
        <v>0</v>
      </c>
      <c r="M6214">
        <v>0</v>
      </c>
      <c r="T6214" s="9">
        <v>45108</v>
      </c>
      <c r="U6214" s="9">
        <v>45473</v>
      </c>
      <c r="V6214">
        <f>SUM(POTABLE_NONPOTABLE_API[[#This Row],[RESIDENTIAL_SINGLEFAMILY_GAL]:[OTHER_GAL]])</f>
        <v>280422.25323999999</v>
      </c>
      <c r="W6214">
        <f>SUM(POTABLE_NONPOTABLE_API[[#This Row],[NONPOTABLE_DEMAND_RESIDENTIAL_RECYCLED_WATER_GAL]:[NONPOTABLE_DEMAND_NONRESIDENTIAL_METERED_IRRIGATION_GAL]])</f>
        <v>0</v>
      </c>
      <c r="X6214" t="str">
        <f>IFERROR(INDEX(Crosswalk_API!$H$2:$H$527, MATCH(POTABLE_NONPOTABLE_API[[#This Row],[PWSID]], CW_PWSID_LIST, 0)), "")</f>
        <v>No</v>
      </c>
    </row>
    <row r="6215" spans="1:24" x14ac:dyDescent="0.25">
      <c r="A6215" t="s">
        <v>2537</v>
      </c>
      <c r="B6215" t="s">
        <v>2538</v>
      </c>
      <c r="C6215" t="s">
        <v>2543</v>
      </c>
      <c r="D6215" t="s">
        <v>2544</v>
      </c>
      <c r="E6215" s="9">
        <v>45383</v>
      </c>
      <c r="F6215" s="9">
        <v>45412</v>
      </c>
      <c r="G6215">
        <v>363755.24604</v>
      </c>
      <c r="H6215">
        <v>0</v>
      </c>
      <c r="I6215">
        <v>89055.590599999996</v>
      </c>
      <c r="J6215">
        <v>4839.8964399999995</v>
      </c>
      <c r="K6215">
        <v>0</v>
      </c>
      <c r="L6215">
        <v>0</v>
      </c>
      <c r="M6215">
        <v>0</v>
      </c>
      <c r="T6215" s="9">
        <v>45108</v>
      </c>
      <c r="U6215" s="9">
        <v>45473</v>
      </c>
      <c r="V6215">
        <f>SUM(POTABLE_NONPOTABLE_API[[#This Row],[RESIDENTIAL_SINGLEFAMILY_GAL]:[OTHER_GAL]])</f>
        <v>457650.73307999998</v>
      </c>
      <c r="W6215">
        <f>SUM(POTABLE_NONPOTABLE_API[[#This Row],[NONPOTABLE_DEMAND_RESIDENTIAL_RECYCLED_WATER_GAL]:[NONPOTABLE_DEMAND_NONRESIDENTIAL_METERED_IRRIGATION_GAL]])</f>
        <v>0</v>
      </c>
      <c r="X6215" t="str">
        <f>IFERROR(INDEX(Crosswalk_API!$H$2:$H$527, MATCH(POTABLE_NONPOTABLE_API[[#This Row],[PWSID]], CW_PWSID_LIST, 0)), "")</f>
        <v>No</v>
      </c>
    </row>
    <row r="6216" spans="1:24" x14ac:dyDescent="0.25">
      <c r="A6216" t="s">
        <v>2537</v>
      </c>
      <c r="B6216" t="s">
        <v>2538</v>
      </c>
      <c r="C6216" t="s">
        <v>2543</v>
      </c>
      <c r="D6216" t="s">
        <v>2544</v>
      </c>
      <c r="E6216" s="9">
        <v>45413</v>
      </c>
      <c r="F6216" s="9">
        <v>45443</v>
      </c>
      <c r="G6216">
        <v>622835.57572000008</v>
      </c>
      <c r="H6216">
        <v>0</v>
      </c>
      <c r="I6216">
        <v>176727.285</v>
      </c>
      <c r="J6216">
        <v>5236.3640000000005</v>
      </c>
      <c r="K6216">
        <v>0</v>
      </c>
      <c r="L6216">
        <v>0</v>
      </c>
      <c r="M6216">
        <v>0</v>
      </c>
      <c r="T6216" s="9">
        <v>45108</v>
      </c>
      <c r="U6216" s="9">
        <v>45473</v>
      </c>
      <c r="V6216">
        <f>SUM(POTABLE_NONPOTABLE_API[[#This Row],[RESIDENTIAL_SINGLEFAMILY_GAL]:[OTHER_GAL]])</f>
        <v>804799.22472000006</v>
      </c>
      <c r="W6216">
        <f>SUM(POTABLE_NONPOTABLE_API[[#This Row],[NONPOTABLE_DEMAND_RESIDENTIAL_RECYCLED_WATER_GAL]:[NONPOTABLE_DEMAND_NONRESIDENTIAL_METERED_IRRIGATION_GAL]])</f>
        <v>0</v>
      </c>
      <c r="X6216" t="str">
        <f>IFERROR(INDEX(Crosswalk_API!$H$2:$H$527, MATCH(POTABLE_NONPOTABLE_API[[#This Row],[PWSID]], CW_PWSID_LIST, 0)), "")</f>
        <v>No</v>
      </c>
    </row>
    <row r="6217" spans="1:24" x14ac:dyDescent="0.25">
      <c r="A6217" t="s">
        <v>2537</v>
      </c>
      <c r="B6217" t="s">
        <v>2538</v>
      </c>
      <c r="C6217" t="s">
        <v>2543</v>
      </c>
      <c r="D6217" t="s">
        <v>2544</v>
      </c>
      <c r="E6217" s="9">
        <v>45444</v>
      </c>
      <c r="F6217" s="9">
        <v>45473</v>
      </c>
      <c r="G6217">
        <v>758749.14359999995</v>
      </c>
      <c r="H6217">
        <v>0</v>
      </c>
      <c r="I6217">
        <v>270847.18764000002</v>
      </c>
      <c r="J6217">
        <v>5789.9224800000002</v>
      </c>
      <c r="K6217">
        <v>0</v>
      </c>
      <c r="L6217">
        <v>0</v>
      </c>
      <c r="M6217">
        <v>0</v>
      </c>
      <c r="T6217" s="9">
        <v>45108</v>
      </c>
      <c r="U6217" s="9">
        <v>45473</v>
      </c>
      <c r="V6217">
        <f>SUM(POTABLE_NONPOTABLE_API[[#This Row],[RESIDENTIAL_SINGLEFAMILY_GAL]:[OTHER_GAL]])</f>
        <v>1035386.2537199999</v>
      </c>
      <c r="W6217">
        <f>SUM(POTABLE_NONPOTABLE_API[[#This Row],[NONPOTABLE_DEMAND_RESIDENTIAL_RECYCLED_WATER_GAL]:[NONPOTABLE_DEMAND_NONRESIDENTIAL_METERED_IRRIGATION_GAL]])</f>
        <v>0</v>
      </c>
      <c r="X6217" t="str">
        <f>IFERROR(INDEX(Crosswalk_API!$H$2:$H$527, MATCH(POTABLE_NONPOTABLE_API[[#This Row],[PWSID]], CW_PWSID_LIST, 0)), "")</f>
        <v>No</v>
      </c>
    </row>
    <row r="6218" spans="1:24" x14ac:dyDescent="0.25">
      <c r="A6218" t="s">
        <v>2545</v>
      </c>
      <c r="B6218" t="s">
        <v>2546</v>
      </c>
      <c r="C6218" t="s">
        <v>2547</v>
      </c>
      <c r="D6218" t="s">
        <v>2548</v>
      </c>
      <c r="E6218" s="9">
        <v>45108</v>
      </c>
      <c r="F6218" s="9">
        <v>45138</v>
      </c>
      <c r="G6218">
        <v>141485059.176</v>
      </c>
      <c r="H6218">
        <v>41628345.748000003</v>
      </c>
      <c r="I6218">
        <v>25408334.232000001</v>
      </c>
      <c r="J6218">
        <v>15776416.68</v>
      </c>
      <c r="K6218">
        <v>155594.81599999999</v>
      </c>
      <c r="L6218">
        <v>0</v>
      </c>
      <c r="M6218">
        <v>0</v>
      </c>
      <c r="T6218" s="9">
        <v>45108</v>
      </c>
      <c r="U6218" s="9">
        <v>45473</v>
      </c>
      <c r="V6218">
        <f>SUM(POTABLE_NONPOTABLE_API[[#This Row],[RESIDENTIAL_SINGLEFAMILY_GAL]:[OTHER_GAL]])</f>
        <v>224453750.65200001</v>
      </c>
      <c r="W6218">
        <f>SUM(POTABLE_NONPOTABLE_API[[#This Row],[NONPOTABLE_DEMAND_RESIDENTIAL_RECYCLED_WATER_GAL]:[NONPOTABLE_DEMAND_NONRESIDENTIAL_METERED_IRRIGATION_GAL]])</f>
        <v>0</v>
      </c>
      <c r="X6218" t="str">
        <f>IFERROR(INDEX(Crosswalk_API!$H$2:$H$527, MATCH(POTABLE_NONPOTABLE_API[[#This Row],[PWSID]], CW_PWSID_LIST, 0)), "")</f>
        <v>No</v>
      </c>
    </row>
    <row r="6219" spans="1:24" x14ac:dyDescent="0.25">
      <c r="A6219" t="s">
        <v>2545</v>
      </c>
      <c r="B6219" t="s">
        <v>2546</v>
      </c>
      <c r="C6219" t="s">
        <v>2547</v>
      </c>
      <c r="D6219" t="s">
        <v>2548</v>
      </c>
      <c r="E6219" s="9">
        <v>45139</v>
      </c>
      <c r="F6219" s="9">
        <v>45169</v>
      </c>
      <c r="G6219">
        <v>136611500.396</v>
      </c>
      <c r="H6219">
        <v>92134572.631999999</v>
      </c>
      <c r="I6219">
        <v>68591880.088</v>
      </c>
      <c r="J6219">
        <v>26352375.856000002</v>
      </c>
      <c r="K6219">
        <v>0</v>
      </c>
      <c r="L6219">
        <v>0</v>
      </c>
      <c r="M6219">
        <v>0</v>
      </c>
      <c r="T6219" s="9">
        <v>45108</v>
      </c>
      <c r="U6219" s="9">
        <v>45473</v>
      </c>
      <c r="V6219">
        <f>SUM(POTABLE_NONPOTABLE_API[[#This Row],[RESIDENTIAL_SINGLEFAMILY_GAL]:[OTHER_GAL]])</f>
        <v>323690328.972</v>
      </c>
      <c r="W6219">
        <f>SUM(POTABLE_NONPOTABLE_API[[#This Row],[NONPOTABLE_DEMAND_RESIDENTIAL_RECYCLED_WATER_GAL]:[NONPOTABLE_DEMAND_NONRESIDENTIAL_METERED_IRRIGATION_GAL]])</f>
        <v>0</v>
      </c>
      <c r="X6219" t="str">
        <f>IFERROR(INDEX(Crosswalk_API!$H$2:$H$527, MATCH(POTABLE_NONPOTABLE_API[[#This Row],[PWSID]], CW_PWSID_LIST, 0)), "")</f>
        <v>No</v>
      </c>
    </row>
    <row r="6220" spans="1:24" x14ac:dyDescent="0.25">
      <c r="A6220" t="s">
        <v>2545</v>
      </c>
      <c r="B6220" t="s">
        <v>2546</v>
      </c>
      <c r="C6220" t="s">
        <v>2547</v>
      </c>
      <c r="D6220" t="s">
        <v>2548</v>
      </c>
      <c r="E6220" s="9">
        <v>45170</v>
      </c>
      <c r="F6220" s="9">
        <v>45199</v>
      </c>
      <c r="G6220">
        <v>147346794.648</v>
      </c>
      <c r="H6220">
        <v>40631940.484000005</v>
      </c>
      <c r="I6220">
        <v>29681955.308000002</v>
      </c>
      <c r="J6220">
        <v>19420926.024</v>
      </c>
      <c r="K6220">
        <v>259574.04399999999</v>
      </c>
      <c r="L6220">
        <v>0</v>
      </c>
      <c r="M6220">
        <v>0</v>
      </c>
      <c r="T6220" s="9">
        <v>45108</v>
      </c>
      <c r="U6220" s="9">
        <v>45473</v>
      </c>
      <c r="V6220">
        <f>SUM(POTABLE_NONPOTABLE_API[[#This Row],[RESIDENTIAL_SINGLEFAMILY_GAL]:[OTHER_GAL]])</f>
        <v>237341190.50799999</v>
      </c>
      <c r="W6220">
        <f>SUM(POTABLE_NONPOTABLE_API[[#This Row],[NONPOTABLE_DEMAND_RESIDENTIAL_RECYCLED_WATER_GAL]:[NONPOTABLE_DEMAND_NONRESIDENTIAL_METERED_IRRIGATION_GAL]])</f>
        <v>0</v>
      </c>
      <c r="X6220" t="str">
        <f>IFERROR(INDEX(Crosswalk_API!$H$2:$H$527, MATCH(POTABLE_NONPOTABLE_API[[#This Row],[PWSID]], CW_PWSID_LIST, 0)), "")</f>
        <v>No</v>
      </c>
    </row>
    <row r="6221" spans="1:24" x14ac:dyDescent="0.25">
      <c r="A6221" t="s">
        <v>2545</v>
      </c>
      <c r="B6221" t="s">
        <v>2546</v>
      </c>
      <c r="C6221" t="s">
        <v>2547</v>
      </c>
      <c r="D6221" t="s">
        <v>2548</v>
      </c>
      <c r="E6221" s="9">
        <v>45200</v>
      </c>
      <c r="F6221" s="9">
        <v>45230</v>
      </c>
      <c r="G6221">
        <v>139283542.14000002</v>
      </c>
      <c r="H6221">
        <v>87258769.69600001</v>
      </c>
      <c r="I6221">
        <v>58511879.388000004</v>
      </c>
      <c r="J6221">
        <v>23825456.199999999</v>
      </c>
      <c r="K6221">
        <v>2906182.02</v>
      </c>
      <c r="L6221">
        <v>217683.13200000001</v>
      </c>
      <c r="M6221">
        <v>0</v>
      </c>
      <c r="T6221" s="9">
        <v>45108</v>
      </c>
      <c r="U6221" s="9">
        <v>45473</v>
      </c>
      <c r="V6221">
        <f>SUM(POTABLE_NONPOTABLE_API[[#This Row],[RESIDENTIAL_SINGLEFAMILY_GAL]:[OTHER_GAL]])</f>
        <v>312003512.57600003</v>
      </c>
      <c r="W6221">
        <f>SUM(POTABLE_NONPOTABLE_API[[#This Row],[NONPOTABLE_DEMAND_RESIDENTIAL_RECYCLED_WATER_GAL]:[NONPOTABLE_DEMAND_NONRESIDENTIAL_METERED_IRRIGATION_GAL]])</f>
        <v>0</v>
      </c>
      <c r="X6221" t="str">
        <f>IFERROR(INDEX(Crosswalk_API!$H$2:$H$527, MATCH(POTABLE_NONPOTABLE_API[[#This Row],[PWSID]], CW_PWSID_LIST, 0)), "")</f>
        <v>No</v>
      </c>
    </row>
    <row r="6222" spans="1:24" x14ac:dyDescent="0.25">
      <c r="A6222" t="s">
        <v>2545</v>
      </c>
      <c r="B6222" t="s">
        <v>2546</v>
      </c>
      <c r="C6222" t="s">
        <v>2547</v>
      </c>
      <c r="D6222" t="s">
        <v>2548</v>
      </c>
      <c r="E6222" s="9">
        <v>45231</v>
      </c>
      <c r="F6222" s="9">
        <v>45260</v>
      </c>
      <c r="G6222">
        <v>136628705.59200001</v>
      </c>
      <c r="H6222">
        <v>43971244.612000003</v>
      </c>
      <c r="I6222">
        <v>34807607.612000003</v>
      </c>
      <c r="J6222">
        <v>15111398.452</v>
      </c>
      <c r="K6222">
        <v>428633.79600000003</v>
      </c>
      <c r="L6222">
        <v>41142.86</v>
      </c>
      <c r="M6222">
        <v>0</v>
      </c>
      <c r="T6222" s="9">
        <v>45108</v>
      </c>
      <c r="U6222" s="9">
        <v>45473</v>
      </c>
      <c r="V6222">
        <f>SUM(POTABLE_NONPOTABLE_API[[#This Row],[RESIDENTIAL_SINGLEFAMILY_GAL]:[OTHER_GAL]])</f>
        <v>230988732.92399999</v>
      </c>
      <c r="W6222">
        <f>SUM(POTABLE_NONPOTABLE_API[[#This Row],[NONPOTABLE_DEMAND_RESIDENTIAL_RECYCLED_WATER_GAL]:[NONPOTABLE_DEMAND_NONRESIDENTIAL_METERED_IRRIGATION_GAL]])</f>
        <v>0</v>
      </c>
      <c r="X6222" t="str">
        <f>IFERROR(INDEX(Crosswalk_API!$H$2:$H$527, MATCH(POTABLE_NONPOTABLE_API[[#This Row],[PWSID]], CW_PWSID_LIST, 0)), "")</f>
        <v>No</v>
      </c>
    </row>
    <row r="6223" spans="1:24" x14ac:dyDescent="0.25">
      <c r="A6223" t="s">
        <v>2545</v>
      </c>
      <c r="B6223" t="s">
        <v>2546</v>
      </c>
      <c r="C6223" t="s">
        <v>2547</v>
      </c>
      <c r="D6223" t="s">
        <v>2548</v>
      </c>
      <c r="E6223" s="9">
        <v>45261</v>
      </c>
      <c r="F6223" s="9">
        <v>45291</v>
      </c>
      <c r="G6223">
        <v>109895571.26800001</v>
      </c>
      <c r="H6223">
        <v>65506913.640000001</v>
      </c>
      <c r="I6223">
        <v>44168730.340000004</v>
      </c>
      <c r="J6223">
        <v>18155222.039999999</v>
      </c>
      <c r="K6223">
        <v>2455854.716</v>
      </c>
      <c r="L6223">
        <v>105475.33200000001</v>
      </c>
      <c r="M6223">
        <v>0</v>
      </c>
      <c r="T6223" s="9">
        <v>45108</v>
      </c>
      <c r="U6223" s="9">
        <v>45473</v>
      </c>
      <c r="V6223">
        <f>SUM(POTABLE_NONPOTABLE_API[[#This Row],[RESIDENTIAL_SINGLEFAMILY_GAL]:[OTHER_GAL]])</f>
        <v>240287767.33599997</v>
      </c>
      <c r="W6223">
        <f>SUM(POTABLE_NONPOTABLE_API[[#This Row],[NONPOTABLE_DEMAND_RESIDENTIAL_RECYCLED_WATER_GAL]:[NONPOTABLE_DEMAND_NONRESIDENTIAL_METERED_IRRIGATION_GAL]])</f>
        <v>0</v>
      </c>
      <c r="X6223" t="str">
        <f>IFERROR(INDEX(Crosswalk_API!$H$2:$H$527, MATCH(POTABLE_NONPOTABLE_API[[#This Row],[PWSID]], CW_PWSID_LIST, 0)), "")</f>
        <v>No</v>
      </c>
    </row>
    <row r="6224" spans="1:24" x14ac:dyDescent="0.25">
      <c r="A6224" t="s">
        <v>2545</v>
      </c>
      <c r="B6224" t="s">
        <v>2546</v>
      </c>
      <c r="C6224" t="s">
        <v>2547</v>
      </c>
      <c r="D6224" t="s">
        <v>2548</v>
      </c>
      <c r="E6224" s="9">
        <v>45292</v>
      </c>
      <c r="F6224" s="9">
        <v>45322</v>
      </c>
      <c r="G6224">
        <v>147352031.01199999</v>
      </c>
      <c r="H6224">
        <v>52178123.104000002</v>
      </c>
      <c r="I6224">
        <v>39789633.932000004</v>
      </c>
      <c r="J6224">
        <v>12196987.860000001</v>
      </c>
      <c r="K6224">
        <v>648561.08400000003</v>
      </c>
      <c r="L6224">
        <v>50119.484000000004</v>
      </c>
      <c r="M6224">
        <v>0</v>
      </c>
      <c r="T6224" s="9">
        <v>45108</v>
      </c>
      <c r="U6224" s="9">
        <v>45473</v>
      </c>
      <c r="V6224">
        <f>SUM(POTABLE_NONPOTABLE_API[[#This Row],[RESIDENTIAL_SINGLEFAMILY_GAL]:[OTHER_GAL]])</f>
        <v>252215456.47600001</v>
      </c>
      <c r="W6224">
        <f>SUM(POTABLE_NONPOTABLE_API[[#This Row],[NONPOTABLE_DEMAND_RESIDENTIAL_RECYCLED_WATER_GAL]:[NONPOTABLE_DEMAND_NONRESIDENTIAL_METERED_IRRIGATION_GAL]])</f>
        <v>0</v>
      </c>
      <c r="X6224" t="str">
        <f>IFERROR(INDEX(Crosswalk_API!$H$2:$H$527, MATCH(POTABLE_NONPOTABLE_API[[#This Row],[PWSID]], CW_PWSID_LIST, 0)), "")</f>
        <v>No</v>
      </c>
    </row>
    <row r="6225" spans="1:24" x14ac:dyDescent="0.25">
      <c r="A6225" t="s">
        <v>2545</v>
      </c>
      <c r="B6225" t="s">
        <v>2546</v>
      </c>
      <c r="C6225" t="s">
        <v>2547</v>
      </c>
      <c r="D6225" t="s">
        <v>2548</v>
      </c>
      <c r="E6225" s="9">
        <v>45323</v>
      </c>
      <c r="F6225" s="9">
        <v>45351</v>
      </c>
      <c r="G6225">
        <v>108190760.76000001</v>
      </c>
      <c r="H6225">
        <v>69055672.328000009</v>
      </c>
      <c r="I6225">
        <v>33111025.676000003</v>
      </c>
      <c r="J6225">
        <v>10143585.120000001</v>
      </c>
      <c r="K6225">
        <v>2087065.08</v>
      </c>
      <c r="L6225">
        <v>0</v>
      </c>
      <c r="M6225">
        <v>0</v>
      </c>
      <c r="T6225" s="9">
        <v>45108</v>
      </c>
      <c r="U6225" s="9">
        <v>45473</v>
      </c>
      <c r="V6225">
        <f>SUM(POTABLE_NONPOTABLE_API[[#This Row],[RESIDENTIAL_SINGLEFAMILY_GAL]:[OTHER_GAL]])</f>
        <v>222588108.96400002</v>
      </c>
      <c r="W6225">
        <f>SUM(POTABLE_NONPOTABLE_API[[#This Row],[NONPOTABLE_DEMAND_RESIDENTIAL_RECYCLED_WATER_GAL]:[NONPOTABLE_DEMAND_NONRESIDENTIAL_METERED_IRRIGATION_GAL]])</f>
        <v>0</v>
      </c>
      <c r="X6225" t="str">
        <f>IFERROR(INDEX(Crosswalk_API!$H$2:$H$527, MATCH(POTABLE_NONPOTABLE_API[[#This Row],[PWSID]], CW_PWSID_LIST, 0)), "")</f>
        <v>No</v>
      </c>
    </row>
    <row r="6226" spans="1:24" x14ac:dyDescent="0.25">
      <c r="A6226" t="s">
        <v>2545</v>
      </c>
      <c r="B6226" t="s">
        <v>2546</v>
      </c>
      <c r="C6226" t="s">
        <v>2547</v>
      </c>
      <c r="D6226" t="s">
        <v>2548</v>
      </c>
      <c r="E6226" s="9">
        <v>45352</v>
      </c>
      <c r="F6226" s="9">
        <v>45382</v>
      </c>
      <c r="G6226">
        <v>119092870.60800001</v>
      </c>
      <c r="H6226">
        <v>46062798.004000001</v>
      </c>
      <c r="I6226">
        <v>33844116.636</v>
      </c>
      <c r="J6226">
        <v>4011802.8760000002</v>
      </c>
      <c r="K6226">
        <v>969475.39199999999</v>
      </c>
      <c r="L6226">
        <v>2992.2080000000001</v>
      </c>
      <c r="M6226">
        <v>0</v>
      </c>
      <c r="T6226" s="9">
        <v>45108</v>
      </c>
      <c r="U6226" s="9">
        <v>45473</v>
      </c>
      <c r="V6226">
        <f>SUM(POTABLE_NONPOTABLE_API[[#This Row],[RESIDENTIAL_SINGLEFAMILY_GAL]:[OTHER_GAL]])</f>
        <v>203984055.72400001</v>
      </c>
      <c r="W6226">
        <f>SUM(POTABLE_NONPOTABLE_API[[#This Row],[NONPOTABLE_DEMAND_RESIDENTIAL_RECYCLED_WATER_GAL]:[NONPOTABLE_DEMAND_NONRESIDENTIAL_METERED_IRRIGATION_GAL]])</f>
        <v>0</v>
      </c>
      <c r="X6226" t="str">
        <f>IFERROR(INDEX(Crosswalk_API!$H$2:$H$527, MATCH(POTABLE_NONPOTABLE_API[[#This Row],[PWSID]], CW_PWSID_LIST, 0)), "")</f>
        <v>No</v>
      </c>
    </row>
    <row r="6227" spans="1:24" x14ac:dyDescent="0.25">
      <c r="A6227" t="s">
        <v>2545</v>
      </c>
      <c r="B6227" t="s">
        <v>2546</v>
      </c>
      <c r="C6227" t="s">
        <v>2547</v>
      </c>
      <c r="D6227" t="s">
        <v>2548</v>
      </c>
      <c r="E6227" s="9">
        <v>45383</v>
      </c>
      <c r="F6227" s="9">
        <v>45412</v>
      </c>
      <c r="G6227">
        <v>125738564.57600001</v>
      </c>
      <c r="H6227">
        <v>61228804.252000004</v>
      </c>
      <c r="I6227">
        <v>32666682.788000003</v>
      </c>
      <c r="J6227">
        <v>6181901.7280000001</v>
      </c>
      <c r="K6227">
        <v>1606067.6440000001</v>
      </c>
      <c r="L6227">
        <v>163075.33600000001</v>
      </c>
      <c r="M6227">
        <v>0</v>
      </c>
      <c r="T6227" s="9">
        <v>45108</v>
      </c>
      <c r="U6227" s="9">
        <v>45473</v>
      </c>
      <c r="V6227">
        <f>SUM(POTABLE_NONPOTABLE_API[[#This Row],[RESIDENTIAL_SINGLEFAMILY_GAL]:[OTHER_GAL]])</f>
        <v>227585096.32399997</v>
      </c>
      <c r="W6227">
        <f>SUM(POTABLE_NONPOTABLE_API[[#This Row],[NONPOTABLE_DEMAND_RESIDENTIAL_RECYCLED_WATER_GAL]:[NONPOTABLE_DEMAND_NONRESIDENTIAL_METERED_IRRIGATION_GAL]])</f>
        <v>0</v>
      </c>
      <c r="X6227" t="str">
        <f>IFERROR(INDEX(Crosswalk_API!$H$2:$H$527, MATCH(POTABLE_NONPOTABLE_API[[#This Row],[PWSID]], CW_PWSID_LIST, 0)), "")</f>
        <v>No</v>
      </c>
    </row>
    <row r="6228" spans="1:24" x14ac:dyDescent="0.25">
      <c r="A6228" t="s">
        <v>2545</v>
      </c>
      <c r="B6228" t="s">
        <v>2546</v>
      </c>
      <c r="C6228" t="s">
        <v>2547</v>
      </c>
      <c r="D6228" t="s">
        <v>2548</v>
      </c>
      <c r="E6228" s="9">
        <v>45413</v>
      </c>
      <c r="F6228" s="9">
        <v>45443</v>
      </c>
      <c r="G6228">
        <v>114201358.58</v>
      </c>
      <c r="H6228">
        <v>71715745.239999995</v>
      </c>
      <c r="I6228">
        <v>48873977.420000002</v>
      </c>
      <c r="J6228">
        <v>9088831.8000000007</v>
      </c>
      <c r="K6228">
        <v>2392270.2960000001</v>
      </c>
      <c r="L6228">
        <v>308945.47600000002</v>
      </c>
      <c r="M6228">
        <v>0</v>
      </c>
      <c r="T6228" s="9">
        <v>45108</v>
      </c>
      <c r="U6228" s="9">
        <v>45473</v>
      </c>
      <c r="V6228">
        <f>SUM(POTABLE_NONPOTABLE_API[[#This Row],[RESIDENTIAL_SINGLEFAMILY_GAL]:[OTHER_GAL]])</f>
        <v>246581128.81200004</v>
      </c>
      <c r="W6228">
        <f>SUM(POTABLE_NONPOTABLE_API[[#This Row],[NONPOTABLE_DEMAND_RESIDENTIAL_RECYCLED_WATER_GAL]:[NONPOTABLE_DEMAND_NONRESIDENTIAL_METERED_IRRIGATION_GAL]])</f>
        <v>0</v>
      </c>
      <c r="X6228" t="str">
        <f>IFERROR(INDEX(Crosswalk_API!$H$2:$H$527, MATCH(POTABLE_NONPOTABLE_API[[#This Row],[PWSID]], CW_PWSID_LIST, 0)), "")</f>
        <v>No</v>
      </c>
    </row>
    <row r="6229" spans="1:24" x14ac:dyDescent="0.25">
      <c r="A6229" t="s">
        <v>2545</v>
      </c>
      <c r="B6229" t="s">
        <v>2546</v>
      </c>
      <c r="C6229" t="s">
        <v>2547</v>
      </c>
      <c r="D6229" t="s">
        <v>2548</v>
      </c>
      <c r="E6229" s="9">
        <v>45444</v>
      </c>
      <c r="F6229" s="9">
        <v>45473</v>
      </c>
      <c r="G6229">
        <v>121725265.596</v>
      </c>
      <c r="H6229">
        <v>45020013.516000003</v>
      </c>
      <c r="I6229">
        <v>21252157.32</v>
      </c>
      <c r="J6229">
        <v>11626224.184</v>
      </c>
      <c r="K6229">
        <v>90514.292000000001</v>
      </c>
      <c r="L6229">
        <v>200477.93600000002</v>
      </c>
      <c r="M6229">
        <v>0</v>
      </c>
      <c r="T6229" s="9">
        <v>45108</v>
      </c>
      <c r="U6229" s="9">
        <v>45473</v>
      </c>
      <c r="V6229">
        <f>SUM(POTABLE_NONPOTABLE_API[[#This Row],[RESIDENTIAL_SINGLEFAMILY_GAL]:[OTHER_GAL]])</f>
        <v>199914652.84399998</v>
      </c>
      <c r="W6229">
        <f>SUM(POTABLE_NONPOTABLE_API[[#This Row],[NONPOTABLE_DEMAND_RESIDENTIAL_RECYCLED_WATER_GAL]:[NONPOTABLE_DEMAND_NONRESIDENTIAL_METERED_IRRIGATION_GAL]])</f>
        <v>0</v>
      </c>
      <c r="X6229" t="str">
        <f>IFERROR(INDEX(Crosswalk_API!$H$2:$H$527, MATCH(POTABLE_NONPOTABLE_API[[#This Row],[PWSID]], CW_PWSID_LIST, 0)), "")</f>
        <v>No</v>
      </c>
    </row>
    <row r="6230" spans="1:24" x14ac:dyDescent="0.25">
      <c r="A6230" t="s">
        <v>2549</v>
      </c>
      <c r="B6230" t="s">
        <v>2550</v>
      </c>
      <c r="C6230" t="s">
        <v>2551</v>
      </c>
      <c r="D6230" t="s">
        <v>2552</v>
      </c>
      <c r="E6230" s="9">
        <v>45108</v>
      </c>
      <c r="F6230" s="9">
        <v>45138</v>
      </c>
      <c r="G6230">
        <v>107774095.796</v>
      </c>
      <c r="H6230">
        <v>17582962.260000002</v>
      </c>
      <c r="I6230">
        <v>27936749.992000002</v>
      </c>
      <c r="J6230">
        <v>13810536.024</v>
      </c>
      <c r="K6230">
        <v>948529.93599999999</v>
      </c>
      <c r="L6230">
        <v>6732.4679999999998</v>
      </c>
      <c r="M6230">
        <v>0</v>
      </c>
      <c r="T6230" s="9">
        <v>45108</v>
      </c>
      <c r="U6230" s="9">
        <v>45473</v>
      </c>
      <c r="V6230">
        <f>SUM(POTABLE_NONPOTABLE_API[[#This Row],[RESIDENTIAL_SINGLEFAMILY_GAL]:[OTHER_GAL]])</f>
        <v>168059606.47599998</v>
      </c>
      <c r="W6230">
        <f>SUM(POTABLE_NONPOTABLE_API[[#This Row],[NONPOTABLE_DEMAND_RESIDENTIAL_RECYCLED_WATER_GAL]:[NONPOTABLE_DEMAND_NONRESIDENTIAL_METERED_IRRIGATION_GAL]])</f>
        <v>0</v>
      </c>
      <c r="X6230" t="str">
        <f>IFERROR(INDEX(Crosswalk_API!$H$2:$H$527, MATCH(POTABLE_NONPOTABLE_API[[#This Row],[PWSID]], CW_PWSID_LIST, 0)), "")</f>
        <v>No</v>
      </c>
    </row>
    <row r="6231" spans="1:24" x14ac:dyDescent="0.25">
      <c r="A6231" t="s">
        <v>2549</v>
      </c>
      <c r="B6231" t="s">
        <v>2550</v>
      </c>
      <c r="C6231" t="s">
        <v>2551</v>
      </c>
      <c r="D6231" t="s">
        <v>2552</v>
      </c>
      <c r="E6231" s="9">
        <v>45139</v>
      </c>
      <c r="F6231" s="9">
        <v>45169</v>
      </c>
      <c r="G6231">
        <v>68101906.027999997</v>
      </c>
      <c r="H6231">
        <v>80623548.456</v>
      </c>
      <c r="I6231">
        <v>38468574.100000001</v>
      </c>
      <c r="J6231">
        <v>4728436.6919999998</v>
      </c>
      <c r="K6231">
        <v>175044.16800000001</v>
      </c>
      <c r="L6231">
        <v>0</v>
      </c>
      <c r="M6231">
        <v>0</v>
      </c>
      <c r="T6231" s="9">
        <v>45108</v>
      </c>
      <c r="U6231" s="9">
        <v>45473</v>
      </c>
      <c r="V6231">
        <f>SUM(POTABLE_NONPOTABLE_API[[#This Row],[RESIDENTIAL_SINGLEFAMILY_GAL]:[OTHER_GAL]])</f>
        <v>192097509.44400001</v>
      </c>
      <c r="W6231">
        <f>SUM(POTABLE_NONPOTABLE_API[[#This Row],[NONPOTABLE_DEMAND_RESIDENTIAL_RECYCLED_WATER_GAL]:[NONPOTABLE_DEMAND_NONRESIDENTIAL_METERED_IRRIGATION_GAL]])</f>
        <v>0</v>
      </c>
      <c r="X6231" t="str">
        <f>IFERROR(INDEX(Crosswalk_API!$H$2:$H$527, MATCH(POTABLE_NONPOTABLE_API[[#This Row],[PWSID]], CW_PWSID_LIST, 0)), "")</f>
        <v>No</v>
      </c>
    </row>
    <row r="6232" spans="1:24" x14ac:dyDescent="0.25">
      <c r="A6232" t="s">
        <v>2549</v>
      </c>
      <c r="B6232" t="s">
        <v>2550</v>
      </c>
      <c r="C6232" t="s">
        <v>2551</v>
      </c>
      <c r="D6232" t="s">
        <v>2552</v>
      </c>
      <c r="E6232" s="9">
        <v>45170</v>
      </c>
      <c r="F6232" s="9">
        <v>45199</v>
      </c>
      <c r="G6232">
        <v>128382180.344</v>
      </c>
      <c r="H6232">
        <v>15568458.224000001</v>
      </c>
      <c r="I6232">
        <v>36347098.627999999</v>
      </c>
      <c r="J6232">
        <v>15243055.604</v>
      </c>
      <c r="K6232">
        <v>1163968.912</v>
      </c>
      <c r="L6232">
        <v>2244.1559999999999</v>
      </c>
      <c r="M6232">
        <v>0</v>
      </c>
      <c r="T6232" s="9">
        <v>45108</v>
      </c>
      <c r="U6232" s="9">
        <v>45473</v>
      </c>
      <c r="V6232">
        <f>SUM(POTABLE_NONPOTABLE_API[[#This Row],[RESIDENTIAL_SINGLEFAMILY_GAL]:[OTHER_GAL]])</f>
        <v>196707005.86799997</v>
      </c>
      <c r="W6232">
        <f>SUM(POTABLE_NONPOTABLE_API[[#This Row],[NONPOTABLE_DEMAND_RESIDENTIAL_RECYCLED_WATER_GAL]:[NONPOTABLE_DEMAND_NONRESIDENTIAL_METERED_IRRIGATION_GAL]])</f>
        <v>0</v>
      </c>
      <c r="X6232" t="str">
        <f>IFERROR(INDEX(Crosswalk_API!$H$2:$H$527, MATCH(POTABLE_NONPOTABLE_API[[#This Row],[PWSID]], CW_PWSID_LIST, 0)), "")</f>
        <v>No</v>
      </c>
    </row>
    <row r="6233" spans="1:24" x14ac:dyDescent="0.25">
      <c r="A6233" t="s">
        <v>2549</v>
      </c>
      <c r="B6233" t="s">
        <v>2550</v>
      </c>
      <c r="C6233" t="s">
        <v>2551</v>
      </c>
      <c r="D6233" t="s">
        <v>2552</v>
      </c>
      <c r="E6233" s="9">
        <v>45200</v>
      </c>
      <c r="F6233" s="9">
        <v>45230</v>
      </c>
      <c r="G6233">
        <v>67517677.416000009</v>
      </c>
      <c r="H6233">
        <v>81999216.084000006</v>
      </c>
      <c r="I6233">
        <v>38384792.276000001</v>
      </c>
      <c r="J6233">
        <v>4891512.0279999999</v>
      </c>
      <c r="K6233">
        <v>165319.492</v>
      </c>
      <c r="L6233">
        <v>0</v>
      </c>
      <c r="M6233">
        <v>0</v>
      </c>
      <c r="T6233" s="9">
        <v>45108</v>
      </c>
      <c r="U6233" s="9">
        <v>45473</v>
      </c>
      <c r="V6233">
        <f>SUM(POTABLE_NONPOTABLE_API[[#This Row],[RESIDENTIAL_SINGLEFAMILY_GAL]:[OTHER_GAL]])</f>
        <v>192958517.296</v>
      </c>
      <c r="W6233">
        <f>SUM(POTABLE_NONPOTABLE_API[[#This Row],[NONPOTABLE_DEMAND_RESIDENTIAL_RECYCLED_WATER_GAL]:[NONPOTABLE_DEMAND_NONRESIDENTIAL_METERED_IRRIGATION_GAL]])</f>
        <v>0</v>
      </c>
      <c r="X6233" t="str">
        <f>IFERROR(INDEX(Crosswalk_API!$H$2:$H$527, MATCH(POTABLE_NONPOTABLE_API[[#This Row],[PWSID]], CW_PWSID_LIST, 0)), "")</f>
        <v>No</v>
      </c>
    </row>
    <row r="6234" spans="1:24" x14ac:dyDescent="0.25">
      <c r="A6234" t="s">
        <v>2549</v>
      </c>
      <c r="B6234" t="s">
        <v>2550</v>
      </c>
      <c r="C6234" t="s">
        <v>2551</v>
      </c>
      <c r="D6234" t="s">
        <v>2552</v>
      </c>
      <c r="E6234" s="9">
        <v>45231</v>
      </c>
      <c r="F6234" s="9">
        <v>45260</v>
      </c>
      <c r="G6234">
        <v>111712589.57600001</v>
      </c>
      <c r="H6234">
        <v>15516094.584000001</v>
      </c>
      <c r="I6234">
        <v>33660843.895999998</v>
      </c>
      <c r="J6234">
        <v>14581777.636</v>
      </c>
      <c r="K6234">
        <v>989672.79599999997</v>
      </c>
      <c r="L6234">
        <v>748.05200000000002</v>
      </c>
      <c r="M6234">
        <v>0</v>
      </c>
      <c r="T6234" s="9">
        <v>45108</v>
      </c>
      <c r="U6234" s="9">
        <v>45473</v>
      </c>
      <c r="V6234">
        <f>SUM(POTABLE_NONPOTABLE_API[[#This Row],[RESIDENTIAL_SINGLEFAMILY_GAL]:[OTHER_GAL]])</f>
        <v>176461726.53999999</v>
      </c>
      <c r="W6234">
        <f>SUM(POTABLE_NONPOTABLE_API[[#This Row],[NONPOTABLE_DEMAND_RESIDENTIAL_RECYCLED_WATER_GAL]:[NONPOTABLE_DEMAND_NONRESIDENTIAL_METERED_IRRIGATION_GAL]])</f>
        <v>0</v>
      </c>
      <c r="X6234" t="str">
        <f>IFERROR(INDEX(Crosswalk_API!$H$2:$H$527, MATCH(POTABLE_NONPOTABLE_API[[#This Row],[PWSID]], CW_PWSID_LIST, 0)), "")</f>
        <v>No</v>
      </c>
    </row>
    <row r="6235" spans="1:24" x14ac:dyDescent="0.25">
      <c r="A6235" t="s">
        <v>2549</v>
      </c>
      <c r="B6235" t="s">
        <v>2550</v>
      </c>
      <c r="C6235" t="s">
        <v>2551</v>
      </c>
      <c r="D6235" t="s">
        <v>2552</v>
      </c>
      <c r="E6235" s="9">
        <v>45261</v>
      </c>
      <c r="F6235" s="9">
        <v>45291</v>
      </c>
      <c r="G6235">
        <v>62992710.868000001</v>
      </c>
      <c r="H6235">
        <v>78172182.052000001</v>
      </c>
      <c r="I6235">
        <v>33283825.688000001</v>
      </c>
      <c r="J6235">
        <v>4691034.0920000002</v>
      </c>
      <c r="K6235">
        <v>172051.96</v>
      </c>
      <c r="L6235">
        <v>0</v>
      </c>
      <c r="M6235">
        <v>0</v>
      </c>
      <c r="T6235" s="9">
        <v>45108</v>
      </c>
      <c r="U6235" s="9">
        <v>45473</v>
      </c>
      <c r="V6235">
        <f>SUM(POTABLE_NONPOTABLE_API[[#This Row],[RESIDENTIAL_SINGLEFAMILY_GAL]:[OTHER_GAL]])</f>
        <v>179311804.66000003</v>
      </c>
      <c r="W6235">
        <f>SUM(POTABLE_NONPOTABLE_API[[#This Row],[NONPOTABLE_DEMAND_RESIDENTIAL_RECYCLED_WATER_GAL]:[NONPOTABLE_DEMAND_NONRESIDENTIAL_METERED_IRRIGATION_GAL]])</f>
        <v>0</v>
      </c>
      <c r="X6235" t="str">
        <f>IFERROR(INDEX(Crosswalk_API!$H$2:$H$527, MATCH(POTABLE_NONPOTABLE_API[[#This Row],[PWSID]], CW_PWSID_LIST, 0)), "")</f>
        <v>No</v>
      </c>
    </row>
    <row r="6236" spans="1:24" x14ac:dyDescent="0.25">
      <c r="A6236" t="s">
        <v>2549</v>
      </c>
      <c r="B6236" t="s">
        <v>2550</v>
      </c>
      <c r="C6236" t="s">
        <v>2551</v>
      </c>
      <c r="D6236" t="s">
        <v>2552</v>
      </c>
      <c r="E6236" s="9">
        <v>45292</v>
      </c>
      <c r="F6236" s="9">
        <v>45322</v>
      </c>
      <c r="G6236">
        <v>90855403.711999997</v>
      </c>
      <c r="H6236">
        <v>14851824.408</v>
      </c>
      <c r="I6236">
        <v>26765300.560000002</v>
      </c>
      <c r="J6236">
        <v>8011636.9199999999</v>
      </c>
      <c r="K6236">
        <v>640332.51199999999</v>
      </c>
      <c r="L6236">
        <v>748.05200000000002</v>
      </c>
      <c r="M6236">
        <v>0</v>
      </c>
      <c r="T6236" s="9">
        <v>45108</v>
      </c>
      <c r="U6236" s="9">
        <v>45473</v>
      </c>
      <c r="V6236">
        <f>SUM(POTABLE_NONPOTABLE_API[[#This Row],[RESIDENTIAL_SINGLEFAMILY_GAL]:[OTHER_GAL]])</f>
        <v>141125246.16399997</v>
      </c>
      <c r="W6236">
        <f>SUM(POTABLE_NONPOTABLE_API[[#This Row],[NONPOTABLE_DEMAND_RESIDENTIAL_RECYCLED_WATER_GAL]:[NONPOTABLE_DEMAND_NONRESIDENTIAL_METERED_IRRIGATION_GAL]])</f>
        <v>0</v>
      </c>
      <c r="X6236" t="str">
        <f>IFERROR(INDEX(Crosswalk_API!$H$2:$H$527, MATCH(POTABLE_NONPOTABLE_API[[#This Row],[PWSID]], CW_PWSID_LIST, 0)), "")</f>
        <v>No</v>
      </c>
    </row>
    <row r="6237" spans="1:24" x14ac:dyDescent="0.25">
      <c r="A6237" t="s">
        <v>2549</v>
      </c>
      <c r="B6237" t="s">
        <v>2550</v>
      </c>
      <c r="C6237" t="s">
        <v>2551</v>
      </c>
      <c r="D6237" t="s">
        <v>2552</v>
      </c>
      <c r="E6237" s="9">
        <v>45323</v>
      </c>
      <c r="F6237" s="9">
        <v>45351</v>
      </c>
      <c r="G6237">
        <v>51054549</v>
      </c>
      <c r="H6237">
        <v>76465875.439999998</v>
      </c>
      <c r="I6237">
        <v>31239399.572000001</v>
      </c>
      <c r="J6237">
        <v>1824498.828</v>
      </c>
      <c r="K6237">
        <v>113703.90400000001</v>
      </c>
      <c r="L6237">
        <v>0</v>
      </c>
      <c r="M6237">
        <v>0</v>
      </c>
      <c r="T6237" s="9">
        <v>45108</v>
      </c>
      <c r="U6237" s="9">
        <v>45473</v>
      </c>
      <c r="V6237">
        <f>SUM(POTABLE_NONPOTABLE_API[[#This Row],[RESIDENTIAL_SINGLEFAMILY_GAL]:[OTHER_GAL]])</f>
        <v>160698026.74400002</v>
      </c>
      <c r="W6237">
        <f>SUM(POTABLE_NONPOTABLE_API[[#This Row],[NONPOTABLE_DEMAND_RESIDENTIAL_RECYCLED_WATER_GAL]:[NONPOTABLE_DEMAND_NONRESIDENTIAL_METERED_IRRIGATION_GAL]])</f>
        <v>0</v>
      </c>
      <c r="X6237" t="str">
        <f>IFERROR(INDEX(Crosswalk_API!$H$2:$H$527, MATCH(POTABLE_NONPOTABLE_API[[#This Row],[PWSID]], CW_PWSID_LIST, 0)), "")</f>
        <v>No</v>
      </c>
    </row>
    <row r="6238" spans="1:24" x14ac:dyDescent="0.25">
      <c r="A6238" t="s">
        <v>2549</v>
      </c>
      <c r="B6238" t="s">
        <v>2550</v>
      </c>
      <c r="C6238" t="s">
        <v>2551</v>
      </c>
      <c r="D6238" t="s">
        <v>2552</v>
      </c>
      <c r="E6238" s="9">
        <v>45352</v>
      </c>
      <c r="F6238" s="9">
        <v>45382</v>
      </c>
      <c r="G6238">
        <v>67873750.167999998</v>
      </c>
      <c r="H6238">
        <v>14085071.108000001</v>
      </c>
      <c r="I6238">
        <v>26483284.956</v>
      </c>
      <c r="J6238">
        <v>2994452.156</v>
      </c>
      <c r="K6238">
        <v>758524.728</v>
      </c>
      <c r="L6238">
        <v>1496.104</v>
      </c>
      <c r="M6238">
        <v>0</v>
      </c>
      <c r="T6238" s="9">
        <v>45108</v>
      </c>
      <c r="U6238" s="9">
        <v>45473</v>
      </c>
      <c r="V6238">
        <f>SUM(POTABLE_NONPOTABLE_API[[#This Row],[RESIDENTIAL_SINGLEFAMILY_GAL]:[OTHER_GAL]])</f>
        <v>112196579.22</v>
      </c>
      <c r="W6238">
        <f>SUM(POTABLE_NONPOTABLE_API[[#This Row],[NONPOTABLE_DEMAND_RESIDENTIAL_RECYCLED_WATER_GAL]:[NONPOTABLE_DEMAND_NONRESIDENTIAL_METERED_IRRIGATION_GAL]])</f>
        <v>0</v>
      </c>
      <c r="X6238" t="str">
        <f>IFERROR(INDEX(Crosswalk_API!$H$2:$H$527, MATCH(POTABLE_NONPOTABLE_API[[#This Row],[PWSID]], CW_PWSID_LIST, 0)), "")</f>
        <v>No</v>
      </c>
    </row>
    <row r="6239" spans="1:24" x14ac:dyDescent="0.25">
      <c r="A6239" t="s">
        <v>2549</v>
      </c>
      <c r="B6239" t="s">
        <v>2550</v>
      </c>
      <c r="C6239" t="s">
        <v>2551</v>
      </c>
      <c r="D6239" t="s">
        <v>2552</v>
      </c>
      <c r="E6239" s="9">
        <v>45383</v>
      </c>
      <c r="F6239" s="9">
        <v>45412</v>
      </c>
      <c r="G6239">
        <v>77555787.203999996</v>
      </c>
      <c r="H6239">
        <v>140633.77600000001</v>
      </c>
      <c r="I6239">
        <v>28791025.376000002</v>
      </c>
      <c r="J6239">
        <v>6265683.5520000001</v>
      </c>
      <c r="K6239">
        <v>436114.31599999999</v>
      </c>
      <c r="L6239">
        <v>1371179.3160000001</v>
      </c>
      <c r="M6239">
        <v>0</v>
      </c>
      <c r="T6239" s="9">
        <v>45108</v>
      </c>
      <c r="U6239" s="9">
        <v>45473</v>
      </c>
      <c r="V6239">
        <f>SUM(POTABLE_NONPOTABLE_API[[#This Row],[RESIDENTIAL_SINGLEFAMILY_GAL]:[OTHER_GAL]])</f>
        <v>114560423.53999999</v>
      </c>
      <c r="W6239">
        <f>SUM(POTABLE_NONPOTABLE_API[[#This Row],[NONPOTABLE_DEMAND_RESIDENTIAL_RECYCLED_WATER_GAL]:[NONPOTABLE_DEMAND_NONRESIDENTIAL_METERED_IRRIGATION_GAL]])</f>
        <v>0</v>
      </c>
      <c r="X6239" t="str">
        <f>IFERROR(INDEX(Crosswalk_API!$H$2:$H$527, MATCH(POTABLE_NONPOTABLE_API[[#This Row],[PWSID]], CW_PWSID_LIST, 0)), "")</f>
        <v>No</v>
      </c>
    </row>
    <row r="6240" spans="1:24" x14ac:dyDescent="0.25">
      <c r="A6240" t="s">
        <v>2549</v>
      </c>
      <c r="B6240" t="s">
        <v>2550</v>
      </c>
      <c r="C6240" t="s">
        <v>2551</v>
      </c>
      <c r="D6240" t="s">
        <v>2552</v>
      </c>
      <c r="E6240" s="9">
        <v>45413</v>
      </c>
      <c r="F6240" s="9">
        <v>45443</v>
      </c>
      <c r="G6240">
        <v>77555787.203999996</v>
      </c>
      <c r="H6240">
        <v>14577289.324000001</v>
      </c>
      <c r="I6240">
        <v>28791025.376000002</v>
      </c>
      <c r="J6240">
        <v>6265683.5520000001</v>
      </c>
      <c r="K6240">
        <v>436114.31599999999</v>
      </c>
      <c r="L6240">
        <v>1371179.3160000001</v>
      </c>
      <c r="M6240">
        <v>0</v>
      </c>
      <c r="T6240" s="9">
        <v>45108</v>
      </c>
      <c r="U6240" s="9">
        <v>45473</v>
      </c>
      <c r="V6240">
        <f>SUM(POTABLE_NONPOTABLE_API[[#This Row],[RESIDENTIAL_SINGLEFAMILY_GAL]:[OTHER_GAL]])</f>
        <v>128997079.088</v>
      </c>
      <c r="W6240">
        <f>SUM(POTABLE_NONPOTABLE_API[[#This Row],[NONPOTABLE_DEMAND_RESIDENTIAL_RECYCLED_WATER_GAL]:[NONPOTABLE_DEMAND_NONRESIDENTIAL_METERED_IRRIGATION_GAL]])</f>
        <v>0</v>
      </c>
      <c r="X6240" t="str">
        <f>IFERROR(INDEX(Crosswalk_API!$H$2:$H$527, MATCH(POTABLE_NONPOTABLE_API[[#This Row],[PWSID]], CW_PWSID_LIST, 0)), "")</f>
        <v>No</v>
      </c>
    </row>
    <row r="6241" spans="1:24" x14ac:dyDescent="0.25">
      <c r="A6241" t="s">
        <v>2549</v>
      </c>
      <c r="B6241" t="s">
        <v>2550</v>
      </c>
      <c r="C6241" t="s">
        <v>2551</v>
      </c>
      <c r="D6241" t="s">
        <v>2552</v>
      </c>
      <c r="E6241" s="9">
        <v>45444</v>
      </c>
      <c r="F6241" s="9">
        <v>45473</v>
      </c>
      <c r="G6241">
        <v>59025043.060000002</v>
      </c>
      <c r="H6241">
        <v>73357719.379999995</v>
      </c>
      <c r="I6241">
        <v>31523659.332000002</v>
      </c>
      <c r="J6241">
        <v>3194182.04</v>
      </c>
      <c r="K6241">
        <v>54607.796000000002</v>
      </c>
      <c r="L6241">
        <v>0</v>
      </c>
      <c r="M6241">
        <v>0</v>
      </c>
      <c r="T6241" s="9">
        <v>45108</v>
      </c>
      <c r="U6241" s="9">
        <v>45473</v>
      </c>
      <c r="V6241">
        <f>SUM(POTABLE_NONPOTABLE_API[[#This Row],[RESIDENTIAL_SINGLEFAMILY_GAL]:[OTHER_GAL]])</f>
        <v>167155211.60800001</v>
      </c>
      <c r="W6241">
        <f>SUM(POTABLE_NONPOTABLE_API[[#This Row],[NONPOTABLE_DEMAND_RESIDENTIAL_RECYCLED_WATER_GAL]:[NONPOTABLE_DEMAND_NONRESIDENTIAL_METERED_IRRIGATION_GAL]])</f>
        <v>0</v>
      </c>
      <c r="X6241" t="str">
        <f>IFERROR(INDEX(Crosswalk_API!$H$2:$H$527, MATCH(POTABLE_NONPOTABLE_API[[#This Row],[PWSID]], CW_PWSID_LIST, 0)), "")</f>
        <v>No</v>
      </c>
    </row>
    <row r="6242" spans="1:24" x14ac:dyDescent="0.25">
      <c r="A6242" t="s">
        <v>2553</v>
      </c>
      <c r="B6242" t="s">
        <v>2554</v>
      </c>
      <c r="C6242" t="s">
        <v>2555</v>
      </c>
      <c r="D6242" t="s">
        <v>2556</v>
      </c>
      <c r="E6242" s="9">
        <v>45108</v>
      </c>
      <c r="F6242" s="9">
        <v>45138</v>
      </c>
      <c r="G6242">
        <v>79595802</v>
      </c>
      <c r="H6242">
        <v>3988074</v>
      </c>
      <c r="I6242">
        <v>15533546</v>
      </c>
      <c r="J6242">
        <v>21618331</v>
      </c>
      <c r="K6242">
        <v>4074737</v>
      </c>
      <c r="L6242">
        <v>1071999</v>
      </c>
      <c r="M6242">
        <v>0</v>
      </c>
      <c r="N6242">
        <v>2827356</v>
      </c>
      <c r="O6242">
        <v>0</v>
      </c>
      <c r="Q6242">
        <v>67894825</v>
      </c>
      <c r="R6242">
        <v>0</v>
      </c>
      <c r="T6242" s="9">
        <v>45108</v>
      </c>
      <c r="U6242" s="9">
        <v>45473</v>
      </c>
      <c r="V6242">
        <f>SUM(POTABLE_NONPOTABLE_API[[#This Row],[RESIDENTIAL_SINGLEFAMILY_GAL]:[OTHER_GAL]])</f>
        <v>125882489</v>
      </c>
      <c r="W6242">
        <f>SUM(POTABLE_NONPOTABLE_API[[#This Row],[NONPOTABLE_DEMAND_RESIDENTIAL_RECYCLED_WATER_GAL]:[NONPOTABLE_DEMAND_NONRESIDENTIAL_METERED_IRRIGATION_GAL]])</f>
        <v>70722181</v>
      </c>
      <c r="X6242" t="str">
        <f>IFERROR(INDEX(Crosswalk_API!$H$2:$H$527, MATCH(POTABLE_NONPOTABLE_API[[#This Row],[PWSID]], CW_PWSID_LIST, 0)), "")</f>
        <v>No</v>
      </c>
    </row>
    <row r="6243" spans="1:24" x14ac:dyDescent="0.25">
      <c r="A6243" t="s">
        <v>2553</v>
      </c>
      <c r="B6243" t="s">
        <v>2554</v>
      </c>
      <c r="C6243" t="s">
        <v>2555</v>
      </c>
      <c r="D6243" t="s">
        <v>2556</v>
      </c>
      <c r="E6243" s="9">
        <v>45139</v>
      </c>
      <c r="F6243" s="9">
        <v>45169</v>
      </c>
      <c r="G6243">
        <v>63734366</v>
      </c>
      <c r="H6243">
        <v>5479790</v>
      </c>
      <c r="I6243">
        <v>12761894</v>
      </c>
      <c r="J6243">
        <v>18626666</v>
      </c>
      <c r="K6243">
        <v>3444834</v>
      </c>
      <c r="L6243">
        <v>474102</v>
      </c>
      <c r="M6243">
        <v>0</v>
      </c>
      <c r="N6243">
        <v>2273812</v>
      </c>
      <c r="O6243">
        <v>0</v>
      </c>
      <c r="Q6243">
        <v>68621115</v>
      </c>
      <c r="R6243">
        <v>0</v>
      </c>
      <c r="T6243" s="9">
        <v>45108</v>
      </c>
      <c r="U6243" s="9">
        <v>45473</v>
      </c>
      <c r="V6243">
        <f>SUM(POTABLE_NONPOTABLE_API[[#This Row],[RESIDENTIAL_SINGLEFAMILY_GAL]:[OTHER_GAL]])</f>
        <v>104521652</v>
      </c>
      <c r="W6243">
        <f>SUM(POTABLE_NONPOTABLE_API[[#This Row],[NONPOTABLE_DEMAND_RESIDENTIAL_RECYCLED_WATER_GAL]:[NONPOTABLE_DEMAND_NONRESIDENTIAL_METERED_IRRIGATION_GAL]])</f>
        <v>70894927</v>
      </c>
      <c r="X6243" t="str">
        <f>IFERROR(INDEX(Crosswalk_API!$H$2:$H$527, MATCH(POTABLE_NONPOTABLE_API[[#This Row],[PWSID]], CW_PWSID_LIST, 0)), "")</f>
        <v>No</v>
      </c>
    </row>
    <row r="6244" spans="1:24" x14ac:dyDescent="0.25">
      <c r="A6244" t="s">
        <v>2553</v>
      </c>
      <c r="B6244" t="s">
        <v>2554</v>
      </c>
      <c r="C6244" t="s">
        <v>2555</v>
      </c>
      <c r="D6244" t="s">
        <v>2556</v>
      </c>
      <c r="E6244" s="9">
        <v>45170</v>
      </c>
      <c r="F6244" s="9">
        <v>45199</v>
      </c>
      <c r="G6244">
        <v>60368974</v>
      </c>
      <c r="H6244">
        <v>4225149</v>
      </c>
      <c r="I6244">
        <v>12287862</v>
      </c>
      <c r="J6244">
        <v>17743094</v>
      </c>
      <c r="K6244">
        <v>3134690</v>
      </c>
      <c r="L6244">
        <v>886448</v>
      </c>
      <c r="M6244">
        <v>0</v>
      </c>
      <c r="N6244">
        <v>2163966</v>
      </c>
      <c r="O6244">
        <v>0</v>
      </c>
      <c r="Q6244">
        <v>52683007</v>
      </c>
      <c r="R6244">
        <v>0</v>
      </c>
      <c r="T6244" s="9">
        <v>45108</v>
      </c>
      <c r="U6244" s="9">
        <v>45473</v>
      </c>
      <c r="V6244">
        <f>SUM(POTABLE_NONPOTABLE_API[[#This Row],[RESIDENTIAL_SINGLEFAMILY_GAL]:[OTHER_GAL]])</f>
        <v>98646217</v>
      </c>
      <c r="W6244">
        <f>SUM(POTABLE_NONPOTABLE_API[[#This Row],[NONPOTABLE_DEMAND_RESIDENTIAL_RECYCLED_WATER_GAL]:[NONPOTABLE_DEMAND_NONRESIDENTIAL_METERED_IRRIGATION_GAL]])</f>
        <v>54846973</v>
      </c>
      <c r="X6244" t="str">
        <f>IFERROR(INDEX(Crosswalk_API!$H$2:$H$527, MATCH(POTABLE_NONPOTABLE_API[[#This Row],[PWSID]], CW_PWSID_LIST, 0)), "")</f>
        <v>No</v>
      </c>
    </row>
    <row r="6245" spans="1:24" x14ac:dyDescent="0.25">
      <c r="A6245" t="s">
        <v>2553</v>
      </c>
      <c r="B6245" t="s">
        <v>2554</v>
      </c>
      <c r="C6245" t="s">
        <v>2555</v>
      </c>
      <c r="D6245" t="s">
        <v>2556</v>
      </c>
      <c r="E6245" s="9">
        <v>45200</v>
      </c>
      <c r="F6245" s="9">
        <v>45230</v>
      </c>
      <c r="G6245">
        <v>70855599</v>
      </c>
      <c r="H6245">
        <v>5441418</v>
      </c>
      <c r="I6245">
        <v>16600421</v>
      </c>
      <c r="J6245">
        <v>17877312</v>
      </c>
      <c r="K6245">
        <v>4964803</v>
      </c>
      <c r="L6245">
        <v>452663</v>
      </c>
      <c r="M6245">
        <v>0</v>
      </c>
      <c r="N6245">
        <v>2146115</v>
      </c>
      <c r="O6245">
        <v>0</v>
      </c>
      <c r="Q6245">
        <v>38871291</v>
      </c>
      <c r="R6245">
        <v>0</v>
      </c>
      <c r="T6245" s="9">
        <v>45108</v>
      </c>
      <c r="U6245" s="9">
        <v>45473</v>
      </c>
      <c r="V6245">
        <f>SUM(POTABLE_NONPOTABLE_API[[#This Row],[RESIDENTIAL_SINGLEFAMILY_GAL]:[OTHER_GAL]])</f>
        <v>116192216</v>
      </c>
      <c r="W6245">
        <f>SUM(POTABLE_NONPOTABLE_API[[#This Row],[NONPOTABLE_DEMAND_RESIDENTIAL_RECYCLED_WATER_GAL]:[NONPOTABLE_DEMAND_NONRESIDENTIAL_METERED_IRRIGATION_GAL]])</f>
        <v>41017406</v>
      </c>
      <c r="X6245" t="str">
        <f>IFERROR(INDEX(Crosswalk_API!$H$2:$H$527, MATCH(POTABLE_NONPOTABLE_API[[#This Row],[PWSID]], CW_PWSID_LIST, 0)), "")</f>
        <v>No</v>
      </c>
    </row>
    <row r="6246" spans="1:24" x14ac:dyDescent="0.25">
      <c r="A6246" t="s">
        <v>2553</v>
      </c>
      <c r="B6246" t="s">
        <v>2554</v>
      </c>
      <c r="C6246" t="s">
        <v>2555</v>
      </c>
      <c r="D6246" t="s">
        <v>2556</v>
      </c>
      <c r="E6246" s="9">
        <v>45231</v>
      </c>
      <c r="F6246" s="9">
        <v>45260</v>
      </c>
      <c r="G6246">
        <v>29355482</v>
      </c>
      <c r="H6246">
        <v>2924270</v>
      </c>
      <c r="I6246">
        <v>8069962</v>
      </c>
      <c r="J6246">
        <v>3444704</v>
      </c>
      <c r="K6246">
        <v>1803971</v>
      </c>
      <c r="L6246">
        <v>116415</v>
      </c>
      <c r="M6246">
        <v>0</v>
      </c>
      <c r="N6246">
        <v>467142</v>
      </c>
      <c r="O6246">
        <v>0</v>
      </c>
      <c r="Q6246">
        <v>22349569</v>
      </c>
      <c r="R6246">
        <v>0</v>
      </c>
      <c r="T6246" s="9">
        <v>45108</v>
      </c>
      <c r="U6246" s="9">
        <v>45473</v>
      </c>
      <c r="V6246">
        <f>SUM(POTABLE_NONPOTABLE_API[[#This Row],[RESIDENTIAL_SINGLEFAMILY_GAL]:[OTHER_GAL]])</f>
        <v>45714804</v>
      </c>
      <c r="W6246">
        <f>SUM(POTABLE_NONPOTABLE_API[[#This Row],[NONPOTABLE_DEMAND_RESIDENTIAL_RECYCLED_WATER_GAL]:[NONPOTABLE_DEMAND_NONRESIDENTIAL_METERED_IRRIGATION_GAL]])</f>
        <v>22816711</v>
      </c>
      <c r="X6246" t="str">
        <f>IFERROR(INDEX(Crosswalk_API!$H$2:$H$527, MATCH(POTABLE_NONPOTABLE_API[[#This Row],[PWSID]], CW_PWSID_LIST, 0)), "")</f>
        <v>No</v>
      </c>
    </row>
    <row r="6247" spans="1:24" x14ac:dyDescent="0.25">
      <c r="A6247" t="s">
        <v>2553</v>
      </c>
      <c r="B6247" t="s">
        <v>2554</v>
      </c>
      <c r="C6247" t="s">
        <v>2555</v>
      </c>
      <c r="D6247" t="s">
        <v>2556</v>
      </c>
      <c r="E6247" s="9">
        <v>45261</v>
      </c>
      <c r="F6247" s="9">
        <v>45291</v>
      </c>
      <c r="G6247">
        <v>37206970</v>
      </c>
      <c r="H6247">
        <v>4289614</v>
      </c>
      <c r="I6247">
        <v>11292770</v>
      </c>
      <c r="J6247">
        <v>2380510</v>
      </c>
      <c r="K6247">
        <v>2369033</v>
      </c>
      <c r="L6247">
        <v>118947</v>
      </c>
      <c r="M6247">
        <v>0</v>
      </c>
      <c r="N6247">
        <v>328175</v>
      </c>
      <c r="O6247">
        <v>0</v>
      </c>
      <c r="Q6247">
        <v>21261389</v>
      </c>
      <c r="R6247">
        <v>0</v>
      </c>
      <c r="T6247" s="9">
        <v>45108</v>
      </c>
      <c r="U6247" s="9">
        <v>45473</v>
      </c>
      <c r="V6247">
        <f>SUM(POTABLE_NONPOTABLE_API[[#This Row],[RESIDENTIAL_SINGLEFAMILY_GAL]:[OTHER_GAL]])</f>
        <v>57657844</v>
      </c>
      <c r="W6247">
        <f>SUM(POTABLE_NONPOTABLE_API[[#This Row],[NONPOTABLE_DEMAND_RESIDENTIAL_RECYCLED_WATER_GAL]:[NONPOTABLE_DEMAND_NONRESIDENTIAL_METERED_IRRIGATION_GAL]])</f>
        <v>21589564</v>
      </c>
      <c r="X6247" t="str">
        <f>IFERROR(INDEX(Crosswalk_API!$H$2:$H$527, MATCH(POTABLE_NONPOTABLE_API[[#This Row],[PWSID]], CW_PWSID_LIST, 0)), "")</f>
        <v>No</v>
      </c>
    </row>
    <row r="6248" spans="1:24" x14ac:dyDescent="0.25">
      <c r="A6248" t="s">
        <v>2553</v>
      </c>
      <c r="B6248" t="s">
        <v>2554</v>
      </c>
      <c r="C6248" t="s">
        <v>2555</v>
      </c>
      <c r="D6248" t="s">
        <v>2556</v>
      </c>
      <c r="E6248" s="9">
        <v>45292</v>
      </c>
      <c r="F6248" s="9">
        <v>45322</v>
      </c>
      <c r="G6248">
        <v>27492521</v>
      </c>
      <c r="H6248">
        <v>3365845</v>
      </c>
      <c r="I6248">
        <v>8769654</v>
      </c>
      <c r="J6248">
        <v>1187023</v>
      </c>
      <c r="K6248">
        <v>1810671</v>
      </c>
      <c r="L6248">
        <v>105581</v>
      </c>
      <c r="M6248">
        <v>0</v>
      </c>
      <c r="N6248">
        <v>112158</v>
      </c>
      <c r="O6248">
        <v>0</v>
      </c>
      <c r="Q6248">
        <v>35333567</v>
      </c>
      <c r="R6248">
        <v>0</v>
      </c>
      <c r="T6248" s="9">
        <v>45108</v>
      </c>
      <c r="U6248" s="9">
        <v>45473</v>
      </c>
      <c r="V6248">
        <f>SUM(POTABLE_NONPOTABLE_API[[#This Row],[RESIDENTIAL_SINGLEFAMILY_GAL]:[OTHER_GAL]])</f>
        <v>42731295</v>
      </c>
      <c r="W6248">
        <f>SUM(POTABLE_NONPOTABLE_API[[#This Row],[NONPOTABLE_DEMAND_RESIDENTIAL_RECYCLED_WATER_GAL]:[NONPOTABLE_DEMAND_NONRESIDENTIAL_METERED_IRRIGATION_GAL]])</f>
        <v>35445725</v>
      </c>
      <c r="X6248" t="str">
        <f>IFERROR(INDEX(Crosswalk_API!$H$2:$H$527, MATCH(POTABLE_NONPOTABLE_API[[#This Row],[PWSID]], CW_PWSID_LIST, 0)), "")</f>
        <v>No</v>
      </c>
    </row>
    <row r="6249" spans="1:24" x14ac:dyDescent="0.25">
      <c r="A6249" t="s">
        <v>2553</v>
      </c>
      <c r="B6249" t="s">
        <v>2554</v>
      </c>
      <c r="C6249" t="s">
        <v>2555</v>
      </c>
      <c r="D6249" t="s">
        <v>2556</v>
      </c>
      <c r="E6249" s="9">
        <v>45323</v>
      </c>
      <c r="F6249" s="9">
        <v>45351</v>
      </c>
      <c r="G6249">
        <v>31148999</v>
      </c>
      <c r="H6249">
        <v>3885411</v>
      </c>
      <c r="I6249">
        <v>10446703</v>
      </c>
      <c r="J6249">
        <v>1374463</v>
      </c>
      <c r="K6249">
        <v>1964505</v>
      </c>
      <c r="L6249">
        <v>131513</v>
      </c>
      <c r="M6249">
        <v>0</v>
      </c>
      <c r="N6249">
        <v>101680</v>
      </c>
      <c r="O6249">
        <v>0</v>
      </c>
      <c r="P6249">
        <v>0</v>
      </c>
      <c r="Q6249">
        <v>39564123</v>
      </c>
      <c r="R6249">
        <v>0</v>
      </c>
      <c r="T6249" s="9">
        <v>45108</v>
      </c>
      <c r="U6249" s="9">
        <v>45473</v>
      </c>
      <c r="V6249">
        <f>SUM(POTABLE_NONPOTABLE_API[[#This Row],[RESIDENTIAL_SINGLEFAMILY_GAL]:[OTHER_GAL]])</f>
        <v>48951594</v>
      </c>
      <c r="W6249">
        <f>SUM(POTABLE_NONPOTABLE_API[[#This Row],[NONPOTABLE_DEMAND_RESIDENTIAL_RECYCLED_WATER_GAL]:[NONPOTABLE_DEMAND_NONRESIDENTIAL_METERED_IRRIGATION_GAL]])</f>
        <v>39665803</v>
      </c>
      <c r="X6249" t="str">
        <f>IFERROR(INDEX(Crosswalk_API!$H$2:$H$527, MATCH(POTABLE_NONPOTABLE_API[[#This Row],[PWSID]], CW_PWSID_LIST, 0)), "")</f>
        <v>No</v>
      </c>
    </row>
    <row r="6250" spans="1:24" x14ac:dyDescent="0.25">
      <c r="A6250" t="s">
        <v>2553</v>
      </c>
      <c r="B6250" t="s">
        <v>2554</v>
      </c>
      <c r="C6250" t="s">
        <v>2555</v>
      </c>
      <c r="D6250" t="s">
        <v>2556</v>
      </c>
      <c r="E6250" s="9">
        <v>45352</v>
      </c>
      <c r="F6250" s="9">
        <v>45382</v>
      </c>
      <c r="G6250">
        <v>29475933</v>
      </c>
      <c r="H6250">
        <v>3684786</v>
      </c>
      <c r="I6250">
        <v>10927528</v>
      </c>
      <c r="J6250">
        <v>948866</v>
      </c>
      <c r="K6250">
        <v>2306174</v>
      </c>
      <c r="L6250">
        <v>118419</v>
      </c>
      <c r="M6250">
        <v>0</v>
      </c>
      <c r="N6250">
        <v>130371</v>
      </c>
      <c r="O6250">
        <v>0</v>
      </c>
      <c r="Q6250">
        <v>46484814</v>
      </c>
      <c r="R6250">
        <v>0</v>
      </c>
      <c r="T6250" s="9">
        <v>45108</v>
      </c>
      <c r="U6250" s="9">
        <v>45473</v>
      </c>
      <c r="V6250">
        <f>SUM(POTABLE_NONPOTABLE_API[[#This Row],[RESIDENTIAL_SINGLEFAMILY_GAL]:[OTHER_GAL]])</f>
        <v>47461706</v>
      </c>
      <c r="W6250">
        <f>SUM(POTABLE_NONPOTABLE_API[[#This Row],[NONPOTABLE_DEMAND_RESIDENTIAL_RECYCLED_WATER_GAL]:[NONPOTABLE_DEMAND_NONRESIDENTIAL_METERED_IRRIGATION_GAL]])</f>
        <v>46615185</v>
      </c>
      <c r="X6250" t="str">
        <f>IFERROR(INDEX(Crosswalk_API!$H$2:$H$527, MATCH(POTABLE_NONPOTABLE_API[[#This Row],[PWSID]], CW_PWSID_LIST, 0)), "")</f>
        <v>No</v>
      </c>
    </row>
    <row r="6251" spans="1:24" x14ac:dyDescent="0.25">
      <c r="A6251" t="s">
        <v>2553</v>
      </c>
      <c r="B6251" t="s">
        <v>2554</v>
      </c>
      <c r="C6251" t="s">
        <v>2555</v>
      </c>
      <c r="D6251" t="s">
        <v>2556</v>
      </c>
      <c r="E6251" s="9">
        <v>45383</v>
      </c>
      <c r="F6251" s="9">
        <v>45412</v>
      </c>
      <c r="G6251">
        <v>40166616</v>
      </c>
      <c r="H6251">
        <v>4490657</v>
      </c>
      <c r="I6251">
        <v>13514264</v>
      </c>
      <c r="J6251">
        <v>2128433</v>
      </c>
      <c r="K6251">
        <v>3009480</v>
      </c>
      <c r="L6251">
        <v>209062</v>
      </c>
      <c r="M6251">
        <v>0</v>
      </c>
      <c r="N6251">
        <v>539749</v>
      </c>
      <c r="O6251">
        <v>0</v>
      </c>
      <c r="Q6251">
        <v>43314411</v>
      </c>
      <c r="R6251">
        <v>0</v>
      </c>
      <c r="T6251" s="9">
        <v>45108</v>
      </c>
      <c r="U6251" s="9">
        <v>45473</v>
      </c>
      <c r="V6251">
        <f>SUM(POTABLE_NONPOTABLE_API[[#This Row],[RESIDENTIAL_SINGLEFAMILY_GAL]:[OTHER_GAL]])</f>
        <v>63518512</v>
      </c>
      <c r="W6251">
        <f>SUM(POTABLE_NONPOTABLE_API[[#This Row],[NONPOTABLE_DEMAND_RESIDENTIAL_RECYCLED_WATER_GAL]:[NONPOTABLE_DEMAND_NONRESIDENTIAL_METERED_IRRIGATION_GAL]])</f>
        <v>43854160</v>
      </c>
      <c r="X6251" t="str">
        <f>IFERROR(INDEX(Crosswalk_API!$H$2:$H$527, MATCH(POTABLE_NONPOTABLE_API[[#This Row],[PWSID]], CW_PWSID_LIST, 0)), "")</f>
        <v>No</v>
      </c>
    </row>
    <row r="6252" spans="1:24" x14ac:dyDescent="0.25">
      <c r="A6252" t="s">
        <v>2553</v>
      </c>
      <c r="B6252" t="s">
        <v>2554</v>
      </c>
      <c r="C6252" t="s">
        <v>2555</v>
      </c>
      <c r="D6252" t="s">
        <v>2556</v>
      </c>
      <c r="E6252" s="9">
        <v>45413</v>
      </c>
      <c r="F6252" s="9">
        <v>45443</v>
      </c>
      <c r="G6252">
        <v>53039092</v>
      </c>
      <c r="H6252">
        <v>4265888</v>
      </c>
      <c r="I6252">
        <v>11869219</v>
      </c>
      <c r="J6252">
        <v>10926463</v>
      </c>
      <c r="K6252">
        <v>2517038</v>
      </c>
      <c r="L6252">
        <v>347308</v>
      </c>
      <c r="M6252">
        <v>0</v>
      </c>
      <c r="N6252">
        <v>1702792</v>
      </c>
      <c r="O6252">
        <v>0</v>
      </c>
      <c r="Q6252">
        <v>62618160</v>
      </c>
      <c r="R6252">
        <v>0</v>
      </c>
      <c r="T6252" s="9">
        <v>45108</v>
      </c>
      <c r="U6252" s="9">
        <v>45473</v>
      </c>
      <c r="V6252">
        <f>SUM(POTABLE_NONPOTABLE_API[[#This Row],[RESIDENTIAL_SINGLEFAMILY_GAL]:[OTHER_GAL]])</f>
        <v>82965008</v>
      </c>
      <c r="W6252">
        <f>SUM(POTABLE_NONPOTABLE_API[[#This Row],[NONPOTABLE_DEMAND_RESIDENTIAL_RECYCLED_WATER_GAL]:[NONPOTABLE_DEMAND_NONRESIDENTIAL_METERED_IRRIGATION_GAL]])</f>
        <v>64320952</v>
      </c>
      <c r="X6252" t="str">
        <f>IFERROR(INDEX(Crosswalk_API!$H$2:$H$527, MATCH(POTABLE_NONPOTABLE_API[[#This Row],[PWSID]], CW_PWSID_LIST, 0)), "")</f>
        <v>No</v>
      </c>
    </row>
    <row r="6253" spans="1:24" x14ac:dyDescent="0.25">
      <c r="A6253" t="s">
        <v>2553</v>
      </c>
      <c r="B6253" t="s">
        <v>2554</v>
      </c>
      <c r="C6253" t="s">
        <v>2555</v>
      </c>
      <c r="D6253" t="s">
        <v>2556</v>
      </c>
      <c r="E6253" s="9">
        <v>45444</v>
      </c>
      <c r="F6253" s="9">
        <v>45473</v>
      </c>
      <c r="G6253">
        <v>62337553</v>
      </c>
      <c r="H6253">
        <v>4325126</v>
      </c>
      <c r="I6253">
        <v>12113217</v>
      </c>
      <c r="J6253">
        <v>16648596</v>
      </c>
      <c r="K6253">
        <v>2932740</v>
      </c>
      <c r="L6253">
        <v>458676</v>
      </c>
      <c r="M6253">
        <v>0</v>
      </c>
      <c r="N6253">
        <v>2372989</v>
      </c>
      <c r="O6253">
        <v>0</v>
      </c>
      <c r="P6253">
        <v>0</v>
      </c>
      <c r="Q6253">
        <v>88841771</v>
      </c>
      <c r="R6253">
        <v>0</v>
      </c>
      <c r="T6253" s="9">
        <v>45108</v>
      </c>
      <c r="U6253" s="9">
        <v>45473</v>
      </c>
      <c r="V6253">
        <f>SUM(POTABLE_NONPOTABLE_API[[#This Row],[RESIDENTIAL_SINGLEFAMILY_GAL]:[OTHER_GAL]])</f>
        <v>98815908</v>
      </c>
      <c r="W6253">
        <f>SUM(POTABLE_NONPOTABLE_API[[#This Row],[NONPOTABLE_DEMAND_RESIDENTIAL_RECYCLED_WATER_GAL]:[NONPOTABLE_DEMAND_NONRESIDENTIAL_METERED_IRRIGATION_GAL]])</f>
        <v>91214760</v>
      </c>
      <c r="X6253" t="str">
        <f>IFERROR(INDEX(Crosswalk_API!$H$2:$H$527, MATCH(POTABLE_NONPOTABLE_API[[#This Row],[PWSID]], CW_PWSID_LIST, 0)), "")</f>
        <v>No</v>
      </c>
    </row>
    <row r="6254" spans="1:24" x14ac:dyDescent="0.25">
      <c r="A6254" t="s">
        <v>2557</v>
      </c>
      <c r="B6254" t="s">
        <v>2558</v>
      </c>
      <c r="C6254" t="s">
        <v>2559</v>
      </c>
      <c r="D6254" t="s">
        <v>2560</v>
      </c>
      <c r="E6254" s="9">
        <v>45108</v>
      </c>
      <c r="F6254" s="9">
        <v>45138</v>
      </c>
      <c r="G6254">
        <v>169474498</v>
      </c>
      <c r="H6254">
        <v>36655368</v>
      </c>
      <c r="I6254">
        <v>58830613</v>
      </c>
      <c r="J6254">
        <v>0</v>
      </c>
      <c r="K6254">
        <v>3492812</v>
      </c>
      <c r="L6254">
        <v>38214756</v>
      </c>
      <c r="M6254">
        <v>0</v>
      </c>
      <c r="N6254">
        <v>0</v>
      </c>
      <c r="O6254">
        <v>0</v>
      </c>
      <c r="P6254">
        <v>0</v>
      </c>
      <c r="Q6254">
        <v>18656290</v>
      </c>
      <c r="R6254">
        <v>0</v>
      </c>
      <c r="S6254">
        <v>0</v>
      </c>
      <c r="T6254" s="9">
        <v>45108</v>
      </c>
      <c r="U6254" s="9">
        <v>45473</v>
      </c>
      <c r="V6254">
        <f>SUM(POTABLE_NONPOTABLE_API[[#This Row],[RESIDENTIAL_SINGLEFAMILY_GAL]:[OTHER_GAL]])</f>
        <v>306668047</v>
      </c>
      <c r="W6254">
        <f>SUM(POTABLE_NONPOTABLE_API[[#This Row],[NONPOTABLE_DEMAND_RESIDENTIAL_RECYCLED_WATER_GAL]:[NONPOTABLE_DEMAND_NONRESIDENTIAL_METERED_IRRIGATION_GAL]])</f>
        <v>18656290</v>
      </c>
      <c r="X6254" t="str">
        <f>IFERROR(INDEX(Crosswalk_API!$H$2:$H$527, MATCH(POTABLE_NONPOTABLE_API[[#This Row],[PWSID]], CW_PWSID_LIST, 0)), "")</f>
        <v>No</v>
      </c>
    </row>
    <row r="6255" spans="1:24" x14ac:dyDescent="0.25">
      <c r="A6255" t="s">
        <v>2557</v>
      </c>
      <c r="B6255" t="s">
        <v>2558</v>
      </c>
      <c r="C6255" t="s">
        <v>2559</v>
      </c>
      <c r="D6255" t="s">
        <v>2560</v>
      </c>
      <c r="E6255" s="9">
        <v>45139</v>
      </c>
      <c r="F6255" s="9">
        <v>45169</v>
      </c>
      <c r="G6255">
        <v>178648443</v>
      </c>
      <c r="H6255">
        <v>39227343</v>
      </c>
      <c r="I6255">
        <v>61354884</v>
      </c>
      <c r="J6255">
        <v>0</v>
      </c>
      <c r="K6255">
        <v>3641031</v>
      </c>
      <c r="L6255">
        <v>48141433</v>
      </c>
      <c r="M6255">
        <v>0</v>
      </c>
      <c r="N6255">
        <v>0</v>
      </c>
      <c r="O6255">
        <v>0</v>
      </c>
      <c r="P6255">
        <v>0</v>
      </c>
      <c r="Q6255">
        <v>16130962</v>
      </c>
      <c r="R6255">
        <v>0</v>
      </c>
      <c r="S6255">
        <v>0</v>
      </c>
      <c r="T6255" s="9">
        <v>45108</v>
      </c>
      <c r="U6255" s="9">
        <v>45473</v>
      </c>
      <c r="V6255">
        <f>SUM(POTABLE_NONPOTABLE_API[[#This Row],[RESIDENTIAL_SINGLEFAMILY_GAL]:[OTHER_GAL]])</f>
        <v>331013134</v>
      </c>
      <c r="W6255">
        <f>SUM(POTABLE_NONPOTABLE_API[[#This Row],[NONPOTABLE_DEMAND_RESIDENTIAL_RECYCLED_WATER_GAL]:[NONPOTABLE_DEMAND_NONRESIDENTIAL_METERED_IRRIGATION_GAL]])</f>
        <v>16130962</v>
      </c>
      <c r="X6255" t="str">
        <f>IFERROR(INDEX(Crosswalk_API!$H$2:$H$527, MATCH(POTABLE_NONPOTABLE_API[[#This Row],[PWSID]], CW_PWSID_LIST, 0)), "")</f>
        <v>No</v>
      </c>
    </row>
    <row r="6256" spans="1:24" x14ac:dyDescent="0.25">
      <c r="A6256" t="s">
        <v>2557</v>
      </c>
      <c r="B6256" t="s">
        <v>2558</v>
      </c>
      <c r="C6256" t="s">
        <v>2559</v>
      </c>
      <c r="D6256" t="s">
        <v>2560</v>
      </c>
      <c r="E6256" s="9">
        <v>45170</v>
      </c>
      <c r="F6256" s="9">
        <v>45199</v>
      </c>
      <c r="G6256">
        <v>162129907</v>
      </c>
      <c r="H6256">
        <v>38176412</v>
      </c>
      <c r="I6256">
        <v>60393944</v>
      </c>
      <c r="J6256">
        <v>0</v>
      </c>
      <c r="K6256">
        <v>4217988</v>
      </c>
      <c r="L6256">
        <v>42716011</v>
      </c>
      <c r="M6256">
        <v>0</v>
      </c>
      <c r="N6256">
        <v>0</v>
      </c>
      <c r="O6256">
        <v>0</v>
      </c>
      <c r="P6256">
        <v>0</v>
      </c>
      <c r="Q6256">
        <v>5635449</v>
      </c>
      <c r="R6256">
        <v>0</v>
      </c>
      <c r="S6256">
        <v>0</v>
      </c>
      <c r="T6256" s="9">
        <v>45108</v>
      </c>
      <c r="U6256" s="9">
        <v>45473</v>
      </c>
      <c r="V6256">
        <f>SUM(POTABLE_NONPOTABLE_API[[#This Row],[RESIDENTIAL_SINGLEFAMILY_GAL]:[OTHER_GAL]])</f>
        <v>307634262</v>
      </c>
      <c r="W6256">
        <f>SUM(POTABLE_NONPOTABLE_API[[#This Row],[NONPOTABLE_DEMAND_RESIDENTIAL_RECYCLED_WATER_GAL]:[NONPOTABLE_DEMAND_NONRESIDENTIAL_METERED_IRRIGATION_GAL]])</f>
        <v>5635449</v>
      </c>
      <c r="X6256" t="str">
        <f>IFERROR(INDEX(Crosswalk_API!$H$2:$H$527, MATCH(POTABLE_NONPOTABLE_API[[#This Row],[PWSID]], CW_PWSID_LIST, 0)), "")</f>
        <v>No</v>
      </c>
    </row>
    <row r="6257" spans="1:24" x14ac:dyDescent="0.25">
      <c r="A6257" t="s">
        <v>2557</v>
      </c>
      <c r="B6257" t="s">
        <v>2558</v>
      </c>
      <c r="C6257" t="s">
        <v>2559</v>
      </c>
      <c r="D6257" t="s">
        <v>2560</v>
      </c>
      <c r="E6257" s="9">
        <v>45200</v>
      </c>
      <c r="F6257" s="9">
        <v>45230</v>
      </c>
      <c r="G6257">
        <v>134978523</v>
      </c>
      <c r="H6257">
        <v>33200737</v>
      </c>
      <c r="I6257">
        <v>30976482</v>
      </c>
      <c r="J6257">
        <v>12728397</v>
      </c>
      <c r="K6257">
        <v>4422812</v>
      </c>
      <c r="L6257">
        <v>31867194</v>
      </c>
      <c r="M6257">
        <v>0</v>
      </c>
      <c r="N6257">
        <v>0</v>
      </c>
      <c r="O6257">
        <v>0</v>
      </c>
      <c r="P6257">
        <v>0</v>
      </c>
      <c r="Q6257">
        <v>4319087</v>
      </c>
      <c r="R6257">
        <v>0</v>
      </c>
      <c r="T6257" s="9">
        <v>45108</v>
      </c>
      <c r="U6257" s="9">
        <v>45473</v>
      </c>
      <c r="V6257">
        <f>SUM(POTABLE_NONPOTABLE_API[[#This Row],[RESIDENTIAL_SINGLEFAMILY_GAL]:[OTHER_GAL]])</f>
        <v>248174145</v>
      </c>
      <c r="W6257">
        <f>SUM(POTABLE_NONPOTABLE_API[[#This Row],[NONPOTABLE_DEMAND_RESIDENTIAL_RECYCLED_WATER_GAL]:[NONPOTABLE_DEMAND_NONRESIDENTIAL_METERED_IRRIGATION_GAL]])</f>
        <v>4319087</v>
      </c>
      <c r="X6257" t="str">
        <f>IFERROR(INDEX(Crosswalk_API!$H$2:$H$527, MATCH(POTABLE_NONPOTABLE_API[[#This Row],[PWSID]], CW_PWSID_LIST, 0)), "")</f>
        <v>No</v>
      </c>
    </row>
    <row r="6258" spans="1:24" x14ac:dyDescent="0.25">
      <c r="A6258" t="s">
        <v>2557</v>
      </c>
      <c r="B6258" t="s">
        <v>2558</v>
      </c>
      <c r="C6258" t="s">
        <v>2559</v>
      </c>
      <c r="D6258" t="s">
        <v>2560</v>
      </c>
      <c r="E6258" s="9">
        <v>45231</v>
      </c>
      <c r="F6258" s="9">
        <v>45260</v>
      </c>
      <c r="G6258">
        <v>103174436</v>
      </c>
      <c r="H6258">
        <v>30463712</v>
      </c>
      <c r="I6258">
        <v>29014080</v>
      </c>
      <c r="J6258">
        <v>5239536</v>
      </c>
      <c r="K6258">
        <v>4899501</v>
      </c>
      <c r="L6258">
        <v>19326641</v>
      </c>
      <c r="M6258">
        <v>0</v>
      </c>
      <c r="N6258">
        <v>0</v>
      </c>
      <c r="O6258">
        <v>0</v>
      </c>
      <c r="P6258">
        <v>0</v>
      </c>
      <c r="Q6258">
        <v>1740508</v>
      </c>
      <c r="R6258">
        <v>0</v>
      </c>
      <c r="S6258">
        <v>0</v>
      </c>
      <c r="T6258" s="9">
        <v>45108</v>
      </c>
      <c r="U6258" s="9">
        <v>45473</v>
      </c>
      <c r="V6258">
        <f>SUM(POTABLE_NONPOTABLE_API[[#This Row],[RESIDENTIAL_SINGLEFAMILY_GAL]:[OTHER_GAL]])</f>
        <v>192117906</v>
      </c>
      <c r="W6258">
        <f>SUM(POTABLE_NONPOTABLE_API[[#This Row],[NONPOTABLE_DEMAND_RESIDENTIAL_RECYCLED_WATER_GAL]:[NONPOTABLE_DEMAND_NONRESIDENTIAL_METERED_IRRIGATION_GAL]])</f>
        <v>1740508</v>
      </c>
      <c r="X6258" t="str">
        <f>IFERROR(INDEX(Crosswalk_API!$H$2:$H$527, MATCH(POTABLE_NONPOTABLE_API[[#This Row],[PWSID]], CW_PWSID_LIST, 0)), "")</f>
        <v>No</v>
      </c>
    </row>
    <row r="6259" spans="1:24" x14ac:dyDescent="0.25">
      <c r="A6259" t="s">
        <v>2557</v>
      </c>
      <c r="B6259" t="s">
        <v>2558</v>
      </c>
      <c r="C6259" t="s">
        <v>2559</v>
      </c>
      <c r="D6259" t="s">
        <v>2560</v>
      </c>
      <c r="E6259" s="9">
        <v>45261</v>
      </c>
      <c r="F6259" s="9">
        <v>45291</v>
      </c>
      <c r="G6259">
        <v>81980300</v>
      </c>
      <c r="H6259">
        <v>26440218</v>
      </c>
      <c r="I6259">
        <v>24473910</v>
      </c>
      <c r="J6259">
        <v>2383489</v>
      </c>
      <c r="K6259">
        <v>2210007</v>
      </c>
      <c r="L6259">
        <v>13255784</v>
      </c>
      <c r="M6259">
        <v>0</v>
      </c>
      <c r="N6259">
        <v>0</v>
      </c>
      <c r="O6259">
        <v>0</v>
      </c>
      <c r="P6259">
        <v>0</v>
      </c>
      <c r="Q6259">
        <v>3672307</v>
      </c>
      <c r="R6259">
        <v>0</v>
      </c>
      <c r="S6259">
        <v>0</v>
      </c>
      <c r="T6259" s="9">
        <v>45108</v>
      </c>
      <c r="U6259" s="9">
        <v>45473</v>
      </c>
      <c r="V6259">
        <f>SUM(POTABLE_NONPOTABLE_API[[#This Row],[RESIDENTIAL_SINGLEFAMILY_GAL]:[OTHER_GAL]])</f>
        <v>150743708</v>
      </c>
      <c r="W6259">
        <f>SUM(POTABLE_NONPOTABLE_API[[#This Row],[NONPOTABLE_DEMAND_RESIDENTIAL_RECYCLED_WATER_GAL]:[NONPOTABLE_DEMAND_NONRESIDENTIAL_METERED_IRRIGATION_GAL]])</f>
        <v>3672307</v>
      </c>
      <c r="X6259" t="str">
        <f>IFERROR(INDEX(Crosswalk_API!$H$2:$H$527, MATCH(POTABLE_NONPOTABLE_API[[#This Row],[PWSID]], CW_PWSID_LIST, 0)), "")</f>
        <v>No</v>
      </c>
    </row>
    <row r="6260" spans="1:24" x14ac:dyDescent="0.25">
      <c r="A6260" t="s">
        <v>2557</v>
      </c>
      <c r="B6260" t="s">
        <v>2558</v>
      </c>
      <c r="C6260" t="s">
        <v>2559</v>
      </c>
      <c r="D6260" t="s">
        <v>2560</v>
      </c>
      <c r="E6260" s="9">
        <v>45292</v>
      </c>
      <c r="F6260" s="9">
        <v>45322</v>
      </c>
      <c r="G6260">
        <v>74978062</v>
      </c>
      <c r="H6260">
        <v>26154507</v>
      </c>
      <c r="I6260">
        <v>22342900</v>
      </c>
      <c r="J6260">
        <v>1290936</v>
      </c>
      <c r="K6260">
        <v>1940409</v>
      </c>
      <c r="L6260">
        <v>7068158</v>
      </c>
      <c r="M6260">
        <v>0</v>
      </c>
      <c r="N6260">
        <v>0</v>
      </c>
      <c r="O6260">
        <v>0</v>
      </c>
      <c r="Q6260">
        <v>2048293</v>
      </c>
      <c r="R6260">
        <v>0</v>
      </c>
      <c r="S6260">
        <v>0</v>
      </c>
      <c r="T6260" s="9">
        <v>45108</v>
      </c>
      <c r="U6260" s="9">
        <v>45473</v>
      </c>
      <c r="V6260">
        <f>SUM(POTABLE_NONPOTABLE_API[[#This Row],[RESIDENTIAL_SINGLEFAMILY_GAL]:[OTHER_GAL]])</f>
        <v>133774972</v>
      </c>
      <c r="W6260">
        <f>SUM(POTABLE_NONPOTABLE_API[[#This Row],[NONPOTABLE_DEMAND_RESIDENTIAL_RECYCLED_WATER_GAL]:[NONPOTABLE_DEMAND_NONRESIDENTIAL_METERED_IRRIGATION_GAL]])</f>
        <v>2048293</v>
      </c>
      <c r="X6260" t="str">
        <f>IFERROR(INDEX(Crosswalk_API!$H$2:$H$527, MATCH(POTABLE_NONPOTABLE_API[[#This Row],[PWSID]], CW_PWSID_LIST, 0)), "")</f>
        <v>No</v>
      </c>
    </row>
    <row r="6261" spans="1:24" x14ac:dyDescent="0.25">
      <c r="A6261" t="s">
        <v>2557</v>
      </c>
      <c r="B6261" t="s">
        <v>2558</v>
      </c>
      <c r="C6261" t="s">
        <v>2559</v>
      </c>
      <c r="D6261" t="s">
        <v>2560</v>
      </c>
      <c r="E6261" s="9">
        <v>45323</v>
      </c>
      <c r="F6261" s="9">
        <v>45351</v>
      </c>
      <c r="G6261">
        <v>72025020</v>
      </c>
      <c r="H6261">
        <v>25506726</v>
      </c>
      <c r="I6261">
        <v>21492851</v>
      </c>
      <c r="J6261">
        <v>1106795</v>
      </c>
      <c r="K6261">
        <v>1422391</v>
      </c>
      <c r="L6261">
        <v>5096653</v>
      </c>
      <c r="M6261">
        <v>0</v>
      </c>
      <c r="N6261">
        <v>0</v>
      </c>
      <c r="O6261">
        <v>0</v>
      </c>
      <c r="P6261">
        <v>0</v>
      </c>
      <c r="Q6261">
        <v>3740888</v>
      </c>
      <c r="R6261">
        <v>0</v>
      </c>
      <c r="S6261">
        <v>73848</v>
      </c>
      <c r="T6261" s="9">
        <v>45108</v>
      </c>
      <c r="U6261" s="9">
        <v>45473</v>
      </c>
      <c r="V6261">
        <f>SUM(POTABLE_NONPOTABLE_API[[#This Row],[RESIDENTIAL_SINGLEFAMILY_GAL]:[OTHER_GAL]])</f>
        <v>126650436</v>
      </c>
      <c r="W6261">
        <f>SUM(POTABLE_NONPOTABLE_API[[#This Row],[NONPOTABLE_DEMAND_RESIDENTIAL_RECYCLED_WATER_GAL]:[NONPOTABLE_DEMAND_NONRESIDENTIAL_METERED_IRRIGATION_GAL]])</f>
        <v>3814736</v>
      </c>
      <c r="X6261" t="str">
        <f>IFERROR(INDEX(Crosswalk_API!$H$2:$H$527, MATCH(POTABLE_NONPOTABLE_API[[#This Row],[PWSID]], CW_PWSID_LIST, 0)), "")</f>
        <v>No</v>
      </c>
    </row>
    <row r="6262" spans="1:24" x14ac:dyDescent="0.25">
      <c r="A6262" t="s">
        <v>2557</v>
      </c>
      <c r="B6262" t="s">
        <v>2558</v>
      </c>
      <c r="C6262" t="s">
        <v>2559</v>
      </c>
      <c r="D6262" t="s">
        <v>2560</v>
      </c>
      <c r="E6262" s="9">
        <v>45352</v>
      </c>
      <c r="F6262" s="9">
        <v>45382</v>
      </c>
      <c r="G6262">
        <v>71079280</v>
      </c>
      <c r="H6262">
        <v>23647300</v>
      </c>
      <c r="I6262">
        <v>20073514</v>
      </c>
      <c r="J6262">
        <v>727354</v>
      </c>
      <c r="K6262">
        <v>2167765</v>
      </c>
      <c r="L6262">
        <v>4295477</v>
      </c>
      <c r="M6262">
        <v>0</v>
      </c>
      <c r="N6262">
        <v>0</v>
      </c>
      <c r="O6262">
        <v>0</v>
      </c>
      <c r="P6262">
        <v>0</v>
      </c>
      <c r="Q6262">
        <v>5266144</v>
      </c>
      <c r="R6262">
        <v>0</v>
      </c>
      <c r="S6262">
        <v>151742</v>
      </c>
      <c r="T6262" s="9">
        <v>45108</v>
      </c>
      <c r="U6262" s="9">
        <v>45473</v>
      </c>
      <c r="V6262">
        <f>SUM(POTABLE_NONPOTABLE_API[[#This Row],[RESIDENTIAL_SINGLEFAMILY_GAL]:[OTHER_GAL]])</f>
        <v>121990690</v>
      </c>
      <c r="W6262">
        <f>SUM(POTABLE_NONPOTABLE_API[[#This Row],[NONPOTABLE_DEMAND_RESIDENTIAL_RECYCLED_WATER_GAL]:[NONPOTABLE_DEMAND_NONRESIDENTIAL_METERED_IRRIGATION_GAL]])</f>
        <v>5417886</v>
      </c>
      <c r="X6262" t="str">
        <f>IFERROR(INDEX(Crosswalk_API!$H$2:$H$527, MATCH(POTABLE_NONPOTABLE_API[[#This Row],[PWSID]], CW_PWSID_LIST, 0)), "")</f>
        <v>No</v>
      </c>
    </row>
    <row r="6263" spans="1:24" x14ac:dyDescent="0.25">
      <c r="A6263" t="s">
        <v>2557</v>
      </c>
      <c r="B6263" t="s">
        <v>2558</v>
      </c>
      <c r="C6263" t="s">
        <v>2559</v>
      </c>
      <c r="D6263" t="s">
        <v>2560</v>
      </c>
      <c r="E6263" s="9">
        <v>45383</v>
      </c>
      <c r="F6263" s="9">
        <v>45412</v>
      </c>
      <c r="G6263">
        <v>88879290</v>
      </c>
      <c r="H6263">
        <v>26985849</v>
      </c>
      <c r="I6263">
        <v>23949842</v>
      </c>
      <c r="J6263">
        <v>2815099</v>
      </c>
      <c r="K6263">
        <v>2411929</v>
      </c>
      <c r="L6263">
        <v>9461930</v>
      </c>
      <c r="M6263">
        <v>0</v>
      </c>
      <c r="N6263">
        <v>0</v>
      </c>
      <c r="O6263">
        <v>0</v>
      </c>
      <c r="P6263">
        <v>0</v>
      </c>
      <c r="Q6263">
        <v>784542</v>
      </c>
      <c r="R6263">
        <v>0</v>
      </c>
      <c r="S6263">
        <v>643384</v>
      </c>
      <c r="T6263" s="9">
        <v>45108</v>
      </c>
      <c r="U6263" s="9">
        <v>45473</v>
      </c>
      <c r="V6263">
        <f>SUM(POTABLE_NONPOTABLE_API[[#This Row],[RESIDENTIAL_SINGLEFAMILY_GAL]:[OTHER_GAL]])</f>
        <v>154503939</v>
      </c>
      <c r="W6263">
        <f>SUM(POTABLE_NONPOTABLE_API[[#This Row],[NONPOTABLE_DEMAND_RESIDENTIAL_RECYCLED_WATER_GAL]:[NONPOTABLE_DEMAND_NONRESIDENTIAL_METERED_IRRIGATION_GAL]])</f>
        <v>1427926</v>
      </c>
      <c r="X6263" t="str">
        <f>IFERROR(INDEX(Crosswalk_API!$H$2:$H$527, MATCH(POTABLE_NONPOTABLE_API[[#This Row],[PWSID]], CW_PWSID_LIST, 0)), "")</f>
        <v>No</v>
      </c>
    </row>
    <row r="6264" spans="1:24" x14ac:dyDescent="0.25">
      <c r="A6264" t="s">
        <v>2557</v>
      </c>
      <c r="B6264" t="s">
        <v>2558</v>
      </c>
      <c r="C6264" t="s">
        <v>2559</v>
      </c>
      <c r="D6264" t="s">
        <v>2560</v>
      </c>
      <c r="E6264" s="9">
        <v>45413</v>
      </c>
      <c r="F6264" s="9">
        <v>45443</v>
      </c>
      <c r="G6264">
        <v>129500862</v>
      </c>
      <c r="H6264">
        <v>31645988</v>
      </c>
      <c r="I6264">
        <v>30266019</v>
      </c>
      <c r="J6264">
        <v>13284304</v>
      </c>
      <c r="K6264">
        <v>2186833</v>
      </c>
      <c r="L6264">
        <v>28670669</v>
      </c>
      <c r="M6264">
        <v>0</v>
      </c>
      <c r="N6264">
        <v>0</v>
      </c>
      <c r="O6264">
        <v>0</v>
      </c>
      <c r="P6264">
        <v>0</v>
      </c>
      <c r="Q6264">
        <v>2663791</v>
      </c>
      <c r="R6264">
        <v>0</v>
      </c>
      <c r="S6264">
        <v>2443549</v>
      </c>
      <c r="T6264" s="9">
        <v>45108</v>
      </c>
      <c r="U6264" s="9">
        <v>45473</v>
      </c>
      <c r="V6264">
        <f>SUM(POTABLE_NONPOTABLE_API[[#This Row],[RESIDENTIAL_SINGLEFAMILY_GAL]:[OTHER_GAL]])</f>
        <v>235554675</v>
      </c>
      <c r="W6264">
        <f>SUM(POTABLE_NONPOTABLE_API[[#This Row],[NONPOTABLE_DEMAND_RESIDENTIAL_RECYCLED_WATER_GAL]:[NONPOTABLE_DEMAND_NONRESIDENTIAL_METERED_IRRIGATION_GAL]])</f>
        <v>5107340</v>
      </c>
      <c r="X6264" t="str">
        <f>IFERROR(INDEX(Crosswalk_API!$H$2:$H$527, MATCH(POTABLE_NONPOTABLE_API[[#This Row],[PWSID]], CW_PWSID_LIST, 0)), "")</f>
        <v>No</v>
      </c>
    </row>
    <row r="6265" spans="1:24" x14ac:dyDescent="0.25">
      <c r="A6265" t="s">
        <v>2557</v>
      </c>
      <c r="B6265" t="s">
        <v>2558</v>
      </c>
      <c r="C6265" t="s">
        <v>2559</v>
      </c>
      <c r="D6265" t="s">
        <v>2560</v>
      </c>
      <c r="E6265" s="9">
        <v>45444</v>
      </c>
      <c r="F6265" s="9">
        <v>45473</v>
      </c>
      <c r="G6265">
        <v>173033534</v>
      </c>
      <c r="H6265">
        <v>35768867</v>
      </c>
      <c r="I6265">
        <v>37206574</v>
      </c>
      <c r="J6265">
        <v>21740598</v>
      </c>
      <c r="K6265">
        <v>3955444</v>
      </c>
      <c r="L6265">
        <v>42692171</v>
      </c>
      <c r="M6265">
        <v>0</v>
      </c>
      <c r="N6265">
        <v>0</v>
      </c>
      <c r="O6265">
        <v>0</v>
      </c>
      <c r="P6265">
        <v>0</v>
      </c>
      <c r="Q6265">
        <v>4970543</v>
      </c>
      <c r="R6265">
        <v>0</v>
      </c>
      <c r="S6265">
        <v>3287165</v>
      </c>
      <c r="T6265" s="9">
        <v>45108</v>
      </c>
      <c r="U6265" s="9">
        <v>45473</v>
      </c>
      <c r="V6265">
        <f>SUM(POTABLE_NONPOTABLE_API[[#This Row],[RESIDENTIAL_SINGLEFAMILY_GAL]:[OTHER_GAL]])</f>
        <v>314397188</v>
      </c>
      <c r="W6265">
        <f>SUM(POTABLE_NONPOTABLE_API[[#This Row],[NONPOTABLE_DEMAND_RESIDENTIAL_RECYCLED_WATER_GAL]:[NONPOTABLE_DEMAND_NONRESIDENTIAL_METERED_IRRIGATION_GAL]])</f>
        <v>8257708</v>
      </c>
      <c r="X6265" t="str">
        <f>IFERROR(INDEX(Crosswalk_API!$H$2:$H$527, MATCH(POTABLE_NONPOTABLE_API[[#This Row],[PWSID]], CW_PWSID_LIST, 0)), "")</f>
        <v>No</v>
      </c>
    </row>
    <row r="6266" spans="1:24" x14ac:dyDescent="0.25">
      <c r="A6266" t="s">
        <v>2561</v>
      </c>
      <c r="B6266" t="s">
        <v>2562</v>
      </c>
      <c r="C6266" t="s">
        <v>2563</v>
      </c>
      <c r="D6266" t="s">
        <v>2564</v>
      </c>
      <c r="E6266" s="9">
        <v>45108</v>
      </c>
      <c r="F6266" s="9">
        <v>45138</v>
      </c>
      <c r="G6266">
        <v>322842786.05599999</v>
      </c>
      <c r="H6266">
        <v>8396135.648</v>
      </c>
      <c r="I6266">
        <v>30518277.444000002</v>
      </c>
      <c r="J6266">
        <v>92733762.284000009</v>
      </c>
      <c r="K6266">
        <v>0</v>
      </c>
      <c r="L6266">
        <v>2354119.6439999999</v>
      </c>
      <c r="M6266">
        <v>0</v>
      </c>
      <c r="N6266">
        <v>0</v>
      </c>
      <c r="O6266">
        <v>0</v>
      </c>
      <c r="P6266">
        <v>0</v>
      </c>
      <c r="Q6266">
        <v>0</v>
      </c>
      <c r="R6266">
        <v>15539834.189999999</v>
      </c>
      <c r="S6266">
        <v>0</v>
      </c>
      <c r="T6266" s="9">
        <v>45108</v>
      </c>
      <c r="U6266" s="9">
        <v>45473</v>
      </c>
      <c r="V6266">
        <f>SUM(POTABLE_NONPOTABLE_API[[#This Row],[RESIDENTIAL_SINGLEFAMILY_GAL]:[OTHER_GAL]])</f>
        <v>456845081.07600003</v>
      </c>
      <c r="W6266">
        <f>SUM(POTABLE_NONPOTABLE_API[[#This Row],[NONPOTABLE_DEMAND_RESIDENTIAL_RECYCLED_WATER_GAL]:[NONPOTABLE_DEMAND_NONRESIDENTIAL_METERED_IRRIGATION_GAL]])</f>
        <v>15539834.189999999</v>
      </c>
      <c r="X6266" t="str">
        <f>IFERROR(INDEX(Crosswalk_API!$H$2:$H$527, MATCH(POTABLE_NONPOTABLE_API[[#This Row],[PWSID]], CW_PWSID_LIST, 0)), "")</f>
        <v>No</v>
      </c>
    </row>
    <row r="6267" spans="1:24" x14ac:dyDescent="0.25">
      <c r="A6267" t="s">
        <v>2561</v>
      </c>
      <c r="B6267" t="s">
        <v>2562</v>
      </c>
      <c r="C6267" t="s">
        <v>2563</v>
      </c>
      <c r="D6267" t="s">
        <v>2564</v>
      </c>
      <c r="E6267" s="9">
        <v>45139</v>
      </c>
      <c r="F6267" s="9">
        <v>45169</v>
      </c>
      <c r="G6267">
        <v>480329425.56400001</v>
      </c>
      <c r="H6267">
        <v>17865725.916000001</v>
      </c>
      <c r="I6267">
        <v>52695775.088</v>
      </c>
      <c r="J6267">
        <v>142107438.44</v>
      </c>
      <c r="K6267">
        <v>0</v>
      </c>
      <c r="L6267">
        <v>2113994.952</v>
      </c>
      <c r="M6267">
        <v>0</v>
      </c>
      <c r="N6267">
        <v>0</v>
      </c>
      <c r="O6267">
        <v>0</v>
      </c>
      <c r="P6267">
        <v>0</v>
      </c>
      <c r="Q6267">
        <v>0</v>
      </c>
      <c r="R6267">
        <v>11795806.200000001</v>
      </c>
      <c r="S6267">
        <v>0</v>
      </c>
      <c r="T6267" s="9">
        <v>45108</v>
      </c>
      <c r="U6267" s="9">
        <v>45473</v>
      </c>
      <c r="V6267">
        <f>SUM(POTABLE_NONPOTABLE_API[[#This Row],[RESIDENTIAL_SINGLEFAMILY_GAL]:[OTHER_GAL]])</f>
        <v>695112359.96000016</v>
      </c>
      <c r="W6267">
        <f>SUM(POTABLE_NONPOTABLE_API[[#This Row],[NONPOTABLE_DEMAND_RESIDENTIAL_RECYCLED_WATER_GAL]:[NONPOTABLE_DEMAND_NONRESIDENTIAL_METERED_IRRIGATION_GAL]])</f>
        <v>11795806.200000001</v>
      </c>
      <c r="X6267" t="str">
        <f>IFERROR(INDEX(Crosswalk_API!$H$2:$H$527, MATCH(POTABLE_NONPOTABLE_API[[#This Row],[PWSID]], CW_PWSID_LIST, 0)), "")</f>
        <v>No</v>
      </c>
    </row>
    <row r="6268" spans="1:24" x14ac:dyDescent="0.25">
      <c r="A6268" t="s">
        <v>2561</v>
      </c>
      <c r="B6268" t="s">
        <v>2562</v>
      </c>
      <c r="C6268" t="s">
        <v>2563</v>
      </c>
      <c r="D6268" t="s">
        <v>2564</v>
      </c>
      <c r="E6268" s="9">
        <v>45170</v>
      </c>
      <c r="F6268" s="9">
        <v>45199</v>
      </c>
      <c r="G6268">
        <v>333135233.52399999</v>
      </c>
      <c r="H6268">
        <v>12388489.172</v>
      </c>
      <c r="I6268">
        <v>35513768.700000003</v>
      </c>
      <c r="J6268">
        <v>92023860.936000004</v>
      </c>
      <c r="K6268">
        <v>0</v>
      </c>
      <c r="L6268">
        <v>606670.17200000002</v>
      </c>
      <c r="M6268">
        <v>0</v>
      </c>
      <c r="N6268">
        <v>0</v>
      </c>
      <c r="O6268">
        <v>0</v>
      </c>
      <c r="P6268">
        <v>0</v>
      </c>
      <c r="Q6268">
        <v>0</v>
      </c>
      <c r="R6268">
        <v>9286753.5</v>
      </c>
      <c r="S6268">
        <v>0</v>
      </c>
      <c r="T6268" s="9">
        <v>45108</v>
      </c>
      <c r="U6268" s="9">
        <v>45473</v>
      </c>
      <c r="V6268">
        <f>SUM(POTABLE_NONPOTABLE_API[[#This Row],[RESIDENTIAL_SINGLEFAMILY_GAL]:[OTHER_GAL]])</f>
        <v>473668022.50399995</v>
      </c>
      <c r="W6268">
        <f>SUM(POTABLE_NONPOTABLE_API[[#This Row],[NONPOTABLE_DEMAND_RESIDENTIAL_RECYCLED_WATER_GAL]:[NONPOTABLE_DEMAND_NONRESIDENTIAL_METERED_IRRIGATION_GAL]])</f>
        <v>9286753.5</v>
      </c>
      <c r="X6268" t="str">
        <f>IFERROR(INDEX(Crosswalk_API!$H$2:$H$527, MATCH(POTABLE_NONPOTABLE_API[[#This Row],[PWSID]], CW_PWSID_LIST, 0)), "")</f>
        <v>No</v>
      </c>
    </row>
    <row r="6269" spans="1:24" x14ac:dyDescent="0.25">
      <c r="A6269" t="s">
        <v>2561</v>
      </c>
      <c r="B6269" t="s">
        <v>2562</v>
      </c>
      <c r="C6269" t="s">
        <v>2563</v>
      </c>
      <c r="D6269" t="s">
        <v>2564</v>
      </c>
      <c r="E6269" s="9">
        <v>45200</v>
      </c>
      <c r="F6269" s="9">
        <v>45230</v>
      </c>
      <c r="G6269">
        <v>337521062.40000004</v>
      </c>
      <c r="H6269">
        <v>12297974.880000001</v>
      </c>
      <c r="I6269">
        <v>36971722.048</v>
      </c>
      <c r="J6269">
        <v>92180951.856000006</v>
      </c>
      <c r="K6269">
        <v>0</v>
      </c>
      <c r="L6269">
        <v>443594.83600000001</v>
      </c>
      <c r="M6269">
        <v>0</v>
      </c>
      <c r="N6269">
        <v>0</v>
      </c>
      <c r="O6269">
        <v>0</v>
      </c>
      <c r="P6269">
        <v>0</v>
      </c>
      <c r="Q6269">
        <v>0</v>
      </c>
      <c r="R6269">
        <v>10264306.5</v>
      </c>
      <c r="S6269">
        <v>0</v>
      </c>
      <c r="T6269" s="9">
        <v>45108</v>
      </c>
      <c r="U6269" s="9">
        <v>45473</v>
      </c>
      <c r="V6269">
        <f>SUM(POTABLE_NONPOTABLE_API[[#This Row],[RESIDENTIAL_SINGLEFAMILY_GAL]:[OTHER_GAL]])</f>
        <v>479415306.02000004</v>
      </c>
      <c r="W6269">
        <f>SUM(POTABLE_NONPOTABLE_API[[#This Row],[NONPOTABLE_DEMAND_RESIDENTIAL_RECYCLED_WATER_GAL]:[NONPOTABLE_DEMAND_NONRESIDENTIAL_METERED_IRRIGATION_GAL]])</f>
        <v>10264306.5</v>
      </c>
      <c r="X6269" t="str">
        <f>IFERROR(INDEX(Crosswalk_API!$H$2:$H$527, MATCH(POTABLE_NONPOTABLE_API[[#This Row],[PWSID]], CW_PWSID_LIST, 0)), "")</f>
        <v>No</v>
      </c>
    </row>
    <row r="6270" spans="1:24" x14ac:dyDescent="0.25">
      <c r="A6270" t="s">
        <v>2561</v>
      </c>
      <c r="B6270" t="s">
        <v>2562</v>
      </c>
      <c r="C6270" t="s">
        <v>2563</v>
      </c>
      <c r="D6270" t="s">
        <v>2564</v>
      </c>
      <c r="E6270" s="9">
        <v>45231</v>
      </c>
      <c r="F6270" s="9">
        <v>45260</v>
      </c>
      <c r="G6270">
        <v>359470404.18400002</v>
      </c>
      <c r="H6270">
        <v>12487980.088</v>
      </c>
      <c r="I6270">
        <v>38092303.943999998</v>
      </c>
      <c r="J6270">
        <v>91733616.760000005</v>
      </c>
      <c r="K6270">
        <v>0</v>
      </c>
      <c r="L6270">
        <v>540841.59600000002</v>
      </c>
      <c r="M6270">
        <v>0</v>
      </c>
      <c r="N6270">
        <v>0</v>
      </c>
      <c r="O6270">
        <v>0</v>
      </c>
      <c r="P6270">
        <v>0</v>
      </c>
      <c r="Q6270">
        <v>0</v>
      </c>
      <c r="R6270">
        <v>7592328.2999999998</v>
      </c>
      <c r="S6270">
        <v>0</v>
      </c>
      <c r="T6270" s="9">
        <v>45108</v>
      </c>
      <c r="U6270" s="9">
        <v>45473</v>
      </c>
      <c r="V6270">
        <f>SUM(POTABLE_NONPOTABLE_API[[#This Row],[RESIDENTIAL_SINGLEFAMILY_GAL]:[OTHER_GAL]])</f>
        <v>502325146.57200003</v>
      </c>
      <c r="W6270">
        <f>SUM(POTABLE_NONPOTABLE_API[[#This Row],[NONPOTABLE_DEMAND_RESIDENTIAL_RECYCLED_WATER_GAL]:[NONPOTABLE_DEMAND_NONRESIDENTIAL_METERED_IRRIGATION_GAL]])</f>
        <v>7592328.2999999998</v>
      </c>
      <c r="X6270" t="str">
        <f>IFERROR(INDEX(Crosswalk_API!$H$2:$H$527, MATCH(POTABLE_NONPOTABLE_API[[#This Row],[PWSID]], CW_PWSID_LIST, 0)), "")</f>
        <v>No</v>
      </c>
    </row>
    <row r="6271" spans="1:24" x14ac:dyDescent="0.25">
      <c r="A6271" t="s">
        <v>2561</v>
      </c>
      <c r="B6271" t="s">
        <v>2562</v>
      </c>
      <c r="C6271" t="s">
        <v>2563</v>
      </c>
      <c r="D6271" t="s">
        <v>2564</v>
      </c>
      <c r="E6271" s="9">
        <v>45261</v>
      </c>
      <c r="F6271" s="9">
        <v>45291</v>
      </c>
      <c r="G6271">
        <v>276815894.54799998</v>
      </c>
      <c r="H6271">
        <v>11066681.288000001</v>
      </c>
      <c r="I6271">
        <v>30685841.092</v>
      </c>
      <c r="J6271">
        <v>64166404.456</v>
      </c>
      <c r="K6271">
        <v>0</v>
      </c>
      <c r="L6271">
        <v>379262.364</v>
      </c>
      <c r="M6271">
        <v>0</v>
      </c>
      <c r="N6271">
        <v>0</v>
      </c>
      <c r="O6271">
        <v>0</v>
      </c>
      <c r="P6271">
        <v>0</v>
      </c>
      <c r="Q6271">
        <v>0</v>
      </c>
      <c r="R6271">
        <v>4832370.33</v>
      </c>
      <c r="S6271">
        <v>0</v>
      </c>
      <c r="T6271" s="9">
        <v>45108</v>
      </c>
      <c r="U6271" s="9">
        <v>45473</v>
      </c>
      <c r="V6271">
        <f>SUM(POTABLE_NONPOTABLE_API[[#This Row],[RESIDENTIAL_SINGLEFAMILY_GAL]:[OTHER_GAL]])</f>
        <v>383114083.74799997</v>
      </c>
      <c r="W6271">
        <f>SUM(POTABLE_NONPOTABLE_API[[#This Row],[NONPOTABLE_DEMAND_RESIDENTIAL_RECYCLED_WATER_GAL]:[NONPOTABLE_DEMAND_NONRESIDENTIAL_METERED_IRRIGATION_GAL]])</f>
        <v>4832370.33</v>
      </c>
      <c r="X6271" t="str">
        <f>IFERROR(INDEX(Crosswalk_API!$H$2:$H$527, MATCH(POTABLE_NONPOTABLE_API[[#This Row],[PWSID]], CW_PWSID_LIST, 0)), "")</f>
        <v>No</v>
      </c>
    </row>
    <row r="6272" spans="1:24" x14ac:dyDescent="0.25">
      <c r="A6272" t="s">
        <v>2561</v>
      </c>
      <c r="B6272" t="s">
        <v>2562</v>
      </c>
      <c r="C6272" t="s">
        <v>2563</v>
      </c>
      <c r="D6272" t="s">
        <v>2564</v>
      </c>
      <c r="E6272" s="9">
        <v>45292</v>
      </c>
      <c r="F6272" s="9">
        <v>45322</v>
      </c>
      <c r="G6272">
        <v>225747880.61200002</v>
      </c>
      <c r="H6272">
        <v>11181881.296</v>
      </c>
      <c r="I6272">
        <v>25334277.083999999</v>
      </c>
      <c r="J6272">
        <v>28816459.144000001</v>
      </c>
      <c r="K6272">
        <v>0</v>
      </c>
      <c r="L6272">
        <v>48623.380000000005</v>
      </c>
      <c r="M6272">
        <v>0</v>
      </c>
      <c r="N6272">
        <v>0</v>
      </c>
      <c r="O6272">
        <v>0</v>
      </c>
      <c r="P6272">
        <v>0</v>
      </c>
      <c r="Q6272">
        <v>0</v>
      </c>
      <c r="R6272">
        <v>1577118.8399999999</v>
      </c>
      <c r="S6272">
        <v>0</v>
      </c>
      <c r="T6272" s="9">
        <v>45108</v>
      </c>
      <c r="U6272" s="9">
        <v>45473</v>
      </c>
      <c r="V6272">
        <f>SUM(POTABLE_NONPOTABLE_API[[#This Row],[RESIDENTIAL_SINGLEFAMILY_GAL]:[OTHER_GAL]])</f>
        <v>291129121.51600003</v>
      </c>
      <c r="W6272">
        <f>SUM(POTABLE_NONPOTABLE_API[[#This Row],[NONPOTABLE_DEMAND_RESIDENTIAL_RECYCLED_WATER_GAL]:[NONPOTABLE_DEMAND_NONRESIDENTIAL_METERED_IRRIGATION_GAL]])</f>
        <v>1577118.8399999999</v>
      </c>
      <c r="X6272" t="str">
        <f>IFERROR(INDEX(Crosswalk_API!$H$2:$H$527, MATCH(POTABLE_NONPOTABLE_API[[#This Row],[PWSID]], CW_PWSID_LIST, 0)), "")</f>
        <v>No</v>
      </c>
    </row>
    <row r="6273" spans="1:24" x14ac:dyDescent="0.25">
      <c r="A6273" t="s">
        <v>2561</v>
      </c>
      <c r="B6273" t="s">
        <v>2562</v>
      </c>
      <c r="C6273" t="s">
        <v>2563</v>
      </c>
      <c r="D6273" t="s">
        <v>2564</v>
      </c>
      <c r="E6273" s="9">
        <v>45323</v>
      </c>
      <c r="F6273" s="9">
        <v>45351</v>
      </c>
      <c r="G6273">
        <v>201313510.08399999</v>
      </c>
      <c r="H6273">
        <v>11081642.328</v>
      </c>
      <c r="I6273">
        <v>26866287.580000002</v>
      </c>
      <c r="J6273">
        <v>15981382.928000001</v>
      </c>
      <c r="K6273">
        <v>0</v>
      </c>
      <c r="L6273">
        <v>26181.82</v>
      </c>
      <c r="M6273">
        <v>0</v>
      </c>
      <c r="N6273">
        <v>0</v>
      </c>
      <c r="O6273">
        <v>0</v>
      </c>
      <c r="P6273">
        <v>0</v>
      </c>
      <c r="Q6273">
        <v>0</v>
      </c>
      <c r="R6273">
        <v>263939.31</v>
      </c>
      <c r="S6273">
        <v>0</v>
      </c>
      <c r="T6273" s="9">
        <v>45108</v>
      </c>
      <c r="U6273" s="9">
        <v>45473</v>
      </c>
      <c r="V6273">
        <f>SUM(POTABLE_NONPOTABLE_API[[#This Row],[RESIDENTIAL_SINGLEFAMILY_GAL]:[OTHER_GAL]])</f>
        <v>255269004.74000001</v>
      </c>
      <c r="W6273">
        <f>SUM(POTABLE_NONPOTABLE_API[[#This Row],[NONPOTABLE_DEMAND_RESIDENTIAL_RECYCLED_WATER_GAL]:[NONPOTABLE_DEMAND_NONRESIDENTIAL_METERED_IRRIGATION_GAL]])</f>
        <v>263939.31</v>
      </c>
      <c r="X6273" t="str">
        <f>IFERROR(INDEX(Crosswalk_API!$H$2:$H$527, MATCH(POTABLE_NONPOTABLE_API[[#This Row],[PWSID]], CW_PWSID_LIST, 0)), "")</f>
        <v>No</v>
      </c>
    </row>
    <row r="6274" spans="1:24" x14ac:dyDescent="0.25">
      <c r="A6274" t="s">
        <v>2561</v>
      </c>
      <c r="B6274" t="s">
        <v>2562</v>
      </c>
      <c r="C6274" t="s">
        <v>2563</v>
      </c>
      <c r="D6274" t="s">
        <v>2564</v>
      </c>
      <c r="E6274" s="9">
        <v>45352</v>
      </c>
      <c r="F6274" s="9">
        <v>45382</v>
      </c>
      <c r="G6274">
        <v>159068021.43600002</v>
      </c>
      <c r="H6274">
        <v>9783024.0559999999</v>
      </c>
      <c r="I6274">
        <v>22199939.204</v>
      </c>
      <c r="J6274">
        <v>7227678.4240000006</v>
      </c>
      <c r="K6274">
        <v>0</v>
      </c>
      <c r="L6274">
        <v>151854.55600000001</v>
      </c>
      <c r="M6274">
        <v>0</v>
      </c>
      <c r="N6274">
        <v>0</v>
      </c>
      <c r="O6274">
        <v>0</v>
      </c>
      <c r="P6274">
        <v>0</v>
      </c>
      <c r="Q6274">
        <v>0</v>
      </c>
      <c r="R6274">
        <v>2704563.3000000003</v>
      </c>
      <c r="S6274">
        <v>0</v>
      </c>
      <c r="T6274" s="9">
        <v>45108</v>
      </c>
      <c r="U6274" s="9">
        <v>45473</v>
      </c>
      <c r="V6274">
        <f>SUM(POTABLE_NONPOTABLE_API[[#This Row],[RESIDENTIAL_SINGLEFAMILY_GAL]:[OTHER_GAL]])</f>
        <v>198430517.676</v>
      </c>
      <c r="W6274">
        <f>SUM(POTABLE_NONPOTABLE_API[[#This Row],[NONPOTABLE_DEMAND_RESIDENTIAL_RECYCLED_WATER_GAL]:[NONPOTABLE_DEMAND_NONRESIDENTIAL_METERED_IRRIGATION_GAL]])</f>
        <v>2704563.3000000003</v>
      </c>
      <c r="X6274" t="str">
        <f>IFERROR(INDEX(Crosswalk_API!$H$2:$H$527, MATCH(POTABLE_NONPOTABLE_API[[#This Row],[PWSID]], CW_PWSID_LIST, 0)), "")</f>
        <v>No</v>
      </c>
    </row>
    <row r="6275" spans="1:24" x14ac:dyDescent="0.25">
      <c r="A6275" t="s">
        <v>2561</v>
      </c>
      <c r="B6275" t="s">
        <v>2562</v>
      </c>
      <c r="C6275" t="s">
        <v>2563</v>
      </c>
      <c r="D6275" t="s">
        <v>2564</v>
      </c>
      <c r="E6275" s="9">
        <v>45383</v>
      </c>
      <c r="F6275" s="9">
        <v>45412</v>
      </c>
      <c r="G6275">
        <v>206587276.68400002</v>
      </c>
      <c r="H6275">
        <v>11044987.780000001</v>
      </c>
      <c r="I6275">
        <v>26105518.696000002</v>
      </c>
      <c r="J6275">
        <v>27410869.436000001</v>
      </c>
      <c r="K6275">
        <v>0</v>
      </c>
      <c r="L6275">
        <v>121184.424</v>
      </c>
      <c r="M6275">
        <v>0</v>
      </c>
      <c r="N6275">
        <v>0</v>
      </c>
      <c r="O6275">
        <v>0</v>
      </c>
      <c r="P6275">
        <v>0</v>
      </c>
      <c r="Q6275">
        <v>0</v>
      </c>
      <c r="R6275">
        <v>5767562.7000000002</v>
      </c>
      <c r="S6275">
        <v>0</v>
      </c>
      <c r="T6275" s="9">
        <v>45108</v>
      </c>
      <c r="U6275" s="9">
        <v>45473</v>
      </c>
      <c r="V6275">
        <f>SUM(POTABLE_NONPOTABLE_API[[#This Row],[RESIDENTIAL_SINGLEFAMILY_GAL]:[OTHER_GAL]])</f>
        <v>271269837.02000004</v>
      </c>
      <c r="W6275">
        <f>SUM(POTABLE_NONPOTABLE_API[[#This Row],[NONPOTABLE_DEMAND_RESIDENTIAL_RECYCLED_WATER_GAL]:[NONPOTABLE_DEMAND_NONRESIDENTIAL_METERED_IRRIGATION_GAL]])</f>
        <v>5767562.7000000002</v>
      </c>
      <c r="X6275" t="str">
        <f>IFERROR(INDEX(Crosswalk_API!$H$2:$H$527, MATCH(POTABLE_NONPOTABLE_API[[#This Row],[PWSID]], CW_PWSID_LIST, 0)), "")</f>
        <v>No</v>
      </c>
    </row>
    <row r="6276" spans="1:24" x14ac:dyDescent="0.25">
      <c r="A6276" t="s">
        <v>2561</v>
      </c>
      <c r="B6276" t="s">
        <v>2562</v>
      </c>
      <c r="C6276" t="s">
        <v>2563</v>
      </c>
      <c r="D6276" t="s">
        <v>2564</v>
      </c>
      <c r="E6276" s="9">
        <v>45413</v>
      </c>
      <c r="F6276" s="9">
        <v>45443</v>
      </c>
      <c r="G6276">
        <v>309819200.736</v>
      </c>
      <c r="H6276">
        <v>12727356.728</v>
      </c>
      <c r="I6276">
        <v>34312397.188000001</v>
      </c>
      <c r="J6276">
        <v>69633168.472000003</v>
      </c>
      <c r="K6276">
        <v>0</v>
      </c>
      <c r="L6276">
        <v>617142.9</v>
      </c>
      <c r="M6276">
        <v>0</v>
      </c>
      <c r="N6276">
        <v>0</v>
      </c>
      <c r="O6276">
        <v>0</v>
      </c>
      <c r="P6276">
        <v>0</v>
      </c>
      <c r="Q6276">
        <v>0</v>
      </c>
      <c r="R6276">
        <v>11013763.799999999</v>
      </c>
      <c r="S6276">
        <v>0</v>
      </c>
      <c r="T6276" s="9">
        <v>45108</v>
      </c>
      <c r="U6276" s="9">
        <v>45473</v>
      </c>
      <c r="V6276">
        <f>SUM(POTABLE_NONPOTABLE_API[[#This Row],[RESIDENTIAL_SINGLEFAMILY_GAL]:[OTHER_GAL]])</f>
        <v>427109266.02399999</v>
      </c>
      <c r="W6276">
        <f>SUM(POTABLE_NONPOTABLE_API[[#This Row],[NONPOTABLE_DEMAND_RESIDENTIAL_RECYCLED_WATER_GAL]:[NONPOTABLE_DEMAND_NONRESIDENTIAL_METERED_IRRIGATION_GAL]])</f>
        <v>11013763.799999999</v>
      </c>
      <c r="X6276" t="str">
        <f>IFERROR(INDEX(Crosswalk_API!$H$2:$H$527, MATCH(POTABLE_NONPOTABLE_API[[#This Row],[PWSID]], CW_PWSID_LIST, 0)), "")</f>
        <v>No</v>
      </c>
    </row>
    <row r="6277" spans="1:24" x14ac:dyDescent="0.25">
      <c r="A6277" t="s">
        <v>2561</v>
      </c>
      <c r="B6277" t="s">
        <v>2562</v>
      </c>
      <c r="C6277" t="s">
        <v>2563</v>
      </c>
      <c r="D6277" t="s">
        <v>2564</v>
      </c>
      <c r="E6277" s="9">
        <v>45444</v>
      </c>
      <c r="F6277" s="9">
        <v>45473</v>
      </c>
      <c r="G6277">
        <v>314173611.42800003</v>
      </c>
      <c r="H6277">
        <v>11230504.676000001</v>
      </c>
      <c r="I6277">
        <v>32126589.244000003</v>
      </c>
      <c r="J6277">
        <v>81046945.887999997</v>
      </c>
      <c r="K6277">
        <v>0</v>
      </c>
      <c r="L6277">
        <v>380758.46799999999</v>
      </c>
      <c r="M6277">
        <v>0</v>
      </c>
      <c r="N6277">
        <v>0</v>
      </c>
      <c r="O6277">
        <v>0</v>
      </c>
      <c r="P6277">
        <v>0</v>
      </c>
      <c r="Q6277">
        <v>0</v>
      </c>
      <c r="R6277">
        <v>15099935.340000002</v>
      </c>
      <c r="S6277">
        <v>0</v>
      </c>
      <c r="T6277" s="9">
        <v>45108</v>
      </c>
      <c r="U6277" s="9">
        <v>45473</v>
      </c>
      <c r="V6277">
        <f>SUM(POTABLE_NONPOTABLE_API[[#This Row],[RESIDENTIAL_SINGLEFAMILY_GAL]:[OTHER_GAL]])</f>
        <v>438958409.70400006</v>
      </c>
      <c r="W6277">
        <f>SUM(POTABLE_NONPOTABLE_API[[#This Row],[NONPOTABLE_DEMAND_RESIDENTIAL_RECYCLED_WATER_GAL]:[NONPOTABLE_DEMAND_NONRESIDENTIAL_METERED_IRRIGATION_GAL]])</f>
        <v>15099935.340000002</v>
      </c>
      <c r="X6277" t="str">
        <f>IFERROR(INDEX(Crosswalk_API!$H$2:$H$527, MATCH(POTABLE_NONPOTABLE_API[[#This Row],[PWSID]], CW_PWSID_LIST, 0)), "")</f>
        <v>No</v>
      </c>
    </row>
    <row r="6278" spans="1:24" x14ac:dyDescent="0.25">
      <c r="A6278" t="s">
        <v>2565</v>
      </c>
      <c r="B6278" t="s">
        <v>2566</v>
      </c>
      <c r="C6278" t="s">
        <v>2567</v>
      </c>
      <c r="D6278" t="s">
        <v>2568</v>
      </c>
      <c r="E6278" s="9">
        <v>45108</v>
      </c>
      <c r="F6278" s="9">
        <v>45138</v>
      </c>
      <c r="G6278">
        <v>38396044</v>
      </c>
      <c r="H6278">
        <v>8749627</v>
      </c>
      <c r="I6278">
        <v>20336878</v>
      </c>
      <c r="J6278">
        <v>7180487</v>
      </c>
      <c r="K6278">
        <v>2198235</v>
      </c>
      <c r="L6278">
        <v>789005</v>
      </c>
      <c r="M6278">
        <v>0</v>
      </c>
      <c r="T6278" s="9">
        <v>45108</v>
      </c>
      <c r="U6278" s="9">
        <v>45473</v>
      </c>
      <c r="V6278">
        <f>SUM(POTABLE_NONPOTABLE_API[[#This Row],[RESIDENTIAL_SINGLEFAMILY_GAL]:[OTHER_GAL]])</f>
        <v>77650276</v>
      </c>
      <c r="W6278">
        <f>SUM(POTABLE_NONPOTABLE_API[[#This Row],[NONPOTABLE_DEMAND_RESIDENTIAL_RECYCLED_WATER_GAL]:[NONPOTABLE_DEMAND_NONRESIDENTIAL_METERED_IRRIGATION_GAL]])</f>
        <v>0</v>
      </c>
      <c r="X6278" t="str">
        <f>IFERROR(INDEX(Crosswalk_API!$H$2:$H$527, MATCH(POTABLE_NONPOTABLE_API[[#This Row],[PWSID]], CW_PWSID_LIST, 0)), "")</f>
        <v>No</v>
      </c>
    </row>
    <row r="6279" spans="1:24" x14ac:dyDescent="0.25">
      <c r="A6279" t="s">
        <v>2565</v>
      </c>
      <c r="B6279" t="s">
        <v>2566</v>
      </c>
      <c r="C6279" t="s">
        <v>2567</v>
      </c>
      <c r="D6279" t="s">
        <v>2568</v>
      </c>
      <c r="E6279" s="9">
        <v>45139</v>
      </c>
      <c r="F6279" s="9">
        <v>45169</v>
      </c>
      <c r="G6279">
        <v>40808608</v>
      </c>
      <c r="H6279">
        <v>8769322</v>
      </c>
      <c r="I6279">
        <v>21296868</v>
      </c>
      <c r="J6279">
        <v>8309854</v>
      </c>
      <c r="K6279">
        <v>2171686</v>
      </c>
      <c r="L6279">
        <v>762099</v>
      </c>
      <c r="M6279">
        <v>0</v>
      </c>
      <c r="T6279" s="9">
        <v>45108</v>
      </c>
      <c r="U6279" s="9">
        <v>45473</v>
      </c>
      <c r="V6279">
        <f>SUM(POTABLE_NONPOTABLE_API[[#This Row],[RESIDENTIAL_SINGLEFAMILY_GAL]:[OTHER_GAL]])</f>
        <v>82118437</v>
      </c>
      <c r="W6279">
        <f>SUM(POTABLE_NONPOTABLE_API[[#This Row],[NONPOTABLE_DEMAND_RESIDENTIAL_RECYCLED_WATER_GAL]:[NONPOTABLE_DEMAND_NONRESIDENTIAL_METERED_IRRIGATION_GAL]])</f>
        <v>0</v>
      </c>
      <c r="X6279" t="str">
        <f>IFERROR(INDEX(Crosswalk_API!$H$2:$H$527, MATCH(POTABLE_NONPOTABLE_API[[#This Row],[PWSID]], CW_PWSID_LIST, 0)), "")</f>
        <v>No</v>
      </c>
    </row>
    <row r="6280" spans="1:24" x14ac:dyDescent="0.25">
      <c r="A6280" t="s">
        <v>2565</v>
      </c>
      <c r="B6280" t="s">
        <v>2566</v>
      </c>
      <c r="C6280" t="s">
        <v>2567</v>
      </c>
      <c r="D6280" t="s">
        <v>2568</v>
      </c>
      <c r="E6280" s="9">
        <v>45170</v>
      </c>
      <c r="F6280" s="9">
        <v>45199</v>
      </c>
      <c r="G6280">
        <v>28518193</v>
      </c>
      <c r="H6280">
        <v>7065492</v>
      </c>
      <c r="I6280">
        <v>17618427</v>
      </c>
      <c r="J6280">
        <v>7369978</v>
      </c>
      <c r="K6280">
        <v>1885354</v>
      </c>
      <c r="L6280">
        <v>1089219</v>
      </c>
      <c r="M6280">
        <v>0</v>
      </c>
      <c r="T6280" s="9">
        <v>45108</v>
      </c>
      <c r="U6280" s="9">
        <v>45473</v>
      </c>
      <c r="V6280">
        <f>SUM(POTABLE_NONPOTABLE_API[[#This Row],[RESIDENTIAL_SINGLEFAMILY_GAL]:[OTHER_GAL]])</f>
        <v>63546663</v>
      </c>
      <c r="W6280">
        <f>SUM(POTABLE_NONPOTABLE_API[[#This Row],[NONPOTABLE_DEMAND_RESIDENTIAL_RECYCLED_WATER_GAL]:[NONPOTABLE_DEMAND_NONRESIDENTIAL_METERED_IRRIGATION_GAL]])</f>
        <v>0</v>
      </c>
      <c r="X6280" t="str">
        <f>IFERROR(INDEX(Crosswalk_API!$H$2:$H$527, MATCH(POTABLE_NONPOTABLE_API[[#This Row],[PWSID]], CW_PWSID_LIST, 0)), "")</f>
        <v>No</v>
      </c>
    </row>
    <row r="6281" spans="1:24" x14ac:dyDescent="0.25">
      <c r="A6281" t="s">
        <v>2565</v>
      </c>
      <c r="B6281" t="s">
        <v>2566</v>
      </c>
      <c r="C6281" t="s">
        <v>2567</v>
      </c>
      <c r="D6281" t="s">
        <v>2568</v>
      </c>
      <c r="E6281" s="9">
        <v>45200</v>
      </c>
      <c r="F6281" s="9">
        <v>45230</v>
      </c>
      <c r="G6281">
        <v>25262008</v>
      </c>
      <c r="H6281">
        <v>6866574</v>
      </c>
      <c r="I6281">
        <v>16326111</v>
      </c>
      <c r="J6281">
        <v>5263789</v>
      </c>
      <c r="K6281">
        <v>1843439</v>
      </c>
      <c r="L6281">
        <v>578032</v>
      </c>
      <c r="M6281">
        <v>0</v>
      </c>
      <c r="T6281" s="9">
        <v>45108</v>
      </c>
      <c r="U6281" s="9">
        <v>45473</v>
      </c>
      <c r="V6281">
        <f>SUM(POTABLE_NONPOTABLE_API[[#This Row],[RESIDENTIAL_SINGLEFAMILY_GAL]:[OTHER_GAL]])</f>
        <v>56139953</v>
      </c>
      <c r="W6281">
        <f>SUM(POTABLE_NONPOTABLE_API[[#This Row],[NONPOTABLE_DEMAND_RESIDENTIAL_RECYCLED_WATER_GAL]:[NONPOTABLE_DEMAND_NONRESIDENTIAL_METERED_IRRIGATION_GAL]])</f>
        <v>0</v>
      </c>
      <c r="X6281" t="str">
        <f>IFERROR(INDEX(Crosswalk_API!$H$2:$H$527, MATCH(POTABLE_NONPOTABLE_API[[#This Row],[PWSID]], CW_PWSID_LIST, 0)), "")</f>
        <v>No</v>
      </c>
    </row>
    <row r="6282" spans="1:24" x14ac:dyDescent="0.25">
      <c r="A6282" t="s">
        <v>2565</v>
      </c>
      <c r="B6282" t="s">
        <v>2566</v>
      </c>
      <c r="C6282" t="s">
        <v>2567</v>
      </c>
      <c r="D6282" t="s">
        <v>2568</v>
      </c>
      <c r="E6282" s="9">
        <v>45231</v>
      </c>
      <c r="F6282" s="9">
        <v>45260</v>
      </c>
      <c r="G6282">
        <v>10487278</v>
      </c>
      <c r="H6282">
        <v>4303505</v>
      </c>
      <c r="I6282">
        <v>7337376</v>
      </c>
      <c r="J6282">
        <v>1099849</v>
      </c>
      <c r="K6282">
        <v>1254809</v>
      </c>
      <c r="L6282">
        <v>2003333</v>
      </c>
      <c r="M6282">
        <v>0</v>
      </c>
      <c r="T6282" s="9">
        <v>45108</v>
      </c>
      <c r="U6282" s="9">
        <v>45473</v>
      </c>
      <c r="V6282">
        <f>SUM(POTABLE_NONPOTABLE_API[[#This Row],[RESIDENTIAL_SINGLEFAMILY_GAL]:[OTHER_GAL]])</f>
        <v>26486150</v>
      </c>
      <c r="W6282">
        <f>SUM(POTABLE_NONPOTABLE_API[[#This Row],[NONPOTABLE_DEMAND_RESIDENTIAL_RECYCLED_WATER_GAL]:[NONPOTABLE_DEMAND_NONRESIDENTIAL_METERED_IRRIGATION_GAL]])</f>
        <v>0</v>
      </c>
      <c r="X6282" t="str">
        <f>IFERROR(INDEX(Crosswalk_API!$H$2:$H$527, MATCH(POTABLE_NONPOTABLE_API[[#This Row],[PWSID]], CW_PWSID_LIST, 0)), "")</f>
        <v>No</v>
      </c>
    </row>
    <row r="6283" spans="1:24" x14ac:dyDescent="0.25">
      <c r="A6283" t="s">
        <v>2565</v>
      </c>
      <c r="B6283" t="s">
        <v>2566</v>
      </c>
      <c r="C6283" t="s">
        <v>2567</v>
      </c>
      <c r="D6283" t="s">
        <v>2568</v>
      </c>
      <c r="E6283" s="9">
        <v>45261</v>
      </c>
      <c r="F6283" s="9">
        <v>45291</v>
      </c>
      <c r="G6283">
        <v>8202466</v>
      </c>
      <c r="H6283">
        <v>4187478</v>
      </c>
      <c r="I6283">
        <v>6055249</v>
      </c>
      <c r="J6283">
        <v>76725</v>
      </c>
      <c r="K6283">
        <v>819307</v>
      </c>
      <c r="L6283">
        <v>121302</v>
      </c>
      <c r="M6283">
        <v>0</v>
      </c>
      <c r="T6283" s="9">
        <v>45108</v>
      </c>
      <c r="U6283" s="9">
        <v>45473</v>
      </c>
      <c r="V6283">
        <f>SUM(POTABLE_NONPOTABLE_API[[#This Row],[RESIDENTIAL_SINGLEFAMILY_GAL]:[OTHER_GAL]])</f>
        <v>19462527</v>
      </c>
      <c r="W6283">
        <f>SUM(POTABLE_NONPOTABLE_API[[#This Row],[NONPOTABLE_DEMAND_RESIDENTIAL_RECYCLED_WATER_GAL]:[NONPOTABLE_DEMAND_NONRESIDENTIAL_METERED_IRRIGATION_GAL]])</f>
        <v>0</v>
      </c>
      <c r="X6283" t="str">
        <f>IFERROR(INDEX(Crosswalk_API!$H$2:$H$527, MATCH(POTABLE_NONPOTABLE_API[[#This Row],[PWSID]], CW_PWSID_LIST, 0)), "")</f>
        <v>No</v>
      </c>
    </row>
    <row r="6284" spans="1:24" x14ac:dyDescent="0.25">
      <c r="A6284" t="s">
        <v>2565</v>
      </c>
      <c r="B6284" t="s">
        <v>2566</v>
      </c>
      <c r="C6284" t="s">
        <v>2567</v>
      </c>
      <c r="D6284" t="s">
        <v>2568</v>
      </c>
      <c r="E6284" s="9">
        <v>45292</v>
      </c>
      <c r="F6284" s="9">
        <v>45322</v>
      </c>
      <c r="G6284">
        <v>9723462</v>
      </c>
      <c r="H6284">
        <v>4700234</v>
      </c>
      <c r="I6284">
        <v>6175699</v>
      </c>
      <c r="J6284">
        <v>57164</v>
      </c>
      <c r="K6284">
        <v>753850</v>
      </c>
      <c r="L6284">
        <v>147709</v>
      </c>
      <c r="M6284">
        <v>0</v>
      </c>
      <c r="T6284" s="9">
        <v>45108</v>
      </c>
      <c r="U6284" s="9">
        <v>45473</v>
      </c>
      <c r="V6284">
        <f>SUM(POTABLE_NONPOTABLE_API[[#This Row],[RESIDENTIAL_SINGLEFAMILY_GAL]:[OTHER_GAL]])</f>
        <v>21558118</v>
      </c>
      <c r="W6284">
        <f>SUM(POTABLE_NONPOTABLE_API[[#This Row],[NONPOTABLE_DEMAND_RESIDENTIAL_RECYCLED_WATER_GAL]:[NONPOTABLE_DEMAND_NONRESIDENTIAL_METERED_IRRIGATION_GAL]])</f>
        <v>0</v>
      </c>
      <c r="X6284" t="str">
        <f>IFERROR(INDEX(Crosswalk_API!$H$2:$H$527, MATCH(POTABLE_NONPOTABLE_API[[#This Row],[PWSID]], CW_PWSID_LIST, 0)), "")</f>
        <v>No</v>
      </c>
    </row>
    <row r="6285" spans="1:24" x14ac:dyDescent="0.25">
      <c r="A6285" t="s">
        <v>2565</v>
      </c>
      <c r="B6285" t="s">
        <v>2566</v>
      </c>
      <c r="C6285" t="s">
        <v>2567</v>
      </c>
      <c r="D6285" t="s">
        <v>2568</v>
      </c>
      <c r="E6285" s="9">
        <v>45323</v>
      </c>
      <c r="F6285" s="9">
        <v>45351</v>
      </c>
      <c r="G6285">
        <v>9002095</v>
      </c>
      <c r="H6285">
        <v>4684545</v>
      </c>
      <c r="I6285">
        <v>6807903</v>
      </c>
      <c r="J6285">
        <v>48338</v>
      </c>
      <c r="K6285">
        <v>974921</v>
      </c>
      <c r="L6285">
        <v>144169</v>
      </c>
      <c r="M6285">
        <v>0</v>
      </c>
      <c r="T6285" s="9">
        <v>45108</v>
      </c>
      <c r="U6285" s="9">
        <v>45473</v>
      </c>
      <c r="V6285">
        <f>SUM(POTABLE_NONPOTABLE_API[[#This Row],[RESIDENTIAL_SINGLEFAMILY_GAL]:[OTHER_GAL]])</f>
        <v>21661971</v>
      </c>
      <c r="W6285">
        <f>SUM(POTABLE_NONPOTABLE_API[[#This Row],[NONPOTABLE_DEMAND_RESIDENTIAL_RECYCLED_WATER_GAL]:[NONPOTABLE_DEMAND_NONRESIDENTIAL_METERED_IRRIGATION_GAL]])</f>
        <v>0</v>
      </c>
      <c r="X6285" t="str">
        <f>IFERROR(INDEX(Crosswalk_API!$H$2:$H$527, MATCH(POTABLE_NONPOTABLE_API[[#This Row],[PWSID]], CW_PWSID_LIST, 0)), "")</f>
        <v>No</v>
      </c>
    </row>
    <row r="6286" spans="1:24" x14ac:dyDescent="0.25">
      <c r="A6286" t="s">
        <v>2565</v>
      </c>
      <c r="B6286" t="s">
        <v>2566</v>
      </c>
      <c r="C6286" t="s">
        <v>2567</v>
      </c>
      <c r="D6286" t="s">
        <v>2568</v>
      </c>
      <c r="E6286" s="9">
        <v>45352</v>
      </c>
      <c r="F6286" s="9">
        <v>45382</v>
      </c>
      <c r="G6286">
        <v>7493072</v>
      </c>
      <c r="H6286">
        <v>3726859</v>
      </c>
      <c r="I6286">
        <v>6175520</v>
      </c>
      <c r="J6286">
        <v>45686</v>
      </c>
      <c r="K6286">
        <v>809906</v>
      </c>
      <c r="L6286">
        <v>118829</v>
      </c>
      <c r="M6286">
        <v>0</v>
      </c>
      <c r="T6286" s="9">
        <v>45108</v>
      </c>
      <c r="U6286" s="9">
        <v>45473</v>
      </c>
      <c r="V6286">
        <f>SUM(POTABLE_NONPOTABLE_API[[#This Row],[RESIDENTIAL_SINGLEFAMILY_GAL]:[OTHER_GAL]])</f>
        <v>18369872</v>
      </c>
      <c r="W6286">
        <f>SUM(POTABLE_NONPOTABLE_API[[#This Row],[NONPOTABLE_DEMAND_RESIDENTIAL_RECYCLED_WATER_GAL]:[NONPOTABLE_DEMAND_NONRESIDENTIAL_METERED_IRRIGATION_GAL]])</f>
        <v>0</v>
      </c>
      <c r="X6286" t="str">
        <f>IFERROR(INDEX(Crosswalk_API!$H$2:$H$527, MATCH(POTABLE_NONPOTABLE_API[[#This Row],[PWSID]], CW_PWSID_LIST, 0)), "")</f>
        <v>No</v>
      </c>
    </row>
    <row r="6287" spans="1:24" x14ac:dyDescent="0.25">
      <c r="A6287" t="s">
        <v>2565</v>
      </c>
      <c r="B6287" t="s">
        <v>2566</v>
      </c>
      <c r="C6287" t="s">
        <v>2567</v>
      </c>
      <c r="D6287" t="s">
        <v>2568</v>
      </c>
      <c r="E6287" s="9">
        <v>45383</v>
      </c>
      <c r="F6287" s="9">
        <v>45412</v>
      </c>
      <c r="G6287">
        <v>10919183</v>
      </c>
      <c r="H6287">
        <v>4889590</v>
      </c>
      <c r="I6287">
        <v>7890807</v>
      </c>
      <c r="J6287">
        <v>289874</v>
      </c>
      <c r="K6287">
        <v>1022543</v>
      </c>
      <c r="L6287">
        <v>457510</v>
      </c>
      <c r="M6287">
        <v>0</v>
      </c>
      <c r="T6287" s="9">
        <v>45108</v>
      </c>
      <c r="U6287" s="9">
        <v>45473</v>
      </c>
      <c r="V6287">
        <f>SUM(POTABLE_NONPOTABLE_API[[#This Row],[RESIDENTIAL_SINGLEFAMILY_GAL]:[OTHER_GAL]])</f>
        <v>25469507</v>
      </c>
      <c r="W6287">
        <f>SUM(POTABLE_NONPOTABLE_API[[#This Row],[NONPOTABLE_DEMAND_RESIDENTIAL_RECYCLED_WATER_GAL]:[NONPOTABLE_DEMAND_NONRESIDENTIAL_METERED_IRRIGATION_GAL]])</f>
        <v>0</v>
      </c>
      <c r="X6287" t="str">
        <f>IFERROR(INDEX(Crosswalk_API!$H$2:$H$527, MATCH(POTABLE_NONPOTABLE_API[[#This Row],[PWSID]], CW_PWSID_LIST, 0)), "")</f>
        <v>No</v>
      </c>
    </row>
    <row r="6288" spans="1:24" x14ac:dyDescent="0.25">
      <c r="A6288" t="s">
        <v>2565</v>
      </c>
      <c r="B6288" t="s">
        <v>2566</v>
      </c>
      <c r="C6288" t="s">
        <v>2567</v>
      </c>
      <c r="D6288" t="s">
        <v>2568</v>
      </c>
      <c r="E6288" s="9">
        <v>45413</v>
      </c>
      <c r="F6288" s="9">
        <v>45443</v>
      </c>
      <c r="G6288">
        <v>27291571</v>
      </c>
      <c r="H6288">
        <v>10155650</v>
      </c>
      <c r="I6288">
        <v>17491879</v>
      </c>
      <c r="J6288">
        <v>2541783</v>
      </c>
      <c r="K6288">
        <v>2007855</v>
      </c>
      <c r="L6288">
        <v>362890</v>
      </c>
      <c r="M6288">
        <v>0</v>
      </c>
      <c r="T6288" s="9">
        <v>45108</v>
      </c>
      <c r="U6288" s="9">
        <v>45473</v>
      </c>
      <c r="V6288">
        <f>SUM(POTABLE_NONPOTABLE_API[[#This Row],[RESIDENTIAL_SINGLEFAMILY_GAL]:[OTHER_GAL]])</f>
        <v>59851628</v>
      </c>
      <c r="W6288">
        <f>SUM(POTABLE_NONPOTABLE_API[[#This Row],[NONPOTABLE_DEMAND_RESIDENTIAL_RECYCLED_WATER_GAL]:[NONPOTABLE_DEMAND_NONRESIDENTIAL_METERED_IRRIGATION_GAL]])</f>
        <v>0</v>
      </c>
      <c r="X6288" t="str">
        <f>IFERROR(INDEX(Crosswalk_API!$H$2:$H$527, MATCH(POTABLE_NONPOTABLE_API[[#This Row],[PWSID]], CW_PWSID_LIST, 0)), "")</f>
        <v>No</v>
      </c>
    </row>
    <row r="6289" spans="1:24" x14ac:dyDescent="0.25">
      <c r="A6289" t="s">
        <v>2565</v>
      </c>
      <c r="B6289" t="s">
        <v>2566</v>
      </c>
      <c r="C6289" t="s">
        <v>2567</v>
      </c>
      <c r="D6289" t="s">
        <v>2568</v>
      </c>
      <c r="E6289" s="9">
        <v>45444</v>
      </c>
      <c r="F6289" s="9">
        <v>45473</v>
      </c>
      <c r="G6289">
        <v>35192249</v>
      </c>
      <c r="H6289">
        <v>8181842</v>
      </c>
      <c r="I6289">
        <v>18518715</v>
      </c>
      <c r="J6289">
        <v>7204703</v>
      </c>
      <c r="K6289">
        <v>2110876</v>
      </c>
      <c r="L6289">
        <v>674303</v>
      </c>
      <c r="M6289">
        <v>0</v>
      </c>
      <c r="T6289" s="9">
        <v>45108</v>
      </c>
      <c r="U6289" s="9">
        <v>45473</v>
      </c>
      <c r="V6289">
        <f>SUM(POTABLE_NONPOTABLE_API[[#This Row],[RESIDENTIAL_SINGLEFAMILY_GAL]:[OTHER_GAL]])</f>
        <v>71882688</v>
      </c>
      <c r="W6289">
        <f>SUM(POTABLE_NONPOTABLE_API[[#This Row],[NONPOTABLE_DEMAND_RESIDENTIAL_RECYCLED_WATER_GAL]:[NONPOTABLE_DEMAND_NONRESIDENTIAL_METERED_IRRIGATION_GAL]])</f>
        <v>0</v>
      </c>
      <c r="X6289" t="str">
        <f>IFERROR(INDEX(Crosswalk_API!$H$2:$H$527, MATCH(POTABLE_NONPOTABLE_API[[#This Row],[PWSID]], CW_PWSID_LIST, 0)), "")</f>
        <v>No</v>
      </c>
    </row>
    <row r="6290" spans="1:24" x14ac:dyDescent="0.25">
      <c r="A6290" t="s">
        <v>2570</v>
      </c>
      <c r="B6290" t="s">
        <v>2571</v>
      </c>
      <c r="C6290" t="s">
        <v>2572</v>
      </c>
      <c r="D6290" t="s">
        <v>2573</v>
      </c>
      <c r="E6290" s="9">
        <v>45108</v>
      </c>
      <c r="F6290" s="9">
        <v>45138</v>
      </c>
      <c r="G6290">
        <v>251225783.68000001</v>
      </c>
      <c r="H6290">
        <v>39248792.336000003</v>
      </c>
      <c r="I6290">
        <v>51712086.708000004</v>
      </c>
      <c r="J6290">
        <v>29113435.788000003</v>
      </c>
      <c r="K6290">
        <v>19983461.128000002</v>
      </c>
      <c r="L6290">
        <v>1208852.0320000001</v>
      </c>
      <c r="M6290">
        <v>0</v>
      </c>
      <c r="T6290" s="9">
        <v>45108</v>
      </c>
      <c r="U6290" s="9">
        <v>45473</v>
      </c>
      <c r="V6290">
        <f>SUM(POTABLE_NONPOTABLE_API[[#This Row],[RESIDENTIAL_SINGLEFAMILY_GAL]:[OTHER_GAL]])</f>
        <v>392492411.67200005</v>
      </c>
      <c r="W6290">
        <f>SUM(POTABLE_NONPOTABLE_API[[#This Row],[NONPOTABLE_DEMAND_RESIDENTIAL_RECYCLED_WATER_GAL]:[NONPOTABLE_DEMAND_NONRESIDENTIAL_METERED_IRRIGATION_GAL]])</f>
        <v>0</v>
      </c>
      <c r="X6290" t="str">
        <f>IFERROR(INDEX(Crosswalk_API!$H$2:$H$527, MATCH(POTABLE_NONPOTABLE_API[[#This Row],[PWSID]], CW_PWSID_LIST, 0)), "")</f>
        <v>No</v>
      </c>
    </row>
    <row r="6291" spans="1:24" x14ac:dyDescent="0.25">
      <c r="A6291" t="s">
        <v>2570</v>
      </c>
      <c r="B6291" t="s">
        <v>2571</v>
      </c>
      <c r="C6291" t="s">
        <v>2572</v>
      </c>
      <c r="D6291" t="s">
        <v>2573</v>
      </c>
      <c r="E6291" s="9">
        <v>45139</v>
      </c>
      <c r="F6291" s="9">
        <v>45169</v>
      </c>
      <c r="G6291">
        <v>297206295.96399999</v>
      </c>
      <c r="H6291">
        <v>43624148.484000005</v>
      </c>
      <c r="I6291">
        <v>58948741.756000005</v>
      </c>
      <c r="J6291">
        <v>41957488.627999999</v>
      </c>
      <c r="K6291">
        <v>9299782.4639999997</v>
      </c>
      <c r="L6291">
        <v>611158.48400000005</v>
      </c>
      <c r="M6291">
        <v>0</v>
      </c>
      <c r="T6291" s="9">
        <v>45108</v>
      </c>
      <c r="U6291" s="9">
        <v>45473</v>
      </c>
      <c r="V6291">
        <f>SUM(POTABLE_NONPOTABLE_API[[#This Row],[RESIDENTIAL_SINGLEFAMILY_GAL]:[OTHER_GAL]])</f>
        <v>451647615.78000003</v>
      </c>
      <c r="W6291">
        <f>SUM(POTABLE_NONPOTABLE_API[[#This Row],[NONPOTABLE_DEMAND_RESIDENTIAL_RECYCLED_WATER_GAL]:[NONPOTABLE_DEMAND_NONRESIDENTIAL_METERED_IRRIGATION_GAL]])</f>
        <v>0</v>
      </c>
      <c r="X6291" t="str">
        <f>IFERROR(INDEX(Crosswalk_API!$H$2:$H$527, MATCH(POTABLE_NONPOTABLE_API[[#This Row],[PWSID]], CW_PWSID_LIST, 0)), "")</f>
        <v>No</v>
      </c>
    </row>
    <row r="6292" spans="1:24" x14ac:dyDescent="0.25">
      <c r="A6292" t="s">
        <v>2570</v>
      </c>
      <c r="B6292" t="s">
        <v>2571</v>
      </c>
      <c r="C6292" t="s">
        <v>2572</v>
      </c>
      <c r="D6292" t="s">
        <v>2573</v>
      </c>
      <c r="E6292" s="9">
        <v>45170</v>
      </c>
      <c r="F6292" s="9">
        <v>45199</v>
      </c>
      <c r="G6292">
        <v>269679478.46799999</v>
      </c>
      <c r="H6292">
        <v>41497436.648000002</v>
      </c>
      <c r="I6292">
        <v>58277739.112000003</v>
      </c>
      <c r="J6292">
        <v>34298932.252000004</v>
      </c>
      <c r="K6292">
        <v>19946058.528000001</v>
      </c>
      <c r="L6292">
        <v>328394.82800000004</v>
      </c>
      <c r="M6292">
        <v>0</v>
      </c>
      <c r="T6292" s="9">
        <v>45108</v>
      </c>
      <c r="U6292" s="9">
        <v>45473</v>
      </c>
      <c r="V6292">
        <f>SUM(POTABLE_NONPOTABLE_API[[#This Row],[RESIDENTIAL_SINGLEFAMILY_GAL]:[OTHER_GAL]])</f>
        <v>424028039.83600003</v>
      </c>
      <c r="W6292">
        <f>SUM(POTABLE_NONPOTABLE_API[[#This Row],[NONPOTABLE_DEMAND_RESIDENTIAL_RECYCLED_WATER_GAL]:[NONPOTABLE_DEMAND_NONRESIDENTIAL_METERED_IRRIGATION_GAL]])</f>
        <v>0</v>
      </c>
      <c r="X6292" t="str">
        <f>IFERROR(INDEX(Crosswalk_API!$H$2:$H$527, MATCH(POTABLE_NONPOTABLE_API[[#This Row],[PWSID]], CW_PWSID_LIST, 0)), "")</f>
        <v>No</v>
      </c>
    </row>
    <row r="6293" spans="1:24" x14ac:dyDescent="0.25">
      <c r="A6293" t="s">
        <v>2570</v>
      </c>
      <c r="B6293" t="s">
        <v>2571</v>
      </c>
      <c r="C6293" t="s">
        <v>2572</v>
      </c>
      <c r="D6293" t="s">
        <v>2573</v>
      </c>
      <c r="E6293" s="9">
        <v>45200</v>
      </c>
      <c r="F6293" s="9">
        <v>45230</v>
      </c>
      <c r="G6293">
        <v>215687329.264</v>
      </c>
      <c r="H6293">
        <v>39254776.752000004</v>
      </c>
      <c r="I6293">
        <v>56595370.164000005</v>
      </c>
      <c r="J6293">
        <v>36884199.964000002</v>
      </c>
      <c r="K6293">
        <v>12556052.82</v>
      </c>
      <c r="L6293">
        <v>2134192.3560000001</v>
      </c>
      <c r="M6293">
        <v>0</v>
      </c>
      <c r="T6293" s="9">
        <v>45108</v>
      </c>
      <c r="U6293" s="9">
        <v>45473</v>
      </c>
      <c r="V6293">
        <f>SUM(POTABLE_NONPOTABLE_API[[#This Row],[RESIDENTIAL_SINGLEFAMILY_GAL]:[OTHER_GAL]])</f>
        <v>363111921.31999999</v>
      </c>
      <c r="W6293">
        <f>SUM(POTABLE_NONPOTABLE_API[[#This Row],[NONPOTABLE_DEMAND_RESIDENTIAL_RECYCLED_WATER_GAL]:[NONPOTABLE_DEMAND_NONRESIDENTIAL_METERED_IRRIGATION_GAL]])</f>
        <v>0</v>
      </c>
      <c r="X6293" t="str">
        <f>IFERROR(INDEX(Crosswalk_API!$H$2:$H$527, MATCH(POTABLE_NONPOTABLE_API[[#This Row],[PWSID]], CW_PWSID_LIST, 0)), "")</f>
        <v>No</v>
      </c>
    </row>
    <row r="6294" spans="1:24" x14ac:dyDescent="0.25">
      <c r="A6294" t="s">
        <v>2570</v>
      </c>
      <c r="B6294" t="s">
        <v>2571</v>
      </c>
      <c r="C6294" t="s">
        <v>2572</v>
      </c>
      <c r="D6294" t="s">
        <v>2573</v>
      </c>
      <c r="E6294" s="9">
        <v>45231</v>
      </c>
      <c r="F6294" s="9">
        <v>45260</v>
      </c>
      <c r="G6294">
        <v>182636147.748</v>
      </c>
      <c r="H6294">
        <v>33547888.044</v>
      </c>
      <c r="I6294">
        <v>47253696.788000003</v>
      </c>
      <c r="J6294">
        <v>25778619.971999999</v>
      </c>
      <c r="K6294">
        <v>18725237.664000001</v>
      </c>
      <c r="L6294">
        <v>4324488.6119999997</v>
      </c>
      <c r="M6294">
        <v>0</v>
      </c>
      <c r="T6294" s="9">
        <v>45108</v>
      </c>
      <c r="U6294" s="9">
        <v>45473</v>
      </c>
      <c r="V6294">
        <f>SUM(POTABLE_NONPOTABLE_API[[#This Row],[RESIDENTIAL_SINGLEFAMILY_GAL]:[OTHER_GAL]])</f>
        <v>312266078.82799995</v>
      </c>
      <c r="W6294">
        <f>SUM(POTABLE_NONPOTABLE_API[[#This Row],[NONPOTABLE_DEMAND_RESIDENTIAL_RECYCLED_WATER_GAL]:[NONPOTABLE_DEMAND_NONRESIDENTIAL_METERED_IRRIGATION_GAL]])</f>
        <v>0</v>
      </c>
      <c r="X6294" t="str">
        <f>IFERROR(INDEX(Crosswalk_API!$H$2:$H$527, MATCH(POTABLE_NONPOTABLE_API[[#This Row],[PWSID]], CW_PWSID_LIST, 0)), "")</f>
        <v>No</v>
      </c>
    </row>
    <row r="6295" spans="1:24" x14ac:dyDescent="0.25">
      <c r="A6295" t="s">
        <v>2570</v>
      </c>
      <c r="B6295" t="s">
        <v>2571</v>
      </c>
      <c r="C6295" t="s">
        <v>2572</v>
      </c>
      <c r="D6295" t="s">
        <v>2573</v>
      </c>
      <c r="E6295" s="9">
        <v>45261</v>
      </c>
      <c r="F6295" s="9">
        <v>45291</v>
      </c>
      <c r="G6295">
        <v>137068560.16800001</v>
      </c>
      <c r="H6295">
        <v>29989404.68</v>
      </c>
      <c r="I6295">
        <v>39889872.899999999</v>
      </c>
      <c r="J6295">
        <v>13072956.752</v>
      </c>
      <c r="K6295">
        <v>11444447.548</v>
      </c>
      <c r="L6295">
        <v>1367439.0560000001</v>
      </c>
      <c r="M6295">
        <v>0</v>
      </c>
      <c r="T6295" s="9">
        <v>45108</v>
      </c>
      <c r="U6295" s="9">
        <v>45473</v>
      </c>
      <c r="V6295">
        <f>SUM(POTABLE_NONPOTABLE_API[[#This Row],[RESIDENTIAL_SINGLEFAMILY_GAL]:[OTHER_GAL]])</f>
        <v>232832681.10400003</v>
      </c>
      <c r="W6295">
        <f>SUM(POTABLE_NONPOTABLE_API[[#This Row],[NONPOTABLE_DEMAND_RESIDENTIAL_RECYCLED_WATER_GAL]:[NONPOTABLE_DEMAND_NONRESIDENTIAL_METERED_IRRIGATION_GAL]])</f>
        <v>0</v>
      </c>
      <c r="X6295" t="str">
        <f>IFERROR(INDEX(Crosswalk_API!$H$2:$H$527, MATCH(POTABLE_NONPOTABLE_API[[#This Row],[PWSID]], CW_PWSID_LIST, 0)), "")</f>
        <v>No</v>
      </c>
    </row>
    <row r="6296" spans="1:24" x14ac:dyDescent="0.25">
      <c r="A6296" t="s">
        <v>2570</v>
      </c>
      <c r="B6296" t="s">
        <v>2571</v>
      </c>
      <c r="C6296" t="s">
        <v>2572</v>
      </c>
      <c r="D6296" t="s">
        <v>2573</v>
      </c>
      <c r="E6296" s="9">
        <v>45292</v>
      </c>
      <c r="F6296" s="9">
        <v>45322</v>
      </c>
      <c r="G6296">
        <v>115493244.384</v>
      </c>
      <c r="H6296">
        <v>28814963.039999999</v>
      </c>
      <c r="I6296">
        <v>35497311.556000002</v>
      </c>
      <c r="J6296">
        <v>8539761.6320000011</v>
      </c>
      <c r="K6296">
        <v>1354722.172</v>
      </c>
      <c r="L6296">
        <v>2606213.1680000001</v>
      </c>
      <c r="M6296">
        <v>0</v>
      </c>
      <c r="T6296" s="9">
        <v>45108</v>
      </c>
      <c r="U6296" s="9">
        <v>45473</v>
      </c>
      <c r="V6296">
        <f>SUM(POTABLE_NONPOTABLE_API[[#This Row],[RESIDENTIAL_SINGLEFAMILY_GAL]:[OTHER_GAL]])</f>
        <v>192306215.95199999</v>
      </c>
      <c r="W6296">
        <f>SUM(POTABLE_NONPOTABLE_API[[#This Row],[NONPOTABLE_DEMAND_RESIDENTIAL_RECYCLED_WATER_GAL]:[NONPOTABLE_DEMAND_NONRESIDENTIAL_METERED_IRRIGATION_GAL]])</f>
        <v>0</v>
      </c>
      <c r="X6296" t="str">
        <f>IFERROR(INDEX(Crosswalk_API!$H$2:$H$527, MATCH(POTABLE_NONPOTABLE_API[[#This Row],[PWSID]], CW_PWSID_LIST, 0)), "")</f>
        <v>No</v>
      </c>
    </row>
    <row r="6297" spans="1:24" x14ac:dyDescent="0.25">
      <c r="A6297" t="s">
        <v>2570</v>
      </c>
      <c r="B6297" t="s">
        <v>2571</v>
      </c>
      <c r="C6297" t="s">
        <v>2572</v>
      </c>
      <c r="D6297" t="s">
        <v>2573</v>
      </c>
      <c r="E6297" s="9">
        <v>45323</v>
      </c>
      <c r="F6297" s="9">
        <v>45351</v>
      </c>
      <c r="G6297">
        <v>95656401.447999999</v>
      </c>
      <c r="H6297">
        <v>26267845.98</v>
      </c>
      <c r="I6297">
        <v>32448251.604000002</v>
      </c>
      <c r="J6297">
        <v>5366525.0480000004</v>
      </c>
      <c r="K6297">
        <v>9498016.2440000009</v>
      </c>
      <c r="L6297">
        <v>848290.96799999999</v>
      </c>
      <c r="M6297">
        <v>0</v>
      </c>
      <c r="T6297" s="9">
        <v>45108</v>
      </c>
      <c r="U6297" s="9">
        <v>45473</v>
      </c>
      <c r="V6297">
        <f>SUM(POTABLE_NONPOTABLE_API[[#This Row],[RESIDENTIAL_SINGLEFAMILY_GAL]:[OTHER_GAL]])</f>
        <v>170085331.292</v>
      </c>
      <c r="W6297">
        <f>SUM(POTABLE_NONPOTABLE_API[[#This Row],[NONPOTABLE_DEMAND_RESIDENTIAL_RECYCLED_WATER_GAL]:[NONPOTABLE_DEMAND_NONRESIDENTIAL_METERED_IRRIGATION_GAL]])</f>
        <v>0</v>
      </c>
      <c r="X6297" t="str">
        <f>IFERROR(INDEX(Crosswalk_API!$H$2:$H$527, MATCH(POTABLE_NONPOTABLE_API[[#This Row],[PWSID]], CW_PWSID_LIST, 0)), "")</f>
        <v>No</v>
      </c>
    </row>
    <row r="6298" spans="1:24" x14ac:dyDescent="0.25">
      <c r="A6298" t="s">
        <v>2570</v>
      </c>
      <c r="B6298" t="s">
        <v>2571</v>
      </c>
      <c r="C6298" t="s">
        <v>2572</v>
      </c>
      <c r="D6298" t="s">
        <v>2573</v>
      </c>
      <c r="E6298" s="9">
        <v>45352</v>
      </c>
      <c r="F6298" s="9">
        <v>45382</v>
      </c>
      <c r="G6298">
        <v>93480318.180000007</v>
      </c>
      <c r="H6298">
        <v>26774277.184</v>
      </c>
      <c r="I6298">
        <v>32599358.107999999</v>
      </c>
      <c r="J6298">
        <v>4717215.9120000005</v>
      </c>
      <c r="K6298">
        <v>8811304.5079999994</v>
      </c>
      <c r="L6298">
        <v>319418.20400000003</v>
      </c>
      <c r="M6298">
        <v>0</v>
      </c>
      <c r="T6298" s="9">
        <v>45108</v>
      </c>
      <c r="U6298" s="9">
        <v>45473</v>
      </c>
      <c r="V6298">
        <f>SUM(POTABLE_NONPOTABLE_API[[#This Row],[RESIDENTIAL_SINGLEFAMILY_GAL]:[OTHER_GAL]])</f>
        <v>166701892.09599999</v>
      </c>
      <c r="W6298">
        <f>SUM(POTABLE_NONPOTABLE_API[[#This Row],[NONPOTABLE_DEMAND_RESIDENTIAL_RECYCLED_WATER_GAL]:[NONPOTABLE_DEMAND_NONRESIDENTIAL_METERED_IRRIGATION_GAL]])</f>
        <v>0</v>
      </c>
      <c r="X6298" t="str">
        <f>IFERROR(INDEX(Crosswalk_API!$H$2:$H$527, MATCH(POTABLE_NONPOTABLE_API[[#This Row],[PWSID]], CW_PWSID_LIST, 0)), "")</f>
        <v>No</v>
      </c>
    </row>
    <row r="6299" spans="1:24" x14ac:dyDescent="0.25">
      <c r="A6299" t="s">
        <v>2570</v>
      </c>
      <c r="B6299" t="s">
        <v>2571</v>
      </c>
      <c r="C6299" t="s">
        <v>2572</v>
      </c>
      <c r="D6299" t="s">
        <v>2573</v>
      </c>
      <c r="E6299" s="9">
        <v>45383</v>
      </c>
      <c r="F6299" s="9">
        <v>45412</v>
      </c>
      <c r="G6299">
        <v>110440153.124</v>
      </c>
      <c r="H6299">
        <v>26148905.712000001</v>
      </c>
      <c r="I6299">
        <v>35679088.192000002</v>
      </c>
      <c r="J6299">
        <v>6917236.8440000005</v>
      </c>
      <c r="K6299">
        <v>9170369.4680000003</v>
      </c>
      <c r="L6299">
        <v>933568.89600000007</v>
      </c>
      <c r="M6299">
        <v>0</v>
      </c>
      <c r="T6299" s="9">
        <v>45108</v>
      </c>
      <c r="U6299" s="9">
        <v>45473</v>
      </c>
      <c r="V6299">
        <f>SUM(POTABLE_NONPOTABLE_API[[#This Row],[RESIDENTIAL_SINGLEFAMILY_GAL]:[OTHER_GAL]])</f>
        <v>189289322.236</v>
      </c>
      <c r="W6299">
        <f>SUM(POTABLE_NONPOTABLE_API[[#This Row],[NONPOTABLE_DEMAND_RESIDENTIAL_RECYCLED_WATER_GAL]:[NONPOTABLE_DEMAND_NONRESIDENTIAL_METERED_IRRIGATION_GAL]])</f>
        <v>0</v>
      </c>
      <c r="X6299" t="str">
        <f>IFERROR(INDEX(Crosswalk_API!$H$2:$H$527, MATCH(POTABLE_NONPOTABLE_API[[#This Row],[PWSID]], CW_PWSID_LIST, 0)), "")</f>
        <v>No</v>
      </c>
    </row>
    <row r="6300" spans="1:24" x14ac:dyDescent="0.25">
      <c r="A6300" t="s">
        <v>2570</v>
      </c>
      <c r="B6300" t="s">
        <v>2571</v>
      </c>
      <c r="C6300" t="s">
        <v>2572</v>
      </c>
      <c r="D6300" t="s">
        <v>2573</v>
      </c>
      <c r="E6300" s="9">
        <v>45413</v>
      </c>
      <c r="F6300" s="9">
        <v>45443</v>
      </c>
      <c r="G6300">
        <v>147327345.296</v>
      </c>
      <c r="H6300">
        <v>29448563.084000003</v>
      </c>
      <c r="I6300">
        <v>39989363.816</v>
      </c>
      <c r="J6300">
        <v>14711938.684</v>
      </c>
      <c r="K6300">
        <v>10053070.828</v>
      </c>
      <c r="L6300">
        <v>394971.45600000001</v>
      </c>
      <c r="M6300">
        <v>0</v>
      </c>
      <c r="T6300" s="9">
        <v>45108</v>
      </c>
      <c r="U6300" s="9">
        <v>45473</v>
      </c>
      <c r="V6300">
        <f>SUM(POTABLE_NONPOTABLE_API[[#This Row],[RESIDENTIAL_SINGLEFAMILY_GAL]:[OTHER_GAL]])</f>
        <v>241925253.164</v>
      </c>
      <c r="W6300">
        <f>SUM(POTABLE_NONPOTABLE_API[[#This Row],[NONPOTABLE_DEMAND_RESIDENTIAL_RECYCLED_WATER_GAL]:[NONPOTABLE_DEMAND_NONRESIDENTIAL_METERED_IRRIGATION_GAL]])</f>
        <v>0</v>
      </c>
      <c r="X6300" t="str">
        <f>IFERROR(INDEX(Crosswalk_API!$H$2:$H$527, MATCH(POTABLE_NONPOTABLE_API[[#This Row],[PWSID]], CW_PWSID_LIST, 0)), "")</f>
        <v>No</v>
      </c>
    </row>
    <row r="6301" spans="1:24" x14ac:dyDescent="0.25">
      <c r="A6301" t="s">
        <v>2570</v>
      </c>
      <c r="B6301" t="s">
        <v>2571</v>
      </c>
      <c r="C6301" t="s">
        <v>2572</v>
      </c>
      <c r="D6301" t="s">
        <v>2573</v>
      </c>
      <c r="E6301" s="9">
        <v>45444</v>
      </c>
      <c r="F6301" s="9">
        <v>45473</v>
      </c>
      <c r="G6301">
        <v>232774333.04800001</v>
      </c>
      <c r="H6301">
        <v>36592459.684</v>
      </c>
      <c r="I6301">
        <v>48763265.723999999</v>
      </c>
      <c r="J6301">
        <v>27692885.039999999</v>
      </c>
      <c r="K6301">
        <v>6124301.7240000004</v>
      </c>
      <c r="L6301">
        <v>1316571.52</v>
      </c>
      <c r="M6301">
        <v>0</v>
      </c>
      <c r="T6301" s="9">
        <v>45108</v>
      </c>
      <c r="U6301" s="9">
        <v>45473</v>
      </c>
      <c r="V6301">
        <f>SUM(POTABLE_NONPOTABLE_API[[#This Row],[RESIDENTIAL_SINGLEFAMILY_GAL]:[OTHER_GAL]])</f>
        <v>353263816.73999995</v>
      </c>
      <c r="W6301">
        <f>SUM(POTABLE_NONPOTABLE_API[[#This Row],[NONPOTABLE_DEMAND_RESIDENTIAL_RECYCLED_WATER_GAL]:[NONPOTABLE_DEMAND_NONRESIDENTIAL_METERED_IRRIGATION_GAL]])</f>
        <v>0</v>
      </c>
      <c r="X6301" t="str">
        <f>IFERROR(INDEX(Crosswalk_API!$H$2:$H$527, MATCH(POTABLE_NONPOTABLE_API[[#This Row],[PWSID]], CW_PWSID_LIST, 0)), "")</f>
        <v>No</v>
      </c>
    </row>
    <row r="6302" spans="1:24" x14ac:dyDescent="0.25">
      <c r="A6302" t="s">
        <v>2575</v>
      </c>
      <c r="B6302" t="s">
        <v>2576</v>
      </c>
      <c r="C6302" t="s">
        <v>2577</v>
      </c>
      <c r="D6302" t="s">
        <v>2578</v>
      </c>
      <c r="E6302" s="9">
        <v>45108</v>
      </c>
      <c r="F6302" s="9">
        <v>45138</v>
      </c>
      <c r="G6302">
        <v>281176827.89999998</v>
      </c>
      <c r="H6302">
        <v>31705302.300000001</v>
      </c>
      <c r="I6302">
        <v>19746570.600000001</v>
      </c>
      <c r="J6302">
        <v>11926146.6</v>
      </c>
      <c r="K6302">
        <v>1140478.5</v>
      </c>
      <c r="L6302">
        <v>228095.69999999998</v>
      </c>
      <c r="M6302">
        <v>0</v>
      </c>
      <c r="N6302">
        <v>3442694</v>
      </c>
      <c r="O6302">
        <v>3701306</v>
      </c>
      <c r="P6302">
        <v>7144000</v>
      </c>
      <c r="Q6302">
        <v>12972266</v>
      </c>
      <c r="R6302">
        <v>13946734</v>
      </c>
      <c r="S6302">
        <v>39867000</v>
      </c>
      <c r="T6302" s="9">
        <v>45108</v>
      </c>
      <c r="U6302" s="9">
        <v>45473</v>
      </c>
      <c r="V6302">
        <f>SUM(POTABLE_NONPOTABLE_API[[#This Row],[RESIDENTIAL_SINGLEFAMILY_GAL]:[OTHER_GAL]])</f>
        <v>345923421.60000002</v>
      </c>
      <c r="W6302">
        <f>SUM(POTABLE_NONPOTABLE_API[[#This Row],[NONPOTABLE_DEMAND_RESIDENTIAL_RECYCLED_WATER_GAL]:[NONPOTABLE_DEMAND_NONRESIDENTIAL_METERED_IRRIGATION_GAL]])</f>
        <v>81074000</v>
      </c>
      <c r="X6302" t="str">
        <f>IFERROR(INDEX(Crosswalk_API!$H$2:$H$527, MATCH(POTABLE_NONPOTABLE_API[[#This Row],[PWSID]], CW_PWSID_LIST, 0)), "")</f>
        <v>No</v>
      </c>
    </row>
    <row r="6303" spans="1:24" x14ac:dyDescent="0.25">
      <c r="A6303" t="s">
        <v>2575</v>
      </c>
      <c r="B6303" t="s">
        <v>2576</v>
      </c>
      <c r="C6303" t="s">
        <v>2577</v>
      </c>
      <c r="D6303" t="s">
        <v>2578</v>
      </c>
      <c r="E6303" s="9">
        <v>45139</v>
      </c>
      <c r="F6303" s="9">
        <v>45169</v>
      </c>
      <c r="G6303">
        <v>323488580.25</v>
      </c>
      <c r="H6303">
        <v>38994589.170000002</v>
      </c>
      <c r="I6303">
        <v>25914930.030000001</v>
      </c>
      <c r="J6303">
        <v>13636864.35</v>
      </c>
      <c r="K6303">
        <v>1140478.5</v>
      </c>
      <c r="L6303">
        <v>221578.68000000002</v>
      </c>
      <c r="M6303">
        <v>0</v>
      </c>
      <c r="N6303">
        <v>4093816</v>
      </c>
      <c r="O6303">
        <v>4646184</v>
      </c>
      <c r="P6303">
        <v>8740000</v>
      </c>
      <c r="Q6303">
        <v>15074517</v>
      </c>
      <c r="R6303">
        <v>17108483</v>
      </c>
      <c r="S6303">
        <v>55176000</v>
      </c>
      <c r="T6303" s="9">
        <v>45108</v>
      </c>
      <c r="U6303" s="9">
        <v>45473</v>
      </c>
      <c r="V6303">
        <f>SUM(POTABLE_NONPOTABLE_API[[#This Row],[RESIDENTIAL_SINGLEFAMILY_GAL]:[OTHER_GAL]])</f>
        <v>403397020.98000008</v>
      </c>
      <c r="W6303">
        <f>SUM(POTABLE_NONPOTABLE_API[[#This Row],[NONPOTABLE_DEMAND_RESIDENTIAL_RECYCLED_WATER_GAL]:[NONPOTABLE_DEMAND_NONRESIDENTIAL_METERED_IRRIGATION_GAL]])</f>
        <v>104839000</v>
      </c>
      <c r="X6303" t="str">
        <f>IFERROR(INDEX(Crosswalk_API!$H$2:$H$527, MATCH(POTABLE_NONPOTABLE_API[[#This Row],[PWSID]], CW_PWSID_LIST, 0)), "")</f>
        <v>No</v>
      </c>
    </row>
    <row r="6304" spans="1:24" x14ac:dyDescent="0.25">
      <c r="A6304" t="s">
        <v>2575</v>
      </c>
      <c r="B6304" t="s">
        <v>2576</v>
      </c>
      <c r="C6304" t="s">
        <v>2577</v>
      </c>
      <c r="D6304" t="s">
        <v>2578</v>
      </c>
      <c r="E6304" s="9">
        <v>45170</v>
      </c>
      <c r="F6304" s="9">
        <v>45199</v>
      </c>
      <c r="G6304">
        <v>227769849</v>
      </c>
      <c r="H6304">
        <v>27697335</v>
      </c>
      <c r="I6304">
        <v>20854464</v>
      </c>
      <c r="J6304">
        <v>10753083</v>
      </c>
      <c r="K6304">
        <v>651702</v>
      </c>
      <c r="L6304">
        <v>325851</v>
      </c>
      <c r="M6304">
        <v>0</v>
      </c>
      <c r="N6304">
        <v>3070643</v>
      </c>
      <c r="O6304">
        <v>3384357</v>
      </c>
      <c r="P6304">
        <v>6455000</v>
      </c>
      <c r="Q6304">
        <v>11211298</v>
      </c>
      <c r="R6304">
        <v>12356702</v>
      </c>
      <c r="S6304">
        <v>42461000</v>
      </c>
      <c r="T6304" s="9">
        <v>45108</v>
      </c>
      <c r="U6304" s="9">
        <v>45473</v>
      </c>
      <c r="V6304">
        <f>SUM(POTABLE_NONPOTABLE_API[[#This Row],[RESIDENTIAL_SINGLEFAMILY_GAL]:[OTHER_GAL]])</f>
        <v>288052284</v>
      </c>
      <c r="W6304">
        <f>SUM(POTABLE_NONPOTABLE_API[[#This Row],[NONPOTABLE_DEMAND_RESIDENTIAL_RECYCLED_WATER_GAL]:[NONPOTABLE_DEMAND_NONRESIDENTIAL_METERED_IRRIGATION_GAL]])</f>
        <v>78939000</v>
      </c>
      <c r="X6304" t="str">
        <f>IFERROR(INDEX(Crosswalk_API!$H$2:$H$527, MATCH(POTABLE_NONPOTABLE_API[[#This Row],[PWSID]], CW_PWSID_LIST, 0)), "")</f>
        <v>No</v>
      </c>
    </row>
    <row r="6305" spans="1:24" x14ac:dyDescent="0.25">
      <c r="A6305" t="s">
        <v>2575</v>
      </c>
      <c r="B6305" t="s">
        <v>2576</v>
      </c>
      <c r="C6305" t="s">
        <v>2577</v>
      </c>
      <c r="D6305" t="s">
        <v>2578</v>
      </c>
      <c r="E6305" s="9">
        <v>45200</v>
      </c>
      <c r="F6305" s="9">
        <v>45230</v>
      </c>
      <c r="G6305">
        <v>240270000</v>
      </c>
      <c r="H6305">
        <v>31262000</v>
      </c>
      <c r="I6305">
        <v>23289000</v>
      </c>
      <c r="J6305">
        <v>11426000</v>
      </c>
      <c r="K6305">
        <v>1397000</v>
      </c>
      <c r="L6305">
        <v>1428000</v>
      </c>
      <c r="M6305">
        <v>0</v>
      </c>
      <c r="N6305">
        <v>2776662.9</v>
      </c>
      <c r="O6305">
        <v>3646337.1</v>
      </c>
      <c r="P6305">
        <v>0</v>
      </c>
      <c r="Q6305">
        <v>17582505.600000001</v>
      </c>
      <c r="R6305">
        <v>23089494.399999999</v>
      </c>
      <c r="S6305">
        <v>27879000</v>
      </c>
      <c r="T6305" s="9">
        <v>45108</v>
      </c>
      <c r="U6305" s="9">
        <v>45473</v>
      </c>
      <c r="V6305">
        <f>SUM(POTABLE_NONPOTABLE_API[[#This Row],[RESIDENTIAL_SINGLEFAMILY_GAL]:[OTHER_GAL]])</f>
        <v>309072000</v>
      </c>
      <c r="W6305">
        <f>SUM(POTABLE_NONPOTABLE_API[[#This Row],[NONPOTABLE_DEMAND_RESIDENTIAL_RECYCLED_WATER_GAL]:[NONPOTABLE_DEMAND_NONRESIDENTIAL_METERED_IRRIGATION_GAL]])</f>
        <v>74974000</v>
      </c>
      <c r="X6305" t="str">
        <f>IFERROR(INDEX(Crosswalk_API!$H$2:$H$527, MATCH(POTABLE_NONPOTABLE_API[[#This Row],[PWSID]], CW_PWSID_LIST, 0)), "")</f>
        <v>No</v>
      </c>
    </row>
    <row r="6306" spans="1:24" x14ac:dyDescent="0.25">
      <c r="A6306" t="s">
        <v>2575</v>
      </c>
      <c r="B6306" t="s">
        <v>2576</v>
      </c>
      <c r="C6306" t="s">
        <v>2577</v>
      </c>
      <c r="D6306" t="s">
        <v>2578</v>
      </c>
      <c r="E6306" s="9">
        <v>45231</v>
      </c>
      <c r="F6306" s="9">
        <v>45260</v>
      </c>
      <c r="G6306">
        <v>172049328</v>
      </c>
      <c r="H6306">
        <v>27371484</v>
      </c>
      <c r="I6306">
        <v>19225209</v>
      </c>
      <c r="J6306">
        <v>8472126</v>
      </c>
      <c r="K6306">
        <v>977553</v>
      </c>
      <c r="L6306">
        <v>325851</v>
      </c>
      <c r="M6306">
        <v>0</v>
      </c>
      <c r="N6306">
        <v>2192080</v>
      </c>
      <c r="O6306">
        <v>2471920</v>
      </c>
      <c r="Q6306">
        <v>10582990</v>
      </c>
      <c r="R6306">
        <v>11934010</v>
      </c>
      <c r="S6306">
        <v>22609000</v>
      </c>
      <c r="T6306" s="9">
        <v>45108</v>
      </c>
      <c r="U6306" s="9">
        <v>45473</v>
      </c>
      <c r="V6306">
        <f>SUM(POTABLE_NONPOTABLE_API[[#This Row],[RESIDENTIAL_SINGLEFAMILY_GAL]:[OTHER_GAL]])</f>
        <v>228421551</v>
      </c>
      <c r="W6306">
        <f>SUM(POTABLE_NONPOTABLE_API[[#This Row],[NONPOTABLE_DEMAND_RESIDENTIAL_RECYCLED_WATER_GAL]:[NONPOTABLE_DEMAND_NONRESIDENTIAL_METERED_IRRIGATION_GAL]])</f>
        <v>49790000</v>
      </c>
      <c r="X6306" t="str">
        <f>IFERROR(INDEX(Crosswalk_API!$H$2:$H$527, MATCH(POTABLE_NONPOTABLE_API[[#This Row],[PWSID]], CW_PWSID_LIST, 0)), "")</f>
        <v>No</v>
      </c>
    </row>
    <row r="6307" spans="1:24" x14ac:dyDescent="0.25">
      <c r="A6307" t="s">
        <v>2575</v>
      </c>
      <c r="B6307" t="s">
        <v>2576</v>
      </c>
      <c r="C6307" t="s">
        <v>2577</v>
      </c>
      <c r="D6307" t="s">
        <v>2578</v>
      </c>
      <c r="E6307" s="9">
        <v>45261</v>
      </c>
      <c r="F6307" s="9">
        <v>45291</v>
      </c>
      <c r="G6307">
        <v>133245000</v>
      </c>
      <c r="H6307">
        <v>20784000</v>
      </c>
      <c r="I6307">
        <v>18322000</v>
      </c>
      <c r="J6307">
        <v>5867000</v>
      </c>
      <c r="K6307">
        <v>639000</v>
      </c>
      <c r="L6307">
        <v>246000</v>
      </c>
      <c r="M6307">
        <v>0</v>
      </c>
      <c r="N6307">
        <v>1282000</v>
      </c>
      <c r="O6307">
        <v>2435000</v>
      </c>
      <c r="Q6307">
        <v>6529000</v>
      </c>
      <c r="R6307">
        <v>12395000</v>
      </c>
      <c r="S6307">
        <v>14983000</v>
      </c>
      <c r="T6307" s="9">
        <v>45108</v>
      </c>
      <c r="U6307" s="9">
        <v>45473</v>
      </c>
      <c r="V6307">
        <f>SUM(POTABLE_NONPOTABLE_API[[#This Row],[RESIDENTIAL_SINGLEFAMILY_GAL]:[OTHER_GAL]])</f>
        <v>179103000</v>
      </c>
      <c r="W6307">
        <f>SUM(POTABLE_NONPOTABLE_API[[#This Row],[NONPOTABLE_DEMAND_RESIDENTIAL_RECYCLED_WATER_GAL]:[NONPOTABLE_DEMAND_NONRESIDENTIAL_METERED_IRRIGATION_GAL]])</f>
        <v>37624000</v>
      </c>
      <c r="X6307" t="str">
        <f>IFERROR(INDEX(Crosswalk_API!$H$2:$H$527, MATCH(POTABLE_NONPOTABLE_API[[#This Row],[PWSID]], CW_PWSID_LIST, 0)), "")</f>
        <v>No</v>
      </c>
    </row>
    <row r="6308" spans="1:24" x14ac:dyDescent="0.25">
      <c r="A6308" t="s">
        <v>2575</v>
      </c>
      <c r="B6308" t="s">
        <v>2576</v>
      </c>
      <c r="C6308" t="s">
        <v>2577</v>
      </c>
      <c r="D6308" t="s">
        <v>2578</v>
      </c>
      <c r="E6308" s="9">
        <v>45292</v>
      </c>
      <c r="F6308" s="9">
        <v>45322</v>
      </c>
      <c r="G6308">
        <v>112058000</v>
      </c>
      <c r="H6308">
        <v>24327000</v>
      </c>
      <c r="I6308">
        <v>16645000</v>
      </c>
      <c r="J6308">
        <v>4153000</v>
      </c>
      <c r="K6308">
        <v>601000</v>
      </c>
      <c r="L6308">
        <v>187000</v>
      </c>
      <c r="M6308">
        <v>0</v>
      </c>
      <c r="N6308">
        <v>3300000</v>
      </c>
      <c r="O6308">
        <v>0</v>
      </c>
      <c r="Q6308">
        <v>13714000</v>
      </c>
      <c r="R6308">
        <v>0</v>
      </c>
      <c r="S6308">
        <v>6467000</v>
      </c>
      <c r="T6308" s="9">
        <v>45108</v>
      </c>
      <c r="U6308" s="9">
        <v>45473</v>
      </c>
      <c r="V6308">
        <f>SUM(POTABLE_NONPOTABLE_API[[#This Row],[RESIDENTIAL_SINGLEFAMILY_GAL]:[OTHER_GAL]])</f>
        <v>157971000</v>
      </c>
      <c r="W6308">
        <f>SUM(POTABLE_NONPOTABLE_API[[#This Row],[NONPOTABLE_DEMAND_RESIDENTIAL_RECYCLED_WATER_GAL]:[NONPOTABLE_DEMAND_NONRESIDENTIAL_METERED_IRRIGATION_GAL]])</f>
        <v>23481000</v>
      </c>
      <c r="X6308" t="str">
        <f>IFERROR(INDEX(Crosswalk_API!$H$2:$H$527, MATCH(POTABLE_NONPOTABLE_API[[#This Row],[PWSID]], CW_PWSID_LIST, 0)), "")</f>
        <v>No</v>
      </c>
    </row>
    <row r="6309" spans="1:24" x14ac:dyDescent="0.25">
      <c r="A6309" t="s">
        <v>2575</v>
      </c>
      <c r="B6309" t="s">
        <v>2576</v>
      </c>
      <c r="C6309" t="s">
        <v>2577</v>
      </c>
      <c r="D6309" t="s">
        <v>2578</v>
      </c>
      <c r="E6309" s="9">
        <v>45323</v>
      </c>
      <c r="F6309" s="9">
        <v>45351</v>
      </c>
      <c r="G6309">
        <v>84261810.089999989</v>
      </c>
      <c r="H6309">
        <v>20759967.210000001</v>
      </c>
      <c r="I6309">
        <v>13614054.780000001</v>
      </c>
      <c r="J6309">
        <v>2176684.6799999997</v>
      </c>
      <c r="K6309">
        <v>508327.56</v>
      </c>
      <c r="L6309">
        <v>78204.239999999991</v>
      </c>
      <c r="M6309">
        <v>0</v>
      </c>
      <c r="N6309">
        <v>2232079.35</v>
      </c>
      <c r="O6309">
        <v>0</v>
      </c>
      <c r="Q6309">
        <v>9348665.1900000013</v>
      </c>
      <c r="R6309">
        <v>0</v>
      </c>
      <c r="S6309">
        <v>1573860.33</v>
      </c>
      <c r="T6309" s="9">
        <v>45108</v>
      </c>
      <c r="U6309" s="9">
        <v>45473</v>
      </c>
      <c r="V6309">
        <f>SUM(POTABLE_NONPOTABLE_API[[#This Row],[RESIDENTIAL_SINGLEFAMILY_GAL]:[OTHER_GAL]])</f>
        <v>121399048.55999999</v>
      </c>
      <c r="W6309">
        <f>SUM(POTABLE_NONPOTABLE_API[[#This Row],[NONPOTABLE_DEMAND_RESIDENTIAL_RECYCLED_WATER_GAL]:[NONPOTABLE_DEMAND_NONRESIDENTIAL_METERED_IRRIGATION_GAL]])</f>
        <v>13154604.870000001</v>
      </c>
      <c r="X6309" t="str">
        <f>IFERROR(INDEX(Crosswalk_API!$H$2:$H$527, MATCH(POTABLE_NONPOTABLE_API[[#This Row],[PWSID]], CW_PWSID_LIST, 0)), "")</f>
        <v>No</v>
      </c>
    </row>
    <row r="6310" spans="1:24" x14ac:dyDescent="0.25">
      <c r="A6310" t="s">
        <v>2575</v>
      </c>
      <c r="B6310" t="s">
        <v>2576</v>
      </c>
      <c r="C6310" t="s">
        <v>2577</v>
      </c>
      <c r="D6310" t="s">
        <v>2578</v>
      </c>
      <c r="E6310" s="9">
        <v>45352</v>
      </c>
      <c r="F6310" s="9">
        <v>45382</v>
      </c>
      <c r="G6310">
        <v>88230675.269999996</v>
      </c>
      <c r="H6310">
        <v>20733899.130000003</v>
      </c>
      <c r="I6310">
        <v>13581469.68</v>
      </c>
      <c r="J6310">
        <v>2473209.09</v>
      </c>
      <c r="K6310">
        <v>524620.11</v>
      </c>
      <c r="L6310">
        <v>39102.119999999995</v>
      </c>
      <c r="M6310">
        <v>0</v>
      </c>
      <c r="N6310">
        <v>15507249.090000002</v>
      </c>
      <c r="O6310">
        <v>0</v>
      </c>
      <c r="P6310">
        <v>0</v>
      </c>
      <c r="Q6310">
        <v>0</v>
      </c>
      <c r="R6310">
        <v>0</v>
      </c>
      <c r="T6310" s="9">
        <v>45108</v>
      </c>
      <c r="U6310" s="9">
        <v>45473</v>
      </c>
      <c r="V6310">
        <f>SUM(POTABLE_NONPOTABLE_API[[#This Row],[RESIDENTIAL_SINGLEFAMILY_GAL]:[OTHER_GAL]])</f>
        <v>125582975.40000002</v>
      </c>
      <c r="W6310">
        <f>SUM(POTABLE_NONPOTABLE_API[[#This Row],[NONPOTABLE_DEMAND_RESIDENTIAL_RECYCLED_WATER_GAL]:[NONPOTABLE_DEMAND_NONRESIDENTIAL_METERED_IRRIGATION_GAL]])</f>
        <v>15507249.090000002</v>
      </c>
      <c r="X6310" t="str">
        <f>IFERROR(INDEX(Crosswalk_API!$H$2:$H$527, MATCH(POTABLE_NONPOTABLE_API[[#This Row],[PWSID]], CW_PWSID_LIST, 0)), "")</f>
        <v>No</v>
      </c>
    </row>
    <row r="6311" spans="1:24" x14ac:dyDescent="0.25">
      <c r="A6311" t="s">
        <v>2575</v>
      </c>
      <c r="B6311" t="s">
        <v>2576</v>
      </c>
      <c r="C6311" t="s">
        <v>2577</v>
      </c>
      <c r="D6311" t="s">
        <v>2578</v>
      </c>
      <c r="E6311" s="9">
        <v>45383</v>
      </c>
      <c r="F6311" s="9">
        <v>45412</v>
      </c>
      <c r="G6311">
        <v>124745538.33</v>
      </c>
      <c r="H6311">
        <v>24474668.609999999</v>
      </c>
      <c r="I6311">
        <v>16797619.050000001</v>
      </c>
      <c r="J6311">
        <v>5777338.2300000004</v>
      </c>
      <c r="K6311">
        <v>661477.52999999991</v>
      </c>
      <c r="L6311">
        <v>48877.65</v>
      </c>
      <c r="M6311">
        <v>0</v>
      </c>
      <c r="N6311">
        <v>3919987.53</v>
      </c>
      <c r="O6311">
        <v>0</v>
      </c>
      <c r="P6311">
        <v>0</v>
      </c>
      <c r="Q6311">
        <v>0</v>
      </c>
      <c r="R6311">
        <v>11900078.520000001</v>
      </c>
      <c r="S6311">
        <v>17413477.439999998</v>
      </c>
      <c r="T6311" s="9">
        <v>45108</v>
      </c>
      <c r="U6311" s="9">
        <v>45473</v>
      </c>
      <c r="V6311">
        <f>SUM(POTABLE_NONPOTABLE_API[[#This Row],[RESIDENTIAL_SINGLEFAMILY_GAL]:[OTHER_GAL]])</f>
        <v>172505519.40000001</v>
      </c>
      <c r="W6311">
        <f>SUM(POTABLE_NONPOTABLE_API[[#This Row],[NONPOTABLE_DEMAND_RESIDENTIAL_RECYCLED_WATER_GAL]:[NONPOTABLE_DEMAND_NONRESIDENTIAL_METERED_IRRIGATION_GAL]])</f>
        <v>33233543.489999998</v>
      </c>
      <c r="X6311" t="str">
        <f>IFERROR(INDEX(Crosswalk_API!$H$2:$H$527, MATCH(POTABLE_NONPOTABLE_API[[#This Row],[PWSID]], CW_PWSID_LIST, 0)), "")</f>
        <v>No</v>
      </c>
    </row>
    <row r="6312" spans="1:24" x14ac:dyDescent="0.25">
      <c r="A6312" t="s">
        <v>2575</v>
      </c>
      <c r="B6312" t="s">
        <v>2576</v>
      </c>
      <c r="C6312" t="s">
        <v>2577</v>
      </c>
      <c r="D6312" t="s">
        <v>2578</v>
      </c>
      <c r="E6312" s="9">
        <v>45413</v>
      </c>
      <c r="F6312" s="9">
        <v>45443</v>
      </c>
      <c r="G6312">
        <v>191496115.67999998</v>
      </c>
      <c r="H6312">
        <v>26146284.239999998</v>
      </c>
      <c r="I6312">
        <v>17286395.550000001</v>
      </c>
      <c r="J6312">
        <v>7856267.6099999994</v>
      </c>
      <c r="K6312">
        <v>622375.40999999992</v>
      </c>
      <c r="L6312">
        <v>123823.38</v>
      </c>
      <c r="M6312">
        <v>0</v>
      </c>
      <c r="N6312">
        <v>5275527.6900000004</v>
      </c>
      <c r="O6312">
        <v>0</v>
      </c>
      <c r="P6312">
        <v>0</v>
      </c>
      <c r="Q6312">
        <v>0</v>
      </c>
      <c r="R6312">
        <v>27465980.790000003</v>
      </c>
      <c r="S6312">
        <v>21388859.640000001</v>
      </c>
      <c r="T6312" s="9">
        <v>45108</v>
      </c>
      <c r="U6312" s="9">
        <v>45473</v>
      </c>
      <c r="V6312">
        <f>SUM(POTABLE_NONPOTABLE_API[[#This Row],[RESIDENTIAL_SINGLEFAMILY_GAL]:[OTHER_GAL]])</f>
        <v>243531261.86999997</v>
      </c>
      <c r="W6312">
        <f>SUM(POTABLE_NONPOTABLE_API[[#This Row],[NONPOTABLE_DEMAND_RESIDENTIAL_RECYCLED_WATER_GAL]:[NONPOTABLE_DEMAND_NONRESIDENTIAL_METERED_IRRIGATION_GAL]])</f>
        <v>54130368.120000005</v>
      </c>
      <c r="X6312" t="str">
        <f>IFERROR(INDEX(Crosswalk_API!$H$2:$H$527, MATCH(POTABLE_NONPOTABLE_API[[#This Row],[PWSID]], CW_PWSID_LIST, 0)), "")</f>
        <v>No</v>
      </c>
    </row>
    <row r="6313" spans="1:24" x14ac:dyDescent="0.25">
      <c r="A6313" t="s">
        <v>2575</v>
      </c>
      <c r="B6313" t="s">
        <v>2576</v>
      </c>
      <c r="C6313" t="s">
        <v>2577</v>
      </c>
      <c r="D6313" t="s">
        <v>2578</v>
      </c>
      <c r="E6313" s="9">
        <v>45444</v>
      </c>
      <c r="F6313" s="9">
        <v>45473</v>
      </c>
      <c r="G6313">
        <v>249621417.05999997</v>
      </c>
      <c r="H6313">
        <v>29476481.459999997</v>
      </c>
      <c r="I6313">
        <v>19045990.949999999</v>
      </c>
      <c r="J6313">
        <v>10238238.42</v>
      </c>
      <c r="K6313">
        <v>661477.52999999991</v>
      </c>
      <c r="L6313">
        <v>166184.01</v>
      </c>
      <c r="M6313">
        <v>0</v>
      </c>
      <c r="N6313">
        <v>6572414.6700000009</v>
      </c>
      <c r="O6313">
        <v>0</v>
      </c>
      <c r="Q6313">
        <v>0</v>
      </c>
      <c r="R6313">
        <v>34491328.350000001</v>
      </c>
      <c r="S6313">
        <v>20779518.27</v>
      </c>
      <c r="T6313" s="9">
        <v>45108</v>
      </c>
      <c r="U6313" s="9">
        <v>45473</v>
      </c>
      <c r="V6313">
        <f>SUM(POTABLE_NONPOTABLE_API[[#This Row],[RESIDENTIAL_SINGLEFAMILY_GAL]:[OTHER_GAL]])</f>
        <v>309209789.42999995</v>
      </c>
      <c r="W6313">
        <f>SUM(POTABLE_NONPOTABLE_API[[#This Row],[NONPOTABLE_DEMAND_RESIDENTIAL_RECYCLED_WATER_GAL]:[NONPOTABLE_DEMAND_NONRESIDENTIAL_METERED_IRRIGATION_GAL]])</f>
        <v>61843261.290000007</v>
      </c>
      <c r="X6313" t="str">
        <f>IFERROR(INDEX(Crosswalk_API!$H$2:$H$527, MATCH(POTABLE_NONPOTABLE_API[[#This Row],[PWSID]], CW_PWSID_LIST, 0)), "")</f>
        <v>No</v>
      </c>
    </row>
  </sheetData>
  <phoneticPr fontId="8"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F809D-596E-4DE5-8BAD-36DF2397F4CA}">
  <sheetPr codeName="Sheet3">
    <tabColor theme="9" tint="0.79998168889431442"/>
  </sheetPr>
  <dimension ref="A1:K27"/>
  <sheetViews>
    <sheetView topLeftCell="A8" workbookViewId="0">
      <selection activeCell="C15" sqref="C15"/>
    </sheetView>
  </sheetViews>
  <sheetFormatPr defaultColWidth="0" defaultRowHeight="15" zeroHeight="1" x14ac:dyDescent="0.25"/>
  <cols>
    <col min="1" max="1" width="6" style="83" customWidth="1"/>
    <col min="2" max="2" width="22.5703125" style="83" customWidth="1"/>
    <col min="3" max="3" width="79" style="83" customWidth="1"/>
    <col min="4" max="4" width="15" style="83" customWidth="1"/>
    <col min="5" max="11" width="9.140625" style="83" customWidth="1"/>
    <col min="12" max="16384" width="9.140625" style="83" hidden="1"/>
  </cols>
  <sheetData>
    <row r="1" spans="2:4" ht="25.5" thickBot="1" x14ac:dyDescent="0.35">
      <c r="B1" s="279" t="s">
        <v>123</v>
      </c>
    </row>
    <row r="2" spans="2:4" ht="15.75" x14ac:dyDescent="0.25">
      <c r="B2" s="280" t="s">
        <v>124</v>
      </c>
      <c r="C2" s="281"/>
      <c r="D2" s="282"/>
    </row>
    <row r="3" spans="2:4" ht="15.75" x14ac:dyDescent="0.25">
      <c r="B3" s="283" t="s">
        <v>125</v>
      </c>
      <c r="C3" s="133"/>
      <c r="D3" s="284"/>
    </row>
    <row r="4" spans="2:4" ht="15.75" x14ac:dyDescent="0.25">
      <c r="B4" s="283"/>
      <c r="C4" s="133"/>
      <c r="D4" s="284"/>
    </row>
    <row r="5" spans="2:4" ht="15.75" x14ac:dyDescent="0.25">
      <c r="B5" s="283" t="s">
        <v>3846</v>
      </c>
      <c r="D5" s="285"/>
    </row>
    <row r="6" spans="2:4" ht="63" x14ac:dyDescent="0.25">
      <c r="B6" s="283"/>
      <c r="C6" s="286" t="s">
        <v>3847</v>
      </c>
      <c r="D6" s="285"/>
    </row>
    <row r="7" spans="2:4" ht="15.75" x14ac:dyDescent="0.25">
      <c r="B7" s="283"/>
      <c r="D7" s="284"/>
    </row>
    <row r="8" spans="2:4" ht="63" x14ac:dyDescent="0.25">
      <c r="B8" s="287"/>
      <c r="C8" s="288" t="s">
        <v>126</v>
      </c>
      <c r="D8" s="284"/>
    </row>
    <row r="9" spans="2:4" ht="15.75" x14ac:dyDescent="0.25">
      <c r="B9" s="289"/>
      <c r="D9" s="284"/>
    </row>
    <row r="10" spans="2:4" ht="47.25" x14ac:dyDescent="0.25">
      <c r="B10" s="289"/>
      <c r="C10" s="288" t="s">
        <v>3840</v>
      </c>
      <c r="D10" s="284"/>
    </row>
    <row r="11" spans="2:4" ht="15.75" x14ac:dyDescent="0.25">
      <c r="B11" s="290" t="s">
        <v>127</v>
      </c>
      <c r="C11" s="133"/>
      <c r="D11" s="284"/>
    </row>
    <row r="12" spans="2:4" ht="15.75" x14ac:dyDescent="0.25">
      <c r="B12" s="291" t="s">
        <v>128</v>
      </c>
      <c r="C12" s="84" t="s">
        <v>129</v>
      </c>
      <c r="D12" s="284"/>
    </row>
    <row r="13" spans="2:4" ht="15.75" x14ac:dyDescent="0.25">
      <c r="B13" s="291" t="s">
        <v>130</v>
      </c>
      <c r="C13" s="88" t="s">
        <v>3848</v>
      </c>
      <c r="D13" s="284"/>
    </row>
    <row r="14" spans="2:4" ht="15.75" x14ac:dyDescent="0.25">
      <c r="B14" s="291" t="s">
        <v>131</v>
      </c>
      <c r="C14" s="133" t="s">
        <v>3849</v>
      </c>
      <c r="D14" s="284"/>
    </row>
    <row r="15" spans="2:4" ht="15.75" x14ac:dyDescent="0.25">
      <c r="B15" s="283"/>
      <c r="C15" s="88" t="s">
        <v>132</v>
      </c>
      <c r="D15" s="284"/>
    </row>
    <row r="16" spans="2:4" ht="31.5" x14ac:dyDescent="0.25">
      <c r="B16" s="283"/>
      <c r="C16" s="132" t="s">
        <v>133</v>
      </c>
      <c r="D16" s="284"/>
    </row>
    <row r="17" spans="2:4" ht="15.75" x14ac:dyDescent="0.25">
      <c r="B17" s="283"/>
      <c r="C17" s="88" t="s">
        <v>134</v>
      </c>
      <c r="D17" s="284"/>
    </row>
    <row r="18" spans="2:4" ht="15.75" x14ac:dyDescent="0.25">
      <c r="B18" s="283"/>
      <c r="C18" s="292" t="s">
        <v>135</v>
      </c>
      <c r="D18" s="284"/>
    </row>
    <row r="19" spans="2:4" ht="15.75" x14ac:dyDescent="0.25">
      <c r="B19" s="283"/>
      <c r="D19" s="284"/>
    </row>
    <row r="20" spans="2:4" ht="31.5" x14ac:dyDescent="0.25">
      <c r="B20" s="293" t="s">
        <v>136</v>
      </c>
      <c r="C20" s="286" t="s">
        <v>137</v>
      </c>
      <c r="D20" s="284"/>
    </row>
    <row r="21" spans="2:4" ht="15.75" x14ac:dyDescent="0.25">
      <c r="B21" s="283"/>
      <c r="C21" s="133" t="s">
        <v>138</v>
      </c>
      <c r="D21" s="284"/>
    </row>
    <row r="22" spans="2:4" ht="31.5" x14ac:dyDescent="0.25">
      <c r="B22" s="289"/>
      <c r="C22" s="286" t="s">
        <v>3844</v>
      </c>
      <c r="D22" s="284"/>
    </row>
    <row r="23" spans="2:4" ht="16.5" thickBot="1" x14ac:dyDescent="0.3">
      <c r="B23" s="294"/>
      <c r="C23" s="295"/>
      <c r="D23" s="296"/>
    </row>
    <row r="24" spans="2:4" x14ac:dyDescent="0.25"/>
    <row r="25" spans="2:4" x14ac:dyDescent="0.25"/>
    <row r="26" spans="2:4" x14ac:dyDescent="0.25"/>
    <row r="27" spans="2:4" x14ac:dyDescent="0.25"/>
  </sheetData>
  <sheetProtection algorithmName="SHA-512" hashValue="Mtb7PHKlzUOHPj2aCYVLzpne/ewdbZEQ7JFxm/xYGhDUkm3+rOHQi7Bo/sCabX7VVM66oL5RS7kIjlM2jTHQoA==" saltValue="IcYFF/coZ+nhefIFBsqRAQ==" spinCount="100000" sheet="1" objects="1" scenarios="1"/>
  <hyperlinks>
    <hyperlink ref="C12" r:id="rId1" xr:uid="{E643A1B8-547C-462F-8DF3-9B9A1FE0ECA2}"/>
  </hyperlinks>
  <pageMargins left="0.7" right="0.7" top="0.75" bottom="0.75" header="0.3" footer="0.3"/>
  <pageSetup orientation="portrait" horizontalDpi="1200"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0E084-3623-472F-91B9-B55D8A9B9258}">
  <sheetPr codeName="Sheet13">
    <tabColor theme="9" tint="0.39997558519241921"/>
  </sheetPr>
  <dimension ref="A1:Q35"/>
  <sheetViews>
    <sheetView topLeftCell="A12" workbookViewId="0">
      <selection activeCell="B12" sqref="B12"/>
    </sheetView>
  </sheetViews>
  <sheetFormatPr defaultColWidth="0" defaultRowHeight="14.45" customHeight="1" zeroHeight="1" x14ac:dyDescent="0.25"/>
  <cols>
    <col min="1" max="1" width="75.7109375" style="83" customWidth="1"/>
    <col min="2" max="2" width="20.7109375" style="83" customWidth="1"/>
    <col min="3" max="3" width="17.7109375" style="89" customWidth="1"/>
    <col min="4" max="4" width="70.7109375" style="83" customWidth="1"/>
    <col min="5" max="5" width="15.7109375" style="83" customWidth="1"/>
    <col min="6" max="6" width="45.7109375" style="83" customWidth="1"/>
    <col min="7" max="7" width="3.42578125" style="83" customWidth="1"/>
    <col min="8" max="16" width="9.140625" style="83" customWidth="1"/>
    <col min="17" max="17" width="0" style="83" hidden="1" customWidth="1"/>
    <col min="18" max="16384" width="9.140625" style="83" hidden="1"/>
  </cols>
  <sheetData>
    <row r="1" spans="1:17" customFormat="1" ht="37.5" x14ac:dyDescent="0.25">
      <c r="A1" s="20" t="s">
        <v>139</v>
      </c>
      <c r="B1" s="21" t="s">
        <v>140</v>
      </c>
      <c r="C1" s="20" t="s">
        <v>141</v>
      </c>
      <c r="D1" s="20" t="s">
        <v>142</v>
      </c>
      <c r="E1" s="253" t="s">
        <v>143</v>
      </c>
      <c r="F1" s="20" t="s">
        <v>144</v>
      </c>
      <c r="G1" s="83"/>
      <c r="H1" s="84" t="s">
        <v>145</v>
      </c>
      <c r="I1" s="83"/>
      <c r="J1" s="83"/>
      <c r="K1" s="83"/>
      <c r="L1" s="83"/>
      <c r="M1" s="83"/>
      <c r="N1" s="83"/>
      <c r="O1" s="83"/>
      <c r="P1" s="83"/>
      <c r="Q1" s="83"/>
    </row>
    <row r="2" spans="1:17" customFormat="1" ht="14.45" customHeight="1" x14ac:dyDescent="0.25">
      <c r="A2" s="13" t="s">
        <v>146</v>
      </c>
      <c r="B2" s="34">
        <v>55</v>
      </c>
      <c r="C2" s="97" t="s">
        <v>147</v>
      </c>
      <c r="D2" s="97"/>
      <c r="E2" s="124" t="s">
        <v>148</v>
      </c>
      <c r="F2" s="255"/>
      <c r="G2" s="83"/>
      <c r="H2" s="84"/>
      <c r="I2" s="83"/>
      <c r="J2" s="83"/>
      <c r="K2" s="83"/>
      <c r="L2" s="83"/>
      <c r="M2" s="83"/>
      <c r="N2" s="83"/>
      <c r="O2" s="83"/>
      <c r="P2" s="83"/>
      <c r="Q2" s="83"/>
    </row>
    <row r="3" spans="1:17" customFormat="1" ht="14.45" customHeight="1" x14ac:dyDescent="0.25">
      <c r="A3" s="13" t="s">
        <v>149</v>
      </c>
      <c r="B3" s="34">
        <v>47</v>
      </c>
      <c r="C3" s="97" t="s">
        <v>147</v>
      </c>
      <c r="D3" s="97"/>
      <c r="E3" s="124" t="s">
        <v>148</v>
      </c>
      <c r="F3" s="255"/>
      <c r="G3" s="83"/>
      <c r="H3" s="83"/>
      <c r="I3" s="83"/>
      <c r="J3" s="83"/>
      <c r="K3" s="83"/>
      <c r="L3" s="83"/>
      <c r="M3" s="83"/>
      <c r="N3" s="83"/>
      <c r="O3" s="83"/>
      <c r="P3" s="83"/>
      <c r="Q3" s="83"/>
    </row>
    <row r="4" spans="1:17" customFormat="1" ht="14.45" customHeight="1" x14ac:dyDescent="0.25">
      <c r="A4" s="13" t="s">
        <v>150</v>
      </c>
      <c r="B4" s="34">
        <f>31+31+30+31+30+31</f>
        <v>184</v>
      </c>
      <c r="C4" s="97" t="s">
        <v>151</v>
      </c>
      <c r="D4" s="97"/>
      <c r="E4" s="124"/>
      <c r="F4" s="255"/>
      <c r="G4" s="83"/>
      <c r="H4" s="83"/>
      <c r="I4" s="83"/>
      <c r="J4" s="83"/>
      <c r="K4" s="83"/>
      <c r="L4" s="83"/>
      <c r="M4" s="83"/>
      <c r="N4" s="83"/>
      <c r="O4" s="83"/>
      <c r="P4" s="83"/>
      <c r="Q4" s="83"/>
    </row>
    <row r="5" spans="1:17" customFormat="1" ht="14.45" customHeight="1" x14ac:dyDescent="0.25">
      <c r="A5" s="13" t="s">
        <v>152</v>
      </c>
      <c r="B5" s="34">
        <f>NDAYS_YEAR-B4</f>
        <v>181</v>
      </c>
      <c r="C5" s="97" t="s">
        <v>153</v>
      </c>
      <c r="D5" s="97"/>
      <c r="E5" s="124"/>
      <c r="F5" s="255"/>
      <c r="G5" s="83"/>
      <c r="H5" s="83"/>
      <c r="I5" s="83"/>
      <c r="J5" s="83"/>
      <c r="K5" s="83"/>
      <c r="L5" s="83"/>
      <c r="M5" s="83"/>
      <c r="N5" s="83"/>
      <c r="O5" s="83"/>
      <c r="P5" s="83"/>
      <c r="Q5" s="83"/>
    </row>
    <row r="6" spans="1:17" customFormat="1" ht="75" x14ac:dyDescent="0.25">
      <c r="A6" s="180" t="s">
        <v>154</v>
      </c>
      <c r="B6" s="313">
        <v>45108</v>
      </c>
      <c r="C6" s="97"/>
      <c r="D6" s="97" t="s">
        <v>155</v>
      </c>
      <c r="E6" s="124"/>
      <c r="F6" s="255"/>
      <c r="G6" s="83"/>
      <c r="H6" s="83"/>
      <c r="I6" s="83"/>
      <c r="J6" s="83"/>
      <c r="K6" s="83"/>
      <c r="L6" s="83"/>
      <c r="M6" s="83"/>
      <c r="N6" s="83"/>
      <c r="O6" s="83"/>
      <c r="P6" s="83"/>
      <c r="Q6" s="83"/>
    </row>
    <row r="7" spans="1:17" customFormat="1" ht="14.45" customHeight="1" x14ac:dyDescent="0.25">
      <c r="A7" s="13" t="s">
        <v>156</v>
      </c>
      <c r="B7" s="30" cm="1">
        <f t="array" ref="B7">SUM(IF((POP_ORG_ID_LIST = ORG_ID_REF) * (POP_API_TABLE[include?] = "Yes"), POP_VALUES))</f>
        <v>0</v>
      </c>
      <c r="C7" s="97" t="s">
        <v>157</v>
      </c>
      <c r="D7" s="98" t="s">
        <v>158</v>
      </c>
      <c r="E7" s="124" t="s">
        <v>159</v>
      </c>
      <c r="F7" s="255"/>
      <c r="G7" s="83"/>
      <c r="H7" s="83"/>
      <c r="I7" s="83"/>
      <c r="J7" s="83"/>
      <c r="K7" s="83"/>
      <c r="L7" s="83"/>
      <c r="M7" s="83"/>
      <c r="N7" s="83"/>
      <c r="O7" s="83"/>
      <c r="P7" s="83"/>
      <c r="Q7" s="83"/>
    </row>
    <row r="8" spans="1:17" customFormat="1" ht="75" x14ac:dyDescent="0.25">
      <c r="A8" s="206" t="s">
        <v>160</v>
      </c>
      <c r="B8" s="215"/>
      <c r="C8" s="180" t="s">
        <v>157</v>
      </c>
      <c r="D8" s="205" t="s">
        <v>161</v>
      </c>
      <c r="E8" s="124"/>
      <c r="F8" s="255"/>
      <c r="G8" s="83"/>
      <c r="H8" s="83"/>
      <c r="I8" s="83"/>
      <c r="J8" s="83"/>
      <c r="K8" s="83"/>
      <c r="L8" s="83"/>
      <c r="M8" s="83"/>
      <c r="N8" s="83"/>
      <c r="O8" s="83"/>
      <c r="P8" s="83"/>
      <c r="Q8" s="83"/>
    </row>
    <row r="9" spans="1:17" customFormat="1" ht="31.5" x14ac:dyDescent="0.25">
      <c r="A9" s="45" t="s">
        <v>162</v>
      </c>
      <c r="B9" s="46">
        <f>(B2*B4*IF(ISBLANK(B8),B7,B8))+(B3*B5*IF(ISBLANK(B8),B7,B8))</f>
        <v>0</v>
      </c>
      <c r="C9" s="45" t="s">
        <v>163</v>
      </c>
      <c r="D9" s="45" t="s">
        <v>164</v>
      </c>
      <c r="E9" s="254" t="s">
        <v>165</v>
      </c>
      <c r="F9" s="256"/>
      <c r="G9" s="83"/>
      <c r="H9" s="83"/>
      <c r="I9" s="83"/>
      <c r="J9" s="83"/>
      <c r="K9" s="83"/>
      <c r="L9" s="83"/>
      <c r="M9" s="83"/>
      <c r="N9" s="83"/>
      <c r="O9" s="83"/>
      <c r="P9" s="83"/>
      <c r="Q9" s="83"/>
    </row>
    <row r="10" spans="1:17" customFormat="1" ht="14.45" customHeight="1" x14ac:dyDescent="0.25">
      <c r="C10" s="5"/>
      <c r="G10" s="83"/>
      <c r="H10" s="83"/>
      <c r="I10" s="83"/>
      <c r="J10" s="83"/>
      <c r="K10" s="83"/>
      <c r="L10" s="83"/>
      <c r="M10" s="83"/>
      <c r="N10" s="83"/>
      <c r="O10" s="83"/>
      <c r="P10" s="83"/>
      <c r="Q10" s="83"/>
    </row>
    <row r="11" spans="1:17" customFormat="1" ht="37.5" x14ac:dyDescent="0.25">
      <c r="A11" s="17" t="s">
        <v>166</v>
      </c>
      <c r="B11" s="17" t="s">
        <v>140</v>
      </c>
      <c r="C11" s="17" t="s">
        <v>141</v>
      </c>
      <c r="D11" s="17" t="s">
        <v>142</v>
      </c>
      <c r="E11" s="17" t="s">
        <v>143</v>
      </c>
      <c r="F11" s="17" t="s">
        <v>144</v>
      </c>
      <c r="G11" s="83"/>
      <c r="H11" s="83"/>
      <c r="I11" s="83"/>
      <c r="J11" s="83"/>
      <c r="K11" s="83"/>
      <c r="L11" s="83"/>
      <c r="M11" s="83"/>
      <c r="N11" s="83"/>
      <c r="O11" s="83"/>
      <c r="P11" s="83"/>
      <c r="Q11" s="83"/>
    </row>
    <row r="12" spans="1:17" customFormat="1" ht="93.75" customHeight="1" x14ac:dyDescent="0.25">
      <c r="A12" s="180" t="s">
        <v>167</v>
      </c>
      <c r="B12" s="313">
        <v>45108</v>
      </c>
      <c r="C12" s="97"/>
      <c r="D12" s="97" t="s">
        <v>168</v>
      </c>
      <c r="E12" s="97"/>
      <c r="F12" s="255"/>
      <c r="G12" s="83"/>
      <c r="H12" s="83"/>
      <c r="I12" s="83"/>
      <c r="J12" s="83"/>
      <c r="K12" s="83"/>
      <c r="L12" s="83"/>
      <c r="M12" s="83"/>
      <c r="N12" s="83"/>
      <c r="O12" s="83"/>
      <c r="P12" s="83"/>
      <c r="Q12" s="83"/>
    </row>
    <row r="13" spans="1:17" customFormat="1" ht="15" x14ac:dyDescent="0.25">
      <c r="A13" s="112" t="s">
        <v>169</v>
      </c>
      <c r="B13" s="57">
        <f>'Residential Outdoor Components'!B13</f>
        <v>0</v>
      </c>
      <c r="C13" s="112" t="s">
        <v>163</v>
      </c>
      <c r="D13" s="98"/>
      <c r="E13" s="112" t="s">
        <v>170</v>
      </c>
      <c r="F13" s="257"/>
      <c r="G13" s="83"/>
      <c r="H13" s="83"/>
      <c r="I13" s="83"/>
      <c r="J13" s="83"/>
      <c r="K13" s="83"/>
      <c r="L13" s="83"/>
      <c r="M13" s="83"/>
      <c r="N13" s="83"/>
      <c r="O13" s="83"/>
      <c r="P13" s="83"/>
      <c r="Q13" s="83"/>
    </row>
    <row r="14" spans="1:17" customFormat="1" ht="15" x14ac:dyDescent="0.25">
      <c r="A14" s="112" t="s">
        <v>171</v>
      </c>
      <c r="B14" s="57">
        <f>'Residential Outdoor Components'!B19</f>
        <v>0</v>
      </c>
      <c r="C14" s="112" t="s">
        <v>163</v>
      </c>
      <c r="D14" s="98"/>
      <c r="E14" s="112" t="s">
        <v>172</v>
      </c>
      <c r="F14" s="257"/>
      <c r="G14" s="83"/>
      <c r="H14" s="83"/>
      <c r="I14" s="83"/>
      <c r="J14" s="83"/>
      <c r="K14" s="83"/>
      <c r="L14" s="83"/>
      <c r="M14" s="83"/>
      <c r="N14" s="83"/>
      <c r="O14" s="83"/>
      <c r="P14" s="83"/>
      <c r="Q14" s="83"/>
    </row>
    <row r="15" spans="1:17" customFormat="1" ht="30" x14ac:dyDescent="0.25">
      <c r="A15" s="112" t="s">
        <v>173</v>
      </c>
      <c r="B15" s="57">
        <f>'Residential Outdoor Components'!B33</f>
        <v>0</v>
      </c>
      <c r="C15" s="112" t="s">
        <v>163</v>
      </c>
      <c r="D15" s="98"/>
      <c r="E15" s="112" t="s">
        <v>174</v>
      </c>
      <c r="F15" s="257"/>
      <c r="G15" s="83"/>
      <c r="H15" s="83"/>
      <c r="I15" s="83"/>
      <c r="J15" s="83"/>
      <c r="K15" s="83"/>
      <c r="L15" s="83"/>
      <c r="M15" s="83"/>
      <c r="N15" s="83"/>
      <c r="O15" s="83"/>
      <c r="P15" s="83"/>
      <c r="Q15" s="83"/>
    </row>
    <row r="16" spans="1:17" customFormat="1" ht="45" x14ac:dyDescent="0.25">
      <c r="A16" s="45" t="s">
        <v>175</v>
      </c>
      <c r="B16" s="48">
        <f>SUM(B13:B15)</f>
        <v>0</v>
      </c>
      <c r="C16" s="47"/>
      <c r="D16" s="220" t="s">
        <v>176</v>
      </c>
      <c r="E16" s="55"/>
      <c r="F16" s="258"/>
      <c r="G16" s="83"/>
      <c r="H16" s="83"/>
      <c r="I16" s="83"/>
      <c r="J16" s="83"/>
      <c r="K16" s="83"/>
      <c r="L16" s="83"/>
      <c r="M16" s="83"/>
      <c r="N16" s="83"/>
      <c r="O16" s="83"/>
      <c r="P16" s="83"/>
      <c r="Q16" s="83"/>
    </row>
    <row r="17" spans="1:6" ht="15" x14ac:dyDescent="0.25">
      <c r="A17" s="99"/>
      <c r="B17" s="111"/>
      <c r="C17" s="99"/>
      <c r="D17" s="99"/>
      <c r="E17" s="99"/>
      <c r="F17" s="99"/>
    </row>
    <row r="18" spans="1:6" ht="37.5" x14ac:dyDescent="0.25">
      <c r="A18" s="17" t="s">
        <v>177</v>
      </c>
      <c r="B18" s="18" t="s">
        <v>140</v>
      </c>
      <c r="C18" s="17" t="s">
        <v>141</v>
      </c>
      <c r="D18" s="17" t="s">
        <v>142</v>
      </c>
      <c r="E18" s="17" t="s">
        <v>143</v>
      </c>
      <c r="F18" s="17" t="s">
        <v>144</v>
      </c>
    </row>
    <row r="19" spans="1:6" ht="120" x14ac:dyDescent="0.25">
      <c r="A19" s="180" t="s">
        <v>178</v>
      </c>
      <c r="B19" s="313">
        <v>45108</v>
      </c>
      <c r="C19" s="97"/>
      <c r="D19" s="97" t="s">
        <v>179</v>
      </c>
      <c r="E19" s="97"/>
      <c r="F19" s="255"/>
    </row>
    <row r="20" spans="1:6" ht="45" x14ac:dyDescent="0.25">
      <c r="A20" s="97" t="s">
        <v>180</v>
      </c>
      <c r="B20" s="210" cm="1">
        <f t="array" ref="B20">IFERROR(SUM(IF((PD_ORG_ID_LIST = ORG_ID_REF) * (POTABLE_NONPOTABLE_API[Include?] = "Yes"), PD_NONRES_DIM)), "")</f>
        <v>0</v>
      </c>
      <c r="C20" s="97" t="s">
        <v>163</v>
      </c>
      <c r="D20" s="98" t="s">
        <v>3831</v>
      </c>
      <c r="E20" s="181" t="s">
        <v>181</v>
      </c>
      <c r="F20" s="259"/>
    </row>
    <row r="21" spans="1:6" ht="45" x14ac:dyDescent="0.25">
      <c r="A21" s="112" t="s">
        <v>182</v>
      </c>
      <c r="B21" s="210" cm="1">
        <f t="array" ref="B21">IFERROR(SUM(IF((NPD_ORG_ID_LIST = ORG_ID_REF) * (POTABLE_NONPOTABLE_API[Include?] = "Yes"), NPD_NONRES_DIM)), 0)</f>
        <v>0</v>
      </c>
      <c r="C21" s="97" t="s">
        <v>163</v>
      </c>
      <c r="D21" s="98" t="s">
        <v>3832</v>
      </c>
      <c r="E21" s="181" t="s">
        <v>183</v>
      </c>
      <c r="F21" s="259"/>
    </row>
    <row r="22" spans="1:6" ht="31.5" x14ac:dyDescent="0.25">
      <c r="A22" s="45" t="s">
        <v>184</v>
      </c>
      <c r="B22" s="48">
        <f>SUM(B20:B21)</f>
        <v>0</v>
      </c>
      <c r="C22" s="45" t="s">
        <v>163</v>
      </c>
      <c r="D22" s="43" t="s">
        <v>185</v>
      </c>
      <c r="E22" s="217" t="s">
        <v>186</v>
      </c>
      <c r="F22" s="260"/>
    </row>
    <row r="23" spans="1:6" ht="15" x14ac:dyDescent="0.25">
      <c r="A23" s="118"/>
      <c r="B23" s="188"/>
      <c r="C23" s="118"/>
      <c r="D23" s="118"/>
      <c r="E23" s="218"/>
      <c r="F23" s="218"/>
    </row>
    <row r="24" spans="1:6" ht="14.45" customHeight="1" x14ac:dyDescent="0.25">
      <c r="A24" s="83" t="s">
        <v>187</v>
      </c>
    </row>
    <row r="25" spans="1:6" ht="14.45" customHeight="1" x14ac:dyDescent="0.25"/>
    <row r="26" spans="1:6" ht="14.45" customHeight="1" x14ac:dyDescent="0.25"/>
    <row r="27" spans="1:6" ht="14.45" customHeight="1" x14ac:dyDescent="0.25"/>
    <row r="28" spans="1:6" ht="14.45" customHeight="1" x14ac:dyDescent="0.25"/>
    <row r="29" spans="1:6" ht="14.45" customHeight="1" x14ac:dyDescent="0.25"/>
    <row r="30" spans="1:6" ht="14.45" customHeight="1" x14ac:dyDescent="0.25"/>
    <row r="31" spans="1:6" ht="14.45" customHeight="1" x14ac:dyDescent="0.25"/>
    <row r="32" spans="1:6" ht="14.45" customHeight="1" x14ac:dyDescent="0.25"/>
    <row r="33" spans="1:1" ht="14.45" customHeight="1" x14ac:dyDescent="0.25"/>
    <row r="34" spans="1:1" ht="14.45" customHeight="1" x14ac:dyDescent="0.25"/>
    <row r="35" spans="1:1" ht="14.45" customHeight="1" x14ac:dyDescent="0.25">
      <c r="A35" s="84" t="s">
        <v>3807</v>
      </c>
    </row>
  </sheetData>
  <sheetProtection algorithmName="SHA-512" hashValue="JhNcO5cs3RZXCze3/H/lVMjAl0rTpVnhaSjFCzw1YqnWJJSVKjB7RUu4xFosJRXLOeAkMhj9p+WWI29Fmo2gbQ==" saltValue="PtZPWFk99SAVDGrTQhxxdA==" spinCount="100000" sheet="1" formatRows="0"/>
  <protectedRanges>
    <protectedRange sqref="B6 B8 B12 B19" name="edit_cells"/>
    <protectedRange sqref="F2:F9 F12:F16 F19:F22" name="notes"/>
  </protectedRanges>
  <dataValidations count="2">
    <dataValidation type="list" allowBlank="1" showInputMessage="1" showErrorMessage="1" sqref="B12 B19 B6" xr:uid="{C69E7807-E9F7-4BF0-9250-DDED42137DEB}">
      <formula1>"7/1/2023,7/1/2024"</formula1>
    </dataValidation>
    <dataValidation allowBlank="1" showInputMessage="1" showErrorMessage="1" prompt="See 969(a)(1)" sqref="A18" xr:uid="{BFE33200-8DE2-42D5-8C0B-FE0EEA2B5EC4}"/>
  </dataValidations>
  <hyperlinks>
    <hyperlink ref="H1" location="'Landing Page and Navigation'!A1" display="Back to Navigation List" xr:uid="{35E3BF15-2D2E-4151-9C80-A47388D001BC}"/>
    <hyperlink ref="D20" r:id="rId1" display="See RESIDENTIAL_SINGLEFAMILY_GAL in the Potable and Non-Potable Water Deliveries for URWS on the Open Data Portal" xr:uid="{C777AB4C-991A-4C0B-B47A-4295EBC575FB}"/>
    <hyperlink ref="D21" r:id="rId2" display="See RESIDENTIAL_SINGLEFAMILY_GAL in the Potable and Non-Potable Water Deliveries for URWS on the Open Data Portal" xr:uid="{42448D32-6632-48E2-A720-585EEC4F548C}"/>
    <hyperlink ref="D7" r:id="rId3" display="SDWIS Residential Population" xr:uid="{0FA02EBF-8D55-4C93-9B76-46AF5DEC56DE}"/>
    <hyperlink ref="D16" location="'Residential Outdoor Components'!A1" display="Sum of individual residential outdoor water use budget components, as calculated in the &quot;Residential Outdoor Components&quot; tab. If you would like to change any values in the calculations, click here." xr:uid="{62091281-8F42-47A2-BA42-769B78C18106}"/>
    <hyperlink ref="A35" location="'Landing Page and Navigation'!E1" display="Back to Table of Contents" xr:uid="{A5A9685D-6E7F-4A16-8879-2C08472BD9E4}"/>
  </hyperlinks>
  <pageMargins left="0.7" right="0.7" top="0.75" bottom="0.75" header="0.3" footer="0.3"/>
  <pageSetup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85DCA-BA00-4EE7-BA8A-561B256B9972}">
  <sheetPr codeName="Sheet11">
    <tabColor theme="9" tint="0.39997558519241921"/>
  </sheetPr>
  <dimension ref="A1:D14"/>
  <sheetViews>
    <sheetView workbookViewId="0">
      <selection activeCell="A3" sqref="A3"/>
    </sheetView>
  </sheetViews>
  <sheetFormatPr defaultColWidth="0" defaultRowHeight="15" zeroHeight="1" x14ac:dyDescent="0.25"/>
  <cols>
    <col min="1" max="1" width="104.28515625" customWidth="1"/>
    <col min="2" max="2" width="44" customWidth="1"/>
    <col min="3" max="3" width="117.5703125" customWidth="1"/>
    <col min="4" max="4" width="51.140625" hidden="1" customWidth="1"/>
    <col min="5" max="16384" width="9.140625" hidden="1"/>
  </cols>
  <sheetData>
    <row r="1" spans="1:3" ht="19.899999999999999" customHeight="1" x14ac:dyDescent="0.3">
      <c r="A1" s="412" t="s">
        <v>188</v>
      </c>
      <c r="B1" s="412"/>
      <c r="C1" s="83"/>
    </row>
    <row r="2" spans="1:3" ht="49.9" customHeight="1" x14ac:dyDescent="0.25">
      <c r="A2" s="413" t="s">
        <v>3839</v>
      </c>
      <c r="B2" s="413"/>
      <c r="C2" s="83"/>
    </row>
    <row r="3" spans="1:3" ht="15.6" customHeight="1" x14ac:dyDescent="0.25">
      <c r="A3" s="175" t="s">
        <v>189</v>
      </c>
      <c r="B3" s="176" t="s">
        <v>190</v>
      </c>
      <c r="C3" s="83"/>
    </row>
    <row r="4" spans="1:3" ht="41.45" customHeight="1" x14ac:dyDescent="0.25">
      <c r="A4" s="195" t="s">
        <v>191</v>
      </c>
      <c r="B4" s="316"/>
      <c r="C4" s="83"/>
    </row>
    <row r="5" spans="1:3" ht="51.6" customHeight="1" x14ac:dyDescent="0.25">
      <c r="A5" s="194" t="s">
        <v>192</v>
      </c>
      <c r="B5" s="316"/>
      <c r="C5" s="83"/>
    </row>
    <row r="6" spans="1:3" ht="15.75" x14ac:dyDescent="0.25">
      <c r="A6" s="301" t="s">
        <v>193</v>
      </c>
      <c r="B6" s="302"/>
      <c r="C6" s="83"/>
    </row>
    <row r="7" spans="1:3" ht="37.9" customHeight="1" x14ac:dyDescent="0.25">
      <c r="A7" s="194" t="s">
        <v>3815</v>
      </c>
      <c r="B7" s="316"/>
      <c r="C7" s="83"/>
    </row>
    <row r="8" spans="1:3" ht="68.45" customHeight="1" x14ac:dyDescent="0.25">
      <c r="A8" s="179" t="s">
        <v>194</v>
      </c>
      <c r="B8" s="316"/>
      <c r="C8" s="83"/>
    </row>
    <row r="9" spans="1:3" x14ac:dyDescent="0.25">
      <c r="A9" s="84" t="s">
        <v>195</v>
      </c>
      <c r="B9" s="83"/>
      <c r="C9" s="83"/>
    </row>
    <row r="10" spans="1:3" x14ac:dyDescent="0.25">
      <c r="A10" s="83"/>
      <c r="B10" s="83"/>
      <c r="C10" s="83"/>
    </row>
    <row r="11" spans="1:3" x14ac:dyDescent="0.25">
      <c r="A11" s="86"/>
      <c r="B11" s="86"/>
      <c r="C11" s="86"/>
    </row>
    <row r="12" spans="1:3" x14ac:dyDescent="0.25">
      <c r="A12" s="83"/>
      <c r="B12" s="297"/>
      <c r="C12" s="83"/>
    </row>
    <row r="13" spans="1:3" ht="65.45" customHeight="1" x14ac:dyDescent="0.25">
      <c r="A13" s="83"/>
      <c r="B13" s="83"/>
      <c r="C13" s="83"/>
    </row>
    <row r="14" spans="1:3" x14ac:dyDescent="0.25">
      <c r="A14" s="84" t="s">
        <v>3807</v>
      </c>
    </row>
  </sheetData>
  <sheetProtection algorithmName="SHA-512" hashValue="c5GfIVMRAnnNZzfWskdlJxO/0Nd0/XRBGczSuEvHOFYxs9AXy2LGQiSZl0h4zcNkQtBXCoMm2tXgIm7WyJLHEQ==" saltValue="WHhsoNFcJIkJg9z1+3Qexw==" spinCount="100000" sheet="1" objects="1" scenarios="1"/>
  <protectedRanges>
    <protectedRange sqref="B4:B5 B7:B8" name="Range1"/>
  </protectedRanges>
  <mergeCells count="2">
    <mergeCell ref="A1:B1"/>
    <mergeCell ref="A2:B2"/>
  </mergeCells>
  <hyperlinks>
    <hyperlink ref="A9" location="'Alternative Data or Methodolgy'!A1" display="If you are submitting alternative data or methodology to DWR for approval, please denote here " xr:uid="{9428A762-072B-413A-ABE0-2FFACC71D953}"/>
    <hyperlink ref="A14" location="'Landing Page and Navigation'!E1" display="Back to Table of Contents" xr:uid="{18302A01-A42F-477C-A93E-86C5D2CBAFD0}"/>
  </hyperlink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2B445-08D9-4897-9880-3A98DE65632D}">
  <sheetPr codeName="Sheet5">
    <tabColor theme="9" tint="0.39997558519241921"/>
  </sheetPr>
  <dimension ref="A1:Q90"/>
  <sheetViews>
    <sheetView topLeftCell="A50" workbookViewId="0">
      <selection activeCell="D61" sqref="D61"/>
    </sheetView>
  </sheetViews>
  <sheetFormatPr defaultColWidth="0" defaultRowHeight="15" zeroHeight="1" x14ac:dyDescent="0.25"/>
  <cols>
    <col min="1" max="1" width="75.7109375" customWidth="1"/>
    <col min="2" max="2" width="20.7109375" customWidth="1"/>
    <col min="3" max="3" width="17.7109375" style="5" customWidth="1"/>
    <col min="4" max="4" width="70.7109375" customWidth="1"/>
    <col min="5" max="5" width="15.7109375" style="5" customWidth="1"/>
    <col min="6" max="6" width="45.7109375" style="5" customWidth="1"/>
    <col min="7" max="7" width="3.140625" style="83" customWidth="1"/>
    <col min="8" max="8" width="21" style="83" bestFit="1" customWidth="1"/>
    <col min="9" max="16" width="9.140625" style="83" customWidth="1"/>
    <col min="17" max="17" width="0" style="83" hidden="1" customWidth="1"/>
    <col min="18" max="16384" width="9.140625" hidden="1"/>
  </cols>
  <sheetData>
    <row r="1" spans="1:17" ht="37.5" x14ac:dyDescent="0.25">
      <c r="A1" s="58" t="s">
        <v>196</v>
      </c>
      <c r="B1" s="59" t="s">
        <v>140</v>
      </c>
      <c r="C1" s="58" t="s">
        <v>141</v>
      </c>
      <c r="D1" s="58" t="s">
        <v>142</v>
      </c>
      <c r="E1" s="58" t="s">
        <v>143</v>
      </c>
      <c r="F1" s="58" t="s">
        <v>144</v>
      </c>
      <c r="H1" s="84" t="s">
        <v>3807</v>
      </c>
    </row>
    <row r="2" spans="1:17" x14ac:dyDescent="0.25">
      <c r="A2" s="13" t="s">
        <v>197</v>
      </c>
      <c r="B2" s="72">
        <f>0.05*'Preliminary Budget'!B9</f>
        <v>0</v>
      </c>
      <c r="C2" s="13" t="s">
        <v>198</v>
      </c>
      <c r="D2" s="13" t="s">
        <v>199</v>
      </c>
      <c r="E2" s="13" t="s">
        <v>200</v>
      </c>
      <c r="F2" s="255"/>
      <c r="H2" s="84"/>
    </row>
    <row r="3" spans="1:17" ht="15.75" thickBot="1" x14ac:dyDescent="0.3">
      <c r="A3" s="13" t="s">
        <v>201</v>
      </c>
      <c r="B3" s="378">
        <f>0.01*'Preliminary Budget'!B9</f>
        <v>0</v>
      </c>
      <c r="C3" s="13" t="s">
        <v>198</v>
      </c>
      <c r="D3" s="13" t="s">
        <v>202</v>
      </c>
      <c r="E3" s="13" t="s">
        <v>203</v>
      </c>
      <c r="F3" s="255"/>
      <c r="H3" s="84"/>
    </row>
    <row r="4" spans="1:17" ht="30.75" thickBot="1" x14ac:dyDescent="0.3">
      <c r="A4" s="387" t="s">
        <v>204</v>
      </c>
      <c r="B4" s="391" t="s">
        <v>1859</v>
      </c>
      <c r="C4" s="388" t="s">
        <v>205</v>
      </c>
      <c r="D4" s="15" t="s">
        <v>206</v>
      </c>
      <c r="E4" s="13"/>
      <c r="F4" s="255"/>
      <c r="H4" s="84"/>
    </row>
    <row r="5" spans="1:17" ht="24" customHeight="1" thickBot="1" x14ac:dyDescent="0.3">
      <c r="A5" s="13" t="s">
        <v>207</v>
      </c>
      <c r="B5" s="389" t="str">
        <f>IF(B4="Yes",IF(COUNTA(B15:B19,B21:B22)&lt;7,"Incomplete","Data inputs completed"),"Not Applicable")</f>
        <v>Not Applicable</v>
      </c>
      <c r="C5" s="13"/>
      <c r="D5" s="275" t="s">
        <v>208</v>
      </c>
      <c r="E5" s="13"/>
      <c r="F5" s="255"/>
      <c r="H5" s="84"/>
    </row>
    <row r="6" spans="1:17" ht="30.75" thickBot="1" x14ac:dyDescent="0.3">
      <c r="A6" s="387" t="s">
        <v>209</v>
      </c>
      <c r="B6" s="391" t="s">
        <v>1859</v>
      </c>
      <c r="C6" s="388" t="s">
        <v>205</v>
      </c>
      <c r="D6" s="15" t="s">
        <v>210</v>
      </c>
      <c r="E6" s="13"/>
      <c r="F6" s="255"/>
      <c r="H6" s="84"/>
    </row>
    <row r="7" spans="1:17" ht="27.6" customHeight="1" thickBot="1" x14ac:dyDescent="0.3">
      <c r="A7" s="13" t="s">
        <v>211</v>
      </c>
      <c r="B7" s="389" t="str">
        <f>IF(B6="Yes",IF(B31="5% Threshold (not using hourly or daily AMI)",IF(COUNTA(B34:B38,B46:B50)&lt;10,"Incomplete","Data inputs completed"),IF(COUNTA(B34,B38:B40,B46,B50:B52)&lt;8,"Incomplete","Data inputs completed")),"Not Applicable")</f>
        <v>Not Applicable</v>
      </c>
      <c r="C7" s="13"/>
      <c r="D7" s="275" t="s">
        <v>208</v>
      </c>
      <c r="E7" s="13"/>
      <c r="F7" s="255"/>
      <c r="H7" s="84"/>
    </row>
    <row r="8" spans="1:17" ht="30.75" thickBot="1" x14ac:dyDescent="0.3">
      <c r="A8" s="387" t="s">
        <v>212</v>
      </c>
      <c r="B8" s="391" t="s">
        <v>1859</v>
      </c>
      <c r="C8" s="388" t="s">
        <v>205</v>
      </c>
      <c r="D8" s="15" t="s">
        <v>213</v>
      </c>
      <c r="E8" s="13"/>
      <c r="F8" s="255"/>
    </row>
    <row r="9" spans="1:17" ht="24.6" customHeight="1" x14ac:dyDescent="0.25">
      <c r="A9" s="13" t="s">
        <v>214</v>
      </c>
      <c r="B9" s="390" t="str">
        <f>IF(B8="Yes",IF(COUNTA(B63)&lt;1,"Incomplete","Data inputs completed"),"Not Applicable")</f>
        <v>Not Applicable</v>
      </c>
      <c r="C9" s="13"/>
      <c r="D9" s="275" t="s">
        <v>208</v>
      </c>
      <c r="E9" s="13"/>
      <c r="F9" s="255"/>
    </row>
    <row r="10" spans="1:17" s="216" customFormat="1" ht="31.5" x14ac:dyDescent="0.25">
      <c r="A10" s="197" t="s">
        <v>215</v>
      </c>
      <c r="B10" s="198">
        <f>IF(AND(B4="Yes",B27="Yes"),B26,0)+IF(B6="Yes",IF(B31="1% Threshold (using hourly or daily AMI)",IF(B58="Yes",B56,0),IF(B57="Yes",B56,0)),0)+IF(B8="Yes",B63,0)</f>
        <v>0</v>
      </c>
      <c r="C10" s="197" t="s">
        <v>216</v>
      </c>
      <c r="D10" s="197" t="s">
        <v>217</v>
      </c>
      <c r="E10" s="197" t="s">
        <v>218</v>
      </c>
      <c r="F10" s="261"/>
      <c r="G10" s="199"/>
      <c r="H10" s="199"/>
      <c r="I10" s="199"/>
      <c r="J10" s="199"/>
      <c r="K10" s="199"/>
      <c r="L10" s="199"/>
      <c r="M10" s="199"/>
      <c r="N10" s="199"/>
      <c r="O10" s="199"/>
      <c r="P10" s="199"/>
      <c r="Q10" s="199"/>
    </row>
    <row r="11" spans="1:17" ht="15.75" x14ac:dyDescent="0.25">
      <c r="A11" s="100"/>
      <c r="B11" s="101"/>
      <c r="C11" s="100"/>
      <c r="D11" s="100"/>
      <c r="E11" s="100"/>
      <c r="F11" s="100"/>
    </row>
    <row r="12" spans="1:17" ht="18.75" customHeight="1" x14ac:dyDescent="0.35">
      <c r="A12" s="208" t="s">
        <v>219</v>
      </c>
      <c r="B12" s="103"/>
      <c r="C12" s="104"/>
      <c r="D12" s="99"/>
      <c r="E12" s="104"/>
      <c r="F12" s="104"/>
    </row>
    <row r="13" spans="1:17" s="83" customFormat="1" ht="21" customHeight="1" x14ac:dyDescent="0.25">
      <c r="A13" s="323" t="s">
        <v>220</v>
      </c>
      <c r="B13" s="321" t="s">
        <v>140</v>
      </c>
      <c r="C13" s="323" t="s">
        <v>141</v>
      </c>
      <c r="D13" s="323" t="s">
        <v>142</v>
      </c>
      <c r="E13" s="323" t="s">
        <v>143</v>
      </c>
      <c r="F13" s="58" t="s">
        <v>144</v>
      </c>
    </row>
    <row r="14" spans="1:17" s="174" customFormat="1" ht="30" x14ac:dyDescent="0.25">
      <c r="A14" s="325" t="s">
        <v>221</v>
      </c>
      <c r="B14" s="329"/>
      <c r="C14" s="330"/>
      <c r="D14" s="219" t="s">
        <v>222</v>
      </c>
      <c r="E14" s="327" t="s">
        <v>223</v>
      </c>
      <c r="F14" s="328"/>
      <c r="G14" s="83"/>
      <c r="H14" s="83"/>
      <c r="I14" s="83"/>
      <c r="J14" s="83"/>
      <c r="K14" s="83"/>
      <c r="L14" s="83"/>
      <c r="M14" s="83"/>
      <c r="N14" s="83"/>
      <c r="O14" s="83"/>
      <c r="P14" s="83"/>
    </row>
    <row r="15" spans="1:17" x14ac:dyDescent="0.25">
      <c r="A15" s="143" t="s">
        <v>224</v>
      </c>
      <c r="B15" s="322"/>
      <c r="C15" s="324" t="s">
        <v>225</v>
      </c>
      <c r="D15" s="143" t="s">
        <v>226</v>
      </c>
      <c r="E15" s="143" t="s">
        <v>223</v>
      </c>
      <c r="F15" s="262"/>
    </row>
    <row r="16" spans="1:17" ht="45" x14ac:dyDescent="0.25">
      <c r="A16" s="106" t="s">
        <v>227</v>
      </c>
      <c r="B16" s="10"/>
      <c r="C16" s="6" t="s">
        <v>225</v>
      </c>
      <c r="D16" s="106" t="s">
        <v>228</v>
      </c>
      <c r="E16" s="106" t="s">
        <v>229</v>
      </c>
      <c r="F16" s="262"/>
    </row>
    <row r="17" spans="1:6" x14ac:dyDescent="0.25">
      <c r="A17" s="107" t="s">
        <v>230</v>
      </c>
      <c r="B17" s="10"/>
      <c r="C17" s="106" t="s">
        <v>231</v>
      </c>
      <c r="D17" s="106"/>
      <c r="E17" s="106" t="s">
        <v>232</v>
      </c>
      <c r="F17" s="262"/>
    </row>
    <row r="18" spans="1:6" ht="30" x14ac:dyDescent="0.25">
      <c r="A18" s="106" t="s">
        <v>233</v>
      </c>
      <c r="B18" s="24"/>
      <c r="C18" s="6" t="s">
        <v>234</v>
      </c>
      <c r="D18" s="6" t="s">
        <v>235</v>
      </c>
      <c r="E18" s="6" t="s">
        <v>236</v>
      </c>
      <c r="F18" s="262"/>
    </row>
    <row r="19" spans="1:6" ht="45" x14ac:dyDescent="0.25">
      <c r="A19" s="185" t="s">
        <v>237</v>
      </c>
      <c r="B19" s="240"/>
      <c r="C19" s="185" t="s">
        <v>238</v>
      </c>
      <c r="D19" s="185" t="s">
        <v>239</v>
      </c>
      <c r="E19" s="185" t="s">
        <v>240</v>
      </c>
      <c r="F19" s="308"/>
    </row>
    <row r="20" spans="1:6" x14ac:dyDescent="0.25">
      <c r="A20" s="303" t="s">
        <v>241</v>
      </c>
      <c r="B20" s="304"/>
      <c r="C20" s="305"/>
      <c r="D20" s="305"/>
      <c r="E20" s="306"/>
      <c r="F20" s="307"/>
    </row>
    <row r="21" spans="1:6" ht="90" x14ac:dyDescent="0.25">
      <c r="A21" s="243" t="s">
        <v>242</v>
      </c>
      <c r="B21" s="244"/>
      <c r="C21" s="106" t="s">
        <v>243</v>
      </c>
      <c r="D21" s="319" t="s">
        <v>244</v>
      </c>
      <c r="E21" s="106"/>
      <c r="F21" s="262"/>
    </row>
    <row r="22" spans="1:6" ht="90" x14ac:dyDescent="0.25">
      <c r="A22" s="241" t="s">
        <v>245</v>
      </c>
      <c r="B22" s="242"/>
      <c r="C22" s="143" t="s">
        <v>246</v>
      </c>
      <c r="D22" s="5" t="s">
        <v>244</v>
      </c>
      <c r="E22" s="143"/>
      <c r="F22" s="262"/>
    </row>
    <row r="23" spans="1:6" x14ac:dyDescent="0.25">
      <c r="A23" s="161" t="s">
        <v>247</v>
      </c>
      <c r="B23" s="162">
        <v>0.8</v>
      </c>
      <c r="C23" s="106"/>
      <c r="D23" s="309"/>
      <c r="E23" s="106"/>
      <c r="F23" s="262"/>
    </row>
    <row r="24" spans="1:6" x14ac:dyDescent="0.25">
      <c r="A24" s="161" t="s">
        <v>248</v>
      </c>
      <c r="B24" s="163">
        <v>8700</v>
      </c>
      <c r="C24" s="106"/>
      <c r="D24" s="106"/>
      <c r="E24" s="106"/>
      <c r="F24" s="262"/>
    </row>
    <row r="25" spans="1:6" x14ac:dyDescent="0.25">
      <c r="A25" s="161" t="s">
        <v>249</v>
      </c>
      <c r="B25" s="366">
        <f>(B21*B22*B23)/B24</f>
        <v>0</v>
      </c>
      <c r="C25" s="106" t="s">
        <v>250</v>
      </c>
      <c r="D25" s="107"/>
      <c r="E25" s="106" t="s">
        <v>251</v>
      </c>
      <c r="F25" s="262"/>
    </row>
    <row r="26" spans="1:6" x14ac:dyDescent="0.25">
      <c r="A26" s="49" t="s">
        <v>252</v>
      </c>
      <c r="B26" s="50">
        <f>B17*B19*B25*B18</f>
        <v>0</v>
      </c>
      <c r="C26" s="49" t="s">
        <v>198</v>
      </c>
      <c r="D26" s="53"/>
      <c r="E26" s="49" t="s">
        <v>236</v>
      </c>
      <c r="F26" s="263"/>
    </row>
    <row r="27" spans="1:6" x14ac:dyDescent="0.25">
      <c r="A27" s="108" t="s">
        <v>253</v>
      </c>
      <c r="B27" s="73" t="str">
        <f>IF($B$26&gt;=B2,"Yes","No")</f>
        <v>Yes</v>
      </c>
      <c r="C27" s="106"/>
      <c r="D27" s="107"/>
      <c r="E27" s="108"/>
      <c r="F27" s="264"/>
    </row>
    <row r="28" spans="1:6" x14ac:dyDescent="0.25">
      <c r="A28" s="85"/>
      <c r="B28" s="207"/>
      <c r="C28" s="89"/>
      <c r="D28" s="83"/>
      <c r="E28" s="85"/>
      <c r="F28" s="85"/>
    </row>
    <row r="29" spans="1:6" ht="37.5" x14ac:dyDescent="0.25">
      <c r="A29" s="332" t="s">
        <v>254</v>
      </c>
      <c r="B29" s="331" t="s">
        <v>140</v>
      </c>
      <c r="C29" s="332" t="s">
        <v>141</v>
      </c>
      <c r="D29" s="332" t="s">
        <v>142</v>
      </c>
      <c r="E29" s="332" t="s">
        <v>143</v>
      </c>
      <c r="F29" s="58" t="s">
        <v>144</v>
      </c>
    </row>
    <row r="30" spans="1:6" ht="30.75" thickBot="1" x14ac:dyDescent="0.3">
      <c r="A30" s="325" t="s">
        <v>255</v>
      </c>
      <c r="B30" s="346"/>
      <c r="C30" s="330"/>
      <c r="D30" s="320" t="s">
        <v>222</v>
      </c>
      <c r="E30" s="327" t="s">
        <v>223</v>
      </c>
      <c r="F30" s="328"/>
    </row>
    <row r="31" spans="1:6" ht="43.15" customHeight="1" thickBot="1" x14ac:dyDescent="0.3">
      <c r="A31" s="141" t="s">
        <v>256</v>
      </c>
      <c r="B31" s="393" t="s">
        <v>3843</v>
      </c>
      <c r="C31" s="392" t="s">
        <v>205</v>
      </c>
      <c r="D31" s="143" t="s">
        <v>257</v>
      </c>
      <c r="E31" s="143" t="s">
        <v>258</v>
      </c>
      <c r="F31" s="262"/>
    </row>
    <row r="32" spans="1:6" ht="60" x14ac:dyDescent="0.25">
      <c r="A32" s="182" t="s">
        <v>259</v>
      </c>
      <c r="B32" s="183"/>
      <c r="C32" s="184"/>
      <c r="D32" s="368" t="s">
        <v>260</v>
      </c>
      <c r="E32" s="106"/>
      <c r="F32" s="262"/>
    </row>
    <row r="33" spans="1:6" x14ac:dyDescent="0.25">
      <c r="A33" s="106" t="s">
        <v>3838</v>
      </c>
      <c r="B33" s="35">
        <v>55</v>
      </c>
      <c r="C33" s="106" t="s">
        <v>147</v>
      </c>
      <c r="D33" s="107"/>
      <c r="E33" s="97" t="s">
        <v>261</v>
      </c>
      <c r="F33" s="255"/>
    </row>
    <row r="34" spans="1:6" ht="75" x14ac:dyDescent="0.25">
      <c r="A34" s="106" t="s">
        <v>262</v>
      </c>
      <c r="B34" s="10"/>
      <c r="C34" s="106" t="s">
        <v>263</v>
      </c>
      <c r="D34" s="209" t="s">
        <v>264</v>
      </c>
      <c r="E34" s="106" t="s">
        <v>265</v>
      </c>
      <c r="F34" s="262"/>
    </row>
    <row r="35" spans="1:6" x14ac:dyDescent="0.25">
      <c r="A35" s="191" t="s">
        <v>266</v>
      </c>
      <c r="B35" s="24"/>
      <c r="C35" s="106" t="s">
        <v>267</v>
      </c>
      <c r="D35" t="s">
        <v>268</v>
      </c>
      <c r="E35" s="13" t="s">
        <v>269</v>
      </c>
      <c r="F35" s="255"/>
    </row>
    <row r="36" spans="1:6" x14ac:dyDescent="0.25">
      <c r="A36" s="191" t="s">
        <v>270</v>
      </c>
      <c r="B36" s="24"/>
      <c r="C36" s="106" t="s">
        <v>267</v>
      </c>
      <c r="D36" s="107" t="s">
        <v>268</v>
      </c>
      <c r="E36" s="13" t="s">
        <v>269</v>
      </c>
      <c r="F36" s="255"/>
    </row>
    <row r="37" spans="1:6" x14ac:dyDescent="0.25">
      <c r="A37" s="191" t="s">
        <v>271</v>
      </c>
      <c r="B37" s="24"/>
      <c r="C37" s="106" t="s">
        <v>272</v>
      </c>
      <c r="D37" s="107"/>
      <c r="E37" s="13" t="s">
        <v>269</v>
      </c>
      <c r="F37" s="255"/>
    </row>
    <row r="38" spans="1:6" ht="75" x14ac:dyDescent="0.25">
      <c r="A38" s="161" t="s">
        <v>273</v>
      </c>
      <c r="B38" s="14"/>
      <c r="C38" s="106" t="s">
        <v>234</v>
      </c>
      <c r="D38" s="160" t="s">
        <v>274</v>
      </c>
      <c r="E38" s="97"/>
      <c r="F38" s="255"/>
    </row>
    <row r="39" spans="1:6" s="83" customFormat="1" ht="21" customHeight="1" x14ac:dyDescent="0.25">
      <c r="A39" s="189" t="s">
        <v>275</v>
      </c>
      <c r="B39" s="10"/>
      <c r="C39" s="106" t="s">
        <v>198</v>
      </c>
      <c r="D39" s="164"/>
      <c r="E39" s="13" t="s">
        <v>203</v>
      </c>
      <c r="F39" s="255"/>
    </row>
    <row r="40" spans="1:6" x14ac:dyDescent="0.25">
      <c r="A40" s="190" t="s">
        <v>276</v>
      </c>
      <c r="B40" s="10"/>
      <c r="C40" s="106" t="s">
        <v>198</v>
      </c>
      <c r="D40" s="107"/>
      <c r="E40" s="97"/>
      <c r="F40" s="255"/>
    </row>
    <row r="41" spans="1:6" ht="30" x14ac:dyDescent="0.25">
      <c r="A41" s="191" t="s">
        <v>277</v>
      </c>
      <c r="B41" s="70" t="str">
        <f>IFERROR((B39*IF(ISBLANK('Preliminary Budget'!B8),'Preliminary Budget'!B7,'Preliminary Budget'!B8)/B40)*B38,"")</f>
        <v/>
      </c>
      <c r="C41" s="106" t="s">
        <v>278</v>
      </c>
      <c r="D41" s="107"/>
      <c r="E41" s="97"/>
      <c r="F41" s="255"/>
    </row>
    <row r="42" spans="1:6" ht="30" x14ac:dyDescent="0.25">
      <c r="A42" s="186" t="s">
        <v>279</v>
      </c>
      <c r="B42" s="367" t="str">
        <f>IFERROR((B35/B36)*B37*B38,"")</f>
        <v/>
      </c>
      <c r="C42" s="106" t="s">
        <v>278</v>
      </c>
      <c r="D42" s="147"/>
      <c r="E42" s="122"/>
      <c r="F42" s="255"/>
    </row>
    <row r="43" spans="1:6" x14ac:dyDescent="0.25">
      <c r="A43" s="211" t="s">
        <v>280</v>
      </c>
      <c r="B43" s="200">
        <f>IFERROR(IF(B31="5% Threshold (not using hourly or daily AMI)",B33*B34*B42, B33*B34*B41),0)</f>
        <v>0</v>
      </c>
      <c r="C43" s="201" t="s">
        <v>198</v>
      </c>
      <c r="D43" s="202"/>
      <c r="E43" s="203"/>
      <c r="F43" s="264"/>
    </row>
    <row r="44" spans="1:6" ht="60" x14ac:dyDescent="0.25">
      <c r="A44" s="187" t="s">
        <v>281</v>
      </c>
      <c r="B44" s="183"/>
      <c r="C44" s="89"/>
      <c r="D44" s="193" t="s">
        <v>282</v>
      </c>
      <c r="E44" s="143"/>
      <c r="F44" s="262"/>
    </row>
    <row r="45" spans="1:6" x14ac:dyDescent="0.25">
      <c r="A45" s="106" t="s">
        <v>3837</v>
      </c>
      <c r="B45" s="35">
        <v>47</v>
      </c>
      <c r="C45" s="106" t="s">
        <v>147</v>
      </c>
      <c r="D45" s="209"/>
      <c r="E45" s="97" t="s">
        <v>283</v>
      </c>
      <c r="F45" s="255"/>
    </row>
    <row r="46" spans="1:6" ht="75" x14ac:dyDescent="0.25">
      <c r="A46" s="106" t="s">
        <v>284</v>
      </c>
      <c r="B46" s="14"/>
      <c r="C46" s="106" t="s">
        <v>263</v>
      </c>
      <c r="D46" s="209" t="s">
        <v>264</v>
      </c>
      <c r="E46" s="106" t="s">
        <v>265</v>
      </c>
      <c r="F46" s="262"/>
    </row>
    <row r="47" spans="1:6" x14ac:dyDescent="0.25">
      <c r="A47" s="191" t="s">
        <v>285</v>
      </c>
      <c r="B47" s="14"/>
      <c r="C47" s="106" t="s">
        <v>267</v>
      </c>
      <c r="D47" t="s">
        <v>268</v>
      </c>
      <c r="E47" s="13" t="s">
        <v>269</v>
      </c>
      <c r="F47" s="255"/>
    </row>
    <row r="48" spans="1:6" x14ac:dyDescent="0.25">
      <c r="A48" s="191" t="s">
        <v>286</v>
      </c>
      <c r="B48" s="14"/>
      <c r="C48" s="106" t="s">
        <v>267</v>
      </c>
      <c r="D48" s="107" t="s">
        <v>268</v>
      </c>
      <c r="E48" s="13" t="s">
        <v>269</v>
      </c>
      <c r="F48" s="255"/>
    </row>
    <row r="49" spans="1:6" x14ac:dyDescent="0.25">
      <c r="A49" s="192" t="s">
        <v>287</v>
      </c>
      <c r="B49" s="14"/>
      <c r="C49" s="106" t="s">
        <v>272</v>
      </c>
      <c r="D49" s="107"/>
      <c r="E49" s="13" t="s">
        <v>269</v>
      </c>
      <c r="F49" s="255"/>
    </row>
    <row r="50" spans="1:6" ht="75" x14ac:dyDescent="0.25">
      <c r="A50" s="190" t="s">
        <v>288</v>
      </c>
      <c r="B50" s="14"/>
      <c r="C50" s="106" t="s">
        <v>234</v>
      </c>
      <c r="D50" s="160" t="s">
        <v>274</v>
      </c>
      <c r="E50" s="13" t="s">
        <v>269</v>
      </c>
      <c r="F50" s="255"/>
    </row>
    <row r="51" spans="1:6" x14ac:dyDescent="0.25">
      <c r="A51" s="189" t="s">
        <v>289</v>
      </c>
      <c r="B51" s="10"/>
      <c r="C51" s="106" t="s">
        <v>198</v>
      </c>
      <c r="D51" s="164" t="s">
        <v>290</v>
      </c>
      <c r="E51" s="13" t="s">
        <v>203</v>
      </c>
      <c r="F51" s="255"/>
    </row>
    <row r="52" spans="1:6" s="83" customFormat="1" ht="16.149999999999999" customHeight="1" x14ac:dyDescent="0.25">
      <c r="A52" s="190" t="s">
        <v>291</v>
      </c>
      <c r="B52" s="10"/>
      <c r="C52" s="106" t="s">
        <v>198</v>
      </c>
      <c r="D52" s="164" t="s">
        <v>292</v>
      </c>
      <c r="E52" s="13" t="s">
        <v>203</v>
      </c>
      <c r="F52" s="255"/>
    </row>
    <row r="53" spans="1:6" ht="30" x14ac:dyDescent="0.25">
      <c r="A53" s="191" t="s">
        <v>277</v>
      </c>
      <c r="B53" s="70" t="str">
        <f>IFERROR(((B51*IF(ISBLANK('Preliminary Budget'!B8),'Preliminary Budget'!B7,'Preliminary Budget'!B8)/B52)*B50),"")</f>
        <v/>
      </c>
      <c r="C53" s="106" t="s">
        <v>278</v>
      </c>
      <c r="D53" s="107"/>
      <c r="E53" s="13" t="s">
        <v>203</v>
      </c>
      <c r="F53" s="255"/>
    </row>
    <row r="54" spans="1:6" ht="30" x14ac:dyDescent="0.25">
      <c r="A54" s="191" t="s">
        <v>279</v>
      </c>
      <c r="B54" s="70" t="str">
        <f>IFERROR((B47/B48)*B49*B50,"")</f>
        <v/>
      </c>
      <c r="C54" s="106" t="s">
        <v>278</v>
      </c>
      <c r="D54" s="107"/>
      <c r="E54" s="97"/>
      <c r="F54" s="255"/>
    </row>
    <row r="55" spans="1:6" x14ac:dyDescent="0.25">
      <c r="A55" s="211" t="s">
        <v>293</v>
      </c>
      <c r="B55" s="200">
        <f>IFERROR(IF(B31="5% Threshold (not using hourly or daily AMI)", B46*B54*B45,B46*B53*B45),0)</f>
        <v>0</v>
      </c>
      <c r="C55" s="201" t="s">
        <v>198</v>
      </c>
      <c r="D55" s="202"/>
      <c r="E55" s="203"/>
      <c r="F55" s="264"/>
    </row>
    <row r="56" spans="1:6" x14ac:dyDescent="0.25">
      <c r="A56" s="49" t="s">
        <v>294</v>
      </c>
      <c r="B56" s="50">
        <f>IFERROR(B55+B43,0)</f>
        <v>0</v>
      </c>
      <c r="C56" s="49" t="s">
        <v>198</v>
      </c>
      <c r="D56" s="53"/>
      <c r="E56" s="49" t="s">
        <v>295</v>
      </c>
      <c r="F56" s="263"/>
    </row>
    <row r="57" spans="1:6" x14ac:dyDescent="0.25">
      <c r="A57" s="108" t="s">
        <v>296</v>
      </c>
      <c r="B57" s="212" t="str">
        <f>IF($B$56&gt;=B2,"Yes","No")</f>
        <v>Yes</v>
      </c>
      <c r="C57" s="106"/>
      <c r="D57" s="107"/>
      <c r="E57" s="108"/>
      <c r="F57" s="264"/>
    </row>
    <row r="58" spans="1:6" x14ac:dyDescent="0.25">
      <c r="A58" s="108" t="s">
        <v>297</v>
      </c>
      <c r="B58" s="212" t="str">
        <f>IF($B$56&gt;=B3,"Yes","No")</f>
        <v>Yes</v>
      </c>
      <c r="C58" s="106"/>
      <c r="D58" s="107"/>
      <c r="E58" s="108"/>
      <c r="F58" s="264"/>
    </row>
    <row r="59" spans="1:6" x14ac:dyDescent="0.25">
      <c r="A59" s="85"/>
      <c r="B59" s="109"/>
      <c r="C59" s="89"/>
      <c r="D59" s="83"/>
      <c r="E59" s="85"/>
      <c r="F59" s="85"/>
    </row>
    <row r="60" spans="1:6" ht="37.5" x14ac:dyDescent="0.25">
      <c r="A60" s="58" t="s">
        <v>298</v>
      </c>
      <c r="B60" s="59" t="s">
        <v>140</v>
      </c>
      <c r="C60" s="323" t="s">
        <v>141</v>
      </c>
      <c r="D60" s="58" t="s">
        <v>142</v>
      </c>
      <c r="E60" s="58" t="s">
        <v>143</v>
      </c>
      <c r="F60" s="58" t="s">
        <v>144</v>
      </c>
    </row>
    <row r="61" spans="1:6" ht="30" x14ac:dyDescent="0.25">
      <c r="A61" s="356" t="s">
        <v>299</v>
      </c>
      <c r="B61" s="346"/>
      <c r="C61" s="347"/>
      <c r="D61" s="369" t="s">
        <v>222</v>
      </c>
      <c r="E61" s="327" t="s">
        <v>223</v>
      </c>
      <c r="F61" s="396"/>
    </row>
    <row r="62" spans="1:6" ht="75" x14ac:dyDescent="0.25">
      <c r="A62" s="358" t="s">
        <v>300</v>
      </c>
      <c r="B62" s="359"/>
      <c r="C62" s="370"/>
      <c r="D62" s="369" t="s">
        <v>301</v>
      </c>
      <c r="E62" s="357" t="s">
        <v>302</v>
      </c>
      <c r="F62" s="262"/>
    </row>
    <row r="63" spans="1:6" ht="30" x14ac:dyDescent="0.25">
      <c r="A63" s="106" t="s">
        <v>303</v>
      </c>
      <c r="B63" s="25"/>
      <c r="C63" s="106" t="s">
        <v>198</v>
      </c>
      <c r="D63" s="110"/>
      <c r="E63" s="106" t="s">
        <v>302</v>
      </c>
      <c r="F63" s="262"/>
    </row>
    <row r="64" spans="1:6" x14ac:dyDescent="0.25">
      <c r="A64" s="83"/>
      <c r="B64" s="83"/>
      <c r="C64" s="89"/>
      <c r="D64" s="83"/>
      <c r="E64" s="89"/>
      <c r="F64" s="89"/>
    </row>
    <row r="65" spans="1:6" x14ac:dyDescent="0.25">
      <c r="A65" s="83" t="s">
        <v>304</v>
      </c>
      <c r="B65" s="83"/>
      <c r="C65" s="89"/>
      <c r="D65" s="83"/>
      <c r="E65" s="89"/>
      <c r="F65" s="89"/>
    </row>
    <row r="66" spans="1:6" x14ac:dyDescent="0.25"/>
    <row r="67" spans="1:6" x14ac:dyDescent="0.25"/>
    <row r="68" spans="1:6" x14ac:dyDescent="0.25"/>
    <row r="69" spans="1:6" s="83" customFormat="1" ht="21" customHeight="1" x14ac:dyDescent="0.25">
      <c r="A69"/>
      <c r="B69"/>
      <c r="C69" s="5"/>
      <c r="D69"/>
      <c r="E69" s="5"/>
      <c r="F69" s="5"/>
    </row>
    <row r="70" spans="1:6" x14ac:dyDescent="0.25"/>
    <row r="71" spans="1:6" x14ac:dyDescent="0.25"/>
    <row r="72" spans="1:6" x14ac:dyDescent="0.25"/>
    <row r="73" spans="1:6" x14ac:dyDescent="0.25"/>
    <row r="74" spans="1:6" s="83" customFormat="1" x14ac:dyDescent="0.25">
      <c r="C74" s="89"/>
      <c r="E74" s="89"/>
      <c r="F74" s="89"/>
    </row>
    <row r="75" spans="1:6" s="83" customFormat="1" x14ac:dyDescent="0.25">
      <c r="A75" s="84" t="s">
        <v>3807</v>
      </c>
      <c r="C75" s="89"/>
      <c r="E75" s="89"/>
      <c r="F75" s="89"/>
    </row>
    <row r="76" spans="1:6" hidden="1" x14ac:dyDescent="0.25">
      <c r="A76" s="83"/>
      <c r="B76" s="83"/>
      <c r="C76" s="89"/>
      <c r="D76" s="83"/>
      <c r="E76" s="89"/>
      <c r="F76" s="89"/>
    </row>
    <row r="77" spans="1:6" hidden="1" x14ac:dyDescent="0.25">
      <c r="A77" s="83"/>
      <c r="B77" s="83"/>
      <c r="C77" s="89"/>
      <c r="D77" s="83"/>
      <c r="E77" s="89"/>
      <c r="F77" s="89"/>
    </row>
    <row r="78" spans="1:6" hidden="1" x14ac:dyDescent="0.25">
      <c r="A78" s="83"/>
      <c r="B78" s="83"/>
      <c r="C78" s="89"/>
      <c r="D78" s="83"/>
      <c r="E78" s="89"/>
      <c r="F78" s="89"/>
    </row>
    <row r="79" spans="1:6" hidden="1" x14ac:dyDescent="0.25">
      <c r="A79" s="83"/>
      <c r="B79" s="83"/>
      <c r="C79" s="89"/>
      <c r="D79" s="83"/>
      <c r="E79" s="89"/>
      <c r="F79" s="89"/>
    </row>
    <row r="80" spans="1:6" hidden="1" x14ac:dyDescent="0.25">
      <c r="A80" s="83"/>
      <c r="B80" s="83"/>
      <c r="C80" s="89"/>
      <c r="D80" s="83"/>
      <c r="E80" s="89"/>
      <c r="F80" s="89"/>
    </row>
    <row r="84" spans="1:6" s="83" customFormat="1" hidden="1" x14ac:dyDescent="0.25">
      <c r="A84"/>
      <c r="B84"/>
      <c r="C84" s="5"/>
      <c r="D84"/>
      <c r="E84" s="5"/>
      <c r="F84" s="5"/>
    </row>
    <row r="85" spans="1:6" s="83" customFormat="1" hidden="1" x14ac:dyDescent="0.25">
      <c r="A85"/>
      <c r="B85"/>
      <c r="C85" s="5"/>
      <c r="D85"/>
      <c r="E85" s="5"/>
      <c r="F85" s="5"/>
    </row>
    <row r="86" spans="1:6" s="83" customFormat="1" hidden="1" x14ac:dyDescent="0.25">
      <c r="A86"/>
      <c r="B86"/>
      <c r="C86" s="5"/>
      <c r="D86"/>
      <c r="E86" s="5"/>
      <c r="F86" s="5"/>
    </row>
    <row r="87" spans="1:6" s="83" customFormat="1" hidden="1" x14ac:dyDescent="0.25">
      <c r="A87"/>
      <c r="B87"/>
      <c r="C87" s="5"/>
      <c r="D87"/>
      <c r="E87" s="5"/>
      <c r="F87" s="5"/>
    </row>
    <row r="88" spans="1:6" s="83" customFormat="1" hidden="1" x14ac:dyDescent="0.25">
      <c r="A88"/>
      <c r="B88"/>
      <c r="C88" s="5"/>
      <c r="D88"/>
      <c r="E88" s="5"/>
      <c r="F88" s="5"/>
    </row>
    <row r="89" spans="1:6" s="83" customFormat="1" hidden="1" x14ac:dyDescent="0.25">
      <c r="A89"/>
      <c r="B89"/>
      <c r="C89" s="5"/>
      <c r="D89"/>
      <c r="E89" s="5"/>
      <c r="F89" s="5"/>
    </row>
    <row r="90" spans="1:6" s="83" customFormat="1" hidden="1" x14ac:dyDescent="0.25">
      <c r="A90"/>
      <c r="B90"/>
      <c r="C90" s="5"/>
      <c r="D90"/>
      <c r="E90" s="5"/>
      <c r="F90" s="5"/>
    </row>
  </sheetData>
  <sheetProtection algorithmName="SHA-512" hashValue="S62PAGZbIp+JeyynhUifBDnX658MrG47pOZ5MEqFE5cU4LRNy7K+QIXevhiZyA7HmEke2XTeOLTdfnQF1Duv3Q==" saltValue="piMZ/o12a0poWskTSNA25g==" spinCount="100000" sheet="1" formatRows="0"/>
  <protectedRanges>
    <protectedRange sqref="B4 B6 B8" name="VARIANCE_TOGGLES"/>
    <protectedRange sqref="B63" name="wastewater_provision"/>
    <protectedRange sqref="B15:B19 B21:B22" name="evap_cooler"/>
    <protectedRange sqref="B31 B34:B37 B46:B49" name="seasonal_pop"/>
    <protectedRange sqref="F2:F10 F14:F27 F30:F58 F61:F63" name="notes"/>
  </protectedRanges>
  <conditionalFormatting sqref="A35:F37 A42:F42 A47:F49 A54:F54">
    <cfRule type="expression" dxfId="43" priority="8">
      <formula>$B$31="1% Threshold (using hourly or daily AMI)"</formula>
    </cfRule>
  </conditionalFormatting>
  <conditionalFormatting sqref="A38:F41 A50:F53">
    <cfRule type="expression" dxfId="42" priority="6">
      <formula>$B$31="5% Threshold (not using hourly or daily AMI)"</formula>
    </cfRule>
  </conditionalFormatting>
  <conditionalFormatting sqref="A39:XFD40 A41:B41 D41:XFD41 A51:XFD52 A53:B53 D53:XFD53 A58:XFD58">
    <cfRule type="expression" dxfId="41" priority="7">
      <formula>$B$31="1% Threshold"</formula>
    </cfRule>
  </conditionalFormatting>
  <conditionalFormatting sqref="B5 B7 B9">
    <cfRule type="containsText" dxfId="40" priority="11" operator="containsText" text="Data inputs completed">
      <formula>NOT(ISERROR(SEARCH("Data inputs completed",B5)))</formula>
    </cfRule>
    <cfRule type="containsText" dxfId="39" priority="12" operator="containsText" text="Incomplete">
      <formula>NOT(ISERROR(SEARCH("Incomplete",B5)))</formula>
    </cfRule>
    <cfRule type="containsText" dxfId="38" priority="13" operator="containsText" text="Not Applicable">
      <formula>NOT(ISERROR(SEARCH("Not Applicable",B5)))</formula>
    </cfRule>
  </conditionalFormatting>
  <conditionalFormatting sqref="B15:B19 B21:B25">
    <cfRule type="expression" dxfId="37" priority="5">
      <formula>$B$4&lt;&gt;"Yes"</formula>
    </cfRule>
  </conditionalFormatting>
  <conditionalFormatting sqref="B31 B33:B34 B38:B41 B45:B46 B50:B53">
    <cfRule type="expression" dxfId="36" priority="3">
      <formula>AND($B$6&lt;&gt;"Yes",$B$31="1% Threshold (using hourly or daily AMI)")</formula>
    </cfRule>
  </conditionalFormatting>
  <conditionalFormatting sqref="B31 B33:B37 B42 B45:B49 B54">
    <cfRule type="expression" dxfId="35" priority="4">
      <formula>AND($B$6&lt;&gt;"Yes",$B$31="5% Threshold (not using hourly or daily AMI)")</formula>
    </cfRule>
  </conditionalFormatting>
  <conditionalFormatting sqref="B63">
    <cfRule type="expression" dxfId="34" priority="1">
      <formula>$B$8&lt;&gt;"Yes"</formula>
    </cfRule>
  </conditionalFormatting>
  <dataValidations count="4">
    <dataValidation type="list" allowBlank="1" showInputMessage="1" showErrorMessage="1" sqref="B31" xr:uid="{AB8C471C-3D58-40E7-8940-5C5631273A7B}">
      <formula1>"5% Threshold (not using hourly or daily AMI),1% Threshold (using hourly or daily AMI)"</formula1>
    </dataValidation>
    <dataValidation type="decimal" allowBlank="1" showInputMessage="1" showErrorMessage="1" sqref="B34 B46 B62:B63 B15:B25" xr:uid="{2379B7DE-3FB1-4C34-8B52-6EDAA548AE53}">
      <formula1>0</formula1>
      <formula2>999999999999</formula2>
    </dataValidation>
    <dataValidation type="list" allowBlank="1" showInputMessage="1" showErrorMessage="1" sqref="B4 B6 B8" xr:uid="{67514EC4-9C85-42EA-8E83-1A926BEC16D8}">
      <formula1>"No,Yes"</formula1>
    </dataValidation>
    <dataValidation allowBlank="1" showInputMessage="1" showErrorMessage="1" prompt="Please fill out both 2024 and 2025 sections of this variance as applicable." sqref="A29" xr:uid="{4DC10ECC-5988-442A-944C-489A46144591}"/>
  </dataValidations>
  <hyperlinks>
    <hyperlink ref="D4" location="'Res-Indoor Variances'!A13" display="Drop-down. Change to &quot;Yes&quot; if requesting variance. If B4 is &quot;Yes&quot;, fill out the information for the Evaporative Cooler Variance " xr:uid="{FDDF1A02-86A8-4C5E-AB63-D8A40DA779F2}"/>
    <hyperlink ref="D6" location="'Res-Indoor Variances'!A29" display="Drop-down. Change to &quot;Yes&quot; if requesting variance. If B6 is &quot;Yes&quot;, fill out the information for the Seasonal Population Variance" xr:uid="{53B232B1-42AF-4C31-BB5E-937FE4375475}"/>
    <hyperlink ref="D8" location="'Res-Indoor Variances'!A60" display="Drop-down. Change to &quot;Yes&quot; if requesting provision. If B8 is &quot;Yes&quot;, fill out the information for the Wastewater Provision" xr:uid="{45BEE1B5-EFC1-4639-927B-D72923C4607C}"/>
    <hyperlink ref="D46" r:id="rId1" display="Calculated according to the Department's Methods for Estimating Seasonal Populations with Water and Energy Data (published June 22, 2022) or an alternative method demonstrated to the Department, in coordination with the Board, to be equivalent, or superior, in quality and accuracy. If utilizing alternative method, note it in the &quot;Alternative Data or Methodology&quot; tab." xr:uid="{F89F304F-426F-485B-A0FB-0E6511DD7EEC}"/>
    <hyperlink ref="D21" r:id="rId2" display="Calculated according to the Department’s Methods for Estimating Residential Cooler Water Consumption and Prevalence using Account-Level Water and Energy Consumption Data (published April 15, 2022) or an alternative method demonstrated to the Department, in coordination with the Board, to be equivalent, or superior, in quality and accuracy. If utilizing alternative method, note it in the &quot;Alternative Data or Methodology&quot; tab." xr:uid="{04C3F58A-217D-42FF-9A6D-141EE2B245A2}"/>
    <hyperlink ref="A75" location="'Landing Page and Navigation'!E1" display="Back to Table of Contents" xr:uid="{E94FBFCF-1F84-4890-BE9D-B65D44486191}"/>
    <hyperlink ref="H1" location="'Landing Page and Navigation'!E1" display="Back to Table of Contents" xr:uid="{D781528B-36D7-40E0-9077-252B35AD6DF5}"/>
    <hyperlink ref="D34" r:id="rId3" display="Calculated according to the Department's Methods for Estimating Seasonal Populations with Water and Energy Data (published June 22, 2022) or an alternative method demonstrated to the Department, in coordination with the Board, to be equivalent, or superior, in quality and accuracy. If utilizing alternative method, note it in the &quot;Alternative Data or Methodology&quot; tab." xr:uid="{8F4CC953-B6E2-4F94-BEF2-074808299CB6}"/>
  </hyperlinks>
  <pageMargins left="0.7" right="0.7" top="0.75" bottom="0.75" header="0.3" footer="0.3"/>
  <pageSetup orientation="portrait" r:id="rId4"/>
  <ignoredErrors>
    <ignoredError sqref="B5 B7" formulaRange="1"/>
  </ignoredErrors>
  <drawing r:id="rId5"/>
  <extLst>
    <ext xmlns:x14="http://schemas.microsoft.com/office/spreadsheetml/2009/9/main" uri="{CCE6A557-97BC-4b89-ADB6-D9C93CAAB3DF}">
      <x14:dataValidations xmlns:xm="http://schemas.microsoft.com/office/excel/2006/main" count="2">
        <x14:dataValidation type="whole" allowBlank="1" showInputMessage="1" showErrorMessage="1" error="Enter nearest whole number days. May not exceed days in portion of year." xr:uid="{BC0ED887-1853-4D76-AF8C-94B2A778F221}">
          <x14:formula1>
            <xm:f>0</xm:f>
          </x14:formula1>
          <x14:formula2>
            <xm:f>'Preliminary Budget'!B5</xm:f>
          </x14:formula2>
          <xm:sqref>B50</xm:sqref>
        </x14:dataValidation>
        <x14:dataValidation type="whole" allowBlank="1" showInputMessage="1" showErrorMessage="1" error="Enter nearest whole number days. Days may not exceed portion of year." xr:uid="{9961061D-1DBC-4FCA-A3BB-64BB3E0182A9}">
          <x14:formula1>
            <xm:f>0</xm:f>
          </x14:formula1>
          <x14:formula2>
            <xm:f>'Preliminary Budget'!B4</xm:f>
          </x14:formula2>
          <xm:sqref>B38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E6043-FA2E-45E3-9D15-2A5EA8B316F9}">
  <sheetPr codeName="Sheet9">
    <tabColor theme="9" tint="0.39997558519241921"/>
  </sheetPr>
  <dimension ref="A1:F16"/>
  <sheetViews>
    <sheetView workbookViewId="0">
      <selection activeCell="A3" sqref="A3"/>
    </sheetView>
  </sheetViews>
  <sheetFormatPr defaultColWidth="0" defaultRowHeight="15" zeroHeight="1" x14ac:dyDescent="0.25"/>
  <cols>
    <col min="1" max="1" width="104" customWidth="1"/>
    <col min="2" max="2" width="43.85546875" customWidth="1"/>
    <col min="3" max="3" width="113.7109375" style="83" customWidth="1"/>
    <col min="4" max="4" width="63.28515625" hidden="1" customWidth="1"/>
    <col min="5" max="5" width="18.42578125" hidden="1" customWidth="1"/>
    <col min="6" max="6" width="51.140625" hidden="1" customWidth="1"/>
    <col min="7" max="16384" width="9.140625" hidden="1"/>
  </cols>
  <sheetData>
    <row r="1" spans="1:2" ht="19.899999999999999" customHeight="1" x14ac:dyDescent="0.3">
      <c r="A1" s="412" t="s">
        <v>305</v>
      </c>
      <c r="B1" s="412"/>
    </row>
    <row r="2" spans="1:2" ht="49.9" customHeight="1" x14ac:dyDescent="0.25">
      <c r="A2" s="413" t="s">
        <v>3836</v>
      </c>
      <c r="B2" s="413"/>
    </row>
    <row r="3" spans="1:2" ht="15.6" customHeight="1" x14ac:dyDescent="0.25">
      <c r="A3" s="175" t="s">
        <v>189</v>
      </c>
      <c r="B3" s="176" t="s">
        <v>190</v>
      </c>
    </row>
    <row r="4" spans="1:2" ht="15.75" x14ac:dyDescent="0.25">
      <c r="A4" s="360" t="s">
        <v>191</v>
      </c>
      <c r="B4" s="361"/>
    </row>
    <row r="5" spans="1:2" ht="31.5" x14ac:dyDescent="0.25">
      <c r="A5" s="177" t="s">
        <v>192</v>
      </c>
      <c r="B5" s="317"/>
    </row>
    <row r="6" spans="1:2" ht="15.75" x14ac:dyDescent="0.25">
      <c r="A6" s="301" t="s">
        <v>193</v>
      </c>
      <c r="B6" s="302"/>
    </row>
    <row r="7" spans="1:2" ht="15.75" x14ac:dyDescent="0.25">
      <c r="A7" s="177" t="s">
        <v>306</v>
      </c>
      <c r="B7" s="318"/>
    </row>
    <row r="8" spans="1:2" ht="47.25" x14ac:dyDescent="0.25">
      <c r="A8" s="177" t="s">
        <v>307</v>
      </c>
      <c r="B8" s="318"/>
    </row>
    <row r="9" spans="1:2" ht="63" x14ac:dyDescent="0.25">
      <c r="A9" s="178" t="s">
        <v>308</v>
      </c>
      <c r="B9" s="318"/>
    </row>
    <row r="10" spans="1:2" s="83" customFormat="1" x14ac:dyDescent="0.25">
      <c r="A10" s="84" t="s">
        <v>195</v>
      </c>
    </row>
    <row r="11" spans="1:2" s="83" customFormat="1" x14ac:dyDescent="0.25"/>
    <row r="12" spans="1:2" s="83" customFormat="1" x14ac:dyDescent="0.25"/>
    <row r="13" spans="1:2" s="83" customFormat="1" x14ac:dyDescent="0.25"/>
    <row r="14" spans="1:2" s="83" customFormat="1" x14ac:dyDescent="0.25"/>
    <row r="15" spans="1:2" x14ac:dyDescent="0.25"/>
    <row r="16" spans="1:2" x14ac:dyDescent="0.25">
      <c r="A16" s="84" t="s">
        <v>3807</v>
      </c>
    </row>
  </sheetData>
  <sheetProtection algorithmName="SHA-512" hashValue="chqB+mgAXFioytJPR7jsQsMTjwsrlgpN8tO61bS4d7+H2Ph13uEhCx2AD9oIugCDldfllKaNwCZBcGLVSwHEAw==" saltValue="J8g88GBKrpq6RHhW19jv3w==" spinCount="100000" sheet="1" objects="1" scenarios="1"/>
  <protectedRanges>
    <protectedRange sqref="B4:B5 B7:B9" name="Range1"/>
  </protectedRanges>
  <mergeCells count="2">
    <mergeCell ref="A1:B1"/>
    <mergeCell ref="A2:B2"/>
  </mergeCells>
  <hyperlinks>
    <hyperlink ref="A10" location="'Alternative Data or Methodolgy'!A1" display="If you are submitting alternative data or methodology to DWR for approval, please denote here " xr:uid="{6D0979D9-CBDD-44C3-BF30-00E51D821E48}"/>
    <hyperlink ref="A16" location="'Landing Page and Navigation'!E1" display="Back to Table of Contents" xr:uid="{4D5A37B2-34C1-407E-B75E-9747EC7A7F7E}"/>
  </hyperlinks>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5E761-8689-4279-950B-C9EB56E3D48A}">
  <sheetPr codeName="Sheet6">
    <tabColor theme="9" tint="0.39997558519241921"/>
  </sheetPr>
  <dimension ref="A1:Q130"/>
  <sheetViews>
    <sheetView topLeftCell="A33" workbookViewId="0">
      <selection activeCell="D45" sqref="D45"/>
    </sheetView>
  </sheetViews>
  <sheetFormatPr defaultColWidth="0" defaultRowHeight="15" zeroHeight="1" x14ac:dyDescent="0.25"/>
  <cols>
    <col min="1" max="1" width="75.7109375" customWidth="1"/>
    <col min="2" max="2" width="20.7109375" customWidth="1"/>
    <col min="3" max="3" width="18" style="5" customWidth="1"/>
    <col min="4" max="4" width="57" customWidth="1"/>
    <col min="5" max="5" width="15.7109375" customWidth="1"/>
    <col min="6" max="6" width="45.7109375" customWidth="1"/>
    <col min="7" max="7" width="3.42578125" style="83" customWidth="1"/>
    <col min="8" max="16" width="9.140625" style="83" customWidth="1"/>
    <col min="17" max="17" width="0" style="83" hidden="1" customWidth="1"/>
    <col min="18" max="16384" width="9.140625" hidden="1"/>
  </cols>
  <sheetData>
    <row r="1" spans="1:17" ht="37.5" x14ac:dyDescent="0.25">
      <c r="A1" s="58" t="s">
        <v>196</v>
      </c>
      <c r="B1" s="62" t="s">
        <v>140</v>
      </c>
      <c r="C1" s="61" t="s">
        <v>141</v>
      </c>
      <c r="D1" s="61" t="s">
        <v>142</v>
      </c>
      <c r="E1" s="61" t="s">
        <v>143</v>
      </c>
      <c r="F1" s="61" t="s">
        <v>144</v>
      </c>
      <c r="I1" s="84" t="s">
        <v>3807</v>
      </c>
    </row>
    <row r="2" spans="1:17" x14ac:dyDescent="0.25">
      <c r="A2" s="230" t="s">
        <v>309</v>
      </c>
      <c r="B2" s="72">
        <f>'Preliminary Budget'!B16*0.05</f>
        <v>0</v>
      </c>
      <c r="C2" s="97" t="s">
        <v>198</v>
      </c>
      <c r="D2" s="97" t="s">
        <v>310</v>
      </c>
      <c r="E2" s="97"/>
      <c r="F2" s="255"/>
    </row>
    <row r="3" spans="1:17" ht="15.75" thickBot="1" x14ac:dyDescent="0.3">
      <c r="A3" s="230" t="s">
        <v>311</v>
      </c>
      <c r="B3" s="378">
        <f>'Preliminary Budget'!B16*0.01</f>
        <v>0</v>
      </c>
      <c r="C3" s="97" t="s">
        <v>198</v>
      </c>
      <c r="D3" s="97" t="s">
        <v>312</v>
      </c>
      <c r="E3" s="3"/>
      <c r="F3" s="265"/>
    </row>
    <row r="4" spans="1:17" ht="45.75" thickBot="1" x14ac:dyDescent="0.3">
      <c r="A4" s="383" t="s">
        <v>313</v>
      </c>
      <c r="B4" s="379" t="s">
        <v>1859</v>
      </c>
      <c r="C4" s="384" t="s">
        <v>205</v>
      </c>
      <c r="D4" s="365" t="s">
        <v>314</v>
      </c>
      <c r="E4" s="97"/>
      <c r="F4" s="255"/>
    </row>
    <row r="5" spans="1:17" ht="36.6" customHeight="1" thickBot="1" x14ac:dyDescent="0.3">
      <c r="A5" s="231" t="s">
        <v>315</v>
      </c>
      <c r="B5" s="385" t="str">
        <f>IF(B4="Yes",IF(COUNTBLANK(B27:B38)&gt;0,"Incomplete","Data inputs completed"),"Not Applicable")</f>
        <v>Not Applicable</v>
      </c>
      <c r="C5" s="13"/>
      <c r="D5" s="275" t="s">
        <v>208</v>
      </c>
      <c r="E5" s="97"/>
      <c r="F5" s="255"/>
    </row>
    <row r="6" spans="1:17" ht="30.75" thickBot="1" x14ac:dyDescent="0.3">
      <c r="A6" s="383" t="s">
        <v>316</v>
      </c>
      <c r="B6" s="379" t="s">
        <v>1859</v>
      </c>
      <c r="C6" s="384" t="s">
        <v>205</v>
      </c>
      <c r="D6" s="365" t="s">
        <v>317</v>
      </c>
      <c r="E6" s="97"/>
      <c r="F6" s="255"/>
    </row>
    <row r="7" spans="1:17" ht="38.450000000000003" customHeight="1" thickBot="1" x14ac:dyDescent="0.3">
      <c r="A7" s="231" t="s">
        <v>318</v>
      </c>
      <c r="B7" s="385" t="str">
        <f>IF(B6="Yes",IF(COUNTBLANK(B44:B49)&gt;0,"Incomplete","Data inputs completed"),"Not Applicable")</f>
        <v>Not Applicable</v>
      </c>
      <c r="C7" s="13"/>
      <c r="D7" s="275" t="s">
        <v>208</v>
      </c>
      <c r="E7" s="97"/>
      <c r="F7" s="255"/>
    </row>
    <row r="8" spans="1:17" ht="60.75" thickBot="1" x14ac:dyDescent="0.3">
      <c r="A8" s="383" t="s">
        <v>319</v>
      </c>
      <c r="B8" s="379" t="s">
        <v>1859</v>
      </c>
      <c r="C8" s="384" t="s">
        <v>205</v>
      </c>
      <c r="D8" s="365" t="s">
        <v>320</v>
      </c>
      <c r="E8" s="97"/>
      <c r="F8" s="255"/>
    </row>
    <row r="9" spans="1:17" ht="42.6" customHeight="1" thickBot="1" x14ac:dyDescent="0.3">
      <c r="A9" s="231" t="s">
        <v>321</v>
      </c>
      <c r="B9" s="386" t="str">
        <f>IF(AND(B8="Yes",B55="5% Threshold Equation"),
    IF(COUNTBLANK(B56:B65)&gt;0, "Incomplete", "Data inputs completed"),
    IF(AND(B8="Yes",B55="1% Threshold Equation"),IF(B66&lt;0.00001,
        "Please complete data inputs on the Res Ag 1% tab","Data inputs completed"),"Not Applicable"))</f>
        <v>Not Applicable</v>
      </c>
      <c r="C9" s="13"/>
      <c r="D9" s="275" t="s">
        <v>208</v>
      </c>
      <c r="E9" s="13"/>
      <c r="F9" s="255"/>
      <c r="Q9"/>
    </row>
    <row r="10" spans="1:17" ht="30.75" thickBot="1" x14ac:dyDescent="0.3">
      <c r="A10" s="383" t="s">
        <v>322</v>
      </c>
      <c r="B10" s="379" t="s">
        <v>1859</v>
      </c>
      <c r="C10" s="384" t="s">
        <v>205</v>
      </c>
      <c r="D10" s="365" t="s">
        <v>323</v>
      </c>
      <c r="E10" s="97"/>
      <c r="F10" s="255"/>
    </row>
    <row r="11" spans="1:17" ht="30.75" thickBot="1" x14ac:dyDescent="0.3">
      <c r="A11" s="231" t="s">
        <v>324</v>
      </c>
      <c r="B11" s="386" t="str">
        <f>IF(B10="Yes",IF(COUNTBLANK(B71:B72)&gt;0,"Incomplete","Data inputs completed"),"Not Applicable")</f>
        <v>Not Applicable</v>
      </c>
      <c r="C11" s="13"/>
      <c r="D11" s="275" t="s">
        <v>208</v>
      </c>
      <c r="E11" s="13"/>
      <c r="F11" s="255"/>
      <c r="Q11"/>
    </row>
    <row r="12" spans="1:17" ht="43.15" customHeight="1" thickBot="1" x14ac:dyDescent="0.3">
      <c r="A12" s="383" t="s">
        <v>325</v>
      </c>
      <c r="B12" s="379" t="s">
        <v>1859</v>
      </c>
      <c r="C12" s="384" t="s">
        <v>205</v>
      </c>
      <c r="D12" s="365" t="s">
        <v>326</v>
      </c>
      <c r="E12" s="97"/>
      <c r="F12" s="255"/>
    </row>
    <row r="13" spans="1:17" ht="30.75" thickBot="1" x14ac:dyDescent="0.3">
      <c r="A13" s="231" t="s">
        <v>327</v>
      </c>
      <c r="B13" s="385" t="str">
        <f>IF(B12="Yes",IF(COUNTBLANK(B77:B80)&gt;0,"Incomplete","Data inputs completed"),"Not Applicable")</f>
        <v>Not Applicable</v>
      </c>
      <c r="C13" s="13"/>
      <c r="D13" s="275" t="s">
        <v>208</v>
      </c>
      <c r="E13" s="97"/>
      <c r="F13" s="255"/>
    </row>
    <row r="14" spans="1:17" ht="45.75" thickBot="1" x14ac:dyDescent="0.3">
      <c r="A14" s="383" t="s">
        <v>328</v>
      </c>
      <c r="B14" s="379" t="s">
        <v>1859</v>
      </c>
      <c r="C14" s="384" t="s">
        <v>205</v>
      </c>
      <c r="D14" s="365" t="s">
        <v>329</v>
      </c>
      <c r="E14" s="97"/>
      <c r="F14" s="255"/>
    </row>
    <row r="15" spans="1:17" ht="30" x14ac:dyDescent="0.25">
      <c r="A15" s="231" t="s">
        <v>330</v>
      </c>
      <c r="B15" s="381" t="str">
        <f>IF(B14="Yes",IF(COUNTBLANK(B85:B86)&gt;0,"Incomplete","Data inputs completed"),"Not Applicable")</f>
        <v>Not Applicable</v>
      </c>
      <c r="D15" s="275" t="s">
        <v>208</v>
      </c>
      <c r="F15" s="255"/>
    </row>
    <row r="16" spans="1:17" ht="47.25" x14ac:dyDescent="0.25">
      <c r="A16" s="47" t="s">
        <v>331</v>
      </c>
      <c r="B16" s="48" t="e">
        <f>IF(AND(B40="Yes",B4="Yes"),B39,0)+IF(AND(B51="Yes",B6="Yes"),B50,0)+IF(AND(B55="5% Threshold Equation",B8="Yes"),B64,0)+IF(AND(B55="1% Threshold Equation",B67="Yes",B8="Yes"),B66,0)+IF(B10="Yes",B73,0)+IF(B12="Yes",B81,0)+IF(B14="Yes",B87,0)</f>
        <v>#N/A</v>
      </c>
      <c r="C16" s="47" t="s">
        <v>163</v>
      </c>
      <c r="D16" s="47" t="s">
        <v>332</v>
      </c>
      <c r="E16" s="55"/>
      <c r="F16" s="258"/>
    </row>
    <row r="17" spans="1:6" s="83" customFormat="1" ht="15.75" x14ac:dyDescent="0.25">
      <c r="A17" s="113"/>
      <c r="B17" s="114"/>
      <c r="C17" s="113"/>
      <c r="D17" s="115"/>
      <c r="E17" s="116"/>
      <c r="F17" s="116"/>
    </row>
    <row r="18" spans="1:6" s="83" customFormat="1" ht="18.75" x14ac:dyDescent="0.3">
      <c r="A18" s="102" t="s">
        <v>333</v>
      </c>
      <c r="B18" s="114"/>
      <c r="C18" s="113"/>
      <c r="D18" s="115"/>
      <c r="E18" s="116"/>
      <c r="F18" s="116"/>
    </row>
    <row r="19" spans="1:6" ht="37.5" x14ac:dyDescent="0.25">
      <c r="A19" s="267" t="s">
        <v>334</v>
      </c>
      <c r="B19" s="404" t="s">
        <v>140</v>
      </c>
      <c r="C19" s="267" t="s">
        <v>141</v>
      </c>
      <c r="D19" s="267" t="s">
        <v>142</v>
      </c>
      <c r="E19" s="267" t="s">
        <v>143</v>
      </c>
      <c r="F19" s="267" t="s">
        <v>144</v>
      </c>
    </row>
    <row r="20" spans="1:6" x14ac:dyDescent="0.25">
      <c r="A20" s="97" t="s">
        <v>335</v>
      </c>
      <c r="B20" s="31" cm="1">
        <f t="array" ref="B20">IFERROR(
    SUMPRODUCT(
        IFERROR((CLIMATE_ETO) * (CLIMATE_ORG_ID_LIST = ORG_ID_REF) * (LAM_II_SQFT) * (LAM_ORG_ID_LIST = ORG_ID_REF), 0)
    ) / IFERROR(
        SUMPRODUCT((LAM_II_SQFT) * (LAM_ORG_ID_LIST = ORG_ID_REF)), 1
    ), 0
)</f>
        <v>0</v>
      </c>
      <c r="C20" s="97" t="s">
        <v>336</v>
      </c>
      <c r="D20" s="98" t="s">
        <v>337</v>
      </c>
      <c r="E20" s="97" t="s">
        <v>338</v>
      </c>
      <c r="F20" s="255"/>
    </row>
    <row r="21" spans="1:6" x14ac:dyDescent="0.25">
      <c r="A21" s="97" t="s">
        <v>339</v>
      </c>
      <c r="B21" s="31" cm="1">
        <f t="array" ref="B21">IFERROR(
    SUMPRODUCT(
        IFERROR((CLIMATE_PEFF) * (CLIMATE_ORG_ID_LIST = ORG_ID_REF) * (LAM_II_SQFT) * (LAM_ORG_ID_LIST = ORG_ID_REF), 0)
    ) / IFERROR(
        SUMPRODUCT((LAM_II_SQFT) * (LAM_ORG_ID_LIST = ORG_ID_REF)), 1
    ), 0
)</f>
        <v>0</v>
      </c>
      <c r="C21" s="97" t="s">
        <v>336</v>
      </c>
      <c r="D21" s="98" t="s">
        <v>337</v>
      </c>
      <c r="E21" s="97" t="s">
        <v>340</v>
      </c>
      <c r="F21" s="255"/>
    </row>
    <row r="22" spans="1:6" ht="18" x14ac:dyDescent="0.25">
      <c r="A22" s="97" t="s">
        <v>341</v>
      </c>
      <c r="B22" s="74">
        <f>B20-B21</f>
        <v>0</v>
      </c>
      <c r="C22" s="97" t="s">
        <v>336</v>
      </c>
      <c r="D22" s="97" t="s">
        <v>342</v>
      </c>
      <c r="E22" s="97" t="s">
        <v>343</v>
      </c>
      <c r="F22" s="255"/>
    </row>
    <row r="23" spans="1:6" s="83" customFormat="1" x14ac:dyDescent="0.25">
      <c r="A23" s="99"/>
      <c r="B23" s="111"/>
      <c r="C23" s="99"/>
      <c r="D23" s="99"/>
      <c r="E23" s="99"/>
      <c r="F23" s="99"/>
    </row>
    <row r="24" spans="1:6" ht="18.75" x14ac:dyDescent="0.3">
      <c r="A24" s="102" t="s">
        <v>219</v>
      </c>
      <c r="B24" s="131"/>
      <c r="C24" s="132"/>
      <c r="D24" s="133"/>
      <c r="E24" s="88"/>
      <c r="F24" s="88"/>
    </row>
    <row r="25" spans="1:6" ht="37.5" x14ac:dyDescent="0.25">
      <c r="A25" s="323" t="s">
        <v>344</v>
      </c>
      <c r="B25" s="79" t="s">
        <v>140</v>
      </c>
      <c r="C25" s="334" t="s">
        <v>141</v>
      </c>
      <c r="D25" s="334" t="s">
        <v>142</v>
      </c>
      <c r="E25" s="334" t="s">
        <v>143</v>
      </c>
      <c r="F25" s="267" t="s">
        <v>144</v>
      </c>
    </row>
    <row r="26" spans="1:6" ht="45" x14ac:dyDescent="0.25">
      <c r="A26" s="325" t="s">
        <v>345</v>
      </c>
      <c r="B26" s="329"/>
      <c r="C26" s="330"/>
      <c r="D26" s="326" t="s">
        <v>346</v>
      </c>
      <c r="E26" s="327" t="s">
        <v>347</v>
      </c>
      <c r="F26" s="328"/>
    </row>
    <row r="27" spans="1:6" ht="30" x14ac:dyDescent="0.25">
      <c r="A27" s="335" t="s">
        <v>348</v>
      </c>
      <c r="B27" s="333"/>
      <c r="C27" s="143" t="s">
        <v>349</v>
      </c>
      <c r="D27" s="143" t="s">
        <v>350</v>
      </c>
      <c r="E27" s="143" t="s">
        <v>351</v>
      </c>
      <c r="F27" s="262"/>
    </row>
    <row r="28" spans="1:6" ht="30" x14ac:dyDescent="0.25">
      <c r="A28" s="275" t="s">
        <v>352</v>
      </c>
      <c r="B28" s="248">
        <v>1.5</v>
      </c>
      <c r="C28" s="106" t="s">
        <v>353</v>
      </c>
      <c r="D28" s="106"/>
      <c r="E28" s="106" t="s">
        <v>351</v>
      </c>
      <c r="F28" s="262"/>
    </row>
    <row r="29" spans="1:6" ht="30" x14ac:dyDescent="0.25">
      <c r="A29" s="275" t="s">
        <v>354</v>
      </c>
      <c r="B29" s="25"/>
      <c r="C29" s="106" t="s">
        <v>349</v>
      </c>
      <c r="D29" s="106" t="s">
        <v>350</v>
      </c>
      <c r="E29" s="106" t="s">
        <v>355</v>
      </c>
      <c r="F29" s="262"/>
    </row>
    <row r="30" spans="1:6" ht="30" x14ac:dyDescent="0.25">
      <c r="A30" s="275" t="s">
        <v>356</v>
      </c>
      <c r="B30" s="248">
        <v>2.5</v>
      </c>
      <c r="C30" s="106" t="s">
        <v>353</v>
      </c>
      <c r="D30" s="107"/>
      <c r="E30" s="106" t="s">
        <v>355</v>
      </c>
      <c r="F30" s="262"/>
    </row>
    <row r="31" spans="1:6" ht="30" x14ac:dyDescent="0.25">
      <c r="A31" s="180" t="s">
        <v>357</v>
      </c>
      <c r="B31" s="249"/>
      <c r="C31" s="106" t="s">
        <v>349</v>
      </c>
      <c r="D31" s="106" t="s">
        <v>350</v>
      </c>
      <c r="E31" s="106" t="s">
        <v>358</v>
      </c>
      <c r="F31" s="262"/>
    </row>
    <row r="32" spans="1:6" ht="30" x14ac:dyDescent="0.25">
      <c r="A32" s="180" t="s">
        <v>359</v>
      </c>
      <c r="B32" s="250">
        <v>8</v>
      </c>
      <c r="C32" s="106" t="s">
        <v>353</v>
      </c>
      <c r="D32" s="107"/>
      <c r="E32" s="106" t="s">
        <v>358</v>
      </c>
      <c r="F32" s="262"/>
    </row>
    <row r="33" spans="1:6" ht="30" x14ac:dyDescent="0.25">
      <c r="A33" s="180" t="s">
        <v>360</v>
      </c>
      <c r="B33" s="249"/>
      <c r="C33" s="106" t="s">
        <v>349</v>
      </c>
      <c r="D33" s="106" t="s">
        <v>350</v>
      </c>
      <c r="E33" s="106" t="s">
        <v>361</v>
      </c>
      <c r="F33" s="262"/>
    </row>
    <row r="34" spans="1:6" s="83" customFormat="1" ht="30" x14ac:dyDescent="0.25">
      <c r="A34" s="298" t="s">
        <v>362</v>
      </c>
      <c r="B34" s="251">
        <v>11</v>
      </c>
      <c r="C34" s="106" t="s">
        <v>353</v>
      </c>
      <c r="D34" s="107"/>
      <c r="E34" s="107" t="s">
        <v>361</v>
      </c>
      <c r="F34" s="265"/>
    </row>
    <row r="35" spans="1:6" ht="30" x14ac:dyDescent="0.25">
      <c r="A35" s="298" t="s">
        <v>363</v>
      </c>
      <c r="B35" s="252"/>
      <c r="C35" s="106" t="s">
        <v>349</v>
      </c>
      <c r="D35" s="106" t="s">
        <v>350</v>
      </c>
      <c r="E35" s="107" t="s">
        <v>364</v>
      </c>
      <c r="F35" s="265"/>
    </row>
    <row r="36" spans="1:6" ht="30" x14ac:dyDescent="0.25">
      <c r="A36" s="298" t="s">
        <v>365</v>
      </c>
      <c r="B36" s="251">
        <v>13</v>
      </c>
      <c r="C36" s="106" t="s">
        <v>353</v>
      </c>
      <c r="D36" s="107"/>
      <c r="E36" s="107" t="s">
        <v>364</v>
      </c>
      <c r="F36" s="265"/>
    </row>
    <row r="37" spans="1:6" s="83" customFormat="1" ht="30" x14ac:dyDescent="0.25">
      <c r="A37" s="298" t="s">
        <v>366</v>
      </c>
      <c r="B37" s="252"/>
      <c r="C37" s="106" t="s">
        <v>349</v>
      </c>
      <c r="D37" s="106" t="s">
        <v>350</v>
      </c>
      <c r="E37" s="107" t="s">
        <v>367</v>
      </c>
      <c r="F37" s="265"/>
    </row>
    <row r="38" spans="1:6" ht="30" x14ac:dyDescent="0.25">
      <c r="A38" s="196" t="s">
        <v>368</v>
      </c>
      <c r="B38" s="251">
        <v>16</v>
      </c>
      <c r="C38" s="106" t="s">
        <v>353</v>
      </c>
      <c r="D38" s="107"/>
      <c r="E38" s="107" t="s">
        <v>367</v>
      </c>
      <c r="F38" s="265"/>
    </row>
    <row r="39" spans="1:6" ht="20.25" customHeight="1" x14ac:dyDescent="0.25">
      <c r="A39" s="53" t="s">
        <v>369</v>
      </c>
      <c r="B39" s="50">
        <f>(B27*B28*NDAYS_YEAR)+(B29*B30*NDAYS_YEAR)+(B31*B32*NDAYS_YEAR)+(B33*B34*NDAYS_YEAR)+(B35*B36*NDAYS_YEAR)+(B37*B38*NDAYS_YEAR)</f>
        <v>0</v>
      </c>
      <c r="C39" s="49" t="s">
        <v>198</v>
      </c>
      <c r="D39" s="52"/>
      <c r="E39" s="53" t="s">
        <v>370</v>
      </c>
      <c r="F39" s="268"/>
    </row>
    <row r="40" spans="1:6" ht="19.5" customHeight="1" x14ac:dyDescent="0.25">
      <c r="A40" s="110" t="s">
        <v>371</v>
      </c>
      <c r="B40" s="73" t="str">
        <f>IF(B39&gt;=B2,"Yes","No")</f>
        <v>Yes</v>
      </c>
      <c r="C40" s="106"/>
      <c r="D40" s="107"/>
      <c r="E40" s="110"/>
      <c r="F40" s="269"/>
    </row>
    <row r="41" spans="1:6" ht="17.25" customHeight="1" x14ac:dyDescent="0.25">
      <c r="A41" s="86"/>
      <c r="B41" s="109"/>
      <c r="C41" s="89"/>
      <c r="D41" s="83"/>
      <c r="E41" s="86"/>
      <c r="F41" s="86"/>
    </row>
    <row r="42" spans="1:6" ht="20.25" customHeight="1" x14ac:dyDescent="0.25">
      <c r="A42" s="323" t="s">
        <v>372</v>
      </c>
      <c r="B42" s="79" t="s">
        <v>140</v>
      </c>
      <c r="C42" s="334" t="s">
        <v>141</v>
      </c>
      <c r="D42" s="334" t="s">
        <v>142</v>
      </c>
      <c r="E42" s="61" t="s">
        <v>143</v>
      </c>
      <c r="F42" s="267" t="s">
        <v>144</v>
      </c>
    </row>
    <row r="43" spans="1:6" ht="45" x14ac:dyDescent="0.25">
      <c r="A43" s="325" t="s">
        <v>373</v>
      </c>
      <c r="B43" s="329"/>
      <c r="C43" s="330"/>
      <c r="D43" s="326" t="s">
        <v>346</v>
      </c>
      <c r="E43" s="326" t="s">
        <v>347</v>
      </c>
      <c r="F43" s="257"/>
    </row>
    <row r="44" spans="1:6" ht="18" customHeight="1" x14ac:dyDescent="0.25">
      <c r="A44" s="143" t="s">
        <v>374</v>
      </c>
      <c r="B44" s="336" cm="1">
        <f t="array" ref="B44">SUMIF(LAM_ORG_ID_LIST, ORG_ID_REF, LAM_HCL)</f>
        <v>0</v>
      </c>
      <c r="C44" s="143" t="s">
        <v>375</v>
      </c>
      <c r="D44" s="123" t="s">
        <v>376</v>
      </c>
      <c r="E44" s="106" t="s">
        <v>377</v>
      </c>
      <c r="F44" s="262"/>
    </row>
    <row r="45" spans="1:6" ht="18" customHeight="1" x14ac:dyDescent="0.25">
      <c r="A45" s="143" t="s">
        <v>3829</v>
      </c>
      <c r="B45" s="411"/>
      <c r="C45" s="143" t="s">
        <v>375</v>
      </c>
      <c r="D45" s="123" t="s">
        <v>3850</v>
      </c>
      <c r="E45" s="106"/>
      <c r="F45" s="262"/>
    </row>
    <row r="46" spans="1:6" x14ac:dyDescent="0.25">
      <c r="A46" s="106" t="s">
        <v>378</v>
      </c>
      <c r="B46" s="32" t="e" cm="1">
        <f t="array" ref="B46">INDEX(CZ_TREE_WATER, MATCH(ORG_ID_REF, CZ_ORG_ID_LIST, 0))</f>
        <v>#N/A</v>
      </c>
      <c r="C46" s="106" t="s">
        <v>379</v>
      </c>
      <c r="D46" s="98" t="s">
        <v>380</v>
      </c>
      <c r="E46" s="107" t="s">
        <v>381</v>
      </c>
      <c r="F46" s="265"/>
    </row>
    <row r="47" spans="1:6" x14ac:dyDescent="0.25">
      <c r="A47" s="107" t="s">
        <v>382</v>
      </c>
      <c r="B47" s="76" t="e">
        <f>B46*52</f>
        <v>#N/A</v>
      </c>
      <c r="C47" s="106" t="s">
        <v>383</v>
      </c>
      <c r="D47" s="107" t="s">
        <v>384</v>
      </c>
      <c r="E47" s="107" t="s">
        <v>381</v>
      </c>
      <c r="F47" s="265"/>
    </row>
    <row r="48" spans="1:6" x14ac:dyDescent="0.25">
      <c r="A48" s="107" t="s">
        <v>385</v>
      </c>
      <c r="B48" s="221">
        <v>2.1000000000000001E-2</v>
      </c>
      <c r="C48" s="106"/>
      <c r="D48" s="107"/>
      <c r="E48" s="107" t="s">
        <v>386</v>
      </c>
      <c r="F48" s="265"/>
    </row>
    <row r="49" spans="1:6" s="83" customFormat="1" x14ac:dyDescent="0.25">
      <c r="A49" s="107" t="s">
        <v>387</v>
      </c>
      <c r="B49" s="40">
        <v>7.48</v>
      </c>
      <c r="C49" s="106"/>
      <c r="D49" s="107"/>
      <c r="E49" s="107" t="s">
        <v>386</v>
      </c>
      <c r="F49" s="265"/>
    </row>
    <row r="50" spans="1:6" x14ac:dyDescent="0.25">
      <c r="A50" s="53" t="s">
        <v>388</v>
      </c>
      <c r="B50" s="50" t="e">
        <f>IF(ISBLANK(B45),B44,B45)*B47*B48*B49</f>
        <v>#N/A</v>
      </c>
      <c r="C50" s="51"/>
      <c r="D50" s="52"/>
      <c r="E50" s="53" t="s">
        <v>386</v>
      </c>
      <c r="F50" s="268"/>
    </row>
    <row r="51" spans="1:6" x14ac:dyDescent="0.25">
      <c r="A51" s="110" t="s">
        <v>389</v>
      </c>
      <c r="B51" s="73" t="e">
        <f>IF(B50&gt;=B2,"Yes","No")</f>
        <v>#N/A</v>
      </c>
      <c r="C51" s="106"/>
      <c r="D51" s="107"/>
      <c r="E51" s="110"/>
      <c r="F51" s="269"/>
    </row>
    <row r="52" spans="1:6" x14ac:dyDescent="0.25">
      <c r="A52" s="86"/>
      <c r="B52" s="109"/>
      <c r="C52" s="89"/>
      <c r="D52" s="83"/>
      <c r="E52" s="86"/>
      <c r="F52" s="86"/>
    </row>
    <row r="53" spans="1:6" s="83" customFormat="1" ht="37.5" x14ac:dyDescent="0.25">
      <c r="A53" s="323" t="s">
        <v>390</v>
      </c>
      <c r="B53" s="79" t="s">
        <v>140</v>
      </c>
      <c r="C53" s="334" t="s">
        <v>141</v>
      </c>
      <c r="D53" s="334" t="s">
        <v>142</v>
      </c>
      <c r="E53" s="334" t="s">
        <v>143</v>
      </c>
      <c r="F53" s="267" t="s">
        <v>144</v>
      </c>
    </row>
    <row r="54" spans="1:6" s="83" customFormat="1" ht="45.75" thickBot="1" x14ac:dyDescent="0.3">
      <c r="A54" s="325" t="s">
        <v>391</v>
      </c>
      <c r="B54" s="346"/>
      <c r="C54" s="330"/>
      <c r="D54" s="326" t="s">
        <v>346</v>
      </c>
      <c r="E54" s="327" t="s">
        <v>347</v>
      </c>
      <c r="F54" s="328"/>
    </row>
    <row r="55" spans="1:6" s="83" customFormat="1" ht="60.75" thickBot="1" x14ac:dyDescent="0.3">
      <c r="A55" s="141" t="s">
        <v>392</v>
      </c>
      <c r="B55" s="382" t="s">
        <v>610</v>
      </c>
      <c r="C55" s="142" t="s">
        <v>205</v>
      </c>
      <c r="D55" s="340" t="s">
        <v>393</v>
      </c>
      <c r="E55" s="341" t="s">
        <v>394</v>
      </c>
      <c r="F55" s="270"/>
    </row>
    <row r="56" spans="1:6" s="83" customFormat="1" x14ac:dyDescent="0.25">
      <c r="A56" s="106" t="s">
        <v>395</v>
      </c>
      <c r="B56" s="95" cm="1">
        <f t="array" ref="B56">SUMIF(LAM_ORG_ID_LIST, ORG_ID_REF, LAM_AG_SQFT)</f>
        <v>0</v>
      </c>
      <c r="C56" s="106" t="s">
        <v>375</v>
      </c>
      <c r="D56" s="98" t="s">
        <v>376</v>
      </c>
      <c r="E56" s="107" t="s">
        <v>394</v>
      </c>
      <c r="F56" s="265"/>
    </row>
    <row r="57" spans="1:6" ht="33" x14ac:dyDescent="0.25">
      <c r="A57" s="107" t="s">
        <v>396</v>
      </c>
      <c r="B57" s="40">
        <v>0.62</v>
      </c>
      <c r="C57" s="97" t="s">
        <v>397</v>
      </c>
      <c r="D57" s="97" t="s">
        <v>398</v>
      </c>
      <c r="E57" s="107"/>
      <c r="F57" s="265"/>
    </row>
    <row r="58" spans="1:6" x14ac:dyDescent="0.25">
      <c r="A58" s="107" t="s">
        <v>399</v>
      </c>
      <c r="B58" s="29" cm="1">
        <f t="array" ref="B58">IFERROR(
    SUMPRODUCT(
        IFERROR((SEASONAL_ETO) * (SEASONAL_ORG_ID_LIST = ORG_ID_REF) * (LAM_II_SQFT) * (LAM_ORG_ID_LIST = ORG_ID_REF), 0)
    ) / IFERROR(
        SUMPRODUCT((LAM_II_SQFT) * (LAM_ORG_ID_LIST = ORG_ID_REF)), 1
    ), 0
)</f>
        <v>0</v>
      </c>
      <c r="C58" s="106" t="s">
        <v>336</v>
      </c>
      <c r="D58" s="148" t="s">
        <v>400</v>
      </c>
      <c r="E58" s="107" t="s">
        <v>394</v>
      </c>
      <c r="F58" s="265"/>
    </row>
    <row r="59" spans="1:6" x14ac:dyDescent="0.25">
      <c r="A59" s="107" t="s">
        <v>401</v>
      </c>
      <c r="B59" s="29" cm="1">
        <f t="array" ref="B59">IFERROR(
    SUMPRODUCT(
        IFERROR((SEASONAL_PEFF) * (SEASONAL_ORG_ID_LIST = ORG_ID_REF) * (LAM_II_SQFT) * (LAM_ORG_ID_LIST = ORG_ID_REF), 0)
    ) / IFERROR(
        SUMPRODUCT((LAM_II_SQFT) * (LAM_ORG_ID_LIST = ORG_ID_REF)), 1
    ), 0
)</f>
        <v>0</v>
      </c>
      <c r="C59" s="106" t="s">
        <v>336</v>
      </c>
      <c r="D59" s="148" t="s">
        <v>400</v>
      </c>
      <c r="E59" s="107" t="s">
        <v>394</v>
      </c>
      <c r="F59" s="265"/>
    </row>
    <row r="60" spans="1:6" x14ac:dyDescent="0.25">
      <c r="A60" s="107" t="s">
        <v>402</v>
      </c>
      <c r="B60" s="70">
        <f>B58-B59</f>
        <v>0</v>
      </c>
      <c r="C60" s="106" t="s">
        <v>336</v>
      </c>
      <c r="D60" s="107"/>
      <c r="E60" s="107" t="s">
        <v>394</v>
      </c>
      <c r="F60" s="265"/>
    </row>
    <row r="61" spans="1:6" x14ac:dyDescent="0.25">
      <c r="A61" s="106" t="s">
        <v>403</v>
      </c>
      <c r="B61" s="29" cm="1">
        <f t="array" ref="B61">IFERROR(
    SUMPRODUCT(
        IFERROR((SEASONAL_CROP_COEFF) * (SEASONAL_ORG_ID_LIST = ORG_ID_REF) * (LAM_II_SQFT) * (LAM_ORG_ID_LIST = ORG_ID_REF), 0)
    ) / IFERROR(
        SUMPRODUCT((LAM_II_SQFT) * (LAM_ORG_ID_LIST = ORG_ID_REF)), 1
    ), 0
)</f>
        <v>0</v>
      </c>
      <c r="C61" s="106"/>
      <c r="D61" s="148" t="s">
        <v>400</v>
      </c>
      <c r="E61" s="107"/>
      <c r="F61" s="265"/>
    </row>
    <row r="62" spans="1:6" x14ac:dyDescent="0.25">
      <c r="A62" s="106" t="s">
        <v>404</v>
      </c>
      <c r="B62" s="33" cm="1">
        <f t="array" ref="B62">IFERROR(
    SUMPRODUCT(
        IFERROR((SEASONAL_IRR_EFF) * (SEASONAL_ORG_ID_LIST = ORG_ID_REF) * (LAM_II_SQFT) * (LAM_ORG_ID_LIST = ORG_ID_REF), 0)
    ) / IFERROR(
        SUMPRODUCT((LAM_II_SQFT) * (LAM_ORG_ID_LIST = ORG_ID_REF)), 1
    ), 0
)</f>
        <v>0</v>
      </c>
      <c r="C62" s="106"/>
      <c r="D62" s="148" t="s">
        <v>400</v>
      </c>
      <c r="E62" s="107"/>
      <c r="F62" s="265"/>
    </row>
    <row r="63" spans="1:6" ht="18" customHeight="1" x14ac:dyDescent="0.25">
      <c r="A63" s="107" t="s">
        <v>405</v>
      </c>
      <c r="B63" s="29" cm="1">
        <f t="array" ref="B63">IFERROR(
    SUMPRODUCT(
        IFERROR((SEASONAL_ETF) * (SEASONAL_ORG_ID_LIST = ORG_ID_REF) * (LAM_II_SQFT) * (LAM_ORG_ID_LIST = ORG_ID_REF), 0)
    ) / IFERROR(
        SUMPRODUCT((LAM_II_SQFT) * (LAM_ORG_ID_LIST = ORG_ID_REF)), 1
    ), 0
)</f>
        <v>0</v>
      </c>
      <c r="C63" s="106" t="s">
        <v>406</v>
      </c>
      <c r="D63" s="148" t="s">
        <v>407</v>
      </c>
      <c r="E63" s="107" t="s">
        <v>394</v>
      </c>
      <c r="F63" s="265"/>
    </row>
    <row r="64" spans="1:6" x14ac:dyDescent="0.25">
      <c r="A64" s="53" t="s">
        <v>408</v>
      </c>
      <c r="B64" s="50">
        <f>B56*B57*B60*B63</f>
        <v>0</v>
      </c>
      <c r="C64" s="51" t="s">
        <v>198</v>
      </c>
      <c r="D64" s="52"/>
      <c r="E64" s="53" t="s">
        <v>394</v>
      </c>
      <c r="F64" s="268"/>
    </row>
    <row r="65" spans="1:17" s="83" customFormat="1" x14ac:dyDescent="0.25">
      <c r="A65" s="107" t="s">
        <v>409</v>
      </c>
      <c r="B65" s="70" t="str">
        <f>IF(B64&gt;=B2,"Yes","No")</f>
        <v>Yes</v>
      </c>
      <c r="C65" s="106"/>
      <c r="D65" s="137"/>
      <c r="E65" s="107"/>
      <c r="F65" s="265"/>
    </row>
    <row r="66" spans="1:17" ht="30" x14ac:dyDescent="0.25">
      <c r="A66" s="53" t="s">
        <v>410</v>
      </c>
      <c r="B66" s="50">
        <f>'Residential Agriculture 1%'!I36</f>
        <v>0</v>
      </c>
      <c r="C66" s="49" t="s">
        <v>198</v>
      </c>
      <c r="D66" s="94" t="s">
        <v>411</v>
      </c>
      <c r="E66" s="53" t="s">
        <v>412</v>
      </c>
      <c r="F66" s="268"/>
    </row>
    <row r="67" spans="1:17" x14ac:dyDescent="0.25">
      <c r="A67" s="107" t="s">
        <v>413</v>
      </c>
      <c r="B67" s="70" t="str">
        <f>IF(B66&gt;=B3,"Yes","No")</f>
        <v>Yes</v>
      </c>
      <c r="C67" s="106"/>
      <c r="D67" s="137"/>
      <c r="E67" s="107"/>
      <c r="F67" s="265"/>
    </row>
    <row r="68" spans="1:17" x14ac:dyDescent="0.25">
      <c r="A68" s="86"/>
      <c r="B68" s="138"/>
      <c r="C68" s="89"/>
      <c r="D68" s="139"/>
      <c r="E68" s="86"/>
      <c r="F68" s="86"/>
    </row>
    <row r="69" spans="1:17" s="216" customFormat="1" ht="30.75" customHeight="1" x14ac:dyDescent="0.25">
      <c r="A69" s="344" t="s">
        <v>414</v>
      </c>
      <c r="B69" s="79" t="s">
        <v>140</v>
      </c>
      <c r="C69" s="334" t="s">
        <v>141</v>
      </c>
      <c r="D69" s="334" t="s">
        <v>142</v>
      </c>
      <c r="E69" s="61" t="s">
        <v>143</v>
      </c>
      <c r="F69" s="266" t="s">
        <v>144</v>
      </c>
      <c r="G69" s="199"/>
      <c r="H69" s="199"/>
      <c r="I69" s="199"/>
      <c r="J69" s="199"/>
      <c r="K69" s="199"/>
      <c r="L69" s="199"/>
      <c r="M69" s="199"/>
      <c r="N69" s="199"/>
      <c r="O69" s="199"/>
      <c r="P69" s="199"/>
      <c r="Q69" s="199"/>
    </row>
    <row r="70" spans="1:17" ht="45" x14ac:dyDescent="0.25">
      <c r="A70" s="325" t="s">
        <v>415</v>
      </c>
      <c r="B70" s="329"/>
      <c r="C70" s="330"/>
      <c r="D70" s="326" t="s">
        <v>346</v>
      </c>
      <c r="E70" s="320" t="s">
        <v>347</v>
      </c>
      <c r="F70" s="257"/>
    </row>
    <row r="71" spans="1:17" ht="30" x14ac:dyDescent="0.25">
      <c r="A71" s="324" t="s">
        <v>416</v>
      </c>
      <c r="B71" s="80"/>
      <c r="C71" s="324" t="s">
        <v>375</v>
      </c>
      <c r="D71" s="324"/>
      <c r="E71" s="6" t="s">
        <v>417</v>
      </c>
      <c r="F71" s="262"/>
    </row>
    <row r="72" spans="1:17" x14ac:dyDescent="0.25">
      <c r="A72" s="6" t="s">
        <v>418</v>
      </c>
      <c r="B72" s="28" cm="1">
        <f t="array" ref="B72">IFERROR(
    SUMPRODUCT(
        IFERROR((CLIMATE_TOTAL_PREC) * (CLIMATE_ORG_ID_LIST = ORG_ID_REF) * (LAM_II_SQFT) * (LAM_ORG_ID_LIST = ORG_ID_REF), 0)
    ) / IFERROR(
        SUMPRODUCT((LAM_II_SQFT) * (LAM_ORG_ID_LIST = ORG_ID_REF)), 1
    ), 0
)</f>
        <v>0</v>
      </c>
      <c r="C72" s="6" t="s">
        <v>336</v>
      </c>
      <c r="D72" s="98" t="s">
        <v>337</v>
      </c>
      <c r="E72" s="6" t="s">
        <v>417</v>
      </c>
      <c r="F72" s="262"/>
    </row>
    <row r="73" spans="1:17" x14ac:dyDescent="0.25">
      <c r="A73" s="49" t="s">
        <v>419</v>
      </c>
      <c r="B73" s="65">
        <f>1.1*B71*(B20-B72)*0.62</f>
        <v>0</v>
      </c>
      <c r="C73" s="51" t="s">
        <v>198</v>
      </c>
      <c r="D73" s="51"/>
      <c r="E73" s="49" t="s">
        <v>417</v>
      </c>
      <c r="F73" s="263"/>
    </row>
    <row r="74" spans="1:17" x14ac:dyDescent="0.25">
      <c r="A74" s="85"/>
      <c r="B74" s="144"/>
      <c r="C74" s="89"/>
      <c r="D74" s="89"/>
      <c r="E74" s="85"/>
      <c r="F74" s="85"/>
    </row>
    <row r="75" spans="1:17" ht="25.15" customHeight="1" x14ac:dyDescent="0.25">
      <c r="A75" s="323" t="s">
        <v>420</v>
      </c>
      <c r="B75" s="79" t="s">
        <v>140</v>
      </c>
      <c r="C75" s="334" t="s">
        <v>141</v>
      </c>
      <c r="D75" s="334" t="s">
        <v>142</v>
      </c>
      <c r="E75" s="342" t="s">
        <v>143</v>
      </c>
      <c r="F75" s="267" t="s">
        <v>144</v>
      </c>
    </row>
    <row r="76" spans="1:17" ht="45" x14ac:dyDescent="0.25">
      <c r="A76" s="325" t="s">
        <v>421</v>
      </c>
      <c r="B76" s="329"/>
      <c r="C76" s="330"/>
      <c r="D76" s="326" t="s">
        <v>422</v>
      </c>
      <c r="E76" s="327" t="s">
        <v>347</v>
      </c>
      <c r="F76" s="328"/>
    </row>
    <row r="77" spans="1:17" x14ac:dyDescent="0.25">
      <c r="A77" s="121" t="s">
        <v>423</v>
      </c>
      <c r="B77" s="339">
        <v>0.85</v>
      </c>
      <c r="C77" s="121" t="s">
        <v>112</v>
      </c>
      <c r="D77" s="121"/>
      <c r="E77" s="343" t="s">
        <v>424</v>
      </c>
      <c r="F77" s="255"/>
    </row>
    <row r="78" spans="1:17" ht="30" x14ac:dyDescent="0.25">
      <c r="A78" s="97" t="s">
        <v>425</v>
      </c>
      <c r="B78" s="16"/>
      <c r="C78" s="97" t="s">
        <v>426</v>
      </c>
      <c r="D78" s="97"/>
      <c r="E78" s="124" t="s">
        <v>424</v>
      </c>
      <c r="F78" s="255"/>
    </row>
    <row r="79" spans="1:17" x14ac:dyDescent="0.25">
      <c r="A79" s="97" t="s">
        <v>427</v>
      </c>
      <c r="B79" s="30" t="str" cm="1">
        <f t="array" ref="B79">IFERROR(INDEX(CZ_TREE_WATER, MATCH(ORG_ID_REF, CZ_ORG_ID_LIST, 0)), "")</f>
        <v/>
      </c>
      <c r="C79" s="106" t="s">
        <v>379</v>
      </c>
      <c r="D79" s="98" t="s">
        <v>380</v>
      </c>
      <c r="E79" s="124" t="s">
        <v>424</v>
      </c>
      <c r="F79" s="255"/>
    </row>
    <row r="80" spans="1:17" x14ac:dyDescent="0.25">
      <c r="A80" s="97" t="s">
        <v>428</v>
      </c>
      <c r="B80" s="71" t="e">
        <f>B79*52</f>
        <v>#VALUE!</v>
      </c>
      <c r="C80" s="106" t="s">
        <v>383</v>
      </c>
      <c r="D80" s="107" t="s">
        <v>384</v>
      </c>
      <c r="E80" s="124" t="s">
        <v>424</v>
      </c>
      <c r="F80" s="255"/>
    </row>
    <row r="81" spans="1:6" x14ac:dyDescent="0.25">
      <c r="A81" s="43" t="s">
        <v>429</v>
      </c>
      <c r="B81" s="44">
        <f>IFERROR(B78*4*B80*B77*0.62*Net_ET0,0)</f>
        <v>0</v>
      </c>
      <c r="C81" s="43" t="s">
        <v>163</v>
      </c>
      <c r="D81" s="75"/>
      <c r="E81" s="271" t="s">
        <v>424</v>
      </c>
      <c r="F81" s="273"/>
    </row>
    <row r="82" spans="1:6" x14ac:dyDescent="0.25">
      <c r="A82" s="104"/>
      <c r="B82" s="145"/>
      <c r="C82" s="104"/>
      <c r="D82" s="99"/>
      <c r="E82" s="104"/>
      <c r="F82" s="104"/>
    </row>
    <row r="83" spans="1:6" ht="37.5" x14ac:dyDescent="0.25">
      <c r="A83" s="332" t="s">
        <v>430</v>
      </c>
      <c r="B83" s="337" t="s">
        <v>140</v>
      </c>
      <c r="C83" s="338" t="s">
        <v>141</v>
      </c>
      <c r="D83" s="338" t="s">
        <v>142</v>
      </c>
      <c r="E83" s="272" t="s">
        <v>143</v>
      </c>
      <c r="F83" s="267" t="s">
        <v>144</v>
      </c>
    </row>
    <row r="84" spans="1:6" ht="45" x14ac:dyDescent="0.25">
      <c r="A84" s="325" t="s">
        <v>431</v>
      </c>
      <c r="B84" s="329"/>
      <c r="C84" s="330"/>
      <c r="D84" s="326" t="s">
        <v>422</v>
      </c>
      <c r="E84" s="326" t="s">
        <v>347</v>
      </c>
      <c r="F84" s="257"/>
    </row>
    <row r="85" spans="1:6" x14ac:dyDescent="0.25">
      <c r="A85" s="121" t="s">
        <v>432</v>
      </c>
      <c r="B85" s="339">
        <v>0.85</v>
      </c>
      <c r="C85" s="121" t="s">
        <v>112</v>
      </c>
      <c r="D85" s="121"/>
      <c r="E85" s="124" t="s">
        <v>433</v>
      </c>
      <c r="F85" s="255"/>
    </row>
    <row r="86" spans="1:6" ht="30" x14ac:dyDescent="0.25">
      <c r="A86" s="97" t="s">
        <v>434</v>
      </c>
      <c r="B86" s="16"/>
      <c r="C86" s="97" t="s">
        <v>375</v>
      </c>
      <c r="D86" s="97" t="s">
        <v>435</v>
      </c>
      <c r="E86" s="124" t="s">
        <v>433</v>
      </c>
      <c r="F86" s="255"/>
    </row>
    <row r="87" spans="1:6" x14ac:dyDescent="0.25">
      <c r="A87" s="43" t="s">
        <v>436</v>
      </c>
      <c r="B87" s="44">
        <f>B86*B85*0.62*Net_ET0</f>
        <v>0</v>
      </c>
      <c r="C87" s="43" t="s">
        <v>163</v>
      </c>
      <c r="D87" s="75"/>
      <c r="E87" s="271" t="s">
        <v>433</v>
      </c>
      <c r="F87" s="273"/>
    </row>
    <row r="88" spans="1:6" s="83" customFormat="1" ht="18.75" customHeight="1" x14ac:dyDescent="0.25">
      <c r="A88" s="118"/>
      <c r="B88" s="119"/>
      <c r="C88" s="118"/>
      <c r="D88" s="120"/>
      <c r="E88" s="118"/>
      <c r="F88" s="118"/>
    </row>
    <row r="89" spans="1:6" x14ac:dyDescent="0.25">
      <c r="A89" s="83" t="s">
        <v>437</v>
      </c>
      <c r="B89" s="83"/>
      <c r="C89" s="89"/>
      <c r="D89" s="83"/>
      <c r="E89" s="83"/>
      <c r="F89" s="83"/>
    </row>
    <row r="90" spans="1:6" x14ac:dyDescent="0.25"/>
    <row r="91" spans="1:6" x14ac:dyDescent="0.25"/>
    <row r="92" spans="1:6" x14ac:dyDescent="0.25"/>
    <row r="93" spans="1:6" s="83" customFormat="1" x14ac:dyDescent="0.25">
      <c r="A93"/>
      <c r="B93"/>
      <c r="C93" s="5"/>
      <c r="D93"/>
      <c r="E93"/>
      <c r="F93"/>
    </row>
    <row r="94" spans="1:6" x14ac:dyDescent="0.25"/>
    <row r="95" spans="1:6" ht="15" customHeight="1" x14ac:dyDescent="0.25"/>
    <row r="96" spans="1:6" x14ac:dyDescent="0.25"/>
    <row r="97" spans="1:6" x14ac:dyDescent="0.25"/>
    <row r="98" spans="1:6" x14ac:dyDescent="0.25">
      <c r="A98" s="84" t="s">
        <v>3807</v>
      </c>
      <c r="B98" s="83"/>
      <c r="C98" s="89"/>
      <c r="D98" s="83"/>
      <c r="E98" s="83"/>
      <c r="F98" s="83"/>
    </row>
    <row r="99" spans="1:6" hidden="1" x14ac:dyDescent="0.25">
      <c r="A99" s="83"/>
      <c r="B99" s="83"/>
      <c r="C99" s="89"/>
      <c r="D99" s="83"/>
      <c r="E99" s="83"/>
      <c r="F99" s="83"/>
    </row>
    <row r="100" spans="1:6" hidden="1" x14ac:dyDescent="0.25">
      <c r="A100" s="83"/>
      <c r="B100" s="83"/>
      <c r="C100" s="89"/>
      <c r="D100" s="83"/>
      <c r="E100" s="83"/>
      <c r="F100" s="83"/>
    </row>
    <row r="101" spans="1:6" hidden="1" x14ac:dyDescent="0.25">
      <c r="A101" s="83"/>
      <c r="B101" s="83"/>
      <c r="C101" s="89"/>
      <c r="D101" s="83"/>
      <c r="E101" s="83"/>
      <c r="F101" s="83"/>
    </row>
    <row r="102" spans="1:6" hidden="1" x14ac:dyDescent="0.25">
      <c r="A102" s="83"/>
      <c r="B102" s="83"/>
      <c r="C102" s="89"/>
      <c r="D102" s="83"/>
      <c r="E102" s="83"/>
      <c r="F102" s="83"/>
    </row>
    <row r="113" spans="1:6" x14ac:dyDescent="0.25"/>
    <row r="116" spans="1:6" s="83" customFormat="1" hidden="1" x14ac:dyDescent="0.25">
      <c r="A116"/>
      <c r="B116"/>
      <c r="C116" s="5"/>
      <c r="D116"/>
      <c r="E116"/>
      <c r="F116"/>
    </row>
    <row r="117" spans="1:6" s="83" customFormat="1" hidden="1" x14ac:dyDescent="0.25">
      <c r="A117"/>
      <c r="B117"/>
      <c r="C117" s="5"/>
      <c r="D117"/>
      <c r="E117"/>
      <c r="F117"/>
    </row>
    <row r="126" spans="1:6" s="83" customFormat="1" hidden="1" x14ac:dyDescent="0.25">
      <c r="A126"/>
      <c r="B126"/>
      <c r="C126" s="5"/>
      <c r="D126"/>
      <c r="E126"/>
      <c r="F126"/>
    </row>
    <row r="127" spans="1:6" s="83" customFormat="1" hidden="1" x14ac:dyDescent="0.25">
      <c r="A127"/>
      <c r="B127"/>
      <c r="C127" s="5"/>
      <c r="D127"/>
      <c r="E127"/>
      <c r="F127"/>
    </row>
    <row r="128" spans="1:6" s="83" customFormat="1" hidden="1" x14ac:dyDescent="0.25">
      <c r="A128"/>
      <c r="B128"/>
      <c r="C128" s="5"/>
      <c r="D128"/>
      <c r="E128"/>
      <c r="F128"/>
    </row>
    <row r="129" spans="1:6" s="83" customFormat="1" ht="14.25" hidden="1" customHeight="1" x14ac:dyDescent="0.25">
      <c r="A129"/>
      <c r="B129"/>
      <c r="C129" s="5"/>
      <c r="D129"/>
      <c r="E129"/>
      <c r="F129"/>
    </row>
    <row r="130" spans="1:6" s="83" customFormat="1" hidden="1" x14ac:dyDescent="0.25">
      <c r="A130"/>
      <c r="B130"/>
      <c r="C130" s="5"/>
      <c r="D130"/>
      <c r="E130"/>
      <c r="F130"/>
    </row>
  </sheetData>
  <sheetProtection algorithmName="SHA-512" hashValue="YroHfWhDYtsPcHrYSSPLPQBtLdyoWicGVdWekfMIwSGl+FkUatYIwA4dCT344Ku9terrKU6NSh7E1gRYha3+kQ==" saltValue="t+x/QDr09/9GMJ2FG4u5KQ==" spinCount="100000" sheet="1" formatRows="0"/>
  <protectedRanges>
    <protectedRange sqref="F2:F16 F20:F22 F26:F40 F43:F51 F54:F67 F70:F73 F76:F81 F84:F87" name="notes"/>
    <protectedRange sqref="B4 B6 B8 B10 B12 B14" name="VARIANCE_TOGGLE"/>
    <protectedRange sqref="B71 B86 B78 B45" name="REMAINING_FILL_IN"/>
    <protectedRange sqref="B31 B35 B37 B33 B27 B29" name="LIVESTOCK"/>
    <protectedRange sqref="B55" name="RESAG_DROPDOWN"/>
  </protectedRanges>
  <phoneticPr fontId="8" type="noConversion"/>
  <conditionalFormatting sqref="A56:F65">
    <cfRule type="expression" dxfId="33" priority="13">
      <formula>$B$55="1% Threshold Equation"</formula>
    </cfRule>
  </conditionalFormatting>
  <conditionalFormatting sqref="A66:F67">
    <cfRule type="expression" dxfId="32" priority="48">
      <formula>$B$55="5% Threshold Equation"</formula>
    </cfRule>
  </conditionalFormatting>
  <conditionalFormatting sqref="B5 B7 B9 B11 B13:B15">
    <cfRule type="containsText" dxfId="31" priority="7" operator="containsText" text="Data inputs completed">
      <formula>NOT(ISERROR(SEARCH("Data inputs completed",B5)))</formula>
    </cfRule>
    <cfRule type="containsText" dxfId="30" priority="8" operator="containsText" text="Not Applicable">
      <formula>NOT(ISERROR(SEARCH("Not Applicable",B5)))</formula>
    </cfRule>
    <cfRule type="containsText" dxfId="29" priority="9" operator="containsText" text="Incomplete">
      <formula>NOT(ISERROR(SEARCH("Incomplete",B5)))</formula>
    </cfRule>
  </conditionalFormatting>
  <conditionalFormatting sqref="B27:B38">
    <cfRule type="expression" dxfId="28" priority="6">
      <formula>$B$4&lt;&gt;"Yes"</formula>
    </cfRule>
  </conditionalFormatting>
  <conditionalFormatting sqref="B44:B49">
    <cfRule type="expression" dxfId="27" priority="5">
      <formula>$B$6&lt;&gt;"Yes"</formula>
    </cfRule>
  </conditionalFormatting>
  <conditionalFormatting sqref="B55:B63">
    <cfRule type="expression" dxfId="26" priority="4">
      <formula>AND($B$8&lt;&gt;"Yes",$B$55="5% Threshold Equation")</formula>
    </cfRule>
  </conditionalFormatting>
  <conditionalFormatting sqref="B71:B72">
    <cfRule type="expression" dxfId="25" priority="3">
      <formula>$B$10&lt;&gt;"Yes"</formula>
    </cfRule>
  </conditionalFormatting>
  <conditionalFormatting sqref="B77:B80">
    <cfRule type="expression" dxfId="24" priority="2">
      <formula>$B$12&lt;&gt;"Yes"</formula>
    </cfRule>
  </conditionalFormatting>
  <conditionalFormatting sqref="B85:B86">
    <cfRule type="expression" dxfId="23" priority="1">
      <formula>$B$14&lt;&gt;"Yes"</formula>
    </cfRule>
  </conditionalFormatting>
  <dataValidations count="4">
    <dataValidation type="list" allowBlank="1" showInputMessage="1" showErrorMessage="1" sqref="B55" xr:uid="{9E775E38-2715-4167-BA87-82FF7A5015A9}">
      <formula1>"5% Threshold Equation, 1% Threshold Equation"</formula1>
    </dataValidation>
    <dataValidation type="decimal" allowBlank="1" showInputMessage="1" showErrorMessage="1" sqref="B86 B31 B71 B78 B37 B35 B33" xr:uid="{2CA3D5F1-66BB-40AB-A022-4A349FCA5D3E}">
      <formula1>0</formula1>
      <formula2>999999999999</formula2>
    </dataValidation>
    <dataValidation type="list" allowBlank="1" showInputMessage="1" showErrorMessage="1" sqref="B6 B4 B14 B12 B10 B8" xr:uid="{67227499-3160-4767-B9D6-16637A4D7149}">
      <formula1>"No,Yes"</formula1>
    </dataValidation>
    <dataValidation type="decimal" operator="greaterThan" allowBlank="1" showInputMessage="1" showErrorMessage="1" sqref="B45" xr:uid="{217C8267-17FF-4ACA-83DB-9B76C4531670}">
      <formula1>0</formula1>
    </dataValidation>
  </dataValidations>
  <hyperlinks>
    <hyperlink ref="D66" location="'Residential Agriculture 1%'!A1" display="Go to the &quot;Residential Agriculture 1%&quot; tab to fill out the crop-specific information." xr:uid="{9C2660A6-A7D8-46C1-9BEA-E5C00F782D36}"/>
    <hyperlink ref="D44" r:id="rId1" xr:uid="{776F2C56-031B-4DD2-BDC6-50AB9FAAFB26}"/>
    <hyperlink ref="D20" r:id="rId2" xr:uid="{5B9AFB0B-21CE-4210-BFA0-250618605B15}"/>
    <hyperlink ref="D21" r:id="rId3" xr:uid="{DFD533B6-DD25-4E27-8376-6071676B90ED}"/>
    <hyperlink ref="D46" location="'Climate Zone'!A1" display="See Climate Zone table" xr:uid="{61717814-B99E-427E-90F4-0FBB93E1276F}"/>
    <hyperlink ref="D79" location="'Climate Zone'!A1" display="See Climate Zone table" xr:uid="{5476369C-A115-48F4-BE70-0BF108A9B7B0}"/>
    <hyperlink ref="D72" r:id="rId4" xr:uid="{42D08EF7-EC7D-4B5B-A05B-C87AAE012B9E}"/>
    <hyperlink ref="D61" r:id="rId5" xr:uid="{3A38B3AD-703D-48F5-A21C-C4A95F7960BB}"/>
    <hyperlink ref="D62" r:id="rId6" xr:uid="{8C6B768D-B93F-443E-B177-D1E99C538391}"/>
    <hyperlink ref="D63" r:id="rId7" display="Obtained from the Seasonal Weather Data Table" xr:uid="{BC6DDC90-18A8-45C3-AC0D-1687EDB1F735}"/>
    <hyperlink ref="D59" r:id="rId8" xr:uid="{E20A6219-B372-4AF8-B061-593223D40BD2}"/>
    <hyperlink ref="D58" r:id="rId9" xr:uid="{A0F9681A-91AE-4F13-8E6D-1FE48D4FA8A3}"/>
    <hyperlink ref="D56" r:id="rId10" xr:uid="{C0DF0F58-C739-4F8E-9DD8-BE8E091B4CBD}"/>
    <hyperlink ref="D4" location="'Res-Outdoor Variances'!A25" display="Drop-down. Change to &quot;Yes&quot; if requesting variance. If &quot;Yes&quot; is selected in B4, fill out the information for the livestock water use variance." xr:uid="{DB21FBCE-3760-4F88-9DC4-E5FD3EC40E3C}"/>
    <hyperlink ref="D6" location="'Res-Outdoor Variances'!A42" display="Drop-down. Change to &quot;Yes&quot; if requesting variance. If &quot;Yes&quot; is selected in B6, fill out the information for the dust control variance." xr:uid="{6E154AFB-6569-45FC-BC64-34CEA3D54829}"/>
    <hyperlink ref="D8" location="'Res-Outdoor Variances'!A53" display="Change to &quot;Yes&quot; if requesting variance. If &quot;Yes&quot; is selected in B8, fill out the information for the residential agriculture variance. Select no if using residential agriculture area as an SLA." xr:uid="{DBF1090D-109D-4663-847A-A9F755B50D80}"/>
    <hyperlink ref="D10" location="'Res-Outdoor Variances'!A69" display="Change to &quot;Yes&quot; if requesting variance. If &quot;Yes&quot; is selected in B10, fill out the information for the ponds and lakes variance." xr:uid="{F8FA66C2-4AAF-46FE-931A-5E67529048A3}"/>
    <hyperlink ref="D12" location="'Res-Outdoor Variances'!A74" display="Drop-down. Change to &quot;Yes&quot; if requesting variance. If &quot;Yes&quot; is selected in B12, fill out the information for the new climate-ready trees provision." xr:uid="{87F620D7-3275-4911-9121-A8C25CA9E1D4}"/>
    <hyperlink ref="D14" location="'Res-Outdoor Variances'!A83" display="Change to &quot;Yes&quot; if requesting variance. If &quot;Yes&quot; is selected in B14, fill out the information for the qualifying landscapes provision." xr:uid="{CA130947-A7FD-4E6E-862F-E8E61676BD8B}"/>
    <hyperlink ref="A98" location="'Landing Page and Navigation'!E1" display="Back to Table of Contents" xr:uid="{DD92C714-4406-4613-B269-F0DE7376352E}"/>
    <hyperlink ref="I1" location="'Landing Page and Navigation'!E1" display="Back to Table of Contents" xr:uid="{40B3B7DC-A90B-42A1-ADF7-8D95040F9FE6}"/>
    <hyperlink ref="D45" location="'Alternative Data or Methodology'!A1" display="Alternative data source. Indicate request status on last tab." xr:uid="{D3763416-8327-4F3A-AB14-FE9C07FEA6C7}"/>
  </hyperlinks>
  <pageMargins left="0.7" right="0.7" top="0.75" bottom="0.75" header="0.3" footer="0.3"/>
  <pageSetup orientation="portrait" verticalDpi="0" r:id="rId11"/>
  <ignoredErrors>
    <ignoredError sqref="B66" formula="1"/>
    <ignoredError sqref="B80" evalError="1"/>
  </ignoredErrors>
  <drawing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74AE9-5CE9-4394-A7B1-507A5C1D46E0}">
  <sheetPr codeName="Sheet4">
    <tabColor theme="9" tint="0.39997558519241921"/>
  </sheetPr>
  <dimension ref="A1:AK62"/>
  <sheetViews>
    <sheetView topLeftCell="A19" zoomScaleNormal="100" workbookViewId="0">
      <selection activeCell="E29" sqref="E29"/>
    </sheetView>
  </sheetViews>
  <sheetFormatPr defaultColWidth="0" defaultRowHeight="15" zeroHeight="1" x14ac:dyDescent="0.25"/>
  <cols>
    <col min="1" max="1" width="75.7109375" customWidth="1"/>
    <col min="2" max="2" width="20.7109375" customWidth="1"/>
    <col min="3" max="3" width="18" customWidth="1"/>
    <col min="4" max="4" width="57" customWidth="1"/>
    <col min="5" max="5" width="15.7109375" customWidth="1"/>
    <col min="6" max="6" width="45.7109375" customWidth="1"/>
    <col min="7" max="7" width="9.140625" customWidth="1"/>
    <col min="8" max="8" width="25.42578125" customWidth="1"/>
    <col min="9" max="37" width="0" hidden="1" customWidth="1"/>
    <col min="38" max="16384" width="9.140625" hidden="1"/>
  </cols>
  <sheetData>
    <row r="1" spans="1:17" ht="37.5" x14ac:dyDescent="0.25">
      <c r="A1" s="58" t="s">
        <v>196</v>
      </c>
      <c r="B1" s="62" t="s">
        <v>140</v>
      </c>
      <c r="C1" s="61" t="s">
        <v>141</v>
      </c>
      <c r="D1" s="61" t="s">
        <v>142</v>
      </c>
      <c r="E1" s="61" t="s">
        <v>143</v>
      </c>
      <c r="F1" s="267" t="s">
        <v>144</v>
      </c>
      <c r="G1" s="83"/>
      <c r="H1" s="84" t="s">
        <v>3807</v>
      </c>
      <c r="I1" s="83"/>
      <c r="J1" s="83"/>
      <c r="K1" s="83"/>
      <c r="L1" s="83"/>
      <c r="M1" s="83"/>
      <c r="N1" s="83"/>
      <c r="O1" s="83"/>
      <c r="P1" s="83"/>
      <c r="Q1" s="83"/>
    </row>
    <row r="2" spans="1:17" ht="30" x14ac:dyDescent="0.25">
      <c r="A2" s="180" t="s">
        <v>455</v>
      </c>
      <c r="B2" s="72">
        <f>0.05*('Preliminary Budget'!B16+'Preliminary Budget'!B22)</f>
        <v>0</v>
      </c>
      <c r="C2" s="180" t="s">
        <v>198</v>
      </c>
      <c r="D2" s="97" t="s">
        <v>456</v>
      </c>
      <c r="E2" s="97" t="s">
        <v>457</v>
      </c>
      <c r="F2" s="255"/>
      <c r="G2" s="83"/>
      <c r="H2" s="83"/>
      <c r="I2" s="83"/>
      <c r="J2" s="83"/>
      <c r="K2" s="83"/>
      <c r="L2" s="83"/>
      <c r="M2" s="83"/>
      <c r="N2" s="83"/>
      <c r="O2" s="83"/>
      <c r="P2" s="83"/>
      <c r="Q2" s="83"/>
    </row>
    <row r="3" spans="1:17" ht="30.75" thickBot="1" x14ac:dyDescent="0.3">
      <c r="A3" s="180" t="s">
        <v>458</v>
      </c>
      <c r="B3" s="378">
        <f>0.01*('Preliminary Budget'!B17+'Preliminary Budget'!B22)</f>
        <v>0</v>
      </c>
      <c r="C3" s="97" t="s">
        <v>198</v>
      </c>
      <c r="D3" s="97" t="s">
        <v>459</v>
      </c>
      <c r="E3" s="3" t="s">
        <v>460</v>
      </c>
      <c r="F3" s="265"/>
      <c r="G3" s="83"/>
      <c r="H3" s="83"/>
      <c r="I3" s="83"/>
      <c r="J3" s="83"/>
      <c r="K3" s="83"/>
      <c r="L3" s="83"/>
      <c r="M3" s="83"/>
      <c r="N3" s="83"/>
      <c r="O3" s="83"/>
      <c r="P3" s="83"/>
      <c r="Q3" s="83"/>
    </row>
    <row r="4" spans="1:17" ht="45.75" thickBot="1" x14ac:dyDescent="0.3">
      <c r="A4" s="376" t="s">
        <v>461</v>
      </c>
      <c r="B4" s="379" t="s">
        <v>1859</v>
      </c>
      <c r="C4" s="377" t="s">
        <v>205</v>
      </c>
      <c r="D4" s="275" t="s">
        <v>462</v>
      </c>
      <c r="E4" s="97"/>
      <c r="F4" s="255"/>
      <c r="G4" s="83"/>
      <c r="H4" s="83"/>
      <c r="I4" s="83"/>
      <c r="J4" s="83"/>
      <c r="K4" s="83"/>
      <c r="L4" s="83"/>
      <c r="M4" s="83"/>
      <c r="N4" s="83"/>
      <c r="O4" s="83"/>
      <c r="P4" s="83"/>
      <c r="Q4" s="83"/>
    </row>
    <row r="5" spans="1:17" ht="30.75" thickBot="1" x14ac:dyDescent="0.3">
      <c r="A5" s="231" t="s">
        <v>463</v>
      </c>
      <c r="B5" s="380" t="str">
        <f>IF(B4="Yes",IF(COUNTA(B14:B15)&lt;2,"Incomplete","Data requirements satisfied"),"Not Applicable")</f>
        <v>Not Applicable</v>
      </c>
      <c r="C5" s="206"/>
      <c r="D5" s="275" t="s">
        <v>208</v>
      </c>
      <c r="E5" s="97"/>
      <c r="F5" s="255"/>
      <c r="G5" s="83"/>
      <c r="H5" s="83"/>
      <c r="I5" s="83"/>
      <c r="J5" s="83"/>
      <c r="K5" s="83"/>
      <c r="L5" s="83"/>
      <c r="M5" s="83"/>
      <c r="N5" s="83"/>
      <c r="O5" s="83"/>
      <c r="P5" s="83"/>
      <c r="Q5" s="83"/>
    </row>
    <row r="6" spans="1:17" ht="45.75" thickBot="1" x14ac:dyDescent="0.3">
      <c r="A6" s="376" t="s">
        <v>464</v>
      </c>
      <c r="B6" s="379" t="s">
        <v>1859</v>
      </c>
      <c r="C6" s="377" t="s">
        <v>205</v>
      </c>
      <c r="D6" s="275" t="s">
        <v>465</v>
      </c>
      <c r="E6" s="97"/>
      <c r="F6" s="255"/>
      <c r="G6" s="83"/>
      <c r="H6" s="83"/>
      <c r="I6" s="83"/>
      <c r="J6" s="83"/>
      <c r="K6" s="83"/>
      <c r="L6" s="83"/>
      <c r="M6" s="83"/>
      <c r="N6" s="83"/>
      <c r="O6" s="83"/>
      <c r="P6" s="83"/>
      <c r="Q6" s="83"/>
    </row>
    <row r="7" spans="1:17" ht="30" x14ac:dyDescent="0.25">
      <c r="A7" s="13" t="s">
        <v>466</v>
      </c>
      <c r="B7" s="381" t="str">
        <f>IF(B6="Yes",IF(B26="5% Threshold Equation",IF(COUNTA(B22:B29)&lt;8,"Incomplete","Data requirements fulfilled"),IF(COUNTA(B22:B26,B35:B37,B41:B44)&lt;12,"Incomplete","Data requirements satisfied")),"Not Applicable")</f>
        <v>Not Applicable</v>
      </c>
      <c r="C7" s="13"/>
      <c r="D7" s="275" t="s">
        <v>208</v>
      </c>
      <c r="E7" s="13"/>
      <c r="F7" s="255"/>
      <c r="G7" s="83"/>
      <c r="H7" s="83"/>
      <c r="I7" s="83"/>
      <c r="J7" s="83"/>
      <c r="K7" s="83"/>
      <c r="L7" s="83"/>
      <c r="M7" s="83"/>
      <c r="N7" s="83"/>
      <c r="O7" s="83"/>
      <c r="P7" s="83"/>
      <c r="Q7" s="83"/>
    </row>
    <row r="8" spans="1:17" s="216" customFormat="1" ht="31.5" x14ac:dyDescent="0.25">
      <c r="A8" s="197" t="s">
        <v>467</v>
      </c>
      <c r="B8" s="198">
        <f>IF(B4="Yes",B16,0)+IF(AND(B6="Yes",B26="1% Threshold Equation"),B49,B33)</f>
        <v>0</v>
      </c>
      <c r="C8" s="197" t="s">
        <v>216</v>
      </c>
      <c r="D8" s="197" t="s">
        <v>468</v>
      </c>
      <c r="E8" s="197"/>
      <c r="F8" s="261"/>
      <c r="G8" s="199"/>
      <c r="H8" s="199"/>
      <c r="I8" s="199"/>
      <c r="J8" s="199"/>
      <c r="K8" s="199"/>
      <c r="L8" s="199"/>
      <c r="M8" s="199"/>
      <c r="N8" s="199"/>
      <c r="O8" s="199"/>
      <c r="P8" s="199"/>
      <c r="Q8" s="199"/>
    </row>
    <row r="9" spans="1:17" s="83" customFormat="1" x14ac:dyDescent="0.25">
      <c r="A9" s="228"/>
      <c r="B9" s="229"/>
      <c r="C9" s="99"/>
      <c r="D9" s="199"/>
      <c r="E9" s="99"/>
      <c r="F9" s="99"/>
    </row>
    <row r="10" spans="1:17" s="83" customFormat="1" x14ac:dyDescent="0.25">
      <c r="A10" s="395" t="s">
        <v>3851</v>
      </c>
      <c r="B10" s="229"/>
      <c r="C10" s="99"/>
      <c r="D10" s="199"/>
      <c r="E10" s="99"/>
      <c r="F10" s="99"/>
    </row>
    <row r="11" spans="1:17" ht="37.5" x14ac:dyDescent="0.25">
      <c r="A11" s="332" t="s">
        <v>469</v>
      </c>
      <c r="B11" s="337" t="s">
        <v>140</v>
      </c>
      <c r="C11" s="338" t="s">
        <v>141</v>
      </c>
      <c r="D11" s="338" t="s">
        <v>142</v>
      </c>
      <c r="E11" s="63" t="s">
        <v>143</v>
      </c>
      <c r="F11" s="267" t="s">
        <v>144</v>
      </c>
      <c r="G11" s="83"/>
      <c r="H11" s="83"/>
      <c r="I11" s="83"/>
      <c r="J11" s="83"/>
      <c r="K11" s="83"/>
      <c r="L11" s="83"/>
      <c r="M11" s="83"/>
      <c r="N11" s="83"/>
      <c r="O11" s="83"/>
      <c r="P11" s="83"/>
      <c r="Q11" s="83"/>
    </row>
    <row r="12" spans="1:17" s="83" customFormat="1" ht="30.6" customHeight="1" x14ac:dyDescent="0.25">
      <c r="A12" s="345" t="s">
        <v>470</v>
      </c>
      <c r="B12" s="346"/>
      <c r="C12" s="347"/>
      <c r="D12" s="348" t="s">
        <v>346</v>
      </c>
      <c r="E12" s="326" t="s">
        <v>347</v>
      </c>
      <c r="F12" s="328"/>
    </row>
    <row r="13" spans="1:17" s="83" customFormat="1" ht="112.5" customHeight="1" x14ac:dyDescent="0.25">
      <c r="A13" s="325" t="s">
        <v>3816</v>
      </c>
      <c r="B13" s="329"/>
      <c r="C13" s="330"/>
      <c r="D13" s="349" t="s">
        <v>301</v>
      </c>
      <c r="E13" s="326" t="s">
        <v>471</v>
      </c>
      <c r="F13" s="328"/>
    </row>
    <row r="14" spans="1:17" ht="30" x14ac:dyDescent="0.25">
      <c r="A14" s="324" t="s">
        <v>472</v>
      </c>
      <c r="B14" s="80"/>
      <c r="C14" s="106" t="s">
        <v>198</v>
      </c>
      <c r="D14" s="143"/>
      <c r="E14" s="106" t="s">
        <v>473</v>
      </c>
      <c r="F14" s="262"/>
      <c r="G14" s="83"/>
      <c r="H14" s="83"/>
      <c r="I14" s="83"/>
      <c r="J14" s="83"/>
      <c r="K14" s="83"/>
      <c r="L14" s="83"/>
      <c r="M14" s="83"/>
      <c r="N14" s="83"/>
      <c r="O14" s="83"/>
      <c r="P14" s="83"/>
      <c r="Q14" s="83"/>
    </row>
    <row r="15" spans="1:17" ht="30" x14ac:dyDescent="0.25">
      <c r="A15" s="6" t="s">
        <v>474</v>
      </c>
      <c r="B15" s="25"/>
      <c r="C15" s="106" t="s">
        <v>198</v>
      </c>
      <c r="D15" s="106"/>
      <c r="E15" s="106" t="s">
        <v>475</v>
      </c>
      <c r="F15" s="262"/>
      <c r="G15" s="83"/>
      <c r="H15" s="83"/>
      <c r="I15" s="83"/>
      <c r="J15" s="83"/>
      <c r="K15" s="83"/>
      <c r="L15" s="83"/>
      <c r="M15" s="83"/>
      <c r="N15" s="83"/>
      <c r="O15" s="83"/>
      <c r="P15" s="83"/>
      <c r="Q15" s="83"/>
    </row>
    <row r="16" spans="1:17" ht="30" x14ac:dyDescent="0.25">
      <c r="A16" s="49" t="s">
        <v>476</v>
      </c>
      <c r="B16" s="65">
        <f>SUM(B14:B15)</f>
        <v>0</v>
      </c>
      <c r="C16" s="49" t="s">
        <v>198</v>
      </c>
      <c r="D16" s="49"/>
      <c r="E16" s="49" t="s">
        <v>477</v>
      </c>
      <c r="F16" s="262"/>
      <c r="G16" s="83"/>
      <c r="H16" s="83"/>
      <c r="I16" s="83"/>
      <c r="J16" s="83"/>
      <c r="K16" s="83"/>
      <c r="L16" s="83"/>
      <c r="M16" s="83"/>
      <c r="N16" s="83"/>
      <c r="O16" s="83"/>
      <c r="P16" s="83"/>
      <c r="Q16" s="83"/>
    </row>
    <row r="17" spans="1:17" ht="28.15" customHeight="1" x14ac:dyDescent="0.25">
      <c r="A17" s="6" t="s">
        <v>478</v>
      </c>
      <c r="B17" s="276" t="str">
        <f>IF(B16&gt;=B2, "Yes","No")</f>
        <v>Yes</v>
      </c>
      <c r="C17" s="106"/>
      <c r="D17" s="106"/>
      <c r="E17" s="106"/>
      <c r="F17" s="262"/>
      <c r="G17" s="83"/>
      <c r="H17" s="83"/>
      <c r="I17" s="83"/>
      <c r="J17" s="83"/>
      <c r="K17" s="83"/>
      <c r="L17" s="83"/>
      <c r="M17" s="83"/>
      <c r="N17" s="83"/>
      <c r="O17" s="83"/>
      <c r="P17" s="83"/>
      <c r="Q17" s="83"/>
    </row>
    <row r="18" spans="1:17" x14ac:dyDescent="0.25">
      <c r="A18" s="83"/>
      <c r="B18" s="83"/>
      <c r="C18" s="83"/>
      <c r="D18" s="83"/>
      <c r="E18" s="83"/>
      <c r="F18" s="83"/>
      <c r="G18" s="83"/>
      <c r="H18" s="83"/>
      <c r="I18" s="83"/>
      <c r="J18" s="83"/>
      <c r="K18" s="83"/>
      <c r="L18" s="83"/>
      <c r="M18" s="83"/>
      <c r="N18" s="83"/>
      <c r="O18" s="83"/>
      <c r="P18" s="83"/>
      <c r="Q18" s="83"/>
    </row>
    <row r="19" spans="1:17" ht="37.5" x14ac:dyDescent="0.25">
      <c r="A19" s="58" t="s">
        <v>479</v>
      </c>
      <c r="B19" s="79" t="s">
        <v>140</v>
      </c>
      <c r="C19" s="61" t="s">
        <v>141</v>
      </c>
      <c r="D19" s="61" t="s">
        <v>142</v>
      </c>
      <c r="E19" s="61" t="s">
        <v>143</v>
      </c>
      <c r="F19" s="267" t="s">
        <v>144</v>
      </c>
      <c r="G19" s="83"/>
      <c r="H19" s="83"/>
      <c r="I19" s="83"/>
      <c r="J19" s="83"/>
      <c r="K19" s="83"/>
      <c r="L19" s="83"/>
      <c r="M19" s="83"/>
      <c r="N19" s="83"/>
      <c r="O19" s="83"/>
      <c r="P19" s="83"/>
      <c r="Q19" s="83"/>
    </row>
    <row r="20" spans="1:17" ht="45" x14ac:dyDescent="0.25">
      <c r="A20" s="345" t="s">
        <v>480</v>
      </c>
      <c r="B20" s="346"/>
      <c r="C20" s="347"/>
      <c r="D20" s="348" t="s">
        <v>346</v>
      </c>
      <c r="E20" s="326" t="s">
        <v>347</v>
      </c>
      <c r="F20" s="328"/>
      <c r="G20" s="83"/>
      <c r="H20" s="83"/>
      <c r="I20" s="83"/>
      <c r="J20" s="83"/>
      <c r="K20" s="83"/>
      <c r="L20" s="83"/>
      <c r="M20" s="83"/>
      <c r="N20" s="83"/>
      <c r="O20" s="83"/>
      <c r="P20" s="83"/>
      <c r="Q20" s="83"/>
    </row>
    <row r="21" spans="1:17" ht="45" x14ac:dyDescent="0.25">
      <c r="A21" s="351" t="s">
        <v>481</v>
      </c>
      <c r="B21" s="329"/>
      <c r="C21" s="330"/>
      <c r="D21" s="326" t="s">
        <v>346</v>
      </c>
      <c r="E21" s="352" t="s">
        <v>482</v>
      </c>
      <c r="F21" s="328"/>
      <c r="G21" s="83"/>
      <c r="H21" s="83"/>
      <c r="I21" s="83"/>
      <c r="J21" s="83"/>
      <c r="K21" s="83"/>
      <c r="L21" s="83"/>
      <c r="M21" s="83"/>
      <c r="N21" s="83"/>
      <c r="O21" s="83"/>
      <c r="P21" s="83"/>
      <c r="Q21" s="83"/>
    </row>
    <row r="22" spans="1:17" ht="60" x14ac:dyDescent="0.25">
      <c r="A22" s="324" t="s">
        <v>483</v>
      </c>
      <c r="B22" s="353"/>
      <c r="C22" s="142" t="s">
        <v>205</v>
      </c>
      <c r="D22" s="324" t="s">
        <v>484</v>
      </c>
      <c r="E22" s="6" t="s">
        <v>485</v>
      </c>
      <c r="F22" s="262"/>
      <c r="G22" s="83"/>
      <c r="H22" s="83"/>
      <c r="I22" s="83"/>
      <c r="J22" s="83"/>
      <c r="K22" s="83"/>
      <c r="L22" s="83"/>
      <c r="M22" s="83"/>
      <c r="N22" s="83"/>
      <c r="O22" s="83"/>
      <c r="P22" s="83"/>
      <c r="Q22" s="83"/>
    </row>
    <row r="23" spans="1:17" ht="60" x14ac:dyDescent="0.25">
      <c r="A23" s="6" t="s">
        <v>486</v>
      </c>
      <c r="B23" s="354"/>
      <c r="C23" s="142" t="s">
        <v>205</v>
      </c>
      <c r="D23" s="6" t="s">
        <v>487</v>
      </c>
      <c r="E23" s="6" t="s">
        <v>488</v>
      </c>
      <c r="F23" s="262"/>
      <c r="G23" s="83"/>
      <c r="H23" s="83"/>
      <c r="I23" s="83"/>
      <c r="J23" s="83"/>
      <c r="K23" s="83"/>
      <c r="L23" s="83"/>
      <c r="M23" s="83"/>
      <c r="N23" s="83"/>
      <c r="O23" s="83"/>
      <c r="P23" s="83"/>
      <c r="Q23" s="83"/>
    </row>
    <row r="24" spans="1:17" ht="60" x14ac:dyDescent="0.25">
      <c r="A24" s="186" t="s">
        <v>489</v>
      </c>
      <c r="B24" s="355"/>
      <c r="C24" s="142" t="s">
        <v>205</v>
      </c>
      <c r="D24" s="186" t="s">
        <v>490</v>
      </c>
      <c r="E24" s="186" t="s">
        <v>482</v>
      </c>
      <c r="F24" s="308"/>
      <c r="G24" s="83"/>
      <c r="H24" s="83"/>
      <c r="I24" s="83"/>
      <c r="J24" s="83"/>
      <c r="K24" s="83"/>
      <c r="L24" s="83"/>
      <c r="M24" s="83"/>
      <c r="N24" s="83"/>
      <c r="O24" s="83"/>
      <c r="P24" s="83"/>
      <c r="Q24" s="83"/>
    </row>
    <row r="25" spans="1:17" ht="60.75" thickBot="1" x14ac:dyDescent="0.3">
      <c r="A25" s="6" t="s">
        <v>491</v>
      </c>
      <c r="B25" s="355"/>
      <c r="C25" s="142" t="s">
        <v>205</v>
      </c>
      <c r="D25" s="6" t="s">
        <v>492</v>
      </c>
      <c r="E25" s="6" t="s">
        <v>493</v>
      </c>
      <c r="F25" s="262"/>
      <c r="G25" s="83"/>
      <c r="H25" s="83"/>
      <c r="I25" s="83"/>
      <c r="J25" s="83"/>
      <c r="K25" s="83"/>
      <c r="L25" s="83"/>
      <c r="M25" s="83"/>
      <c r="N25" s="83"/>
      <c r="O25" s="83"/>
      <c r="P25" s="83"/>
      <c r="Q25" s="83"/>
    </row>
    <row r="26" spans="1:17" ht="45.75" thickBot="1" x14ac:dyDescent="0.3">
      <c r="A26" s="371" t="s">
        <v>494</v>
      </c>
      <c r="B26" s="372" t="s">
        <v>610</v>
      </c>
      <c r="C26" s="142" t="s">
        <v>205</v>
      </c>
      <c r="D26" s="143" t="s">
        <v>495</v>
      </c>
      <c r="E26" s="143" t="s">
        <v>496</v>
      </c>
      <c r="F26" s="350"/>
      <c r="G26" s="83"/>
      <c r="H26" s="83"/>
      <c r="I26" s="83"/>
      <c r="J26" s="83"/>
      <c r="K26" s="83"/>
      <c r="L26" s="83"/>
      <c r="M26" s="83"/>
      <c r="N26" s="83"/>
      <c r="O26" s="83"/>
      <c r="P26" s="83"/>
      <c r="Q26" s="83"/>
    </row>
    <row r="27" spans="1:17" s="83" customFormat="1" ht="60" x14ac:dyDescent="0.25">
      <c r="A27" s="106" t="s">
        <v>497</v>
      </c>
      <c r="B27" s="80"/>
      <c r="C27" s="106" t="s">
        <v>375</v>
      </c>
      <c r="D27" s="143" t="s">
        <v>498</v>
      </c>
      <c r="E27" s="143" t="s">
        <v>499</v>
      </c>
      <c r="F27" s="262"/>
    </row>
    <row r="28" spans="1:17" ht="60" x14ac:dyDescent="0.25">
      <c r="A28" s="106" t="s">
        <v>500</v>
      </c>
      <c r="B28" s="80"/>
      <c r="C28" s="106" t="s">
        <v>375</v>
      </c>
      <c r="D28" s="143" t="s">
        <v>498</v>
      </c>
      <c r="E28" s="106" t="s">
        <v>3852</v>
      </c>
      <c r="F28" s="262"/>
      <c r="G28" s="83"/>
      <c r="H28" s="83"/>
      <c r="I28" s="83"/>
      <c r="J28" s="83"/>
      <c r="K28" s="83"/>
      <c r="L28" s="83"/>
      <c r="M28" s="83"/>
      <c r="N28" s="83"/>
      <c r="O28" s="83"/>
      <c r="P28" s="83"/>
      <c r="Q28" s="83"/>
    </row>
    <row r="29" spans="1:17" ht="30" x14ac:dyDescent="0.25">
      <c r="A29" s="106" t="s">
        <v>501</v>
      </c>
      <c r="B29" s="11"/>
      <c r="C29" s="106" t="s">
        <v>53</v>
      </c>
      <c r="D29" s="106" t="s">
        <v>502</v>
      </c>
      <c r="E29" s="106" t="s">
        <v>503</v>
      </c>
      <c r="F29" s="262"/>
      <c r="G29" s="83"/>
      <c r="H29" s="83"/>
      <c r="I29" s="83"/>
      <c r="J29" s="83"/>
      <c r="K29" s="83"/>
      <c r="L29" s="83"/>
      <c r="M29" s="83"/>
      <c r="N29" s="83"/>
      <c r="O29" s="83"/>
      <c r="P29" s="83"/>
      <c r="Q29" s="83"/>
    </row>
    <row r="30" spans="1:17" ht="30" x14ac:dyDescent="0.25">
      <c r="A30" s="106" t="s">
        <v>504</v>
      </c>
      <c r="B30" s="68" t="str">
        <f>IF(B29&gt;1600,0.26,IF(B29&lt;1,"",0.000371*(B29-900)))</f>
        <v/>
      </c>
      <c r="C30" s="106" t="s">
        <v>406</v>
      </c>
      <c r="D30" s="106" t="s">
        <v>505</v>
      </c>
      <c r="E30" s="106" t="s">
        <v>506</v>
      </c>
      <c r="F30" s="262"/>
      <c r="G30" s="83"/>
      <c r="H30" s="83"/>
      <c r="I30" s="83"/>
      <c r="J30" s="83"/>
      <c r="K30" s="83"/>
      <c r="L30" s="83"/>
      <c r="M30" s="83"/>
      <c r="N30" s="83"/>
      <c r="O30" s="83"/>
      <c r="P30" s="83"/>
      <c r="Q30" s="83"/>
    </row>
    <row r="31" spans="1:17" x14ac:dyDescent="0.25">
      <c r="A31" s="108" t="s">
        <v>507</v>
      </c>
      <c r="B31" s="68">
        <f>IFERROR((B27)*B30*B29*Net_ET0,0)</f>
        <v>0</v>
      </c>
      <c r="C31" s="106" t="s">
        <v>198</v>
      </c>
      <c r="D31" s="106"/>
      <c r="E31" s="106"/>
      <c r="F31" s="262"/>
      <c r="G31" s="83"/>
      <c r="H31" s="83"/>
      <c r="I31" s="83"/>
      <c r="J31" s="83"/>
      <c r="K31" s="83"/>
      <c r="L31" s="83"/>
      <c r="M31" s="83"/>
      <c r="N31" s="83"/>
      <c r="O31" s="83"/>
      <c r="P31" s="83"/>
      <c r="Q31" s="83"/>
    </row>
    <row r="32" spans="1:17" x14ac:dyDescent="0.25">
      <c r="A32" s="108" t="s">
        <v>508</v>
      </c>
      <c r="B32" s="68">
        <f>IFERROR((B28)*B30*B29*Net_ET0,0)</f>
        <v>0</v>
      </c>
      <c r="C32" s="106" t="s">
        <v>198</v>
      </c>
      <c r="D32" s="106"/>
      <c r="E32" s="106"/>
      <c r="F32" s="262"/>
      <c r="G32" s="83"/>
      <c r="H32" s="83"/>
      <c r="I32" s="83"/>
      <c r="J32" s="83"/>
      <c r="K32" s="83"/>
      <c r="L32" s="83"/>
      <c r="M32" s="83"/>
      <c r="N32" s="83"/>
      <c r="O32" s="83"/>
      <c r="P32" s="83"/>
      <c r="Q32" s="83"/>
    </row>
    <row r="33" spans="1:17" x14ac:dyDescent="0.25">
      <c r="A33" s="49" t="s">
        <v>509</v>
      </c>
      <c r="B33" s="42">
        <f>SUM(B31:B32)</f>
        <v>0</v>
      </c>
      <c r="C33" s="49" t="s">
        <v>198</v>
      </c>
      <c r="D33" s="51"/>
      <c r="E33" s="49" t="s">
        <v>503</v>
      </c>
      <c r="F33" s="263"/>
      <c r="G33" s="83"/>
      <c r="H33" s="83"/>
      <c r="I33" s="83"/>
      <c r="J33" s="83"/>
      <c r="K33" s="83"/>
      <c r="L33" s="83"/>
      <c r="M33" s="83"/>
      <c r="N33" s="83"/>
      <c r="O33" s="83"/>
      <c r="P33" s="83"/>
      <c r="Q33" s="83"/>
    </row>
    <row r="34" spans="1:17" x14ac:dyDescent="0.25">
      <c r="A34" s="106" t="s">
        <v>510</v>
      </c>
      <c r="B34" s="69" t="str">
        <f>IF(B33&gt;=B2,"Yes","No")</f>
        <v>Yes</v>
      </c>
      <c r="C34" s="106"/>
      <c r="D34" s="106"/>
      <c r="E34" s="106"/>
      <c r="F34" s="262"/>
      <c r="G34" s="83"/>
      <c r="H34" s="83"/>
      <c r="I34" s="83"/>
      <c r="J34" s="83"/>
      <c r="K34" s="83"/>
      <c r="L34" s="83"/>
      <c r="M34" s="83"/>
      <c r="N34" s="83"/>
      <c r="O34" s="83"/>
      <c r="P34" s="83"/>
      <c r="Q34" s="83"/>
    </row>
    <row r="35" spans="1:17" ht="30" x14ac:dyDescent="0.25">
      <c r="A35" s="6" t="s">
        <v>511</v>
      </c>
      <c r="B35" s="11"/>
      <c r="C35" s="6" t="s">
        <v>406</v>
      </c>
      <c r="D35" s="6" t="s">
        <v>512</v>
      </c>
      <c r="E35" s="6" t="s">
        <v>513</v>
      </c>
      <c r="F35" s="262"/>
      <c r="G35" s="83"/>
      <c r="H35" s="83"/>
      <c r="I35" s="83"/>
      <c r="J35" s="83"/>
      <c r="K35" s="83"/>
      <c r="L35" s="83"/>
      <c r="M35" s="83"/>
      <c r="N35" s="83"/>
      <c r="O35" s="83"/>
      <c r="P35" s="83"/>
      <c r="Q35" s="83"/>
    </row>
    <row r="36" spans="1:17" x14ac:dyDescent="0.25">
      <c r="A36" s="6" t="s">
        <v>514</v>
      </c>
      <c r="B36" s="11"/>
      <c r="C36" s="6" t="s">
        <v>28</v>
      </c>
      <c r="D36" s="6" t="s">
        <v>515</v>
      </c>
      <c r="E36" s="6" t="s">
        <v>516</v>
      </c>
      <c r="F36" s="262"/>
      <c r="G36" s="83"/>
      <c r="H36" s="83"/>
      <c r="I36" s="83"/>
      <c r="J36" s="83"/>
      <c r="K36" s="83"/>
      <c r="L36" s="83"/>
      <c r="M36" s="83"/>
      <c r="N36" s="83"/>
      <c r="O36" s="83"/>
      <c r="P36" s="83"/>
      <c r="Q36" s="83"/>
    </row>
    <row r="37" spans="1:17" x14ac:dyDescent="0.25">
      <c r="A37" s="6" t="s">
        <v>517</v>
      </c>
      <c r="B37" s="11"/>
      <c r="C37" s="6" t="s">
        <v>28</v>
      </c>
      <c r="E37" s="6" t="s">
        <v>516</v>
      </c>
      <c r="F37" s="262"/>
      <c r="G37" s="83"/>
      <c r="H37" s="83"/>
      <c r="I37" s="83"/>
      <c r="J37" s="83"/>
      <c r="K37" s="83"/>
      <c r="L37" s="83"/>
      <c r="M37" s="83"/>
      <c r="N37" s="83"/>
      <c r="O37" s="83"/>
      <c r="P37" s="83"/>
      <c r="Q37" s="83"/>
    </row>
    <row r="38" spans="1:17" x14ac:dyDescent="0.25">
      <c r="A38" s="6" t="s">
        <v>518</v>
      </c>
      <c r="B38" s="277">
        <f>IFERROR(B36/((5*B37)-B36),0)</f>
        <v>0</v>
      </c>
      <c r="C38" s="6"/>
      <c r="D38" s="6"/>
      <c r="E38" s="6" t="s">
        <v>516</v>
      </c>
      <c r="F38" s="262"/>
      <c r="G38" s="83"/>
      <c r="H38" s="83"/>
      <c r="I38" s="83"/>
      <c r="J38" s="83"/>
      <c r="K38" s="83"/>
      <c r="L38" s="83"/>
      <c r="M38" s="83"/>
      <c r="N38" s="83"/>
      <c r="O38" s="83"/>
      <c r="P38" s="83"/>
      <c r="Q38" s="83"/>
    </row>
    <row r="39" spans="1:17" ht="30" x14ac:dyDescent="0.25">
      <c r="A39" s="6" t="s">
        <v>519</v>
      </c>
      <c r="B39" s="68">
        <f>B35/(0.75*(1-B38))</f>
        <v>0</v>
      </c>
      <c r="C39" s="6"/>
      <c r="D39" s="6"/>
      <c r="E39" s="6" t="s">
        <v>520</v>
      </c>
      <c r="F39" s="262"/>
      <c r="G39" s="83"/>
      <c r="H39" s="83"/>
      <c r="I39" s="83"/>
      <c r="J39" s="83"/>
      <c r="K39" s="83"/>
      <c r="L39" s="83"/>
      <c r="M39" s="83"/>
      <c r="N39" s="83"/>
      <c r="O39" s="83"/>
      <c r="P39" s="83"/>
      <c r="Q39" s="83"/>
    </row>
    <row r="40" spans="1:17" ht="30" x14ac:dyDescent="0.25">
      <c r="A40" s="6" t="s">
        <v>521</v>
      </c>
      <c r="B40" s="68">
        <f>B35/(0.81*(1-B38))</f>
        <v>0</v>
      </c>
      <c r="C40" s="6"/>
      <c r="D40" s="6"/>
      <c r="E40" s="6" t="s">
        <v>522</v>
      </c>
      <c r="F40" s="262"/>
      <c r="G40" s="83"/>
      <c r="H40" s="83"/>
      <c r="I40" s="83"/>
      <c r="J40" s="83"/>
      <c r="K40" s="83"/>
      <c r="L40" s="83"/>
      <c r="M40" s="83"/>
      <c r="N40" s="83"/>
      <c r="O40" s="83"/>
      <c r="P40" s="83"/>
      <c r="Q40" s="83"/>
    </row>
    <row r="41" spans="1:17" x14ac:dyDescent="0.25">
      <c r="A41" s="6" t="s">
        <v>523</v>
      </c>
      <c r="B41" s="25"/>
      <c r="C41" s="6" t="s">
        <v>375</v>
      </c>
      <c r="D41" s="6"/>
      <c r="E41" s="6" t="s">
        <v>460</v>
      </c>
      <c r="F41" s="262"/>
      <c r="G41" s="83"/>
      <c r="H41" s="83"/>
      <c r="I41" s="83"/>
      <c r="J41" s="83"/>
      <c r="K41" s="83"/>
      <c r="L41" s="83"/>
      <c r="M41" s="83"/>
      <c r="N41" s="83"/>
      <c r="O41" s="83"/>
      <c r="P41" s="83"/>
      <c r="Q41" s="83"/>
    </row>
    <row r="42" spans="1:17" x14ac:dyDescent="0.25">
      <c r="A42" s="6" t="s">
        <v>524</v>
      </c>
      <c r="B42" s="25"/>
      <c r="C42" s="6" t="s">
        <v>375</v>
      </c>
      <c r="D42" s="6"/>
      <c r="E42" s="6" t="s">
        <v>460</v>
      </c>
      <c r="F42" s="262"/>
      <c r="G42" s="83"/>
      <c r="H42" s="83"/>
      <c r="I42" s="83"/>
      <c r="J42" s="83"/>
      <c r="K42" s="83"/>
      <c r="L42" s="83"/>
      <c r="M42" s="83"/>
      <c r="N42" s="83"/>
      <c r="O42" s="83"/>
      <c r="P42" s="83"/>
      <c r="Q42" s="83"/>
    </row>
    <row r="43" spans="1:17" x14ac:dyDescent="0.25">
      <c r="A43" s="6" t="s">
        <v>525</v>
      </c>
      <c r="B43" s="25"/>
      <c r="C43" s="6" t="s">
        <v>375</v>
      </c>
      <c r="D43" s="6"/>
      <c r="E43" s="6" t="s">
        <v>460</v>
      </c>
      <c r="F43" s="262"/>
      <c r="G43" s="83"/>
      <c r="H43" s="83"/>
      <c r="I43" s="83"/>
      <c r="J43" s="83"/>
      <c r="K43" s="83"/>
      <c r="L43" s="83"/>
      <c r="M43" s="83"/>
      <c r="N43" s="83"/>
      <c r="O43" s="83"/>
      <c r="P43" s="83"/>
      <c r="Q43" s="83"/>
    </row>
    <row r="44" spans="1:17" x14ac:dyDescent="0.25">
      <c r="A44" s="6" t="s">
        <v>526</v>
      </c>
      <c r="B44" s="25"/>
      <c r="C44" s="6" t="s">
        <v>375</v>
      </c>
      <c r="D44" s="6"/>
      <c r="E44" s="6" t="s">
        <v>460</v>
      </c>
      <c r="F44" s="262"/>
      <c r="G44" s="83"/>
      <c r="H44" s="83"/>
      <c r="I44" s="83"/>
      <c r="J44" s="83"/>
      <c r="K44" s="83"/>
      <c r="L44" s="83"/>
      <c r="M44" s="83"/>
      <c r="N44" s="83"/>
      <c r="O44" s="83"/>
      <c r="P44" s="83"/>
      <c r="Q44" s="83"/>
    </row>
    <row r="45" spans="1:17" ht="28.9" customHeight="1" x14ac:dyDescent="0.25">
      <c r="A45" s="128" t="s">
        <v>527</v>
      </c>
      <c r="B45" s="204">
        <f>(B39-1)*(B41)*0.62*Net_ET0</f>
        <v>0</v>
      </c>
      <c r="C45" s="128" t="s">
        <v>198</v>
      </c>
      <c r="D45" s="128"/>
      <c r="E45" s="128" t="s">
        <v>460</v>
      </c>
      <c r="F45" s="270"/>
      <c r="G45" s="83"/>
      <c r="H45" s="83"/>
      <c r="I45" s="83"/>
      <c r="J45" s="83"/>
      <c r="K45" s="83"/>
      <c r="L45" s="83"/>
      <c r="M45" s="83"/>
      <c r="N45" s="83"/>
      <c r="O45" s="83"/>
      <c r="P45" s="83"/>
      <c r="Q45" s="83"/>
    </row>
    <row r="46" spans="1:17" ht="28.9" customHeight="1" x14ac:dyDescent="0.25">
      <c r="A46" s="128" t="s">
        <v>528</v>
      </c>
      <c r="B46" s="204">
        <f>(B39-1)*(B42)*0.62*Net_ET0</f>
        <v>0</v>
      </c>
      <c r="C46" s="128" t="s">
        <v>198</v>
      </c>
      <c r="D46" s="128"/>
      <c r="E46" s="128"/>
      <c r="F46" s="270"/>
      <c r="G46" s="83"/>
      <c r="H46" s="83"/>
      <c r="I46" s="83"/>
      <c r="J46" s="83"/>
      <c r="K46" s="83"/>
      <c r="L46" s="83"/>
      <c r="M46" s="83"/>
      <c r="N46" s="83"/>
      <c r="O46" s="83"/>
      <c r="P46" s="83"/>
      <c r="Q46" s="83"/>
    </row>
    <row r="47" spans="1:17" ht="30" x14ac:dyDescent="0.25">
      <c r="A47" s="128" t="s">
        <v>529</v>
      </c>
      <c r="B47" s="204">
        <f>(B40-1)*(B43)*0.62*Net_ET0</f>
        <v>0</v>
      </c>
      <c r="C47" s="128" t="s">
        <v>198</v>
      </c>
      <c r="D47" s="128"/>
      <c r="E47" s="128" t="s">
        <v>460</v>
      </c>
      <c r="F47" s="270"/>
      <c r="G47" s="83"/>
      <c r="H47" s="83"/>
      <c r="I47" s="83"/>
      <c r="J47" s="83"/>
      <c r="K47" s="83"/>
      <c r="L47" s="83"/>
      <c r="M47" s="83"/>
      <c r="N47" s="83"/>
      <c r="O47" s="83"/>
      <c r="P47" s="83"/>
      <c r="Q47" s="83"/>
    </row>
    <row r="48" spans="1:17" ht="30" x14ac:dyDescent="0.25">
      <c r="A48" s="128" t="s">
        <v>530</v>
      </c>
      <c r="B48" s="204">
        <f>(B40-1)*(B44)*0.62*Net_ET0</f>
        <v>0</v>
      </c>
      <c r="C48" s="128" t="s">
        <v>198</v>
      </c>
      <c r="D48" s="128"/>
      <c r="E48" s="128"/>
      <c r="F48" s="270"/>
      <c r="G48" s="83"/>
      <c r="H48" s="83"/>
      <c r="I48" s="83"/>
      <c r="J48" s="83"/>
      <c r="K48" s="83"/>
      <c r="L48" s="83"/>
      <c r="M48" s="83"/>
      <c r="N48" s="83"/>
      <c r="O48" s="83"/>
      <c r="P48" s="83"/>
      <c r="Q48" s="83"/>
    </row>
    <row r="49" spans="1:17" x14ac:dyDescent="0.25">
      <c r="A49" s="49" t="s">
        <v>531</v>
      </c>
      <c r="B49" s="42">
        <f>SUM(B45:B48)</f>
        <v>0</v>
      </c>
      <c r="C49" s="51" t="s">
        <v>198</v>
      </c>
      <c r="D49" s="51"/>
      <c r="E49" s="49"/>
      <c r="F49" s="263"/>
      <c r="G49" s="83"/>
      <c r="H49" s="83"/>
      <c r="I49" s="83"/>
      <c r="J49" s="83"/>
      <c r="K49" s="83"/>
      <c r="L49" s="83"/>
      <c r="M49" s="83"/>
      <c r="N49" s="83"/>
      <c r="O49" s="83"/>
      <c r="P49" s="83"/>
      <c r="Q49" s="83"/>
    </row>
    <row r="50" spans="1:17" x14ac:dyDescent="0.25">
      <c r="A50" s="6" t="s">
        <v>532</v>
      </c>
      <c r="B50" s="69" t="str">
        <f>IF((B49)&gt;=B3,"Yes","No")</f>
        <v>Yes</v>
      </c>
      <c r="C50" s="6"/>
      <c r="D50" s="6"/>
      <c r="E50" s="6"/>
      <c r="F50" s="262"/>
      <c r="G50" s="83"/>
      <c r="H50" s="83"/>
      <c r="I50" s="83"/>
      <c r="J50" s="83"/>
      <c r="K50" s="83"/>
      <c r="L50" s="83"/>
      <c r="M50" s="83"/>
      <c r="N50" s="83"/>
      <c r="O50" s="83"/>
      <c r="P50" s="83"/>
      <c r="Q50" s="83"/>
    </row>
    <row r="51" spans="1:17" x14ac:dyDescent="0.25">
      <c r="A51" s="83"/>
      <c r="B51" s="83"/>
      <c r="C51" s="83"/>
      <c r="D51" s="83"/>
      <c r="E51" s="83"/>
      <c r="F51" s="83"/>
      <c r="G51" s="83"/>
      <c r="H51" s="83"/>
      <c r="I51" s="83"/>
      <c r="J51" s="83"/>
      <c r="K51" s="83"/>
      <c r="L51" s="83"/>
      <c r="M51" s="83"/>
    </row>
    <row r="52" spans="1:17" x14ac:dyDescent="0.25">
      <c r="A52" s="89" t="s">
        <v>533</v>
      </c>
      <c r="B52" s="83"/>
      <c r="C52" s="83"/>
      <c r="D52" s="83"/>
      <c r="E52" s="83"/>
      <c r="F52" s="83"/>
      <c r="G52" s="83"/>
      <c r="H52" s="83"/>
      <c r="I52" s="83"/>
      <c r="J52" s="83"/>
      <c r="K52" s="83"/>
      <c r="L52" s="83"/>
      <c r="M52" s="83"/>
    </row>
    <row r="53" spans="1:17" x14ac:dyDescent="0.25">
      <c r="A53" s="83"/>
      <c r="B53" s="83"/>
      <c r="C53" s="83"/>
      <c r="D53" s="83"/>
      <c r="E53" s="83"/>
      <c r="F53" s="83"/>
      <c r="G53" s="83"/>
      <c r="H53" s="83"/>
      <c r="I53" s="83"/>
      <c r="J53" s="83"/>
      <c r="K53" s="83"/>
      <c r="L53" s="83"/>
      <c r="M53" s="83"/>
    </row>
    <row r="54" spans="1:17" x14ac:dyDescent="0.25">
      <c r="A54" s="83"/>
      <c r="B54" s="83"/>
      <c r="C54" s="83"/>
      <c r="D54" s="83"/>
      <c r="E54" s="83"/>
      <c r="F54" s="83"/>
      <c r="G54" s="83"/>
      <c r="H54" s="83"/>
      <c r="I54" s="83"/>
      <c r="J54" s="83"/>
      <c r="K54" s="83"/>
      <c r="L54" s="83"/>
      <c r="M54" s="83"/>
    </row>
    <row r="55" spans="1:17" x14ac:dyDescent="0.25">
      <c r="A55" s="83"/>
      <c r="B55" s="83"/>
      <c r="C55" s="83"/>
      <c r="D55" s="83"/>
      <c r="E55" s="83"/>
      <c r="F55" s="83"/>
      <c r="G55" s="83"/>
      <c r="H55" s="83"/>
      <c r="I55" s="83"/>
      <c r="J55" s="83"/>
      <c r="K55" s="83"/>
      <c r="L55" s="83"/>
      <c r="M55" s="83"/>
    </row>
    <row r="56" spans="1:17" x14ac:dyDescent="0.25">
      <c r="A56" s="83"/>
      <c r="B56" s="83"/>
      <c r="C56" s="83"/>
      <c r="D56" s="83"/>
      <c r="E56" s="83"/>
      <c r="F56" s="83"/>
      <c r="G56" s="83"/>
      <c r="H56" s="83"/>
      <c r="I56" s="83"/>
      <c r="J56" s="83"/>
      <c r="K56" s="83"/>
      <c r="L56" s="83"/>
      <c r="M56" s="83"/>
    </row>
    <row r="57" spans="1:17" x14ac:dyDescent="0.25">
      <c r="A57" s="83"/>
      <c r="B57" s="83"/>
      <c r="C57" s="83"/>
      <c r="D57" s="83"/>
      <c r="E57" s="83"/>
      <c r="F57" s="83"/>
      <c r="G57" s="83"/>
      <c r="H57" s="83"/>
      <c r="I57" s="83"/>
      <c r="J57" s="83"/>
      <c r="K57" s="83"/>
      <c r="L57" s="83"/>
      <c r="M57" s="83"/>
    </row>
    <row r="58" spans="1:17" x14ac:dyDescent="0.25">
      <c r="A58" s="83"/>
      <c r="B58" s="83"/>
      <c r="C58" s="83"/>
      <c r="D58" s="83"/>
      <c r="E58" s="83"/>
      <c r="F58" s="83"/>
      <c r="G58" s="83"/>
      <c r="H58" s="83"/>
      <c r="I58" s="83"/>
      <c r="J58" s="83"/>
      <c r="K58" s="83"/>
      <c r="L58" s="83"/>
      <c r="M58" s="83"/>
    </row>
    <row r="59" spans="1:17" x14ac:dyDescent="0.25">
      <c r="A59" s="83"/>
      <c r="B59" s="83"/>
      <c r="C59" s="83"/>
      <c r="D59" s="83"/>
      <c r="E59" s="83"/>
      <c r="F59" s="83"/>
      <c r="G59" s="83"/>
      <c r="H59" s="83"/>
      <c r="I59" s="83"/>
      <c r="J59" s="83"/>
      <c r="K59" s="83"/>
      <c r="L59" s="83"/>
      <c r="M59" s="83"/>
    </row>
    <row r="60" spans="1:17" x14ac:dyDescent="0.25">
      <c r="A60" s="83"/>
      <c r="B60" s="83"/>
      <c r="C60" s="83"/>
      <c r="D60" s="83"/>
      <c r="E60" s="83"/>
      <c r="F60" s="83"/>
      <c r="G60" s="83"/>
      <c r="H60" s="83"/>
      <c r="I60" s="83"/>
      <c r="J60" s="83"/>
      <c r="K60" s="83"/>
      <c r="L60" s="83"/>
      <c r="M60" s="83"/>
    </row>
    <row r="61" spans="1:17" x14ac:dyDescent="0.25">
      <c r="A61" s="84" t="s">
        <v>3807</v>
      </c>
      <c r="B61" s="83"/>
      <c r="C61" s="83"/>
      <c r="D61" s="83"/>
      <c r="E61" s="83"/>
      <c r="F61" s="83"/>
      <c r="G61" s="83"/>
      <c r="H61" s="83"/>
      <c r="I61" s="83"/>
      <c r="J61" s="83"/>
      <c r="K61" s="83"/>
      <c r="L61" s="83"/>
      <c r="M61" s="83"/>
    </row>
    <row r="62" spans="1:17" hidden="1" x14ac:dyDescent="0.25">
      <c r="A62" s="83"/>
      <c r="B62" s="83"/>
      <c r="C62" s="83"/>
      <c r="D62" s="83"/>
      <c r="E62" s="83"/>
      <c r="F62" s="83"/>
    </row>
  </sheetData>
  <sheetProtection algorithmName="SHA-512" hashValue="sHdMO24tTC3PuUyqNJMLz1lhYtsaohwERcOHk2Gu67pv/+LG8KJ8r3jkWhjvuJ/TOt3G5BXJS0hqX7ZzRKh0Lg==" saltValue="87NwpOVgJV44GN1iO3U+4Q==" spinCount="100000" sheet="1" formatRows="0"/>
  <protectedRanges>
    <protectedRange sqref="F2:F8 F12:F17 F20:F50" name="notes"/>
    <protectedRange sqref="B35:B37 B41:B44" name="high_tds_1pct"/>
    <protectedRange sqref="B14:B15" name="emergency"/>
    <protectedRange sqref="B4 B6" name="dropdowns"/>
    <protectedRange sqref="B22:B29" name="high_TDS_5pct"/>
  </protectedRanges>
  <conditionalFormatting sqref="A27:F34">
    <cfRule type="expression" dxfId="22" priority="7">
      <formula>$B$26="1% Threshold Equation"</formula>
    </cfRule>
  </conditionalFormatting>
  <conditionalFormatting sqref="A35:F50">
    <cfRule type="expression" dxfId="21" priority="25">
      <formula>$B$26="5% Threshold Equation"</formula>
    </cfRule>
  </conditionalFormatting>
  <conditionalFormatting sqref="B5">
    <cfRule type="containsText" dxfId="20" priority="21" operator="containsText" text="Data requirements satisfied">
      <formula>NOT(ISERROR(SEARCH("Data requirements satisfied",B5)))</formula>
    </cfRule>
    <cfRule type="containsText" dxfId="19" priority="22" operator="containsText" text="Not Applicable">
      <formula>NOT(ISERROR(SEARCH("Not Applicable",B5)))</formula>
    </cfRule>
    <cfRule type="containsText" dxfId="18" priority="23" operator="containsText" text="Incomplete">
      <formula>NOT(ISERROR(SEARCH("Incomplete",B5)))</formula>
    </cfRule>
  </conditionalFormatting>
  <conditionalFormatting sqref="B7">
    <cfRule type="containsText" dxfId="17" priority="12" operator="containsText" text="Data requirements satisfied">
      <formula>NOT(ISERROR(SEARCH("Data requirements satisfied",B7)))</formula>
    </cfRule>
    <cfRule type="containsText" dxfId="16" priority="13" operator="containsText" text="Incomplete">
      <formula>NOT(ISERROR(SEARCH("Incomplete",B7)))</formula>
    </cfRule>
    <cfRule type="containsText" dxfId="15" priority="14" operator="containsText" text="Not Applicable">
      <formula>NOT(ISERROR(SEARCH("Not Applicable",B7)))</formula>
    </cfRule>
  </conditionalFormatting>
  <conditionalFormatting sqref="B14:B15">
    <cfRule type="expression" dxfId="14" priority="5">
      <formula>$B$4&lt;&gt;"Yes"</formula>
    </cfRule>
  </conditionalFormatting>
  <conditionalFormatting sqref="B22:B25">
    <cfRule type="expression" dxfId="13" priority="4">
      <formula>$B$6&lt;&gt;"Yes"</formula>
    </cfRule>
  </conditionalFormatting>
  <conditionalFormatting sqref="B26 B35:B48">
    <cfRule type="expression" dxfId="12" priority="1">
      <formula>AND($B$6&lt;&gt;"Yes",$B$26="1% Threshold Equation")</formula>
    </cfRule>
  </conditionalFormatting>
  <conditionalFormatting sqref="B26:B32">
    <cfRule type="expression" dxfId="11" priority="3">
      <formula>AND($B$6&lt;&gt;"Yes",$B$26="5% Threshold Equation")</formula>
    </cfRule>
  </conditionalFormatting>
  <dataValidations count="6">
    <dataValidation type="decimal" allowBlank="1" showInputMessage="1" showErrorMessage="1" sqref="B37 B27:B28 B16 B35 B41:B44" xr:uid="{77825C2C-32D9-4848-A987-DE5A6AAEE742}">
      <formula1>0</formula1>
      <formula2>999999999999</formula2>
    </dataValidation>
    <dataValidation type="list" allowBlank="1" showInputMessage="1" showErrorMessage="1" sqref="B26" xr:uid="{75AE6D81-E1B1-4F13-BB56-A5FC2D13B666}">
      <formula1>"5% Threshold Equation,1% Threshold Equation"</formula1>
    </dataValidation>
    <dataValidation type="decimal" allowBlank="1" showInputMessage="1" showErrorMessage="1" sqref="B29" xr:uid="{891D68DB-612B-468D-A8A9-45881B4CB1DE}">
      <formula1>900</formula1>
      <formula2>999999999999</formula2>
    </dataValidation>
    <dataValidation type="list" allowBlank="1" showInputMessage="1" showErrorMessage="1" sqref="B22:B25" xr:uid="{1DC9CDB4-3224-47C1-BA0A-F08554FE5195}">
      <formula1>"Yes"</formula1>
    </dataValidation>
    <dataValidation type="list" allowBlank="1" showInputMessage="1" showErrorMessage="1" sqref="B9:B10 B4 B6" xr:uid="{667C3542-741D-4F76-AC26-51C497FB2392}">
      <formula1>"No,Yes"</formula1>
    </dataValidation>
    <dataValidation type="decimal" allowBlank="1" showInputMessage="1" showErrorMessage="1" sqref="B36" xr:uid="{48131995-D246-4746-B9E6-EBEA6397894C}">
      <formula1>0</formula1>
      <formula2>2.5</formula2>
    </dataValidation>
  </dataValidations>
  <hyperlinks>
    <hyperlink ref="A61" location="'Landing Page and Navigation'!E1" display="Back to Table of Contents" xr:uid="{EB5B2FD9-9BE6-4A11-8429-5A26F6E4F614}"/>
    <hyperlink ref="H1" location="'Landing Page and Navigation'!E1" display="Back to Table of Contents" xr:uid="{755EE2A6-C229-4FB0-BF41-EBACD2556817}"/>
  </hyperlinks>
  <pageMargins left="0.7" right="0.7" top="0.75" bottom="0.75" header="0.3" footer="0.3"/>
  <pageSetup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851dfaa3-aae8-4c03-b90c-7dd4a6526d0d">
      <UserInfo>
        <DisplayName>WBTest OWA</DisplayName>
        <AccountId>11</AccountId>
        <AccountType/>
      </UserInfo>
      <UserInfo>
        <DisplayName>Hodge, Jean-Pierre@Waterboards</DisplayName>
        <AccountId>22</AccountId>
        <AccountType/>
      </UserInfo>
      <UserInfo>
        <DisplayName>MacIntosh, Michael@Waterboards</DisplayName>
        <AccountId>15</AccountId>
        <AccountType/>
      </UserInfo>
      <UserInfo>
        <DisplayName>Rhodeiro, Marielle@Waterboards</DisplayName>
        <AccountId>7823</AccountId>
        <AccountType/>
      </UserInfo>
    </SharedWithUsers>
    <Number xmlns="d0cd808a-5bf2-4e5a-989e-816370f0782c" xsi:nil="true"/>
    <lcf76f155ced4ddcb4097134ff3c332f xmlns="d0cd808a-5bf2-4e5a-989e-816370f0782c">
      <Terms xmlns="http://schemas.microsoft.com/office/infopath/2007/PartnerControls"/>
    </lcf76f155ced4ddcb4097134ff3c332f>
    <TaxCatchAll xmlns="851dfaa3-aae8-4c03-b90c-7dd4a6526d0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65B124D86EFAC499F2FD77C696145FE" ma:contentTypeVersion="16" ma:contentTypeDescription="Create a new document." ma:contentTypeScope="" ma:versionID="920f4b8fc71ced8fd8fb80a58625922f">
  <xsd:schema xmlns:xsd="http://www.w3.org/2001/XMLSchema" xmlns:xs="http://www.w3.org/2001/XMLSchema" xmlns:p="http://schemas.microsoft.com/office/2006/metadata/properties" xmlns:ns2="851dfaa3-aae8-4c03-b90c-7dd4a6526d0d" xmlns:ns3="d0cd808a-5bf2-4e5a-989e-816370f0782c" targetNamespace="http://schemas.microsoft.com/office/2006/metadata/properties" ma:root="true" ma:fieldsID="f93cd5cc27bd3205589c3fa1fe4d02eb" ns2:_="" ns3:_="">
    <xsd:import namespace="851dfaa3-aae8-4c03-b90c-7dd4a6526d0d"/>
    <xsd:import namespace="d0cd808a-5bf2-4e5a-989e-816370f0782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1dfaa3-aae8-4c03-b90c-7dd4a6526d0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3bde447f-9c6c-4421-af29-e30b317a6074}" ma:internalName="TaxCatchAll" ma:showField="CatchAllData" ma:web="851dfaa3-aae8-4c03-b90c-7dd4a6526d0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0cd808a-5bf2-4e5a-989e-816370f0782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1cfdcae8-6a83-4c52-b891-75b08cbe23e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Number" ma:index="23" nillable="true" ma:displayName="Number" ma:format="Dropdown" ma:internalName="Number"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s q m i d = " f d 7 c 7 3 a 1 - 4 7 0 0 - 4 9 2 3 - 8 9 1 a - 7 3 4 b 8 3 6 b 9 2 c b "   x m l n s = " h t t p : / / s c h e m a s . m i c r o s o f t . c o m / D a t a M a s h u p " > A A A A A M o M A A B Q S w M E F A A C A A g A f H v v W t f T w O i k A A A A 9 g A A A B I A H A B D b 2 5 m a W c v U G F j a 2 F n Z S 5 4 b W w g o h g A K K A U A A A A A A A A A A A A A A A A A A A A A A A A A A A A h Y 9 N D o I w G E S v Q r q n P 0 i C I R 9 l 4 V Y S E 6 J x 2 9 Q K j V A M L Z a 7 u f B I X k G M o u 5 c z p u 3 m L l f b 5 C P b R N c V G 9 1 Z z L E M E W B M r I 7 a F N l a H D H c I l y D h s h T 6 J S w S Q b m 4 7 2 k K H a u X N K i P c e + w X u + o p E l D K y L 9 a l r F U r 0 E f W / + V Q G + u E k Q p x 2 L 3 G 8 A i z O M Y s S T A F M k M o t P k K 0 b T 3 2 f 5 A W A 2 N G 3 r F l Q m 3 J Z A 5 A n l / 4 A 9 Q S w M E F A A C A A g A f H v v W 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H x 7 7 1 r n x S f l z Q k A A B 4 7 A A A T A B w A R m 9 y b X V s Y X M v U 2 V j d G l v b j E u b S C i G A A o o B Q A A A A A A A A A A A A A A A A A A A A A A A A A A A D t W 2 1 z q 7 g V / n 5 n 9 j 8 w 3 p k d u w 0 O j t + 7 v d s 6 N s n S O r a L y W Y y m Q w j g 0 i Y x e A C z t 7 b T P 5 7 j x B g I Q M m L / f e b T d 8 S I z O m 8 7 R O d I j S w 6 w E d q e K y z p / 9 a P H z 4 E 9 8 j H p v B 9 z U Q h C k L P x 3 q A k W / c / 8 3 H g b f 1 D a z b 5 s c u s o b G o I P F I V 6 1 x U 6 n 1 x e R h J C I T C w N e z 1 0 M j S l H x x 7 b Y c f B 5 J U E z 4 K D g 6 / + y D A s 4 y U Q M s / A s 9 t T j x j u 8 Z u W L / C q + b Y c 0 P 4 H N R r 9 2 G 4 C f 5 y f E w 6 0 T R Q 8 8 5 7 O E Y b + 7 h 9 j K K e H p f 2 r m + g w U l r N R T N l T U Q O 1 I H i a u T l i Q O j Z 5 p t V a r V X e A m d 4 1 G k e 0 a 6 B j 6 4 T Q N d r H G / p + m 1 I N z z c D I N P 2 m 7 g h o X 9 f g / 4 / Y D + E 8 I W e o K G V g 4 n n 0 Y f m m e + t p 3 Y Q 1 m O p I 2 G 5 c e w w x H 4 z + n D 6 e e a F 9 7 Z 7 V 2 8 c C e 7 W c Z K / 8 q f Q R 7 8 g Z 4 u D p u z 7 n t 9 I 7 c m f N s g 1 w d z Y c 7 Z r t 7 W z R i l q Z I o S 6 7 n d O x J q i e y R 8 F i b X K m 6 M i G t y + 0 G e o V 9 f Y b W O N u w X a + w n 2 m i I s o a 3 W H / s 3 4 N A 6 K f o s A O S O v P 4 6 k O G Y X 0 4 N 9 W S B p G d 9 n 3 h e c 5 2 R b N C 5 G j K w r f M O N b m A b F 9 + 0 7 4 h J n z I E A u y i 0 H 7 A + g Z T R F 7 7 3 Y E P I c o m j z Q b I o H g Z o n A b l P P A G 8 7 l K P F f Z 5 j 5 W P C 0 b F x 4 a i Z G B c R Z G b W A m B N H n m W G f 9 N V H O i Q T k H o 7 4 e V o + c E t Y g j C W m e h W x U O Y 5 k u J P m 5 X S k u z A 5 G L k U t l 3 + B D U J V Z c S 9 9 z J 5 8 j x 6 g B j 4 l w + W 9 a 9 P Z 6 s M 3 v k l P j 0 X s X v V f x e x f / r V d z 4 7 o P t F q 7 y l V F a H 3 f b Q 9 R r i U P U B p Q 2 x F 0 R d U 3 4 1 G v j T t u S e i 1 p G O O g l i R x O O 3 4 W J h 6 y B T O r v W l N l I 1 f T L S Z M E C G C O 4 M J u Y g o / c O y z Y L i A U A z t U 6 O w a I u m H J E o L 5 K M 1 K K Q E 8 q S q k y e F g p G G 5 n j r + w D / r j z / 1 5 X n / V p v P N 6 Q e e t j T Z W X U A e T + V w l n R h F P a n d P t 3 E e D E B Y M l D r E e A K U V y j x J h j q J 3 u + N N Q s z K R T i t n m o g W C s N x z k O A T l B 2 Q E y I 7 O n 4 F k J K K Q 8 i m u H N n J g P D e Q 0 Q c w 7 s 7 2 8 9 F u j f H 4 5 l 9 b m K / B 1 k 3 W G y Y R g F i r k g s 1 L p B R a h D h V m 1 H u I 0 j m K L m a C Z S U 3 D M B S E B 0 T d R 5 J K h W s A i s 7 T / Q 0 I U Z R 7 T P P a 2 L j F K V 6 i m C q / m 5 a a e s X K c K k g 6 M b e s A I f E P g H Z T Q 2 S M 7 A 8 f 1 1 / l J r N n V p R a M E S i Z F x L + j C n z J a 0 m E + 2 7 p 0 V w Q o 2 c e h b + M H L C A h g F J 1 s L A B E c o K 6 U D k w W S d W h d Q E G d G g 3 w M y Q Q s f P y J c m e S v 8 o e K D s U r 8 u R s j x 5 o 1 x h 8 0 X D n 0 J a S P w w s Y 9 H g 8 a y 0 z g 2 s r y 3 T M k 2 W E X l 2 z X K U b 5 l I 8 / X 3 r Z R m 2 + 9 d e O y Z a 6 e J x D w c r G Y K r K q z 0 Y X c o R I r p a U A h / S x v H 8 c q Z d w y d O j 3 x 2 p p / K 5 8 p M n 2 j R m g X v 8 m w S v 4 1 + O Y e 5 W J l e 6 + O Z t i + c W T k I P z R E w u R 1 x / s U j z c 7 H e c E K F O i O I Q K B r p g e O u V 7 U J 9 O k 5 U m v F M T F b j / b k g n i T i C S C u 3 7 q e J t W Y K j N j a T o e c S N Z E 1 B m n l h C 8 h p R 5 4 T w 8 y a x D G N 1 T x Z G U 9 C g c T e s a S + o P 4 Q Y 1 F m D m U F 8 3 I 0 g 0 S 2 E U C I R t u e H M 0 t N x n a v N Y e d N Z Y O f 1 a Q G / 2 I C N M M D u 0 1 T h n S d O D I r H 4 + U R Q 3 7 H W a J A a R G j 5 R 9 g 2 x m c P T q a G n 7 B x u E 7 R L i s V z n c + C 7 / 0 W C G s E S Q O V K o T 3 I I 0 D m y C o j O k Y w 0 S y 2 D z 9 f H a d D t 8 S O 9 g I V d B T 5 0 Y 4 z q Y d e L j J 6 L x t g A 4 e F j H 4 j r V W G d g N U N v o n q x a 4 s C U W m K n 0 1 + J w y G G T + 2 B h d v 9 l T k 4 M W N g N 4 y f D L a L o x T h u y g a 0 D H h I Y J M E c A j b S z I 4 0 b o S 2 K 9 i X L x L U A e I b F / 1 T j a y o Q s i F X i X c u H N m l W M n D B 2 4 M L C U r I D d 3 W d 0 g n n v + d a E 3 4 Y X / Z h Y m Z T S X g Y Z 3 N F 4 h z i f D G s E z z y K q 9 W 9 + L B K m r O Z K U w O O C K s A I w t H g 5 Q 5 D A c p 1 G A 6 Q h 4 L 8 l C u D X J P H B S f m C Y K J B / T P 6 e B z z B s 6 8 L Z F V 6 Q I i y a I o i H 8 J E i k 4 t y 0 f 9 i B z c P j E 6 d k D S N L 9 A d U 0 5 5 N 4 a 9 x x y N d f 0 + W t 1 1 H G w W K 4 z X U T B b M Z M V 7 J N 0 + 2 t l 9 a h S X V a K D n Y T H Z F E m U w n 4 t f U D G 2 C 0 l W D r g E w d Z D J G Y e K J R A V H D r O Z S J y Q M r N 7 j I b I 9 E 5 B N k E C O A I M g m V j J 9 m P x X o 0 C s R 5 R L c z 9 H p Q l 6 K V E h T H 9 q Y I v D 0 T u D G C q r y Y q 5 o y O 9 c X s q r M J x z 0 2 i P v l t O M E j A h z z R l N N W X w D y V z 0 Y X Z N k + H 0 2 p l h 3 9 4 n K q K V n y e H 5 x I a t j Q l V m S 0 3 R L j V l P o O 3 i M 7 Y m c 1 n G V W y J q v y R F d U V T k f E Z l E I + z 6 L 5 e a q i Q 6 I E D a z x C T + G V 0 r i p j 6 M e l K u f Z W M y 1 0 e l U 1 i f y x Q j c Z U 2 q 8 v h 6 P A W b V x C D V F + 5 D E N l p C q b T L y c A m E 5 H i 3 k P X 9 L V X E x q + o A J / Y C H y o O F q O j A v B / y i 1 o H 1 D W A 4 J 9 O q 1 i U u A b 3 9 s Q J L d D 2 A R 1 m e W 4 O i l H D l O X 1 0 g J f i 2 p n n K x 0 n K K J C k C K J b b L 7 N C s f L y K 5 a r W o 2 F C v a q t J C T r d 5 C p r 2 q L u 3 6 c 4 v 8 h b r y C + e l 2 g 7 P B c / R X G V q e L m 6 1 3 v + 6 g Q 7 s E H k W K s V Z 9 4 G m 6 W X 7 L R Z t p w t N 0 f e V / C y H S v Z o 9 k u v z f L 7 i L z 9 q v R f P l G u 9 T K O 1 S r d z L o r g x D H L R W k t j p D 5 A 4 6 F s 9 s T 8 Y 9 v t D o z 8 0 h 9 3 M D r X q 2 U O 0 f c w J w B c 7 e J h f a t / 8 5 C H + T l 0 Y L R T B i F C 1 J 9 y l p x E G 2 U 7 8 / k 8 g q q T E + w l E y Q n E H + H o 4 S V J w i b K + 9 F D 5 a O H N z 5 y O H y 1 p P B e C q 8 J I 8 h N 5 O h y 6 O m 2 a 9 z j 6 D g 9 b V 5 g y 8 p r / 6 d R r E q R M 6 y y d h b v S 1 5 / Q p E 5 m S B n x G 9 6 F n H 4 H I J + G / 3 q M w h u r 7 Q / n O y X 9 r m c Z T g o H f s i t M X d V C p i y 0 2 N Q t x Y k D K H + U k q V W B T 5 E p s N N u + N L o t R 5 V Z Q F l y 7 P H 1 j j y q g 8 k T q 9 v u D V q i t D K 6 Y q f T b Y l D S z L E v n U y N A e r 9 r A l 9 d / B J C v 3 / w 8 m K 6 T E O 5 j 8 o 4 P J F y Q J m y j v Y P J b g c m S K 8 x Z U E i v w S 7 A K 3 t j h 4 h k U E r l d M q W R X 7 m 8 o A L 2 E v v G X O 6 q l w 6 3 n U 0 e / f 2 W d 3 i r + 2 + I 9 Z C x P p G E L M a s i z L u 2 K p g y l Y / J 1 4 y R X 4 A k c q 5 O j B E H D p 9 0 L H q m r 5 K k A 4 w s B C E I H b 8 g t A v 0 M k b B q d E 0 s a d M V + 1 x y I n Q G W x F V / 2 B U H 2 M Q 9 j L v 9 n n H y 7 X 5 3 9 8 z e v f / u L v n d 3 Y u v a 9 a u y M 3 4 8 f R y I k / 0 6 x n 9 / c / b a d u 5 / I z p O e / u 5 u N X u N B Y f I + R c 4 s l Z 3 9 q k f H y x / 8 C U E s B A i 0 A F A A C A A g A f H v v W t f T w O i k A A A A 9 g A A A B I A A A A A A A A A A A A A A A A A A A A A A E N v b m Z p Z y 9 Q Y W N r Y W d l L n h t b F B L A Q I t A B Q A A g A I A H x 7 7 1 p T c j g s m w A A A O E A A A A T A A A A A A A A A A A A A A A A A P A A A A B b Q 2 9 u d G V u d F 9 U e X B l c 1 0 u e G 1 s U E s B A i 0 A F A A C A A g A f H v v W u f F J + X N C Q A A H j s A A B M A A A A A A A A A A A A A A A A A 2 A E A A E Z v c m 1 1 b G F z L 1 N l Y 3 R p b 2 4 x L m 1 Q S w U G A A A A A A M A A w D C A A A A 8 g s A A A A A E Q 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Z m F s c 2 U 8 L 0 Z p c m V 3 Y W x s R W 5 h Y m x l Z D 4 8 L 1 B l c m 1 p c 3 N p b 2 5 M a X N 0 P j f N A A A A A A A A F c 0 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2 R h d G F z d G 9 y Z V 9 z Z W F y Y 2 g l M 0 Z y Z X N v d X J j Z V 9 p Z C U z R D V h Z j l j O D R l L T l l Y j M t N D Q 2 N y 1 h M G F h L W F k Z T A 5 N j Z h M j l k M C U y N m x p b W l 0 J T N E O D A w P C 9 J d G V t U G F 0 a D 4 8 L 0 l 0 Z W 1 M b 2 N h d G l v b j 4 8 U 3 R h Y m x l R W 5 0 c m l l c z 4 8 R W 5 0 c n k g V H l w Z T 0 i R m l s b E N v b H V t b k 5 h b W V z I i B W Y W x 1 Z T 0 i c 1 s m c X V v d D t E V 1 J f S U Q m c X V v d D s s J n F 1 b 3 Q 7 U 3 V w c G x p Z X J f T m F t Z S Z x d W 9 0 O y w m c X V v d D t T d X B w b G l l c l 9 O d W 1 i Z X I m c X V v d D s s J n F 1 b 3 Q 7 U 3 V w c G x p Z X J f S U Q m c X V v d D s s J n F 1 b 3 Q 7 S W 1 h Z 2 V y e V 9 Z Z W F y X 0 J h c 2 l z J n F 1 b 3 Q 7 L C Z x d W 9 0 O 0 h D T F 9 h c m V h X 3 N x Z n Q m c X V v d D s s J n F 1 b 3 Q 7 Q W d f Y X J l Y V 9 z c W Z 0 J n F 1 b 3 Q 7 L C Z x d W 9 0 O 1 B v b 2 x f Y X J l Y V 9 z c W Z 0 J n F 1 b 3 Q 7 L C Z x d W 9 0 O 1 R v d G F s X 0 l J X 3 N x Z n Q m c X V v d D s s J n F 1 b 3 Q 7 V G 9 0 Y W x f S U 5 J X 3 N x Z n Q m c X V v d D s s J n F 1 b 3 Q 7 V G 9 0 Y W x f T k l f c 3 F m d C Z x d W 9 0 O y w m c X V v d D t J c n J p Z 2 F i b G V f Y X J l Y V 9 z c W Z 0 J n F 1 b 3 Q 7 L C Z x d W 9 0 O 0 F s d G V y b m F 0 a X Z l X 0 R h d G F f U H J v d m l k Z W Q m c X V v d D s s J n F 1 b 3 Q 7 Q W x 0 Z X J u Y X R p d m V f R G F 0 Y V 9 B c H B y b 3 Z h b F 9 T d G F 0 d X M m c X V v d D s s J n F 1 b 3 Q 7 Q W x 0 Z X J u Y X R p d m V f R G F 0 Y V 9 B c H B y b 3 Z h b F 9 E Y X R l J n F 1 b 3 Q 7 L C Z x d W 9 0 O 0 F s d G V y b m F 0 a X Z l X 0 R h d G F f W W V h c l 9 C Y X N p c y Z x d W 9 0 O y w m c X V v d D t I Q 0 x f Y X J l Y V 9 z c W Z 0 X 0 F s d G V y b m F 0 a X Z l J n F 1 b 3 Q 7 L C Z x d W 9 0 O 0 F n X 2 F y Z W F f c 3 F m d F 9 B b H R l c m 5 h d G l 2 Z S Z x d W 9 0 O y w m c X V v d D t Q b 2 9 s X 2 F y Z W F f c 3 F m d F 9 B b H R l c m 5 h d G l 2 Z S Z x d W 9 0 O y w m c X V v d D t U b 3 R h b F 9 J S V 9 z c W Z 0 X 0 F s d G V y b m F 0 a X Z l J n F 1 b 3 Q 7 L C Z x d W 9 0 O 1 R v d G F s X 0 l O S V 9 z c W Z 0 X 0 F s d G V y b m F 0 a X Z l J n F 1 b 3 Q 7 L C Z x d W 9 0 O 1 R v d G F s X 0 5 J X 3 N x Z n R f Q W x 0 Z X J u Y X R p d m U m c X V v d D s s J n F 1 b 3 Q 7 S X J y a W d h Y m x l X 2 F y Z W F f c 3 F m d F 9 B b H R l c m 5 h d G l 2 Z S Z x d W 9 0 O y w m c X V v d D t O Z X d f U m V z X 0 N v b n N 0 c l 9 E Y X R h X 1 B y b 3 Z p Z G V k J n F 1 b 3 Q 7 L C Z x d W 9 0 O 0 5 l d 1 9 S Z X N f Q 2 9 u c 3 R y X 0 F w c H J v d m F s X 1 N 0 Y X R 1 c y Z x d W 9 0 O y w m c X V v d D t O Z X d f U m V z X 0 N v b n N 0 c l 9 B c H B y b 3 Z h b F 9 E Y X R l J n F 1 b 3 Q 7 L C Z x d W 9 0 O 0 5 l d 1 9 S Z X N f Q 2 9 u c 3 R y X 0 R h d G F f W W V h c l 9 C Y X N p c y Z x d W 9 0 O y w m c X V v d D t O Z X d f U m V z X 0 N v b n N 0 c l 9 z c W Z 0 J n F 1 b 3 Q 7 L C Z x d W 9 0 O 0 5 l d 1 9 S Z X N f U 0 x B X 2 5 v c m V j X 3 N x Z n Q m c X V v d D s s J n F 1 b 3 Q 7 T m V 3 X 1 J l c 1 9 T T E F f c m V j X 3 N x Z n Q m c X V v d D s s J n F 1 b 3 Q 7 R X h p c 3 R p b m d f U m V z X 1 N M Q V 9 E Y X R h X 1 B y b 3 Z p Z G V k J n F 1 b 3 Q 7 L C Z x d W 9 0 O 0 V 4 a X N 0 a W 5 n X 1 J l c 1 9 T T E F f R G F 0 Y V 9 B c H B y b 3 Z h b F 9 T d G F 0 d X M m c X V v d D s s J n F 1 b 3 Q 7 R X h p c 3 R p b m d f U m V z X 1 N M Q V 9 E Y X R h X 0 F w c H J v d m F s X 0 R h d G U m c X V v d D s s J n F 1 b 3 Q 7 R X h p c 3 R p b m d f U m V z X 1 N M Q V 9 E Y X R h X 1 l l Y X J f Q m F z a X M m c X V v d D s s J n F 1 b 3 Q 7 R X h p c 3 R p b m d f U m V z X 1 N M Q V 9 u b 3 J l Y 1 9 z c W Z 0 J n F 1 b 3 Q 7 L C Z x d W 9 0 O 0 V 4 a X N 0 a W 5 n X 1 J l c 1 9 T T E F f c m V j X 3 N x Z n Q m c X V v d D t d I i A v P j x F b n R y e S B U e X B l P S J C d W Z m Z X J O Z X h 0 U m V m c m V z a C I g V m F s d W U 9 I m w x I i A v P j x F b n R y e S B U e X B l P S J G a W x s Q 2 9 s d W 1 u V H l w Z X M i I F Z h b H V l P S J z Q U F B Q U F B Q U F B Q U F B Q U F B Q U F B Q U F B Q U F B Q U F B Q U F B Q U F B Q U F B Q U F B Q U F B Q U F B Q U F B I i A v P j x F b n R y e S B U e X B l P S J G a W x s R W 5 h Y m x l Z C I g V m F s d W U 9 I m w x I i A v P j x F b n R y e S B U e X B l P S J G a W x s T G F z d F V w Z G F 0 Z W Q i I F Z h b H V l P S J k M j A y N S 0 w N y 0 x N V Q y M j o y N z o 1 M S 4 4 O T E w O T A y W i I g L z 4 8 R W 5 0 c n k g V H l w Z T 0 i R m l s b E V y c m 9 y Q 2 9 1 b n Q i I F Z h b H V l P S J s M C I g L z 4 8 R W 5 0 c n k g V H l w Z T 0 i R m l s b E V y c m 9 y Q 2 9 k Z S I g V m F s d W U 9 I n N V b m t u b 3 d u I i A v P j x F b n R y e S B U e X B l P S J G a W x s Z W R D b 2 1 w b G V 0 Z V J l c 3 V s d F R v V 2 9 y a 3 N o Z W V 0 I i B W Y W x 1 Z T 0 i b D E i I C 8 + P E V u d H J 5 I F R 5 c G U 9 I k Z p b G x D b 3 V u d C I g V m F s d W U 9 I m w 0 M D k i I C 8 + P E V u d H J 5 I F R 5 c G U 9 I k Z p b G x U Y X J n Z X R O Y W 1 l Q 3 V z d G 9 t a X p l Z C I g V m F s d W U 9 I m w x I i A v P j x F b n R y e S B U e X B l P S J G a W x s V G 9 E Y X R h T W 9 k Z W x F b m F i b G V k I i B W Y W x 1 Z T 0 i b D A i I C 8 + P E V u d H J 5 I F R 5 c G U 9 I k l z U H J p d m F 0 Z S I g V m F s d W U 9 I m w w I i A v P j x F b n R y e S B U e X B l P S J R d W V y e U l E I i B W Y W x 1 Z T 0 i c z h i M G E z Z D h i L T E 3 N G E t N G R h Z i 0 4 Y z c 4 L W R l Y j A z O D I x Y m R i O S I g L z 4 8 R W 5 0 c n k g V H l w Z T 0 i Q W R k Z W R U b 0 R h d G F N b 2 R l b C I g V m F s d W U 9 I m w w 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T E F N X 0 F Q S V 9 U Q U J M R S I g L z 4 8 R W 5 0 c n k g V H l w Z T 0 i R m l s b F N 0 Y X R 1 c y I g V m F s d W U 9 I n N D b 2 1 w b G V 0 Z S I g L z 4 8 R W 5 0 c n k g V H l w Z T 0 i U m V s Y X R p b 2 5 z a G l w S W 5 m b 0 N v b n R h a W 5 l c i I g V m F s d W U 9 I n N 7 J n F 1 b 3 Q 7 Y 2 9 s d W 1 u Q 2 9 1 b n Q m c X V v d D s 6 M z Y s J n F 1 b 3 Q 7 a 2 V 5 Q 2 9 s d W 1 u T m F t Z X M m c X V v d D s 6 W 1 0 s J n F 1 b 3 Q 7 c X V l c n l S Z W x h d G l v b n N o a X B z J n F 1 b 3 Q 7 O l t d L C Z x d W 9 0 O 2 N v b H V t b k l k Z W 5 0 a X R p Z X M m c X V v d D s 6 W y Z x d W 9 0 O 1 N l Y 3 R p b 2 4 x L 2 R h d G F z d G 9 y Z V 9 z Z W F y Y 2 g / c m V z b 3 V y Y 2 V f a W Q 9 N W F m O W M 4 N G U t O W V i M y 0 0 N D Y 3 L W E w Y W E t Y W R l M D k 2 N m E y O W Q w X H U w M D I 2 b G l t a X Q 9 O D A w L 0 F 1 d G 9 S Z W 1 v d m V k Q 2 9 s d W 1 u c z E u e 0 R X U l 9 J R C w w f S Z x d W 9 0 O y w m c X V v d D t T Z W N 0 a W 9 u M S 9 k Y X R h c 3 R v c m V f c 2 V h c m N o P 3 J l c 2 9 1 c m N l X 2 l k P T V h Z j l j O D R l L T l l Y j M t N D Q 2 N y 1 h M G F h L W F k Z T A 5 N j Z h M j l k M F x 1 M D A y N m x p b W l 0 P T g w M C 9 B d X R v U m V t b 3 Z l Z E N v b H V t b n M x L n t T d X B w b G l l c l 9 O Y W 1 l L D F 9 J n F 1 b 3 Q 7 L C Z x d W 9 0 O 1 N l Y 3 R p b 2 4 x L 2 R h d G F z d G 9 y Z V 9 z Z W F y Y 2 g / c m V z b 3 V y Y 2 V f a W Q 9 N W F m O W M 4 N G U t O W V i M y 0 0 N D Y 3 L W E w Y W E t Y W R l M D k 2 N m E y O W Q w X H U w M D I 2 b G l t a X Q 9 O D A w L 0 F 1 d G 9 S Z W 1 v d m V k Q 2 9 s d W 1 u c z E u e 1 N 1 c H B s a W V y X 0 5 1 b W J l c i w y f S Z x d W 9 0 O y w m c X V v d D t T Z W N 0 a W 9 u M S 9 k Y X R h c 3 R v c m V f c 2 V h c m N o P 3 J l c 2 9 1 c m N l X 2 l k P T V h Z j l j O D R l L T l l Y j M t N D Q 2 N y 1 h M G F h L W F k Z T A 5 N j Z h M j l k M F x 1 M D A y N m x p b W l 0 P T g w M C 9 B d X R v U m V t b 3 Z l Z E N v b H V t b n M x L n t T d X B w b G l l c l 9 J R C w z f S Z x d W 9 0 O y w m c X V v d D t T Z W N 0 a W 9 u M S 9 k Y X R h c 3 R v c m V f c 2 V h c m N o P 3 J l c 2 9 1 c m N l X 2 l k P T V h Z j l j O D R l L T l l Y j M t N D Q 2 N y 1 h M G F h L W F k Z T A 5 N j Z h M j l k M F x 1 M D A y N m x p b W l 0 P T g w M C 9 B d X R v U m V t b 3 Z l Z E N v b H V t b n M x L n t J b W F n Z X J 5 X 1 l l Y X J f Q m F z a X M s N H 0 m c X V v d D s s J n F 1 b 3 Q 7 U 2 V j d G l v b j E v Z G F 0 Y X N 0 b 3 J l X 3 N l Y X J j a D 9 y Z X N v d X J j Z V 9 p Z D 0 1 Y W Y 5 Y z g 0 Z S 0 5 Z W I z L T Q 0 N j c t Y T B h Y S 1 h Z G U w O T Y 2 Y T I 5 Z D B c d T A w M j Z s a W 1 p d D 0 4 M D A v Q X V 0 b 1 J l b W 9 2 Z W R D b 2 x 1 b W 5 z M S 5 7 S E N M X 2 F y Z W F f c 3 F m d C w 1 f S Z x d W 9 0 O y w m c X V v d D t T Z W N 0 a W 9 u M S 9 k Y X R h c 3 R v c m V f c 2 V h c m N o P 3 J l c 2 9 1 c m N l X 2 l k P T V h Z j l j O D R l L T l l Y j M t N D Q 2 N y 1 h M G F h L W F k Z T A 5 N j Z h M j l k M F x 1 M D A y N m x p b W l 0 P T g w M C 9 B d X R v U m V t b 3 Z l Z E N v b H V t b n M x L n t B Z 1 9 h c m V h X 3 N x Z n Q s N n 0 m c X V v d D s s J n F 1 b 3 Q 7 U 2 V j d G l v b j E v Z G F 0 Y X N 0 b 3 J l X 3 N l Y X J j a D 9 y Z X N v d X J j Z V 9 p Z D 0 1 Y W Y 5 Y z g 0 Z S 0 5 Z W I z L T Q 0 N j c t Y T B h Y S 1 h Z G U w O T Y 2 Y T I 5 Z D B c d T A w M j Z s a W 1 p d D 0 4 M D A v Q X V 0 b 1 J l b W 9 2 Z W R D b 2 x 1 b W 5 z M S 5 7 U G 9 v b F 9 h c m V h X 3 N x Z n Q s N 3 0 m c X V v d D s s J n F 1 b 3 Q 7 U 2 V j d G l v b j E v Z G F 0 Y X N 0 b 3 J l X 3 N l Y X J j a D 9 y Z X N v d X J j Z V 9 p Z D 0 1 Y W Y 5 Y z g 0 Z S 0 5 Z W I z L T Q 0 N j c t Y T B h Y S 1 h Z G U w O T Y 2 Y T I 5 Z D B c d T A w M j Z s a W 1 p d D 0 4 M D A v Q X V 0 b 1 J l b W 9 2 Z W R D b 2 x 1 b W 5 z M S 5 7 V G 9 0 Y W x f S U l f c 3 F m d C w 4 f S Z x d W 9 0 O y w m c X V v d D t T Z W N 0 a W 9 u M S 9 k Y X R h c 3 R v c m V f c 2 V h c m N o P 3 J l c 2 9 1 c m N l X 2 l k P T V h Z j l j O D R l L T l l Y j M t N D Q 2 N y 1 h M G F h L W F k Z T A 5 N j Z h M j l k M F x 1 M D A y N m x p b W l 0 P T g w M C 9 B d X R v U m V t b 3 Z l Z E N v b H V t b n M x L n t U b 3 R h b F 9 J T k l f c 3 F m d C w 5 f S Z x d W 9 0 O y w m c X V v d D t T Z W N 0 a W 9 u M S 9 k Y X R h c 3 R v c m V f c 2 V h c m N o P 3 J l c 2 9 1 c m N l X 2 l k P T V h Z j l j O D R l L T l l Y j M t N D Q 2 N y 1 h M G F h L W F k Z T A 5 N j Z h M j l k M F x 1 M D A y N m x p b W l 0 P T g w M C 9 B d X R v U m V t b 3 Z l Z E N v b H V t b n M x L n t U b 3 R h b F 9 O S V 9 z c W Z 0 L D E w f S Z x d W 9 0 O y w m c X V v d D t T Z W N 0 a W 9 u M S 9 k Y X R h c 3 R v c m V f c 2 V h c m N o P 3 J l c 2 9 1 c m N l X 2 l k P T V h Z j l j O D R l L T l l Y j M t N D Q 2 N y 1 h M G F h L W F k Z T A 5 N j Z h M j l k M F x 1 M D A y N m x p b W l 0 P T g w M C 9 B d X R v U m V t b 3 Z l Z E N v b H V t b n M x L n t J c n J p Z 2 F i b G V f Y X J l Y V 9 z c W Z 0 L D E x f S Z x d W 9 0 O y w m c X V v d D t T Z W N 0 a W 9 u M S 9 k Y X R h c 3 R v c m V f c 2 V h c m N o P 3 J l c 2 9 1 c m N l X 2 l k P T V h Z j l j O D R l L T l l Y j M t N D Q 2 N y 1 h M G F h L W F k Z T A 5 N j Z h M j l k M F x 1 M D A y N m x p b W l 0 P T g w M C 9 B d X R v U m V t b 3 Z l Z E N v b H V t b n M x L n t B b H R l c m 5 h d G l 2 Z V 9 E Y X R h X 1 B y b 3 Z p Z G V k L D E y f S Z x d W 9 0 O y w m c X V v d D t T Z W N 0 a W 9 u M S 9 k Y X R h c 3 R v c m V f c 2 V h c m N o P 3 J l c 2 9 1 c m N l X 2 l k P T V h Z j l j O D R l L T l l Y j M t N D Q 2 N y 1 h M G F h L W F k Z T A 5 N j Z h M j l k M F x 1 M D A y N m x p b W l 0 P T g w M C 9 B d X R v U m V t b 3 Z l Z E N v b H V t b n M x L n t B b H R l c m 5 h d G l 2 Z V 9 E Y X R h X 0 F w c H J v d m F s X 1 N 0 Y X R 1 c y w x M 3 0 m c X V v d D s s J n F 1 b 3 Q 7 U 2 V j d G l v b j E v Z G F 0 Y X N 0 b 3 J l X 3 N l Y X J j a D 9 y Z X N v d X J j Z V 9 p Z D 0 1 Y W Y 5 Y z g 0 Z S 0 5 Z W I z L T Q 0 N j c t Y T B h Y S 1 h Z G U w O T Y 2 Y T I 5 Z D B c d T A w M j Z s a W 1 p d D 0 4 M D A v Q X V 0 b 1 J l b W 9 2 Z W R D b 2 x 1 b W 5 z M S 5 7 Q W x 0 Z X J u Y X R p d m V f R G F 0 Y V 9 B c H B y b 3 Z h b F 9 E Y X R l L D E 0 f S Z x d W 9 0 O y w m c X V v d D t T Z W N 0 a W 9 u M S 9 k Y X R h c 3 R v c m V f c 2 V h c m N o P 3 J l c 2 9 1 c m N l X 2 l k P T V h Z j l j O D R l L T l l Y j M t N D Q 2 N y 1 h M G F h L W F k Z T A 5 N j Z h M j l k M F x 1 M D A y N m x p b W l 0 P T g w M C 9 B d X R v U m V t b 3 Z l Z E N v b H V t b n M x L n t B b H R l c m 5 h d G l 2 Z V 9 E Y X R h X 1 l l Y X J f Q m F z a X M s M T V 9 J n F 1 b 3 Q 7 L C Z x d W 9 0 O 1 N l Y 3 R p b 2 4 x L 2 R h d G F z d G 9 y Z V 9 z Z W F y Y 2 g / c m V z b 3 V y Y 2 V f a W Q 9 N W F m O W M 4 N G U t O W V i M y 0 0 N D Y 3 L W E w Y W E t Y W R l M D k 2 N m E y O W Q w X H U w M D I 2 b G l t a X Q 9 O D A w L 0 F 1 d G 9 S Z W 1 v d m V k Q 2 9 s d W 1 u c z E u e 0 h D T F 9 h c m V h X 3 N x Z n R f Q W x 0 Z X J u Y X R p d m U s M T Z 9 J n F 1 b 3 Q 7 L C Z x d W 9 0 O 1 N l Y 3 R p b 2 4 x L 2 R h d G F z d G 9 y Z V 9 z Z W F y Y 2 g / c m V z b 3 V y Y 2 V f a W Q 9 N W F m O W M 4 N G U t O W V i M y 0 0 N D Y 3 L W E w Y W E t Y W R l M D k 2 N m E y O W Q w X H U w M D I 2 b G l t a X Q 9 O D A w L 0 F 1 d G 9 S Z W 1 v d m V k Q 2 9 s d W 1 u c z E u e 0 F n X 2 F y Z W F f c 3 F m d F 9 B b H R l c m 5 h d G l 2 Z S w x N 3 0 m c X V v d D s s J n F 1 b 3 Q 7 U 2 V j d G l v b j E v Z G F 0 Y X N 0 b 3 J l X 3 N l Y X J j a D 9 y Z X N v d X J j Z V 9 p Z D 0 1 Y W Y 5 Y z g 0 Z S 0 5 Z W I z L T Q 0 N j c t Y T B h Y S 1 h Z G U w O T Y 2 Y T I 5 Z D B c d T A w M j Z s a W 1 p d D 0 4 M D A v Q X V 0 b 1 J l b W 9 2 Z W R D b 2 x 1 b W 5 z M S 5 7 U G 9 v b F 9 h c m V h X 3 N x Z n R f Q W x 0 Z X J u Y X R p d m U s M T h 9 J n F 1 b 3 Q 7 L C Z x d W 9 0 O 1 N l Y 3 R p b 2 4 x L 2 R h d G F z d G 9 y Z V 9 z Z W F y Y 2 g / c m V z b 3 V y Y 2 V f a W Q 9 N W F m O W M 4 N G U t O W V i M y 0 0 N D Y 3 L W E w Y W E t Y W R l M D k 2 N m E y O W Q w X H U w M D I 2 b G l t a X Q 9 O D A w L 0 F 1 d G 9 S Z W 1 v d m V k Q 2 9 s d W 1 u c z E u e 1 R v d G F s X 0 l J X 3 N x Z n R f Q W x 0 Z X J u Y X R p d m U s M T l 9 J n F 1 b 3 Q 7 L C Z x d W 9 0 O 1 N l Y 3 R p b 2 4 x L 2 R h d G F z d G 9 y Z V 9 z Z W F y Y 2 g / c m V z b 3 V y Y 2 V f a W Q 9 N W F m O W M 4 N G U t O W V i M y 0 0 N D Y 3 L W E w Y W E t Y W R l M D k 2 N m E y O W Q w X H U w M D I 2 b G l t a X Q 9 O D A w L 0 F 1 d G 9 S Z W 1 v d m V k Q 2 9 s d W 1 u c z E u e 1 R v d G F s X 0 l O S V 9 z c W Z 0 X 0 F s d G V y b m F 0 a X Z l L D I w f S Z x d W 9 0 O y w m c X V v d D t T Z W N 0 a W 9 u M S 9 k Y X R h c 3 R v c m V f c 2 V h c m N o P 3 J l c 2 9 1 c m N l X 2 l k P T V h Z j l j O D R l L T l l Y j M t N D Q 2 N y 1 h M G F h L W F k Z T A 5 N j Z h M j l k M F x 1 M D A y N m x p b W l 0 P T g w M C 9 B d X R v U m V t b 3 Z l Z E N v b H V t b n M x L n t U b 3 R h b F 9 O S V 9 z c W Z 0 X 0 F s d G V y b m F 0 a X Z l L D I x f S Z x d W 9 0 O y w m c X V v d D t T Z W N 0 a W 9 u M S 9 k Y X R h c 3 R v c m V f c 2 V h c m N o P 3 J l c 2 9 1 c m N l X 2 l k P T V h Z j l j O D R l L T l l Y j M t N D Q 2 N y 1 h M G F h L W F k Z T A 5 N j Z h M j l k M F x 1 M D A y N m x p b W l 0 P T g w M C 9 B d X R v U m V t b 3 Z l Z E N v b H V t b n M x L n t J c n J p Z 2 F i b G V f Y X J l Y V 9 z c W Z 0 X 0 F s d G V y b m F 0 a X Z l L D I y f S Z x d W 9 0 O y w m c X V v d D t T Z W N 0 a W 9 u M S 9 k Y X R h c 3 R v c m V f c 2 V h c m N o P 3 J l c 2 9 1 c m N l X 2 l k P T V h Z j l j O D R l L T l l Y j M t N D Q 2 N y 1 h M G F h L W F k Z T A 5 N j Z h M j l k M F x 1 M D A y N m x p b W l 0 P T g w M C 9 B d X R v U m V t b 3 Z l Z E N v b H V t b n M x L n t O Z X d f U m V z X 0 N v b n N 0 c l 9 E Y X R h X 1 B y b 3 Z p Z G V k L D I z f S Z x d W 9 0 O y w m c X V v d D t T Z W N 0 a W 9 u M S 9 k Y X R h c 3 R v c m V f c 2 V h c m N o P 3 J l c 2 9 1 c m N l X 2 l k P T V h Z j l j O D R l L T l l Y j M t N D Q 2 N y 1 h M G F h L W F k Z T A 5 N j Z h M j l k M F x 1 M D A y N m x p b W l 0 P T g w M C 9 B d X R v U m V t b 3 Z l Z E N v b H V t b n M x L n t O Z X d f U m V z X 0 N v b n N 0 c l 9 B c H B y b 3 Z h b F 9 T d G F 0 d X M s M j R 9 J n F 1 b 3 Q 7 L C Z x d W 9 0 O 1 N l Y 3 R p b 2 4 x L 2 R h d G F z d G 9 y Z V 9 z Z W F y Y 2 g / c m V z b 3 V y Y 2 V f a W Q 9 N W F m O W M 4 N G U t O W V i M y 0 0 N D Y 3 L W E w Y W E t Y W R l M D k 2 N m E y O W Q w X H U w M D I 2 b G l t a X Q 9 O D A w L 0 F 1 d G 9 S Z W 1 v d m V k Q 2 9 s d W 1 u c z E u e 0 5 l d 1 9 S Z X N f Q 2 9 u c 3 R y X 0 F w c H J v d m F s X 0 R h d G U s M j V 9 J n F 1 b 3 Q 7 L C Z x d W 9 0 O 1 N l Y 3 R p b 2 4 x L 2 R h d G F z d G 9 y Z V 9 z Z W F y Y 2 g / c m V z b 3 V y Y 2 V f a W Q 9 N W F m O W M 4 N G U t O W V i M y 0 0 N D Y 3 L W E w Y W E t Y W R l M D k 2 N m E y O W Q w X H U w M D I 2 b G l t a X Q 9 O D A w L 0 F 1 d G 9 S Z W 1 v d m V k Q 2 9 s d W 1 u c z E u e 0 5 l d 1 9 S Z X N f Q 2 9 u c 3 R y X 0 R h d G F f W W V h c l 9 C Y X N p c y w y N n 0 m c X V v d D s s J n F 1 b 3 Q 7 U 2 V j d G l v b j E v Z G F 0 Y X N 0 b 3 J l X 3 N l Y X J j a D 9 y Z X N v d X J j Z V 9 p Z D 0 1 Y W Y 5 Y z g 0 Z S 0 5 Z W I z L T Q 0 N j c t Y T B h Y S 1 h Z G U w O T Y 2 Y T I 5 Z D B c d T A w M j Z s a W 1 p d D 0 4 M D A v Q X V 0 b 1 J l b W 9 2 Z W R D b 2 x 1 b W 5 z M S 5 7 T m V 3 X 1 J l c 1 9 D b 2 5 z d H J f c 3 F m d C w y N 3 0 m c X V v d D s s J n F 1 b 3 Q 7 U 2 V j d G l v b j E v Z G F 0 Y X N 0 b 3 J l X 3 N l Y X J j a D 9 y Z X N v d X J j Z V 9 p Z D 0 1 Y W Y 5 Y z g 0 Z S 0 5 Z W I z L T Q 0 N j c t Y T B h Y S 1 h Z G U w O T Y 2 Y T I 5 Z D B c d T A w M j Z s a W 1 p d D 0 4 M D A v Q X V 0 b 1 J l b W 9 2 Z W R D b 2 x 1 b W 5 z M S 5 7 T m V 3 X 1 J l c 1 9 T T E F f b m 9 y Z W N f c 3 F m d C w y O H 0 m c X V v d D s s J n F 1 b 3 Q 7 U 2 V j d G l v b j E v Z G F 0 Y X N 0 b 3 J l X 3 N l Y X J j a D 9 y Z X N v d X J j Z V 9 p Z D 0 1 Y W Y 5 Y z g 0 Z S 0 5 Z W I z L T Q 0 N j c t Y T B h Y S 1 h Z G U w O T Y 2 Y T I 5 Z D B c d T A w M j Z s a W 1 p d D 0 4 M D A v Q X V 0 b 1 J l b W 9 2 Z W R D b 2 x 1 b W 5 z M S 5 7 T m V 3 X 1 J l c 1 9 T T E F f c m V j X 3 N x Z n Q s M j l 9 J n F 1 b 3 Q 7 L C Z x d W 9 0 O 1 N l Y 3 R p b 2 4 x L 2 R h d G F z d G 9 y Z V 9 z Z W F y Y 2 g / c m V z b 3 V y Y 2 V f a W Q 9 N W F m O W M 4 N G U t O W V i M y 0 0 N D Y 3 L W E w Y W E t Y W R l M D k 2 N m E y O W Q w X H U w M D I 2 b G l t a X Q 9 O D A w L 0 F 1 d G 9 S Z W 1 v d m V k Q 2 9 s d W 1 u c z E u e 0 V 4 a X N 0 a W 5 n X 1 J l c 1 9 T T E F f R G F 0 Y V 9 Q c m 9 2 a W R l Z C w z M H 0 m c X V v d D s s J n F 1 b 3 Q 7 U 2 V j d G l v b j E v Z G F 0 Y X N 0 b 3 J l X 3 N l Y X J j a D 9 y Z X N v d X J j Z V 9 p Z D 0 1 Y W Y 5 Y z g 0 Z S 0 5 Z W I z L T Q 0 N j c t Y T B h Y S 1 h Z G U w O T Y 2 Y T I 5 Z D B c d T A w M j Z s a W 1 p d D 0 4 M D A v Q X V 0 b 1 J l b W 9 2 Z W R D b 2 x 1 b W 5 z M S 5 7 R X h p c 3 R p b m d f U m V z X 1 N M Q V 9 E Y X R h X 0 F w c H J v d m F s X 1 N 0 Y X R 1 c y w z M X 0 m c X V v d D s s J n F 1 b 3 Q 7 U 2 V j d G l v b j E v Z G F 0 Y X N 0 b 3 J l X 3 N l Y X J j a D 9 y Z X N v d X J j Z V 9 p Z D 0 1 Y W Y 5 Y z g 0 Z S 0 5 Z W I z L T Q 0 N j c t Y T B h Y S 1 h Z G U w O T Y 2 Y T I 5 Z D B c d T A w M j Z s a W 1 p d D 0 4 M D A v Q X V 0 b 1 J l b W 9 2 Z W R D b 2 x 1 b W 5 z M S 5 7 R X h p c 3 R p b m d f U m V z X 1 N M Q V 9 E Y X R h X 0 F w c H J v d m F s X 0 R h d G U s M z J 9 J n F 1 b 3 Q 7 L C Z x d W 9 0 O 1 N l Y 3 R p b 2 4 x L 2 R h d G F z d G 9 y Z V 9 z Z W F y Y 2 g / c m V z b 3 V y Y 2 V f a W Q 9 N W F m O W M 4 N G U t O W V i M y 0 0 N D Y 3 L W E w Y W E t Y W R l M D k 2 N m E y O W Q w X H U w M D I 2 b G l t a X Q 9 O D A w L 0 F 1 d G 9 S Z W 1 v d m V k Q 2 9 s d W 1 u c z E u e 0 V 4 a X N 0 a W 5 n X 1 J l c 1 9 T T E F f R G F 0 Y V 9 Z Z W F y X 0 J h c 2 l z L D M z f S Z x d W 9 0 O y w m c X V v d D t T Z W N 0 a W 9 u M S 9 k Y X R h c 3 R v c m V f c 2 V h c m N o P 3 J l c 2 9 1 c m N l X 2 l k P T V h Z j l j O D R l L T l l Y j M t N D Q 2 N y 1 h M G F h L W F k Z T A 5 N j Z h M j l k M F x 1 M D A y N m x p b W l 0 P T g w M C 9 B d X R v U m V t b 3 Z l Z E N v b H V t b n M x L n t F e G l z d G l u Z 1 9 S Z X N f U 0 x B X 2 5 v c m V j X 3 N x Z n Q s M z R 9 J n F 1 b 3 Q 7 L C Z x d W 9 0 O 1 N l Y 3 R p b 2 4 x L 2 R h d G F z d G 9 y Z V 9 z Z W F y Y 2 g / c m V z b 3 V y Y 2 V f a W Q 9 N W F m O W M 4 N G U t O W V i M y 0 0 N D Y 3 L W E w Y W E t Y W R l M D k 2 N m E y O W Q w X H U w M D I 2 b G l t a X Q 9 O D A w L 0 F 1 d G 9 S Z W 1 v d m V k Q 2 9 s d W 1 u c z E u e 0 V 4 a X N 0 a W 5 n X 1 J l c 1 9 T T E F f c m V j X 3 N x Z n Q s M z V 9 J n F 1 b 3 Q 7 X S w m c X V v d D t D b 2 x 1 b W 5 D b 3 V u d C Z x d W 9 0 O z o z N i w m c X V v d D t L Z X l D b 2 x 1 b W 5 O Y W 1 l c y Z x d W 9 0 O z p b X S w m c X V v d D t D b 2 x 1 b W 5 J Z G V u d G l 0 a W V z J n F 1 b 3 Q 7 O l s m c X V v d D t T Z W N 0 a W 9 u M S 9 k Y X R h c 3 R v c m V f c 2 V h c m N o P 3 J l c 2 9 1 c m N l X 2 l k P T V h Z j l j O D R l L T l l Y j M t N D Q 2 N y 1 h M G F h L W F k Z T A 5 N j Z h M j l k M F x 1 M D A y N m x p b W l 0 P T g w M C 9 B d X R v U m V t b 3 Z l Z E N v b H V t b n M x L n t E V 1 J f S U Q s M H 0 m c X V v d D s s J n F 1 b 3 Q 7 U 2 V j d G l v b j E v Z G F 0 Y X N 0 b 3 J l X 3 N l Y X J j a D 9 y Z X N v d X J j Z V 9 p Z D 0 1 Y W Y 5 Y z g 0 Z S 0 5 Z W I z L T Q 0 N j c t Y T B h Y S 1 h Z G U w O T Y 2 Y T I 5 Z D B c d T A w M j Z s a W 1 p d D 0 4 M D A v Q X V 0 b 1 J l b W 9 2 Z W R D b 2 x 1 b W 5 z M S 5 7 U 3 V w c G x p Z X J f T m F t Z S w x f S Z x d W 9 0 O y w m c X V v d D t T Z W N 0 a W 9 u M S 9 k Y X R h c 3 R v c m V f c 2 V h c m N o P 3 J l c 2 9 1 c m N l X 2 l k P T V h Z j l j O D R l L T l l Y j M t N D Q 2 N y 1 h M G F h L W F k Z T A 5 N j Z h M j l k M F x 1 M D A y N m x p b W l 0 P T g w M C 9 B d X R v U m V t b 3 Z l Z E N v b H V t b n M x L n t T d X B w b G l l c l 9 O d W 1 i Z X I s M n 0 m c X V v d D s s J n F 1 b 3 Q 7 U 2 V j d G l v b j E v Z G F 0 Y X N 0 b 3 J l X 3 N l Y X J j a D 9 y Z X N v d X J j Z V 9 p Z D 0 1 Y W Y 5 Y z g 0 Z S 0 5 Z W I z L T Q 0 N j c t Y T B h Y S 1 h Z G U w O T Y 2 Y T I 5 Z D B c d T A w M j Z s a W 1 p d D 0 4 M D A v Q X V 0 b 1 J l b W 9 2 Z W R D b 2 x 1 b W 5 z M S 5 7 U 3 V w c G x p Z X J f S U Q s M 3 0 m c X V v d D s s J n F 1 b 3 Q 7 U 2 V j d G l v b j E v Z G F 0 Y X N 0 b 3 J l X 3 N l Y X J j a D 9 y Z X N v d X J j Z V 9 p Z D 0 1 Y W Y 5 Y z g 0 Z S 0 5 Z W I z L T Q 0 N j c t Y T B h Y S 1 h Z G U w O T Y 2 Y T I 5 Z D B c d T A w M j Z s a W 1 p d D 0 4 M D A v Q X V 0 b 1 J l b W 9 2 Z W R D b 2 x 1 b W 5 z M S 5 7 S W 1 h Z 2 V y e V 9 Z Z W F y X 0 J h c 2 l z L D R 9 J n F 1 b 3 Q 7 L C Z x d W 9 0 O 1 N l Y 3 R p b 2 4 x L 2 R h d G F z d G 9 y Z V 9 z Z W F y Y 2 g / c m V z b 3 V y Y 2 V f a W Q 9 N W F m O W M 4 N G U t O W V i M y 0 0 N D Y 3 L W E w Y W E t Y W R l M D k 2 N m E y O W Q w X H U w M D I 2 b G l t a X Q 9 O D A w L 0 F 1 d G 9 S Z W 1 v d m V k Q 2 9 s d W 1 u c z E u e 0 h D T F 9 h c m V h X 3 N x Z n Q s N X 0 m c X V v d D s s J n F 1 b 3 Q 7 U 2 V j d G l v b j E v Z G F 0 Y X N 0 b 3 J l X 3 N l Y X J j a D 9 y Z X N v d X J j Z V 9 p Z D 0 1 Y W Y 5 Y z g 0 Z S 0 5 Z W I z L T Q 0 N j c t Y T B h Y S 1 h Z G U w O T Y 2 Y T I 5 Z D B c d T A w M j Z s a W 1 p d D 0 4 M D A v Q X V 0 b 1 J l b W 9 2 Z W R D b 2 x 1 b W 5 z M S 5 7 Q W d f Y X J l Y V 9 z c W Z 0 L D Z 9 J n F 1 b 3 Q 7 L C Z x d W 9 0 O 1 N l Y 3 R p b 2 4 x L 2 R h d G F z d G 9 y Z V 9 z Z W F y Y 2 g / c m V z b 3 V y Y 2 V f a W Q 9 N W F m O W M 4 N G U t O W V i M y 0 0 N D Y 3 L W E w Y W E t Y W R l M D k 2 N m E y O W Q w X H U w M D I 2 b G l t a X Q 9 O D A w L 0 F 1 d G 9 S Z W 1 v d m V k Q 2 9 s d W 1 u c z E u e 1 B v b 2 x f Y X J l Y V 9 z c W Z 0 L D d 9 J n F 1 b 3 Q 7 L C Z x d W 9 0 O 1 N l Y 3 R p b 2 4 x L 2 R h d G F z d G 9 y Z V 9 z Z W F y Y 2 g / c m V z b 3 V y Y 2 V f a W Q 9 N W F m O W M 4 N G U t O W V i M y 0 0 N D Y 3 L W E w Y W E t Y W R l M D k 2 N m E y O W Q w X H U w M D I 2 b G l t a X Q 9 O D A w L 0 F 1 d G 9 S Z W 1 v d m V k Q 2 9 s d W 1 u c z E u e 1 R v d G F s X 0 l J X 3 N x Z n Q s O H 0 m c X V v d D s s J n F 1 b 3 Q 7 U 2 V j d G l v b j E v Z G F 0 Y X N 0 b 3 J l X 3 N l Y X J j a D 9 y Z X N v d X J j Z V 9 p Z D 0 1 Y W Y 5 Y z g 0 Z S 0 5 Z W I z L T Q 0 N j c t Y T B h Y S 1 h Z G U w O T Y 2 Y T I 5 Z D B c d T A w M j Z s a W 1 p d D 0 4 M D A v Q X V 0 b 1 J l b W 9 2 Z W R D b 2 x 1 b W 5 z M S 5 7 V G 9 0 Y W x f S U 5 J X 3 N x Z n Q s O X 0 m c X V v d D s s J n F 1 b 3 Q 7 U 2 V j d G l v b j E v Z G F 0 Y X N 0 b 3 J l X 3 N l Y X J j a D 9 y Z X N v d X J j Z V 9 p Z D 0 1 Y W Y 5 Y z g 0 Z S 0 5 Z W I z L T Q 0 N j c t Y T B h Y S 1 h Z G U w O T Y 2 Y T I 5 Z D B c d T A w M j Z s a W 1 p d D 0 4 M D A v Q X V 0 b 1 J l b W 9 2 Z W R D b 2 x 1 b W 5 z M S 5 7 V G 9 0 Y W x f T k l f c 3 F m d C w x M H 0 m c X V v d D s s J n F 1 b 3 Q 7 U 2 V j d G l v b j E v Z G F 0 Y X N 0 b 3 J l X 3 N l Y X J j a D 9 y Z X N v d X J j Z V 9 p Z D 0 1 Y W Y 5 Y z g 0 Z S 0 5 Z W I z L T Q 0 N j c t Y T B h Y S 1 h Z G U w O T Y 2 Y T I 5 Z D B c d T A w M j Z s a W 1 p d D 0 4 M D A v Q X V 0 b 1 J l b W 9 2 Z W R D b 2 x 1 b W 5 z M S 5 7 S X J y a W d h Y m x l X 2 F y Z W F f c 3 F m d C w x M X 0 m c X V v d D s s J n F 1 b 3 Q 7 U 2 V j d G l v b j E v Z G F 0 Y X N 0 b 3 J l X 3 N l Y X J j a D 9 y Z X N v d X J j Z V 9 p Z D 0 1 Y W Y 5 Y z g 0 Z S 0 5 Z W I z L T Q 0 N j c t Y T B h Y S 1 h Z G U w O T Y 2 Y T I 5 Z D B c d T A w M j Z s a W 1 p d D 0 4 M D A v Q X V 0 b 1 J l b W 9 2 Z W R D b 2 x 1 b W 5 z M S 5 7 Q W x 0 Z X J u Y X R p d m V f R G F 0 Y V 9 Q c m 9 2 a W R l Z C w x M n 0 m c X V v d D s s J n F 1 b 3 Q 7 U 2 V j d G l v b j E v Z G F 0 Y X N 0 b 3 J l X 3 N l Y X J j a D 9 y Z X N v d X J j Z V 9 p Z D 0 1 Y W Y 5 Y z g 0 Z S 0 5 Z W I z L T Q 0 N j c t Y T B h Y S 1 h Z G U w O T Y 2 Y T I 5 Z D B c d T A w M j Z s a W 1 p d D 0 4 M D A v Q X V 0 b 1 J l b W 9 2 Z W R D b 2 x 1 b W 5 z M S 5 7 Q W x 0 Z X J u Y X R p d m V f R G F 0 Y V 9 B c H B y b 3 Z h b F 9 T d G F 0 d X M s M T N 9 J n F 1 b 3 Q 7 L C Z x d W 9 0 O 1 N l Y 3 R p b 2 4 x L 2 R h d G F z d G 9 y Z V 9 z Z W F y Y 2 g / c m V z b 3 V y Y 2 V f a W Q 9 N W F m O W M 4 N G U t O W V i M y 0 0 N D Y 3 L W E w Y W E t Y W R l M D k 2 N m E y O W Q w X H U w M D I 2 b G l t a X Q 9 O D A w L 0 F 1 d G 9 S Z W 1 v d m V k Q 2 9 s d W 1 u c z E u e 0 F s d G V y b m F 0 a X Z l X 0 R h d G F f Q X B w c m 9 2 Y W x f R G F 0 Z S w x N H 0 m c X V v d D s s J n F 1 b 3 Q 7 U 2 V j d G l v b j E v Z G F 0 Y X N 0 b 3 J l X 3 N l Y X J j a D 9 y Z X N v d X J j Z V 9 p Z D 0 1 Y W Y 5 Y z g 0 Z S 0 5 Z W I z L T Q 0 N j c t Y T B h Y S 1 h Z G U w O T Y 2 Y T I 5 Z D B c d T A w M j Z s a W 1 p d D 0 4 M D A v Q X V 0 b 1 J l b W 9 2 Z W R D b 2 x 1 b W 5 z M S 5 7 Q W x 0 Z X J u Y X R p d m V f R G F 0 Y V 9 Z Z W F y X 0 J h c 2 l z L D E 1 f S Z x d W 9 0 O y w m c X V v d D t T Z W N 0 a W 9 u M S 9 k Y X R h c 3 R v c m V f c 2 V h c m N o P 3 J l c 2 9 1 c m N l X 2 l k P T V h Z j l j O D R l L T l l Y j M t N D Q 2 N y 1 h M G F h L W F k Z T A 5 N j Z h M j l k M F x 1 M D A y N m x p b W l 0 P T g w M C 9 B d X R v U m V t b 3 Z l Z E N v b H V t b n M x L n t I Q 0 x f Y X J l Y V 9 z c W Z 0 X 0 F s d G V y b m F 0 a X Z l L D E 2 f S Z x d W 9 0 O y w m c X V v d D t T Z W N 0 a W 9 u M S 9 k Y X R h c 3 R v c m V f c 2 V h c m N o P 3 J l c 2 9 1 c m N l X 2 l k P T V h Z j l j O D R l L T l l Y j M t N D Q 2 N y 1 h M G F h L W F k Z T A 5 N j Z h M j l k M F x 1 M D A y N m x p b W l 0 P T g w M C 9 B d X R v U m V t b 3 Z l Z E N v b H V t b n M x L n t B Z 1 9 h c m V h X 3 N x Z n R f Q W x 0 Z X J u Y X R p d m U s M T d 9 J n F 1 b 3 Q 7 L C Z x d W 9 0 O 1 N l Y 3 R p b 2 4 x L 2 R h d G F z d G 9 y Z V 9 z Z W F y Y 2 g / c m V z b 3 V y Y 2 V f a W Q 9 N W F m O W M 4 N G U t O W V i M y 0 0 N D Y 3 L W E w Y W E t Y W R l M D k 2 N m E y O W Q w X H U w M D I 2 b G l t a X Q 9 O D A w L 0 F 1 d G 9 S Z W 1 v d m V k Q 2 9 s d W 1 u c z E u e 1 B v b 2 x f Y X J l Y V 9 z c W Z 0 X 0 F s d G V y b m F 0 a X Z l L D E 4 f S Z x d W 9 0 O y w m c X V v d D t T Z W N 0 a W 9 u M S 9 k Y X R h c 3 R v c m V f c 2 V h c m N o P 3 J l c 2 9 1 c m N l X 2 l k P T V h Z j l j O D R l L T l l Y j M t N D Q 2 N y 1 h M G F h L W F k Z T A 5 N j Z h M j l k M F x 1 M D A y N m x p b W l 0 P T g w M C 9 B d X R v U m V t b 3 Z l Z E N v b H V t b n M x L n t U b 3 R h b F 9 J S V 9 z c W Z 0 X 0 F s d G V y b m F 0 a X Z l L D E 5 f S Z x d W 9 0 O y w m c X V v d D t T Z W N 0 a W 9 u M S 9 k Y X R h c 3 R v c m V f c 2 V h c m N o P 3 J l c 2 9 1 c m N l X 2 l k P T V h Z j l j O D R l L T l l Y j M t N D Q 2 N y 1 h M G F h L W F k Z T A 5 N j Z h M j l k M F x 1 M D A y N m x p b W l 0 P T g w M C 9 B d X R v U m V t b 3 Z l Z E N v b H V t b n M x L n t U b 3 R h b F 9 J T k l f c 3 F m d F 9 B b H R l c m 5 h d G l 2 Z S w y M H 0 m c X V v d D s s J n F 1 b 3 Q 7 U 2 V j d G l v b j E v Z G F 0 Y X N 0 b 3 J l X 3 N l Y X J j a D 9 y Z X N v d X J j Z V 9 p Z D 0 1 Y W Y 5 Y z g 0 Z S 0 5 Z W I z L T Q 0 N j c t Y T B h Y S 1 h Z G U w O T Y 2 Y T I 5 Z D B c d T A w M j Z s a W 1 p d D 0 4 M D A v Q X V 0 b 1 J l b W 9 2 Z W R D b 2 x 1 b W 5 z M S 5 7 V G 9 0 Y W x f T k l f c 3 F m d F 9 B b H R l c m 5 h d G l 2 Z S w y M X 0 m c X V v d D s s J n F 1 b 3 Q 7 U 2 V j d G l v b j E v Z G F 0 Y X N 0 b 3 J l X 3 N l Y X J j a D 9 y Z X N v d X J j Z V 9 p Z D 0 1 Y W Y 5 Y z g 0 Z S 0 5 Z W I z L T Q 0 N j c t Y T B h Y S 1 h Z G U w O T Y 2 Y T I 5 Z D B c d T A w M j Z s a W 1 p d D 0 4 M D A v Q X V 0 b 1 J l b W 9 2 Z W R D b 2 x 1 b W 5 z M S 5 7 S X J y a W d h Y m x l X 2 F y Z W F f c 3 F m d F 9 B b H R l c m 5 h d G l 2 Z S w y M n 0 m c X V v d D s s J n F 1 b 3 Q 7 U 2 V j d G l v b j E v Z G F 0 Y X N 0 b 3 J l X 3 N l Y X J j a D 9 y Z X N v d X J j Z V 9 p Z D 0 1 Y W Y 5 Y z g 0 Z S 0 5 Z W I z L T Q 0 N j c t Y T B h Y S 1 h Z G U w O T Y 2 Y T I 5 Z D B c d T A w M j Z s a W 1 p d D 0 4 M D A v Q X V 0 b 1 J l b W 9 2 Z W R D b 2 x 1 b W 5 z M S 5 7 T m V 3 X 1 J l c 1 9 D b 2 5 z d H J f R G F 0 Y V 9 Q c m 9 2 a W R l Z C w y M 3 0 m c X V v d D s s J n F 1 b 3 Q 7 U 2 V j d G l v b j E v Z G F 0 Y X N 0 b 3 J l X 3 N l Y X J j a D 9 y Z X N v d X J j Z V 9 p Z D 0 1 Y W Y 5 Y z g 0 Z S 0 5 Z W I z L T Q 0 N j c t Y T B h Y S 1 h Z G U w O T Y 2 Y T I 5 Z D B c d T A w M j Z s a W 1 p d D 0 4 M D A v Q X V 0 b 1 J l b W 9 2 Z W R D b 2 x 1 b W 5 z M S 5 7 T m V 3 X 1 J l c 1 9 D b 2 5 z d H J f Q X B w c m 9 2 Y W x f U 3 R h d H V z L D I 0 f S Z x d W 9 0 O y w m c X V v d D t T Z W N 0 a W 9 u M S 9 k Y X R h c 3 R v c m V f c 2 V h c m N o P 3 J l c 2 9 1 c m N l X 2 l k P T V h Z j l j O D R l L T l l Y j M t N D Q 2 N y 1 h M G F h L W F k Z T A 5 N j Z h M j l k M F x 1 M D A y N m x p b W l 0 P T g w M C 9 B d X R v U m V t b 3 Z l Z E N v b H V t b n M x L n t O Z X d f U m V z X 0 N v b n N 0 c l 9 B c H B y b 3 Z h b F 9 E Y X R l L D I 1 f S Z x d W 9 0 O y w m c X V v d D t T Z W N 0 a W 9 u M S 9 k Y X R h c 3 R v c m V f c 2 V h c m N o P 3 J l c 2 9 1 c m N l X 2 l k P T V h Z j l j O D R l L T l l Y j M t N D Q 2 N y 1 h M G F h L W F k Z T A 5 N j Z h M j l k M F x 1 M D A y N m x p b W l 0 P T g w M C 9 B d X R v U m V t b 3 Z l Z E N v b H V t b n M x L n t O Z X d f U m V z X 0 N v b n N 0 c l 9 E Y X R h X 1 l l Y X J f Q m F z a X M s M j Z 9 J n F 1 b 3 Q 7 L C Z x d W 9 0 O 1 N l Y 3 R p b 2 4 x L 2 R h d G F z d G 9 y Z V 9 z Z W F y Y 2 g / c m V z b 3 V y Y 2 V f a W Q 9 N W F m O W M 4 N G U t O W V i M y 0 0 N D Y 3 L W E w Y W E t Y W R l M D k 2 N m E y O W Q w X H U w M D I 2 b G l t a X Q 9 O D A w L 0 F 1 d G 9 S Z W 1 v d m V k Q 2 9 s d W 1 u c z E u e 0 5 l d 1 9 S Z X N f Q 2 9 u c 3 R y X 3 N x Z n Q s M j d 9 J n F 1 b 3 Q 7 L C Z x d W 9 0 O 1 N l Y 3 R p b 2 4 x L 2 R h d G F z d G 9 y Z V 9 z Z W F y Y 2 g / c m V z b 3 V y Y 2 V f a W Q 9 N W F m O W M 4 N G U t O W V i M y 0 0 N D Y 3 L W E w Y W E t Y W R l M D k 2 N m E y O W Q w X H U w M D I 2 b G l t a X Q 9 O D A w L 0 F 1 d G 9 S Z W 1 v d m V k Q 2 9 s d W 1 u c z E u e 0 5 l d 1 9 S Z X N f U 0 x B X 2 5 v c m V j X 3 N x Z n Q s M j h 9 J n F 1 b 3 Q 7 L C Z x d W 9 0 O 1 N l Y 3 R p b 2 4 x L 2 R h d G F z d G 9 y Z V 9 z Z W F y Y 2 g / c m V z b 3 V y Y 2 V f a W Q 9 N W F m O W M 4 N G U t O W V i M y 0 0 N D Y 3 L W E w Y W E t Y W R l M D k 2 N m E y O W Q w X H U w M D I 2 b G l t a X Q 9 O D A w L 0 F 1 d G 9 S Z W 1 v d m V k Q 2 9 s d W 1 u c z E u e 0 5 l d 1 9 S Z X N f U 0 x B X 3 J l Y 1 9 z c W Z 0 L D I 5 f S Z x d W 9 0 O y w m c X V v d D t T Z W N 0 a W 9 u M S 9 k Y X R h c 3 R v c m V f c 2 V h c m N o P 3 J l c 2 9 1 c m N l X 2 l k P T V h Z j l j O D R l L T l l Y j M t N D Q 2 N y 1 h M G F h L W F k Z T A 5 N j Z h M j l k M F x 1 M D A y N m x p b W l 0 P T g w M C 9 B d X R v U m V t b 3 Z l Z E N v b H V t b n M x L n t F e G l z d G l u Z 1 9 S Z X N f U 0 x B X 0 R h d G F f U H J v d m l k Z W Q s M z B 9 J n F 1 b 3 Q 7 L C Z x d W 9 0 O 1 N l Y 3 R p b 2 4 x L 2 R h d G F z d G 9 y Z V 9 z Z W F y Y 2 g / c m V z b 3 V y Y 2 V f a W Q 9 N W F m O W M 4 N G U t O W V i M y 0 0 N D Y 3 L W E w Y W E t Y W R l M D k 2 N m E y O W Q w X H U w M D I 2 b G l t a X Q 9 O D A w L 0 F 1 d G 9 S Z W 1 v d m V k Q 2 9 s d W 1 u c z E u e 0 V 4 a X N 0 a W 5 n X 1 J l c 1 9 T T E F f R G F 0 Y V 9 B c H B y b 3 Z h b F 9 T d G F 0 d X M s M z F 9 J n F 1 b 3 Q 7 L C Z x d W 9 0 O 1 N l Y 3 R p b 2 4 x L 2 R h d G F z d G 9 y Z V 9 z Z W F y Y 2 g / c m V z b 3 V y Y 2 V f a W Q 9 N W F m O W M 4 N G U t O W V i M y 0 0 N D Y 3 L W E w Y W E t Y W R l M D k 2 N m E y O W Q w X H U w M D I 2 b G l t a X Q 9 O D A w L 0 F 1 d G 9 S Z W 1 v d m V k Q 2 9 s d W 1 u c z E u e 0 V 4 a X N 0 a W 5 n X 1 J l c 1 9 T T E F f R G F 0 Y V 9 B c H B y b 3 Z h b F 9 E Y X R l L D M y f S Z x d W 9 0 O y w m c X V v d D t T Z W N 0 a W 9 u M S 9 k Y X R h c 3 R v c m V f c 2 V h c m N o P 3 J l c 2 9 1 c m N l X 2 l k P T V h Z j l j O D R l L T l l Y j M t N D Q 2 N y 1 h M G F h L W F k Z T A 5 N j Z h M j l k M F x 1 M D A y N m x p b W l 0 P T g w M C 9 B d X R v U m V t b 3 Z l Z E N v b H V t b n M x L n t F e G l z d G l u Z 1 9 S Z X N f U 0 x B X 0 R h d G F f W W V h c l 9 C Y X N p c y w z M 3 0 m c X V v d D s s J n F 1 b 3 Q 7 U 2 V j d G l v b j E v Z G F 0 Y X N 0 b 3 J l X 3 N l Y X J j a D 9 y Z X N v d X J j Z V 9 p Z D 0 1 Y W Y 5 Y z g 0 Z S 0 5 Z W I z L T Q 0 N j c t Y T B h Y S 1 h Z G U w O T Y 2 Y T I 5 Z D B c d T A w M j Z s a W 1 p d D 0 4 M D A v Q X V 0 b 1 J l b W 9 2 Z W R D b 2 x 1 b W 5 z M S 5 7 R X h p c 3 R p b m d f U m V z X 1 N M Q V 9 u b 3 J l Y 1 9 z c W Z 0 L D M 0 f S Z x d W 9 0 O y w m c X V v d D t T Z W N 0 a W 9 u M S 9 k Y X R h c 3 R v c m V f c 2 V h c m N o P 3 J l c 2 9 1 c m N l X 2 l k P T V h Z j l j O D R l L T l l Y j M t N D Q 2 N y 1 h M G F h L W F k Z T A 5 N j Z h M j l k M F x 1 M D A y N m x p b W l 0 P T g w M C 9 B d X R v U m V t b 3 Z l Z E N v b H V t b n M x L n t F e G l z d G l u Z 1 9 S Z X N f U 0 x B X 3 J l Y 1 9 z c W Z 0 L D M 1 f S Z x d W 9 0 O 1 0 s J n F 1 b 3 Q 7 U m V s Y X R p b 2 5 z a G l w S W 5 m b y Z x d W 9 0 O z p b X X 0 i I C 8 + P C 9 T d G F i b G V F b n R y a W V z P j w v S X R l b T 4 8 S X R l b T 4 8 S X R l b U x v Y 2 F 0 a W 9 u P j x J d G V t V H l w Z T 5 G b 3 J t d W x h P C 9 J d G V t V H l w Z T 4 8 S X R l b V B h d G g + U 2 V j d G l v b j E v Z G F 0 Y X N 0 b 3 J l X 3 N l Y X J j a C U z R n J l c 2 9 1 c m N l X 2 l k J T N E N 2 U 1 M z l h N j E t O W E z M y 0 0 O W U 1 L W E 1 Z D M t N D Y z Z T Q z Z j A 2 M T A 5 J T I 2 b G l t a X Q l M 0 Q x M D A w M D w v S X R l b V B h d G g + P C 9 J d G V t T G 9 j Y X R p b 2 4 + P F N 0 Y W J s Z U V u d H J p Z X M + P E V u d H J 5 I F R 5 c G U 9 I k Z p b G x D b 2 x 1 b W 5 O Y W 1 l c y I g V m F s d W U 9 I n N b J n F 1 b 3 Q 7 T 1 J H X 0 l E J n F 1 b 3 Q 7 L C Z x d W 9 0 O 1 N V U F B M S U V S X 0 5 B T U U m c X V v d D s s J n F 1 b 3 Q 7 U F d T S U Q m c X V v d D s s J n F 1 b 3 Q 7 U F d T X 0 5 B T U U m c X V v d D s s J n F 1 b 3 Q 7 Q 0 9 V T l R Z J n F 1 b 3 Q 7 L C Z x d W 9 0 O 0 V G R l 9 C R U d J T l 9 E V C Z x d W 9 0 O y w m c X V v d D t F R k Z f R U 5 E X 0 R U J n F 1 b 3 Q 7 L C Z x d W 9 0 O 0 F W R 1 9 E Q U l M W V 9 D T l Q m c X V v d D s s J n F 1 b 3 Q 7 R l l f U 1 R B U l R f R E F U R S Z x d W 9 0 O y w m c X V v d D t G W V 9 F T k R f R E F U R S Z x d W 9 0 O 1 0 i I C 8 + P E V u d H J 5 I F R 5 c G U 9 I k J 1 Z m Z l c k 5 l e H R S Z W Z y Z X N o I i B W Y W x 1 Z T 0 i b D E i I C 8 + P E V u d H J 5 I F R 5 c G U 9 I k Z p b G x D b 2 x 1 b W 5 U e X B l c y I g V m F s d W U 9 I n N C Z 1 l H Q m d Z S E J 3 T U h C d z 0 9 I i A v P j x F b n R y e S B U e X B l P S J G a W x s R W 5 h Y m x l Z C I g V m F s d W U 9 I m w x I i A v P j x F b n R y e S B U e X B l P S J G a W x s T G F z d F V w Z G F 0 Z W Q i I F Z h b H V l P S J k M j A y N S 0 w N y 0 x N V Q y M j o y N z o 1 M S 4 4 N z U y O D Q z W i I g L z 4 8 R W 5 0 c n k g V H l w Z T 0 i R m l s b E V y c m 9 y Q 2 9 1 b n Q i I F Z h b H V l P S J s M C I g L z 4 8 R W 5 0 c n k g V H l w Z T 0 i R m l s b E V y c m 9 y Q 2 9 k Z S I g V m F s d W U 9 I n N V b m t u b 3 d u I i A v P j x F b n R y e S B U e X B l P S J G a W x s Z W R D b 2 1 w b G V 0 Z V J l c 3 V s d F R v V 2 9 y a 3 N o Z W V 0 I i B W Y W x 1 Z T 0 i b D E i I C 8 + P E V u d H J 5 I F R 5 c G U 9 I k Z p b G x D b 3 V u d C I g V m F s d W U 9 I m w 1 M j k i I C 8 + P E V u d H J 5 I F R 5 c G U 9 I k Z p b G x U Y X J n Z X R O Y W 1 l Q 3 V z d G 9 t a X p l Z C I g V m F s d W U 9 I m w x I i A v P j x F b n R y e S B U e X B l P S J G a W x s V G 9 E Y X R h T W 9 k Z W x F b m F i b G V k I i B W Y W x 1 Z T 0 i b D A i I C 8 + P E V u d H J 5 I F R 5 c G U 9 I k l z U H J p d m F 0 Z S I g V m F s d W U 9 I m w w I i A v P j x F b n R y e S B U e X B l P S J R d W V y e U l E I i B W Y W x 1 Z T 0 i c z U 1 Y T M 5 Z D Z l L T E w N G E t N D A 3 M C 0 4 M m J j L W Z k Z G J k M D k 3 N G F j Y S I g L z 4 8 R W 5 0 c n k g V H l w Z T 0 i Q W R k Z W R U b 0 R h d G F N b 2 R l b C I g V m F s d W U 9 I m w w 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U E 9 Q X 0 F Q S V 9 U Q U J M R S I g L z 4 8 R W 5 0 c n k g V H l w Z T 0 i R m l s b F N 0 Y X R 1 c y I g V m F s d W U 9 I n N D b 2 1 w b G V 0 Z S I g L z 4 8 R W 5 0 c n k g V H l w Z T 0 i U m V s Y X R p b 2 5 z a G l w S W 5 m b 0 N v b n R h a W 5 l c i I g V m F s d W U 9 I n N 7 J n F 1 b 3 Q 7 Y 2 9 s d W 1 u Q 2 9 1 b n Q m c X V v d D s 6 M T A s J n F 1 b 3 Q 7 a 2 V 5 Q 2 9 s d W 1 u T m F t Z X M m c X V v d D s 6 W 1 0 s J n F 1 b 3 Q 7 c X V l c n l S Z W x h d G l v b n N o a X B z J n F 1 b 3 Q 7 O l t d L C Z x d W 9 0 O 2 N v b H V t b k l k Z W 5 0 a X R p Z X M m c X V v d D s 6 W y Z x d W 9 0 O 1 N l Y 3 R p b 2 4 x L 2 R h d G F z d G 9 y Z V 9 z Z W F y Y 2 g / c m V z b 3 V y Y 2 V f a W Q 9 N 2 U 1 M z l h N j E t O W E z M y 0 0 O W U 1 L W E 1 Z D M t N D Y z Z T Q z Z j A 2 M T A 5 X H U w M D I 2 b G l t a X Q 9 M T A w M D A v Q X V 0 b 1 J l b W 9 2 Z W R D b 2 x 1 b W 5 z M S 5 7 T 1 J H X 0 l E L D B 9 J n F 1 b 3 Q 7 L C Z x d W 9 0 O 1 N l Y 3 R p b 2 4 x L 2 R h d G F z d G 9 y Z V 9 z Z W F y Y 2 g / c m V z b 3 V y Y 2 V f a W Q 9 N 2 U 1 M z l h N j E t O W E z M y 0 0 O W U 1 L W E 1 Z D M t N D Y z Z T Q z Z j A 2 M T A 5 X H U w M D I 2 b G l t a X Q 9 M T A w M D A v Q X V 0 b 1 J l b W 9 2 Z W R D b 2 x 1 b W 5 z M S 5 7 U 1 V Q U E x J R V J f T k F N R S w x f S Z x d W 9 0 O y w m c X V v d D t T Z W N 0 a W 9 u M S 9 k Y X R h c 3 R v c m V f c 2 V h c m N o P 3 J l c 2 9 1 c m N l X 2 l k P T d l N T M 5 Y T Y x L T l h M z M t N D l l N S 1 h N W Q z L T Q 2 M 2 U 0 M 2 Y w N j E w O V x 1 M D A y N m x p b W l 0 P T E w M D A w L 0 F 1 d G 9 S Z W 1 v d m V k Q 2 9 s d W 1 u c z E u e 1 B X U 0 l E L D J 9 J n F 1 b 3 Q 7 L C Z x d W 9 0 O 1 N l Y 3 R p b 2 4 x L 2 R h d G F z d G 9 y Z V 9 z Z W F y Y 2 g / c m V z b 3 V y Y 2 V f a W Q 9 N 2 U 1 M z l h N j E t O W E z M y 0 0 O W U 1 L W E 1 Z D M t N D Y z Z T Q z Z j A 2 M T A 5 X H U w M D I 2 b G l t a X Q 9 M T A w M D A v Q X V 0 b 1 J l b W 9 2 Z W R D b 2 x 1 b W 5 z M S 5 7 U F d T X 0 5 B T U U s M 3 0 m c X V v d D s s J n F 1 b 3 Q 7 U 2 V j d G l v b j E v Z G F 0 Y X N 0 b 3 J l X 3 N l Y X J j a D 9 y Z X N v d X J j Z V 9 p Z D 0 3 Z T U z O W E 2 M S 0 5 Y T M z L T Q 5 Z T U t Y T V k M y 0 0 N j N l N D N m M D Y x M D l c d T A w M j Z s a W 1 p d D 0 x M D A w M C 9 B d X R v U m V t b 3 Z l Z E N v b H V t b n M x L n t D T 1 V O V F k s N H 0 m c X V v d D s s J n F 1 b 3 Q 7 U 2 V j d G l v b j E v Z G F 0 Y X N 0 b 3 J l X 3 N l Y X J j a D 9 y Z X N v d X J j Z V 9 p Z D 0 3 Z T U z O W E 2 M S 0 5 Y T M z L T Q 5 Z T U t Y T V k M y 0 0 N j N l N D N m M D Y x M D l c d T A w M j Z s a W 1 p d D 0 x M D A w M C 9 B d X R v U m V t b 3 Z l Z E N v b H V t b n M x L n t F R k Z f Q k V H S U 5 f R F Q s N X 0 m c X V v d D s s J n F 1 b 3 Q 7 U 2 V j d G l v b j E v Z G F 0 Y X N 0 b 3 J l X 3 N l Y X J j a D 9 y Z X N v d X J j Z V 9 p Z D 0 3 Z T U z O W E 2 M S 0 5 Y T M z L T Q 5 Z T U t Y T V k M y 0 0 N j N l N D N m M D Y x M D l c d T A w M j Z s a W 1 p d D 0 x M D A w M C 9 B d X R v U m V t b 3 Z l Z E N v b H V t b n M x L n t F R k Z f R U 5 E X 0 R U L D Z 9 J n F 1 b 3 Q 7 L C Z x d W 9 0 O 1 N l Y 3 R p b 2 4 x L 2 R h d G F z d G 9 y Z V 9 z Z W F y Y 2 g / c m V z b 3 V y Y 2 V f a W Q 9 N 2 U 1 M z l h N j E t O W E z M y 0 0 O W U 1 L W E 1 Z D M t N D Y z Z T Q z Z j A 2 M T A 5 X H U w M D I 2 b G l t a X Q 9 M T A w M D A v Q X V 0 b 1 J l b W 9 2 Z W R D b 2 x 1 b W 5 z M S 5 7 Q V Z H X 0 R B S U x Z X 0 N O V C w 3 f S Z x d W 9 0 O y w m c X V v d D t T Z W N 0 a W 9 u M S 9 k Y X R h c 3 R v c m V f c 2 V h c m N o P 3 J l c 2 9 1 c m N l X 2 l k P T d l N T M 5 Y T Y x L T l h M z M t N D l l N S 1 h N W Q z L T Q 2 M 2 U 0 M 2 Y w N j E w O V x 1 M D A y N m x p b W l 0 P T E w M D A w L 0 F 1 d G 9 S Z W 1 v d m V k Q 2 9 s d W 1 u c z E u e 0 Z Z X 1 N U Q V J U X 0 R B V E U s O H 0 m c X V v d D s s J n F 1 b 3 Q 7 U 2 V j d G l v b j E v Z G F 0 Y X N 0 b 3 J l X 3 N l Y X J j a D 9 y Z X N v d X J j Z V 9 p Z D 0 3 Z T U z O W E 2 M S 0 5 Y T M z L T Q 5 Z T U t Y T V k M y 0 0 N j N l N D N m M D Y x M D l c d T A w M j Z s a W 1 p d D 0 x M D A w M C 9 B d X R v U m V t b 3 Z l Z E N v b H V t b n M x L n t G W V 9 F T k R f R E F U R S w 5 f S Z x d W 9 0 O 1 0 s J n F 1 b 3 Q 7 Q 2 9 s d W 1 u Q 2 9 1 b n Q m c X V v d D s 6 M T A s J n F 1 b 3 Q 7 S 2 V 5 Q 2 9 s d W 1 u T m F t Z X M m c X V v d D s 6 W 1 0 s J n F 1 b 3 Q 7 Q 2 9 s d W 1 u S W R l b n R p d G l l c y Z x d W 9 0 O z p b J n F 1 b 3 Q 7 U 2 V j d G l v b j E v Z G F 0 Y X N 0 b 3 J l X 3 N l Y X J j a D 9 y Z X N v d X J j Z V 9 p Z D 0 3 Z T U z O W E 2 M S 0 5 Y T M z L T Q 5 Z T U t Y T V k M y 0 0 N j N l N D N m M D Y x M D l c d T A w M j Z s a W 1 p d D 0 x M D A w M C 9 B d X R v U m V t b 3 Z l Z E N v b H V t b n M x L n t P U k d f S U Q s M H 0 m c X V v d D s s J n F 1 b 3 Q 7 U 2 V j d G l v b j E v Z G F 0 Y X N 0 b 3 J l X 3 N l Y X J j a D 9 y Z X N v d X J j Z V 9 p Z D 0 3 Z T U z O W E 2 M S 0 5 Y T M z L T Q 5 Z T U t Y T V k M y 0 0 N j N l N D N m M D Y x M D l c d T A w M j Z s a W 1 p d D 0 x M D A w M C 9 B d X R v U m V t b 3 Z l Z E N v b H V t b n M x L n t T V V B Q T E l F U l 9 O Q U 1 F L D F 9 J n F 1 b 3 Q 7 L C Z x d W 9 0 O 1 N l Y 3 R p b 2 4 x L 2 R h d G F z d G 9 y Z V 9 z Z W F y Y 2 g / c m V z b 3 V y Y 2 V f a W Q 9 N 2 U 1 M z l h N j E t O W E z M y 0 0 O W U 1 L W E 1 Z D M t N D Y z Z T Q z Z j A 2 M T A 5 X H U w M D I 2 b G l t a X Q 9 M T A w M D A v Q X V 0 b 1 J l b W 9 2 Z W R D b 2 x 1 b W 5 z M S 5 7 U F d T S U Q s M n 0 m c X V v d D s s J n F 1 b 3 Q 7 U 2 V j d G l v b j E v Z G F 0 Y X N 0 b 3 J l X 3 N l Y X J j a D 9 y Z X N v d X J j Z V 9 p Z D 0 3 Z T U z O W E 2 M S 0 5 Y T M z L T Q 5 Z T U t Y T V k M y 0 0 N j N l N D N m M D Y x M D l c d T A w M j Z s a W 1 p d D 0 x M D A w M C 9 B d X R v U m V t b 3 Z l Z E N v b H V t b n M x L n t Q V 1 N f T k F N R S w z f S Z x d W 9 0 O y w m c X V v d D t T Z W N 0 a W 9 u M S 9 k Y X R h c 3 R v c m V f c 2 V h c m N o P 3 J l c 2 9 1 c m N l X 2 l k P T d l N T M 5 Y T Y x L T l h M z M t N D l l N S 1 h N W Q z L T Q 2 M 2 U 0 M 2 Y w N j E w O V x 1 M D A y N m x p b W l 0 P T E w M D A w L 0 F 1 d G 9 S Z W 1 v d m V k Q 2 9 s d W 1 u c z E u e 0 N P V U 5 U W S w 0 f S Z x d W 9 0 O y w m c X V v d D t T Z W N 0 a W 9 u M S 9 k Y X R h c 3 R v c m V f c 2 V h c m N o P 3 J l c 2 9 1 c m N l X 2 l k P T d l N T M 5 Y T Y x L T l h M z M t N D l l N S 1 h N W Q z L T Q 2 M 2 U 0 M 2 Y w N j E w O V x 1 M D A y N m x p b W l 0 P T E w M D A w L 0 F 1 d G 9 S Z W 1 v d m V k Q 2 9 s d W 1 u c z E u e 0 V G R l 9 C R U d J T l 9 E V C w 1 f S Z x d W 9 0 O y w m c X V v d D t T Z W N 0 a W 9 u M S 9 k Y X R h c 3 R v c m V f c 2 V h c m N o P 3 J l c 2 9 1 c m N l X 2 l k P T d l N T M 5 Y T Y x L T l h M z M t N D l l N S 1 h N W Q z L T Q 2 M 2 U 0 M 2 Y w N j E w O V x 1 M D A y N m x p b W l 0 P T E w M D A w L 0 F 1 d G 9 S Z W 1 v d m V k Q 2 9 s d W 1 u c z E u e 0 V G R l 9 F T k R f R F Q s N n 0 m c X V v d D s s J n F 1 b 3 Q 7 U 2 V j d G l v b j E v Z G F 0 Y X N 0 b 3 J l X 3 N l Y X J j a D 9 y Z X N v d X J j Z V 9 p Z D 0 3 Z T U z O W E 2 M S 0 5 Y T M z L T Q 5 Z T U t Y T V k M y 0 0 N j N l N D N m M D Y x M D l c d T A w M j Z s a W 1 p d D 0 x M D A w M C 9 B d X R v U m V t b 3 Z l Z E N v b H V t b n M x L n t B V k d f R E F J T F l f Q 0 5 U L D d 9 J n F 1 b 3 Q 7 L C Z x d W 9 0 O 1 N l Y 3 R p b 2 4 x L 2 R h d G F z d G 9 y Z V 9 z Z W F y Y 2 g / c m V z b 3 V y Y 2 V f a W Q 9 N 2 U 1 M z l h N j E t O W E z M y 0 0 O W U 1 L W E 1 Z D M t N D Y z Z T Q z Z j A 2 M T A 5 X H U w M D I 2 b G l t a X Q 9 M T A w M D A v Q X V 0 b 1 J l b W 9 2 Z W R D b 2 x 1 b W 5 z M S 5 7 R l l f U 1 R B U l R f R E F U R S w 4 f S Z x d W 9 0 O y w m c X V v d D t T Z W N 0 a W 9 u M S 9 k Y X R h c 3 R v c m V f c 2 V h c m N o P 3 J l c 2 9 1 c m N l X 2 l k P T d l N T M 5 Y T Y x L T l h M z M t N D l l N S 1 h N W Q z L T Q 2 M 2 U 0 M 2 Y w N j E w O V x 1 M D A y N m x p b W l 0 P T E w M D A w L 0 F 1 d G 9 S Z W 1 v d m V k Q 2 9 s d W 1 u c z E u e 0 Z Z X 0 V O R F 9 E Q V R F L D l 9 J n F 1 b 3 Q 7 X S w m c X V v d D t S Z W x h d G l v b n N o a X B J b m Z v J n F 1 b 3 Q 7 O l t d f S I g L z 4 8 L 1 N 0 Y W J s Z U V u d H J p Z X M + P C 9 J d G V t P j x J d G V t P j x J d G V t T G 9 j Y X R p b 2 4 + P E l 0 Z W 1 U e X B l P k Z v c m 1 1 b G E 8 L 0 l 0 Z W 1 U e X B l P j x J d G V t U G F 0 a D 5 T Z W N 0 a W 9 u M S 9 k Y X R h c 3 R v c m V f c 2 V h c m N o J T N G c m V z b 3 V y Y 2 V f a W Q l M 0 Q 4 Y T N j N T J i M S 0 4 Z D A x L T Q 0 N 2 I t O T l l M S 0 0 M z h m Z T M 3 Y m Q 4 M m Q l M j Z s a W 1 p d C U z R D k 5 O T k 5 O T k 5 P C 9 J d G V t U G F 0 a D 4 8 L 0 l 0 Z W 1 M b 2 N h d G l v b j 4 8 U 3 R h Y m x l R W 5 0 c m l l c z 4 8 R W 5 0 c n k g V H l w Z T 0 i R m l s b E N v b H V t b k 5 h b W V z I i B W Y W x 1 Z T 0 i c 1 s m c X V v d D t P U k d f S U Q m c X V v d D s s J n F 1 b 3 Q 7 U 1 V Q U E x J R V J f T k F N R S Z x d W 9 0 O y w m c X V v d D t Q V 1 N J R C Z x d W 9 0 O y w m c X V v d D t Q V 1 N f T k F N R S Z x d W 9 0 O y w m c X V v d D t S R V B P U l R J T k d f U E V S S U 9 E X 1 N U Q V J U X 0 R B V E U m c X V v d D s s J n F 1 b 3 Q 7 U k V Q T 1 J U S U 5 H X 1 B F U k l P R F 9 F T k R f R E F U R S Z x d W 9 0 O y w m c X V v d D t S R V N J R E V O V E l B T F 9 T S U 5 H T E V G Q U 1 J T F l f R 0 F M J n F 1 b 3 Q 7 L C Z x d W 9 0 O 1 J F U 0 l E R U 5 U S U F M X 0 1 V T F R J R k F N S U x Z X 0 d B T C Z x d W 9 0 O y w m c X V v d D t D T 0 1 N R V J D S U F M X 0 l O U 1 R J V F V U S U 9 O Q U x f R 0 F M J n F 1 b 3 Q 7 L C Z x d W 9 0 O 0 5 P T l J F U 0 l E R U 5 U S U F M X 0 1 F V E V S R U R f S V J S S U d B V E l P T l 9 H Q U w m c X V v d D s s J n F 1 b 3 Q 7 S U 5 E V V N U U k l B T F 9 H Q U w m c X V v d D s s J n F 1 b 3 Q 7 T 1 R I R V J f R 0 F M J n F 1 b 3 Q 7 L C Z x d W 9 0 O 0 F H U k l D V U x U V V J F X 0 d B T C Z x d W 9 0 O y w m c X V v d D t O T 0 5 Q T 1 R B Q k x F X 0 R F T U F O R F 9 S R V N J R E V O V E l B T F 9 S R U N Z Q 0 x F R F 9 X Q V R F U l 9 H Q U w m c X V v d D s s J n F 1 b 3 Q 7 T k 9 O U E 9 U Q U J M R V 9 E R U 1 B T k R f U k V T S U R F T l R J Q U x f T k 9 O U E 9 U Q U J M R V 9 X Q V R F U l 9 H Q U w m c X V v d D s s J n F 1 b 3 Q 7 T k 9 O U E 9 U Q U J M R V 9 E R U 1 B T k R f U k V T S U R F T l R J Q U x f T U V U R V J F R F 9 M Q U 5 E U 0 N B U E V f S V J S S U d B V E l P T l 9 H Q U w m c X V v d D s s J n F 1 b 3 Q 7 T k 9 O U E 9 U Q U J M R V 9 E R U 1 B T k R f T k 9 O U k V T S U R F T l R J Q U x f U k V D W U N M R U R f V 0 F U R V J f R 0 F M J n F 1 b 3 Q 7 L C Z x d W 9 0 O 0 5 P T l B P V E F C T E V f R E V N Q U 5 E X 0 5 P T l J F U 0 l E R U 5 U S U F M X 0 5 P T l B P V E F C T E V f V 0 F U R V J f R 0 F M J n F 1 b 3 Q 7 L C Z x d W 9 0 O 0 5 P T l B P V E F C T E V f R E V N Q U 5 E X 0 5 P T l J F U 0 l E R U 5 U S U F M X 0 1 F V E V S R U R f S V J S S U d B V E l P T l 9 H Q U w m c X V v d D s s J n F 1 b 3 Q 7 R l l f U 1 R B U l R f R E F U R S Z x d W 9 0 O y w m c X V v d D t G W V 9 F T k R f R E F U R S Z x d W 9 0 O 1 0 i I C 8 + P E V u d H J 5 I F R 5 c G U 9 I k J 1 Z m Z l c k 5 l e H R S Z W Z y Z X N o I i B W Y W x 1 Z T 0 i b D E i I C 8 + P E V u d H J 5 I F R 5 c G U 9 I k Z p b G x D b 2 x 1 b W 5 U e X B l c y I g V m F s d W U 9 I n N C Z 1 l H Q m d j S E J R V U Z C U V V G Q l F V R k J R V U Z C U W N I I i A v P j x F b n R y e S B U e X B l P S J G a W x s R W 5 h Y m x l Z C I g V m F s d W U 9 I m w x I i A v P j x F b n R y e S B U e X B l P S J G a W x s T G F z d F V w Z G F 0 Z W Q i I F Z h b H V l P S J k M j A y N S 0 w N y 0 x N V Q y M j o y N z o 1 N i 4 w M T M y N z I 4 W i I g L z 4 8 R W 5 0 c n k g V H l w Z T 0 i R m l s b E V y c m 9 y Q 2 9 1 b n Q i I F Z h b H V l P S J s M C I g L z 4 8 R W 5 0 c n k g V H l w Z T 0 i R m l s b E V y c m 9 y Q 2 9 k Z S I g V m F s d W U 9 I n N V b m t u b 3 d u I i A v P j x F b n R y e S B U e X B l P S J G a W x s Z W R D b 2 1 w b G V 0 Z V J l c 3 V s d F R v V 2 9 y a 3 N o Z W V 0 I i B W Y W x 1 Z T 0 i b D E i I C 8 + P E V u d H J 5 I F R 5 c G U 9 I k Z p b G x D b 3 V u d C I g V m F s d W U 9 I m w 2 M z E y I i A v P j x F b n R y e S B U e X B l P S J G a W x s V G F y Z 2 V 0 T m F t Z U N 1 c 3 R v b W l 6 Z W Q i I F Z h b H V l P S J s M S I g L z 4 8 R W 5 0 c n k g V H l w Z T 0 i R m l s b F R v R G F 0 Y U 1 v Z G V s R W 5 h Y m x l Z C I g V m F s d W U 9 I m w w I i A v P j x F b n R y e S B U e X B l P S J J c 1 B y a X Z h d G U i I F Z h b H V l P S J s M C I g L z 4 8 R W 5 0 c n k g V H l w Z T 0 i U X V l c n l J R C I g V m F s d W U 9 I n N i N m M 1 Y 2 Q 0 N S 0 y Z D k 2 L T Q w M z M t O G J h Y y 0 w Z j V i Z T V l M j l j Z D g i I C 8 + P E V u d H J 5 I F R 5 c G U 9 I k F k Z G V k V G 9 E Y X R h T W 9 k Z W w i I F Z h b H V l P S J s M C I g L z 4 8 R W 5 0 c n k g V H l w Z T 0 i U m V z d W x 0 V H l w Z S I g V m F s d W U 9 I n N U Y W J s Z S I g L z 4 8 R W 5 0 c n k g V H l w Z T 0 i T m F 2 a W d h d G l v b l N 0 Z X B O Y W 1 l I i B W Y W x 1 Z T 0 i c 0 5 h d m l n Y X R p b 2 4 i I C 8 + P E V u d H J 5 I F R 5 c G U 9 I k Z p b G x P Y m p l Y 3 R U e X B l I i B W Y W x 1 Z T 0 i c 1 R h Y m x l I i A v P j x F b n R y e S B U e X B l P S J O Y W 1 l V X B k Y X R l Z E F m d G V y R m l s b C I g V m F s d W U 9 I m w w I i A v P j x F b n R y e S B U e X B l P S J G a W x s V G F y Z 2 V 0 I i B W Y W x 1 Z T 0 i c 1 B P V E F C T E V f T k 9 O U E 9 U Q U J M R V 9 B U E k i I C 8 + P E V u d H J 5 I F R 5 c G U 9 I k Z p b G x T d G F 0 d X M i I F Z h b H V l P S J z Q 2 9 t c G x l d G U i I C 8 + P E V u d H J 5 I F R 5 c G U 9 I l J l b G F 0 a W 9 u c 2 h p c E l u Z m 9 D b 2 5 0 Y W l u Z X I i I F Z h b H V l P S J z e y Z x d W 9 0 O 2 N v b H V t b k N v d W 5 0 J n F 1 b 3 Q 7 O j I x L C Z x d W 9 0 O 2 t l e U N v b H V t b k 5 h b W V z J n F 1 b 3 Q 7 O l t d L C Z x d W 9 0 O 3 F 1 Z X J 5 U m V s Y X R p b 2 5 z a G l w c y Z x d W 9 0 O z p b X S w m c X V v d D t j b 2 x 1 b W 5 J Z G V u d G l 0 a W V z J n F 1 b 3 Q 7 O l s m c X V v d D t T Z W N 0 a W 9 u M S 9 k Y X R h c 3 R v c m V f c 2 V h c m N o P 3 J l c 2 9 1 c m N l X 2 l k P T h h M 2 M 1 M m I x L T h k M D E t N D Q 3 Y i 0 5 O W U x L T Q z O G Z l M z d i Z D g y Z F x 1 M D A y N m x p b W l 0 P T k 5 O T k 5 O T k 5 L 0 F 1 d G 9 S Z W 1 v d m V k Q 2 9 s d W 1 u c z E u e 0 9 S R 1 9 J R C w w f S Z x d W 9 0 O y w m c X V v d D t T Z W N 0 a W 9 u M S 9 k Y X R h c 3 R v c m V f c 2 V h c m N o P 3 J l c 2 9 1 c m N l X 2 l k P T h h M 2 M 1 M m I x L T h k M D E t N D Q 3 Y i 0 5 O W U x L T Q z O G Z l M z d i Z D g y Z F x 1 M D A y N m x p b W l 0 P T k 5 O T k 5 O T k 5 L 0 F 1 d G 9 S Z W 1 v d m V k Q 2 9 s d W 1 u c z E u e 1 N V U F B M S U V S X 0 5 B T U U s M X 0 m c X V v d D s s J n F 1 b 3 Q 7 U 2 V j d G l v b j E v Z G F 0 Y X N 0 b 3 J l X 3 N l Y X J j a D 9 y Z X N v d X J j Z V 9 p Z D 0 4 Y T N j N T J i M S 0 4 Z D A x L T Q 0 N 2 I t O T l l M S 0 0 M z h m Z T M 3 Y m Q 4 M m R c d T A w M j Z s a W 1 p d D 0 5 O T k 5 O T k 5 O S 9 B d X R v U m V t b 3 Z l Z E N v b H V t b n M x L n t Q V 1 N J R C w y f S Z x d W 9 0 O y w m c X V v d D t T Z W N 0 a W 9 u M S 9 k Y X R h c 3 R v c m V f c 2 V h c m N o P 3 J l c 2 9 1 c m N l X 2 l k P T h h M 2 M 1 M m I x L T h k M D E t N D Q 3 Y i 0 5 O W U x L T Q z O G Z l M z d i Z D g y Z F x 1 M D A y N m x p b W l 0 P T k 5 O T k 5 O T k 5 L 0 F 1 d G 9 S Z W 1 v d m V k Q 2 9 s d W 1 u c z E u e 1 B X U 1 9 O Q U 1 F L D N 9 J n F 1 b 3 Q 7 L C Z x d W 9 0 O 1 N l Y 3 R p b 2 4 x L 2 R h d G F z d G 9 y Z V 9 z Z W F y Y 2 g / c m V z b 3 V y Y 2 V f a W Q 9 O G E z Y z U y Y j E t O G Q w M S 0 0 N D d i L T k 5 Z T E t N D M 4 Z m U z N 2 J k O D J k X H U w M D I 2 b G l t a X Q 9 O T k 5 O T k 5 O T k v Q X V 0 b 1 J l b W 9 2 Z W R D b 2 x 1 b W 5 z M S 5 7 U k V Q T 1 J U S U 5 H X 1 B F U k l P R F 9 T V E F S V F 9 E Q V R F L D R 9 J n F 1 b 3 Q 7 L C Z x d W 9 0 O 1 N l Y 3 R p b 2 4 x L 2 R h d G F z d G 9 y Z V 9 z Z W F y Y 2 g / c m V z b 3 V y Y 2 V f a W Q 9 O G E z Y z U y Y j E t O G Q w M S 0 0 N D d i L T k 5 Z T E t N D M 4 Z m U z N 2 J k O D J k X H U w M D I 2 b G l t a X Q 9 O T k 5 O T k 5 O T k v Q X V 0 b 1 J l b W 9 2 Z W R D b 2 x 1 b W 5 z M S 5 7 U k V Q T 1 J U S U 5 H X 1 B F U k l P R F 9 F T k R f R E F U R S w 1 f S Z x d W 9 0 O y w m c X V v d D t T Z W N 0 a W 9 u M S 9 k Y X R h c 3 R v c m V f c 2 V h c m N o P 3 J l c 2 9 1 c m N l X 2 l k P T h h M 2 M 1 M m I x L T h k M D E t N D Q 3 Y i 0 5 O W U x L T Q z O G Z l M z d i Z D g y Z F x 1 M D A y N m x p b W l 0 P T k 5 O T k 5 O T k 5 L 0 F 1 d G 9 S Z W 1 v d m V k Q 2 9 s d W 1 u c z E u e 1 J F U 0 l E R U 5 U S U F M X 1 N J T k d M R U Z B T U l M W V 9 H Q U w s N n 0 m c X V v d D s s J n F 1 b 3 Q 7 U 2 V j d G l v b j E v Z G F 0 Y X N 0 b 3 J l X 3 N l Y X J j a D 9 y Z X N v d X J j Z V 9 p Z D 0 4 Y T N j N T J i M S 0 4 Z D A x L T Q 0 N 2 I t O T l l M S 0 0 M z h m Z T M 3 Y m Q 4 M m R c d T A w M j Z s a W 1 p d D 0 5 O T k 5 O T k 5 O S 9 B d X R v U m V t b 3 Z l Z E N v b H V t b n M x L n t S R V N J R E V O V E l B T F 9 N V U x U S U Z B T U l M W V 9 H Q U w s N 3 0 m c X V v d D s s J n F 1 b 3 Q 7 U 2 V j d G l v b j E v Z G F 0 Y X N 0 b 3 J l X 3 N l Y X J j a D 9 y Z X N v d X J j Z V 9 p Z D 0 4 Y T N j N T J i M S 0 4 Z D A x L T Q 0 N 2 I t O T l l M S 0 0 M z h m Z T M 3 Y m Q 4 M m R c d T A w M j Z s a W 1 p d D 0 5 O T k 5 O T k 5 O S 9 B d X R v U m V t b 3 Z l Z E N v b H V t b n M x L n t D T 0 1 N R V J D S U F M X 0 l O U 1 R J V F V U S U 9 O Q U x f R 0 F M L D h 9 J n F 1 b 3 Q 7 L C Z x d W 9 0 O 1 N l Y 3 R p b 2 4 x L 2 R h d G F z d G 9 y Z V 9 z Z W F y Y 2 g / c m V z b 3 V y Y 2 V f a W Q 9 O G E z Y z U y Y j E t O G Q w M S 0 0 N D d i L T k 5 Z T E t N D M 4 Z m U z N 2 J k O D J k X H U w M D I 2 b G l t a X Q 9 O T k 5 O T k 5 O T k v Q X V 0 b 1 J l b W 9 2 Z W R D b 2 x 1 b W 5 z M S 5 7 T k 9 O U k V T S U R F T l R J Q U x f T U V U R V J F R F 9 J U l J J R 0 F U S U 9 O X 0 d B T C w 5 f S Z x d W 9 0 O y w m c X V v d D t T Z W N 0 a W 9 u M S 9 k Y X R h c 3 R v c m V f c 2 V h c m N o P 3 J l c 2 9 1 c m N l X 2 l k P T h h M 2 M 1 M m I x L T h k M D E t N D Q 3 Y i 0 5 O W U x L T Q z O G Z l M z d i Z D g y Z F x 1 M D A y N m x p b W l 0 P T k 5 O T k 5 O T k 5 L 0 F 1 d G 9 S Z W 1 v d m V k Q 2 9 s d W 1 u c z E u e 0 l O R F V T V F J J Q U x f R 0 F M L D E w f S Z x d W 9 0 O y w m c X V v d D t T Z W N 0 a W 9 u M S 9 k Y X R h c 3 R v c m V f c 2 V h c m N o P 3 J l c 2 9 1 c m N l X 2 l k P T h h M 2 M 1 M m I x L T h k M D E t N D Q 3 Y i 0 5 O W U x L T Q z O G Z l M z d i Z D g y Z F x 1 M D A y N m x p b W l 0 P T k 5 O T k 5 O T k 5 L 0 F 1 d G 9 S Z W 1 v d m V k Q 2 9 s d W 1 u c z E u e 0 9 U S E V S X 0 d B T C w x M X 0 m c X V v d D s s J n F 1 b 3 Q 7 U 2 V j d G l v b j E v Z G F 0 Y X N 0 b 3 J l X 3 N l Y X J j a D 9 y Z X N v d X J j Z V 9 p Z D 0 4 Y T N j N T J i M S 0 4 Z D A x L T Q 0 N 2 I t O T l l M S 0 0 M z h m Z T M 3 Y m Q 4 M m R c d T A w M j Z s a W 1 p d D 0 5 O T k 5 O T k 5 O S 9 B d X R v U m V t b 3 Z l Z E N v b H V t b n M x L n t B R 1 J J Q 1 V M V F V S R V 9 H Q U w s M T J 9 J n F 1 b 3 Q 7 L C Z x d W 9 0 O 1 N l Y 3 R p b 2 4 x L 2 R h d G F z d G 9 y Z V 9 z Z W F y Y 2 g / c m V z b 3 V y Y 2 V f a W Q 9 O G E z Y z U y Y j E t O G Q w M S 0 0 N D d i L T k 5 Z T E t N D M 4 Z m U z N 2 J k O D J k X H U w M D I 2 b G l t a X Q 9 O T k 5 O T k 5 O T k v Q X V 0 b 1 J l b W 9 2 Z W R D b 2 x 1 b W 5 z M S 5 7 T k 9 O U E 9 U Q U J M R V 9 E R U 1 B T k R f U k V T S U R F T l R J Q U x f U k V D W U N M R U R f V 0 F U R V J f R 0 F M L D E z f S Z x d W 9 0 O y w m c X V v d D t T Z W N 0 a W 9 u M S 9 k Y X R h c 3 R v c m V f c 2 V h c m N o P 3 J l c 2 9 1 c m N l X 2 l k P T h h M 2 M 1 M m I x L T h k M D E t N D Q 3 Y i 0 5 O W U x L T Q z O G Z l M z d i Z D g y Z F x 1 M D A y N m x p b W l 0 P T k 5 O T k 5 O T k 5 L 0 F 1 d G 9 S Z W 1 v d m V k Q 2 9 s d W 1 u c z E u e 0 5 P T l B P V E F C T E V f R E V N Q U 5 E X 1 J F U 0 l E R U 5 U S U F M X 0 5 P T l B P V E F C T E V f V 0 F U R V J f R 0 F M L D E 0 f S Z x d W 9 0 O y w m c X V v d D t T Z W N 0 a W 9 u M S 9 k Y X R h c 3 R v c m V f c 2 V h c m N o P 3 J l c 2 9 1 c m N l X 2 l k P T h h M 2 M 1 M m I x L T h k M D E t N D Q 3 Y i 0 5 O W U x L T Q z O G Z l M z d i Z D g y Z F x 1 M D A y N m x p b W l 0 P T k 5 O T k 5 O T k 5 L 0 F 1 d G 9 S Z W 1 v d m V k Q 2 9 s d W 1 u c z E u e 0 5 P T l B P V E F C T E V f R E V N Q U 5 E X 1 J F U 0 l E R U 5 U S U F M X 0 1 F V E V S R U R f T E F O R F N D Q V B F X 0 l S U k l H Q V R J T 0 5 f R 0 F M L D E 1 f S Z x d W 9 0 O y w m c X V v d D t T Z W N 0 a W 9 u M S 9 k Y X R h c 3 R v c m V f c 2 V h c m N o P 3 J l c 2 9 1 c m N l X 2 l k P T h h M 2 M 1 M m I x L T h k M D E t N D Q 3 Y i 0 5 O W U x L T Q z O G Z l M z d i Z D g y Z F x 1 M D A y N m x p b W l 0 P T k 5 O T k 5 O T k 5 L 0 F 1 d G 9 S Z W 1 v d m V k Q 2 9 s d W 1 u c z E u e 0 5 P T l B P V E F C T E V f R E V N Q U 5 E X 0 5 P T l J F U 0 l E R U 5 U S U F M X 1 J F Q 1 l D T E V E X 1 d B V E V S X 0 d B T C w x N n 0 m c X V v d D s s J n F 1 b 3 Q 7 U 2 V j d G l v b j E v Z G F 0 Y X N 0 b 3 J l X 3 N l Y X J j a D 9 y Z X N v d X J j Z V 9 p Z D 0 4 Y T N j N T J i M S 0 4 Z D A x L T Q 0 N 2 I t O T l l M S 0 0 M z h m Z T M 3 Y m Q 4 M m R c d T A w M j Z s a W 1 p d D 0 5 O T k 5 O T k 5 O S 9 B d X R v U m V t b 3 Z l Z E N v b H V t b n M x L n t O T 0 5 Q T 1 R B Q k x F X 0 R F T U F O R F 9 O T 0 5 S R V N J R E V O V E l B T F 9 O T 0 5 Q T 1 R B Q k x F X 1 d B V E V S X 0 d B T C w x N 3 0 m c X V v d D s s J n F 1 b 3 Q 7 U 2 V j d G l v b j E v Z G F 0 Y X N 0 b 3 J l X 3 N l Y X J j a D 9 y Z X N v d X J j Z V 9 p Z D 0 4 Y T N j N T J i M S 0 4 Z D A x L T Q 0 N 2 I t O T l l M S 0 0 M z h m Z T M 3 Y m Q 4 M m R c d T A w M j Z s a W 1 p d D 0 5 O T k 5 O T k 5 O S 9 B d X R v U m V t b 3 Z l Z E N v b H V t b n M x L n t O T 0 5 Q T 1 R B Q k x F X 0 R F T U F O R F 9 O T 0 5 S R V N J R E V O V E l B T F 9 N R V R F U k V E X 0 l S U k l H Q V R J T 0 5 f R 0 F M L D E 4 f S Z x d W 9 0 O y w m c X V v d D t T Z W N 0 a W 9 u M S 9 k Y X R h c 3 R v c m V f c 2 V h c m N o P 3 J l c 2 9 1 c m N l X 2 l k P T h h M 2 M 1 M m I x L T h k M D E t N D Q 3 Y i 0 5 O W U x L T Q z O G Z l M z d i Z D g y Z F x 1 M D A y N m x p b W l 0 P T k 5 O T k 5 O T k 5 L 0 F 1 d G 9 S Z W 1 v d m V k Q 2 9 s d W 1 u c z E u e 0 Z Z X 1 N U Q V J U X 0 R B V E U s M T l 9 J n F 1 b 3 Q 7 L C Z x d W 9 0 O 1 N l Y 3 R p b 2 4 x L 2 R h d G F z d G 9 y Z V 9 z Z W F y Y 2 g / c m V z b 3 V y Y 2 V f a W Q 9 O G E z Y z U y Y j E t O G Q w M S 0 0 N D d i L T k 5 Z T E t N D M 4 Z m U z N 2 J k O D J k X H U w M D I 2 b G l t a X Q 9 O T k 5 O T k 5 O T k v Q X V 0 b 1 J l b W 9 2 Z W R D b 2 x 1 b W 5 z M S 5 7 R l l f R U 5 E X 0 R B V E U s M j B 9 J n F 1 b 3 Q 7 X S w m c X V v d D t D b 2 x 1 b W 5 D b 3 V u d C Z x d W 9 0 O z o y M S w m c X V v d D t L Z X l D b 2 x 1 b W 5 O Y W 1 l c y Z x d W 9 0 O z p b X S w m c X V v d D t D b 2 x 1 b W 5 J Z G V u d G l 0 a W V z J n F 1 b 3 Q 7 O l s m c X V v d D t T Z W N 0 a W 9 u M S 9 k Y X R h c 3 R v c m V f c 2 V h c m N o P 3 J l c 2 9 1 c m N l X 2 l k P T h h M 2 M 1 M m I x L T h k M D E t N D Q 3 Y i 0 5 O W U x L T Q z O G Z l M z d i Z D g y Z F x 1 M D A y N m x p b W l 0 P T k 5 O T k 5 O T k 5 L 0 F 1 d G 9 S Z W 1 v d m V k Q 2 9 s d W 1 u c z E u e 0 9 S R 1 9 J R C w w f S Z x d W 9 0 O y w m c X V v d D t T Z W N 0 a W 9 u M S 9 k Y X R h c 3 R v c m V f c 2 V h c m N o P 3 J l c 2 9 1 c m N l X 2 l k P T h h M 2 M 1 M m I x L T h k M D E t N D Q 3 Y i 0 5 O W U x L T Q z O G Z l M z d i Z D g y Z F x 1 M D A y N m x p b W l 0 P T k 5 O T k 5 O T k 5 L 0 F 1 d G 9 S Z W 1 v d m V k Q 2 9 s d W 1 u c z E u e 1 N V U F B M S U V S X 0 5 B T U U s M X 0 m c X V v d D s s J n F 1 b 3 Q 7 U 2 V j d G l v b j E v Z G F 0 Y X N 0 b 3 J l X 3 N l Y X J j a D 9 y Z X N v d X J j Z V 9 p Z D 0 4 Y T N j N T J i M S 0 4 Z D A x L T Q 0 N 2 I t O T l l M S 0 0 M z h m Z T M 3 Y m Q 4 M m R c d T A w M j Z s a W 1 p d D 0 5 O T k 5 O T k 5 O S 9 B d X R v U m V t b 3 Z l Z E N v b H V t b n M x L n t Q V 1 N J R C w y f S Z x d W 9 0 O y w m c X V v d D t T Z W N 0 a W 9 u M S 9 k Y X R h c 3 R v c m V f c 2 V h c m N o P 3 J l c 2 9 1 c m N l X 2 l k P T h h M 2 M 1 M m I x L T h k M D E t N D Q 3 Y i 0 5 O W U x L T Q z O G Z l M z d i Z D g y Z F x 1 M D A y N m x p b W l 0 P T k 5 O T k 5 O T k 5 L 0 F 1 d G 9 S Z W 1 v d m V k Q 2 9 s d W 1 u c z E u e 1 B X U 1 9 O Q U 1 F L D N 9 J n F 1 b 3 Q 7 L C Z x d W 9 0 O 1 N l Y 3 R p b 2 4 x L 2 R h d G F z d G 9 y Z V 9 z Z W F y Y 2 g / c m V z b 3 V y Y 2 V f a W Q 9 O G E z Y z U y Y j E t O G Q w M S 0 0 N D d i L T k 5 Z T E t N D M 4 Z m U z N 2 J k O D J k X H U w M D I 2 b G l t a X Q 9 O T k 5 O T k 5 O T k v Q X V 0 b 1 J l b W 9 2 Z W R D b 2 x 1 b W 5 z M S 5 7 U k V Q T 1 J U S U 5 H X 1 B F U k l P R F 9 T V E F S V F 9 E Q V R F L D R 9 J n F 1 b 3 Q 7 L C Z x d W 9 0 O 1 N l Y 3 R p b 2 4 x L 2 R h d G F z d G 9 y Z V 9 z Z W F y Y 2 g / c m V z b 3 V y Y 2 V f a W Q 9 O G E z Y z U y Y j E t O G Q w M S 0 0 N D d i L T k 5 Z T E t N D M 4 Z m U z N 2 J k O D J k X H U w M D I 2 b G l t a X Q 9 O T k 5 O T k 5 O T k v Q X V 0 b 1 J l b W 9 2 Z W R D b 2 x 1 b W 5 z M S 5 7 U k V Q T 1 J U S U 5 H X 1 B F U k l P R F 9 F T k R f R E F U R S w 1 f S Z x d W 9 0 O y w m c X V v d D t T Z W N 0 a W 9 u M S 9 k Y X R h c 3 R v c m V f c 2 V h c m N o P 3 J l c 2 9 1 c m N l X 2 l k P T h h M 2 M 1 M m I x L T h k M D E t N D Q 3 Y i 0 5 O W U x L T Q z O G Z l M z d i Z D g y Z F x 1 M D A y N m x p b W l 0 P T k 5 O T k 5 O T k 5 L 0 F 1 d G 9 S Z W 1 v d m V k Q 2 9 s d W 1 u c z E u e 1 J F U 0 l E R U 5 U S U F M X 1 N J T k d M R U Z B T U l M W V 9 H Q U w s N n 0 m c X V v d D s s J n F 1 b 3 Q 7 U 2 V j d G l v b j E v Z G F 0 Y X N 0 b 3 J l X 3 N l Y X J j a D 9 y Z X N v d X J j Z V 9 p Z D 0 4 Y T N j N T J i M S 0 4 Z D A x L T Q 0 N 2 I t O T l l M S 0 0 M z h m Z T M 3 Y m Q 4 M m R c d T A w M j Z s a W 1 p d D 0 5 O T k 5 O T k 5 O S 9 B d X R v U m V t b 3 Z l Z E N v b H V t b n M x L n t S R V N J R E V O V E l B T F 9 N V U x U S U Z B T U l M W V 9 H Q U w s N 3 0 m c X V v d D s s J n F 1 b 3 Q 7 U 2 V j d G l v b j E v Z G F 0 Y X N 0 b 3 J l X 3 N l Y X J j a D 9 y Z X N v d X J j Z V 9 p Z D 0 4 Y T N j N T J i M S 0 4 Z D A x L T Q 0 N 2 I t O T l l M S 0 0 M z h m Z T M 3 Y m Q 4 M m R c d T A w M j Z s a W 1 p d D 0 5 O T k 5 O T k 5 O S 9 B d X R v U m V t b 3 Z l Z E N v b H V t b n M x L n t D T 0 1 N R V J D S U F M X 0 l O U 1 R J V F V U S U 9 O Q U x f R 0 F M L D h 9 J n F 1 b 3 Q 7 L C Z x d W 9 0 O 1 N l Y 3 R p b 2 4 x L 2 R h d G F z d G 9 y Z V 9 z Z W F y Y 2 g / c m V z b 3 V y Y 2 V f a W Q 9 O G E z Y z U y Y j E t O G Q w M S 0 0 N D d i L T k 5 Z T E t N D M 4 Z m U z N 2 J k O D J k X H U w M D I 2 b G l t a X Q 9 O T k 5 O T k 5 O T k v Q X V 0 b 1 J l b W 9 2 Z W R D b 2 x 1 b W 5 z M S 5 7 T k 9 O U k V T S U R F T l R J Q U x f T U V U R V J F R F 9 J U l J J R 0 F U S U 9 O X 0 d B T C w 5 f S Z x d W 9 0 O y w m c X V v d D t T Z W N 0 a W 9 u M S 9 k Y X R h c 3 R v c m V f c 2 V h c m N o P 3 J l c 2 9 1 c m N l X 2 l k P T h h M 2 M 1 M m I x L T h k M D E t N D Q 3 Y i 0 5 O W U x L T Q z O G Z l M z d i Z D g y Z F x 1 M D A y N m x p b W l 0 P T k 5 O T k 5 O T k 5 L 0 F 1 d G 9 S Z W 1 v d m V k Q 2 9 s d W 1 u c z E u e 0 l O R F V T V F J J Q U x f R 0 F M L D E w f S Z x d W 9 0 O y w m c X V v d D t T Z W N 0 a W 9 u M S 9 k Y X R h c 3 R v c m V f c 2 V h c m N o P 3 J l c 2 9 1 c m N l X 2 l k P T h h M 2 M 1 M m I x L T h k M D E t N D Q 3 Y i 0 5 O W U x L T Q z O G Z l M z d i Z D g y Z F x 1 M D A y N m x p b W l 0 P T k 5 O T k 5 O T k 5 L 0 F 1 d G 9 S Z W 1 v d m V k Q 2 9 s d W 1 u c z E u e 0 9 U S E V S X 0 d B T C w x M X 0 m c X V v d D s s J n F 1 b 3 Q 7 U 2 V j d G l v b j E v Z G F 0 Y X N 0 b 3 J l X 3 N l Y X J j a D 9 y Z X N v d X J j Z V 9 p Z D 0 4 Y T N j N T J i M S 0 4 Z D A x L T Q 0 N 2 I t O T l l M S 0 0 M z h m Z T M 3 Y m Q 4 M m R c d T A w M j Z s a W 1 p d D 0 5 O T k 5 O T k 5 O S 9 B d X R v U m V t b 3 Z l Z E N v b H V t b n M x L n t B R 1 J J Q 1 V M V F V S R V 9 H Q U w s M T J 9 J n F 1 b 3 Q 7 L C Z x d W 9 0 O 1 N l Y 3 R p b 2 4 x L 2 R h d G F z d G 9 y Z V 9 z Z W F y Y 2 g / c m V z b 3 V y Y 2 V f a W Q 9 O G E z Y z U y Y j E t O G Q w M S 0 0 N D d i L T k 5 Z T E t N D M 4 Z m U z N 2 J k O D J k X H U w M D I 2 b G l t a X Q 9 O T k 5 O T k 5 O T k v Q X V 0 b 1 J l b W 9 2 Z W R D b 2 x 1 b W 5 z M S 5 7 T k 9 O U E 9 U Q U J M R V 9 E R U 1 B T k R f U k V T S U R F T l R J Q U x f U k V D W U N M R U R f V 0 F U R V J f R 0 F M L D E z f S Z x d W 9 0 O y w m c X V v d D t T Z W N 0 a W 9 u M S 9 k Y X R h c 3 R v c m V f c 2 V h c m N o P 3 J l c 2 9 1 c m N l X 2 l k P T h h M 2 M 1 M m I x L T h k M D E t N D Q 3 Y i 0 5 O W U x L T Q z O G Z l M z d i Z D g y Z F x 1 M D A y N m x p b W l 0 P T k 5 O T k 5 O T k 5 L 0 F 1 d G 9 S Z W 1 v d m V k Q 2 9 s d W 1 u c z E u e 0 5 P T l B P V E F C T E V f R E V N Q U 5 E X 1 J F U 0 l E R U 5 U S U F M X 0 5 P T l B P V E F C T E V f V 0 F U R V J f R 0 F M L D E 0 f S Z x d W 9 0 O y w m c X V v d D t T Z W N 0 a W 9 u M S 9 k Y X R h c 3 R v c m V f c 2 V h c m N o P 3 J l c 2 9 1 c m N l X 2 l k P T h h M 2 M 1 M m I x L T h k M D E t N D Q 3 Y i 0 5 O W U x L T Q z O G Z l M z d i Z D g y Z F x 1 M D A y N m x p b W l 0 P T k 5 O T k 5 O T k 5 L 0 F 1 d G 9 S Z W 1 v d m V k Q 2 9 s d W 1 u c z E u e 0 5 P T l B P V E F C T E V f R E V N Q U 5 E X 1 J F U 0 l E R U 5 U S U F M X 0 1 F V E V S R U R f T E F O R F N D Q V B F X 0 l S U k l H Q V R J T 0 5 f R 0 F M L D E 1 f S Z x d W 9 0 O y w m c X V v d D t T Z W N 0 a W 9 u M S 9 k Y X R h c 3 R v c m V f c 2 V h c m N o P 3 J l c 2 9 1 c m N l X 2 l k P T h h M 2 M 1 M m I x L T h k M D E t N D Q 3 Y i 0 5 O W U x L T Q z O G Z l M z d i Z D g y Z F x 1 M D A y N m x p b W l 0 P T k 5 O T k 5 O T k 5 L 0 F 1 d G 9 S Z W 1 v d m V k Q 2 9 s d W 1 u c z E u e 0 5 P T l B P V E F C T E V f R E V N Q U 5 E X 0 5 P T l J F U 0 l E R U 5 U S U F M X 1 J F Q 1 l D T E V E X 1 d B V E V S X 0 d B T C w x N n 0 m c X V v d D s s J n F 1 b 3 Q 7 U 2 V j d G l v b j E v Z G F 0 Y X N 0 b 3 J l X 3 N l Y X J j a D 9 y Z X N v d X J j Z V 9 p Z D 0 4 Y T N j N T J i M S 0 4 Z D A x L T Q 0 N 2 I t O T l l M S 0 0 M z h m Z T M 3 Y m Q 4 M m R c d T A w M j Z s a W 1 p d D 0 5 O T k 5 O T k 5 O S 9 B d X R v U m V t b 3 Z l Z E N v b H V t b n M x L n t O T 0 5 Q T 1 R B Q k x F X 0 R F T U F O R F 9 O T 0 5 S R V N J R E V O V E l B T F 9 O T 0 5 Q T 1 R B Q k x F X 1 d B V E V S X 0 d B T C w x N 3 0 m c X V v d D s s J n F 1 b 3 Q 7 U 2 V j d G l v b j E v Z G F 0 Y X N 0 b 3 J l X 3 N l Y X J j a D 9 y Z X N v d X J j Z V 9 p Z D 0 4 Y T N j N T J i M S 0 4 Z D A x L T Q 0 N 2 I t O T l l M S 0 0 M z h m Z T M 3 Y m Q 4 M m R c d T A w M j Z s a W 1 p d D 0 5 O T k 5 O T k 5 O S 9 B d X R v U m V t b 3 Z l Z E N v b H V t b n M x L n t O T 0 5 Q T 1 R B Q k x F X 0 R F T U F O R F 9 O T 0 5 S R V N J R E V O V E l B T F 9 N R V R F U k V E X 0 l S U k l H Q V R J T 0 5 f R 0 F M L D E 4 f S Z x d W 9 0 O y w m c X V v d D t T Z W N 0 a W 9 u M S 9 k Y X R h c 3 R v c m V f c 2 V h c m N o P 3 J l c 2 9 1 c m N l X 2 l k P T h h M 2 M 1 M m I x L T h k M D E t N D Q 3 Y i 0 5 O W U x L T Q z O G Z l M z d i Z D g y Z F x 1 M D A y N m x p b W l 0 P T k 5 O T k 5 O T k 5 L 0 F 1 d G 9 S Z W 1 v d m V k Q 2 9 s d W 1 u c z E u e 0 Z Z X 1 N U Q V J U X 0 R B V E U s M T l 9 J n F 1 b 3 Q 7 L C Z x d W 9 0 O 1 N l Y 3 R p b 2 4 x L 2 R h d G F z d G 9 y Z V 9 z Z W F y Y 2 g / c m V z b 3 V y Y 2 V f a W Q 9 O G E z Y z U y Y j E t O G Q w M S 0 0 N D d i L T k 5 Z T E t N D M 4 Z m U z N 2 J k O D J k X H U w M D I 2 b G l t a X Q 9 O T k 5 O T k 5 O T k v Q X V 0 b 1 J l b W 9 2 Z W R D b 2 x 1 b W 5 z M S 5 7 R l l f R U 5 E X 0 R B V E U s M j B 9 J n F 1 b 3 Q 7 X S w m c X V v d D t S Z W x h d G l v b n N o a X B J b m Z v J n F 1 b 3 Q 7 O l t d f S I g L z 4 8 L 1 N 0 Y W J s Z U V u d H J p Z X M + P C 9 J d G V t P j x J d G V t P j x J d G V t T G 9 j Y X R p b 2 4 + P E l 0 Z W 1 U e X B l P k Z v c m 1 1 b G E 8 L 0 l 0 Z W 1 U e X B l P j x J d G V t U G F 0 a D 5 T Z W N 0 a W 9 u M S 9 k Y X R h c 3 R v c m V f c 2 V h c m N o J T N G c m V z b 3 V y Y 2 V f a W Q l M 0 R m N j I 4 N W J j Y y 0 4 M W I w L T Q 3 O G E t O D d m N i 0 3 O D k 3 N z l j N z l k O T U l M j Z s a W 1 p d C U z R D k 5 O T k 5 O T w v S X R l b V B h d G g + P C 9 J d G V t T G 9 j Y X R p b 2 4 + P F N 0 Y W J s Z U V u d H J p Z X M + P E V u d H J 5 I F R 5 c G U 9 I k Z p b G x D b 3 V u d C I g V m F s d W U 9 I m w 0 M D k i I C 8 + P E V u d H J 5 I F R 5 c G U 9 I k J 1 Z m Z l c k 5 l e H R S Z W Z y Z X N o I i B W Y W x 1 Z T 0 i b D E i I C 8 + P E V u d H J 5 I F R 5 c G U 9 I k Z p b G x F c n J v c k N v Z G U i I F Z h b H V l P S J z V W 5 r b m 9 3 b i I g L z 4 8 R W 5 0 c n k g V H l w Z T 0 i R m l s b E V u Y W J s Z W Q i I F Z h b H V l P S J s M S I g L z 4 8 R W 5 0 c n k g V H l w Z T 0 i R m l s b E V y c m 9 y Q 2 9 1 b n Q i I F Z h b H V l P S J s M C I g L z 4 8 R W 5 0 c n k g V H l w Z T 0 i R m l s b E x h c 3 R V c G R h d G V k I i B W Y W x 1 Z T 0 i Z D I w M j U t M D c t M T V U M j I 6 M j c 6 N T E u O T Q 4 M D c w N V o i I C 8 + P E V u d H J 5 I F R 5 c G U 9 I k Z p b G x l Z E N v b X B s Z X R l U m V z d W x 0 V G 9 X b 3 J r c 2 h l Z X Q i I F Z h b H V l P S J s M S I g L z 4 8 R W 5 0 c n k g V H l w Z T 0 i R m l s b E N v b H V t b l R 5 c G V z I i B W Y W x 1 Z T 0 i c 0 F 3 W U d C Z 1 V G Q l F V R k J 3 Y z 0 i I C 8 + P E V u d H J 5 I F R 5 c G U 9 I k Z p b G x U Y X J n Z X R O Y W 1 l Q 3 V z d G 9 t a X p l Z C I g V m F s d W U 9 I m w x I i A v P j x F b n R y e S B U e X B l P S J G a W x s V G 9 E Y X R h T W 9 k Z W x F b m F i b G V k I i B W Y W x 1 Z T 0 i b D A i I C 8 + P E V u d H J 5 I F R 5 c G U 9 I k l z U H J p d m F 0 Z S I g V m F s d W U 9 I m w w I i A v P j x F b n R y e S B U e X B l P S J R d W V y e U l E I i B W Y W x 1 Z T 0 i c z d k Y j c 1 Z m F m L T k y N 2 I t N D l h M y 0 4 Y T M 0 L T U 1 M 2 I 5 Y z A 0 N D E 1 Y i I g L z 4 8 R W 5 0 c n k g V H l w Z T 0 i R m l s b E N v b H V t b k 5 h b W V z I i B W Y W x 1 Z T 0 i c 1 s m c X V v d D t T d X B w b G l l c l 9 O d W 1 i Z X I m c X V v d D s s J n F 1 b 3 Q 7 U 3 V w c G x p Z X J f S U Q m c X V v d D s s J n F 1 b 3 Q 7 R F d S X 0 l E J n F 1 b 3 Q 7 L C Z x d W 9 0 O 1 N 1 c H B s a W V y X 0 5 h b W U m c X V v d D s s J n F 1 b 3 Q 7 U 2 V h c 2 9 u Y W x f R X R v X 2 l u Y 2 h l c y Z x d W 9 0 O y w m c X V v d D t T Z W F z b 2 5 h b F 9 Q Z W Z m X 2 l u Y 2 h l c y Z x d W 9 0 O y w m c X V v d D t T Z W F z b 2 5 h b F 9 L Y y Z x d W 9 0 O y w m c X V v d D t T Z W F z b 2 5 h b F 9 J R S Z x d W 9 0 O y w m c X V v d D t T Z W F z b 2 5 h b F 9 F V E Y m c X V v d D s s J n F 1 b 3 Q 7 R l l f U 1 R B U l R f R E F U R S Z x d W 9 0 O y w m c X V v d D t G W V 9 F T k R f R E F U R S Z x d W 9 0 O 1 0 i I C 8 + P E V u d H J 5 I F R 5 c G U 9 I l J l c 3 V s d F R 5 c G U i I F Z h b H V l P S J z V G F i b G U i I C 8 + P E V u d H J 5 I F R 5 c G U 9 I k 5 h d m l n Y X R p b 2 5 T d G V w T m F t Z S I g V m F s d W U 9 I n N O Y X Z p Z 2 F 0 a W 9 u I i A v P j x F b n R y e S B U e X B l P S J G a W x s T 2 J q Z W N 0 V H l w Z S I g V m F s d W U 9 I n N U Y W J s Z S I g L z 4 8 R W 5 0 c n k g V H l w Z T 0 i T m F t Z V V w Z G F 0 Z W R B Z n R l c k Z p b G w i I F Z h b H V l P S J s M C I g L z 4 8 R W 5 0 c n k g V H l w Z T 0 i R m l s b F R h c m d l d C I g V m F s d W U 9 I n N T R U F T T 0 5 B T F 9 B U E k i I C 8 + P E V u d H J 5 I F R 5 c G U 9 I k F k Z G V k V G 9 E Y X R h T W 9 k Z W w i I F Z h b H V l P S J s M C 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1 N l Y 3 R p b 2 4 x L 2 R h d G F z d G 9 y Z V 9 z Z W F y Y 2 g / c m V z b 3 V y Y 2 V f a W Q 9 Z j Y y O D V i Y 2 M t O D F i M C 0 0 N z h h L T g 3 Z j Y t N z g 5 N z c 5 Y z c 5 Z D k 1 X H U w M D I 2 b G l t a X Q 9 O T k 5 O T k 5 L 0 F 1 d G 9 S Z W 1 v d m V k Q 2 9 s d W 1 u c z E u e 1 N 1 c H B s a W V y X 0 5 1 b W J l c i w w f S Z x d W 9 0 O y w m c X V v d D t T Z W N 0 a W 9 u M S 9 k Y X R h c 3 R v c m V f c 2 V h c m N o P 3 J l c 2 9 1 c m N l X 2 l k P W Y 2 M j g 1 Y m N j L T g x Y j A t N D c 4 Y S 0 4 N 2 Y 2 L T c 4 O T c 3 O W M 3 O W Q 5 N V x 1 M D A y N m x p b W l 0 P T k 5 O T k 5 O S 9 B d X R v U m V t b 3 Z l Z E N v b H V t b n M x L n t T d X B w b G l l c l 9 J R C w x f S Z x d W 9 0 O y w m c X V v d D t T Z W N 0 a W 9 u M S 9 k Y X R h c 3 R v c m V f c 2 V h c m N o P 3 J l c 2 9 1 c m N l X 2 l k P W Y 2 M j g 1 Y m N j L T g x Y j A t N D c 4 Y S 0 4 N 2 Y 2 L T c 4 O T c 3 O W M 3 O W Q 5 N V x 1 M D A y N m x p b W l 0 P T k 5 O T k 5 O S 9 B d X R v U m V t b 3 Z l Z E N v b H V t b n M x L n t E V 1 J f S U Q s M n 0 m c X V v d D s s J n F 1 b 3 Q 7 U 2 V j d G l v b j E v Z G F 0 Y X N 0 b 3 J l X 3 N l Y X J j a D 9 y Z X N v d X J j Z V 9 p Z D 1 m N j I 4 N W J j Y y 0 4 M W I w L T Q 3 O G E t O D d m N i 0 3 O D k 3 N z l j N z l k O T V c d T A w M j Z s a W 1 p d D 0 5 O T k 5 O T k v Q X V 0 b 1 J l b W 9 2 Z W R D b 2 x 1 b W 5 z M S 5 7 U 3 V w c G x p Z X J f T m F t Z S w z f S Z x d W 9 0 O y w m c X V v d D t T Z W N 0 a W 9 u M S 9 k Y X R h c 3 R v c m V f c 2 V h c m N o P 3 J l c 2 9 1 c m N l X 2 l k P W Y 2 M j g 1 Y m N j L T g x Y j A t N D c 4 Y S 0 4 N 2 Y 2 L T c 4 O T c 3 O W M 3 O W Q 5 N V x 1 M D A y N m x p b W l 0 P T k 5 O T k 5 O S 9 B d X R v U m V t b 3 Z l Z E N v b H V t b n M x L n t T Z W F z b 2 5 h b F 9 F d G 9 f a W 5 j a G V z L D R 9 J n F 1 b 3 Q 7 L C Z x d W 9 0 O 1 N l Y 3 R p b 2 4 x L 2 R h d G F z d G 9 y Z V 9 z Z W F y Y 2 g / c m V z b 3 V y Y 2 V f a W Q 9 Z j Y y O D V i Y 2 M t O D F i M C 0 0 N z h h L T g 3 Z j Y t N z g 5 N z c 5 Y z c 5 Z D k 1 X H U w M D I 2 b G l t a X Q 9 O T k 5 O T k 5 L 0 F 1 d G 9 S Z W 1 v d m V k Q 2 9 s d W 1 u c z E u e 1 N l Y X N v b m F s X 1 B l Z m Z f a W 5 j a G V z L D V 9 J n F 1 b 3 Q 7 L C Z x d W 9 0 O 1 N l Y 3 R p b 2 4 x L 2 R h d G F z d G 9 y Z V 9 z Z W F y Y 2 g / c m V z b 3 V y Y 2 V f a W Q 9 Z j Y y O D V i Y 2 M t O D F i M C 0 0 N z h h L T g 3 Z j Y t N z g 5 N z c 5 Y z c 5 Z D k 1 X H U w M D I 2 b G l t a X Q 9 O T k 5 O T k 5 L 0 F 1 d G 9 S Z W 1 v d m V k Q 2 9 s d W 1 u c z E u e 1 N l Y X N v b m F s X 0 t j L D Z 9 J n F 1 b 3 Q 7 L C Z x d W 9 0 O 1 N l Y 3 R p b 2 4 x L 2 R h d G F z d G 9 y Z V 9 z Z W F y Y 2 g / c m V z b 3 V y Y 2 V f a W Q 9 Z j Y y O D V i Y 2 M t O D F i M C 0 0 N z h h L T g 3 Z j Y t N z g 5 N z c 5 Y z c 5 Z D k 1 X H U w M D I 2 b G l t a X Q 9 O T k 5 O T k 5 L 0 F 1 d G 9 S Z W 1 v d m V k Q 2 9 s d W 1 u c z E u e 1 N l Y X N v b m F s X 0 l F L D d 9 J n F 1 b 3 Q 7 L C Z x d W 9 0 O 1 N l Y 3 R p b 2 4 x L 2 R h d G F z d G 9 y Z V 9 z Z W F y Y 2 g / c m V z b 3 V y Y 2 V f a W Q 9 Z j Y y O D V i Y 2 M t O D F i M C 0 0 N z h h L T g 3 Z j Y t N z g 5 N z c 5 Y z c 5 Z D k 1 X H U w M D I 2 b G l t a X Q 9 O T k 5 O T k 5 L 0 F 1 d G 9 S Z W 1 v d m V k Q 2 9 s d W 1 u c z E u e 1 N l Y X N v b m F s X 0 V U R i w 4 f S Z x d W 9 0 O y w m c X V v d D t T Z W N 0 a W 9 u M S 9 k Y X R h c 3 R v c m V f c 2 V h c m N o P 3 J l c 2 9 1 c m N l X 2 l k P W Y 2 M j g 1 Y m N j L T g x Y j A t N D c 4 Y S 0 4 N 2 Y 2 L T c 4 O T c 3 O W M 3 O W Q 5 N V x 1 M D A y N m x p b W l 0 P T k 5 O T k 5 O S 9 B d X R v U m V t b 3 Z l Z E N v b H V t b n M x L n t G W V 9 T V E F S V F 9 E Q V R F L D l 9 J n F 1 b 3 Q 7 L C Z x d W 9 0 O 1 N l Y 3 R p b 2 4 x L 2 R h d G F z d G 9 y Z V 9 z Z W F y Y 2 g / c m V z b 3 V y Y 2 V f a W Q 9 Z j Y y O D V i Y 2 M t O D F i M C 0 0 N z h h L T g 3 Z j Y t N z g 5 N z c 5 Y z c 5 Z D k 1 X H U w M D I 2 b G l t a X Q 9 O T k 5 O T k 5 L 0 F 1 d G 9 S Z W 1 v d m V k Q 2 9 s d W 1 u c z E u e 0 Z Z X 0 V O R F 9 E Q V R F L D E w f S Z x d W 9 0 O 1 0 s J n F 1 b 3 Q 7 Q 2 9 s d W 1 u Q 2 9 1 b n Q m c X V v d D s 6 M T E s J n F 1 b 3 Q 7 S 2 V 5 Q 2 9 s d W 1 u T m F t Z X M m c X V v d D s 6 W 1 0 s J n F 1 b 3 Q 7 Q 2 9 s d W 1 u S W R l b n R p d G l l c y Z x d W 9 0 O z p b J n F 1 b 3 Q 7 U 2 V j d G l v b j E v Z G F 0 Y X N 0 b 3 J l X 3 N l Y X J j a D 9 y Z X N v d X J j Z V 9 p Z D 1 m N j I 4 N W J j Y y 0 4 M W I w L T Q 3 O G E t O D d m N i 0 3 O D k 3 N z l j N z l k O T V c d T A w M j Z s a W 1 p d D 0 5 O T k 5 O T k v Q X V 0 b 1 J l b W 9 2 Z W R D b 2 x 1 b W 5 z M S 5 7 U 3 V w c G x p Z X J f T n V t Y m V y L D B 9 J n F 1 b 3 Q 7 L C Z x d W 9 0 O 1 N l Y 3 R p b 2 4 x L 2 R h d G F z d G 9 y Z V 9 z Z W F y Y 2 g / c m V z b 3 V y Y 2 V f a W Q 9 Z j Y y O D V i Y 2 M t O D F i M C 0 0 N z h h L T g 3 Z j Y t N z g 5 N z c 5 Y z c 5 Z D k 1 X H U w M D I 2 b G l t a X Q 9 O T k 5 O T k 5 L 0 F 1 d G 9 S Z W 1 v d m V k Q 2 9 s d W 1 u c z E u e 1 N 1 c H B s a W V y X 0 l E L D F 9 J n F 1 b 3 Q 7 L C Z x d W 9 0 O 1 N l Y 3 R p b 2 4 x L 2 R h d G F z d G 9 y Z V 9 z Z W F y Y 2 g / c m V z b 3 V y Y 2 V f a W Q 9 Z j Y y O D V i Y 2 M t O D F i M C 0 0 N z h h L T g 3 Z j Y t N z g 5 N z c 5 Y z c 5 Z D k 1 X H U w M D I 2 b G l t a X Q 9 O T k 5 O T k 5 L 0 F 1 d G 9 S Z W 1 v d m V k Q 2 9 s d W 1 u c z E u e 0 R X U l 9 J R C w y f S Z x d W 9 0 O y w m c X V v d D t T Z W N 0 a W 9 u M S 9 k Y X R h c 3 R v c m V f c 2 V h c m N o P 3 J l c 2 9 1 c m N l X 2 l k P W Y 2 M j g 1 Y m N j L T g x Y j A t N D c 4 Y S 0 4 N 2 Y 2 L T c 4 O T c 3 O W M 3 O W Q 5 N V x 1 M D A y N m x p b W l 0 P T k 5 O T k 5 O S 9 B d X R v U m V t b 3 Z l Z E N v b H V t b n M x L n t T d X B w b G l l c l 9 O Y W 1 l L D N 9 J n F 1 b 3 Q 7 L C Z x d W 9 0 O 1 N l Y 3 R p b 2 4 x L 2 R h d G F z d G 9 y Z V 9 z Z W F y Y 2 g / c m V z b 3 V y Y 2 V f a W Q 9 Z j Y y O D V i Y 2 M t O D F i M C 0 0 N z h h L T g 3 Z j Y t N z g 5 N z c 5 Y z c 5 Z D k 1 X H U w M D I 2 b G l t a X Q 9 O T k 5 O T k 5 L 0 F 1 d G 9 S Z W 1 v d m V k Q 2 9 s d W 1 u c z E u e 1 N l Y X N v b m F s X 0 V 0 b 1 9 p b m N o Z X M s N H 0 m c X V v d D s s J n F 1 b 3 Q 7 U 2 V j d G l v b j E v Z G F 0 Y X N 0 b 3 J l X 3 N l Y X J j a D 9 y Z X N v d X J j Z V 9 p Z D 1 m N j I 4 N W J j Y y 0 4 M W I w L T Q 3 O G E t O D d m N i 0 3 O D k 3 N z l j N z l k O T V c d T A w M j Z s a W 1 p d D 0 5 O T k 5 O T k v Q X V 0 b 1 J l b W 9 2 Z W R D b 2 x 1 b W 5 z M S 5 7 U 2 V h c 2 9 u Y W x f U G V m Z l 9 p b m N o Z X M s N X 0 m c X V v d D s s J n F 1 b 3 Q 7 U 2 V j d G l v b j E v Z G F 0 Y X N 0 b 3 J l X 3 N l Y X J j a D 9 y Z X N v d X J j Z V 9 p Z D 1 m N j I 4 N W J j Y y 0 4 M W I w L T Q 3 O G E t O D d m N i 0 3 O D k 3 N z l j N z l k O T V c d T A w M j Z s a W 1 p d D 0 5 O T k 5 O T k v Q X V 0 b 1 J l b W 9 2 Z W R D b 2 x 1 b W 5 z M S 5 7 U 2 V h c 2 9 u Y W x f S 2 M s N n 0 m c X V v d D s s J n F 1 b 3 Q 7 U 2 V j d G l v b j E v Z G F 0 Y X N 0 b 3 J l X 3 N l Y X J j a D 9 y Z X N v d X J j Z V 9 p Z D 1 m N j I 4 N W J j Y y 0 4 M W I w L T Q 3 O G E t O D d m N i 0 3 O D k 3 N z l j N z l k O T V c d T A w M j Z s a W 1 p d D 0 5 O T k 5 O T k v Q X V 0 b 1 J l b W 9 2 Z W R D b 2 x 1 b W 5 z M S 5 7 U 2 V h c 2 9 u Y W x f S U U s N 3 0 m c X V v d D s s J n F 1 b 3 Q 7 U 2 V j d G l v b j E v Z G F 0 Y X N 0 b 3 J l X 3 N l Y X J j a D 9 y Z X N v d X J j Z V 9 p Z D 1 m N j I 4 N W J j Y y 0 4 M W I w L T Q 3 O G E t O D d m N i 0 3 O D k 3 N z l j N z l k O T V c d T A w M j Z s a W 1 p d D 0 5 O T k 5 O T k v Q X V 0 b 1 J l b W 9 2 Z W R D b 2 x 1 b W 5 z M S 5 7 U 2 V h c 2 9 u Y W x f R V R G L D h 9 J n F 1 b 3 Q 7 L C Z x d W 9 0 O 1 N l Y 3 R p b 2 4 x L 2 R h d G F z d G 9 y Z V 9 z Z W F y Y 2 g / c m V z b 3 V y Y 2 V f a W Q 9 Z j Y y O D V i Y 2 M t O D F i M C 0 0 N z h h L T g 3 Z j Y t N z g 5 N z c 5 Y z c 5 Z D k 1 X H U w M D I 2 b G l t a X Q 9 O T k 5 O T k 5 L 0 F 1 d G 9 S Z W 1 v d m V k Q 2 9 s d W 1 u c z E u e 0 Z Z X 1 N U Q V J U X 0 R B V E U s O X 0 m c X V v d D s s J n F 1 b 3 Q 7 U 2 V j d G l v b j E v Z G F 0 Y X N 0 b 3 J l X 3 N l Y X J j a D 9 y Z X N v d X J j Z V 9 p Z D 1 m N j I 4 N W J j Y y 0 4 M W I w L T Q 3 O G E t O D d m N i 0 3 O D k 3 N z l j N z l k O T V c d T A w M j Z s a W 1 p d D 0 5 O T k 5 O T k v Q X V 0 b 1 J l b W 9 2 Z W R D b 2 x 1 b W 5 z M S 5 7 R l l f R U 5 E X 0 R B V E U s M T B 9 J n F 1 b 3 Q 7 X S w m c X V v d D t S Z W x h d G l v b n N o a X B J b m Z v J n F 1 b 3 Q 7 O l t d f S I g L z 4 8 L 1 N 0 Y W J s Z U V u d H J p Z X M + P C 9 J d G V t P j x J d G V t P j x J d G V t T G 9 j Y X R p b 2 4 + P E l 0 Z W 1 U e X B l P k Z v c m 1 1 b G E 8 L 0 l 0 Z W 1 U e X B l P j x J d G V t U G F 0 a D 5 T Z W N 0 a W 9 u M S 9 k Y X R h c 3 R v c m V f c 2 V h c m N o J T N G c m V z b 3 V y Y 2 V f a W Q l M 0 R m M m Y 1 M z Y 4 M S 0 w Y m M 1 L T Q 0 N T E t O W Y w Y y 0 3 Z j I 5 Z D h i M z k x M D c l M j Z s a W 1 p d C U z R D k 5 O T k 5 O T w v S X R l b V B h d G g + P C 9 J d G V t T G 9 j Y X R p b 2 4 + P F N 0 Y W J s Z U V u d H J p Z X M + P E V u d H J 5 I F R 5 c G U 9 I k Z p b G x D b 2 x 1 b W 5 O Y W 1 l c y I g V m F s d W U 9 I n N b J n F 1 b 3 Q 7 R F d S X 0 l E J n F 1 b 3 Q 7 L C Z x d W 9 0 O 1 N 1 c H B s a W V y X 0 5 h b W U m c X V v d D s s J n F 1 b 3 Q 7 R X R v X 2 l u Y 2 h l c y Z x d W 9 0 O y w m c X V v d D t U b 3 R h b F 9 Q c m V j a X B p d G F 0 a W 9 u X 2 l u Y 2 h l c y Z x d W 9 0 O y w m c X V v d D t F Z m Z l Y 3 R p d m V f U H J l Y 2 l w a X R h d G l v b l 9 p b m N o Z X M m c X V v d D s s J n F 1 b 3 Q 7 Q W x 0 Z X J u Y X R p d m V f R G F 0 Y V 9 Q c m 9 2 a W R l Z C Z x d W 9 0 O y w m c X V v d D t B b H R l c m 5 h d G l 2 Z V 9 E Y X R h X 0 F w c H J v d m F s X 1 N 0 Y X R 1 c y Z x d W 9 0 O y w m c X V v d D t F d G 9 f a W 5 j a G V z X 0 F s d G V y b m F 0 a X Z l J n F 1 b 3 Q 7 L C Z x d W 9 0 O 0 V m Z m V j d G l 2 Z V 9 Q c m V j a X B p d G F 0 a W 9 u X 2 l u Y 2 h l c 1 9 B b H R l c m 5 h d G l 2 Z S Z x d W 9 0 O y w m c X V v d D t G W V 9 T V E F S V F 9 E Q V R F J n F 1 b 3 Q 7 L C Z x d W 9 0 O 0 Z Z X 0 V O R F 9 E Q V R F J n F 1 b 3 Q 7 X S I g L z 4 8 R W 5 0 c n k g V H l w Z T 0 i Q n V m Z m V y T m V 4 d F J l Z n J l c 2 g i I F Z h b H V l P S J s M S I g L z 4 8 R W 5 0 c n k g V H l w Z T 0 i R m l s b E N v b H V t b l R 5 c G V z I i B W Y W x 1 Z T 0 i c 0 J n W U Z C U V V H Q m d V R k J 3 Y z 0 i I C 8 + P E V u d H J 5 I F R 5 c G U 9 I k Z p b G x F b m F i b G V k I i B W Y W x 1 Z T 0 i b D E i I C 8 + P E V u d H J 5 I F R 5 c G U 9 I k Z p b G x M Y X N 0 V X B k Y X R l Z C I g V m F s d W U 9 I m Q y M D I 1 L T A 3 L T E 1 V D I y O j I 3 O j U x L j k x N D k w N T R a I i A v P j x F b n R y e S B U e X B l P S J G a W x s R X J y b 3 J D b 3 V u d C I g V m F s d W U 9 I m w w I i A v P j x F b n R y e S B U e X B l P S J G a W x s R X J y b 3 J D b 2 R l I i B W Y W x 1 Z T 0 i c 1 V u a 2 5 v d 2 4 i I C 8 + P E V u d H J 5 I F R 5 c G U 9 I k Z p b G x l Z E N v b X B s Z X R l U m V z d W x 0 V G 9 X b 3 J r c 2 h l Z X Q i I F Z h b H V l P S J s M S I g L z 4 8 R W 5 0 c n k g V H l w Z T 0 i R m l s b E N v d W 5 0 I i B W Y W x 1 Z T 0 i b D Q w O S I g L z 4 8 R W 5 0 c n k g V H l w Z T 0 i R m l s b F R h c m d l d E 5 h b W V D d X N 0 b 2 1 p e m V k I i B W Y W x 1 Z T 0 i b D E i I C 8 + P E V u d H J 5 I F R 5 c G U 9 I k Z p b G x U b 0 R h d G F N b 2 R l b E V u Y W J s Z W Q i I F Z h b H V l P S J s M C I g L z 4 8 R W 5 0 c n k g V H l w Z T 0 i S X N Q c m l 2 Y X R l I i B W Y W x 1 Z T 0 i b D A i I C 8 + P E V u d H J 5 I F R 5 c G U 9 I l F 1 Z X J 5 S U Q i I F Z h b H V l P S J z Y j k w N j B k Y j U t Z D J m O C 0 0 M D h h L T l j N W Y t M j U z M m Y x M T h h M 2 Y 3 I i A v P j x F b n R y e S B U e X B l P S J B Z G R l Z F R v R G F 0 Y U 1 v Z G V s I i B W Y W x 1 Z T 0 i b D A i I C 8 + P E V u d H J 5 I F R 5 c G U 9 I l J l c 3 V s d F R 5 c G U i I F Z h b H V l P S J z V G F i b G U i I C 8 + P E V u d H J 5 I F R 5 c G U 9 I k 5 h d m l n Y X R p b 2 5 T d G V w T m F t Z S I g V m F s d W U 9 I n N O Y X Z p Z 2 F 0 a W 9 u I i A v P j x F b n R y e S B U e X B l P S J G a W x s T 2 J q Z W N 0 V H l w Z S I g V m F s d W U 9 I n N U Y W J s Z S I g L z 4 8 R W 5 0 c n k g V H l w Z T 0 i T m F t Z V V w Z G F 0 Z W R B Z n R l c k Z p b G w i I F Z h b H V l P S J s M C I g L z 4 8 R W 5 0 c n k g V H l w Z T 0 i R m l s b F R h c m d l d C I g V m F s d W U 9 I n N D T E l N Q V R F X 0 F Q S 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1 N l Y 3 R p b 2 4 x L 2 R h d G F z d G 9 y Z V 9 z Z W F y Y 2 g / c m V z b 3 V y Y 2 V f a W Q 9 Z j J m N T M 2 O D E t M G J j N S 0 0 N D U x L T l m M G M t N 2 Y y O W Q 4 Y j M 5 M T A 3 X H U w M D I 2 b G l t a X Q 9 O T k 5 O T k 5 L 0 F 1 d G 9 S Z W 1 v d m V k Q 2 9 s d W 1 u c z E u e 0 R X U l 9 J R C w w f S Z x d W 9 0 O y w m c X V v d D t T Z W N 0 a W 9 u M S 9 k Y X R h c 3 R v c m V f c 2 V h c m N o P 3 J l c 2 9 1 c m N l X 2 l k P W Y y Z j U z N j g x L T B i Y z U t N D Q 1 M S 0 5 Z j B j L T d m M j l k O G I z O T E w N 1 x 1 M D A y N m x p b W l 0 P T k 5 O T k 5 O S 9 B d X R v U m V t b 3 Z l Z E N v b H V t b n M x L n t T d X B w b G l l c l 9 O Y W 1 l L D F 9 J n F 1 b 3 Q 7 L C Z x d W 9 0 O 1 N l Y 3 R p b 2 4 x L 2 R h d G F z d G 9 y Z V 9 z Z W F y Y 2 g / c m V z b 3 V y Y 2 V f a W Q 9 Z j J m N T M 2 O D E t M G J j N S 0 0 N D U x L T l m M G M t N 2 Y y O W Q 4 Y j M 5 M T A 3 X H U w M D I 2 b G l t a X Q 9 O T k 5 O T k 5 L 0 F 1 d G 9 S Z W 1 v d m V k Q 2 9 s d W 1 u c z E u e 0 V 0 b 1 9 p b m N o Z X M s M n 0 m c X V v d D s s J n F 1 b 3 Q 7 U 2 V j d G l v b j E v Z G F 0 Y X N 0 b 3 J l X 3 N l Y X J j a D 9 y Z X N v d X J j Z V 9 p Z D 1 m M m Y 1 M z Y 4 M S 0 w Y m M 1 L T Q 0 N T E t O W Y w Y y 0 3 Z j I 5 Z D h i M z k x M D d c d T A w M j Z s a W 1 p d D 0 5 O T k 5 O T k v Q X V 0 b 1 J l b W 9 2 Z W R D b 2 x 1 b W 5 z M S 5 7 V G 9 0 Y W x f U H J l Y 2 l w a X R h d G l v b l 9 p b m N o Z X M s M 3 0 m c X V v d D s s J n F 1 b 3 Q 7 U 2 V j d G l v b j E v Z G F 0 Y X N 0 b 3 J l X 3 N l Y X J j a D 9 y Z X N v d X J j Z V 9 p Z D 1 m M m Y 1 M z Y 4 M S 0 w Y m M 1 L T Q 0 N T E t O W Y w Y y 0 3 Z j I 5 Z D h i M z k x M D d c d T A w M j Z s a W 1 p d D 0 5 O T k 5 O T k v Q X V 0 b 1 J l b W 9 2 Z W R D b 2 x 1 b W 5 z M S 5 7 R W Z m Z W N 0 a X Z l X 1 B y Z W N p c G l 0 Y X R p b 2 5 f a W 5 j a G V z L D R 9 J n F 1 b 3 Q 7 L C Z x d W 9 0 O 1 N l Y 3 R p b 2 4 x L 2 R h d G F z d G 9 y Z V 9 z Z W F y Y 2 g / c m V z b 3 V y Y 2 V f a W Q 9 Z j J m N T M 2 O D E t M G J j N S 0 0 N D U x L T l m M G M t N 2 Y y O W Q 4 Y j M 5 M T A 3 X H U w M D I 2 b G l t a X Q 9 O T k 5 O T k 5 L 0 F 1 d G 9 S Z W 1 v d m V k Q 2 9 s d W 1 u c z E u e 0 F s d G V y b m F 0 a X Z l X 0 R h d G F f U H J v d m l k Z W Q s N X 0 m c X V v d D s s J n F 1 b 3 Q 7 U 2 V j d G l v b j E v Z G F 0 Y X N 0 b 3 J l X 3 N l Y X J j a D 9 y Z X N v d X J j Z V 9 p Z D 1 m M m Y 1 M z Y 4 M S 0 w Y m M 1 L T Q 0 N T E t O W Y w Y y 0 3 Z j I 5 Z D h i M z k x M D d c d T A w M j Z s a W 1 p d D 0 5 O T k 5 O T k v Q X V 0 b 1 J l b W 9 2 Z W R D b 2 x 1 b W 5 z M S 5 7 Q W x 0 Z X J u Y X R p d m V f R G F 0 Y V 9 B c H B y b 3 Z h b F 9 T d G F 0 d X M s N n 0 m c X V v d D s s J n F 1 b 3 Q 7 U 2 V j d G l v b j E v Z G F 0 Y X N 0 b 3 J l X 3 N l Y X J j a D 9 y Z X N v d X J j Z V 9 p Z D 1 m M m Y 1 M z Y 4 M S 0 w Y m M 1 L T Q 0 N T E t O W Y w Y y 0 3 Z j I 5 Z D h i M z k x M D d c d T A w M j Z s a W 1 p d D 0 5 O T k 5 O T k v Q X V 0 b 1 J l b W 9 2 Z W R D b 2 x 1 b W 5 z M S 5 7 R X R v X 2 l u Y 2 h l c 1 9 B b H R l c m 5 h d G l 2 Z S w 3 f S Z x d W 9 0 O y w m c X V v d D t T Z W N 0 a W 9 u M S 9 k Y X R h c 3 R v c m V f c 2 V h c m N o P 3 J l c 2 9 1 c m N l X 2 l k P W Y y Z j U z N j g x L T B i Y z U t N D Q 1 M S 0 5 Z j B j L T d m M j l k O G I z O T E w N 1 x 1 M D A y N m x p b W l 0 P T k 5 O T k 5 O S 9 B d X R v U m V t b 3 Z l Z E N v b H V t b n M x L n t F Z m Z l Y 3 R p d m V f U H J l Y 2 l w a X R h d G l v b l 9 p b m N o Z X N f Q W x 0 Z X J u Y X R p d m U s O H 0 m c X V v d D s s J n F 1 b 3 Q 7 U 2 V j d G l v b j E v Z G F 0 Y X N 0 b 3 J l X 3 N l Y X J j a D 9 y Z X N v d X J j Z V 9 p Z D 1 m M m Y 1 M z Y 4 M S 0 w Y m M 1 L T Q 0 N T E t O W Y w Y y 0 3 Z j I 5 Z D h i M z k x M D d c d T A w M j Z s a W 1 p d D 0 5 O T k 5 O T k v Q X V 0 b 1 J l b W 9 2 Z W R D b 2 x 1 b W 5 z M S 5 7 R l l f U 1 R B U l R f R E F U R S w 5 f S Z x d W 9 0 O y w m c X V v d D t T Z W N 0 a W 9 u M S 9 k Y X R h c 3 R v c m V f c 2 V h c m N o P 3 J l c 2 9 1 c m N l X 2 l k P W Y y Z j U z N j g x L T B i Y z U t N D Q 1 M S 0 5 Z j B j L T d m M j l k O G I z O T E w N 1 x 1 M D A y N m x p b W l 0 P T k 5 O T k 5 O S 9 B d X R v U m V t b 3 Z l Z E N v b H V t b n M x L n t G W V 9 F T k R f R E F U R S w x M H 0 m c X V v d D t d L C Z x d W 9 0 O 0 N v b H V t b k N v d W 5 0 J n F 1 b 3 Q 7 O j E x L C Z x d W 9 0 O 0 t l e U N v b H V t b k 5 h b W V z J n F 1 b 3 Q 7 O l t d L C Z x d W 9 0 O 0 N v b H V t b k l k Z W 5 0 a X R p Z X M m c X V v d D s 6 W y Z x d W 9 0 O 1 N l Y 3 R p b 2 4 x L 2 R h d G F z d G 9 y Z V 9 z Z W F y Y 2 g / c m V z b 3 V y Y 2 V f a W Q 9 Z j J m N T M 2 O D E t M G J j N S 0 0 N D U x L T l m M G M t N 2 Y y O W Q 4 Y j M 5 M T A 3 X H U w M D I 2 b G l t a X Q 9 O T k 5 O T k 5 L 0 F 1 d G 9 S Z W 1 v d m V k Q 2 9 s d W 1 u c z E u e 0 R X U l 9 J R C w w f S Z x d W 9 0 O y w m c X V v d D t T Z W N 0 a W 9 u M S 9 k Y X R h c 3 R v c m V f c 2 V h c m N o P 3 J l c 2 9 1 c m N l X 2 l k P W Y y Z j U z N j g x L T B i Y z U t N D Q 1 M S 0 5 Z j B j L T d m M j l k O G I z O T E w N 1 x 1 M D A y N m x p b W l 0 P T k 5 O T k 5 O S 9 B d X R v U m V t b 3 Z l Z E N v b H V t b n M x L n t T d X B w b G l l c l 9 O Y W 1 l L D F 9 J n F 1 b 3 Q 7 L C Z x d W 9 0 O 1 N l Y 3 R p b 2 4 x L 2 R h d G F z d G 9 y Z V 9 z Z W F y Y 2 g / c m V z b 3 V y Y 2 V f a W Q 9 Z j J m N T M 2 O D E t M G J j N S 0 0 N D U x L T l m M G M t N 2 Y y O W Q 4 Y j M 5 M T A 3 X H U w M D I 2 b G l t a X Q 9 O T k 5 O T k 5 L 0 F 1 d G 9 S Z W 1 v d m V k Q 2 9 s d W 1 u c z E u e 0 V 0 b 1 9 p b m N o Z X M s M n 0 m c X V v d D s s J n F 1 b 3 Q 7 U 2 V j d G l v b j E v Z G F 0 Y X N 0 b 3 J l X 3 N l Y X J j a D 9 y Z X N v d X J j Z V 9 p Z D 1 m M m Y 1 M z Y 4 M S 0 w Y m M 1 L T Q 0 N T E t O W Y w Y y 0 3 Z j I 5 Z D h i M z k x M D d c d T A w M j Z s a W 1 p d D 0 5 O T k 5 O T k v Q X V 0 b 1 J l b W 9 2 Z W R D b 2 x 1 b W 5 z M S 5 7 V G 9 0 Y W x f U H J l Y 2 l w a X R h d G l v b l 9 p b m N o Z X M s M 3 0 m c X V v d D s s J n F 1 b 3 Q 7 U 2 V j d G l v b j E v Z G F 0 Y X N 0 b 3 J l X 3 N l Y X J j a D 9 y Z X N v d X J j Z V 9 p Z D 1 m M m Y 1 M z Y 4 M S 0 w Y m M 1 L T Q 0 N T E t O W Y w Y y 0 3 Z j I 5 Z D h i M z k x M D d c d T A w M j Z s a W 1 p d D 0 5 O T k 5 O T k v Q X V 0 b 1 J l b W 9 2 Z W R D b 2 x 1 b W 5 z M S 5 7 R W Z m Z W N 0 a X Z l X 1 B y Z W N p c G l 0 Y X R p b 2 5 f a W 5 j a G V z L D R 9 J n F 1 b 3 Q 7 L C Z x d W 9 0 O 1 N l Y 3 R p b 2 4 x L 2 R h d G F z d G 9 y Z V 9 z Z W F y Y 2 g / c m V z b 3 V y Y 2 V f a W Q 9 Z j J m N T M 2 O D E t M G J j N S 0 0 N D U x L T l m M G M t N 2 Y y O W Q 4 Y j M 5 M T A 3 X H U w M D I 2 b G l t a X Q 9 O T k 5 O T k 5 L 0 F 1 d G 9 S Z W 1 v d m V k Q 2 9 s d W 1 u c z E u e 0 F s d G V y b m F 0 a X Z l X 0 R h d G F f U H J v d m l k Z W Q s N X 0 m c X V v d D s s J n F 1 b 3 Q 7 U 2 V j d G l v b j E v Z G F 0 Y X N 0 b 3 J l X 3 N l Y X J j a D 9 y Z X N v d X J j Z V 9 p Z D 1 m M m Y 1 M z Y 4 M S 0 w Y m M 1 L T Q 0 N T E t O W Y w Y y 0 3 Z j I 5 Z D h i M z k x M D d c d T A w M j Z s a W 1 p d D 0 5 O T k 5 O T k v Q X V 0 b 1 J l b W 9 2 Z W R D b 2 x 1 b W 5 z M S 5 7 Q W x 0 Z X J u Y X R p d m V f R G F 0 Y V 9 B c H B y b 3 Z h b F 9 T d G F 0 d X M s N n 0 m c X V v d D s s J n F 1 b 3 Q 7 U 2 V j d G l v b j E v Z G F 0 Y X N 0 b 3 J l X 3 N l Y X J j a D 9 y Z X N v d X J j Z V 9 p Z D 1 m M m Y 1 M z Y 4 M S 0 w Y m M 1 L T Q 0 N T E t O W Y w Y y 0 3 Z j I 5 Z D h i M z k x M D d c d T A w M j Z s a W 1 p d D 0 5 O T k 5 O T k v Q X V 0 b 1 J l b W 9 2 Z W R D b 2 x 1 b W 5 z M S 5 7 R X R v X 2 l u Y 2 h l c 1 9 B b H R l c m 5 h d G l 2 Z S w 3 f S Z x d W 9 0 O y w m c X V v d D t T Z W N 0 a W 9 u M S 9 k Y X R h c 3 R v c m V f c 2 V h c m N o P 3 J l c 2 9 1 c m N l X 2 l k P W Y y Z j U z N j g x L T B i Y z U t N D Q 1 M S 0 5 Z j B j L T d m M j l k O G I z O T E w N 1 x 1 M D A y N m x p b W l 0 P T k 5 O T k 5 O S 9 B d X R v U m V t b 3 Z l Z E N v b H V t b n M x L n t F Z m Z l Y 3 R p d m V f U H J l Y 2 l w a X R h d G l v b l 9 p b m N o Z X N f Q W x 0 Z X J u Y X R p d m U s O H 0 m c X V v d D s s J n F 1 b 3 Q 7 U 2 V j d G l v b j E v Z G F 0 Y X N 0 b 3 J l X 3 N l Y X J j a D 9 y Z X N v d X J j Z V 9 p Z D 1 m M m Y 1 M z Y 4 M S 0 w Y m M 1 L T Q 0 N T E t O W Y w Y y 0 3 Z j I 5 Z D h i M z k x M D d c d T A w M j Z s a W 1 p d D 0 5 O T k 5 O T k v Q X V 0 b 1 J l b W 9 2 Z W R D b 2 x 1 b W 5 z M S 5 7 R l l f U 1 R B U l R f R E F U R S w 5 f S Z x d W 9 0 O y w m c X V v d D t T Z W N 0 a W 9 u M S 9 k Y X R h c 3 R v c m V f c 2 V h c m N o P 3 J l c 2 9 1 c m N l X 2 l k P W Y y Z j U z N j g x L T B i Y z U t N D Q 1 M S 0 5 Z j B j L T d m M j l k O G I z O T E w N 1 x 1 M D A y N m x p b W l 0 P T k 5 O T k 5 O S 9 B d X R v U m V t b 3 Z l Z E N v b H V t b n M x L n t G W V 9 F T k R f R E F U R S w x M H 0 m c X V v d D t d L C Z x d W 9 0 O 1 J l b G F 0 a W 9 u c 2 h p c E l u Z m 8 m c X V v d D s 6 W 1 1 9 I i A v P j w v U 3 R h Y m x l R W 5 0 c m l l c z 4 8 L 0 l 0 Z W 0 + P E l 0 Z W 0 + P E l 0 Z W 1 M b 2 N h d G l v b j 4 8 S X R l b V R 5 c G U + R m 9 y b X V s Y T w v S X R l b V R 5 c G U + P E l 0 Z W 1 Q Y X R o P l N l Y 3 R p b 2 4 x L 2 R h d G F z d G 9 y Z V 9 z Z W F y Y 2 g l M 0 Z y Z X N v d X J j Z V 9 p Z C U z R G R j N D J m M D g 1 L T c 1 Z D g t N D h l M C 1 i N z k 1 L T h l Z G U 2 Z W U 1 N z Z j M i U y N m x p b W l 0 J T N E O D A w P C 9 J d G V t U G F 0 a D 4 8 L 0 l 0 Z W 1 M b 2 N h d G l v b j 4 8 U 3 R h Y m x l R W 5 0 c m l l c z 4 8 R W 5 0 c n k g V H l w Z T 0 i R m l s b E N v b H V t b k 5 h b W V z I i B W Y W x 1 Z T 0 i c 1 s m c X V v d D t P U k d f S U Q m c X V v d D s s J n F 1 b 3 Q 7 U 1 V Q U E x J R V J f T k F N R S Z x d W 9 0 O y w m c X V v d D t Q V 1 N J R C Z x d W 9 0 O y w m c X V v d D t Q V 1 N f T k F N R S Z x d W 9 0 O y w m c X V v d D t D T 1 V O V F k m c X V v d D s s J n F 1 b 3 Q 7 V 1 N f S U 5 D T F V E R U R f W U 4 m c X V v d D t d I i A v P j x F b n R y e S B U e X B l P S J C d W Z m Z X J O Z X h 0 U m V m c m V z a C I g V m F s d W U 9 I m w x I i A v P j x F b n R y e S B U e X B l P S J G a W x s Q 2 9 s d W 1 u V H l w Z X M i I F Z h b H V l P S J z Q m d Z R 0 J n W U c i I C 8 + P E V u d H J 5 I F R 5 c G U 9 I k Z p b G x F b m F i b G V k I i B W Y W x 1 Z T 0 i b D E i I C 8 + P E V u d H J 5 I F R 5 c G U 9 I k Z p b G x M Y X N 0 V X B k Y X R l Z C I g V m F s d W U 9 I m Q y M D I 1 L T A 3 L T E 1 V D I y O j I 3 O j U x L j g x M T Y 3 O D Z a I i A v P j x F b n R y e S B U e X B l P S J G a W x s R X J y b 3 J D b 3 V u d C I g V m F s d W U 9 I m w w I i A v P j x F b n R y e S B U e X B l P S J G a W x s R X J y b 3 J D b 2 R l I i B W Y W x 1 Z T 0 i c 1 V u a 2 5 v d 2 4 i I C 8 + P E V u d H J 5 I F R 5 c G U 9 I k Z p b G x l Z E N v b X B s Z X R l U m V z d W x 0 V G 9 X b 3 J r c 2 h l Z X Q i I F Z h b H V l P S J s M S I g L z 4 8 R W 5 0 c n k g V H l w Z T 0 i R m l s b E N v d W 5 0 I i B W Y W x 1 Z T 0 i b D U y O S I g L z 4 8 R W 5 0 c n k g V H l w Z T 0 i R m l s b F R h c m d l d E 5 h b W V D d X N 0 b 2 1 p e m V k I i B W Y W x 1 Z T 0 i b D E i I C 8 + P E V u d H J 5 I F R 5 c G U 9 I k Z p b G x U b 0 R h d G F N b 2 R l b E V u Y W J s Z W Q i I F Z h b H V l P S J s M C I g L z 4 8 R W 5 0 c n k g V H l w Z T 0 i S X N Q c m l 2 Y X R l I i B W Y W x 1 Z T 0 i b D A i I C 8 + P E V u d H J 5 I F R 5 c G U 9 I l F 1 Z X J 5 S U Q i I F Z h b H V l P S J z Y z h i N G R j O W U t Z D c 0 O C 0 0 N j I w L T h l O G E t N 2 E 0 Y j c w N j B i N m F l I i A v P j x F b n R y e S B U e X B l P S J S Z W N v d m V y e V R h c m d l d E N v b H V t b i I g V m F s d W U 9 I m w x I i A v P j x F b n R y e S B U e X B l P S J S Z W N v d m V y e V R h c m d l d F J v d y I g V m F s d W U 9 I m w x I i A v P j x F b n R y e S B U e X B l P S J S Z W N v d m V y e V R h c m d l d F N o Z W V 0 I i B W Y W x 1 Z T 0 i c 0 N y b 3 N z d 2 F s a 1 9 B U E k i I C 8 + P E V u d H J 5 I F R 5 c G U 9 I k F k Z G V k V G 9 E Y X R h T W 9 k Z W w i I F Z h b H V l P S J s M C I g L z 4 8 R W 5 0 c n k g V H l w Z T 0 i U m V z d W x 0 V H l w Z S I g V m F s d W U 9 I n N U Y W J s Z S I g L z 4 8 R W 5 0 c n k g V H l w Z T 0 i T m F 2 a W d h d G l v b l N 0 Z X B O Y W 1 l I i B W Y W x 1 Z T 0 i c 0 5 h d m l n Y X R p b 2 4 i I C 8 + P E V u d H J 5 I F R 5 c G U 9 I k Z p b G x P Y m p l Y 3 R U e X B l I i B W Y W x 1 Z T 0 i c 1 R h Y m x l I i A v P j x F b n R y e S B U e X B l P S J O Y W 1 l V X B k Y X R l Z E F m d G V y R m l s b C I g V m F s d W U 9 I m w w I i A v P j x F b n R y e S B U e X B l P S J G a W x s V G F y Z 2 V 0 I i B W Y W x 1 Z T 0 i c 0 N X X 0 F Q S V 9 U Q U J M R 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Z G F 0 Y X N 0 b 3 J l X 3 N l Y X J j a D 9 y Z X N v d X J j Z V 9 p Z D 1 k Y z Q y Z j A 4 N S 0 3 N W Q 4 L T Q 4 Z T A t Y j c 5 N S 0 4 Z W R l N m V l N T c 2 Y z J c d T A w M j Z s a W 1 p d D 0 4 M D A v Q X V 0 b 1 J l b W 9 2 Z W R D b 2 x 1 b W 5 z M S 5 7 T 1 J H X 0 l E L D B 9 J n F 1 b 3 Q 7 L C Z x d W 9 0 O 1 N l Y 3 R p b 2 4 x L 2 R h d G F z d G 9 y Z V 9 z Z W F y Y 2 g / c m V z b 3 V y Y 2 V f a W Q 9 Z G M 0 M m Y w O D U t N z V k O C 0 0 O G U w L W I 3 O T U t O G V k Z T Z l Z T U 3 N m M y X H U w M D I 2 b G l t a X Q 9 O D A w L 0 F 1 d G 9 S Z W 1 v d m V k Q 2 9 s d W 1 u c z E u e 1 N V U F B M S U V S X 0 5 B T U U s M X 0 m c X V v d D s s J n F 1 b 3 Q 7 U 2 V j d G l v b j E v Z G F 0 Y X N 0 b 3 J l X 3 N l Y X J j a D 9 y Z X N v d X J j Z V 9 p Z D 1 k Y z Q y Z j A 4 N S 0 3 N W Q 4 L T Q 4 Z T A t Y j c 5 N S 0 4 Z W R l N m V l N T c 2 Y z J c d T A w M j Z s a W 1 p d D 0 4 M D A v Q X V 0 b 1 J l b W 9 2 Z W R D b 2 x 1 b W 5 z M S 5 7 U F d T S U Q s M n 0 m c X V v d D s s J n F 1 b 3 Q 7 U 2 V j d G l v b j E v Z G F 0 Y X N 0 b 3 J l X 3 N l Y X J j a D 9 y Z X N v d X J j Z V 9 p Z D 1 k Y z Q y Z j A 4 N S 0 3 N W Q 4 L T Q 4 Z T A t Y j c 5 N S 0 4 Z W R l N m V l N T c 2 Y z J c d T A w M j Z s a W 1 p d D 0 4 M D A v Q X V 0 b 1 J l b W 9 2 Z W R D b 2 x 1 b W 5 z M S 5 7 U F d T X 0 5 B T U U s M 3 0 m c X V v d D s s J n F 1 b 3 Q 7 U 2 V j d G l v b j E v Z G F 0 Y X N 0 b 3 J l X 3 N l Y X J j a D 9 y Z X N v d X J j Z V 9 p Z D 1 k Y z Q y Z j A 4 N S 0 3 N W Q 4 L T Q 4 Z T A t Y j c 5 N S 0 4 Z W R l N m V l N T c 2 Y z J c d T A w M j Z s a W 1 p d D 0 4 M D A v Q X V 0 b 1 J l b W 9 2 Z W R D b 2 x 1 b W 5 z M S 5 7 Q 0 9 V T l R Z L D R 9 J n F 1 b 3 Q 7 L C Z x d W 9 0 O 1 N l Y 3 R p b 2 4 x L 2 R h d G F z d G 9 y Z V 9 z Z W F y Y 2 g / c m V z b 3 V y Y 2 V f a W Q 9 Z G M 0 M m Y w O D U t N z V k O C 0 0 O G U w L W I 3 O T U t O G V k Z T Z l Z T U 3 N m M y X H U w M D I 2 b G l t a X Q 9 O D A w L 0 F 1 d G 9 S Z W 1 v d m V k Q 2 9 s d W 1 u c z E u e 1 d T X 0 l O Q 0 x V R E V E X 1 l O L D V 9 J n F 1 b 3 Q 7 X S w m c X V v d D t D b 2 x 1 b W 5 D b 3 V u d C Z x d W 9 0 O z o 2 L C Z x d W 9 0 O 0 t l e U N v b H V t b k 5 h b W V z J n F 1 b 3 Q 7 O l t d L C Z x d W 9 0 O 0 N v b H V t b k l k Z W 5 0 a X R p Z X M m c X V v d D s 6 W y Z x d W 9 0 O 1 N l Y 3 R p b 2 4 x L 2 R h d G F z d G 9 y Z V 9 z Z W F y Y 2 g / c m V z b 3 V y Y 2 V f a W Q 9 Z G M 0 M m Y w O D U t N z V k O C 0 0 O G U w L W I 3 O T U t O G V k Z T Z l Z T U 3 N m M y X H U w M D I 2 b G l t a X Q 9 O D A w L 0 F 1 d G 9 S Z W 1 v d m V k Q 2 9 s d W 1 u c z E u e 0 9 S R 1 9 J R C w w f S Z x d W 9 0 O y w m c X V v d D t T Z W N 0 a W 9 u M S 9 k Y X R h c 3 R v c m V f c 2 V h c m N o P 3 J l c 2 9 1 c m N l X 2 l k P W R j N D J m M D g 1 L T c 1 Z D g t N D h l M C 1 i N z k 1 L T h l Z G U 2 Z W U 1 N z Z j M l x 1 M D A y N m x p b W l 0 P T g w M C 9 B d X R v U m V t b 3 Z l Z E N v b H V t b n M x L n t T V V B Q T E l F U l 9 O Q U 1 F L D F 9 J n F 1 b 3 Q 7 L C Z x d W 9 0 O 1 N l Y 3 R p b 2 4 x L 2 R h d G F z d G 9 y Z V 9 z Z W F y Y 2 g / c m V z b 3 V y Y 2 V f a W Q 9 Z G M 0 M m Y w O D U t N z V k O C 0 0 O G U w L W I 3 O T U t O G V k Z T Z l Z T U 3 N m M y X H U w M D I 2 b G l t a X Q 9 O D A w L 0 F 1 d G 9 S Z W 1 v d m V k Q 2 9 s d W 1 u c z E u e 1 B X U 0 l E L D J 9 J n F 1 b 3 Q 7 L C Z x d W 9 0 O 1 N l Y 3 R p b 2 4 x L 2 R h d G F z d G 9 y Z V 9 z Z W F y Y 2 g / c m V z b 3 V y Y 2 V f a W Q 9 Z G M 0 M m Y w O D U t N z V k O C 0 0 O G U w L W I 3 O T U t O G V k Z T Z l Z T U 3 N m M y X H U w M D I 2 b G l t a X Q 9 O D A w L 0 F 1 d G 9 S Z W 1 v d m V k Q 2 9 s d W 1 u c z E u e 1 B X U 1 9 O Q U 1 F L D N 9 J n F 1 b 3 Q 7 L C Z x d W 9 0 O 1 N l Y 3 R p b 2 4 x L 2 R h d G F z d G 9 y Z V 9 z Z W F y Y 2 g / c m V z b 3 V y Y 2 V f a W Q 9 Z G M 0 M m Y w O D U t N z V k O C 0 0 O G U w L W I 3 O T U t O G V k Z T Z l Z T U 3 N m M y X H U w M D I 2 b G l t a X Q 9 O D A w L 0 F 1 d G 9 S Z W 1 v d m V k Q 2 9 s d W 1 u c z E u e 0 N P V U 5 U W S w 0 f S Z x d W 9 0 O y w m c X V v d D t T Z W N 0 a W 9 u M S 9 k Y X R h c 3 R v c m V f c 2 V h c m N o P 3 J l c 2 9 1 c m N l X 2 l k P W R j N D J m M D g 1 L T c 1 Z D g t N D h l M C 1 i N z k 1 L T h l Z G U 2 Z W U 1 N z Z j M l x 1 M D A y N m x p b W l 0 P T g w M C 9 B d X R v U m V t b 3 Z l Z E N v b H V t b n M x L n t X U 1 9 J T k N M V U R F R F 9 Z T i w 1 f S Z x d W 9 0 O 1 0 s J n F 1 b 3 Q 7 U m V s Y X R p b 2 5 z a G l w S W 5 m b y Z x d W 9 0 O z p b X X 0 i I C 8 + P C 9 T d G F i b G V F b n R y a W V z P j w v S X R l b T 4 8 S X R l b T 4 8 S X R l b U x v Y 2 F 0 a W 9 u P j x J d G V t V H l w Z T 5 G b 3 J t d W x h P C 9 J d G V t V H l w Z T 4 8 S X R l b V B h d G g + U 2 V j d G l v b j E v Z G F 0 Y X N 0 b 3 J l X 3 N l Y X J j a C U z R n J l c 2 9 1 c m N l X 2 l k J T N E N W F m O W M 4 N G U t O W V i M y 0 0 N D Y 3 L W E w Y W E t Y W R l M D k 2 N m E y O W Q w J T I 2 b G l t a X Q l M 0 Q 4 M D A v U 2 9 1 c m N l P C 9 J d G V t U G F 0 a D 4 8 L 0 l 0 Z W 1 M b 2 N h d G l v b j 4 8 U 3 R h Y m x l R W 5 0 c m l l c y A v P j w v S X R l b T 4 8 S X R l b T 4 8 S X R l b U x v Y 2 F 0 a W 9 u P j x J d G V t V H l w Z T 5 G b 3 J t d W x h P C 9 J d G V t V H l w Z T 4 8 S X R l b V B h d G g + U 2 V j d G l v b j E v Z G F 0 Y X N 0 b 3 J l X 3 N l Y X J j a C U z R n J l c 2 9 1 c m N l X 2 l k J T N E N W F m O W M 4 N G U t O W V i M y 0 0 N D Y 3 L W E w Y W E t Y W R l M D k 2 N m E y O W Q w J T I 2 b G l t a X Q l M 0 Q 4 M D A v c m V z d W x 0 P C 9 J d G V t U G F 0 a D 4 8 L 0 l 0 Z W 1 M b 2 N h d G l v b j 4 8 U 3 R h Y m x l R W 5 0 c m l l c y A v P j w v S X R l b T 4 8 S X R l b T 4 8 S X R l b U x v Y 2 F 0 a W 9 u P j x J d G V t V H l w Z T 5 G b 3 J t d W x h P C 9 J d G V t V H l w Z T 4 8 S X R l b V B h d G g + U 2 V j d G l v b j E v Z G F 0 Y X N 0 b 3 J l X 3 N l Y X J j a C U z R n J l c 2 9 1 c m N l X 2 l k J T N E N W F m O W M 4 N G U t O W V i M y 0 0 N D Y 3 L W E w Y W E t Y W R l M D k 2 N m E y O W Q w J T I 2 b G l t a X Q l M 0 Q 4 M D A v c m V j b 3 J k c z w v S X R l b V B h d G g + P C 9 J d G V t T G 9 j Y X R p b 2 4 + P F N 0 Y W J s Z U V u d H J p Z X M g L z 4 8 L 0 l 0 Z W 0 + P E l 0 Z W 0 + P E l 0 Z W 1 M b 2 N h d G l v b j 4 8 S X R l b V R 5 c G U + R m 9 y b X V s Y T w v S X R l b V R 5 c G U + P E l 0 Z W 1 Q Y X R o P l N l Y 3 R p b 2 4 x L 2 R h d G F z d G 9 y Z V 9 z Z W F y Y 2 g l M 0 Z y Z X N v d X J j Z V 9 p Z C U z R G Y 2 M j g 1 Y m N j L T g x Y j A t N D c 4 Y S 0 4 N 2 Y 2 L T c 4 O T c 3 O W M 3 O W Q 5 N S U y N m x p b W l 0 J T N E O T k 5 O T k 5 L 0 N o Y W 5 n Z W Q l M j B U e X B l P C 9 J d G V t U G F 0 a D 4 8 L 0 l 0 Z W 1 M b 2 N h d G l v b j 4 8 U 3 R h Y m x l R W 5 0 c m l l c y A v P j w v S X R l b T 4 8 S X R l b T 4 8 S X R l b U x v Y 2 F 0 a W 9 u P j x J d G V t V H l w Z T 5 G b 3 J t d W x h P C 9 J d G V t V H l w Z T 4 8 S X R l b V B h d G g + U 2 V j d G l v b j E v Z G F 0 Y X N 0 b 3 J l X 3 N l Y X J j a C U z R n J l c 2 9 1 c m N l X 2 l k J T N E N W F m O W M 4 N G U t O W V i M y 0 0 N D Y 3 L W E w Y W E t Y W R l M D k 2 N m E y O W Q w J T I 2 b G l t a X Q l M 0 Q 4 M D A v Q 2 9 u d m V y d G V k J T I w d G 8 l M j B U Y W J s Z T w v S X R l b V B h d G g + P C 9 J d G V t T G 9 j Y X R p b 2 4 + P F N 0 Y W J s Z U V u d H J p Z X M g L z 4 8 L 0 l 0 Z W 0 + P E l 0 Z W 0 + P E l 0 Z W 1 M b 2 N h d G l v b j 4 8 S X R l b V R 5 c G U + R m 9 y b X V s Y T w v S X R l b V R 5 c G U + P E l 0 Z W 1 Q Y X R o P l N l Y 3 R p b 2 4 x L 2 R h d G F z d G 9 y Z V 9 z Z W F y Y 2 g l M 0 Z y Z X N v d X J j Z V 9 p Z C U z R G Y y Z j U z N j g x L T B i Y z U t N D Q 1 M S 0 5 Z j B j L T d m M j l k O G I z O T E w N y U y N m x p b W l 0 J T N E O T k 5 O T k 5 L 0 N o Y W 5 n Z W Q l M j B U e X B l P C 9 J d G V t U G F 0 a D 4 8 L 0 l 0 Z W 1 M b 2 N h d G l v b j 4 8 U 3 R h Y m x l R W 5 0 c m l l c y A v P j w v S X R l b T 4 8 S X R l b T 4 8 S X R l b U x v Y 2 F 0 a W 9 u P j x J d G V t V H l w Z T 5 G b 3 J t d W x h P C 9 J d G V t V H l w Z T 4 8 S X R l b V B h d G g + U 2 V j d G l v b j E v Z G F 0 Y X N 0 b 3 J l X 3 N l Y X J j a C U z R n J l c 2 9 1 c m N l X 2 l k J T N E N 2 U 1 M z l h N j E t O W E z M y 0 0 O W U 1 L W E 1 Z D M t N D Y z Z T Q z Z j A 2 M T A 5 J T I 2 b G l t a X Q l M 0 Q x M D A w M C 9 G W V N 0 Y X J 0 R G F 0 Z V B h c m F t P C 9 J d G V t U G F 0 a D 4 8 L 0 l 0 Z W 1 M b 2 N h d G l v b j 4 8 U 3 R h Y m x l R W 5 0 c m l l c y A v P j w v S X R l b T 4 8 S X R l b T 4 8 S X R l b U x v Y 2 F 0 a W 9 u P j x J d G V t V H l w Z T 5 G b 3 J t d W x h P C 9 J d G V t V H l w Z T 4 8 S X R l b V B h d G g + U 2 V j d G l v b j E v Z G F 0 Y X N 0 b 3 J l X 3 N l Y X J j a C U z R n J l c 2 9 1 c m N l X 2 l k J T N E N 2 U 1 M z l h N j E t O W E z M y 0 0 O W U 1 L W E 1 Z D M t N D Y z Z T Q z Z j A 2 M T A 5 J T I 2 b G l t a X Q l M 0 Q x M D A w M C 9 J b m l 0 a W F s U m V z c G 9 u c 2 U 8 L 0 l 0 Z W 1 Q Y X R o P j w v S X R l b U x v Y 2 F 0 a W 9 u P j x T d G F i b G V F b n R y a W V z I C 8 + P C 9 J d G V t P j x J d G V t P j x J d G V t T G 9 j Y X R p b 2 4 + P E l 0 Z W 1 U e X B l P k Z v c m 1 1 b G E 8 L 0 l 0 Z W 1 U e X B l P j x J d G V t U G F 0 a D 5 T Z W N 0 a W 9 u M S 9 k Y X R h c 3 R v c m V f c 2 V h c m N o J T N G c m V z b 3 V y Y 2 V f a W Q l M 0 Q 3 Z T U z O W E 2 M S 0 5 Y T M z L T Q 5 Z T U t Y T V k M y 0 0 N j N l N D N m M D Y x M D k l M j Z s a W 1 p d C U z R D E w M D A w L 1 R v d G F s U m V j b 3 J k c z w v S X R l b V B h d G g + P C 9 J d G V t T G 9 j Y X R p b 2 4 + P F N 0 Y W J s Z U V u d H J p Z X M g L z 4 8 L 0 l 0 Z W 0 + P E l 0 Z W 0 + P E l 0 Z W 1 M b 2 N h d G l v b j 4 8 S X R l b V R 5 c G U + R m 9 y b X V s Y T w v S X R l b V R 5 c G U + P E l 0 Z W 1 Q Y X R o P l N l Y 3 R p b 2 4 x L 2 R h d G F z d G 9 y Z V 9 z Z W F y Y 2 g l M 0 Z y Z X N v d X J j Z V 9 p Z C U z R D d l N T M 5 Y T Y x L T l h M z M t N D l l N S 1 h N W Q z L T Q 2 M 2 U 0 M 2 Y w N j E w O S U y N m x p b W l 0 J T N E M T A w M D A v U G F n Z V N p e m U 8 L 0 l 0 Z W 1 Q Y X R o P j w v S X R l b U x v Y 2 F 0 a W 9 u P j x T d G F i b G V F b n R y a W V z I C 8 + P C 9 J d G V t P j x J d G V t P j x J d G V t T G 9 j Y X R p b 2 4 + P E l 0 Z W 1 U e X B l P k Z v c m 1 1 b G E 8 L 0 l 0 Z W 1 U e X B l P j x J d G V t U G F 0 a D 5 T Z W N 0 a W 9 u M S 9 k Y X R h c 3 R v c m V f c 2 V h c m N o J T N G c m V z b 3 V y Y 2 V f a W Q l M 0 Q 3 Z T U z O W E 2 M S 0 5 Y T M z L T Q 5 Z T U t Y T V k M y 0 0 N j N l N D N m M D Y x M D k l M j Z s a W 1 p d C U z R D E w M D A w L 1 B h Z 2 V D b 3 V u d D w v S X R l b V B h d G g + P C 9 J d G V t T G 9 j Y X R p b 2 4 + P F N 0 Y W J s Z U V u d H J p Z X M g L z 4 8 L 0 l 0 Z W 0 + P E l 0 Z W 0 + P E l 0 Z W 1 M b 2 N h d G l v b j 4 8 S X R l b V R 5 c G U + R m 9 y b X V s Y T w v S X R l b V R 5 c G U + P E l 0 Z W 1 Q Y X R o P l N l Y 3 R p b 2 4 x L 2 R h d G F z d G 9 y Z V 9 z Z W F y Y 2 g l M 0 Z y Z X N v d X J j Z V 9 p Z C U z R D d l N T M 5 Y T Y x L T l h M z M t N D l l N S 1 h N W Q z L T Q 2 M 2 U 0 M 2 Y w N j E w O S U y N m x p b W l 0 J T N E M T A w M D A v T 2 Z m c 2 V 0 c z w v S X R l b V B h d G g + P C 9 J d G V t T G 9 j Y X R p b 2 4 + P F N 0 Y W J s Z U V u d H J p Z X M g L z 4 8 L 0 l 0 Z W 0 + P E l 0 Z W 0 + P E l 0 Z W 1 M b 2 N h d G l v b j 4 8 S X R l b V R 5 c G U + R m 9 y b X V s Y T w v S X R l b V R 5 c G U + P E l 0 Z W 1 Q Y X R o P l N l Y 3 R p b 2 4 x L 2 R h d G F z d G 9 y Z V 9 z Z W F y Y 2 g l M 0 Z y Z X N v d X J j Z V 9 p Z C U z R D d l N T M 5 Y T Y x L T l h M z M t N D l l N S 1 h N W Q z L T Q 2 M 2 U 0 M 2 Y w N j E w O S U y N m x p b W l 0 J T N E M T A w M D A v R 2 V 0 U G F n Z T w v S X R l b V B h d G g + P C 9 J d G V t T G 9 j Y X R p b 2 4 + P F N 0 Y W J s Z U V u d H J p Z X M g L z 4 8 L 0 l 0 Z W 0 + P E l 0 Z W 0 + P E l 0 Z W 1 M b 2 N h d G l v b j 4 8 S X R l b V R 5 c G U + R m 9 y b X V s Y T w v S X R l b V R 5 c G U + P E l 0 Z W 1 Q Y X R o P l N l Y 3 R p b 2 4 x L 2 R h d G F z d G 9 y Z V 9 z Z W F y Y 2 g l M 0 Z y Z X N v d X J j Z V 9 p Z C U z R D d l N T M 5 Y T Y x L T l h M z M t N D l l N S 1 h N W Q z L T Q 2 M 2 U 0 M 2 Y w N j E w O S U y N m x p b W l 0 J T N E M T A w M D A v R G F 0 Y T w v S X R l b V B h d G g + P C 9 J d G V t T G 9 j Y X R p b 2 4 + P F N 0 Y W J s Z U V u d H J p Z X M g L z 4 8 L 0 l 0 Z W 0 + P E l 0 Z W 0 + P E l 0 Z W 1 M b 2 N h d G l v b j 4 8 S X R l b V R 5 c G U + R m 9 y b X V s Y T w v S X R l b V R 5 c G U + P E l 0 Z W 1 Q Y X R o P l N l Y 3 R p b 2 4 x L 2 R h d G F z d G 9 y Z V 9 z Z W F y Y 2 g l M 0 Z y Z X N v d X J j Z V 9 p Z C U z R D d l N T M 5 Y T Y x L T l h M z M t N D l l N S 1 h N W Q z L T Q 2 M 2 U 0 M 2 Y w N j E w O S U y N m x p b W l 0 J T N E M T A w M D A v Q 2 9 t Y m l u Z W R E Y X R h P C 9 J d G V t U G F 0 a D 4 8 L 0 l 0 Z W 1 M b 2 N h d G l v b j 4 8 U 3 R h Y m x l R W 5 0 c m l l c y A v P j w v S X R l b T 4 8 S X R l b T 4 8 S X R l b U x v Y 2 F 0 a W 9 u P j x J d G V t V H l w Z T 5 G b 3 J t d W x h P C 9 J d G V t V H l w Z T 4 8 S X R l b V B h d G g + U 2 V j d G l v b j E v Z G F 0 Y X N 0 b 3 J l X 3 N l Y X J j a C U z R n J l c 2 9 1 c m N l X 2 l k J T N E N 2 U 1 M z l h N j E t O W E z M y 0 0 O W U 1 L W E 1 Z D M t N D Y z Z T Q z Z j A 2 M T A 5 J T I 2 b G l t a X Q l M 0 Q x M D A w M C 9 D a G F u Z 2 V k J T I w V H l w Z T w v S X R l b V B h d G g + P C 9 J d G V t T G 9 j Y X R p b 2 4 + P F N 0 Y W J s Z U V u d H J p Z X M g L z 4 8 L 0 l 0 Z W 0 + P E l 0 Z W 0 + P E l 0 Z W 1 M b 2 N h d G l v b j 4 8 S X R l b V R 5 c G U + R m 9 y b X V s Y T w v S X R l b V R 5 c G U + P E l 0 Z W 1 Q Y X R o P l N l Y 3 R p b 2 4 x L 2 R h d G F z d G 9 y Z V 9 z Z W F y Y 2 g l M 0 Z y Z X N v d X J j Z V 9 p Z C U z R D d l N T M 5 Y T Y x L T l h M z M t N D l l N S 1 h N W Q z L T Q 2 M 2 U 0 M 2 Y w N j E w O S U y N m x p b W l 0 J T N E M T A w M D A v R m l s d G V y Z W R C e U Z Z P C 9 J d G V t U G F 0 a D 4 8 L 0 l 0 Z W 1 M b 2 N h d G l v b j 4 8 U 3 R h Y m x l R W 5 0 c m l l c y A v P j w v S X R l b T 4 8 S X R l b T 4 8 S X R l b U x v Y 2 F 0 a W 9 u P j x J d G V t V H l w Z T 5 G b 3 J t d W x h P C 9 J d G V t V H l w Z T 4 8 S X R l b V B h d G g + U 2 V j d G l v b j E v Z G F 0 Y X N 0 b 3 J l X 3 N l Y X J j a C U z R n J l c 2 9 1 c m N l X 2 l k J T N E N W F m O W M 4 N G U t O W V i M y 0 0 N D Y 3 L W E w Y W E t Y W R l M D k 2 N m E y O W Q w J T I 2 b G l t a X Q l M 0 Q 4 M D A v R X h w Y W 5 k Z W Q l M j B D b 2 x 1 b W 4 x P C 9 J d G V t U G F 0 a D 4 8 L 0 l 0 Z W 1 M b 2 N h d G l v b j 4 8 U 3 R h Y m x l R W 5 0 c m l l c y A v P j w v S X R l b T 4 8 S X R l b T 4 8 S X R l b U x v Y 2 F 0 a W 9 u P j x J d G V t V H l w Z T 5 G b 3 J t d W x h P C 9 J d G V t V H l w Z T 4 8 S X R l b V B h d G g + U 2 V j d G l v b j E v Z G F 0 Y X N 0 b 3 J l X 3 N l Y X J j a C U z R n J l c 2 9 1 c m N l X 2 l k J T N E Z j J m N T M 2 O D E t M G J j N S 0 0 N D U x L T l m M G M t N 2 Y y O W Q 4 Y j M 5 M T A 3 J T I 2 b G l t a X Q l M 0 Q 5 O T k 5 O T k v R l l T d G F y d E R h d G V Q Y X J h b T w v S X R l b V B h d G g + P C 9 J d G V t T G 9 j Y X R p b 2 4 + P F N 0 Y W J s Z U V u d H J p Z X M g L z 4 8 L 0 l 0 Z W 0 + P E l 0 Z W 0 + P E l 0 Z W 1 M b 2 N h d G l v b j 4 8 S X R l b V R 5 c G U + R m 9 y b X V s Y T w v S X R l b V R 5 c G U + P E l 0 Z W 1 Q Y X R o P l N l Y 3 R p b 2 4 x L 2 R h d G F z d G 9 y Z V 9 z Z W F y Y 2 g l M 0 Z y Z X N v d X J j Z V 9 p Z C U z R G Y y Z j U z N j g x L T B i Y z U t N D Q 1 M S 0 5 Z j B j L T d m M j l k O G I z O T E w N y U y N m x p b W l 0 J T N E O T k 5 O T k 5 L 0 l u a X R p Y W x S Z X N w b 2 5 z Z T w v S X R l b V B h d G g + P C 9 J d G V t T G 9 j Y X R p b 2 4 + P F N 0 Y W J s Z U V u d H J p Z X M g L z 4 8 L 0 l 0 Z W 0 + P E l 0 Z W 0 + P E l 0 Z W 1 M b 2 N h d G l v b j 4 8 S X R l b V R 5 c G U + R m 9 y b X V s Y T w v S X R l b V R 5 c G U + P E l 0 Z W 1 Q Y X R o P l N l Y 3 R p b 2 4 x L 2 R h d G F z d G 9 y Z V 9 z Z W F y Y 2 g l M 0 Z y Z X N v d X J j Z V 9 p Z C U z R G Y y Z j U z N j g x L T B i Y z U t N D Q 1 M S 0 5 Z j B j L T d m M j l k O G I z O T E w N y U y N m x p b W l 0 J T N E O T k 5 O T k 5 L 1 R v d G F s U m V j b 3 J k c z w v S X R l b V B h d G g + P C 9 J d G V t T G 9 j Y X R p b 2 4 + P F N 0 Y W J s Z U V u d H J p Z X M g L z 4 8 L 0 l 0 Z W 0 + P E l 0 Z W 0 + P E l 0 Z W 1 M b 2 N h d G l v b j 4 8 S X R l b V R 5 c G U + R m 9 y b X V s Y T w v S X R l b V R 5 c G U + P E l 0 Z W 1 Q Y X R o P l N l Y 3 R p b 2 4 x L 2 R h d G F z d G 9 y Z V 9 z Z W F y Y 2 g l M 0 Z y Z X N v d X J j Z V 9 p Z C U z R G Y y Z j U z N j g x L T B i Y z U t N D Q 1 M S 0 5 Z j B j L T d m M j l k O G I z O T E w N y U y N m x p b W l 0 J T N E O T k 5 O T k 5 L 1 B h Z 2 V T a X p l P C 9 J d G V t U G F 0 a D 4 8 L 0 l 0 Z W 1 M b 2 N h d G l v b j 4 8 U 3 R h Y m x l R W 5 0 c m l l c y A v P j w v S X R l b T 4 8 S X R l b T 4 8 S X R l b U x v Y 2 F 0 a W 9 u P j x J d G V t V H l w Z T 5 G b 3 J t d W x h P C 9 J d G V t V H l w Z T 4 8 S X R l b V B h d G g + U 2 V j d G l v b j E v Z G F 0 Y X N 0 b 3 J l X 3 N l Y X J j a C U z R n J l c 2 9 1 c m N l X 2 l k J T N E Z j J m N T M 2 O D E t M G J j N S 0 0 N D U x L T l m M G M t N 2 Y y O W Q 4 Y j M 5 M T A 3 J T I 2 b G l t a X Q l M 0 Q 5 O T k 5 O T k v U G F n Z U N v d W 5 0 P C 9 J d G V t U G F 0 a D 4 8 L 0 l 0 Z W 1 M b 2 N h d G l v b j 4 8 U 3 R h Y m x l R W 5 0 c m l l c y A v P j w v S X R l b T 4 8 S X R l b T 4 8 S X R l b U x v Y 2 F 0 a W 9 u P j x J d G V t V H l w Z T 5 G b 3 J t d W x h P C 9 J d G V t V H l w Z T 4 8 S X R l b V B h d G g + U 2 V j d G l v b j E v Z G F 0 Y X N 0 b 3 J l X 3 N l Y X J j a C U z R n J l c 2 9 1 c m N l X 2 l k J T N E Z j J m N T M 2 O D E t M G J j N S 0 0 N D U x L T l m M G M t N 2 Y y O W Q 4 Y j M 5 M T A 3 J T I 2 b G l t a X Q l M 0 Q 5 O T k 5 O T k v T 2 Z m c 2 V 0 c z w v S X R l b V B h d G g + P C 9 J d G V t T G 9 j Y X R p b 2 4 + P F N 0 Y W J s Z U V u d H J p Z X M g L z 4 8 L 0 l 0 Z W 0 + P E l 0 Z W 0 + P E l 0 Z W 1 M b 2 N h d G l v b j 4 8 S X R l b V R 5 c G U + R m 9 y b X V s Y T w v S X R l b V R 5 c G U + P E l 0 Z W 1 Q Y X R o P l N l Y 3 R p b 2 4 x L 2 R h d G F z d G 9 y Z V 9 z Z W F y Y 2 g l M 0 Z y Z X N v d X J j Z V 9 p Z C U z R G Y y Z j U z N j g x L T B i Y z U t N D Q 1 M S 0 5 Z j B j L T d m M j l k O G I z O T E w N y U y N m x p b W l 0 J T N E O T k 5 O T k 5 L 0 d l d F B h Z 2 U 8 L 0 l 0 Z W 1 Q Y X R o P j w v S X R l b U x v Y 2 F 0 a W 9 u P j x T d G F i b G V F b n R y a W V z I C 8 + P C 9 J d G V t P j x J d G V t P j x J d G V t T G 9 j Y X R p b 2 4 + P E l 0 Z W 1 U e X B l P k Z v c m 1 1 b G E 8 L 0 l 0 Z W 1 U e X B l P j x J d G V t U G F 0 a D 5 T Z W N 0 a W 9 u M S 9 k Y X R h c 3 R v c m V f c 2 V h c m N o J T N G c m V z b 3 V y Y 2 V f a W Q l M 0 R m M m Y 1 M z Y 4 M S 0 w Y m M 1 L T Q 0 N T E t O W Y w Y y 0 3 Z j I 5 Z D h i M z k x M D c l M j Z s a W 1 p d C U z R D k 5 O T k 5 O S 9 E Y X R h P C 9 J d G V t U G F 0 a D 4 8 L 0 l 0 Z W 1 M b 2 N h d G l v b j 4 8 U 3 R h Y m x l R W 5 0 c m l l c y A v P j w v S X R l b T 4 8 S X R l b T 4 8 S X R l b U x v Y 2 F 0 a W 9 u P j x J d G V t V H l w Z T 5 G b 3 J t d W x h P C 9 J d G V t V H l w Z T 4 8 S X R l b V B h d G g + U 2 V j d G l v b j E v Z G F 0 Y X N 0 b 3 J l X 3 N l Y X J j a C U z R n J l c 2 9 1 c m N l X 2 l k J T N E Z j J m N T M 2 O D E t M G J j N S 0 0 N D U x L T l m M G M t N 2 Y y O W Q 4 Y j M 5 M T A 3 J T I 2 b G l t a X Q l M 0 Q 5 O T k 5 O T k v Q 2 9 t Y m l u Z W Q 8 L 0 l 0 Z W 1 Q Y X R o P j w v S X R l b U x v Y 2 F 0 a W 9 u P j x T d G F i b G V F b n R y a W V z I C 8 + P C 9 J d G V t P j x J d G V t P j x J d G V t T G 9 j Y X R p b 2 4 + P E l 0 Z W 1 U e X B l P k Z v c m 1 1 b G E 8 L 0 l 0 Z W 1 U e X B l P j x J d G V t U G F 0 a D 5 T Z W N 0 a W 9 u M S 9 k Y X R h c 3 R v c m V f c 2 V h c m N o J T N G c m V z b 3 V y Y 2 V f a W Q l M 0 R m M m Y 1 M z Y 4 M S 0 w Y m M 1 L T Q 0 N T E t O W Y w Y y 0 3 Z j I 5 Z D h i M z k x M D c l M j Z s a W 1 p d C U z R D k 5 O T k 5 O S 9 G a W x 0 Z X J l Z D w v S X R l b V B h d G g + P C 9 J d G V t T G 9 j Y X R p b 2 4 + P F N 0 Y W J s Z U V u d H J p Z X M g L z 4 8 L 0 l 0 Z W 0 + P E l 0 Z W 0 + P E l 0 Z W 1 M b 2 N h d G l v b j 4 8 S X R l b V R 5 c G U + R m 9 y b X V s Y T w v S X R l b V R 5 c G U + P E l 0 Z W 1 Q Y X R o P l N l Y 3 R p b 2 4 x L 2 R h d G F z d G 9 y Z V 9 z Z W F y Y 2 g l M 0 Z y Z X N v d X J j Z V 9 p Z C U z R G Y 2 M j g 1 Y m N j L T g x Y j A t N D c 4 Y S 0 4 N 2 Y 2 L T c 4 O T c 3 O W M 3 O W Q 5 N S U y N m x p b W l 0 J T N E O T k 5 O T k 5 L 0 Z Z U 3 R h c n R E Y X R l U G F y Y W 0 8 L 0 l 0 Z W 1 Q Y X R o P j w v S X R l b U x v Y 2 F 0 a W 9 u P j x T d G F i b G V F b n R y a W V z I C 8 + P C 9 J d G V t P j x J d G V t P j x J d G V t T G 9 j Y X R p b 2 4 + P E l 0 Z W 1 U e X B l P k Z v c m 1 1 b G E 8 L 0 l 0 Z W 1 U e X B l P j x J d G V t U G F 0 a D 5 T Z W N 0 a W 9 u M S 9 k Y X R h c 3 R v c m V f c 2 V h c m N o J T N G c m V z b 3 V y Y 2 V f a W Q l M 0 R m N j I 4 N W J j Y y 0 4 M W I w L T Q 3 O G E t O D d m N i 0 3 O D k 3 N z l j N z l k O T U l M j Z s a W 1 p d C U z R D k 5 O T k 5 O S 9 J b m l 0 a W F s U m V z c G 9 u c 2 U 8 L 0 l 0 Z W 1 Q Y X R o P j w v S X R l b U x v Y 2 F 0 a W 9 u P j x T d G F i b G V F b n R y a W V z I C 8 + P C 9 J d G V t P j x J d G V t P j x J d G V t T G 9 j Y X R p b 2 4 + P E l 0 Z W 1 U e X B l P k Z v c m 1 1 b G E 8 L 0 l 0 Z W 1 U e X B l P j x J d G V t U G F 0 a D 5 T Z W N 0 a W 9 u M S 9 k Y X R h c 3 R v c m V f c 2 V h c m N o J T N G c m V z b 3 V y Y 2 V f a W Q l M 0 R m N j I 4 N W J j Y y 0 4 M W I w L T Q 3 O G E t O D d m N i 0 3 O D k 3 N z l j N z l k O T U l M j Z s a W 1 p d C U z R D k 5 O T k 5 O S 9 U b 3 R h b F J l Y 2 9 y Z H M 8 L 0 l 0 Z W 1 Q Y X R o P j w v S X R l b U x v Y 2 F 0 a W 9 u P j x T d G F i b G V F b n R y a W V z I C 8 + P C 9 J d G V t P j x J d G V t P j x J d G V t T G 9 j Y X R p b 2 4 + P E l 0 Z W 1 U e X B l P k Z v c m 1 1 b G E 8 L 0 l 0 Z W 1 U e X B l P j x J d G V t U G F 0 a D 5 T Z W N 0 a W 9 u M S 9 k Y X R h c 3 R v c m V f c 2 V h c m N o J T N G c m V z b 3 V y Y 2 V f a W Q l M 0 R m N j I 4 N W J j Y y 0 4 M W I w L T Q 3 O G E t O D d m N i 0 3 O D k 3 N z l j N z l k O T U l M j Z s a W 1 p d C U z R D k 5 O T k 5 O S 9 Q Y W d l U 2 l 6 Z T w v S X R l b V B h d G g + P C 9 J d G V t T G 9 j Y X R p b 2 4 + P F N 0 Y W J s Z U V u d H J p Z X M g L z 4 8 L 0 l 0 Z W 0 + P E l 0 Z W 0 + P E l 0 Z W 1 M b 2 N h d G l v b j 4 8 S X R l b V R 5 c G U + R m 9 y b X V s Y T w v S X R l b V R 5 c G U + P E l 0 Z W 1 Q Y X R o P l N l Y 3 R p b 2 4 x L 2 R h d G F z d G 9 y Z V 9 z Z W F y Y 2 g l M 0 Z y Z X N v d X J j Z V 9 p Z C U z R G Y 2 M j g 1 Y m N j L T g x Y j A t N D c 4 Y S 0 4 N 2 Y 2 L T c 4 O T c 3 O W M 3 O W Q 5 N S U y N m x p b W l 0 J T N E O T k 5 O T k 5 L 1 B h Z 2 V D b 3 V u d D w v S X R l b V B h d G g + P C 9 J d G V t T G 9 j Y X R p b 2 4 + P F N 0 Y W J s Z U V u d H J p Z X M g L z 4 8 L 0 l 0 Z W 0 + P E l 0 Z W 0 + P E l 0 Z W 1 M b 2 N h d G l v b j 4 8 S X R l b V R 5 c G U + R m 9 y b X V s Y T w v S X R l b V R 5 c G U + P E l 0 Z W 1 Q Y X R o P l N l Y 3 R p b 2 4 x L 2 R h d G F z d G 9 y Z V 9 z Z W F y Y 2 g l M 0 Z y Z X N v d X J j Z V 9 p Z C U z R G Y 2 M j g 1 Y m N j L T g x Y j A t N D c 4 Y S 0 4 N 2 Y 2 L T c 4 O T c 3 O W M 3 O W Q 5 N S U y N m x p b W l 0 J T N E O T k 5 O T k 5 L 0 9 m Z n N l d H M 8 L 0 l 0 Z W 1 Q Y X R o P j w v S X R l b U x v Y 2 F 0 a W 9 u P j x T d G F i b G V F b n R y a W V z I C 8 + P C 9 J d G V t P j x J d G V t P j x J d G V t T G 9 j Y X R p b 2 4 + P E l 0 Z W 1 U e X B l P k Z v c m 1 1 b G E 8 L 0 l 0 Z W 1 U e X B l P j x J d G V t U G F 0 a D 5 T Z W N 0 a W 9 u M S 9 k Y X R h c 3 R v c m V f c 2 V h c m N o J T N G c m V z b 3 V y Y 2 V f a W Q l M 0 R m N j I 4 N W J j Y y 0 4 M W I w L T Q 3 O G E t O D d m N i 0 3 O D k 3 N z l j N z l k O T U l M j Z s a W 1 p d C U z R D k 5 O T k 5 O S 9 H Z X R Q Y W d l P C 9 J d G V t U G F 0 a D 4 8 L 0 l 0 Z W 1 M b 2 N h d G l v b j 4 8 U 3 R h Y m x l R W 5 0 c m l l c y A v P j w v S X R l b T 4 8 S X R l b T 4 8 S X R l b U x v Y 2 F 0 a W 9 u P j x J d G V t V H l w Z T 5 G b 3 J t d W x h P C 9 J d G V t V H l w Z T 4 8 S X R l b V B h d G g + U 2 V j d G l v b j E v Z G F 0 Y X N 0 b 3 J l X 3 N l Y X J j a C U z R n J l c 2 9 1 c m N l X 2 l k J T N E Z j Y y O D V i Y 2 M t O D F i M C 0 0 N z h h L T g 3 Z j Y t N z g 5 N z c 5 Y z c 5 Z D k 1 J T I 2 b G l t a X Q l M 0 Q 5 O T k 5 O T k v R G F 0 Y T w v S X R l b V B h d G g + P C 9 J d G V t T G 9 j Y X R p b 2 4 + P F N 0 Y W J s Z U V u d H J p Z X M g L z 4 8 L 0 l 0 Z W 0 + P E l 0 Z W 0 + P E l 0 Z W 1 M b 2 N h d G l v b j 4 8 S X R l b V R 5 c G U + R m 9 y b X V s Y T w v S X R l b V R 5 c G U + P E l 0 Z W 1 Q Y X R o P l N l Y 3 R p b 2 4 x L 2 R h d G F z d G 9 y Z V 9 z Z W F y Y 2 g l M 0 Z y Z X N v d X J j Z V 9 p Z C U z R G Y 2 M j g 1 Y m N j L T g x Y j A t N D c 4 Y S 0 4 N 2 Y 2 L T c 4 O T c 3 O W M 3 O W Q 5 N S U y N m x p b W l 0 J T N E O T k 5 O T k 5 L 0 N v b W J p b m V k P C 9 J d G V t U G F 0 a D 4 8 L 0 l 0 Z W 1 M b 2 N h d G l v b j 4 8 U 3 R h Y m x l R W 5 0 c m l l c y A v P j w v S X R l b T 4 8 S X R l b T 4 8 S X R l b U x v Y 2 F 0 a W 9 u P j x J d G V t V H l w Z T 5 G b 3 J t d W x h P C 9 J d G V t V H l w Z T 4 8 S X R l b V B h d G g + U 2 V j d G l v b j E v Z G F 0 Y X N 0 b 3 J l X 3 N l Y X J j a C U z R n J l c 2 9 1 c m N l X 2 l k J T N E Z j Y y O D V i Y 2 M t O D F i M C 0 0 N z h h L T g 3 Z j Y t N z g 5 N z c 5 Y z c 5 Z D k 1 J T I 2 b G l t a X Q l M 0 Q 5 O T k 5 O T k v R m l s d G V y Z W Q 8 L 0 l 0 Z W 1 Q Y X R o P j w v S X R l b U x v Y 2 F 0 a W 9 u P j x T d G F i b G V F b n R y a W V z I C 8 + P C 9 J d G V t P j x J d G V t P j x J d G V t T G 9 j Y X R p b 2 4 + P E l 0 Z W 1 U e X B l P k Z v c m 1 1 b G E 8 L 0 l 0 Z W 1 U e X B l P j x J d G V t U G F 0 a D 5 T Z W N 0 a W 9 u M S 9 k Y X R h c 3 R v c m V f c 2 V h c m N o J T N G c m V z b 3 V y Y 2 V f a W Q l M 0 Q 4 Y T N j N T J i M S 0 4 Z D A x L T Q 0 N 2 I t O T l l M S 0 0 M z h m Z T M 3 Y m Q 4 M m Q l M j Z s a W 1 p d C U z R D k 5 O T k 5 O T k 5 L 0 Z Z U 3 R h c n R E Y X R l U G F y Y W 0 8 L 0 l 0 Z W 1 Q Y X R o P j w v S X R l b U x v Y 2 F 0 a W 9 u P j x T d G F i b G V F b n R y a W V z I C 8 + P C 9 J d G V t P j x J d G V t P j x J d G V t T G 9 j Y X R p b 2 4 + P E l 0 Z W 1 U e X B l P k Z v c m 1 1 b G E 8 L 0 l 0 Z W 1 U e X B l P j x J d G V t U G F 0 a D 5 T Z W N 0 a W 9 u M S 9 k Y X R h c 3 R v c m V f c 2 V h c m N o J T N G c m V z b 3 V y Y 2 V f a W Q l M 0 Q 4 Y T N j N T J i M S 0 4 Z D A x L T Q 0 N 2 I t O T l l M S 0 0 M z h m Z T M 3 Y m Q 4 M m Q l M j Z s a W 1 p d C U z R D k 5 O T k 5 O T k 5 L 1 J l c 2 9 1 c m N l S U Q 8 L 0 l 0 Z W 1 Q Y X R o P j w v S X R l b U x v Y 2 F 0 a W 9 u P j x T d G F i b G V F b n R y a W V z I C 8 + P C 9 J d G V t P j x J d G V t P j x J d G V t T G 9 j Y X R p b 2 4 + P E l 0 Z W 1 U e X B l P k Z v c m 1 1 b G E 8 L 0 l 0 Z W 1 U e X B l P j x J d G V t U G F 0 a D 5 T Z W N 0 a W 9 u M S 9 k Y X R h c 3 R v c m V f c 2 V h c m N o J T N G c m V z b 3 V y Y 2 V f a W Q l M 0 Q 4 Y T N j N T J i M S 0 4 Z D A x L T Q 0 N 2 I t O T l l M S 0 0 M z h m Z T M 3 Y m Q 4 M m Q l M j Z s a W 1 p d C U z R D k 5 O T k 5 O T k 5 L 1 B h Z 2 V T a X p l P C 9 J d G V t U G F 0 a D 4 8 L 0 l 0 Z W 1 M b 2 N h d G l v b j 4 8 U 3 R h Y m x l R W 5 0 c m l l c y A v P j w v S X R l b T 4 8 S X R l b T 4 8 S X R l b U x v Y 2 F 0 a W 9 u P j x J d G V t V H l w Z T 5 G b 3 J t d W x h P C 9 J d G V t V H l w Z T 4 8 S X R l b V B h d G g + U 2 V j d G l v b j E v Z G F 0 Y X N 0 b 3 J l X 3 N l Y X J j a C U z R n J l c 2 9 1 c m N l X 2 l k J T N E O G E z Y z U y Y j E t O G Q w M S 0 0 N D d i L T k 5 Z T E t N D M 4 Z m U z N 2 J k O D J k J T I 2 b G l t a X Q l M 0 Q 5 O T k 5 O T k 5 O S 9 H Z X R Q Y W d l P C 9 J d G V t U G F 0 a D 4 8 L 0 l 0 Z W 1 M b 2 N h d G l v b j 4 8 U 3 R h Y m x l R W 5 0 c m l l c y A v P j w v S X R l b T 4 8 S X R l b T 4 8 S X R l b U x v Y 2 F 0 a W 9 u P j x J d G V t V H l w Z T 5 G b 3 J t d W x h P C 9 J d G V t V H l w Z T 4 8 S X R l b V B h d G g + U 2 V j d G l v b j E v Z G F 0 Y X N 0 b 3 J l X 3 N l Y X J j a C U z R n J l c 2 9 1 c m N l X 2 l k J T N E O G E z Y z U y Y j E t O G Q w M S 0 0 N D d i L T k 5 Z T E t N D M 4 Z m U z N 2 J k O D J k J T I 2 b G l t a X Q l M 0 Q 5 O T k 5 O T k 5 O S 9 B b G x S Z W N v c m R z P C 9 J d G V t U G F 0 a D 4 8 L 0 l 0 Z W 1 M b 2 N h d G l v b j 4 8 U 3 R h Y m x l R W 5 0 c m l l c y A v P j w v S X R l b T 4 8 S X R l b T 4 8 S X R l b U x v Y 2 F 0 a W 9 u P j x J d G V t V H l w Z T 5 G b 3 J t d W x h P C 9 J d G V t V H l w Z T 4 8 S X R l b V B h d G g + U 2 V j d G l v b j E v Z G F 0 Y X N 0 b 3 J l X 3 N l Y X J j a C U z R n J l c 2 9 1 c m N l X 2 l k J T N E O G E z Y z U y Y j E t O G Q w M S 0 0 N D d i L T k 5 Z T E t N D M 4 Z m U z N 2 J k O D J k J T I 2 b G l t a X Q l M 0 Q 5 O T k 5 O T k 5 O S 9 S Z W N v c m R z V G F i b G U 8 L 0 l 0 Z W 1 Q Y X R o P j w v S X R l b U x v Y 2 F 0 a W 9 u P j x T d G F i b G V F b n R y a W V z I C 8 + P C 9 J d G V t P j x J d G V t P j x J d G V t T G 9 j Y X R p b 2 4 + P E l 0 Z W 1 U e X B l P k Z v c m 1 1 b G E 8 L 0 l 0 Z W 1 U e X B l P j x J d G V t U G F 0 a D 5 T Z W N 0 a W 9 u M S 9 k Y X R h c 3 R v c m V f c 2 V h c m N o J T N G c m V z b 3 V y Y 2 V f a W Q l M 0 Q 4 Y T N j N T J i M S 0 4 Z D A x L T Q 0 N 2 I t O T l l M S 0 0 M z h m Z T M 3 Y m Q 4 M m Q l M j Z s a W 1 p d C U z R D k 5 O T k 5 O T k 5 L 0 V 4 c G F u Z G V k P C 9 J d G V t U G F 0 a D 4 8 L 0 l 0 Z W 1 M b 2 N h d G l v b j 4 8 U 3 R h Y m x l R W 5 0 c m l l c y A v P j w v S X R l b T 4 8 S X R l b T 4 8 S X R l b U x v Y 2 F 0 a W 9 u P j x J d G V t V H l w Z T 5 G b 3 J t d W x h P C 9 J d G V t V H l w Z T 4 8 S X R l b V B h d G g + U 2 V j d G l v b j E v Z G F 0 Y X N 0 b 3 J l X 3 N l Y X J j a C U z R n J l c 2 9 1 c m N l X 2 l k J T N E O G E z Y z U y Y j E t O G Q w M S 0 0 N D d i L T k 5 Z T E t N D M 4 Z m U z N 2 J k O D J k J T I 2 b G l t a X Q l M 0 Q 5 O T k 5 O T k 5 O S 9 U e X B l Z D w v S X R l b V B h d G g + P C 9 J d G V t T G 9 j Y X R p b 2 4 + P F N 0 Y W J s Z U V u d H J p Z X M g L z 4 8 L 0 l 0 Z W 0 + P E l 0 Z W 0 + P E l 0 Z W 1 M b 2 N h d G l v b j 4 8 S X R l b V R 5 c G U + R m 9 y b X V s Y T w v S X R l b V R 5 c G U + P E l 0 Z W 1 Q Y X R o P l N l Y 3 R p b 2 4 x L 2 R h d G F z d G 9 y Z V 9 z Z W F y Y 2 g l M 0 Z y Z X N v d X J j Z V 9 p Z C U z R D h h M 2 M 1 M m I x L T h k M D E t N D Q 3 Y i 0 5 O W U x L T Q z O G Z l M z d i Z D g y Z C U y N m x p b W l 0 J T N E O T k 5 O T k 5 O T k v R m l s d G V y Z W Q 8 L 0 l 0 Z W 1 Q Y X R o P j w v S X R l b U x v Y 2 F 0 a W 9 u P j x T d G F i b G V F b n R y a W V z I C 8 + P C 9 J d G V t P j x J d G V t P j x J d G V t T G 9 j Y X R p b 2 4 + P E l 0 Z W 1 U e X B l P k Z v c m 1 1 b G E 8 L 0 l 0 Z W 1 U e X B l P j x J d G V t U G F 0 a D 5 T Z W N 0 a W 9 u M S 9 k Y X R h c 3 R v c m V f c 2 V h c m N o J T N G c m V z b 3 V y Y 2 V f a W Q l M 0 R k Y z Q y Z j A 4 N S 0 3 N W Q 4 L T Q 4 Z T A t Y j c 5 N S 0 4 Z W R l N m V l N T c 2 Y z I l M j Z s a W 1 p d C U z R D g w M C 9 T b 3 V y Y 2 U 8 L 0 l 0 Z W 1 Q Y X R o P j w v S X R l b U x v Y 2 F 0 a W 9 u P j x T d G F i b G V F b n R y a W V z I C 8 + P C 9 J d G V t P j x J d G V t P j x J d G V t T G 9 j Y X R p b 2 4 + P E l 0 Z W 1 U e X B l P k Z v c m 1 1 b G E 8 L 0 l 0 Z W 1 U e X B l P j x J d G V t U G F 0 a D 5 T Z W N 0 a W 9 u M S 9 k Y X R h c 3 R v c m V f c 2 V h c m N o J T N G c m V z b 3 V y Y 2 V f a W Q l M 0 R k Y z Q y Z j A 4 N S 0 3 N W Q 4 L T Q 4 Z T A t Y j c 5 N S 0 4 Z W R l N m V l N T c 2 Y z I l M j Z s a W 1 p d C U z R D g w M C 9 y Z X N 1 b H Q 8 L 0 l 0 Z W 1 Q Y X R o P j w v S X R l b U x v Y 2 F 0 a W 9 u P j x T d G F i b G V F b n R y a W V z I C 8 + P C 9 J d G V t P j x J d G V t P j x J d G V t T G 9 j Y X R p b 2 4 + P E l 0 Z W 1 U e X B l P k Z v c m 1 1 b G E 8 L 0 l 0 Z W 1 U e X B l P j x J d G V t U G F 0 a D 5 T Z W N 0 a W 9 u M S 9 k Y X R h c 3 R v c m V f c 2 V h c m N o J T N G c m V z b 3 V y Y 2 V f a W Q l M 0 R k Y z Q y Z j A 4 N S 0 3 N W Q 4 L T Q 4 Z T A t Y j c 5 N S 0 4 Z W R l N m V l N T c 2 Y z I l M j Z s a W 1 p d C U z R D g w M C 9 y Z W N v c m R z P C 9 J d G V t U G F 0 a D 4 8 L 0 l 0 Z W 1 M b 2 N h d G l v b j 4 8 U 3 R h Y m x l R W 5 0 c m l l c y A v P j w v S X R l b T 4 8 S X R l b T 4 8 S X R l b U x v Y 2 F 0 a W 9 u P j x J d G V t V H l w Z T 5 G b 3 J t d W x h P C 9 J d G V t V H l w Z T 4 8 S X R l b V B h d G g + U 2 V j d G l v b j E v Z G F 0 Y X N 0 b 3 J l X 3 N l Y X J j a C U z R n J l c 2 9 1 c m N l X 2 l k J T N E Z G M 0 M m Y w O D U t N z V k O C 0 0 O G U w L W I 3 O T U t O G V k Z T Z l Z T U 3 N m M y J T I 2 b G l t a X Q l M 0 Q 4 M D A v Q 2 9 u d m V y d G V k J T I w d G 8 l M j B U Y W J s Z T w v S X R l b V B h d G g + P C 9 J d G V t T G 9 j Y X R p b 2 4 + P F N 0 Y W J s Z U V u d H J p Z X M g L z 4 8 L 0 l 0 Z W 0 + P E l 0 Z W 0 + P E l 0 Z W 1 M b 2 N h d G l v b j 4 8 S X R l b V R 5 c G U + R m 9 y b X V s Y T w v S X R l b V R 5 c G U + P E l 0 Z W 1 Q Y X R o P l N l Y 3 R p b 2 4 x L 2 R h d G F z d G 9 y Z V 9 z Z W F y Y 2 g l M 0 Z y Z X N v d X J j Z V 9 p Z C U z R G R j N D J m M D g 1 L T c 1 Z D g t N D h l M C 1 i N z k 1 L T h l Z G U 2 Z W U 1 N z Z j M i U y N m x p b W l 0 J T N E O D A w L 0 V 4 c G F u Z G V k J T I w Q 2 9 s d W 1 u M T w v S X R l b V B h d G g + P C 9 J d G V t T G 9 j Y X R p b 2 4 + P F N 0 Y W J s Z U V u d H J p Z X M g L z 4 8 L 0 l 0 Z W 0 + P E l 0 Z W 0 + P E l 0 Z W 1 M b 2 N h d G l v b j 4 8 S X R l b V R 5 c G U + R m 9 y b X V s Y T w v S X R l b V R 5 c G U + P E l 0 Z W 1 Q Y X R o P l N l Y 3 R p b 2 4 x L 2 R h d G F z d G 9 y Z V 9 z Z W F y Y 2 g l M 0 Z y Z X N v d X J j Z V 9 p Z C U z R G R j N D J m M D g 1 L T c 1 Z D g t N D h l M C 1 i N z k 1 L T h l Z G U 2 Z W U 1 N z Z j M i U y N m x p b W l 0 J T N E O D A w L 0 N o Y W 5 n Z W Q l M j B U e X B l P C 9 J d G V t U G F 0 a D 4 8 L 0 l 0 Z W 1 M b 2 N h d G l v b j 4 8 U 3 R h Y m x l R W 5 0 c m l l c y A v P j w v S X R l b T 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C Y B A A A B A A A A 0 I y d 3 w E V 0 R G M e g D A T 8 K X 6 w E A A A D J Z a G 0 5 Y S p Q K P q U f q 1 3 N + y A A A A A A I A A A A A A B B m A A A A A Q A A I A A A A M v L i Q M 7 8 p W f p R a 3 5 v E Z y 5 r k G Q i g + 2 r G a Y 5 c G y 5 G S N t C A A A A A A 6 A A A A A A g A A I A A A A B V h c U s H Q s W 6 D u k a 4 / 8 O Z L p N b 8 m J a f 7 a b / Q t P b L a O h q C U A A A A C C O e S R C p V Y n e 0 G u L f e G V v 9 P e n p 3 J m 1 G U Z R m M X i R E 7 S G y 5 c 3 e K X O y R V m A T w w h L e m a U o 2 Y 0 9 s 5 6 M Y z z v 4 f c G 9 U 1 b K s X / 6 e G G l k 1 N I 3 E g 4 a v 6 C Q A A A A B g x l l p t O Y 7 s Y t u L v 0 e B 3 y k s G f / K A Q u N g w u 3 J T E t C w A u P + T 9 h c V / B L f C N E z X o P 4 i 6 l p 7 F h s 1 D 4 d s 8 g o y H 2 u t v W U = < / D a t a M a s h u p > 
</file>

<file path=customXml/itemProps1.xml><?xml version="1.0" encoding="utf-8"?>
<ds:datastoreItem xmlns:ds="http://schemas.openxmlformats.org/officeDocument/2006/customXml" ds:itemID="{02F7CA9C-B83B-4739-9E29-949ED023119D}">
  <ds:schemaRefs>
    <ds:schemaRef ds:uri="http://schemas.microsoft.com/sharepoint/v3/contenttype/forms"/>
  </ds:schemaRefs>
</ds:datastoreItem>
</file>

<file path=customXml/itemProps2.xml><?xml version="1.0" encoding="utf-8"?>
<ds:datastoreItem xmlns:ds="http://schemas.openxmlformats.org/officeDocument/2006/customXml" ds:itemID="{0C889400-AA24-4E18-B733-82971101D5B2}">
  <ds:schemaRefs>
    <ds:schemaRef ds:uri="http://schemas.microsoft.com/office/2006/metadata/properties"/>
    <ds:schemaRef ds:uri="http://schemas.microsoft.com/office/infopath/2007/PartnerControls"/>
    <ds:schemaRef ds:uri="851dfaa3-aae8-4c03-b90c-7dd4a6526d0d"/>
    <ds:schemaRef ds:uri="d0cd808a-5bf2-4e5a-989e-816370f0782c"/>
  </ds:schemaRefs>
</ds:datastoreItem>
</file>

<file path=customXml/itemProps3.xml><?xml version="1.0" encoding="utf-8"?>
<ds:datastoreItem xmlns:ds="http://schemas.openxmlformats.org/officeDocument/2006/customXml" ds:itemID="{D7042873-2044-46BE-9C2E-A5CFC7C91D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1dfaa3-aae8-4c03-b90c-7dd4a6526d0d"/>
    <ds:schemaRef ds:uri="d0cd808a-5bf2-4e5a-989e-816370f078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567BBAC-324E-4398-B259-A9F4228F7174}">
  <ds:schemaRefs>
    <ds:schemaRef ds:uri="http://schemas.microsoft.com/DataMashup"/>
  </ds:schemaRefs>
</ds:datastoreItem>
</file>

<file path=docMetadata/LabelInfo.xml><?xml version="1.0" encoding="utf-8"?>
<clbl:labelList xmlns:clbl="http://schemas.microsoft.com/office/2020/mipLabelMetadata">
  <clbl:label id="{fe186a25-7d49-41e6-9941-05d2281d36c1}" enabled="0" method="" siteId="{fe186a25-7d49-41e6-9941-05d2281d36c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106</vt:i4>
      </vt:variant>
    </vt:vector>
  </HeadingPairs>
  <TitlesOfParts>
    <vt:vector size="126" baseType="lpstr">
      <vt:lpstr>Abbreviations and Color Key</vt:lpstr>
      <vt:lpstr>Landing Page and Navigation</vt:lpstr>
      <vt:lpstr>README</vt:lpstr>
      <vt:lpstr>Preliminary Budget</vt:lpstr>
      <vt:lpstr>Indoor required certification</vt:lpstr>
      <vt:lpstr>Res-Indoor Variances</vt:lpstr>
      <vt:lpstr>Outdoor required certification</vt:lpstr>
      <vt:lpstr>Res-Outdoor Variances</vt:lpstr>
      <vt:lpstr>Emergency and Hi TDS Variances</vt:lpstr>
      <vt:lpstr>Residential Agriculture 1%</vt:lpstr>
      <vt:lpstr>CII Outdoor Variances</vt:lpstr>
      <vt:lpstr>Residential Outdoor Components</vt:lpstr>
      <vt:lpstr>Alternative Data or Methodology</vt:lpstr>
      <vt:lpstr>Crosswalk_API</vt:lpstr>
      <vt:lpstr>POP_API</vt:lpstr>
      <vt:lpstr>LAM_API</vt:lpstr>
      <vt:lpstr>CLIMATE_API</vt:lpstr>
      <vt:lpstr>SEASONAL_API</vt:lpstr>
      <vt:lpstr>Climate Zone</vt:lpstr>
      <vt:lpstr>POTABLE_NONPOTABLE_API</vt:lpstr>
      <vt:lpstr>'CII Outdoor Variances'!CLIMATE_ETO</vt:lpstr>
      <vt:lpstr>CLIMATE_ETO</vt:lpstr>
      <vt:lpstr>'CII Outdoor Variances'!CLIMATE_ORG_ID_LIST</vt:lpstr>
      <vt:lpstr>CLIMATE_ORG_ID_LIST</vt:lpstr>
      <vt:lpstr>'CII Outdoor Variances'!CLIMATE_PEFF</vt:lpstr>
      <vt:lpstr>CLIMATE_PEFF</vt:lpstr>
      <vt:lpstr>'CII Outdoor Variances'!CLIMATE_TOTAL_PREC</vt:lpstr>
      <vt:lpstr>CLIMATE_TOTAL_PREC</vt:lpstr>
      <vt:lpstr>CW_COUNTY_LIST</vt:lpstr>
      <vt:lpstr>CW_ORG_ID_LIST</vt:lpstr>
      <vt:lpstr>CW_PWS_NAME_LIST</vt:lpstr>
      <vt:lpstr>CW_PWSID_LIST</vt:lpstr>
      <vt:lpstr>'CII Outdoor Variances'!CW_PWSID_PWSNAME_JOINT</vt:lpstr>
      <vt:lpstr>CW_PWSID_PWSNAME_JOINT</vt:lpstr>
      <vt:lpstr>CW_SUPPLIER_NAME_LIST</vt:lpstr>
      <vt:lpstr>'CII Outdoor Variances'!CZ_ANIMAL_WATER</vt:lpstr>
      <vt:lpstr>CZ_ANIMAL_WATER</vt:lpstr>
      <vt:lpstr>'CII Outdoor Variances'!CZ_ORG_ID_LIST</vt:lpstr>
      <vt:lpstr>CZ_ORG_ID_LIST</vt:lpstr>
      <vt:lpstr>'CII Outdoor Variances'!CZ_TREE_WATER</vt:lpstr>
      <vt:lpstr>CZ_TREE_WATER</vt:lpstr>
      <vt:lpstr>DIM_DATA_DATE</vt:lpstr>
      <vt:lpstr>FY_START_DATE</vt:lpstr>
      <vt:lpstr>HAS_LAM_DATA</vt:lpstr>
      <vt:lpstr>'CII Outdoor Variances'!LAM_AG_SQFT</vt:lpstr>
      <vt:lpstr>LAM_AG_SQFT</vt:lpstr>
      <vt:lpstr>'CII Outdoor Variances'!LAM_HCL</vt:lpstr>
      <vt:lpstr>LAM_HCL</vt:lpstr>
      <vt:lpstr>'CII Outdoor Variances'!LAM_II_SQFT</vt:lpstr>
      <vt:lpstr>LAM_II_SQFT</vt:lpstr>
      <vt:lpstr>'CII Outdoor Variances'!LAM_INI_SQFT</vt:lpstr>
      <vt:lpstr>LAM_INI_SQFT</vt:lpstr>
      <vt:lpstr>LAM_NEW_NOREC_SQFT</vt:lpstr>
      <vt:lpstr>LAM_NEW_REC_SQFT</vt:lpstr>
      <vt:lpstr>LAM_NEW_SQFT</vt:lpstr>
      <vt:lpstr>'CII Outdoor Variances'!LAM_ORG_ID_LIST</vt:lpstr>
      <vt:lpstr>LAM_ORG_ID_LIST</vt:lpstr>
      <vt:lpstr>'CII Outdoor Variances'!LAM_POOL_SQFT</vt:lpstr>
      <vt:lpstr>LAM_POOL_SQFT</vt:lpstr>
      <vt:lpstr>LAM_SLA_NOREC_SQFT</vt:lpstr>
      <vt:lpstr>LAM_SLA_REC_SQFT</vt:lpstr>
      <vt:lpstr>NDAYS_YEAR</vt:lpstr>
      <vt:lpstr>Net_ET0</vt:lpstr>
      <vt:lpstr>'CII Outdoor Variances'!NP_SUM_TOTAL</vt:lpstr>
      <vt:lpstr>NP_SUM_TOTAL</vt:lpstr>
      <vt:lpstr>'CII Outdoor Variances'!NPD_NONRES_DIM</vt:lpstr>
      <vt:lpstr>NPD_NONRES_DIM</vt:lpstr>
      <vt:lpstr>'CII Outdoor Variances'!NPD_NONRES_NP</vt:lpstr>
      <vt:lpstr>NPD_NONRES_NP</vt:lpstr>
      <vt:lpstr>'CII Outdoor Variances'!NPD_NONRES_RECYCL</vt:lpstr>
      <vt:lpstr>NPD_NONRES_RECYCL</vt:lpstr>
      <vt:lpstr>'CII Outdoor Variances'!NPD_ORG_ID_LIST</vt:lpstr>
      <vt:lpstr>NPD_ORG_ID_LIST</vt:lpstr>
      <vt:lpstr>'CII Outdoor Variances'!NPD_PWSID_LIST</vt:lpstr>
      <vt:lpstr>NPD_PWSID_LIST</vt:lpstr>
      <vt:lpstr>'CII Outdoor Variances'!NPD_RES_DIM</vt:lpstr>
      <vt:lpstr>NPD_RES_DIM</vt:lpstr>
      <vt:lpstr>'CII Outdoor Variances'!NPD_RES_NP</vt:lpstr>
      <vt:lpstr>NPD_RES_NP</vt:lpstr>
      <vt:lpstr>'CII Outdoor Variances'!NPD_RES_RECYCL</vt:lpstr>
      <vt:lpstr>NPD_RES_RECYCL</vt:lpstr>
      <vt:lpstr>NUM_PWS</vt:lpstr>
      <vt:lpstr>ORG_ID_REF</vt:lpstr>
      <vt:lpstr>'CII Outdoor Variances'!PD_NONRES_CI</vt:lpstr>
      <vt:lpstr>PD_NONRES_CI</vt:lpstr>
      <vt:lpstr>'CII Outdoor Variances'!PD_NONRES_DIM</vt:lpstr>
      <vt:lpstr>PD_NONRES_DIM</vt:lpstr>
      <vt:lpstr>'CII Outdoor Variances'!PD_NONRES_I</vt:lpstr>
      <vt:lpstr>PD_NONRES_I</vt:lpstr>
      <vt:lpstr>'CII Outdoor Variances'!PD_NONRES_O</vt:lpstr>
      <vt:lpstr>PD_NONRES_O</vt:lpstr>
      <vt:lpstr>'CII Outdoor Variances'!PD_ORG_ID_LIST</vt:lpstr>
      <vt:lpstr>PD_ORG_ID_LIST</vt:lpstr>
      <vt:lpstr>'CII Outdoor Variances'!PD_PWSID_LIST</vt:lpstr>
      <vt:lpstr>PD_PWSID_LIST</vt:lpstr>
      <vt:lpstr>'CII Outdoor Variances'!PD_RES_MF</vt:lpstr>
      <vt:lpstr>PD_RES_MF</vt:lpstr>
      <vt:lpstr>'CII Outdoor Variances'!PD_RES_SF</vt:lpstr>
      <vt:lpstr>PD_RES_SF</vt:lpstr>
      <vt:lpstr>'CII Outdoor Variances'!PD_SUM_DEL</vt:lpstr>
      <vt:lpstr>PD_SUM_DEL</vt:lpstr>
      <vt:lpstr>'CII Outdoor Variances'!POP_ORG_ID_LIST</vt:lpstr>
      <vt:lpstr>POP_ORG_ID_LIST</vt:lpstr>
      <vt:lpstr>'CII Outdoor Variances'!POP_PWSID_LIST</vt:lpstr>
      <vt:lpstr>POP_PWSID_LIST</vt:lpstr>
      <vt:lpstr>'CII Outdoor Variances'!POP_VALUES</vt:lpstr>
      <vt:lpstr>POP_VALUES</vt:lpstr>
      <vt:lpstr>RES_INDOOR_DATA_DATE</vt:lpstr>
      <vt:lpstr>RES_OUTDOOR_DATA_DATE</vt:lpstr>
      <vt:lpstr>'CII Outdoor Variances'!SEASONAL_CROP_COEFF</vt:lpstr>
      <vt:lpstr>SEASONAL_CROP_COEFF</vt:lpstr>
      <vt:lpstr>'CII Outdoor Variances'!SEASONAL_ETF</vt:lpstr>
      <vt:lpstr>SEASONAL_ETF</vt:lpstr>
      <vt:lpstr>'CII Outdoor Variances'!SEASONAL_ETO</vt:lpstr>
      <vt:lpstr>SEASONAL_ETO</vt:lpstr>
      <vt:lpstr>'CII Outdoor Variances'!SEASONAL_IE</vt:lpstr>
      <vt:lpstr>SEASONAL_IE</vt:lpstr>
      <vt:lpstr>'CII Outdoor Variances'!SEASONAL_IRR_EFF</vt:lpstr>
      <vt:lpstr>SEASONAL_IRR_EFF</vt:lpstr>
      <vt:lpstr>'CII Outdoor Variances'!SEASONAL_KC</vt:lpstr>
      <vt:lpstr>SEASONAL_KC</vt:lpstr>
      <vt:lpstr>'CII Outdoor Variances'!SEASONAL_ORG_ID_LIST</vt:lpstr>
      <vt:lpstr>SEASONAL_ORG_ID_LIST</vt:lpstr>
      <vt:lpstr>'CII Outdoor Variances'!SEASONAL_PEFF</vt:lpstr>
      <vt:lpstr>SEASONAL_PEFF</vt:lpstr>
      <vt:lpstr>WS_INCLUDE_API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Rhodeiro, Marielle@Waterboards</dc:creator>
  <cp:keywords/>
  <dc:description/>
  <cp:lastModifiedBy>Herrera, Karina@Waterboards</cp:lastModifiedBy>
  <cp:revision>1</cp:revision>
  <dcterms:created xsi:type="dcterms:W3CDTF">2023-05-15T19:40:24Z</dcterms:created>
  <dcterms:modified xsi:type="dcterms:W3CDTF">2025-07-16T23:15:12Z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0x010100465B124D86EFAC499F2FD77C696145FE</vt:lpwstr>
  </property>
  <property fmtid="{D5CDD505-2E9C-101B-9397-08002B2CF9AE}" pid="3" name="MediaServiceImageTags">
    <vt:lpwstr/>
  </property>
</Properties>
</file>